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7.xml" ContentType="application/vnd.openxmlformats-officedocument.spreadsheetml.worksheet+xml"/>
  <Override PartName="/xl/chartsheets/sheet8.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9.xml" ContentType="application/vnd.openxmlformats-officedocument.spreadsheetml.chartsheet+xml"/>
  <Override PartName="/xl/worksheets/sheet10.xml" ContentType="application/vnd.openxmlformats-officedocument.spreadsheetml.work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worksheets/sheet11.xml" ContentType="application/vnd.openxmlformats-officedocument.spreadsheetml.worksheet+xml"/>
  <Override PartName="/xl/chartsheets/sheet17.xml" ContentType="application/vnd.openxmlformats-officedocument.spreadsheetml.chartsheet+xml"/>
  <Override PartName="/xl/chartsheets/sheet18.xml" ContentType="application/vnd.openxmlformats-officedocument.spreadsheetml.chartsheet+xml"/>
  <Override PartName="/xl/chartsheets/sheet19.xml" ContentType="application/vnd.openxmlformats-officedocument.spreadsheetml.chartsheet+xml"/>
  <Override PartName="/xl/chartsheets/sheet20.xml" ContentType="application/vnd.openxmlformats-officedocument.spreadsheetml.chartsheet+xml"/>
  <Override PartName="/xl/chartsheets/sheet21.xml" ContentType="application/vnd.openxmlformats-officedocument.spreadsheetml.chartsheet+xml"/>
  <Override PartName="/xl/chartsheets/sheet22.xml" ContentType="application/vnd.openxmlformats-officedocument.spreadsheetml.chartsheet+xml"/>
  <Override PartName="/xl/chartsheets/sheet23.xml" ContentType="application/vnd.openxmlformats-officedocument.spreadsheetml.chartsheet+xml"/>
  <Override PartName="/xl/chartsheets/sheet24.xml" ContentType="application/vnd.openxmlformats-officedocument.spreadsheetml.chartsheet+xml"/>
  <Override PartName="/xl/chartsheets/sheet25.xml" ContentType="application/vnd.openxmlformats-officedocument.spreadsheetml.chartsheet+xml"/>
  <Override PartName="/xl/chartsheets/sheet26.xml" ContentType="application/vnd.openxmlformats-officedocument.spreadsheetml.chartsheet+xml"/>
  <Override PartName="/xl/chartsheets/sheet27.xml" ContentType="application/vnd.openxmlformats-officedocument.spreadsheetml.chartsheet+xml"/>
  <Override PartName="/xl/chartsheets/sheet28.xml" ContentType="application/vnd.openxmlformats-officedocument.spreadsheetml.chartsheet+xml"/>
  <Override PartName="/xl/chartsheets/sheet29.xml" ContentType="application/vnd.openxmlformats-officedocument.spreadsheetml.chartsheet+xml"/>
  <Override PartName="/xl/chartsheets/sheet30.xml" ContentType="application/vnd.openxmlformats-officedocument.spreadsheetml.chartsheet+xml"/>
  <Override PartName="/xl/chartsheets/sheet31.xml" ContentType="application/vnd.openxmlformats-officedocument.spreadsheetml.chartsheet+xml"/>
  <Override PartName="/xl/chartsheets/sheet32.xml" ContentType="application/vnd.openxmlformats-officedocument.spreadsheetml.chartsheet+xml"/>
  <Override PartName="/xl/chartsheets/sheet33.xml" ContentType="application/vnd.openxmlformats-officedocument.spreadsheetml.chartsheet+xml"/>
  <Override PartName="/xl/chartsheets/sheet34.xml" ContentType="application/vnd.openxmlformats-officedocument.spreadsheetml.chartsheet+xml"/>
  <Override PartName="/xl/chartsheets/sheet35.xml" ContentType="application/vnd.openxmlformats-officedocument.spreadsheetml.chart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tables/table8.xml" ContentType="application/vnd.openxmlformats-officedocument.spreadsheetml.table+xml"/>
  <Override PartName="/xl/tables/table9.xml" ContentType="application/vnd.openxmlformats-officedocument.spreadsheetml.tab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0.xml" ContentType="application/vnd.openxmlformats-officedocument.spreadsheetml.table+xml"/>
  <Override PartName="/xl/comments2.xml" ContentType="application/vnd.openxmlformats-officedocument.spreadsheetml.comments+xml"/>
  <Override PartName="/xl/drawings/drawing1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trlProps/ctrlProp8.xml" ContentType="application/vnd.ms-excel.controlproperties+xml"/>
  <Override PartName="/xl/drawings/drawing18.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1.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ml.chartshapes+xml"/>
  <Override PartName="/xl/drawings/drawing2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ml.chartshapes+xml"/>
  <Override PartName="/xl/drawings/drawing2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8.xml" ContentType="application/vnd.openxmlformats-officedocument.drawingml.chartshapes+xml"/>
  <Override PartName="/xl/drawings/drawing2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3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3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32.xml" ContentType="application/vnd.openxmlformats-officedocument.drawingml.chartshapes+xml"/>
  <Override PartName="/xl/drawings/drawing3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34.xml" ContentType="application/vnd.openxmlformats-officedocument.drawingml.chartshapes+xml"/>
  <Override PartName="/xl/drawings/drawing35.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3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37.xml" ContentType="application/vnd.openxmlformats-officedocument.drawingml.chartshapes+xml"/>
  <Override PartName="/xl/drawings/drawing38.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40.xml" ContentType="application/vnd.openxmlformats-officedocument.drawingml.chartshapes+xml"/>
  <Override PartName="/xl/drawings/drawing41.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42.xml" ContentType="application/vnd.openxmlformats-officedocument.drawingml.chartshapes+xml"/>
  <Override PartName="/xl/drawings/drawing43.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44.xml" ContentType="application/vnd.openxmlformats-officedocument.drawingml.chartshapes+xml"/>
  <Override PartName="/xl/drawings/drawing4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46.xml" ContentType="application/vnd.openxmlformats-officedocument.drawingml.chartshapes+xml"/>
  <Override PartName="/xl/drawings/drawing47.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48.xml" ContentType="application/vnd.openxmlformats-officedocument.drawingml.chartshapes+xml"/>
  <Override PartName="/xl/drawings/drawing49.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50.xml" ContentType="application/vnd.openxmlformats-officedocument.drawingml.chartshapes+xml"/>
  <Override PartName="/xl/drawings/drawing5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52.xml" ContentType="application/vnd.openxmlformats-officedocument.drawingml.chartshapes+xml"/>
  <Override PartName="/xl/drawings/drawing53.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4.xml" ContentType="application/vnd.openxmlformats-officedocument.drawingml.chartshapes+xml"/>
  <Override PartName="/xl/drawings/drawing5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56.xml" ContentType="application/vnd.openxmlformats-officedocument.drawingml.chartshapes+xml"/>
  <Override PartName="/xl/drawings/drawing57.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58.xml" ContentType="application/vnd.openxmlformats-officedocument.drawingml.chartshapes+xml"/>
  <Override PartName="/xl/drawings/drawing59.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60.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61.xml" ContentType="application/vnd.openxmlformats-officedocument.drawingml.chartshapes+xml"/>
  <Override PartName="/xl/drawings/drawing62.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6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data\health\COVID19\COVID19excel\"/>
    </mc:Choice>
  </mc:AlternateContent>
  <bookViews>
    <workbookView xWindow="0" yWindow="0" windowWidth="21675" windowHeight="8685" tabRatio="841" firstSheet="4" activeTab="9"/>
  </bookViews>
  <sheets>
    <sheet name="chtNSWUnknown (2)" sheetId="71" r:id="rId1"/>
    <sheet name="myData" sheetId="4" r:id="rId2"/>
    <sheet name="StateCompare" sheetId="63" r:id="rId3"/>
    <sheet name="chtFutureNSWVicQld100" sheetId="62" r:id="rId4"/>
    <sheet name="chtFutureTaiwan100" sheetId="55" r:id="rId5"/>
    <sheet name="chtFutureSMH5" sheetId="68" r:id="rId6"/>
    <sheet name="time_series_covid19_deaths" sheetId="64" r:id="rId7"/>
    <sheet name="TST" sheetId="61" r:id="rId8"/>
    <sheet name="DeathsTimeS" sheetId="65" r:id="rId9"/>
    <sheet name="time_series_covid19_confirmed" sheetId="1" r:id="rId10"/>
    <sheet name="USBarchart" sheetId="66" r:id="rId11"/>
    <sheet name="chtFutureIreland100 (2)" sheetId="60" r:id="rId12"/>
    <sheet name="chtFutureTaiwan" sheetId="59" r:id="rId13"/>
    <sheet name="Names" sheetId="57" r:id="rId14"/>
    <sheet name="chtNSWUnknown" sheetId="69" r:id="rId15"/>
    <sheet name="NSWLikely" sheetId="70" r:id="rId16"/>
    <sheet name="solvMsgs" sheetId="21" r:id="rId17"/>
    <sheet name="chtFutureIreland100" sheetId="53" r:id="rId18"/>
    <sheet name="Chart Index" sheetId="50" r:id="rId19"/>
    <sheet name="chtFutureNSW100LS" sheetId="46" r:id="rId20"/>
    <sheet name="chtFutureNSW" sheetId="5" r:id="rId21"/>
    <sheet name="chtFutureNSW100" sheetId="45" r:id="rId22"/>
    <sheet name="chtFutureNSWGen" sheetId="43" r:id="rId23"/>
    <sheet name="chtFutureNSWEarlyLS" sheetId="42" r:id="rId24"/>
    <sheet name="chtFutureItalyLS" sheetId="37" r:id="rId25"/>
    <sheet name="chtTests" sheetId="22" r:id="rId26"/>
    <sheet name="TrueBlank" sheetId="41" state="hidden" r:id="rId27"/>
    <sheet name="chtAsymptoteNSW (2)" sheetId="40" r:id="rId28"/>
    <sheet name="chtFutureItalyEarly (2)" sheetId="39" r:id="rId29"/>
    <sheet name="chtFutureSKoreaLS" sheetId="38" r:id="rId30"/>
    <sheet name="chtFutureChinaLS" sheetId="36" r:id="rId31"/>
    <sheet name="chtAllcases" sheetId="35" r:id="rId32"/>
    <sheet name="chtAsymptoteNSW" sheetId="32" r:id="rId33"/>
    <sheet name="chtFutureAllSK2" sheetId="33" r:id="rId34"/>
    <sheet name="chtFutureUK" sheetId="30" r:id="rId35"/>
    <sheet name="chtFutureSKorea" sheetId="26" r:id="rId36"/>
    <sheet name="chtFutureNSWUS" sheetId="25" r:id="rId37"/>
    <sheet name="chtFutureAll" sheetId="15" r:id="rId38"/>
    <sheet name="chtFutureNSWEarly" sheetId="8" r:id="rId39"/>
    <sheet name="chtFutureItalyEarly" sheetId="7" r:id="rId40"/>
    <sheet name="chtFutureItaly" sheetId="6" r:id="rId41"/>
    <sheet name="chtFutureUSEarly" sheetId="10" r:id="rId42"/>
    <sheet name="chtFutureUS" sheetId="11" r:id="rId43"/>
    <sheet name="chtFutureChina" sheetId="19" r:id="rId44"/>
    <sheet name="chtFutureAU" sheetId="24" r:id="rId45"/>
    <sheet name="chtFutureAllAU" sheetId="23" r:id="rId46"/>
    <sheet name="BedOccupancy" sheetId="16" state="hidden" r:id="rId47"/>
  </sheets>
  <functionGroups builtInGroupCount="18"/>
  <definedNames>
    <definedName name="_xlnm._FilterDatabase" localSheetId="1" hidden="1">myData!$A$1:$AC$9</definedName>
    <definedName name="_xlnm._FilterDatabase" localSheetId="15" hidden="1">NSWLikely!$A$1:$Q$2954</definedName>
    <definedName name="_xlnm._FilterDatabase" localSheetId="9" hidden="1">time_series_covid19_confirmed!$A$1:$DC$1</definedName>
    <definedName name="_xlnm._FilterDatabase" localSheetId="6" hidden="1">time_series_covid19_deaths!$A$1:$DK$1</definedName>
    <definedName name="_xlnm._FilterDatabase" localSheetId="7" hidden="1">TST!$A$5:$LM$103</definedName>
    <definedName name="ACTpop" localSheetId="1">myData!$D$8</definedName>
    <definedName name="AllStates" localSheetId="2">StateCompare!$A$16:$J$29</definedName>
    <definedName name="Asymptote" localSheetId="1">myData!$D$2</definedName>
    <definedName name="AU100Cases" localSheetId="1">myData!AuCases OFFSET(tblData[Au Cases Per Capita],MATCH(solvMsgs!MinCases,tblData[Au Cases Per Capita],1),0,COUNT(tblData[Au]),1)</definedName>
    <definedName name="Au100Dates" localSheetId="1">tblData[AU100Days] OFFSET(tblData[AU100Days],MATCH(solvMsgs!MinCases,tblData[Au Cases Per Capita],1),0,COUNT(tblData[Au],0),1)</definedName>
    <definedName name="Au100dt" localSheetId="1">myData!$ES$11</definedName>
    <definedName name="Au100Logi" localSheetId="1">myData!AuLogi OFFSET(tblData[Au LogiP(t) Per Capita],MATCH(solvMsgs!MinCases,tblData[Au Cases Per Capita],1),0,COUNT(tblData[Au])-1,1)</definedName>
    <definedName name="Au100LogiDates" localSheetId="1">tblData[AU100Days] OFFSET(tblData[[#Headers],[AU100Days]],MATCH(solvMsgs!MinCases,tblData[Au Cases Per Capita],1)+1,0,COUNT(tblData[Au LogiP(t) Per Capita]),1)</definedName>
    <definedName name="AuCases" localSheetId="1">OFFSET(tblData[[#Headers],[Au Cases Per Capita]],MATCH(myData!StartDt2Au,tblData[Dates],0)+1,0,COUNTIF(tblData[Au],"&gt;0")+MATCH(0,tblData[Au],0)-MATCH(myData!StartDt2Au,tblData[Dates],0),1)</definedName>
    <definedName name="AuDates" localSheetId="1">OFFSET(tblData[[#Headers],[Dates]],MATCH(myData!StartDt2Au,tblData[Dates],0)+1,0,COUNTIF(tblData[Au],"&gt;0"),1)</definedName>
    <definedName name="AuLabel" localSheetId="1">myData!$ET$11</definedName>
    <definedName name="AuLogi" localSheetId="1">OFFSET(tblData[[#Headers],[Au LogiP(t) Per Capita]],1+MATCH(myData!StartDt2Au,tblData[Dates],0),0,COUNT(tblData[Au LogiP(t)]),1)</definedName>
    <definedName name="AuLogiDates" localSheetId="1">OFFSET(tblData[[#Headers],[Dates]],MATCH(myData!StartDt2Au,tblData[Dates],0)+1,0,COUNT(tblData[Au LogiP(t)]),1)</definedName>
    <definedName name="AuMaxCasespc" localSheetId="1">myData!$EK$11</definedName>
    <definedName name="AuPop" localSheetId="1">myData!$AI$8</definedName>
    <definedName name="AuPopScale" localSheetId="1">myData!$AI$9</definedName>
    <definedName name="AuSeries" localSheetId="1">myData!$EH$11</definedName>
    <definedName name="AuStart" localSheetId="1">myData!$DN$11</definedName>
    <definedName name="AustralianCapitalTerritory100Cases" localSheetId="8">DeathsTimeS!AustralianCapitalTerritoryPCcases OFFSET(DeathsTimeS!AustralianCapitalTerritoryCapita,MATCH(solvMsgs!MinCases,DeathsTimeS!AustralianCapitalTerritoryPCcases,1)+1,0,COUNTA(DeathsTimeS!AustralianCapitalTerritoryPCcases),1)</definedName>
    <definedName name="AustralianCapitalTerritory100Cases" localSheetId="7">TST!AustralianCapitalTerritoryPCcases OFFSET(TST!AustralianCapitalTerritoryCapita,MATCH(solvMsgs!MinCases,TST!AustralianCapitalTerritoryPCcases,1)+1,0,COUNTA(TST!AustralianCapitalTerritoryPCcases),1)</definedName>
    <definedName name="AustralianCapitalTerritory100Days" localSheetId="8">OFFSET(DeathsTimeS!AustralianCapitalTerritory100Cases,0,-1)</definedName>
    <definedName name="AustralianCapitalTerritory100Days" localSheetId="7">OFFSET(TST!AustralianCapitalTerritory100Cases,0,-1)</definedName>
    <definedName name="AustralianCapitalTerritory100dt" localSheetId="8">INDEX(OFFSET(DeathsTimeS!$A:$A,11,0,COUNTA(DeathsTimeS!$A:$A),1),MATCH(solvMsgs!MinDeaths,DeathsTimeS!AustralianCapitalTerritoryPCcases,1),1)</definedName>
    <definedName name="AustralianCapitalTerritory100dt" localSheetId="7">INDEX(OFFSET(TST!$A:$A,10,0,COUNTA(TST!$A:$A),1),MATCH(solvMsgs!MinCases,TST!AustralianCapitalTerritoryPCcases,1),1)</definedName>
    <definedName name="AustralianCapitalTerritoryCapita" localSheetId="8">DeathsTimeS!$MM$10</definedName>
    <definedName name="AustralianCapitalTerritoryCapita" localSheetId="7">TST!$ME$9</definedName>
    <definedName name="AustralianCapitalTerritoryPCcases" localSheetId="8">OFFSET(DeathsTimeS!AustralianCapitalTerritoryCapita,1,0,DeathsTimeS!TSTDays+1,1)</definedName>
    <definedName name="AustralianCapitalTerritoryPCcases" localSheetId="7">OFFSET(TST!AustralianCapitalTerritoryCapita,1,0,TST!TSTDays+1,1)</definedName>
    <definedName name="AustralianCapitalTerritoryPopScale" localSheetId="8">DeathsTimeS!$MM$8</definedName>
    <definedName name="AustralianCapitalTerritoryPopScale" localSheetId="7">TST!$ME$8</definedName>
    <definedName name="AustralianCapitalTerritorySeriesLabel" localSheetId="8">DeathsTimeS!$MM$4</definedName>
    <definedName name="AustralianCapitalTerritorySeriesLabel" localSheetId="7">TST!$ME$4</definedName>
    <definedName name="AustraliaSum100Cases" localSheetId="8">DeathsTimeS!AustraliaSumPCcases OFFSET(DeathsTimeS!AustraliaSumCapita,MATCH(solvMsgs!MinCases,DeathsTimeS!AustraliaSumPCcases,1)+1,0,COUNTA(DeathsTimeS!AustraliaSumPCcases),1)</definedName>
    <definedName name="AustraliaSum100Cases" localSheetId="7">TST!AustraliaSumPCcases OFFSET(TST!AustraliaSumCapita,MATCH(solvMsgs!MinCases,TST!AustraliaSumPCcases,1)+1,0,COUNTA(TST!AustraliaSumPCcases),1)</definedName>
    <definedName name="AustraliaSum100Days" localSheetId="8">OFFSET(DeathsTimeS!AustraliaSum100Cases,0,-1)</definedName>
    <definedName name="AustraliaSum100Days" localSheetId="7">OFFSET(TST!AustraliaSum100Cases,0,-1)</definedName>
    <definedName name="AustraliaSum100dt" localSheetId="8">INDEX(OFFSET(DeathsTimeS!$A:$A,11,0,COUNTA(DeathsTimeS!$A:$A),1),MATCH(solvMsgs!MinDeaths,DeathsTimeS!AustraliaSumPCcases,1),1)</definedName>
    <definedName name="AustraliaSum100dt" localSheetId="7">INDEX(OFFSET(TST!$A:$A,10,0,COUNTA(TST!$A:$A),1),MATCH(solvMsgs!MinCases,TST!AustraliaSumPCcases,1),1)</definedName>
    <definedName name="AustraliaSumCapita" localSheetId="8">DeathsTimeS!$NC$10</definedName>
    <definedName name="AustraliaSumCapita" localSheetId="7">TST!$MY$9</definedName>
    <definedName name="AustraliaSumPCcases" localSheetId="8">OFFSET(DeathsTimeS!AustraliaSumCapita,1,0,DeathsTimeS!TSTDays+1,1)</definedName>
    <definedName name="AustraliaSumPCcases" localSheetId="7">OFFSET(TST!AustraliaSumCapita,1,0,TST!TSTDays+1,1)</definedName>
    <definedName name="AustraliaSumPopScale" localSheetId="8">DeathsTimeS!$NC$8</definedName>
    <definedName name="AustraliaSumPopScale" localSheetId="7">TST!$MY$8</definedName>
    <definedName name="AustraliaSumSeriesLabel" localSheetId="8">DeathsTimeS!$NC$4</definedName>
    <definedName name="AustraliaSumSeriesLabel" localSheetId="7">TST!$MY$4</definedName>
    <definedName name="beta" localSheetId="1">myData!$A$2</definedName>
    <definedName name="betaAu" localSheetId="1">myData!$DQ$11</definedName>
    <definedName name="betaChina" localSheetId="1">myData!$DQ$15</definedName>
    <definedName name="betaGeneric" localSheetId="1">myData!$DQ$20</definedName>
    <definedName name="betaItaly" localSheetId="1">myData!$DQ$13</definedName>
    <definedName name="betaNSW" localSheetId="1">myData!$DQ$12</definedName>
    <definedName name="betaNSWUnknown" localSheetId="1">myData!$DQ$21</definedName>
    <definedName name="betaNZ" localSheetId="1">myData!$DQ$23</definedName>
    <definedName name="betaPodelta" localSheetId="1">myData!$F$2</definedName>
    <definedName name="betaPodeltaAu" localSheetId="1">myData!$DW$11</definedName>
    <definedName name="betaPodeltaChina" localSheetId="1">myData!$DW$15</definedName>
    <definedName name="betaPodeltaGeneric" localSheetId="1">myData!$DW$20</definedName>
    <definedName name="betaPodeltaItaly" localSheetId="1">myData!$DW$13</definedName>
    <definedName name="betaPodeltaNSW" localSheetId="1">myData!$DW$12</definedName>
    <definedName name="betaPodeltaNSWUnknown" localSheetId="1">myData!$DW$21</definedName>
    <definedName name="betaPodeltaNZ" localSheetId="1">myData!$DW$23</definedName>
    <definedName name="betaPodeltaSingapore" localSheetId="1">myData!$DW$18</definedName>
    <definedName name="betaPodeltaSKorea" localSheetId="1">myData!$DW$16</definedName>
    <definedName name="betaPodeltaTaiwan" localSheetId="1">myData!$DW$22</definedName>
    <definedName name="betaPodeltaTests" localSheetId="1">myData!$DW$19</definedName>
    <definedName name="betaPodeltaUK" localSheetId="1">myData!$DW$17</definedName>
    <definedName name="betaPodeltaUS" localSheetId="1">myData!$DW$14</definedName>
    <definedName name="betaSingapore" localSheetId="1">myData!$DQ$18</definedName>
    <definedName name="betaSKorea" localSheetId="1">myData!$DQ$16</definedName>
    <definedName name="betaTaiwan" localSheetId="1">myData!$DQ$22</definedName>
    <definedName name="betaTests" localSheetId="1">myData!$DQ$19</definedName>
    <definedName name="betaUK" localSheetId="1">myData!$DQ$17</definedName>
    <definedName name="betaUS" localSheetId="1">myData!$DQ$14</definedName>
    <definedName name="China100Cases" localSheetId="1">myData!ChinaCases OFFSET(tblData[China Cases Per Capita],MATCH(solvMsgs!MinCases,tblData[China Cases Per Capita],1),0,COUNT(tblData[China])-1,1)</definedName>
    <definedName name="China100Dates" localSheetId="1">tblData[China100Days] OFFSET(tblData[China100Days],MATCH(solvMsgs!MinCases,tblData[China Cases Per Capita],1),0,COUNTIF(tblData[China Cases Per Capita],"&gt;="&amp;solvMsgs!MinCases),1)</definedName>
    <definedName name="China100dt" localSheetId="1">myData!$ES$15</definedName>
    <definedName name="ChinaCases" localSheetId="1">OFFSET(tblData[[#Headers],[China Cases Per Capita]],1,0,COUNTIF(tblData[China],"&gt;0"),1)</definedName>
    <definedName name="ChinaDates" localSheetId="1">OFFSET(tblData[[#Headers],[Dates]],1,0,COUNTA(tblData[China]),1)</definedName>
    <definedName name="ChinaLabel" localSheetId="1">myData!$ET$15</definedName>
    <definedName name="ChinaLogi" localSheetId="1">OFFSET(tblData[[#Headers],[China LogiP(t) Per Capita]],MATCH(myData!StartDt2China,tblData[Dates],0),0,COUNTA(tblData[China LogiP(t)]),1)</definedName>
    <definedName name="ChinaLogiDates" localSheetId="1">OFFSET(tblData[[#Headers],[Dates]],MATCH(myData!StartDt2China,tblData[Dates],0),0,COUNTA(tblData[China LogiP(t)]),1)</definedName>
    <definedName name="ChinaPop" localSheetId="1">myData!$U$8</definedName>
    <definedName name="ChinaPopscale" localSheetId="1">myData!$U$9</definedName>
    <definedName name="ChinaSeries" localSheetId="1">myData!$EH$15</definedName>
    <definedName name="ChinaStart" localSheetId="1">myData!$DN$15</definedName>
    <definedName name="Countries" comment="List of Countries for running solver">solvMsgs!$E$1:$G$11</definedName>
    <definedName name="DateCol" localSheetId="7">OFFSET(TST!HeadRow,5,0,COUNTA(TST!$A:$A)-5,1)</definedName>
    <definedName name="DayFrom100">solvMsgs!$AB$2:$AB$61</definedName>
    <definedName name="Days100" localSheetId="16">OFFSET(solvMsgs!$AF$1,1,0,COUNTA(solvMsgs!$AB:$AB)-1,1)</definedName>
    <definedName name="DaysBack" localSheetId="16">solvMsgs!$AD$4</definedName>
    <definedName name="delta" localSheetId="1">myData!$B$2</definedName>
    <definedName name="deltaAu" localSheetId="1">myData!$DR$11</definedName>
    <definedName name="deltaChina" localSheetId="1">myData!$DR$15</definedName>
    <definedName name="deltaconstraint" localSheetId="1">myData!$B$3</definedName>
    <definedName name="deltaGeneric" localSheetId="1">myData!$DR$20</definedName>
    <definedName name="deltaItaly" localSheetId="1">myData!$DR$13</definedName>
    <definedName name="deltaNSW" localSheetId="1">myData!$DR$12</definedName>
    <definedName name="deltaNSWUnknown" localSheetId="1">myData!$DR$21</definedName>
    <definedName name="deltaNZ" localSheetId="1">myData!$DR$23</definedName>
    <definedName name="deltaSingapore" localSheetId="1">myData!$DR$18</definedName>
    <definedName name="deltaSKorea" localSheetId="1">myData!$DR$16</definedName>
    <definedName name="deltaTaiwan" localSheetId="1">myData!$DR$22</definedName>
    <definedName name="deltaTests" localSheetId="1">myData!$DR$19</definedName>
    <definedName name="deltaUK" localSheetId="1">myData!$DR$17</definedName>
    <definedName name="deltaUS" localSheetId="1">myData!$DR$14</definedName>
    <definedName name="Denmark100Cases" localSheetId="8">DeathsTimeS!DenmarkPCcases OFFSET(DeathsTimeS!DenmarkCapita,MATCH(solvMsgs!MinCases,DeathsTimeS!DenmarkPCcases,1)+1,0,COUNTA(DeathsTimeS!DenmarkPCcases),1)</definedName>
    <definedName name="Denmark100Cases" localSheetId="7">TST!DenmarkPCcases OFFSET(TST!DenmarkCapita,MATCH(solvMsgs!MinCases,TST!DenmarkPCcases,1)+1,0,COUNTA(TST!DenmarkPCcases),1)</definedName>
    <definedName name="Denmark100Days" localSheetId="8">OFFSET(DeathsTimeS!Denmark100Cases,0,-1)</definedName>
    <definedName name="Denmark100Days" localSheetId="7">OFFSET(TST!Denmark100Cases,0,-1)</definedName>
    <definedName name="Denmark100dt" localSheetId="8">INDEX(OFFSET(DeathsTimeS!$A:$A,11,0,COUNTA(DeathsTimeS!$A:$A),1),MATCH(solvMsgs!MinDeaths,DeathsTimeS!DenmarkPCcases,1),1)</definedName>
    <definedName name="Denmark100dt" localSheetId="7">INDEX(OFFSET(TST!$A:$A,10,0,COUNTA(TST!$A:$A),1),MATCH(solvMsgs!MinCases,TST!DenmarkPCcases,1),1)</definedName>
    <definedName name="DenmarkCapita" localSheetId="8">DeathsTimeS!$MY$10</definedName>
    <definedName name="DenmarkCapita" localSheetId="7">TST!$MM$9</definedName>
    <definedName name="DenmarkPCcases" localSheetId="8">OFFSET(DeathsTimeS!DenmarkCapita,1,0,DeathsTimeS!TSTDays+1,1)</definedName>
    <definedName name="DenmarkPCcases" localSheetId="7">OFFSET(TST!DenmarkCapita,1,0,TST!TSTDays+1,1)</definedName>
    <definedName name="DenmarkPopScale" localSheetId="8">DeathsTimeS!$MY$8</definedName>
    <definedName name="DenmarkPopScale" localSheetId="7">TST!$MM$8</definedName>
    <definedName name="DenmarkSeriesLabel" localSheetId="8">DeathsTimeS!$MY$4</definedName>
    <definedName name="DenmarkSeriesLabel" localSheetId="7">TST!$MM$4</definedName>
    <definedName name="GenCountry" localSheetId="1">myData!$Z$2</definedName>
    <definedName name="Generic100Cases" localSheetId="1">myData!GenericCases OFFSET(tblData[Generic Cases Per Capita],MATCH(solvMsgs!MinCases,tblData[Generic Cases Per Capita],1),0,COUNT(tblData[Generic])-1,1)</definedName>
    <definedName name="Generic100Dates" localSheetId="1">tblData[Generic100Days] OFFSET(tblData[Generic100Days],MATCH(solvMsgs!MinCases,tblData[Generic Cases Per Capita],1),0,COUNTIF(tblData[Generic Cases Per Capita],"&gt;="&amp;solvMsgs!MinCases),1)</definedName>
    <definedName name="Generic100dt" localSheetId="1">myData!$ES$20</definedName>
    <definedName name="Generic100Logi" localSheetId="1">myData!GenericLogi OFFSET(tblData[Generic LogiP(t) Per Capita],MATCH(solvMsgs!MinCases,tblData[Generic Cases Per Capita],1),0,COUNT(tblData[Dates]),1)</definedName>
    <definedName name="Generic100LogiDates" localSheetId="1">tblData[Generic100Days] OFFSET(tblData[[#Headers],[Generic100Days]],MATCH(solvMsgs!MinCases,tblData[Generic Cases Per Capita],1)+1,0,COUNT(tblData[Dates]),1)</definedName>
    <definedName name="GenericCases" localSheetId="1">OFFSET(tblData[[#Headers],[Generic Cases Per Capita]],MATCH(myData!StartDt2Generic,tblData[Dates],0)+0,0,COUNTIF(tblData[Generic],"&gt;0")+MATCH(MIN(tblData[Generic]),tblData[Generic],0)-MATCH(myData!StartDt2Generic,tblData[Dates],0)+1,1)</definedName>
    <definedName name="GenericDates" localSheetId="1">OFFSET(tblData[[#Headers],[Dates]],MATCH(MIN(tblData[Generic]),tblData[Generic],0)+1,0,COUNTIF(tblData[Generic],"&gt;0"),1)</definedName>
    <definedName name="GenericLabel" localSheetId="1">myData!$ET$20</definedName>
    <definedName name="GenericLogi" localSheetId="1">OFFSET(tblData[[#Headers],[Generic LogiP(t) Per Capita]],1+MATCH(myData!StartDt2Generic,tblData[Dates],0),0,COUNT(tblData[Generic LogiP(t)]),1)</definedName>
    <definedName name="GenericLogiDates" localSheetId="1">OFFSET(tblData[[#Headers],[Dates]],1+MATCH(myData!StartDt2Generic,tblData[Dates],0),0,COUNT(tblData[Generic LogiP(t)]),1)</definedName>
    <definedName name="GenericPop" localSheetId="1">myData!$Z$8</definedName>
    <definedName name="GenericPopscale" localSheetId="1">myData!$Z$9</definedName>
    <definedName name="GenericSeries" localSheetId="1">myData!$EH$20</definedName>
    <definedName name="GenericStart" localSheetId="1">myData!$DN$20</definedName>
    <definedName name="GenMatch" localSheetId="1">myData!$Y$2</definedName>
    <definedName name="GenName" localSheetId="1">myData!$AB$2</definedName>
    <definedName name="GenStart" localSheetId="1">myData!$AC$2</definedName>
    <definedName name="GenState" localSheetId="1">myData!$AA$2</definedName>
    <definedName name="Germany100Cases" localSheetId="8">DeathsTimeS!GermanyPCcases OFFSET(DeathsTimeS!GermanyCapita,MATCH(solvMsgs!MinCases,DeathsTimeS!GermanyPCcases,1)+1,0,COUNTA(DeathsTimeS!GermanyPCcases),1)</definedName>
    <definedName name="Germany100Cases" localSheetId="7">TST!GermanyPCcases OFFSET(TST!GermanyCapita,MATCH(solvMsgs!MinCases,TST!GermanyPCcases,1)+1,0,COUNTA(TST!GermanyPCcases),1)</definedName>
    <definedName name="Germany100Days" localSheetId="8">OFFSET(DeathsTimeS!Germany100Cases,0,-1)</definedName>
    <definedName name="Germany100Days" localSheetId="7">OFFSET(TST!Germany100Cases,0,-1)</definedName>
    <definedName name="Germany100dt" localSheetId="8">INDEX(OFFSET(DeathsTimeS!$A:$A,11,0,COUNTA(DeathsTimeS!$A:$A),1),MATCH(solvMsgs!MinDeaths,DeathsTimeS!GermanyPCcases,1),1)</definedName>
    <definedName name="Germany100dt" localSheetId="7">INDEX(OFFSET(TST!$A:$A,10,0,COUNTA(TST!$A:$A),1),MATCH(solvMsgs!MinCases,TST!GermanyPCcases,1),1)</definedName>
    <definedName name="GermanyCapita" localSheetId="8">DeathsTimeS!$MS$10</definedName>
    <definedName name="GermanyCapita" localSheetId="7">TST!$MK$9</definedName>
    <definedName name="GermanyPCcases" localSheetId="8">OFFSET(DeathsTimeS!GermanyCapita,1,0,DeathsTimeS!TSTDays+1,1)</definedName>
    <definedName name="GermanyPCcases" localSheetId="7">OFFSET(TST!GermanyCapita,1,0,TST!TSTDays+1,1)</definedName>
    <definedName name="GermanyPopScale" localSheetId="8">DeathsTimeS!$MS$8</definedName>
    <definedName name="GermanyPopScale" localSheetId="7">TST!$MK$8</definedName>
    <definedName name="GermanySeriesLabel" localSheetId="8">DeathsTimeS!$MS$4</definedName>
    <definedName name="GermanySeriesLabel" localSheetId="7">TST!$MK$4</definedName>
    <definedName name="GetTrueBlank">EVALUATE("Delete_UDF("&amp;CELL("address",TrueBlank!A1)&amp;")")</definedName>
    <definedName name="HeadRow" localSheetId="8">DeathsTimeS!$A$5:$LM$5</definedName>
    <definedName name="HeadRow" localSheetId="7">TST!$A$5:$LM$5</definedName>
    <definedName name="HisTableBL" localSheetId="1">OFFSET(myData!HisTableTL,COUNTA(myData!HisTableCol1All)-1,0,1,1)</definedName>
    <definedName name="HisTableCol1" localSheetId="1">OFFSET(myData!HisTableTL,1,0,COUNTA(myData!HisTableCol1All)-1,1)</definedName>
    <definedName name="HisTableCol1All" localSheetId="1">myData!$FO:$FO</definedName>
    <definedName name="HisTableItalyDates" localSheetId="1">OFFSET(myData!HisTableTL,MATCH("Italy",myData!HisTableCol1,0),13,MATCH("USA",myData!HisTableCol1,0)-MATCH("Italy",myData!HisTableCol1,0),1)</definedName>
    <definedName name="HisTableItalyLimit" localSheetId="1">OFFSET(myData!HisTableItalyDates,0,-5)</definedName>
    <definedName name="HisTableNSWDates" localSheetId="1">OFFSET(myData!HisTableTL,MATCH("NSW",myData!HisTableCol1,0),13,MATCH("Italy",myData!HisTableCol1,0)-MATCH("NSW",myData!HisTableCol1,0),1)</definedName>
    <definedName name="HisTableNSWLimit" localSheetId="1">OFFSET(myData!HisTableNSWDates,0,-5)</definedName>
    <definedName name="HisTableTaiwanDates" localSheetId="1">OFFSET(myData!HisTableTL,MATCH("Taiwan",myData!HisTableCol1,0),13,MATCH("USA",myData!HisTableCol1,0)-MATCH("Taiwan",myData!HisTableCol1,0),1)</definedName>
    <definedName name="HisTableTaiwanLimit" localSheetId="1">OFFSET(myData!HisTableTaiwanDates,0,-5)</definedName>
    <definedName name="HisTableTL" localSheetId="1">OFFSET(myData!$A$10,0,MATCH("History Of Fits Table",myData!$10:$10,0)-1,1,1)</definedName>
    <definedName name="HongKong100Cases" localSheetId="8">DeathsTimeS!HongKongPCcases OFFSET(DeathsTimeS!HongKongCapita,MATCH(solvMsgs!MinCases,DeathsTimeS!HongKongPCcases,1)+1,0,COUNTA(DeathsTimeS!HongKongPCcases),1)</definedName>
    <definedName name="HongKong100Cases" localSheetId="7">TST!HongKongPCcases OFFSET(TST!HongKongCapita,MATCH(solvMsgs!MinCases,TST!HongKongPCcases,1)+1,0,COUNTA(TST!HongKongPCcases),1)</definedName>
    <definedName name="HongKong100Days" localSheetId="8">OFFSET(DeathsTimeS!HongKong100Cases,0,-1)</definedName>
    <definedName name="HongKong100Days" localSheetId="7">OFFSET(TST!HongKong100Cases,0,-1)</definedName>
    <definedName name="HongKong100dt" localSheetId="8">INDEX(OFFSET(DeathsTimeS!$A:$A,11,0,COUNTA(DeathsTimeS!$A:$A),1),MATCH(solvMsgs!MinDeaths,DeathsTimeS!HongKongPCcases,1),1)</definedName>
    <definedName name="HongKong100dt" localSheetId="7">INDEX(OFFSET(TST!$A:$A,10,0,COUNTA(TST!$A:$A),1),MATCH(solvMsgs!MinCases,TST!HongKongPCcases,1),1)</definedName>
    <definedName name="HongKongCapita" localSheetId="8">DeathsTimeS!$NI$10</definedName>
    <definedName name="HongKongCapita" localSheetId="7">TST!$NG$9</definedName>
    <definedName name="HongKongPCcases" localSheetId="8">OFFSET(DeathsTimeS!HongKongCapita,1,0,DeathsTimeS!TSTDays+1,1)</definedName>
    <definedName name="HongKongPCcases" localSheetId="7">OFFSET(TST!HongKongCapita,1,0,TST!TSTDays+1,1)</definedName>
    <definedName name="HongKongPopScale" localSheetId="8">DeathsTimeS!$NI$8</definedName>
    <definedName name="HongKongPopScale" localSheetId="7">TST!$NG$8</definedName>
    <definedName name="HongKongSeriesLabel" localSheetId="8">DeathsTimeS!$NI$4</definedName>
    <definedName name="HongKongSeriesLabel" localSheetId="7">TST!$NG$4</definedName>
    <definedName name="Hubei100Cases" localSheetId="8">DeathsTimeS!HubeiPCcases OFFSET(DeathsTimeS!HubeiCapita,MATCH(solvMsgs!MinCases,DeathsTimeS!HubeiPCcases,1)+1,0,COUNTA(DeathsTimeS!HubeiPCcases),1)</definedName>
    <definedName name="Hubei100Cases" localSheetId="7">TST!HubeiPCcases OFFSET(TST!HubeiCapita,MATCH(solvMsgs!MinCases,TST!HubeiPCcases,1)+1,0,COUNTA(TST!HubeiPCcases),1)</definedName>
    <definedName name="Hubei100Days" localSheetId="8">OFFSET(DeathsTimeS!Hubei100Cases,0,-1)</definedName>
    <definedName name="Hubei100Days" localSheetId="7">OFFSET(TST!Hubei100Cases,0,-1)</definedName>
    <definedName name="Hubei100dt" localSheetId="8">INDEX(OFFSET(DeathsTimeS!$A:$A,11,0,COUNTA(DeathsTimeS!$A:$A),1),MATCH(solvMsgs!MinDeaths,DeathsTimeS!HubeiPCcases,1),1)</definedName>
    <definedName name="Hubei100dt" localSheetId="7">INDEX(OFFSET(TST!$A:$A,10,0,COUNTA(TST!$A:$A),1),MATCH(solvMsgs!MinCases,TST!HubeiPCcases,1),1)</definedName>
    <definedName name="HubeiCapita" localSheetId="8">DeathsTimeS!$NG$10</definedName>
    <definedName name="HubeiCapita" localSheetId="7">TST!$NE$9</definedName>
    <definedName name="HubeiPCcases" localSheetId="8">OFFSET(DeathsTimeS!HubeiCapita,1,0,DeathsTimeS!TSTDays+1,1)</definedName>
    <definedName name="HubeiPCcases" localSheetId="7">OFFSET(TST!HubeiCapita,1,0,TST!TSTDays+1,1)</definedName>
    <definedName name="HubeiPopScale" localSheetId="8">DeathsTimeS!$NG$8</definedName>
    <definedName name="HubeiPopScale" localSheetId="7">TST!$NE$8</definedName>
    <definedName name="HubeiSeriesLabel" localSheetId="8">DeathsTimeS!$NG$4</definedName>
    <definedName name="HubeiSeriesLabel" localSheetId="7">TST!$NE$4</definedName>
    <definedName name="Iran100Cases" localSheetId="8">DeathsTimeS!IranPCcases OFFSET(DeathsTimeS!IranCapita,MATCH(solvMsgs!MinCases,DeathsTimeS!IranPCcases,1)+1,0,COUNTA(DeathsTimeS!IranPCcases),1)</definedName>
    <definedName name="Iran100Cases" localSheetId="7">TST!IranPCcases OFFSET(TST!IranCapita,MATCH(solvMsgs!MinCases,TST!IranPCcases,1)+1,0,COUNTA(TST!IranPCcases),1)</definedName>
    <definedName name="Iran100Days" localSheetId="8">OFFSET(DeathsTimeS!Iran100Cases,0,-1)</definedName>
    <definedName name="Iran100Days" localSheetId="7">OFFSET(TST!Iran100Cases,0,-1)</definedName>
    <definedName name="Iran100dt" localSheetId="8">INDEX(OFFSET(DeathsTimeS!$A:$A,11,0,COUNTA(DeathsTimeS!$A:$A),1),MATCH(solvMsgs!MinDeaths,DeathsTimeS!IranPCcases,1),1)</definedName>
    <definedName name="Iran100dt" localSheetId="7">INDEX(OFFSET(TST!$A:$A,10,0,COUNTA(TST!$A:$A),1),MATCH(solvMsgs!MinCases,TST!IranPCcases,1),1)</definedName>
    <definedName name="IranCapita" localSheetId="8">DeathsTimeS!$LU$10</definedName>
    <definedName name="IranCapita" localSheetId="7">TST!$LU$9</definedName>
    <definedName name="IranPCcases" localSheetId="8">OFFSET(DeathsTimeS!IranCapita,1,0,DeathsTimeS!TSTDays+1,1)</definedName>
    <definedName name="IranPCcases" localSheetId="7">OFFSET(TST!IranCapita,1,0,TST!TSTDays+1,1)</definedName>
    <definedName name="IranPopScale" localSheetId="8">DeathsTimeS!$LU$8</definedName>
    <definedName name="IranPopScale" localSheetId="7">TST!$LU$8</definedName>
    <definedName name="IranSeriesLabel" localSheetId="8">DeathsTimeS!$LU$4</definedName>
    <definedName name="IranSeriesLabel" localSheetId="7">TST!$LU$4</definedName>
    <definedName name="Ireland100Cases" localSheetId="8">DeathsTimeS!IrelandPCcases OFFSET(DeathsTimeS!IrelandCapita,MATCH(solvMsgs!MinCases,DeathsTimeS!IrelandPCcases,1)+1,0,COUNTA(DeathsTimeS!IrelandPCcases),1)</definedName>
    <definedName name="Ireland100Cases" localSheetId="7">TST!IrelandPCcases OFFSET(TST!IrelandCapita,MATCH(solvMsgs!MinCases,TST!IrelandPCcases,1)+1,0,COUNTA(TST!IrelandPCcases),1)</definedName>
    <definedName name="Ireland100Days" localSheetId="8">OFFSET(DeathsTimeS!Ireland100Cases,0,-1)</definedName>
    <definedName name="Ireland100Days" localSheetId="7">OFFSET(TST!Ireland100Cases,0,-1)</definedName>
    <definedName name="Ireland100dt" localSheetId="8">INDEX(OFFSET(DeathsTimeS!$A:$A,11,0,COUNTA(DeathsTimeS!$A:$A),1),MATCH(solvMsgs!MinDeaths,DeathsTimeS!IrelandPCcases,1),1)</definedName>
    <definedName name="Ireland100dt" localSheetId="7">INDEX(OFFSET(TST!$A:$A,10,0,COUNTA(TST!$A:$A),1),MATCH(solvMsgs!MinCases,TST!IrelandPCcases,1),1)</definedName>
    <definedName name="IrelandCapita" localSheetId="8">DeathsTimeS!$MU$10</definedName>
    <definedName name="IrelandCapita" localSheetId="7">TST!$MS$9</definedName>
    <definedName name="IrelandPCcases" localSheetId="8">OFFSET(DeathsTimeS!IrelandCapita,1,0,DeathsTimeS!TSTDays+1,1)</definedName>
    <definedName name="IrelandPCcases" localSheetId="7">OFFSET(TST!IrelandCapita,1,0,TST!TSTDays+1,1)</definedName>
    <definedName name="IrelandPopScale" localSheetId="8">DeathsTimeS!$MU$8</definedName>
    <definedName name="IrelandPopScale" localSheetId="7">TST!$MS$8</definedName>
    <definedName name="IrelandSeriesLabel" localSheetId="8">DeathsTimeS!$MU$4</definedName>
    <definedName name="IrelandSeriesLabel" localSheetId="7">TST!$MS$4</definedName>
    <definedName name="Italy100Cases" localSheetId="8">DeathsTimeS!ItalyPCcases OFFSET(DeathsTimeS!ItalyCapita,MATCH(solvMsgs!MinCases,DeathsTimeS!ItalyPCcases,1)+1,0,COUNTA(DeathsTimeS!ItalyPCcases),1)</definedName>
    <definedName name="Italy100Cases" localSheetId="1">myData!ItalyCases OFFSET(tblData[Italy Cases per Capita],MATCH(solvMsgs!MinCases,tblData[Italy Cases per Capita],1),0,COUNT(tblData[Dates]),1)</definedName>
    <definedName name="Italy100Cases" localSheetId="7">TST!ItalyPCcases OFFSET(TST!ItalyCapita,MATCH(solvMsgs!MinCases,TST!ItalyPCcases,1)+1,0,COUNTA(TST!ItalyPCcases),1)</definedName>
    <definedName name="Italy100Dates" localSheetId="1">tblData[Italy100Days] OFFSET(tblData[Italy100Days],MATCH(solvMsgs!MinCases,tblData[Italy Cases per Capita],1),0,COUNT(tblData[Dates],0),1)</definedName>
    <definedName name="Italy100Days" localSheetId="8">OFFSET(DeathsTimeS!Italy100Cases,0,-1)</definedName>
    <definedName name="Italy100Days" localSheetId="7">OFFSET(TST!Italy100Cases,0,-1)</definedName>
    <definedName name="Italy100dt" localSheetId="8">INDEX(OFFSET(DeathsTimeS!$A:$A,11,0,COUNTA(DeathsTimeS!$A:$A),1),MATCH(solvMsgs!MinDeaths,DeathsTimeS!ItalyPCcases,1),1)</definedName>
    <definedName name="Italy100dt" localSheetId="1">myData!$ES$13</definedName>
    <definedName name="Italy100dt" localSheetId="7">INDEX(OFFSET(TST!$A:$A,10,0,COUNTA(TST!$A:$A),1),MATCH(solvMsgs!MinCases,TST!ItalyPCcases,1),1)</definedName>
    <definedName name="Italy100Logi" localSheetId="1">myData!ItalyLogi OFFSET(tblData[Italy LogiP(t) Per Capita],MATCH(solvMsgs!MinCases,tblData[Italy Cases per Capita],1),0,COUNT(tblData[Dates]),1)</definedName>
    <definedName name="Italy100LogiDates" localSheetId="1">tblData[Italy100Days] OFFSET(tblData[Italy100Days],MATCH(solvMsgs!MinCases,tblData[Italy Cases per Capita],1),0,COUNT(tblData[Dates]),1)</definedName>
    <definedName name="ItalyCapita" localSheetId="8">DeathsTimeS!$MK$10</definedName>
    <definedName name="ItalyCapita" localSheetId="7">TST!$MU$9</definedName>
    <definedName name="ItalyCases" localSheetId="1">OFFSET(tblData[[#Headers],[Italy Cases per Capita]],MATCH(myData!StartDt2Italy,tblData[Dates],0)+1,0,COUNTIF(tblData[Italy],"&gt;0")+MATCH(0,tblData[Italy],0)-MATCH(myData!StartDt2Italy,tblData[Dates],0),1)</definedName>
    <definedName name="ItalyDates" localSheetId="1">OFFSET(tblData[[#Headers],[Dates]],MATCH(myData!StartDt2Italy,tblData[Dates],0)+1,0,COUNTIF(tblData[Italy],"&gt;0")+MATCH(0,tblData[Italy],0)-MATCH(myData!StartDt2Italy,tblData[Dates],0),1)</definedName>
    <definedName name="ItalyLabel" localSheetId="1">myData!$ET$13</definedName>
    <definedName name="ItalyLogi" localSheetId="1">OFFSET(tblData[[#Headers],[Italy LogiP(t) Per Capita]],MATCH(myData!StartDt2Italy,tblData[Dates],0)+1,0,COUNTIF(tblData[Italy LogiP(t)],"&gt;0"),1)</definedName>
    <definedName name="ItalyLogiDates" localSheetId="1">OFFSET(tblData[[#Headers],[Dates]],MATCH(myData!StartDt2Italy,tblData[Dates],0)+1,0,COUNTIF(tblData[Italy LogiP(t)],"&gt;0"),1)</definedName>
    <definedName name="ItalyPCcases" localSheetId="8">OFFSET(DeathsTimeS!ItalyCapita,1,0,DeathsTimeS!TSTDays+1,1)</definedName>
    <definedName name="ItalyPCcases" localSheetId="7">OFFSET(TST!ItalyCapita,1,0,TST!TSTDays+1,1)</definedName>
    <definedName name="ItalyPop" localSheetId="1">myData!$M$8</definedName>
    <definedName name="ItalyPopScale" localSheetId="8">DeathsTimeS!$MK$8</definedName>
    <definedName name="ItalyPopscale" localSheetId="1">myData!$M$9</definedName>
    <definedName name="ItalyPopScale" localSheetId="7">TST!$MU$8</definedName>
    <definedName name="ItalySeries" localSheetId="1">myData!$EH$13</definedName>
    <definedName name="ItalySeriesLabel" localSheetId="8">DeathsTimeS!$MK$4</definedName>
    <definedName name="ItalySeriesLabel" localSheetId="7">TST!$MU$4</definedName>
    <definedName name="ItalyStart" localSheetId="1">myData!$DN$13</definedName>
    <definedName name="Japan100Cases" localSheetId="8">DeathsTimeS!JapanPCcases OFFSET(DeathsTimeS!JapanCapita,MATCH(solvMsgs!MinCases,DeathsTimeS!JapanPCcases,1)+1,0,COUNTA(DeathsTimeS!JapanPCcases),1)</definedName>
    <definedName name="Japan100Cases" localSheetId="7">TST!JapanPCcases OFFSET(TST!JapanCapita,MATCH(solvMsgs!MinCases,TST!JapanPCcases,1)+1,0,COUNTA(TST!JapanPCcases),1)</definedName>
    <definedName name="Japan100Days" localSheetId="8">OFFSET(TST!Japan100Cases,0,-1)</definedName>
    <definedName name="Japan100Days" localSheetId="7">OFFSET(TST!Japan100Cases,0,-1)</definedName>
    <definedName name="Japan100dt" localSheetId="8">INDEX(OFFSET(DeathsTimeS!$A:$A,11,0,COUNTA(DeathsTimeS!$A:$A),1),MATCH(solvMsgs!MinDeaths,DeathsTimeS!JapanPCcases,1),1)</definedName>
    <definedName name="Japan100dt" localSheetId="7">INDEX(OFFSET(TST!$A:$A,10,0,COUNTA(TST!$A:$A),1),MATCH(solvMsgs!MinCases,TST!JapanPCcases,1),1)</definedName>
    <definedName name="JapanCapita" localSheetId="8">DeathsTimeS!$LW$10</definedName>
    <definedName name="JapanCapita" localSheetId="7">TST!$LW$9</definedName>
    <definedName name="JapanPCcases" localSheetId="8">OFFSET(DeathsTimeS!JapanCapita,1,0,DeathsTimeS!TSTDays+1,1)</definedName>
    <definedName name="JapanPCcases" localSheetId="7">OFFSET(TST!JapanCapita,1,0,TST!TSTDays+1,1)</definedName>
    <definedName name="JapanPopScale" localSheetId="8">DeathsTimeS!$LW$8</definedName>
    <definedName name="JapanPopScale" localSheetId="7">TST!$LW$8</definedName>
    <definedName name="JapanSeriesLabel" localSheetId="8">DeathsTimeS!$LW$4</definedName>
    <definedName name="JapanSeriesLabel" localSheetId="7">TST!$LW$4</definedName>
    <definedName name="LastNDays" localSheetId="16">solvMsgs!$AD$3</definedName>
    <definedName name="lblHorizAxisDays" localSheetId="1">myData!$EF$6</definedName>
    <definedName name="lblVertLin" localSheetId="1">myData!$EF$8</definedName>
    <definedName name="lblVertLog" localSheetId="1">myData!$EF$7</definedName>
    <definedName name="LikelyKn" localSheetId="15">OFFSET(NSWLikely!$K$2,0,0,COUNTA(NSWLikely!$D:$D)-1,1)</definedName>
    <definedName name="LikelyUnkn" localSheetId="15">OFFSET(NSWLikely!$J$2,0,0,COUNTA(NSWLikely!$D:$D)-1,1)</definedName>
    <definedName name="LogestBNSW" localSheetId="1">myData!$GN$2</definedName>
    <definedName name="LogEstMNSW" localSheetId="1">myData!$GM$2</definedName>
    <definedName name="LogFormula" localSheetId="1">myData!$EI$3</definedName>
    <definedName name="MaxAusCases" localSheetId="1">myData!$EB$11</definedName>
    <definedName name="MaxNSWCases" localSheetId="1">myData!$EB$12</definedName>
    <definedName name="MinCases" localSheetId="16">solvMsgs!$AD$6</definedName>
    <definedName name="MinDeaths" localSheetId="16">solvMsgs!$AD$7</definedName>
    <definedName name="MinLastDateNoUS" localSheetId="1">myData!$ED$26</definedName>
    <definedName name="msqAu" localSheetId="1">myData!$DU$11</definedName>
    <definedName name="msqChina" localSheetId="1">myData!$DU$15</definedName>
    <definedName name="msqGeneric" localSheetId="1">myData!$DU$20</definedName>
    <definedName name="msqItaly" localSheetId="1">myData!$DU$13</definedName>
    <definedName name="msqNSW" localSheetId="1">myData!$DU$12</definedName>
    <definedName name="msqNSWUnknown" localSheetId="1">myData!$DU$21</definedName>
    <definedName name="msqNZ" localSheetId="1">myData!$DU$23</definedName>
    <definedName name="msqSingapore" localSheetId="1">myData!$DU$18</definedName>
    <definedName name="msqSKorea" localSheetId="1">myData!$DU$16</definedName>
    <definedName name="msqTaiwan" localSheetId="1">myData!$DU$22</definedName>
    <definedName name="msqTests" localSheetId="1">myData!$DU$19</definedName>
    <definedName name="msqUK" localSheetId="1">myData!$DU$17</definedName>
    <definedName name="msqUS" localSheetId="1">myData!$DU$14</definedName>
    <definedName name="mySolverPar" localSheetId="1">myData!$A$2:$E$2</definedName>
    <definedName name="NewSouthWales100Cases" localSheetId="8">DeathsTimeS!NewSouthWalesPCcases OFFSET(DeathsTimeS!NewSouthWalesCapita,MATCH(solvMsgs!MinCases,DeathsTimeS!NewSouthWalesPCcases,1)+1,0,COUNTA(DeathsTimeS!NewSouthWalesPCcases),1)</definedName>
    <definedName name="NewSouthWales100Cases" localSheetId="7">TST!NewSouthWalesPCcases OFFSET(TST!NewSouthWalesCapita,MATCH(solvMsgs!MinCases,TST!NewSouthWalesPCcases,1)+1,0,COUNTA(TST!NewSouthWalesPCcases),1)</definedName>
    <definedName name="NewSouthWales100Days" localSheetId="8">OFFSET(DeathsTimeS!NewSouthWales100Cases,0,-1)</definedName>
    <definedName name="NewSouthWales100Days" localSheetId="7">OFFSET(TST!NewSouthWales100Cases,0,-1)</definedName>
    <definedName name="NewSouthWales100dt" localSheetId="8">INDEX(OFFSET(DeathsTimeS!$A:$A,11,0,COUNTA(DeathsTimeS!$A:$A),1),MATCH(solvMsgs!MinDeaths,DeathsTimeS!NewSouthWalesPCcases,1),1)</definedName>
    <definedName name="NewSouthWales100dt" localSheetId="7">INDEX(OFFSET(TST!$A:$A,10,0,COUNTA(TST!$A:$A),1),MATCH(solvMsgs!MinCases,TST!NewSouthWalesPCcases,1),1)</definedName>
    <definedName name="NewSouthWalesCapita" localSheetId="8">DeathsTimeS!$MG$10</definedName>
    <definedName name="NewSouthWalesCapita" localSheetId="7">TST!$NA$9</definedName>
    <definedName name="NewSouthWalesPCcases" localSheetId="8">OFFSET(DeathsTimeS!NewSouthWalesCapita,1,0,DeathsTimeS!TSTDays+1,1)</definedName>
    <definedName name="NewSouthWalesPCcases" localSheetId="7">OFFSET(TST!NewSouthWalesCapita,1,0,TST!TSTDays+1,1)</definedName>
    <definedName name="NewSouthWalesPopScale" localSheetId="8">DeathsTimeS!$MG$8</definedName>
    <definedName name="NewSouthWalesPopScale" localSheetId="7">TST!$NA$8</definedName>
    <definedName name="NewSouthWalesSeriesLabel" localSheetId="8">DeathsTimeS!$MG$4</definedName>
    <definedName name="NewSouthWalesSeriesLabel" localSheetId="7">TST!$NA$4</definedName>
    <definedName name="NewYork100Cases" localSheetId="8">DeathsTimeS!NewYorkPCcases OFFSET(DeathsTimeS!NewYorkCapita,MATCH(solvMsgs!MinCases,DeathsTimeS!NewYorkPCcases,1)+1,0,COUNTA(DeathsTimeS!NewYorkPCcases),1)</definedName>
    <definedName name="NewYork100Days" localSheetId="8">OFFSET(DeathsTimeS!NewYork100Cases,0,-1)</definedName>
    <definedName name="NewYork100dt" localSheetId="8">INDEX(OFFSET(DeathsTimeS!$A:$A,11,0,COUNTA(DeathsTimeS!$A:$A),1),MATCH(solvMsgs!MinDeaths,DeathsTimeS!NewYorkPCcases,1),1)</definedName>
    <definedName name="NewYorkCapita" localSheetId="8">DeathsTimeS!$MI$10</definedName>
    <definedName name="NewYorkPCcases" localSheetId="8">OFFSET(DeathsTimeS!NewYorkCapita,1,0,DeathsTimeS!TSTDays+1,1)</definedName>
    <definedName name="NewYorkPopScale" localSheetId="8">DeathsTimeS!$MI$8</definedName>
    <definedName name="NewYorkSeriesLabel" localSheetId="8">DeathsTimeS!$MI$4</definedName>
    <definedName name="NorthernTerritory100Cases" localSheetId="8">DeathsTimeS!NorthernTerritoryPCcases OFFSET(DeathsTimeS!NorthernTerritoryCapita,MATCH(solvMsgs!MinCases,DeathsTimeS!NorthernTerritoryPCcases,1)+1,0,COUNTA(DeathsTimeS!NorthernTerritoryPCcases),1)</definedName>
    <definedName name="NorthernTerritory100Cases" localSheetId="7">TST!NorthernTerritoryPCcases OFFSET(TST!NorthernTerritoryCapita,MATCH(solvMsgs!MinCases,TST!NorthernTerritoryPCcases,1)+1,0,COUNTA(TST!NorthernTerritoryPCcases),1)</definedName>
    <definedName name="NorthernTerritory100Days" localSheetId="8">OFFSET(DeathsTimeS!NorthernTerritory100Cases,0,-1)</definedName>
    <definedName name="NorthernTerritory100Days" localSheetId="7">OFFSET(TST!NorthernTerritory100Cases,0,-1)</definedName>
    <definedName name="NorthernTerritory100dt" localSheetId="8">INDEX(OFFSET(DeathsTimeS!$A:$A,11,0,COUNTA(DeathsTimeS!$A:$A),1),MATCH(solvMsgs!MinDeaths,DeathsTimeS!NorthernTerritoryPCcases,1),1)</definedName>
    <definedName name="NorthernTerritory100dt" localSheetId="7">INDEX(OFFSET(TST!$A:$A,10,0,COUNTA(TST!$A:$A),1),MATCH(solvMsgs!MinCases,TST!NorthernTerritoryPCcases,1),1)</definedName>
    <definedName name="NorthernTerritoryCapita" localSheetId="8">DeathsTimeS!$MO$10</definedName>
    <definedName name="NorthernTerritoryCapita" localSheetId="7">TST!$MG$9</definedName>
    <definedName name="NorthernTerritoryPCcases" localSheetId="8">OFFSET(DeathsTimeS!NorthernTerritoryCapita,1,0,DeathsTimeS!TSTDays+1,1)</definedName>
    <definedName name="NorthernTerritoryPCcases" localSheetId="7">OFFSET(TST!NorthernTerritoryCapita,1,0,TST!TSTDays+1,1)</definedName>
    <definedName name="NorthernTerritoryPopScale" localSheetId="8">DeathsTimeS!$MO$8</definedName>
    <definedName name="NorthernTerritoryPopScale" localSheetId="7">TST!$MG$8</definedName>
    <definedName name="NorthernTerritorySeriesLabel" localSheetId="8">DeathsTimeS!$MO$4</definedName>
    <definedName name="NorthernTerritorySeriesLabel" localSheetId="7">TST!$MG$4</definedName>
    <definedName name="NotifDates" localSheetId="15">OFFSET(NSWLikely!$D$2,0,0,COUNTA(NSWLikely!$D:$D)-1,1)</definedName>
    <definedName name="NSW100Cases" localSheetId="1">myData!NSWCases OFFSET(tblData[NSW Cases per Capita],MATCH(solvMsgs!MinCases,tblData[NSW Cases per Capita],1),0,COUNT(tblData[NSW]),1)</definedName>
    <definedName name="NSW100Dates" localSheetId="1">tblData[NSW100Days] OFFSET(tblData[NSW100Days],MATCH(solvMsgs!MinCases,tblData[NSW Cases per Capita],1),0,COUNT(tblData[Dates],0),1)</definedName>
    <definedName name="NSW100dt" localSheetId="1">myData!$ES$12</definedName>
    <definedName name="NSW100Logi" localSheetId="1">myData!NSWLogi OFFSET(tblData[Nsw LogiP(t) Per Capita],MATCH(solvMsgs!MinCases,tblData[NSW Cases per Capita],1),0,COUNT(tblData[NSW])-1,1)</definedName>
    <definedName name="NSW100LogiDates" localSheetId="1">tblData[NSW100Days] OFFSET(tblData[[#Headers],[NSW100Days]],MATCH(solvMsgs!MinCases,tblData[NSW Cases per Capita],1)+1,0,COUNT(tblData[Nsw LogiP(t) Per Capita]),1)</definedName>
    <definedName name="NSWBadCompare" localSheetId="1">myData!$P$7</definedName>
    <definedName name="NSWCases" localSheetId="1">OFFSET(tblData[[#Headers],[NSW Cases per Capita]],MATCH(myData!StartDt2NSW,tblData[Dates],0)+1,0,COUNTIF(tblData[NSW],"&gt;0")+MATCH(0,tblData[NSW],0)-MATCH(myData!StartDt2NSW,tblData[Dates],0),1)</definedName>
    <definedName name="NSWDates" localSheetId="1">OFFSET(tblData[[#Headers],[Dates]],MATCH(myData!StartDt2NSW,tblData[Dates],0)+1,0,COUNTIF(tblData[NSW],"&gt;0"),1)</definedName>
    <definedName name="NSWDayNo" localSheetId="1">OFFSET(tblData[[#Headers],[Day '# NSW]],MATCH(0,tblData[NSW],0)+1,0,COUNT(tblData[NSW])-1,1)</definedName>
    <definedName name="NSWKnLcl" localSheetId="1">OFFSET(tblNSWKnown[[#Headers],[Known Locally]],MATCH(myData!StartDt2NSWUnknown,tblNSWKnown[Date],0)+1,0,COUNTIF(tblNSWKnown[Total Local],"&gt;0"),1)</definedName>
    <definedName name="NSWKnLclBl" localSheetId="1">ROWS(tblNSWKnown[Known Locally])-COUNT(tblNSWKnown[Known Locally])</definedName>
    <definedName name="NSWKnLclDt" localSheetId="1">OFFSET(tblNSWKnown[[#Headers],[Date]],MATCH(myData!StartDt2NSWUnknown,tblNSWKnown[Date],0)+1,0,COUNTIF(tblNSWKnown[Total Local],"&gt;0"),1)</definedName>
    <definedName name="NSWLabel" localSheetId="1">myData!$ET$12</definedName>
    <definedName name="NSWLogest" localSheetId="1">OFFSET(tblData[[#Headers],[NSW Cases LogEst]],MATCH(0,tblData[NSW],0)+1,0,COUNTA(tblData[Dates])-MATCH(0,tblData[NSW],0),1)</definedName>
    <definedName name="NSWLogestB" localSheetId="1">myData!$AR$2</definedName>
    <definedName name="NSWLogestLabel" localSheetId="1">myData!$AS$6</definedName>
    <definedName name="NSWLogestM" localSheetId="1">myData!$AQ$2</definedName>
    <definedName name="NSWLogestmsq" localSheetId="1">myData!$AU$8</definedName>
    <definedName name="NSWLogestR2" localSheetId="1">myData!$AQ$4</definedName>
    <definedName name="NSWLogi" localSheetId="1">OFFSET(tblData[[#Headers],[Nsw LogiP(t) Per Capita]],MATCH(myData!StartDt2NSW,tblData[Dates],0)+1,0,COUNT(tblData[NSW LogiP(t)]),1)</definedName>
    <definedName name="NSWLogiDates" localSheetId="1">OFFSET(tblData[[#Headers],[Dates]],MATCH(myData!StartDt2NSW,tblData[Dates],0)+1,0,COUNT(tblData[Nsw LogiP(t) Per Capita]),1)</definedName>
    <definedName name="NSWMaxCasespc" localSheetId="1">myData!$EK$12</definedName>
    <definedName name="NSWpop" comment="NSW population" localSheetId="1">myData!$E$8</definedName>
    <definedName name="NSWpopscale" localSheetId="1">myData!$E$9</definedName>
    <definedName name="NSWSeries" localSheetId="1">myData!$EH$12</definedName>
    <definedName name="nswstart" localSheetId="1">myData!$DN$12</definedName>
    <definedName name="NSWTtlLcl" localSheetId="1">OFFSET(tblNSWKnown[[#Headers],[Total Local]],MATCH(myData!StartDt2NSWUnknown,tblNSWKnown[Date],0)+1,0,COUNTIF(tblNSWKnown[Total Local],"&gt;0"),1)</definedName>
    <definedName name="NSWTtlLclDt" localSheetId="1">myData!NSWKnLclDt</definedName>
    <definedName name="NSWTtlLclLogi" localSheetId="1">OFFSET(tblNSWKnown[[#Headers],[NSW Unknown Logi P(t)]],MATCH(myData!StartDt2NSWUnknown,tblNSWKnown[Date],0)+1,0,COUNTIF(tblNSWKnown[NSW Unknown Logi P(t)],"&gt;0"),1)</definedName>
    <definedName name="NSWTtlLclLogiDt" localSheetId="1">OFFSET(tblNSWKnown[[#Headers],[Date]],MATCH(myData!StartDt2NSWUnknown,tblNSWKnown[Date],0)+1,0,COUNTIF(tblNSWKnown[NSW Unknown Logi P(t)],"&gt;0"),1)</definedName>
    <definedName name="NSWUnKnLcl" localSheetId="1">OFFSET(tblNSWKnown[[#Headers],[Unknown Locally]],MATCH(myData!StartDt2NSWUnknown,tblNSWKnown[Date],0)+1,0,COUNTIF(tblNSWKnown[Total Local],"&gt;0"),1)</definedName>
    <definedName name="NSWUnKnLclDt" localSheetId="1">myData!NSWKnLclDt</definedName>
    <definedName name="NSWUnknownSeries" localSheetId="1">myData!$EH$21</definedName>
    <definedName name="NTpop" localSheetId="1">myData!$F$8</definedName>
    <definedName name="NZ100Cases" localSheetId="1">myData!NZCases OFFSET(tblData[NZ Cases per Capita],MATCH(solvMsgs!MinCases,tblData[NZ Cases per Capita],1),0,COUNT(tblData[Dates]),1)</definedName>
    <definedName name="NZ100Dates" localSheetId="1">tblData[NZ100Days] OFFSET(tblData[NZ100Days],MATCH(solvMsgs!MinCases,tblData[NZ Cases per Capita],1),0,COUNT(tblData[Dates],0),1)</definedName>
    <definedName name="NZ100dt" localSheetId="1">myData!$ES$23</definedName>
    <definedName name="NZ100Logi" localSheetId="1">myData!NZLogi OFFSET(tblData[NZ LogiP(t) Per Capita],MATCH(solvMsgs!MinCases,tblData[NZ Cases per Capita],1),0,COUNT(tblData[Dates]),1)</definedName>
    <definedName name="NZ100LogiDates" localSheetId="1">tblData[NZ100Days] OFFSET(tblData[NZ100Days],MATCH(solvMsgs!MinCases,tblData[NZ Cases per Capita],1),0,COUNT(tblData[Dates]),1)</definedName>
    <definedName name="NZCases" localSheetId="1">OFFSET(tblData[[#Headers],[NZ Cases per Capita]],MATCH(myData!StartDt2NZ,tblData[Dates],0)+1,0,COUNTIF(tblData[NZ],"&gt;0")+MATCH(0,tblData[NZ],0)-MATCH(myData!StartDt2NZ,tblData[Dates],0),1)</definedName>
    <definedName name="NZDates" localSheetId="1">OFFSET(tblData[[#Headers],[Dates]],MATCH(myData!StartDt2NZ,tblData[Dates],0)+1,0,COUNTIF(tblData[NZ],"&gt;0")+MATCH(0,tblData[NZ],0)-MATCH(myData!StartDt2NZ,tblData[Dates],0),1)</definedName>
    <definedName name="NZLabel" localSheetId="1">myData!$ET$23</definedName>
    <definedName name="NZLogi" localSheetId="1">OFFSET(tblData[[#Headers],[NZ LogiP(t) Per Capita]],MATCH(myData!StartDt2NZ,tblData[Dates],0)+1,0,COUNTIF(tblData[NZ LogiP(t)],"&gt;0"),1)</definedName>
    <definedName name="NZLogiDates" localSheetId="1">OFFSET(tblData[[#Headers],[Dates]],MATCH(myData!StartDt2NZ,tblData[Dates],0)+1,0,COUNTIF(tblData[NZ LogiP(t)],"&gt;0"),1)</definedName>
    <definedName name="NZPop" localSheetId="1">myData!$DA$8</definedName>
    <definedName name="NZPopscale" localSheetId="1">myData!$DA$9</definedName>
    <definedName name="NZSeries" localSheetId="1">myData!$EH$23</definedName>
    <definedName name="NZStart" localSheetId="1">myData!$DN$23</definedName>
    <definedName name="PerPerson" localSheetId="1">myData!$L$2</definedName>
    <definedName name="PerPersonLabel">myData!$L$3</definedName>
    <definedName name="Po" localSheetId="1">myData!$C$2</definedName>
    <definedName name="PoAu" localSheetId="1">myData!$DS$11</definedName>
    <definedName name="PoChina" localSheetId="1">myData!$DS$15</definedName>
    <definedName name="PoGeneric" localSheetId="1">myData!$DS$20</definedName>
    <definedName name="PoItaly" localSheetId="1">myData!$DS$13</definedName>
    <definedName name="PoNSW" localSheetId="1">myData!$DS$12</definedName>
    <definedName name="PoNSWUnknown" localSheetId="1">myData!$DS$21</definedName>
    <definedName name="PoNZ" localSheetId="1">myData!$DS$23</definedName>
    <definedName name="PopScaling" comment="Value of 1 applies population scaling so result is per 10m people" localSheetId="1">myData!$J$2</definedName>
    <definedName name="PoSingapore" localSheetId="1">myData!$DS$18</definedName>
    <definedName name="PoSKorea" localSheetId="1">myData!$DS$16</definedName>
    <definedName name="PoTaiwan" localSheetId="1">myData!$DS$22</definedName>
    <definedName name="PoTests" localSheetId="1">myData!$DS$19</definedName>
    <definedName name="PoUK" localSheetId="1">myData!$DS$17</definedName>
    <definedName name="PoUS" localSheetId="1">myData!$DS$14</definedName>
    <definedName name="Queensland100Cases" localSheetId="8">DeathsTimeS!QueenslandPCcases OFFSET(DeathsTimeS!QueenslandCapita,MATCH(solvMsgs!MinCases,DeathsTimeS!QueenslandPCcases,1)+1,0,COUNTA(DeathsTimeS!QueenslandPCcases),1)</definedName>
    <definedName name="Queensland100Cases" localSheetId="7">TST!QueenslandPCcases OFFSET(TST!QueenslandCapita,MATCH(solvMsgs!MinCases,TST!QueenslandPCcases,1)+1,0,COUNTA(TST!QueenslandPCcases),1)</definedName>
    <definedName name="Queensland100Days" localSheetId="8">OFFSET(DeathsTimeS!Queensland100Cases,0,-1)</definedName>
    <definedName name="Queensland100Days" localSheetId="7">OFFSET(TST!Queensland100Cases,0,-1)</definedName>
    <definedName name="Queensland100dt" localSheetId="8">INDEX(OFFSET(DeathsTimeS!$A:$A,11,0,COUNTA(DeathsTimeS!$A:$A),1),MATCH(solvMsgs!MinDeaths,DeathsTimeS!QueenslandPCcases,1),1)</definedName>
    <definedName name="Queensland100dt" localSheetId="7">INDEX(OFFSET(TST!$A:$A,10,0,COUNTA(TST!$A:$A),1),MATCH(solvMsgs!MinCases,TST!QueenslandPCcases,1),1)</definedName>
    <definedName name="QueenslandCapita" localSheetId="8">DeathsTimeS!$LY$10</definedName>
    <definedName name="QueenslandCapita" localSheetId="7">TST!$LY$9</definedName>
    <definedName name="QueenslandPCcases" localSheetId="8">OFFSET(DeathsTimeS!QueenslandCapita,1,0,DeathsTimeS!TSTDays+1,1)</definedName>
    <definedName name="QueenslandPCcases" localSheetId="7">OFFSET(TST!QueenslandCapita,1,0,TST!TSTDays+1,1)</definedName>
    <definedName name="QueenslandPopScale" localSheetId="8">DeathsTimeS!$LY$8</definedName>
    <definedName name="QueenslandPopScale" localSheetId="7">TST!$LY$8</definedName>
    <definedName name="QueenslandSeriesLabel" localSheetId="8">DeathsTimeS!$LY$4</definedName>
    <definedName name="QueenslandSeriesLabel" localSheetId="7">TST!$LY$4</definedName>
    <definedName name="RunRange" localSheetId="1">OFFSET(myData!RunTableTL,0,0,COUNTA(myData!$CH:$CH),COLUMN(myData!RunTableTR)-COLUMN(myData!RunTableTL)+1)</definedName>
    <definedName name="RunTableTL" localSheetId="1">myData!$DL$10</definedName>
    <definedName name="RunTableTR" localSheetId="1">myData!$EO$10</definedName>
    <definedName name="RunTimeAu" localSheetId="1">myData!$DM$11</definedName>
    <definedName name="Singapore100Cases" localSheetId="1">myData!SingaporeCases OFFSET(tblData[Singapore Cases Per Capita],MATCH(solvMsgs!MinCases,tblData[Singapore Cases Per Capita],1),0,COUNT(tblData[Singapore]),1)</definedName>
    <definedName name="Singapore100Dates" localSheetId="1">tblData[Singapore100Days] OFFSET(tblData[Singapore100Days],MATCH(solvMsgs!MinCases,tblData[Singapore Cases Per Capita],1),0,COUNT(tblData[Dates],0),1)</definedName>
    <definedName name="Singapore100dt" localSheetId="1">myData!$ES$18</definedName>
    <definedName name="Singapore100Logi" localSheetId="1">myData!SingaporeLogi OFFSET(tblData[Singapore LogiP(t) Per Capita],MATCH(solvMsgs!MinCases,tblData[Singapore Cases Per Capita],1),0,COUNT(tblData[Singapore])-1,1)</definedName>
    <definedName name="Singapore100LogiDates" localSheetId="1">tblData[Singapore100Days] OFFSET(tblData[[#Headers],[Singapore100Days]],MATCH(solvMsgs!MinCases,tblData[Singapore Cases Per Capita],1)+1,0,COUNT(tblData[Singapore LogiP(t) Per Capita]),1)</definedName>
    <definedName name="SingaporeCases" localSheetId="1">OFFSET(tblData[[#Headers],[Singapore Cases Per Capita]],MATCH(myData!StartDt2Singapore,tblData[Dates],0),0,COUNTIF(tblData[Singapore],"&gt;0")+MATCH(0,tblData[Singapore],0)-MATCH(myData!StartDt2Singapore,tblData[Dates],0)+1,1)</definedName>
    <definedName name="SingaporeDates" localSheetId="1">OFFSET(tblData[[#Headers],[Dates]],MATCH(myData!StartDt2Singapore,tblData[Dates],0)+1,0,COUNTIF(tblData[Singapore],"&gt;0")+MATCH(0,tblData[Singapore],0)-MATCH(myData!StartDt2Singapore,tblData[Dates],0),1)</definedName>
    <definedName name="SingaporeLabel" localSheetId="1">myData!$ET$18</definedName>
    <definedName name="SingaporeLogi" localSheetId="1">OFFSET(tblData[[#Headers],[Singapore LogiP(t) Per Capita]],MATCH(myData!StartDt2Singapore,tblData[Dates],0),0,COUNT(tblData[Singapore LogiP(t)]),1)</definedName>
    <definedName name="SingaporeLogiDates" localSheetId="1">OFFSET(tblData[[#Headers],[Dates]],MATCH(myData!StartDt2Singapore,tblData[Dates],0),0,COUNT(tblData[Singapore LogiP(t) Per Capita]),1)</definedName>
    <definedName name="SingaporePop" localSheetId="1">myData!$X$8</definedName>
    <definedName name="SingaporePopscale" localSheetId="1">myData!$X$9</definedName>
    <definedName name="SingaporeSeries" localSheetId="1">myData!$EH$18</definedName>
    <definedName name="SingaporeStart" localSheetId="1">myData!$DN$18</definedName>
    <definedName name="SKorea100Cases" localSheetId="1">myData!SKoreaCases OFFSET(tblData[SKorea Cases Per Capita],MATCH(solvMsgs!MinCases,tblData[SKorea Cases Per Capita],1),0,100,1)</definedName>
    <definedName name="SKorea100Dates" localSheetId="1">tblData[SKorea100Days] OFFSET(tblData[SKorea100Days],MATCH(solvMsgs!MinCases,tblData[SKorea Cases Per Capita],1),0,COUNT(tblData[Dates],0),1)</definedName>
    <definedName name="SKorea100dt" localSheetId="1">myData!$ES$16</definedName>
    <definedName name="SKorea100Logi" localSheetId="1">myData!SKoreaLogi OFFSET(tblData[Skorea LogiP(t) Per Capita],MATCH(solvMsgs!MinCases,tblData[SKorea Cases Per Capita],1),0,COUNT(tblData[SKorea])-1,1)</definedName>
    <definedName name="SKorea100LogiDates" localSheetId="1">tblData[SKorea100Days] OFFSET(tblData[[#Headers],[SKorea100Days]],MATCH(solvMsgs!MinCases,tblData[SKorea Cases Per Capita],1)+1,0,COUNT(tblData[Skorea LogiP(t) Per Capita]),1)</definedName>
    <definedName name="SKoreaCases" localSheetId="1">OFFSET(tblData[[#Headers],[SKorea Cases Per Capita]],MATCH(myData!StartDt2SKorea,tblData[Dates],0),0,COUNTIF(tblData[SKorea],"&gt;0")+MATCH(1,tblData[SKorea],0)-MATCH(myData!StartDt2SKorea,tblData[Dates],0),1)</definedName>
    <definedName name="SKoreaDates" localSheetId="1">OFFSET(tblData[[#Headers],[Dates]],MATCH(myData!StartDt2SKorea,tblData[Dates],0),0,COUNTIF(tblData[SKorea],"&gt;0")-MATCH(myData!StartDt2SKorea,tblData[Dates],0)+1,1)</definedName>
    <definedName name="SKoreaLabel" localSheetId="1">myData!$ET$16</definedName>
    <definedName name="SKoreaLogi" localSheetId="1">OFFSET(tblData[[#Headers],[Skorea LogiP(t) Per Capita]],MATCH(myData!StartDt2SKorea,tblData[Dates],0)+1,0,COUNTIF(tblData[SKorea LogiP(t)],"&gt;0"),1)</definedName>
    <definedName name="SKoreaLogiDates" localSheetId="1">OFFSET(tblData[[#Headers],[Dates]],MATCH(myData!StartDt2SKorea,tblData[Dates],0)+1,0,COUNTIF(tblData[SKorea LogiP(t)],"&gt;0"),1)</definedName>
    <definedName name="SKoreaPop" localSheetId="1">myData!$Q$8</definedName>
    <definedName name="SKoreaPopscale" localSheetId="1">myData!$Q$9</definedName>
    <definedName name="SKoreaSeries" localSheetId="1">myData!$EH$16</definedName>
    <definedName name="SKoreaStart" localSheetId="1">myData!$DN$16</definedName>
    <definedName name="solver_adj" localSheetId="1" hidden="1">myData!$DQ$23:$DS$23</definedName>
    <definedName name="solver_cvg" localSheetId="1" hidden="1">0.000001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myData!$C$2</definedName>
    <definedName name="solver_lhs2" localSheetId="1" hidden="1">myData!$A$2</definedName>
    <definedName name="solver_lhs3" localSheetId="1" hidden="1">myData!$F$2</definedName>
    <definedName name="solver_lhs4" localSheetId="1" hidden="1">myData!$B$2</definedName>
    <definedName name="solver_lhs5" localSheetId="1" hidden="1">myData!$AJ$2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4</definedName>
    <definedName name="solver_nwt" localSheetId="1" hidden="1">1</definedName>
    <definedName name="solver_opt" localSheetId="1" hidden="1">myData!$DU$23</definedName>
    <definedName name="solver_pre" localSheetId="1" hidden="1">0.000000000001</definedName>
    <definedName name="solver_rbv" localSheetId="1" hidden="1">1</definedName>
    <definedName name="solver_rel1" localSheetId="1" hidden="1">3</definedName>
    <definedName name="solver_rel2" localSheetId="1" hidden="1">3</definedName>
    <definedName name="solver_rel3" localSheetId="1" hidden="1">3</definedName>
    <definedName name="solver_rel4" localSheetId="1" hidden="1">3</definedName>
    <definedName name="solver_rel5" localSheetId="1" hidden="1">3</definedName>
    <definedName name="solver_rhs1" localSheetId="1" hidden="1">0.001</definedName>
    <definedName name="solver_rhs2" localSheetId="1" hidden="1">0.000000001</definedName>
    <definedName name="solver_rhs3" localSheetId="1" hidden="1">0</definedName>
    <definedName name="solver_rhs4" localSheetId="1" hidden="1">myData!$B$3</definedName>
    <definedName name="solver_rhs5" localSheetId="1" hidden="1">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SolverMsg">solvMsgs!$A$1:$B$21</definedName>
    <definedName name="SouthAfrica100Cases" localSheetId="8">DeathsTimeS!SouthAfricaPCcases OFFSET(DeathsTimeS!SouthAfricaCapita,MATCH(solvMsgs!MinCases,DeathsTimeS!SouthAfricaPCcases,1)+1,0,COUNTA(DeathsTimeS!SouthAfricaPCcases),1)</definedName>
    <definedName name="SouthAfrica100Cases" localSheetId="7">TST!SouthAfricaPCcases OFFSET(TST!SouthAfricaCapita,MATCH(solvMsgs!MinCases,TST!SouthAfricaPCcases,1)+1,0,COUNTA(TST!SouthAfricaPCcases),1)</definedName>
    <definedName name="SouthAfrica100Days" localSheetId="8">OFFSET(DeathsTimeS!SouthAfrica100Cases,0,-1)</definedName>
    <definedName name="SouthAfrica100Days" localSheetId="7">OFFSET(TST!SouthAfrica100Cases,0,-1)</definedName>
    <definedName name="SouthAfrica100dt" localSheetId="8">INDEX(OFFSET(DeathsTimeS!$A:$A,11,0,COUNTA(DeathsTimeS!$A:$A),1),MATCH(solvMsgs!MinDeaths,DeathsTimeS!SouthAfricaPCcases,1),1)</definedName>
    <definedName name="SouthAfrica100dt" localSheetId="7">INDEX(OFFSET(TST!$A:$A,10,0,COUNTA(TST!$A:$A),1),MATCH(solvMsgs!MinCases,TST!SouthAfricaPCcases,1),1)</definedName>
    <definedName name="SouthAfricaCapita" localSheetId="8">DeathsTimeS!$MQ$10</definedName>
    <definedName name="SouthAfricaCapita" localSheetId="7">TST!$MO$9</definedName>
    <definedName name="SouthAfricaPCcases" localSheetId="8">OFFSET(DeathsTimeS!SouthAfricaCapita,1,0,DeathsTimeS!TSTDays+1,1)</definedName>
    <definedName name="SouthAfricaPCcases" localSheetId="7">OFFSET(TST!SouthAfricaCapita,1,0,TST!TSTDays+1,1)</definedName>
    <definedName name="SouthAfricaPopScale" localSheetId="8">DeathsTimeS!$MQ$8</definedName>
    <definedName name="SouthAfricaPopScale" localSheetId="7">TST!$MO$8</definedName>
    <definedName name="SouthAfricaSeriesLabel" localSheetId="8">DeathsTimeS!$MQ$4</definedName>
    <definedName name="SouthAfricaSeriesLabel" localSheetId="7">TST!$MO$4</definedName>
    <definedName name="SouthAustralia100Cases" localSheetId="8">DeathsTimeS!SouthAustraliaPCcases OFFSET(DeathsTimeS!SouthAustraliaCapita,MATCH(solvMsgs!MinCases,DeathsTimeS!SouthAustraliaPCcases,1)+1,0,COUNTA(DeathsTimeS!SouthAustraliaPCcases),1)</definedName>
    <definedName name="SouthAustralia100Cases" localSheetId="7">TST!SouthAustraliaPCcases OFFSET(TST!SouthAustraliaCapita,MATCH(solvMsgs!MinCases,TST!SouthAustraliaPCcases,1)+1,0,COUNTA(TST!SouthAustraliaPCcases),1)</definedName>
    <definedName name="SouthAustralia100Days" localSheetId="8">OFFSET(DeathsTimeS!SouthAustralia100Cases,0,-1)</definedName>
    <definedName name="SouthAustralia100Days" localSheetId="7">OFFSET(TST!SouthAustralia100Cases,0,-1)</definedName>
    <definedName name="SouthAustralia100dt" localSheetId="8">INDEX(OFFSET(DeathsTimeS!$A:$A,11,0,COUNTA(DeathsTimeS!$A:$A),1),MATCH(solvMsgs!MinDeaths,DeathsTimeS!SouthAustraliaPCcases,1),1)</definedName>
    <definedName name="SouthAustralia100dt" localSheetId="7">INDEX(OFFSET(TST!$A:$A,10,0,COUNTA(TST!$A:$A),1),MATCH(solvMsgs!MinCases,TST!SouthAustraliaPCcases,1),1)</definedName>
    <definedName name="SouthAustraliaCapita" localSheetId="8">DeathsTimeS!$MC$10</definedName>
    <definedName name="SouthAustraliaCapita" localSheetId="7">TST!$MC$9</definedName>
    <definedName name="SouthAustraliaPCcases" localSheetId="8">OFFSET(DeathsTimeS!SouthAustraliaCapita,1,0,DeathsTimeS!TSTDays+1,1)</definedName>
    <definedName name="SouthAustraliaPCcases" localSheetId="7">OFFSET(TST!SouthAustraliaCapita,1,0,TST!TSTDays+1,1)</definedName>
    <definedName name="SouthAustraliaPopScale" localSheetId="8">DeathsTimeS!$MC$8</definedName>
    <definedName name="SouthAustraliaPopScale" localSheetId="7">TST!$MC$8</definedName>
    <definedName name="SouthAustraliaSeriesLabel" localSheetId="8">DeathsTimeS!$MC$4</definedName>
    <definedName name="SouthAustraliaSeriesLabel" localSheetId="7">TST!$MC$4</definedName>
    <definedName name="Spain100Cases" localSheetId="8">DeathsTimeS!SpainPCcases OFFSET(DeathsTimeS!SpainCapita,MATCH(solvMsgs!MinCases,DeathsTimeS!SpainPCcases,1)+1,0,COUNTA(DeathsTimeS!SpainPCcases),1)</definedName>
    <definedName name="Spain100Cases" localSheetId="7">TST!SpainPCcases OFFSET(TST!SpainCapita,MATCH(solvMsgs!MinCases,TST!SpainPCcases,1)+1,0,COUNTA(TST!SpainPCcases),1)</definedName>
    <definedName name="Spain100Days" localSheetId="8">OFFSET(DeathsTimeS!Spain100Cases,0,-1)</definedName>
    <definedName name="Spain100Days" localSheetId="7">OFFSET(TST!Spain100Cases,0,-1)</definedName>
    <definedName name="Spain100dt" localSheetId="8">INDEX(OFFSET(DeathsTimeS!$A:$A,11,0,COUNTA(DeathsTimeS!$A:$A),1),MATCH(solvMsgs!MinDeaths,DeathsTimeS!SpainPCcases,1),1)</definedName>
    <definedName name="Spain100dt" localSheetId="7">INDEX(OFFSET(TST!$A:$A,10,0,COUNTA(TST!$A:$A),1),MATCH(solvMsgs!MinCases,TST!SpainPCcases,1),1)</definedName>
    <definedName name="SpainCapita" localSheetId="8">DeathsTimeS!$LQ$10</definedName>
    <definedName name="SpainCapita" localSheetId="7">TST!$LQ$9</definedName>
    <definedName name="SpainPCcases" localSheetId="8">OFFSET(DeathsTimeS!SpainCapita,1,0,DeathsTimeS!TSTDays+1,1)</definedName>
    <definedName name="SpainPCcases" localSheetId="7">OFFSET(TST!SpainCapita,1,0,TST!TSTDays+1,1)</definedName>
    <definedName name="SpainPopScale" localSheetId="8">DeathsTimeS!$LQ$8</definedName>
    <definedName name="SpainPopScale" localSheetId="7">TST!$LQ$8</definedName>
    <definedName name="SpainSeriesLabel" localSheetId="8">DeathsTimeS!$LQ$4</definedName>
    <definedName name="SpainSeriesLabel" localSheetId="7">TST!$LQ$4</definedName>
    <definedName name="StartDt2Au" localSheetId="1">myData!$DO$11</definedName>
    <definedName name="StartDt2China" localSheetId="1">myData!$DO$15</definedName>
    <definedName name="StartDt2Generic" localSheetId="1">myData!$DO$20</definedName>
    <definedName name="StartDt2Italy" localSheetId="1">myData!$DO$13</definedName>
    <definedName name="StartDt2NSW" localSheetId="1">myData!$DO$12</definedName>
    <definedName name="StartDt2NSWUnknown" localSheetId="1">myData!$DO$21</definedName>
    <definedName name="StartDt2NZ" localSheetId="1">myData!$DO$23</definedName>
    <definedName name="StartDt2Singapore" localSheetId="1">myData!$DO$18</definedName>
    <definedName name="StartDt2SKorea" localSheetId="1">myData!$DO$16</definedName>
    <definedName name="StartDt2Taiwan" localSheetId="1">myData!$DO$22</definedName>
    <definedName name="StartDt2Tests" localSheetId="1">myData!$DO$19</definedName>
    <definedName name="StartDt2UK" localSheetId="1">myData!$DO$17</definedName>
    <definedName name="StartDt2US" localSheetId="1">myData!$DO$14</definedName>
    <definedName name="StartMethod" localSheetId="16">solvMsgs!$AD$2</definedName>
    <definedName name="Sweden100Cases" localSheetId="8">DeathsTimeS!SwedenPCcases OFFSET(DeathsTimeS!SwedenCapita,MATCH(solvMsgs!MinCases,DeathsTimeS!SwedenPCcases,1)+1,0,COUNTA(DeathsTimeS!SwedenPCcases),1)</definedName>
    <definedName name="Sweden100Cases" localSheetId="7">TST!SwedenPCcases OFFSET(TST!SwedenCapita,MATCH(solvMsgs!MinCases,TST!SwedenPCcases,1)+1,0,COUNTA(TST!SwedenPCcases),1)</definedName>
    <definedName name="Sweden100Days" localSheetId="8">OFFSET(DeathsTimeS!Sweden100Cases,0,-1)</definedName>
    <definedName name="Sweden100Days" localSheetId="7">OFFSET(TST!Sweden100Cases,0,-1)</definedName>
    <definedName name="Sweden100dt" localSheetId="8">INDEX(OFFSET(DeathsTimeS!$A:$A,11,0,COUNTA(DeathsTimeS!$A:$A),1),MATCH(solvMsgs!MinDeaths,DeathsTimeS!SwedenPCcases,1),1)</definedName>
    <definedName name="Sweden100dt" localSheetId="7">INDEX(OFFSET(TST!$A:$A,10,0,COUNTA(TST!$A:$A),1),MATCH(solvMsgs!MinCases,TST!SwedenPCcases,1),1)</definedName>
    <definedName name="SwedenCapita" localSheetId="8">DeathsTimeS!$LO$10</definedName>
    <definedName name="SwedenCapita" localSheetId="7">TST!$LO$9</definedName>
    <definedName name="SwedenPCcases" localSheetId="8">OFFSET(DeathsTimeS!SwedenCapita,1,0,DeathsTimeS!TSTDays+1,1)</definedName>
    <definedName name="SwedenPCcases" localSheetId="7">OFFSET(TST!SwedenCapita,1,0,TST!TSTDays+1,1)</definedName>
    <definedName name="SwedenPopScale" localSheetId="8">DeathsTimeS!$LO$8</definedName>
    <definedName name="SwedenPopScale" localSheetId="7">TST!$LO$8</definedName>
    <definedName name="SwedenSeriesLabel" localSheetId="8">DeathsTimeS!$LO$4</definedName>
    <definedName name="SwedenSeriesLabel" localSheetId="7">TST!$LO$4</definedName>
    <definedName name="tableGeneric" localSheetId="1">myData!$Z$1:$AC$2</definedName>
    <definedName name="Taiwan100Cases" localSheetId="8">DeathsTimeS!TaiwanPCcases OFFSET(DeathsTimeS!TaiwanCapita,MATCH(solvMsgs!MinCases,DeathsTimeS!TaiwanPCcases,1)+1,0,COUNTA(DeathsTimeS!TaiwanPCcases),1)</definedName>
    <definedName name="Taiwan100Cases" localSheetId="1">myData!TaiwanCases OFFSET(tblData[Taiwan Cases per Capita],MATCH(solvMsgs!MinCases,tblData[Taiwan Cases per Capita],1),0,COUNT(tblData[Dates]),1)</definedName>
    <definedName name="Taiwan100Cases" localSheetId="7">TST!TaiwanPCcases OFFSET(TST!TaiwanCapita,MATCH(solvMsgs!MinCases,TST!TaiwanPCcases,1)+1,0,COUNTA(TST!TaiwanPCcases),1)</definedName>
    <definedName name="Taiwan100Dates" localSheetId="1">tblData[Taiwan100Days] OFFSET(tblData[Taiwan100Days],MATCH(solvMsgs!MinCases,tblData[Taiwan Cases per Capita],1),0,COUNT(tblData[Dates],0),1)</definedName>
    <definedName name="Taiwan100Days" localSheetId="8">OFFSET(DeathsTimeS!Taiwan100Cases,0,-1)</definedName>
    <definedName name="Taiwan100Days" localSheetId="7">OFFSET(TST!Taiwan100Cases,0,-1)</definedName>
    <definedName name="Taiwan100dt" localSheetId="8">INDEX(OFFSET(DeathsTimeS!$A:$A,11,0,COUNTA(DeathsTimeS!$A:$A),1),MATCH(solvMsgs!MinDeaths,DeathsTimeS!TaiwanPCcases,1),1)</definedName>
    <definedName name="Taiwan100dt" localSheetId="1">myData!$ES$22</definedName>
    <definedName name="Taiwan100dt" localSheetId="7">INDEX(OFFSET(TST!$A:$A,10,0,COUNTA(TST!$A:$A),1),MATCH(solvMsgs!MinCases,TST!TaiwanPCcases,1),1)</definedName>
    <definedName name="Taiwan100Logi" localSheetId="1">myData!TaiwanLogi OFFSET(tblData[Taiwan LogiP(t) Per Capita],MATCH(solvMsgs!MinCases,tblData[Taiwan Cases per Capita],1),0,COUNT(tblData[Dates]),1)</definedName>
    <definedName name="Taiwan100LogiDates" localSheetId="1">tblData[Taiwan100Days] OFFSET(tblData[Taiwan100Days],MATCH(solvMsgs!MinCases,tblData[Taiwan Cases per Capita],1),0,COUNT(tblData[Dates]),1)</definedName>
    <definedName name="TaiwanBadCompare" localSheetId="1">myData!$M$7</definedName>
    <definedName name="TaiwanCapita" localSheetId="8">DeathsTimeS!$NE$10</definedName>
    <definedName name="TaiwanCapita" localSheetId="7">TST!$NC$9</definedName>
    <definedName name="TaiwanCases" localSheetId="1">OFFSET(tblData[[#Headers],[Taiwan Cases per Capita]],MATCH(myData!StartDt2Taiwan,tblData[Dates],0),0,COUNTIF(tblData[Taiwan],"&gt;0")+MATCH(1,tblData[Taiwan],0)-MATCH(myData!StartDt2Taiwan,tblData[Dates],0),1)</definedName>
    <definedName name="TaiwanDates" localSheetId="1">OFFSET(tblData[[#Headers],[Dates]],MATCH(myData!StartDt2Taiwan,tblData[Dates],0),0,COUNTIF(tblData[Taiwan],"&gt;0"),1)</definedName>
    <definedName name="TaiwanLabel" localSheetId="1">myData!$ET$22</definedName>
    <definedName name="TaiwanLogi" localSheetId="1">OFFSET(tblData[[#Headers],[Taiwan LogiP(t) Per Capita]],MATCH(myData!StartDt2Taiwan,tblData[Dates],0)+1,0,COUNTIF(tblData[Taiwan LogiP(t)],"&gt;0"),1)</definedName>
    <definedName name="TaiwanLogiDates" localSheetId="1">OFFSET(tblData[[#Headers],[Dates]],MATCH(myData!StartDt2Taiwan,tblData[Dates],0)+1,0,COUNTIF(tblData[Taiwan LogiP(t)],"&gt;0"),1)</definedName>
    <definedName name="TaiwanPCcases" localSheetId="8">OFFSET(DeathsTimeS!TaiwanCapita,1,0,DeathsTimeS!TSTDays+1,1)</definedName>
    <definedName name="TaiwanPCcases" localSheetId="7">OFFSET(TST!TaiwanCapita,1,0,TST!TSTDays+1,1)</definedName>
    <definedName name="TaiwanPop" localSheetId="1">myData!$CS$8</definedName>
    <definedName name="TaiwanPopScale" localSheetId="8">DeathsTimeS!$NE$8</definedName>
    <definedName name="TaiwanPopscale" localSheetId="1">myData!$CS$9</definedName>
    <definedName name="TaiwanPopScale" localSheetId="7">TST!$NC$8</definedName>
    <definedName name="TaiwanSeries" localSheetId="1">myData!$EH$22</definedName>
    <definedName name="TaiwanSeriesLabel" localSheetId="8">DeathsTimeS!$NE$4</definedName>
    <definedName name="TaiwanSeriesLabel" localSheetId="7">TST!$NC$4</definedName>
    <definedName name="TaiwanStart" localSheetId="1">myData!$DN$22</definedName>
    <definedName name="TasFix" localSheetId="2">OFFSET(StateCompare!$U$1,1,0,COUNTA(StateCompare!$U:$U)-1,1)</definedName>
    <definedName name="Tasmania100Cases" localSheetId="8">DeathsTimeS!TasmaniaPCcases OFFSET(DeathsTimeS!TasmaniaCapita,MATCH(solvMsgs!MinCases,DeathsTimeS!TasmaniaPCcases,1)+1,0,COUNTA(DeathsTimeS!TasmaniaPCcases),1)</definedName>
    <definedName name="Tasmania100Cases" localSheetId="7">TST!TasmaniaPCcases OFFSET(TST!TasmaniaCapita,MATCH(solvMsgs!MinCases,TST!TasmaniaPCcases,1)+1,0,COUNTA(TST!TasmaniaPCcases),1)</definedName>
    <definedName name="Tasmania100Days" localSheetId="8">OFFSET(DeathsTimeS!Tasmania100Cases,0,-1)</definedName>
    <definedName name="Tasmania100Days" localSheetId="7">OFFSET(TST!Tasmania100Cases,0,-1)</definedName>
    <definedName name="Tasmania100dt" localSheetId="8">INDEX(OFFSET(DeathsTimeS!$A:$A,11,0,COUNTA(DeathsTimeS!$A:$A),1),MATCH(solvMsgs!MinDeaths,DeathsTimeS!TasmaniaPCcases,1),1)</definedName>
    <definedName name="Tasmania100dt" localSheetId="7">INDEX(OFFSET(TST!$A:$A,10,0,COUNTA(TST!$A:$A),1),MATCH(solvMsgs!MinCases,TST!TasmaniaPCcases,1),1)</definedName>
    <definedName name="TasmaniaCapita" localSheetId="8">DeathsTimeS!$MA$10</definedName>
    <definedName name="TasmaniaCapita" localSheetId="7">TST!$MA$9</definedName>
    <definedName name="TasmaniaPCcases" localSheetId="8">OFFSET(DeathsTimeS!TasmaniaCapita,1,0,DeathsTimeS!TSTDays+1,1)</definedName>
    <definedName name="TasmaniaPCcases" localSheetId="7">OFFSET(TST!TasmaniaCapita,1,0,TST!TSTDays+1,1)</definedName>
    <definedName name="TasmaniaPopScale" localSheetId="8">DeathsTimeS!$MA$8</definedName>
    <definedName name="TasmaniaPopScale" localSheetId="7">TST!$MA$8</definedName>
    <definedName name="TasmaniaSeriesLabel" localSheetId="8">DeathsTimeS!$MA$4</definedName>
    <definedName name="TasmaniaSeriesLabel" localSheetId="7">TST!$MA$4</definedName>
    <definedName name="TasRaw" localSheetId="7">OFFSET(TST!$O$10,0,0,ROWS(TST!DateCol),1)</definedName>
    <definedName name="TestsCases" localSheetId="1">OFFSET(tblData[[#Headers],[Tests]],MATCH(0,tblData[Tests],0)+1,0,COUNT(tblData[Tests])-1,1)</definedName>
    <definedName name="TestsDates" localSheetId="1">OFFSET(tblData[[#Headers],[Dates]],MATCH(0,tblData[Tests],0)+1,0,COUNT(tblData[Tests])-1,1)</definedName>
    <definedName name="TestsDayNo" localSheetId="1">OFFSET(tblData[[#Headers],[NSW Test Day Number]],MATCH(0,tblData[Tests],0)+1,0,COUNTA(tblData[Tests])-1,1)</definedName>
    <definedName name="TestsLabel" localSheetId="1">myData!$ET$19</definedName>
    <definedName name="TestsLOGEST" localSheetId="1">OFFSET(tblData[[#Headers],[NSW Test LOGEST]],MATCH(0,tblData[Tests],0)+1,0,COUNTA(tblData[Dates])-MATCH(0,tblData[Tests],0),1)</definedName>
    <definedName name="TestsLogestB" localSheetId="1">myData!$CC$2</definedName>
    <definedName name="TestsLogestDayNo" localSheetId="1">OFFSET(tblData[[#Headers],[NSW Test Day Number]],MATCH(0,tblData[Tests],0)+1,0,COUNTA(tblData[Dates])-MATCH(0,tblData[Tests],0),1)</definedName>
    <definedName name="TestsLogestLabel" localSheetId="1">myData!$CD$6</definedName>
    <definedName name="TestsLogestM" localSheetId="1">myData!$CB$2</definedName>
    <definedName name="TestsLogestMsq" localSheetId="1">myData!$CP$8</definedName>
    <definedName name="TestsLogi" localSheetId="1">OFFSET(tblData[[#Headers],[NSW Test Logi]],MATCH(0,tblData[Tests],0)+1,0,COUNTA(tblData[Dates])-MATCH(0,tblData[Tests],0),1)</definedName>
    <definedName name="TestsLogiDates" localSheetId="1">OFFSET(tblData[[#Headers],[Dates]],MATCH(0,tblData[Tests],0)+1,0,COUNTA(tblData[Dates])-MATCH(0,tblData[Tests],0),1)</definedName>
    <definedName name="TestsPop" localSheetId="1">myData!$CN$8</definedName>
    <definedName name="TestsPopscale" localSheetId="1">myData!$CN$9</definedName>
    <definedName name="TestsStart" localSheetId="1">myData!$DN$19</definedName>
    <definedName name="TitleAll" localSheetId="1">myData!$ER$8</definedName>
    <definedName name="TitleAllSK" localSheetId="1">myData!$ER$9</definedName>
    <definedName name="TitleCases" localSheetId="1">myData!$EI$6</definedName>
    <definedName name="TotalLocal" localSheetId="15">OFFSET(NSWLikely!$L$2,0,0,COUNTA(NSWLikely!$D:$D)-1,1)</definedName>
    <definedName name="TSTDays" localSheetId="8">COUNTA(OFFSET(DeathsTimeS!$A:$A,10,0,COUNTA(DeathsTimeS!$A:$A),1))</definedName>
    <definedName name="TSTDays" localSheetId="7">COUNTA(OFFSET(TST!$A:$A,10,0,COUNTA(TST!$A:$A),1))</definedName>
    <definedName name="UK100Cases" localSheetId="1">myData!UKCases OFFSET(tblData[United Kingdom Cases Per Capita],MATCH(solvMsgs!MinCases,tblData[United Kingdom Cases Per Capita],1),0,COUNT(tblData[United Kingdom]),1)</definedName>
    <definedName name="UK100Dates" localSheetId="1">tblData[UK100Days] OFFSET(tblData[UK100Days],MATCH(solvMsgs!MinCases,tblData[United Kingdom Cases Per Capita],1),0,COUNT(tblData[Dates],0),1)</definedName>
    <definedName name="UK100dt" localSheetId="1">myData!$ES$17</definedName>
    <definedName name="UK100Logi" localSheetId="1">myData!UKLogi OFFSET(tblData[UK LogiP(t) Per Capita],MATCH(solvMsgs!MinCases,tblData[United Kingdom Cases Per Capita],1),0,COUNT(tblData[United Kingdom]),1)</definedName>
    <definedName name="UK100LogiDates" localSheetId="1">tblData[UK100Days] OFFSET(tblData[[#Headers],[UK100Days]],MATCH(solvMsgs!MinCases,tblData[United Kingdom Cases Per Capita],1)+1,0,COUNT(tblData[UK LogiP(t) Per Capita]),1)</definedName>
    <definedName name="UKCases" localSheetId="1">OFFSET(tblData[[#Headers],[United Kingdom Cases Per Capita]],MATCH(myData!StartDt2UK,tblData[Dates],0)+1,0,COUNTIF(tblData[United Kingdom],"&gt;0")+MATCH(0,tblData[United Kingdom],0)-MATCH(myData!StartDt2UK,tblData[Dates],0),1)</definedName>
    <definedName name="UKDates" localSheetId="1">OFFSET(tblData[[#Headers],[Dates]],MATCH(myData!StartDt2UK,tblData[Dates],0)+1,0,COUNTIF(tblData[United Kingdom],"&gt;0")+MATCH(0,tblData[United Kingdom],0)-MATCH(myData!StartDt2UK,tblData[Dates],0),1)</definedName>
    <definedName name="UKLabel" localSheetId="1">myData!$ET$17</definedName>
    <definedName name="UKLogi" localSheetId="1">OFFSET(tblData[[#Headers],[UK LogiP(t) Per Capita]],MATCH(myData!StartDt2UK,tblData[Dates],0)+1,0,COUNTIF(tblData[UK LogiP(t)],"&gt;0"),1)</definedName>
    <definedName name="UKLogiDates" localSheetId="1">OFFSET(tblData[[#Headers],[Dates]],MATCH(myData!StartDt2UK,tblData[Dates],0)+1,0,COUNTIF(tblData[UK LogiP(t)],"&gt;0"),1)</definedName>
    <definedName name="UKPop" localSheetId="1">myData!$S$8</definedName>
    <definedName name="UKPopscale" localSheetId="1">myData!$S$9</definedName>
    <definedName name="UKSeries" localSheetId="1">myData!$EH$17</definedName>
    <definedName name="UKStart" localSheetId="1">myData!$DN$17</definedName>
    <definedName name="UnitedKingdom100Cases" localSheetId="8">DeathsTimeS!UnitedKingdomPCcases OFFSET(DeathsTimeS!UnitedKingdomCapita,MATCH(solvMsgs!MinCases,DeathsTimeS!UnitedKingdomPCcases,1)+1,0,COUNTA(DeathsTimeS!UnitedKingdomPCcases),1)</definedName>
    <definedName name="UnitedKingdom100Cases" localSheetId="7">TST!UnitedKingdomPCcases OFFSET(TST!UnitedKingdomCapita,MATCH(solvMsgs!MinCases,TST!UnitedKingdomPCcases,1)+1,0,COUNTA(TST!UnitedKingdomPCcases),1)</definedName>
    <definedName name="UnitedKingdom100Days" localSheetId="8">OFFSET(DeathsTimeS!UnitedKingdom100Cases,0,-1)</definedName>
    <definedName name="UnitedKingdom100Days" localSheetId="7">OFFSET(TST!UnitedKingdom100Cases,0,-1)</definedName>
    <definedName name="UnitedKingdom100dt" localSheetId="8">INDEX(OFFSET(DeathsTimeS!$A:$A,11,0,COUNTA(DeathsTimeS!$A:$A),1),MATCH(solvMsgs!MinDeaths,DeathsTimeS!UnitedKingdomPCcases,1),1)</definedName>
    <definedName name="UnitedKingdom100dt" localSheetId="7">INDEX(OFFSET(TST!$A:$A,10,0,COUNTA(TST!$A:$A),1),MATCH(solvMsgs!MinCases,TST!UnitedKingdomPCcases,1),1)</definedName>
    <definedName name="UnitedKingdomCapita" localSheetId="8">DeathsTimeS!$MW$10</definedName>
    <definedName name="UnitedKingdomCapita" localSheetId="7">TST!$MQ$9</definedName>
    <definedName name="UnitedKingdomPCcases" localSheetId="8">OFFSET(DeathsTimeS!UnitedKingdomCapita,1,0,DeathsTimeS!TSTDays+1,1)</definedName>
    <definedName name="UnitedKingdomPCcases" localSheetId="7">OFFSET(TST!UnitedKingdomCapita,1,0,TST!TSTDays+1,1)</definedName>
    <definedName name="UnitedKingdomPopScale" localSheetId="8">DeathsTimeS!$MW$8</definedName>
    <definedName name="UnitedKingdomPopScale" localSheetId="7">TST!$MQ$8</definedName>
    <definedName name="UnitedKingdomSeriesLabel" localSheetId="8">DeathsTimeS!$MW$4</definedName>
    <definedName name="UnitedKingdomSeriesLabel" localSheetId="7">TST!$MQ$4</definedName>
    <definedName name="US100Cases" localSheetId="8">DeathsTimeS!USPCcases OFFSET(DeathsTimeS!USCapita,MATCH(solvMsgs!MinCases,DeathsTimeS!USPCcases,1)+1,0,COUNTA(DeathsTimeS!USPCcases),1)</definedName>
    <definedName name="US100Cases" localSheetId="1">myData!USCases OFFSET(tblData[US Cases Per Capita],MATCH(solvMsgs!MinCases,tblData[US Cases Per Capita],1),0,COUNT(tblData[US]),1)</definedName>
    <definedName name="US100Cases" localSheetId="7">TST!USPCcases OFFSET(TST!USCapita,MATCH(solvMsgs!MinCases,TST!USPCcases,1)+1,0,COUNTA(TST!USPCcases),1)</definedName>
    <definedName name="US100Dates" localSheetId="1">tblData[US100Days] OFFSET(tblData[US100Days],MATCH(solvMsgs!MinCases,tblData[US Cases Per Capita],1),0,COUNT(tblData[Dates],0),1)</definedName>
    <definedName name="US100Days" localSheetId="8">OFFSET(DeathsTimeS!US100Cases,0,-1)</definedName>
    <definedName name="US100Days" localSheetId="7">OFFSET(TST!US100Cases,0,-1)</definedName>
    <definedName name="US100dt" localSheetId="8">INDEX(OFFSET(DeathsTimeS!$A:$A,11,0,COUNTA(DeathsTimeS!$A:$A),1),MATCH(solvMsgs!MinDeaths,DeathsTimeS!USPCcases,1),1)</definedName>
    <definedName name="US100dt" localSheetId="1">myData!$ES$14</definedName>
    <definedName name="US100dt" localSheetId="7">INDEX(OFFSET(TST!$A:$A,10,0,COUNTA(TST!$A:$A),1),MATCH(solvMsgs!MinCases,TST!USPCcases,1),1)</definedName>
    <definedName name="US100Logi" localSheetId="1">myData!USLogi OFFSET(tblData[US LogiP(t) Per Capita],MATCH(solvMsgs!MinCases,tblData[US Cases Per Capita],1),0,COUNT(tblData[Dates]),1)</definedName>
    <definedName name="US100LogiDates" localSheetId="1">tblData[US100Days] OFFSET(tblData[US100Days],MATCH(solvMsgs!MinCases,tblData[US Cases Per Capita],1),0,COUNT(tblData[Dates]),1)</definedName>
    <definedName name="USBadCompare" localSheetId="1">myData!$S$7</definedName>
    <definedName name="USCapita" localSheetId="8">DeathsTimeS!$NA$10</definedName>
    <definedName name="USCapita" localSheetId="7">TST!$MW$9</definedName>
    <definedName name="USCases" localSheetId="1">OFFSET(tblData[[#Headers],[US Cases Per Capita]],MATCH(1,tblData[US],0),0,COUNT(tblData[US]),1)</definedName>
    <definedName name="USDates" localSheetId="1">OFFSET(tblData[[#Headers],[Dates]],MATCH(1,tblData[US],0),0,COUNT(tblData[US]),1)</definedName>
    <definedName name="USDays" localSheetId="1">OFFSET(tblData[[#Headers],[Days'# US]],MATCH(1,tblData[US],0)+1,0,COUNTA(tblData[US])-1,1)</definedName>
    <definedName name="USLabel" localSheetId="1">myData!$ET$14</definedName>
    <definedName name="USLogi" localSheetId="1">OFFSET(tblData[[#Headers],[US LogiP(t) Per Capita]],MATCH(myData!StartDt2US,tblData[Dates],0)+1,0,COUNTIF(tblData[US LogiP(t)],"&gt;0"),1)</definedName>
    <definedName name="USLogiDates" localSheetId="1">OFFSET(tblData[[#Headers],[Dates]],MATCH(myData!StartDt2US,tblData[Dates],0)+1,0,COUNTIF(tblData[US LogiP(t)],"&gt;0"),1)</definedName>
    <definedName name="USPCcases" localSheetId="8">OFFSET(DeathsTimeS!USCapita,1,0,DeathsTimeS!TSTDays+1,1)</definedName>
    <definedName name="USPCcases" localSheetId="7">OFFSET(TST!USCapita,1,0,TST!TSTDays+1,1)</definedName>
    <definedName name="USpop" localSheetId="1">myData!$O$8</definedName>
    <definedName name="USPopScale" localSheetId="8">DeathsTimeS!$NA$8</definedName>
    <definedName name="USPopscale" localSheetId="1">myData!$O$9</definedName>
    <definedName name="USPopScale" localSheetId="7">TST!$MW$8</definedName>
    <definedName name="USSeries" localSheetId="1">myData!$EH$14</definedName>
    <definedName name="USSeriesLabel" localSheetId="8">DeathsTimeS!$NA$4</definedName>
    <definedName name="USSeriesLabel" localSheetId="7">TST!$MW$4</definedName>
    <definedName name="USStart" localSheetId="1">myData!$DN$14</definedName>
    <definedName name="VicBadCompare" localSheetId="1">myData!$V$7</definedName>
    <definedName name="Victoria100Cases" localSheetId="8">DeathsTimeS!VictoriaPCcases OFFSET(DeathsTimeS!VictoriaCapita,MATCH(solvMsgs!MinCases,DeathsTimeS!VictoriaPCcases,1)+1,0,COUNTA(DeathsTimeS!VictoriaPCcases),1)</definedName>
    <definedName name="Victoria100Cases" localSheetId="7">TST!VictoriaPCcases OFFSET(TST!VictoriaCapita,MATCH(solvMsgs!MinCases,TST!VictoriaPCcases,1)+1,0,COUNTA(TST!VictoriaPCcases),1)</definedName>
    <definedName name="Victoria100Days" localSheetId="8">OFFSET(DeathsTimeS!Victoria100Cases,0,-1)</definedName>
    <definedName name="Victoria100Days" localSheetId="7">OFFSET(TST!Victoria100Cases,0,-1)</definedName>
    <definedName name="Victoria100dt" localSheetId="8">INDEX(OFFSET(DeathsTimeS!$A:$A,11,0,COUNTA(DeathsTimeS!$A:$A),1),MATCH(solvMsgs!MinDeaths,DeathsTimeS!VictoriaPCcases,1),1)</definedName>
    <definedName name="Victoria100dt" localSheetId="7">INDEX(OFFSET(TST!$A:$A,10,0,COUNTA(TST!$A:$A),1),MATCH(solvMsgs!MinCases,TST!VictoriaPCcases,1),1)</definedName>
    <definedName name="VictoriaCapita" localSheetId="8">DeathsTimeS!$LS$10</definedName>
    <definedName name="VictoriaCapita" localSheetId="7">TST!$LS$9</definedName>
    <definedName name="VictoriaPCcases" localSheetId="8">OFFSET(DeathsTimeS!VictoriaCapita,1,0,DeathsTimeS!TSTDays+1,1)</definedName>
    <definedName name="VictoriaPCcases" localSheetId="7">OFFSET(TST!VictoriaCapita,1,0,TST!TSTDays+1,1)</definedName>
    <definedName name="VictoriaPopScale" localSheetId="8">DeathsTimeS!$LS$8</definedName>
    <definedName name="VictoriaPopScale" localSheetId="7">TST!$LS$8</definedName>
    <definedName name="VictoriaSeriesLabel" localSheetId="8">DeathsTimeS!$LS$4</definedName>
    <definedName name="VictoriaSeriesLabel" localSheetId="7">TST!$LS$4</definedName>
    <definedName name="Vietnam100Cases" localSheetId="7">TST!VietnamPCcases OFFSET(TST!VietnamCapita,MATCH(solvMsgs!MinCases,TST!VietnamPCcases,1)+1,0,COUNTA(TST!VietnamPCcases),1)</definedName>
    <definedName name="Vietnam100Days" localSheetId="7">OFFSET(TST!Vietnam100Cases,0,-1)</definedName>
    <definedName name="Vietnam100dt" localSheetId="7">INDEX(OFFSET(TST!$A:$A,10,0,COUNTA(TST!$A:$A),1),MATCH(solvMsgs!MinCases,TST!VietnamPCcases,1),1)</definedName>
    <definedName name="VietnamCapita" localSheetId="7">TST!$MF$9</definedName>
    <definedName name="VietnamPCcases" localSheetId="7">OFFSET(TST!VietnamCapita,1,0,TST!TSTDays+1,1)</definedName>
    <definedName name="VietnamPopScale" localSheetId="7">TST!$MF$8</definedName>
    <definedName name="VietnamSeriesLabel" localSheetId="7">TST!$MF$4</definedName>
    <definedName name="WesternAustralia100Cases" localSheetId="8">DeathsTimeS!WesternAustraliaPCcases OFFSET(DeathsTimeS!WesternAustraliaCapita,MATCH(solvMsgs!MinCases,DeathsTimeS!WesternAustraliaPCcases,1)+1,0,COUNTA(DeathsTimeS!WesternAustraliaPCcases),1)</definedName>
    <definedName name="WesternAustralia100Cases" localSheetId="7">TST!WesternAustraliaPCcases OFFSET(TST!WesternAustraliaCapita,MATCH(solvMsgs!MinCases,TST!WesternAustraliaPCcases,1)+1,0,COUNTA(TST!WesternAustraliaPCcases),1)</definedName>
    <definedName name="WesternAustralia100Days" localSheetId="8">OFFSET(DeathsTimeS!WesternAustralia100Cases,0,-1)</definedName>
    <definedName name="WesternAustralia100Days" localSheetId="7">OFFSET(TST!WesternAustralia100Cases,0,-1)</definedName>
    <definedName name="WesternAustralia100dt" localSheetId="8">INDEX(OFFSET(DeathsTimeS!$A:$A,11,0,COUNTA(DeathsTimeS!$A:$A),1),MATCH(solvMsgs!MinDeaths,DeathsTimeS!WesternAustraliaPCcases,1),1)</definedName>
    <definedName name="WesternAustralia100dt" localSheetId="7">INDEX(OFFSET(TST!$A:$A,10,0,COUNTA(TST!$A:$A),1),MATCH(solvMsgs!MinCases,TST!WesternAustraliaPCcases,1),1)</definedName>
    <definedName name="WesternAustraliaCapita" localSheetId="8">DeathsTimeS!$ME$10</definedName>
    <definedName name="WesternAustraliaCapita" localSheetId="7">TST!$MI$9</definedName>
    <definedName name="WesternAustraliaPCcases" localSheetId="8">OFFSET(DeathsTimeS!WesternAustraliaCapita,1,0,DeathsTimeS!TSTDays+1,1)</definedName>
    <definedName name="WesternAustraliaPCcases" localSheetId="7">OFFSET(TST!WesternAustraliaCapita,1,0,TST!TSTDays+1,1)</definedName>
    <definedName name="WesternAustraliaPopScale" localSheetId="8">DeathsTimeS!$ME$8</definedName>
    <definedName name="WesternAustraliaPopScale" localSheetId="7">TST!$MI$8</definedName>
    <definedName name="WesternAustraliaSeriesLabel" localSheetId="8">DeathsTimeS!$ME$4</definedName>
    <definedName name="WesternAustraliaSeriesLabel" localSheetId="7">TST!$MI$4</definedName>
  </definedNames>
  <calcPr calcId="152511" calcOnSave="0"/>
</workbook>
</file>

<file path=xl/calcChain.xml><?xml version="1.0" encoding="utf-8"?>
<calcChain xmlns="http://schemas.openxmlformats.org/spreadsheetml/2006/main">
  <c r="C5" i="65" l="1"/>
  <c r="D5" i="65"/>
  <c r="E5" i="65"/>
  <c r="F5" i="65"/>
  <c r="G5" i="65"/>
  <c r="H5" i="65"/>
  <c r="I5" i="65"/>
  <c r="J5" i="65"/>
  <c r="K5" i="65"/>
  <c r="L5" i="65"/>
  <c r="M5" i="65"/>
  <c r="N5" i="65"/>
  <c r="O5" i="65"/>
  <c r="P5" i="65"/>
  <c r="Q5" i="65"/>
  <c r="R5" i="65"/>
  <c r="S5" i="65"/>
  <c r="T5" i="65"/>
  <c r="U5" i="65"/>
  <c r="V5" i="65"/>
  <c r="W5" i="65"/>
  <c r="X5" i="65"/>
  <c r="Y5" i="65"/>
  <c r="Z5" i="65"/>
  <c r="AA5" i="65"/>
  <c r="AB5" i="65"/>
  <c r="AC5" i="65"/>
  <c r="AD5" i="65"/>
  <c r="AE5" i="65"/>
  <c r="AF5" i="65"/>
  <c r="AG5" i="65"/>
  <c r="AH5" i="65"/>
  <c r="AI5" i="65"/>
  <c r="AJ5" i="65"/>
  <c r="AK5" i="65"/>
  <c r="AL5" i="65"/>
  <c r="AM5" i="65"/>
  <c r="AN5" i="65"/>
  <c r="AO5" i="65"/>
  <c r="AP5" i="65"/>
  <c r="AQ5" i="65"/>
  <c r="AR5" i="65"/>
  <c r="AS5" i="65"/>
  <c r="AT5" i="65"/>
  <c r="AU5" i="65"/>
  <c r="AV5" i="65"/>
  <c r="AW5" i="65"/>
  <c r="AX5" i="65"/>
  <c r="AY5" i="65"/>
  <c r="AZ5" i="65"/>
  <c r="BA5" i="65"/>
  <c r="BB5" i="65"/>
  <c r="BC5" i="65"/>
  <c r="BD5" i="65"/>
  <c r="BE5" i="65"/>
  <c r="BF5" i="65"/>
  <c r="BG5" i="65"/>
  <c r="BH5" i="65"/>
  <c r="BI5" i="65"/>
  <c r="BJ5" i="65"/>
  <c r="BK5" i="65"/>
  <c r="BL5" i="65"/>
  <c r="BM5" i="65"/>
  <c r="BN5" i="65"/>
  <c r="BO5" i="65"/>
  <c r="BP5" i="65"/>
  <c r="BQ5" i="65"/>
  <c r="BR5" i="65"/>
  <c r="BS5" i="65"/>
  <c r="BT5" i="65"/>
  <c r="BU5" i="65"/>
  <c r="BV5" i="65"/>
  <c r="BW5" i="65"/>
  <c r="BX5" i="65"/>
  <c r="BY5" i="65"/>
  <c r="BZ5" i="65"/>
  <c r="CA5" i="65"/>
  <c r="CB5" i="65"/>
  <c r="CC5" i="65"/>
  <c r="CD5" i="65"/>
  <c r="CE5" i="65"/>
  <c r="CF5" i="65"/>
  <c r="CG5" i="65"/>
  <c r="CH5" i="65"/>
  <c r="CI5" i="65"/>
  <c r="CJ5" i="65"/>
  <c r="CK5" i="65"/>
  <c r="CL5" i="65"/>
  <c r="CM5" i="65"/>
  <c r="CN5" i="65"/>
  <c r="CO5" i="65"/>
  <c r="CP5" i="65"/>
  <c r="CQ5" i="65"/>
  <c r="CR5" i="65"/>
  <c r="CS5" i="65"/>
  <c r="CT5" i="65"/>
  <c r="CU5" i="65"/>
  <c r="CV5" i="65"/>
  <c r="CW5" i="65"/>
  <c r="CX5" i="65"/>
  <c r="CY5" i="65"/>
  <c r="CZ5" i="65"/>
  <c r="DA5" i="65"/>
  <c r="DB5" i="65"/>
  <c r="DC5" i="65"/>
  <c r="DD5" i="65"/>
  <c r="DE5" i="65"/>
  <c r="DF5" i="65"/>
  <c r="DG5" i="65"/>
  <c r="DH5" i="65"/>
  <c r="DI5" i="65"/>
  <c r="DJ5" i="65"/>
  <c r="DK5" i="65"/>
  <c r="DL5" i="65"/>
  <c r="DM5" i="65"/>
  <c r="DN5" i="65"/>
  <c r="DO5" i="65"/>
  <c r="DP5" i="65"/>
  <c r="DQ5" i="65"/>
  <c r="DR5" i="65"/>
  <c r="DS5" i="65"/>
  <c r="DT5" i="65"/>
  <c r="DU5" i="65"/>
  <c r="DV5" i="65"/>
  <c r="DW5" i="65"/>
  <c r="DX5" i="65"/>
  <c r="DY5" i="65"/>
  <c r="DZ5" i="65"/>
  <c r="EA5" i="65"/>
  <c r="EB5" i="65"/>
  <c r="EC5" i="65"/>
  <c r="ED5" i="65"/>
  <c r="EE5" i="65"/>
  <c r="EF5" i="65"/>
  <c r="EG5" i="65"/>
  <c r="EH5" i="65"/>
  <c r="EI5" i="65"/>
  <c r="EJ5" i="65"/>
  <c r="EK5" i="65"/>
  <c r="EL5" i="65"/>
  <c r="EM5" i="65"/>
  <c r="EN5" i="65"/>
  <c r="EO5" i="65"/>
  <c r="EP5" i="65"/>
  <c r="EQ5" i="65"/>
  <c r="ER5" i="65"/>
  <c r="ES5" i="65"/>
  <c r="ET5" i="65"/>
  <c r="EU5" i="65"/>
  <c r="EV5" i="65"/>
  <c r="EW5" i="65"/>
  <c r="EX5" i="65"/>
  <c r="EY5" i="65"/>
  <c r="EZ5" i="65"/>
  <c r="FA5" i="65"/>
  <c r="FB5" i="65"/>
  <c r="FC5" i="65"/>
  <c r="FD5" i="65"/>
  <c r="FE5" i="65"/>
  <c r="FF5" i="65"/>
  <c r="FG5" i="65"/>
  <c r="FH5" i="65"/>
  <c r="FI5" i="65"/>
  <c r="FJ5" i="65"/>
  <c r="FK5" i="65"/>
  <c r="FL5" i="65"/>
  <c r="FM5" i="65"/>
  <c r="FN5" i="65"/>
  <c r="FO5" i="65"/>
  <c r="FP5" i="65"/>
  <c r="FQ5" i="65"/>
  <c r="FR5" i="65"/>
  <c r="FS5" i="65"/>
  <c r="FT5" i="65"/>
  <c r="FU5" i="65"/>
  <c r="FV5" i="65"/>
  <c r="FW5" i="65"/>
  <c r="FX5" i="65"/>
  <c r="FY5" i="65"/>
  <c r="FZ5" i="65"/>
  <c r="GA5" i="65"/>
  <c r="GB5" i="65"/>
  <c r="GC5" i="65"/>
  <c r="GD5" i="65"/>
  <c r="GE5" i="65"/>
  <c r="GF5" i="65"/>
  <c r="GG5" i="65"/>
  <c r="GH5" i="65"/>
  <c r="GI5" i="65"/>
  <c r="GJ5" i="65"/>
  <c r="GK5" i="65"/>
  <c r="GL5" i="65"/>
  <c r="GM5" i="65"/>
  <c r="GN5" i="65"/>
  <c r="GO5" i="65"/>
  <c r="GP5" i="65"/>
  <c r="GQ5" i="65"/>
  <c r="GR5" i="65"/>
  <c r="GS5" i="65"/>
  <c r="GT5" i="65"/>
  <c r="GU5" i="65"/>
  <c r="GV5" i="65"/>
  <c r="GW5" i="65"/>
  <c r="GX5" i="65"/>
  <c r="GY5" i="65"/>
  <c r="GZ5" i="65"/>
  <c r="HA5" i="65"/>
  <c r="HB5" i="65"/>
  <c r="HC5" i="65"/>
  <c r="HD5" i="65"/>
  <c r="HE5" i="65"/>
  <c r="HF5" i="65"/>
  <c r="HG5" i="65"/>
  <c r="HH5" i="65"/>
  <c r="HI5" i="65"/>
  <c r="HJ5" i="65"/>
  <c r="HK5" i="65"/>
  <c r="HL5" i="65"/>
  <c r="HM5" i="65"/>
  <c r="HN5" i="65"/>
  <c r="HO5" i="65"/>
  <c r="HP5" i="65"/>
  <c r="HQ5" i="65"/>
  <c r="HR5" i="65"/>
  <c r="HS5" i="65"/>
  <c r="HT5" i="65"/>
  <c r="HU5" i="65"/>
  <c r="HV5" i="65"/>
  <c r="HW5" i="65"/>
  <c r="HX5" i="65"/>
  <c r="HY5" i="65"/>
  <c r="HZ5" i="65"/>
  <c r="IA5" i="65"/>
  <c r="IB5" i="65"/>
  <c r="IC5" i="65"/>
  <c r="ID5" i="65"/>
  <c r="IE5" i="65"/>
  <c r="IF5" i="65"/>
  <c r="IG5" i="65"/>
  <c r="IH5" i="65"/>
  <c r="II5" i="65"/>
  <c r="IJ5" i="65"/>
  <c r="IK5" i="65"/>
  <c r="IL5" i="65"/>
  <c r="IM5" i="65"/>
  <c r="IN5" i="65"/>
  <c r="IO5" i="65"/>
  <c r="IP5" i="65"/>
  <c r="IQ5" i="65"/>
  <c r="IR5" i="65"/>
  <c r="IS5" i="65"/>
  <c r="IT5" i="65"/>
  <c r="IU5" i="65"/>
  <c r="IV5" i="65"/>
  <c r="IW5" i="65"/>
  <c r="IX5" i="65"/>
  <c r="IY5" i="65"/>
  <c r="IZ5" i="65"/>
  <c r="JA5" i="65"/>
  <c r="JB5" i="65"/>
  <c r="JC5" i="65"/>
  <c r="JD5" i="65"/>
  <c r="JE5" i="65"/>
  <c r="JF5" i="65"/>
  <c r="JG5" i="65"/>
  <c r="JH5" i="65"/>
  <c r="JI5" i="65"/>
  <c r="JJ5" i="65"/>
  <c r="JK5" i="65"/>
  <c r="JL5" i="65"/>
  <c r="JM5" i="65"/>
  <c r="JN5" i="65"/>
  <c r="JO5" i="65"/>
  <c r="JP5" i="65"/>
  <c r="JQ5" i="65"/>
  <c r="JR5" i="65"/>
  <c r="JS5" i="65"/>
  <c r="JT5" i="65"/>
  <c r="JU5" i="65"/>
  <c r="JV5" i="65"/>
  <c r="JW5" i="65"/>
  <c r="JX5" i="65"/>
  <c r="JY5" i="65"/>
  <c r="JZ5" i="65"/>
  <c r="KA5" i="65"/>
  <c r="KB5" i="65"/>
  <c r="KC5" i="65"/>
  <c r="KD5" i="65"/>
  <c r="KE5" i="65"/>
  <c r="KF5" i="65"/>
  <c r="KG5" i="65"/>
  <c r="KH5" i="65"/>
  <c r="KI5" i="65"/>
  <c r="KJ5" i="65"/>
  <c r="KK5" i="65"/>
  <c r="KL5" i="65"/>
  <c r="KM5" i="65"/>
  <c r="KN5" i="65"/>
  <c r="KO5" i="65"/>
  <c r="KP5" i="65"/>
  <c r="KQ5" i="65"/>
  <c r="KR5" i="65"/>
  <c r="KS5" i="65"/>
  <c r="KT5" i="65"/>
  <c r="KU5" i="65"/>
  <c r="KV5" i="65"/>
  <c r="KW5" i="65"/>
  <c r="KX5" i="65"/>
  <c r="KY5" i="65"/>
  <c r="KZ5" i="65"/>
  <c r="LA5" i="65"/>
  <c r="LB5" i="65"/>
  <c r="LC5" i="65"/>
  <c r="LD5" i="65"/>
  <c r="LE5" i="65"/>
  <c r="LF5" i="65"/>
  <c r="LG5" i="65"/>
  <c r="LH5" i="65"/>
  <c r="LI5" i="65"/>
  <c r="LJ5" i="65"/>
  <c r="LK5" i="65"/>
  <c r="LL5" i="65"/>
  <c r="LM5" i="65"/>
  <c r="B5" i="65"/>
  <c r="C5" i="61"/>
  <c r="D5" i="61"/>
  <c r="E5" i="61"/>
  <c r="F5" i="61"/>
  <c r="G5" i="61"/>
  <c r="H5" i="61"/>
  <c r="I5" i="61"/>
  <c r="J5" i="61"/>
  <c r="K5" i="61"/>
  <c r="L5" i="61"/>
  <c r="M5" i="61"/>
  <c r="N5" i="61"/>
  <c r="O5" i="61"/>
  <c r="P5" i="61"/>
  <c r="Q5" i="61"/>
  <c r="R5" i="61"/>
  <c r="S5" i="61"/>
  <c r="T5" i="61"/>
  <c r="U5" i="61"/>
  <c r="V5" i="61"/>
  <c r="W5" i="61"/>
  <c r="X5" i="61"/>
  <c r="Y5" i="61"/>
  <c r="Z5" i="61"/>
  <c r="AA5" i="61"/>
  <c r="AB5" i="61"/>
  <c r="AC5" i="61"/>
  <c r="AD5" i="61"/>
  <c r="AE5" i="61"/>
  <c r="AF5" i="61"/>
  <c r="AG5" i="61"/>
  <c r="AH5" i="61"/>
  <c r="AI5" i="61"/>
  <c r="AJ5" i="61"/>
  <c r="AK5" i="61"/>
  <c r="AL5" i="61"/>
  <c r="AM5" i="61"/>
  <c r="AN5" i="61"/>
  <c r="AO5" i="61"/>
  <c r="AP5" i="61"/>
  <c r="AQ5" i="61"/>
  <c r="AR5" i="61"/>
  <c r="AS5" i="61"/>
  <c r="AT5" i="61"/>
  <c r="AU5" i="61"/>
  <c r="AV5" i="61"/>
  <c r="AW5" i="61"/>
  <c r="AX5" i="61"/>
  <c r="AY5" i="61"/>
  <c r="AZ5" i="61"/>
  <c r="BA5" i="61"/>
  <c r="BB5" i="61"/>
  <c r="BC5" i="61"/>
  <c r="BD5" i="61"/>
  <c r="BE5" i="61"/>
  <c r="BF5" i="61"/>
  <c r="BG5" i="61"/>
  <c r="BH5" i="61"/>
  <c r="BI5" i="61"/>
  <c r="BJ5" i="61"/>
  <c r="BK5" i="61"/>
  <c r="BL5" i="61"/>
  <c r="BM5" i="61"/>
  <c r="BN5" i="61"/>
  <c r="BO5" i="61"/>
  <c r="BP5" i="61"/>
  <c r="BQ5" i="61"/>
  <c r="BR5" i="61"/>
  <c r="BS5" i="61"/>
  <c r="BT5" i="61"/>
  <c r="BU5" i="61"/>
  <c r="BV5" i="61"/>
  <c r="BW5" i="61"/>
  <c r="BX5" i="61"/>
  <c r="BY5" i="61"/>
  <c r="BZ5" i="61"/>
  <c r="CA5" i="61"/>
  <c r="CB5" i="61"/>
  <c r="CC5" i="61"/>
  <c r="CD5" i="61"/>
  <c r="CE5" i="61"/>
  <c r="CF5" i="61"/>
  <c r="CG5" i="61"/>
  <c r="CH5" i="61"/>
  <c r="CI5" i="61"/>
  <c r="CJ5" i="61"/>
  <c r="CK5" i="61"/>
  <c r="CL5" i="61"/>
  <c r="CM5" i="61"/>
  <c r="CN5" i="61"/>
  <c r="CO5" i="61"/>
  <c r="CP5" i="61"/>
  <c r="CQ5" i="61"/>
  <c r="CR5" i="61"/>
  <c r="CS5" i="61"/>
  <c r="CT5" i="61"/>
  <c r="CU5" i="61"/>
  <c r="CV5" i="61"/>
  <c r="CW5" i="61"/>
  <c r="CX5" i="61"/>
  <c r="CY5" i="61"/>
  <c r="CZ5" i="61"/>
  <c r="DA5" i="61"/>
  <c r="DB5" i="61"/>
  <c r="DC5" i="61"/>
  <c r="DD5" i="61"/>
  <c r="DE5" i="61"/>
  <c r="DF5" i="61"/>
  <c r="DG5" i="61"/>
  <c r="DH5" i="61"/>
  <c r="DI5" i="61"/>
  <c r="DJ5" i="61"/>
  <c r="DK5" i="61"/>
  <c r="DL5" i="61"/>
  <c r="DM5" i="61"/>
  <c r="DN5" i="61"/>
  <c r="DO5" i="61"/>
  <c r="DP5" i="61"/>
  <c r="DQ5" i="61"/>
  <c r="DR5" i="61"/>
  <c r="DS5" i="61"/>
  <c r="DT5" i="61"/>
  <c r="DU5" i="61"/>
  <c r="DV5" i="61"/>
  <c r="DW5" i="61"/>
  <c r="DX5" i="61"/>
  <c r="DY5" i="61"/>
  <c r="DZ5" i="61"/>
  <c r="EA5" i="61"/>
  <c r="EB5" i="61"/>
  <c r="EC5" i="61"/>
  <c r="ED5" i="61"/>
  <c r="EE5" i="61"/>
  <c r="EF5" i="61"/>
  <c r="EG5" i="61"/>
  <c r="EH5" i="61"/>
  <c r="EI5" i="61"/>
  <c r="EJ5" i="61"/>
  <c r="EK5" i="61"/>
  <c r="EL5" i="61"/>
  <c r="EM5" i="61"/>
  <c r="EN5" i="61"/>
  <c r="EO5" i="61"/>
  <c r="EP5" i="61"/>
  <c r="EQ5" i="61"/>
  <c r="ER5" i="61"/>
  <c r="ES5" i="61"/>
  <c r="ET5" i="61"/>
  <c r="EU5" i="61"/>
  <c r="EV5" i="61"/>
  <c r="EW5" i="61"/>
  <c r="EX5" i="61"/>
  <c r="EY5" i="61"/>
  <c r="EZ5" i="61"/>
  <c r="FA5" i="61"/>
  <c r="FB5" i="61"/>
  <c r="FC5" i="61"/>
  <c r="FD5" i="61"/>
  <c r="FE5" i="61"/>
  <c r="FF5" i="61"/>
  <c r="FG5" i="61"/>
  <c r="FH5" i="61"/>
  <c r="FI5" i="61"/>
  <c r="FJ5" i="61"/>
  <c r="FK5" i="61"/>
  <c r="FL5" i="61"/>
  <c r="FM5" i="61"/>
  <c r="FN5" i="61"/>
  <c r="FO5" i="61"/>
  <c r="FP5" i="61"/>
  <c r="FQ5" i="61"/>
  <c r="FR5" i="61"/>
  <c r="FS5" i="61"/>
  <c r="FT5" i="61"/>
  <c r="FU5" i="61"/>
  <c r="FV5" i="61"/>
  <c r="FW5" i="61"/>
  <c r="FX5" i="61"/>
  <c r="FY5" i="61"/>
  <c r="FZ5" i="61"/>
  <c r="GA5" i="61"/>
  <c r="GB5" i="61"/>
  <c r="GC5" i="61"/>
  <c r="GD5" i="61"/>
  <c r="GE5" i="61"/>
  <c r="GF5" i="61"/>
  <c r="GG5" i="61"/>
  <c r="GH5" i="61"/>
  <c r="GI5" i="61"/>
  <c r="GJ5" i="61"/>
  <c r="GK5" i="61"/>
  <c r="GL5" i="61"/>
  <c r="GM5" i="61"/>
  <c r="GN5" i="61"/>
  <c r="GO5" i="61"/>
  <c r="GP5" i="61"/>
  <c r="GQ5" i="61"/>
  <c r="GR5" i="61"/>
  <c r="GS5" i="61"/>
  <c r="GT5" i="61"/>
  <c r="GU5" i="61"/>
  <c r="GV5" i="61"/>
  <c r="GW5" i="61"/>
  <c r="GX5" i="61"/>
  <c r="GY5" i="61"/>
  <c r="GZ5" i="61"/>
  <c r="HA5" i="61"/>
  <c r="HB5" i="61"/>
  <c r="HC5" i="61"/>
  <c r="HD5" i="61"/>
  <c r="HE5" i="61"/>
  <c r="HF5" i="61"/>
  <c r="HG5" i="61"/>
  <c r="HH5" i="61"/>
  <c r="HI5" i="61"/>
  <c r="HJ5" i="61"/>
  <c r="HK5" i="61"/>
  <c r="HL5" i="61"/>
  <c r="HM5" i="61"/>
  <c r="HN5" i="61"/>
  <c r="HO5" i="61"/>
  <c r="HP5" i="61"/>
  <c r="HQ5" i="61"/>
  <c r="HR5" i="61"/>
  <c r="HS5" i="61"/>
  <c r="HT5" i="61"/>
  <c r="HU5" i="61"/>
  <c r="HV5" i="61"/>
  <c r="HW5" i="61"/>
  <c r="HX5" i="61"/>
  <c r="HY5" i="61"/>
  <c r="HZ5" i="61"/>
  <c r="IA5" i="61"/>
  <c r="IB5" i="61"/>
  <c r="IC5" i="61"/>
  <c r="ID5" i="61"/>
  <c r="IE5" i="61"/>
  <c r="IF5" i="61"/>
  <c r="IG5" i="61"/>
  <c r="IH5" i="61"/>
  <c r="II5" i="61"/>
  <c r="IJ5" i="61"/>
  <c r="IK5" i="61"/>
  <c r="IL5" i="61"/>
  <c r="IM5" i="61"/>
  <c r="IN5" i="61"/>
  <c r="IO5" i="61"/>
  <c r="IP5" i="61"/>
  <c r="IQ5" i="61"/>
  <c r="IR5" i="61"/>
  <c r="IS5" i="61"/>
  <c r="IT5" i="61"/>
  <c r="IU5" i="61"/>
  <c r="IV5" i="61"/>
  <c r="IW5" i="61"/>
  <c r="IX5" i="61"/>
  <c r="IY5" i="61"/>
  <c r="IZ5" i="61"/>
  <c r="JA5" i="61"/>
  <c r="JB5" i="61"/>
  <c r="JC5" i="61"/>
  <c r="JD5" i="61"/>
  <c r="JE5" i="61"/>
  <c r="JF5" i="61"/>
  <c r="JG5" i="61"/>
  <c r="JH5" i="61"/>
  <c r="JI5" i="61"/>
  <c r="JJ5" i="61"/>
  <c r="JK5" i="61"/>
  <c r="JL5" i="61"/>
  <c r="JM5" i="61"/>
  <c r="JN5" i="61"/>
  <c r="JO5" i="61"/>
  <c r="JP5" i="61"/>
  <c r="JQ5" i="61"/>
  <c r="JR5" i="61"/>
  <c r="JS5" i="61"/>
  <c r="JT5" i="61"/>
  <c r="JU5" i="61"/>
  <c r="JV5" i="61"/>
  <c r="JW5" i="61"/>
  <c r="JX5" i="61"/>
  <c r="JY5" i="61"/>
  <c r="JZ5" i="61"/>
  <c r="KA5" i="61"/>
  <c r="KB5" i="61"/>
  <c r="KC5" i="61"/>
  <c r="KD5" i="61"/>
  <c r="KE5" i="61"/>
  <c r="KF5" i="61"/>
  <c r="KG5" i="61"/>
  <c r="KH5" i="61"/>
  <c r="KI5" i="61"/>
  <c r="KJ5" i="61"/>
  <c r="KK5" i="61"/>
  <c r="KL5" i="61"/>
  <c r="KM5" i="61"/>
  <c r="KN5" i="61"/>
  <c r="KO5" i="61"/>
  <c r="KP5" i="61"/>
  <c r="KQ5" i="61"/>
  <c r="KR5" i="61"/>
  <c r="KS5" i="61"/>
  <c r="KT5" i="61"/>
  <c r="KU5" i="61"/>
  <c r="KV5" i="61"/>
  <c r="KW5" i="61"/>
  <c r="KX5" i="61"/>
  <c r="KY5" i="61"/>
  <c r="KZ5" i="61"/>
  <c r="LA5" i="61"/>
  <c r="LB5" i="61"/>
  <c r="LC5" i="61"/>
  <c r="LD5" i="61"/>
  <c r="LE5" i="61"/>
  <c r="LF5" i="61"/>
  <c r="LG5" i="61"/>
  <c r="LH5" i="61"/>
  <c r="LI5" i="61"/>
  <c r="LJ5" i="61"/>
  <c r="LK5" i="61"/>
  <c r="LL5" i="61"/>
  <c r="LM5" i="61"/>
  <c r="B5" i="61"/>
  <c r="C2" i="4"/>
  <c r="B2" i="4"/>
  <c r="A2" i="4"/>
  <c r="D2" i="4" l="1"/>
  <c r="JH1" i="61"/>
  <c r="JI1" i="61"/>
  <c r="JJ1" i="61"/>
  <c r="JK1" i="61" l="1"/>
  <c r="LM1" i="61"/>
  <c r="LL1" i="61"/>
  <c r="LK1" i="61"/>
  <c r="LJ1" i="61"/>
  <c r="LI1" i="61"/>
  <c r="LH1" i="61"/>
  <c r="LG1" i="61"/>
  <c r="LF1" i="61"/>
  <c r="LE1" i="61"/>
  <c r="LD1" i="61"/>
  <c r="LC1" i="61"/>
  <c r="LB1" i="61"/>
  <c r="LA1" i="61"/>
  <c r="KZ1" i="61"/>
  <c r="KY1" i="61"/>
  <c r="KX1" i="61"/>
  <c r="KW1" i="61"/>
  <c r="KV1" i="61"/>
  <c r="KU1" i="61"/>
  <c r="KT1" i="61"/>
  <c r="KS1" i="61"/>
  <c r="KR1" i="61"/>
  <c r="KQ1" i="61"/>
  <c r="KP1" i="61"/>
  <c r="KO1" i="61"/>
  <c r="KN1" i="61"/>
  <c r="KM1" i="61"/>
  <c r="KL1" i="61"/>
  <c r="KK1" i="61"/>
  <c r="KJ1" i="61"/>
  <c r="KI1" i="61"/>
  <c r="KH1" i="61"/>
  <c r="KG1" i="61"/>
  <c r="KF1" i="61"/>
  <c r="KE1" i="61"/>
  <c r="KD1" i="61"/>
  <c r="KC1" i="61"/>
  <c r="KB1" i="61"/>
  <c r="KA1" i="61"/>
  <c r="JZ1" i="61"/>
  <c r="JY1" i="61"/>
  <c r="JX1" i="61"/>
  <c r="JW1" i="61"/>
  <c r="JV1" i="61"/>
  <c r="JU1" i="61"/>
  <c r="JT1" i="61"/>
  <c r="JS1" i="61"/>
  <c r="JR1" i="61"/>
  <c r="JQ1" i="61"/>
  <c r="JP1" i="61"/>
  <c r="JO1" i="61"/>
  <c r="JN1" i="61"/>
  <c r="JM1" i="61"/>
  <c r="JL1" i="61"/>
  <c r="LN1" i="61" l="1"/>
  <c r="F2" i="70"/>
  <c r="J2" i="70" s="1"/>
  <c r="G2" i="70"/>
  <c r="K2" i="70" s="1"/>
  <c r="H2" i="70"/>
  <c r="E2" i="70"/>
  <c r="D3" i="70"/>
  <c r="E3" i="70" s="1"/>
  <c r="JI2" i="61" l="1"/>
  <c r="JI3" i="61" s="1"/>
  <c r="JH2" i="61"/>
  <c r="JJ2" i="61"/>
  <c r="JJ3" i="61" s="1"/>
  <c r="I2" i="70"/>
  <c r="D4" i="70"/>
  <c r="D5" i="70" s="1"/>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D53" i="70" s="1"/>
  <c r="D54" i="70" s="1"/>
  <c r="G54" i="70" s="1"/>
  <c r="L2" i="70"/>
  <c r="G27" i="70"/>
  <c r="H25" i="70"/>
  <c r="E20" i="70"/>
  <c r="E14" i="70"/>
  <c r="F10" i="70"/>
  <c r="F8" i="70"/>
  <c r="G6" i="70"/>
  <c r="G4" i="70"/>
  <c r="F46" i="70"/>
  <c r="F44" i="70"/>
  <c r="F42" i="70"/>
  <c r="H38" i="70"/>
  <c r="H34" i="70"/>
  <c r="E33" i="70"/>
  <c r="F27" i="70"/>
  <c r="G25" i="70"/>
  <c r="G23" i="70"/>
  <c r="G21" i="70"/>
  <c r="H19" i="70"/>
  <c r="H17" i="70"/>
  <c r="H13" i="70"/>
  <c r="E10" i="70"/>
  <c r="E8" i="70"/>
  <c r="F6" i="70"/>
  <c r="F4" i="70"/>
  <c r="F52" i="70"/>
  <c r="E41" i="70"/>
  <c r="F35" i="70"/>
  <c r="E22" i="70"/>
  <c r="F16" i="70"/>
  <c r="G8" i="70"/>
  <c r="G51" i="70"/>
  <c r="E46" i="70"/>
  <c r="E44" i="70"/>
  <c r="E42" i="70"/>
  <c r="G38" i="70"/>
  <c r="G36" i="70"/>
  <c r="G34" i="70"/>
  <c r="H30" i="70"/>
  <c r="E27" i="70"/>
  <c r="F25" i="70"/>
  <c r="F23" i="70"/>
  <c r="G19" i="70"/>
  <c r="G17" i="70"/>
  <c r="G15" i="70"/>
  <c r="G13" i="70"/>
  <c r="H11" i="70"/>
  <c r="H9" i="70"/>
  <c r="E6" i="70"/>
  <c r="E4" i="70"/>
  <c r="F50" i="70"/>
  <c r="H42" i="70"/>
  <c r="G33" i="70"/>
  <c r="H27" i="70"/>
  <c r="F20" i="70"/>
  <c r="F14" i="70"/>
  <c r="H6" i="70"/>
  <c r="F53" i="70"/>
  <c r="H45" i="70"/>
  <c r="H43" i="70"/>
  <c r="F40" i="70"/>
  <c r="F38" i="70"/>
  <c r="F36" i="70"/>
  <c r="F34" i="70"/>
  <c r="G32" i="70"/>
  <c r="G30" i="70"/>
  <c r="H28" i="70"/>
  <c r="H26" i="70"/>
  <c r="E25" i="70"/>
  <c r="E23" i="70"/>
  <c r="E21" i="70"/>
  <c r="F19" i="70"/>
  <c r="F17" i="70"/>
  <c r="F15" i="70"/>
  <c r="F13" i="70"/>
  <c r="G11" i="70"/>
  <c r="G9" i="70"/>
  <c r="H7" i="70"/>
  <c r="H5" i="70"/>
  <c r="H3" i="70"/>
  <c r="E51" i="70"/>
  <c r="F49" i="70"/>
  <c r="G47" i="70"/>
  <c r="G45" i="70"/>
  <c r="G43" i="70"/>
  <c r="H41" i="70"/>
  <c r="E40" i="70"/>
  <c r="E38" i="70"/>
  <c r="E36" i="70"/>
  <c r="I36" i="70" s="1"/>
  <c r="E34" i="70"/>
  <c r="F32" i="70"/>
  <c r="F30" i="70"/>
  <c r="G28" i="70"/>
  <c r="G26" i="70"/>
  <c r="H24" i="70"/>
  <c r="H22" i="70"/>
  <c r="E19" i="70"/>
  <c r="E17" i="70"/>
  <c r="E15" i="70"/>
  <c r="E13" i="70"/>
  <c r="I13" i="70" s="1"/>
  <c r="F11" i="70"/>
  <c r="F9" i="70"/>
  <c r="G7" i="70"/>
  <c r="G5" i="70"/>
  <c r="G3" i="70"/>
  <c r="K3" i="70" s="1"/>
  <c r="F54" i="70"/>
  <c r="H48" i="70"/>
  <c r="H44" i="70"/>
  <c r="F39" i="70"/>
  <c r="F37" i="70"/>
  <c r="G31" i="70"/>
  <c r="E24" i="70"/>
  <c r="F18" i="70"/>
  <c r="G12" i="70"/>
  <c r="G10" i="70"/>
  <c r="H4" i="70"/>
  <c r="G53" i="70"/>
  <c r="F51" i="70"/>
  <c r="H47" i="70"/>
  <c r="E53" i="70"/>
  <c r="H54" i="70"/>
  <c r="H52" i="70"/>
  <c r="H50" i="70"/>
  <c r="E49" i="70"/>
  <c r="F47" i="70"/>
  <c r="F45" i="70"/>
  <c r="F43" i="70"/>
  <c r="G41" i="70"/>
  <c r="H39" i="70"/>
  <c r="H37" i="70"/>
  <c r="H35" i="70"/>
  <c r="E32" i="70"/>
  <c r="I32" i="70" s="1"/>
  <c r="E30" i="70"/>
  <c r="F28" i="70"/>
  <c r="F26" i="70"/>
  <c r="G24" i="70"/>
  <c r="G22" i="70"/>
  <c r="H20" i="70"/>
  <c r="H18" i="70"/>
  <c r="H16" i="70"/>
  <c r="H14" i="70"/>
  <c r="E11" i="70"/>
  <c r="I11" i="70" s="1"/>
  <c r="E9" i="70"/>
  <c r="F7" i="70"/>
  <c r="F5" i="70"/>
  <c r="F3" i="70"/>
  <c r="J3" i="70" s="1"/>
  <c r="H49" i="70"/>
  <c r="G49" i="70"/>
  <c r="G52" i="70"/>
  <c r="G50" i="70"/>
  <c r="E47" i="70"/>
  <c r="I47" i="70" s="1"/>
  <c r="E45" i="70"/>
  <c r="E43" i="70"/>
  <c r="F41" i="70"/>
  <c r="G39" i="70"/>
  <c r="G37" i="70"/>
  <c r="G35" i="70"/>
  <c r="H33" i="70"/>
  <c r="H31" i="70"/>
  <c r="H29" i="70"/>
  <c r="E28" i="70"/>
  <c r="E26" i="70"/>
  <c r="F24" i="70"/>
  <c r="F22" i="70"/>
  <c r="G20" i="70"/>
  <c r="G18" i="70"/>
  <c r="G16" i="70"/>
  <c r="G14" i="70"/>
  <c r="H12" i="70"/>
  <c r="H10" i="70"/>
  <c r="H8" i="70"/>
  <c r="E7" i="70"/>
  <c r="E5" i="70"/>
  <c r="C33" i="63"/>
  <c r="CS5" i="4"/>
  <c r="B32" i="63" s="1"/>
  <c r="HK72" i="4"/>
  <c r="HK73" i="4" s="1"/>
  <c r="HK74" i="4" s="1"/>
  <c r="HK75" i="4" s="1"/>
  <c r="HK76" i="4" s="1"/>
  <c r="HK77" i="4" s="1"/>
  <c r="HK78" i="4" s="1"/>
  <c r="HQ69" i="4"/>
  <c r="HT69" i="4" s="1"/>
  <c r="HQ70" i="4"/>
  <c r="HT70" i="4" s="1"/>
  <c r="HQ71" i="4"/>
  <c r="HT71" i="4" s="1"/>
  <c r="HQ72" i="4"/>
  <c r="HT72" i="4" s="1"/>
  <c r="HQ73" i="4"/>
  <c r="HT73" i="4" s="1"/>
  <c r="HQ74" i="4"/>
  <c r="HU74" i="4" s="1"/>
  <c r="HQ75" i="4"/>
  <c r="HU75" i="4" s="1"/>
  <c r="HQ76" i="4"/>
  <c r="HT76" i="4" s="1"/>
  <c r="HQ77" i="4"/>
  <c r="HT77" i="4" s="1"/>
  <c r="HQ78" i="4"/>
  <c r="HT78" i="4" s="1"/>
  <c r="HU71" i="4"/>
  <c r="HU77" i="4"/>
  <c r="HQ68" i="4"/>
  <c r="HT68" i="4" s="1"/>
  <c r="HQ67" i="4"/>
  <c r="HQ66" i="4"/>
  <c r="F29" i="70" l="1"/>
  <c r="H40" i="70"/>
  <c r="F12" i="70"/>
  <c r="E35" i="70"/>
  <c r="G42" i="70"/>
  <c r="I42" i="70" s="1"/>
  <c r="I34" i="70"/>
  <c r="F21" i="70"/>
  <c r="I21" i="70" s="1"/>
  <c r="G40" i="70"/>
  <c r="I40" i="70" s="1"/>
  <c r="G29" i="70"/>
  <c r="E12" i="70"/>
  <c r="E29" i="70"/>
  <c r="H51" i="70"/>
  <c r="H23" i="70"/>
  <c r="I27" i="70"/>
  <c r="HU78" i="4"/>
  <c r="I5" i="70"/>
  <c r="I30" i="70"/>
  <c r="I25" i="70"/>
  <c r="H32" i="70"/>
  <c r="E48" i="70"/>
  <c r="H46" i="70"/>
  <c r="H15" i="70"/>
  <c r="E31" i="70"/>
  <c r="F48" i="70"/>
  <c r="E16" i="70"/>
  <c r="I16" i="70" s="1"/>
  <c r="HU70" i="4"/>
  <c r="JH3" i="61"/>
  <c r="G44" i="70"/>
  <c r="I44" i="70" s="1"/>
  <c r="G46" i="70"/>
  <c r="I46" i="70" s="1"/>
  <c r="G48" i="70"/>
  <c r="I7" i="70"/>
  <c r="HU69" i="4"/>
  <c r="F31" i="70"/>
  <c r="I31" i="70" s="1"/>
  <c r="E54" i="70"/>
  <c r="I54" i="70" s="1"/>
  <c r="L3" i="70"/>
  <c r="H36" i="70"/>
  <c r="H53" i="70"/>
  <c r="E18" i="70"/>
  <c r="I18" i="70" s="1"/>
  <c r="F33" i="70"/>
  <c r="I33" i="70" s="1"/>
  <c r="I45" i="70"/>
  <c r="I53" i="70"/>
  <c r="H21" i="70"/>
  <c r="E37" i="70"/>
  <c r="I37" i="70" s="1"/>
  <c r="E50" i="70"/>
  <c r="I50" i="70" s="1"/>
  <c r="I28" i="70"/>
  <c r="I19" i="70"/>
  <c r="I8" i="70"/>
  <c r="E52" i="70"/>
  <c r="I52" i="70" s="1"/>
  <c r="E39" i="70"/>
  <c r="I39" i="70" s="1"/>
  <c r="I49" i="70"/>
  <c r="I17" i="70"/>
  <c r="I51" i="70"/>
  <c r="I4" i="70"/>
  <c r="J4" i="70"/>
  <c r="I26" i="70"/>
  <c r="I15" i="70"/>
  <c r="I6" i="70"/>
  <c r="I43" i="70"/>
  <c r="I23" i="70"/>
  <c r="I22" i="70"/>
  <c r="K4" i="70"/>
  <c r="K5" i="70" s="1"/>
  <c r="K6" i="70" s="1"/>
  <c r="K7" i="70" s="1"/>
  <c r="K8" i="70" s="1"/>
  <c r="K9" i="70" s="1"/>
  <c r="K10" i="70" s="1"/>
  <c r="K11" i="70" s="1"/>
  <c r="K12" i="70" s="1"/>
  <c r="K13" i="70" s="1"/>
  <c r="K14" i="70" s="1"/>
  <c r="K15" i="70" s="1"/>
  <c r="K16" i="70" s="1"/>
  <c r="K17" i="70" s="1"/>
  <c r="K18" i="70" s="1"/>
  <c r="K19" i="70" s="1"/>
  <c r="K20" i="70" s="1"/>
  <c r="K21" i="70" s="1"/>
  <c r="K22" i="70" s="1"/>
  <c r="K23" i="70" s="1"/>
  <c r="K24" i="70" s="1"/>
  <c r="K25" i="70" s="1"/>
  <c r="K26" i="70" s="1"/>
  <c r="K27" i="70" s="1"/>
  <c r="K28" i="70" s="1"/>
  <c r="K29" i="70" s="1"/>
  <c r="K30" i="70" s="1"/>
  <c r="K31" i="70" s="1"/>
  <c r="K32" i="70" s="1"/>
  <c r="K33" i="70" s="1"/>
  <c r="K34" i="70" s="1"/>
  <c r="K35" i="70" s="1"/>
  <c r="K36" i="70" s="1"/>
  <c r="K37" i="70" s="1"/>
  <c r="K38" i="70" s="1"/>
  <c r="K39" i="70" s="1"/>
  <c r="K40" i="70" s="1"/>
  <c r="K41" i="70" s="1"/>
  <c r="K42" i="70" s="1"/>
  <c r="K43" i="70" s="1"/>
  <c r="I20" i="70"/>
  <c r="I35" i="70"/>
  <c r="I24" i="70"/>
  <c r="I14" i="70"/>
  <c r="I10" i="70"/>
  <c r="I12" i="70"/>
  <c r="I9" i="70"/>
  <c r="I38" i="70"/>
  <c r="I41" i="70"/>
  <c r="I29" i="70"/>
  <c r="I3" i="70"/>
  <c r="HU73" i="4"/>
  <c r="HU72" i="4"/>
  <c r="HT74" i="4"/>
  <c r="HT75" i="4"/>
  <c r="HU76" i="4"/>
  <c r="HU68" i="4"/>
  <c r="HP50" i="4"/>
  <c r="HO50" i="4"/>
  <c r="JK2" i="61"/>
  <c r="JK3" i="61" s="1"/>
  <c r="JL2" i="61"/>
  <c r="JL3" i="61" s="1"/>
  <c r="JM2" i="61"/>
  <c r="JM3" i="61" s="1"/>
  <c r="JN2" i="61"/>
  <c r="JN3" i="61" s="1"/>
  <c r="JO2" i="61"/>
  <c r="JO3" i="61" s="1"/>
  <c r="JP2" i="61"/>
  <c r="JP3" i="61" s="1"/>
  <c r="JQ2" i="61"/>
  <c r="JQ3" i="61" s="1"/>
  <c r="JR2" i="61"/>
  <c r="JR3" i="61" s="1"/>
  <c r="JS2" i="61"/>
  <c r="JS3" i="61" s="1"/>
  <c r="JT2" i="61"/>
  <c r="JT3" i="61" s="1"/>
  <c r="JU2" i="61"/>
  <c r="JU3" i="61" s="1"/>
  <c r="JV2" i="61"/>
  <c r="JV3" i="61" s="1"/>
  <c r="JW2" i="61"/>
  <c r="JW3" i="61" s="1"/>
  <c r="JX2" i="61"/>
  <c r="JX3" i="61" s="1"/>
  <c r="JY2" i="61"/>
  <c r="JY3" i="61" s="1"/>
  <c r="JZ2" i="61"/>
  <c r="JZ3" i="61" s="1"/>
  <c r="KA2" i="61"/>
  <c r="KA3" i="61" s="1"/>
  <c r="KB2" i="61"/>
  <c r="KB3" i="61" s="1"/>
  <c r="KC2" i="61"/>
  <c r="KC3" i="61" s="1"/>
  <c r="KD2" i="61"/>
  <c r="KD3" i="61" s="1"/>
  <c r="KE2" i="61"/>
  <c r="KE3" i="61" s="1"/>
  <c r="KF2" i="61"/>
  <c r="KF3" i="61" s="1"/>
  <c r="KG2" i="61"/>
  <c r="KG3" i="61" s="1"/>
  <c r="KH2" i="61"/>
  <c r="KH3" i="61" s="1"/>
  <c r="KI2" i="61"/>
  <c r="KI3" i="61" s="1"/>
  <c r="KJ2" i="61"/>
  <c r="KJ3" i="61" s="1"/>
  <c r="KK2" i="61"/>
  <c r="KK3" i="61" s="1"/>
  <c r="KL2" i="61"/>
  <c r="KL3" i="61" s="1"/>
  <c r="KM2" i="61"/>
  <c r="KM3" i="61" s="1"/>
  <c r="KN2" i="61"/>
  <c r="KN3" i="61" s="1"/>
  <c r="KO2" i="61"/>
  <c r="KO3" i="61" s="1"/>
  <c r="KP2" i="61"/>
  <c r="KP3" i="61" s="1"/>
  <c r="KQ2" i="61"/>
  <c r="KQ3" i="61" s="1"/>
  <c r="KR2" i="61"/>
  <c r="KR3" i="61" s="1"/>
  <c r="KS2" i="61"/>
  <c r="KS3" i="61" s="1"/>
  <c r="KT2" i="61"/>
  <c r="KT3" i="61" s="1"/>
  <c r="KU2" i="61"/>
  <c r="KU3" i="61" s="1"/>
  <c r="KV2" i="61"/>
  <c r="KV3" i="61" s="1"/>
  <c r="KW2" i="61"/>
  <c r="KW3" i="61" s="1"/>
  <c r="KX2" i="61"/>
  <c r="KX3" i="61" s="1"/>
  <c r="KY2" i="61"/>
  <c r="KY3" i="61" s="1"/>
  <c r="KZ2" i="61"/>
  <c r="KZ3" i="61" s="1"/>
  <c r="LA2" i="61"/>
  <c r="LA3" i="61" s="1"/>
  <c r="LB2" i="61"/>
  <c r="LB3" i="61" s="1"/>
  <c r="LC2" i="61"/>
  <c r="LC3" i="61" s="1"/>
  <c r="LD2" i="61"/>
  <c r="LD3" i="61" s="1"/>
  <c r="LE2" i="61"/>
  <c r="LE3" i="61" s="1"/>
  <c r="LF2" i="61"/>
  <c r="LF3" i="61" s="1"/>
  <c r="LG2" i="61"/>
  <c r="LG3" i="61" s="1"/>
  <c r="LH2" i="61"/>
  <c r="LH3" i="61" s="1"/>
  <c r="LI2" i="61"/>
  <c r="LI3" i="61" s="1"/>
  <c r="LJ2" i="61"/>
  <c r="LJ3" i="61" s="1"/>
  <c r="LK2" i="61"/>
  <c r="LK3" i="61" s="1"/>
  <c r="LL2" i="61"/>
  <c r="LL3" i="61" s="1"/>
  <c r="LM2" i="61"/>
  <c r="LM3" i="61" s="1"/>
  <c r="V2" i="63"/>
  <c r="T3" i="63"/>
  <c r="T4" i="63" s="1"/>
  <c r="I48" i="70" l="1"/>
  <c r="K44" i="70"/>
  <c r="K45" i="70" s="1"/>
  <c r="K46" i="70" s="1"/>
  <c r="K47" i="70" s="1"/>
  <c r="K48" i="70" s="1"/>
  <c r="K49" i="70" s="1"/>
  <c r="K50" i="70" s="1"/>
  <c r="K51" i="70" s="1"/>
  <c r="K52" i="70" s="1"/>
  <c r="K53" i="70" s="1"/>
  <c r="K54" i="70" s="1"/>
  <c r="LN4" i="61"/>
  <c r="LN2" i="61"/>
  <c r="LN3" i="61" s="1"/>
  <c r="KB4" i="61" s="1"/>
  <c r="L4" i="70"/>
  <c r="J5" i="70"/>
  <c r="V3" i="63"/>
  <c r="T5" i="63"/>
  <c r="V5" i="63" s="1"/>
  <c r="V4" i="63"/>
  <c r="HQ65" i="4"/>
  <c r="HQ64" i="4"/>
  <c r="LB4" i="61" l="1"/>
  <c r="LK4" i="61"/>
  <c r="LA4" i="61"/>
  <c r="JR4" i="61"/>
  <c r="JK4" i="61"/>
  <c r="JL4" i="61"/>
  <c r="LJ4" i="61"/>
  <c r="JQ4" i="61"/>
  <c r="JT4" i="61"/>
  <c r="JP4" i="61"/>
  <c r="KH4" i="61"/>
  <c r="KA4" i="61"/>
  <c r="JI4" i="61"/>
  <c r="JJ4" i="61"/>
  <c r="KS4" i="61"/>
  <c r="JZ4" i="61"/>
  <c r="JS4" i="61"/>
  <c r="JO4" i="61"/>
  <c r="JN4" i="61"/>
  <c r="KG4" i="61"/>
  <c r="KI4" i="61"/>
  <c r="KJ4" i="61"/>
  <c r="KF4" i="61"/>
  <c r="KX4" i="61"/>
  <c r="KQ4" i="61"/>
  <c r="KR4" i="61"/>
  <c r="KN4" i="61"/>
  <c r="KZ4" i="61"/>
  <c r="KU4" i="61"/>
  <c r="LE4" i="61"/>
  <c r="JU4" i="61"/>
  <c r="LG4" i="61"/>
  <c r="LH4" i="61"/>
  <c r="JY4" i="61"/>
  <c r="JW4" i="61"/>
  <c r="JX4" i="61"/>
  <c r="KP4" i="61"/>
  <c r="JV4" i="61"/>
  <c r="KE4" i="61"/>
  <c r="KO4" i="61"/>
  <c r="KD4" i="61"/>
  <c r="KM4" i="61"/>
  <c r="KW4" i="61"/>
  <c r="LF4" i="61"/>
  <c r="KY4" i="61"/>
  <c r="KL4" i="61"/>
  <c r="KV4" i="61"/>
  <c r="KT4" i="61"/>
  <c r="LC4" i="61"/>
  <c r="LD4" i="61"/>
  <c r="KC4" i="61"/>
  <c r="LI4" i="61"/>
  <c r="JM4" i="61"/>
  <c r="KK4" i="61"/>
  <c r="L5" i="70"/>
  <c r="J6" i="70"/>
  <c r="T6" i="63"/>
  <c r="V6" i="63" s="1"/>
  <c r="NC105" i="65"/>
  <c r="NC106" i="65"/>
  <c r="T7" i="63" l="1"/>
  <c r="J7" i="70"/>
  <c r="L6" i="70"/>
  <c r="W7" i="63"/>
  <c r="V7" i="63"/>
  <c r="T8" i="63"/>
  <c r="AI106" i="4"/>
  <c r="AI107" i="4"/>
  <c r="AI108" i="4"/>
  <c r="AI109" i="4"/>
  <c r="AI110" i="4"/>
  <c r="AI111" i="4"/>
  <c r="AI112" i="4"/>
  <c r="AI113" i="4"/>
  <c r="AI114" i="4"/>
  <c r="AI115" i="4"/>
  <c r="AI116" i="4"/>
  <c r="AI117" i="4"/>
  <c r="AI118" i="4"/>
  <c r="AI119" i="4"/>
  <c r="AI120" i="4"/>
  <c r="AI121" i="4"/>
  <c r="AI122" i="4"/>
  <c r="AI123" i="4"/>
  <c r="AI124" i="4"/>
  <c r="N121" i="4"/>
  <c r="P121" i="4"/>
  <c r="R121" i="4"/>
  <c r="T121" i="4"/>
  <c r="V121" i="4"/>
  <c r="Y121" i="4"/>
  <c r="AA121" i="4"/>
  <c r="AQ121" i="4"/>
  <c r="L121" i="4" s="1"/>
  <c r="BR121" i="4"/>
  <c r="CH121" i="4"/>
  <c r="CI121" i="4"/>
  <c r="CK121" i="4"/>
  <c r="CL121" i="4"/>
  <c r="CN121" i="4"/>
  <c r="CO121" i="4"/>
  <c r="CP121" i="4"/>
  <c r="CT121" i="4"/>
  <c r="DB121" i="4"/>
  <c r="N122" i="4"/>
  <c r="P122" i="4"/>
  <c r="R122" i="4"/>
  <c r="T122" i="4"/>
  <c r="V122" i="4"/>
  <c r="Y122" i="4"/>
  <c r="AA122" i="4"/>
  <c r="AQ122" i="4"/>
  <c r="L122" i="4" s="1"/>
  <c r="BR122" i="4"/>
  <c r="CH122" i="4"/>
  <c r="CI122" i="4"/>
  <c r="CK122" i="4"/>
  <c r="CL122" i="4"/>
  <c r="CN122" i="4"/>
  <c r="CO122" i="4"/>
  <c r="CP122" i="4"/>
  <c r="CT122" i="4"/>
  <c r="DB122" i="4"/>
  <c r="N124" i="4"/>
  <c r="P124" i="4"/>
  <c r="R124" i="4"/>
  <c r="T124" i="4"/>
  <c r="V124" i="4"/>
  <c r="Y124" i="4"/>
  <c r="AA124" i="4"/>
  <c r="AQ124" i="4"/>
  <c r="L124" i="4" s="1"/>
  <c r="BR124" i="4"/>
  <c r="CH124" i="4"/>
  <c r="CI124" i="4"/>
  <c r="CK124" i="4"/>
  <c r="CL124" i="4"/>
  <c r="CN124" i="4"/>
  <c r="CO124" i="4"/>
  <c r="CP124" i="4"/>
  <c r="CT124" i="4"/>
  <c r="DB124" i="4"/>
  <c r="N123" i="4"/>
  <c r="P123" i="4"/>
  <c r="R123" i="4"/>
  <c r="T123" i="4"/>
  <c r="V123" i="4"/>
  <c r="Y123" i="4"/>
  <c r="AA123" i="4"/>
  <c r="AQ123" i="4"/>
  <c r="L123" i="4" s="1"/>
  <c r="BR123" i="4"/>
  <c r="CH123" i="4"/>
  <c r="CI123" i="4"/>
  <c r="CK123" i="4"/>
  <c r="CL123" i="4"/>
  <c r="CN123" i="4"/>
  <c r="CO123" i="4"/>
  <c r="CP123" i="4"/>
  <c r="CT123" i="4"/>
  <c r="DB123" i="4"/>
  <c r="NI8" i="65"/>
  <c r="NG8" i="65"/>
  <c r="NG8" i="61"/>
  <c r="NG111" i="61" s="1"/>
  <c r="NE8" i="61"/>
  <c r="NE111" i="61" s="1"/>
  <c r="T34" i="21"/>
  <c r="T33" i="21"/>
  <c r="NE8" i="65"/>
  <c r="LO8" i="65"/>
  <c r="NC8" i="61"/>
  <c r="NC111" i="61" s="1"/>
  <c r="MY8" i="61"/>
  <c r="MY111" i="61" s="1"/>
  <c r="NC8" i="65"/>
  <c r="NC1" i="65"/>
  <c r="NA8" i="61"/>
  <c r="NA111" i="61" s="1"/>
  <c r="NC12" i="65"/>
  <c r="NC13" i="65"/>
  <c r="NC14" i="65"/>
  <c r="NC15" i="65"/>
  <c r="NC16" i="65"/>
  <c r="NC17" i="65"/>
  <c r="NC18" i="65"/>
  <c r="NC19" i="65"/>
  <c r="NC20" i="65"/>
  <c r="NC21" i="65"/>
  <c r="NC22" i="65"/>
  <c r="NC23" i="65"/>
  <c r="NC24" i="65"/>
  <c r="NC25" i="65"/>
  <c r="NC26" i="65"/>
  <c r="NC27" i="65"/>
  <c r="NC28" i="65"/>
  <c r="NC29" i="65"/>
  <c r="NC30" i="65"/>
  <c r="NC31" i="65"/>
  <c r="NC32" i="65"/>
  <c r="NC33" i="65"/>
  <c r="NC34" i="65"/>
  <c r="NC35" i="65"/>
  <c r="NC36" i="65"/>
  <c r="NC37" i="65"/>
  <c r="NC38" i="65"/>
  <c r="NC39" i="65"/>
  <c r="NC40" i="65"/>
  <c r="NC41" i="65"/>
  <c r="NC42" i="65"/>
  <c r="NC43" i="65"/>
  <c r="NC44" i="65"/>
  <c r="NC45" i="65"/>
  <c r="NC46" i="65"/>
  <c r="NC47" i="65"/>
  <c r="NC48" i="65"/>
  <c r="NC49" i="65"/>
  <c r="NC50" i="65"/>
  <c r="NC51" i="65"/>
  <c r="NC52" i="65"/>
  <c r="NC53" i="65"/>
  <c r="NC54" i="65"/>
  <c r="NC55" i="65"/>
  <c r="NC56" i="65"/>
  <c r="NC57" i="65"/>
  <c r="NC58" i="65"/>
  <c r="NC59" i="65"/>
  <c r="NC60" i="65"/>
  <c r="NC61" i="65"/>
  <c r="NC62" i="65"/>
  <c r="NC63" i="65"/>
  <c r="NC64" i="65"/>
  <c r="NC65" i="65"/>
  <c r="NC66" i="65"/>
  <c r="NC67" i="65"/>
  <c r="NC68" i="65"/>
  <c r="NC69" i="65"/>
  <c r="NC70" i="65"/>
  <c r="NC71" i="65"/>
  <c r="NC72" i="65"/>
  <c r="NC73" i="65"/>
  <c r="NC74" i="65"/>
  <c r="NC75" i="65"/>
  <c r="NC76" i="65"/>
  <c r="NC77" i="65"/>
  <c r="NC78" i="65"/>
  <c r="NC79" i="65"/>
  <c r="NC80" i="65"/>
  <c r="NC81" i="65"/>
  <c r="NC82" i="65"/>
  <c r="NC83" i="65"/>
  <c r="NC84" i="65"/>
  <c r="NC85" i="65"/>
  <c r="NC86" i="65"/>
  <c r="NC87" i="65"/>
  <c r="NC88" i="65"/>
  <c r="NC89" i="65"/>
  <c r="NC90" i="65"/>
  <c r="NC91" i="65"/>
  <c r="NC92" i="65"/>
  <c r="NC93" i="65"/>
  <c r="NC94" i="65"/>
  <c r="NC95" i="65"/>
  <c r="NC96" i="65"/>
  <c r="NC97" i="65"/>
  <c r="NC98" i="65"/>
  <c r="NC99" i="65"/>
  <c r="NC100" i="65"/>
  <c r="NC101" i="65"/>
  <c r="NC102" i="65"/>
  <c r="NC103" i="65"/>
  <c r="NC104" i="65"/>
  <c r="NC11" i="65"/>
  <c r="NA108" i="61" l="1"/>
  <c r="NA109" i="61"/>
  <c r="NA110" i="61"/>
  <c r="NG108" i="61"/>
  <c r="NG109" i="61"/>
  <c r="NG110" i="61"/>
  <c r="MY108" i="61"/>
  <c r="MY109" i="61"/>
  <c r="MY110" i="61"/>
  <c r="NE108" i="61"/>
  <c r="NE109" i="61"/>
  <c r="NE110" i="61"/>
  <c r="NC108" i="61"/>
  <c r="NC109" i="61"/>
  <c r="NC110" i="61"/>
  <c r="L7" i="70"/>
  <c r="J8" i="70"/>
  <c r="W8" i="63"/>
  <c r="V8" i="63"/>
  <c r="NG106" i="61"/>
  <c r="NG107" i="61"/>
  <c r="MY106" i="61"/>
  <c r="MY107" i="61"/>
  <c r="NE106" i="61"/>
  <c r="NE107" i="61"/>
  <c r="NC106" i="61"/>
  <c r="NC107" i="61"/>
  <c r="NA106" i="61"/>
  <c r="NA107" i="61"/>
  <c r="T9" i="63"/>
  <c r="NG106" i="65"/>
  <c r="NG105" i="65"/>
  <c r="NI105" i="65"/>
  <c r="NI106" i="65"/>
  <c r="NB106" i="65"/>
  <c r="NB105" i="65"/>
  <c r="LO105" i="65"/>
  <c r="LO106" i="65"/>
  <c r="MY17" i="61"/>
  <c r="MY104" i="61"/>
  <c r="MY105" i="61"/>
  <c r="NE105" i="65"/>
  <c r="NE106" i="65"/>
  <c r="L47" i="63"/>
  <c r="NA104" i="61"/>
  <c r="NA105" i="61"/>
  <c r="L56" i="63"/>
  <c r="NC105" i="61"/>
  <c r="NC104" i="61"/>
  <c r="L45" i="63"/>
  <c r="NE104" i="61"/>
  <c r="NE105" i="61"/>
  <c r="NG104" i="61"/>
  <c r="NG105" i="61"/>
  <c r="NG95" i="61"/>
  <c r="L53" i="63"/>
  <c r="L48" i="63"/>
  <c r="NG6" i="65"/>
  <c r="NE98" i="65"/>
  <c r="NI6" i="65"/>
  <c r="NI19" i="65"/>
  <c r="NG12" i="65"/>
  <c r="NG6" i="61"/>
  <c r="NC17" i="61"/>
  <c r="NE6" i="61"/>
  <c r="NE102" i="61"/>
  <c r="NE71" i="61"/>
  <c r="NG17" i="61"/>
  <c r="NG102" i="61"/>
  <c r="NE17" i="61"/>
  <c r="NE95" i="61"/>
  <c r="NG100" i="61"/>
  <c r="NE39" i="61"/>
  <c r="NG88" i="61"/>
  <c r="NG64" i="61"/>
  <c r="NI89" i="65"/>
  <c r="NG32" i="61"/>
  <c r="NI57" i="65"/>
  <c r="NG10" i="61"/>
  <c r="NI25" i="65"/>
  <c r="NE103" i="61"/>
  <c r="NG103" i="61"/>
  <c r="NE10" i="61"/>
  <c r="NE91" i="61"/>
  <c r="NE64" i="61"/>
  <c r="NE32" i="61"/>
  <c r="NG91" i="61"/>
  <c r="NG63" i="61"/>
  <c r="NG31" i="61"/>
  <c r="NI82" i="65"/>
  <c r="NI50" i="65"/>
  <c r="NI18" i="65"/>
  <c r="NE88" i="61"/>
  <c r="NE63" i="61"/>
  <c r="NE31" i="61"/>
  <c r="NG56" i="61"/>
  <c r="NG24" i="61"/>
  <c r="NI81" i="65"/>
  <c r="NI49" i="65"/>
  <c r="NI17" i="65"/>
  <c r="NE87" i="61"/>
  <c r="NE56" i="61"/>
  <c r="NE24" i="61"/>
  <c r="NG87" i="61"/>
  <c r="NG55" i="61"/>
  <c r="NG23" i="61"/>
  <c r="NI74" i="65"/>
  <c r="NI42" i="65"/>
  <c r="NE101" i="61"/>
  <c r="NE83" i="61"/>
  <c r="NE55" i="61"/>
  <c r="NE23" i="61"/>
  <c r="NG101" i="61"/>
  <c r="NG80" i="61"/>
  <c r="NG48" i="61"/>
  <c r="NG16" i="61"/>
  <c r="NI11" i="65"/>
  <c r="NI73" i="65"/>
  <c r="NI41" i="65"/>
  <c r="NE100" i="61"/>
  <c r="NE80" i="61"/>
  <c r="NE48" i="61"/>
  <c r="NE16" i="61"/>
  <c r="NG79" i="61"/>
  <c r="NG47" i="61"/>
  <c r="NG15" i="61"/>
  <c r="NI98" i="65"/>
  <c r="NI66" i="65"/>
  <c r="NI34" i="65"/>
  <c r="NE99" i="61"/>
  <c r="NE79" i="61"/>
  <c r="NE47" i="61"/>
  <c r="NE15" i="61"/>
  <c r="NG99" i="61"/>
  <c r="NG72" i="61"/>
  <c r="NG40" i="61"/>
  <c r="NI97" i="65"/>
  <c r="NI65" i="65"/>
  <c r="NI33" i="65"/>
  <c r="NE96" i="61"/>
  <c r="NE72" i="61"/>
  <c r="NE40" i="61"/>
  <c r="NG96" i="61"/>
  <c r="NG71" i="61"/>
  <c r="NG39" i="61"/>
  <c r="NI90" i="65"/>
  <c r="NI58" i="65"/>
  <c r="NI26" i="65"/>
  <c r="NE94" i="61"/>
  <c r="NE86" i="61"/>
  <c r="NE78" i="61"/>
  <c r="NE70" i="61"/>
  <c r="NE62" i="61"/>
  <c r="NE54" i="61"/>
  <c r="NE46" i="61"/>
  <c r="NE38" i="61"/>
  <c r="NE30" i="61"/>
  <c r="NE22" i="61"/>
  <c r="NE14" i="61"/>
  <c r="NG94" i="61"/>
  <c r="NG86" i="61"/>
  <c r="NG78" i="61"/>
  <c r="NG70" i="61"/>
  <c r="NG62" i="61"/>
  <c r="NG54" i="61"/>
  <c r="NG46" i="61"/>
  <c r="NG38" i="61"/>
  <c r="NG30" i="61"/>
  <c r="NG22" i="61"/>
  <c r="NG14" i="61"/>
  <c r="NG99" i="65"/>
  <c r="NI104" i="65"/>
  <c r="NI96" i="65"/>
  <c r="NI88" i="65"/>
  <c r="NI80" i="65"/>
  <c r="NI72" i="65"/>
  <c r="NI64" i="65"/>
  <c r="NI56" i="65"/>
  <c r="NI48" i="65"/>
  <c r="NI40" i="65"/>
  <c r="NI32" i="65"/>
  <c r="NI24" i="65"/>
  <c r="NI16" i="65"/>
  <c r="NE93" i="61"/>
  <c r="NE85" i="61"/>
  <c r="NE77" i="61"/>
  <c r="NE69" i="61"/>
  <c r="NE61" i="61"/>
  <c r="NE53" i="61"/>
  <c r="NE45" i="61"/>
  <c r="NE37" i="61"/>
  <c r="NE29" i="61"/>
  <c r="NE21" i="61"/>
  <c r="NE13" i="61"/>
  <c r="NG93" i="61"/>
  <c r="NG85" i="61"/>
  <c r="NG77" i="61"/>
  <c r="NG69" i="61"/>
  <c r="NG61" i="61"/>
  <c r="NG53" i="61"/>
  <c r="NG45" i="61"/>
  <c r="NG37" i="61"/>
  <c r="NG29" i="61"/>
  <c r="NG21" i="61"/>
  <c r="NG13" i="61"/>
  <c r="NG91" i="65"/>
  <c r="NI103" i="65"/>
  <c r="NI95" i="65"/>
  <c r="NI87" i="65"/>
  <c r="NI79" i="65"/>
  <c r="NI71" i="65"/>
  <c r="NI63" i="65"/>
  <c r="NI55" i="65"/>
  <c r="NI47" i="65"/>
  <c r="NI39" i="65"/>
  <c r="NI31" i="65"/>
  <c r="NI23" i="65"/>
  <c r="NI15" i="65"/>
  <c r="NE92" i="61"/>
  <c r="NE84" i="61"/>
  <c r="NE76" i="61"/>
  <c r="NE68" i="61"/>
  <c r="NE60" i="61"/>
  <c r="NE52" i="61"/>
  <c r="NE44" i="61"/>
  <c r="NE36" i="61"/>
  <c r="NE28" i="61"/>
  <c r="NE20" i="61"/>
  <c r="NE12" i="61"/>
  <c r="NG92" i="61"/>
  <c r="NG84" i="61"/>
  <c r="NG76" i="61"/>
  <c r="NG68" i="61"/>
  <c r="NG60" i="61"/>
  <c r="NG52" i="61"/>
  <c r="NG44" i="61"/>
  <c r="NG36" i="61"/>
  <c r="NG28" i="61"/>
  <c r="NG20" i="61"/>
  <c r="NG12" i="61"/>
  <c r="NG83" i="65"/>
  <c r="NI102" i="65"/>
  <c r="NI94" i="65"/>
  <c r="NI86" i="65"/>
  <c r="NI78" i="65"/>
  <c r="NI70" i="65"/>
  <c r="NI62" i="65"/>
  <c r="NI54" i="65"/>
  <c r="NI46" i="65"/>
  <c r="NI38" i="65"/>
  <c r="NI30" i="65"/>
  <c r="NI22" i="65"/>
  <c r="NI14" i="65"/>
  <c r="NE75" i="61"/>
  <c r="NE67" i="61"/>
  <c r="NE59" i="61"/>
  <c r="NE51" i="61"/>
  <c r="NE43" i="61"/>
  <c r="NE35" i="61"/>
  <c r="NE27" i="61"/>
  <c r="NE19" i="61"/>
  <c r="NE11" i="61"/>
  <c r="NG83" i="61"/>
  <c r="NG75" i="61"/>
  <c r="NG67" i="61"/>
  <c r="NG59" i="61"/>
  <c r="NG51" i="61"/>
  <c r="NG43" i="61"/>
  <c r="NG35" i="61"/>
  <c r="NG27" i="61"/>
  <c r="NG19" i="61"/>
  <c r="NG11" i="61"/>
  <c r="NG75" i="65"/>
  <c r="NI101" i="65"/>
  <c r="NI93" i="65"/>
  <c r="NI85" i="65"/>
  <c r="NI77" i="65"/>
  <c r="NI69" i="65"/>
  <c r="NI61" i="65"/>
  <c r="NI53" i="65"/>
  <c r="NI45" i="65"/>
  <c r="NI37" i="65"/>
  <c r="NI29" i="65"/>
  <c r="NI21" i="65"/>
  <c r="NI13" i="65"/>
  <c r="NE98" i="61"/>
  <c r="NE90" i="61"/>
  <c r="NE82" i="61"/>
  <c r="NE74" i="61"/>
  <c r="NE66" i="61"/>
  <c r="NE58" i="61"/>
  <c r="NE50" i="61"/>
  <c r="NE42" i="61"/>
  <c r="NE34" i="61"/>
  <c r="NE26" i="61"/>
  <c r="NE18" i="61"/>
  <c r="NG98" i="61"/>
  <c r="NG90" i="61"/>
  <c r="NG82" i="61"/>
  <c r="NG74" i="61"/>
  <c r="NG66" i="61"/>
  <c r="NG58" i="61"/>
  <c r="NG50" i="61"/>
  <c r="NG42" i="61"/>
  <c r="NG34" i="61"/>
  <c r="NG26" i="61"/>
  <c r="NG18" i="61"/>
  <c r="NG67" i="65"/>
  <c r="NI100" i="65"/>
  <c r="NI92" i="65"/>
  <c r="NI84" i="65"/>
  <c r="NI76" i="65"/>
  <c r="NI68" i="65"/>
  <c r="NI60" i="65"/>
  <c r="NI52" i="65"/>
  <c r="NI44" i="65"/>
  <c r="NI36" i="65"/>
  <c r="NI28" i="65"/>
  <c r="NI20" i="65"/>
  <c r="NI12" i="65"/>
  <c r="NE97" i="61"/>
  <c r="NE89" i="61"/>
  <c r="NE81" i="61"/>
  <c r="NE73" i="61"/>
  <c r="NE65" i="61"/>
  <c r="NE57" i="61"/>
  <c r="NE49" i="61"/>
  <c r="NE41" i="61"/>
  <c r="NE33" i="61"/>
  <c r="NE25" i="61"/>
  <c r="NG97" i="61"/>
  <c r="NG89" i="61"/>
  <c r="NG81" i="61"/>
  <c r="NG73" i="61"/>
  <c r="NG65" i="61"/>
  <c r="NG57" i="61"/>
  <c r="NG49" i="61"/>
  <c r="NG41" i="61"/>
  <c r="NG33" i="61"/>
  <c r="NG25" i="61"/>
  <c r="NI99" i="65"/>
  <c r="NI91" i="65"/>
  <c r="NI83" i="65"/>
  <c r="NI75" i="65"/>
  <c r="NI67" i="65"/>
  <c r="NI59" i="65"/>
  <c r="NI51" i="65"/>
  <c r="NI43" i="65"/>
  <c r="NI35" i="65"/>
  <c r="NI27" i="65"/>
  <c r="NG98" i="65"/>
  <c r="NG90" i="65"/>
  <c r="NG82" i="65"/>
  <c r="NG74" i="65"/>
  <c r="NG66" i="65"/>
  <c r="NG58" i="65"/>
  <c r="NG50" i="65"/>
  <c r="NG42" i="65"/>
  <c r="NG34" i="65"/>
  <c r="NG26" i="65"/>
  <c r="NG18" i="65"/>
  <c r="NG43" i="65"/>
  <c r="NG11" i="65"/>
  <c r="NG97" i="65"/>
  <c r="NG89" i="65"/>
  <c r="NG81" i="65"/>
  <c r="NG73" i="65"/>
  <c r="NG65" i="65"/>
  <c r="NG57" i="65"/>
  <c r="NG49" i="65"/>
  <c r="NG41" i="65"/>
  <c r="NG33" i="65"/>
  <c r="NG25" i="65"/>
  <c r="NG17" i="65"/>
  <c r="NG19" i="65"/>
  <c r="NG104" i="65"/>
  <c r="NG96" i="65"/>
  <c r="NG88" i="65"/>
  <c r="NG80" i="65"/>
  <c r="NG72" i="65"/>
  <c r="NG64" i="65"/>
  <c r="NG56" i="65"/>
  <c r="NG48" i="65"/>
  <c r="NG40" i="65"/>
  <c r="NG32" i="65"/>
  <c r="NG24" i="65"/>
  <c r="NG16" i="65"/>
  <c r="NG27" i="65"/>
  <c r="NG103" i="65"/>
  <c r="NG95" i="65"/>
  <c r="NG87" i="65"/>
  <c r="NG79" i="65"/>
  <c r="NG71" i="65"/>
  <c r="NG63" i="65"/>
  <c r="NG55" i="65"/>
  <c r="NG47" i="65"/>
  <c r="NG39" i="65"/>
  <c r="NG31" i="65"/>
  <c r="NG23" i="65"/>
  <c r="NG15" i="65"/>
  <c r="NG51" i="65"/>
  <c r="NG102" i="65"/>
  <c r="NG94" i="65"/>
  <c r="NG86" i="65"/>
  <c r="NG78" i="65"/>
  <c r="NG70" i="65"/>
  <c r="NG62" i="65"/>
  <c r="NG54" i="65"/>
  <c r="NG46" i="65"/>
  <c r="NG38" i="65"/>
  <c r="NG30" i="65"/>
  <c r="NG22" i="65"/>
  <c r="NG14" i="65"/>
  <c r="NG59" i="65"/>
  <c r="NG101" i="65"/>
  <c r="NG93" i="65"/>
  <c r="NG85" i="65"/>
  <c r="NG77" i="65"/>
  <c r="NG69" i="65"/>
  <c r="NG61" i="65"/>
  <c r="NG53" i="65"/>
  <c r="NG45" i="65"/>
  <c r="NG37" i="65"/>
  <c r="NG29" i="65"/>
  <c r="NG21" i="65"/>
  <c r="NG13" i="65"/>
  <c r="NG35" i="65"/>
  <c r="NG100" i="65"/>
  <c r="NG92" i="65"/>
  <c r="NG84" i="65"/>
  <c r="NG76" i="65"/>
  <c r="NG68" i="65"/>
  <c r="NG60" i="65"/>
  <c r="NG52" i="65"/>
  <c r="NG44" i="65"/>
  <c r="NG36" i="65"/>
  <c r="NG28" i="65"/>
  <c r="NG20" i="65"/>
  <c r="NE50" i="65"/>
  <c r="NE74" i="65"/>
  <c r="NE6" i="65"/>
  <c r="LO24" i="65"/>
  <c r="NE95" i="65"/>
  <c r="LO11" i="65"/>
  <c r="NE76" i="65"/>
  <c r="NE55" i="65"/>
  <c r="NE19" i="65"/>
  <c r="NE100" i="65"/>
  <c r="NE79" i="65"/>
  <c r="NE58" i="65"/>
  <c r="NE92" i="65"/>
  <c r="NE71" i="65"/>
  <c r="NE42" i="65"/>
  <c r="NE90" i="65"/>
  <c r="NE68" i="65"/>
  <c r="NE34" i="65"/>
  <c r="NE87" i="65"/>
  <c r="NE66" i="65"/>
  <c r="NE26" i="65"/>
  <c r="NE84" i="65"/>
  <c r="NE63" i="65"/>
  <c r="NE18" i="65"/>
  <c r="NE103" i="65"/>
  <c r="NE82" i="65"/>
  <c r="NE60" i="65"/>
  <c r="NE11" i="65"/>
  <c r="NE97" i="65"/>
  <c r="NE89" i="65"/>
  <c r="NE81" i="65"/>
  <c r="NE73" i="65"/>
  <c r="NE65" i="65"/>
  <c r="NE57" i="65"/>
  <c r="NE49" i="65"/>
  <c r="NE41" i="65"/>
  <c r="NE33" i="65"/>
  <c r="NE25" i="65"/>
  <c r="NE17" i="65"/>
  <c r="NE104" i="65"/>
  <c r="NE96" i="65"/>
  <c r="NE88" i="65"/>
  <c r="NE80" i="65"/>
  <c r="NE72" i="65"/>
  <c r="NE64" i="65"/>
  <c r="NE56" i="65"/>
  <c r="NE48" i="65"/>
  <c r="NE40" i="65"/>
  <c r="NE32" i="65"/>
  <c r="NE24" i="65"/>
  <c r="NE16" i="65"/>
  <c r="NE47" i="65"/>
  <c r="NE39" i="65"/>
  <c r="NE31" i="65"/>
  <c r="NE23" i="65"/>
  <c r="NE15" i="65"/>
  <c r="NE102" i="65"/>
  <c r="NE94" i="65"/>
  <c r="NE86" i="65"/>
  <c r="NE78" i="65"/>
  <c r="NE70" i="65"/>
  <c r="NE62" i="65"/>
  <c r="NE54" i="65"/>
  <c r="NE46" i="65"/>
  <c r="NE38" i="65"/>
  <c r="NE30" i="65"/>
  <c r="NE22" i="65"/>
  <c r="NE14" i="65"/>
  <c r="NA13" i="61"/>
  <c r="LO97" i="65"/>
  <c r="NE101" i="65"/>
  <c r="NE93" i="65"/>
  <c r="NE85" i="65"/>
  <c r="NE77" i="65"/>
  <c r="NE69" i="65"/>
  <c r="NE61" i="65"/>
  <c r="NE53" i="65"/>
  <c r="NE45" i="65"/>
  <c r="NE37" i="65"/>
  <c r="NE29" i="65"/>
  <c r="NE21" i="65"/>
  <c r="NE13" i="65"/>
  <c r="NE52" i="65"/>
  <c r="NE44" i="65"/>
  <c r="NE36" i="65"/>
  <c r="NE28" i="65"/>
  <c r="NE20" i="65"/>
  <c r="NE12" i="65"/>
  <c r="NE99" i="65"/>
  <c r="NE91" i="65"/>
  <c r="NE83" i="65"/>
  <c r="NE75" i="65"/>
  <c r="NE67" i="65"/>
  <c r="NE59" i="65"/>
  <c r="NE51" i="65"/>
  <c r="NE43" i="65"/>
  <c r="NE35" i="65"/>
  <c r="NE27" i="65"/>
  <c r="NB37" i="65"/>
  <c r="LO18" i="65"/>
  <c r="LO104" i="65"/>
  <c r="LO81" i="65"/>
  <c r="LO25" i="65"/>
  <c r="LO103" i="65"/>
  <c r="LO95" i="65"/>
  <c r="LO87" i="65"/>
  <c r="LO79" i="65"/>
  <c r="LO71" i="65"/>
  <c r="LO63" i="65"/>
  <c r="LO55" i="65"/>
  <c r="LO47" i="65"/>
  <c r="LO39" i="65"/>
  <c r="LO31" i="65"/>
  <c r="LO23" i="65"/>
  <c r="LO15" i="65"/>
  <c r="LO65" i="65"/>
  <c r="LO41" i="65"/>
  <c r="LO88" i="65"/>
  <c r="LO48" i="65"/>
  <c r="NB101" i="65"/>
  <c r="LO102" i="65"/>
  <c r="LO94" i="65"/>
  <c r="LO86" i="65"/>
  <c r="LO78" i="65"/>
  <c r="LO70" i="65"/>
  <c r="LO62" i="65"/>
  <c r="LO54" i="65"/>
  <c r="LO46" i="65"/>
  <c r="LO38" i="65"/>
  <c r="LO30" i="65"/>
  <c r="LO22" i="65"/>
  <c r="LO14" i="65"/>
  <c r="LO96" i="65"/>
  <c r="LO64" i="65"/>
  <c r="LO32" i="65"/>
  <c r="NB69" i="65"/>
  <c r="LO101" i="65"/>
  <c r="LO93" i="65"/>
  <c r="LO85" i="65"/>
  <c r="LO77" i="65"/>
  <c r="LO69" i="65"/>
  <c r="LO61" i="65"/>
  <c r="LO53" i="65"/>
  <c r="LO45" i="65"/>
  <c r="LO37" i="65"/>
  <c r="LO29" i="65"/>
  <c r="LO21" i="65"/>
  <c r="LO13" i="65"/>
  <c r="LO89" i="65"/>
  <c r="LO49" i="65"/>
  <c r="LO80" i="65"/>
  <c r="LO40" i="65"/>
  <c r="LO100" i="65"/>
  <c r="LO92" i="65"/>
  <c r="LO84" i="65"/>
  <c r="LO76" i="65"/>
  <c r="LO68" i="65"/>
  <c r="LO60" i="65"/>
  <c r="LO52" i="65"/>
  <c r="LO44" i="65"/>
  <c r="LO36" i="65"/>
  <c r="LO28" i="65"/>
  <c r="LO20" i="65"/>
  <c r="LO12" i="65"/>
  <c r="LO73" i="65"/>
  <c r="LO33" i="65"/>
  <c r="LO72" i="65"/>
  <c r="LO16" i="65"/>
  <c r="NB16" i="65"/>
  <c r="LO99" i="65"/>
  <c r="LO91" i="65"/>
  <c r="LO83" i="65"/>
  <c r="LO75" i="65"/>
  <c r="LO67" i="65"/>
  <c r="LO59" i="65"/>
  <c r="LO51" i="65"/>
  <c r="LO43" i="65"/>
  <c r="LO35" i="65"/>
  <c r="LO27" i="65"/>
  <c r="LO19" i="65"/>
  <c r="LO57" i="65"/>
  <c r="LO17" i="65"/>
  <c r="LO56" i="65"/>
  <c r="LO6" i="65"/>
  <c r="LO98" i="65"/>
  <c r="LO90" i="65"/>
  <c r="LO82" i="65"/>
  <c r="LO74" i="65"/>
  <c r="LO66" i="65"/>
  <c r="LO58" i="65"/>
  <c r="LO50" i="65"/>
  <c r="LO42" i="65"/>
  <c r="LO34" i="65"/>
  <c r="LO26" i="65"/>
  <c r="NC10" i="61"/>
  <c r="NC103" i="61"/>
  <c r="NC95" i="61"/>
  <c r="NC87" i="61"/>
  <c r="NC79" i="61"/>
  <c r="NC71" i="61"/>
  <c r="NC63" i="61"/>
  <c r="NC55" i="61"/>
  <c r="NC47" i="61"/>
  <c r="NC39" i="61"/>
  <c r="NC31" i="61"/>
  <c r="NC23" i="61"/>
  <c r="NC15" i="61"/>
  <c r="NC96" i="61"/>
  <c r="NC64" i="61"/>
  <c r="NC16" i="61"/>
  <c r="NC102" i="61"/>
  <c r="NC94" i="61"/>
  <c r="NC86" i="61"/>
  <c r="NC78" i="61"/>
  <c r="NC70" i="61"/>
  <c r="NC62" i="61"/>
  <c r="NC54" i="61"/>
  <c r="NC46" i="61"/>
  <c r="NC38" i="61"/>
  <c r="NC30" i="61"/>
  <c r="NC22" i="61"/>
  <c r="NC14" i="61"/>
  <c r="NC101" i="61"/>
  <c r="NC93" i="61"/>
  <c r="NC85" i="61"/>
  <c r="NC77" i="61"/>
  <c r="NC69" i="61"/>
  <c r="NC61" i="61"/>
  <c r="NC53" i="61"/>
  <c r="NC45" i="61"/>
  <c r="NC37" i="61"/>
  <c r="NC29" i="61"/>
  <c r="NC21" i="61"/>
  <c r="NC13" i="61"/>
  <c r="NC88" i="61"/>
  <c r="NC48" i="61"/>
  <c r="NC100" i="61"/>
  <c r="NC92" i="61"/>
  <c r="NC84" i="61"/>
  <c r="NC76" i="61"/>
  <c r="NC68" i="61"/>
  <c r="NC60" i="61"/>
  <c r="NC52" i="61"/>
  <c r="NC44" i="61"/>
  <c r="NC36" i="61"/>
  <c r="NC28" i="61"/>
  <c r="NC20" i="61"/>
  <c r="NC12" i="61"/>
  <c r="NC72" i="61"/>
  <c r="NC24" i="61"/>
  <c r="NC99" i="61"/>
  <c r="NC91" i="61"/>
  <c r="NC83" i="61"/>
  <c r="NC75" i="61"/>
  <c r="NC67" i="61"/>
  <c r="NC59" i="61"/>
  <c r="NC51" i="61"/>
  <c r="NC43" i="61"/>
  <c r="NC35" i="61"/>
  <c r="NC27" i="61"/>
  <c r="NC19" i="61"/>
  <c r="NC11" i="61"/>
  <c r="NC80" i="61"/>
  <c r="NC40" i="61"/>
  <c r="MY6" i="61"/>
  <c r="NC98" i="61"/>
  <c r="NC90" i="61"/>
  <c r="NC82" i="61"/>
  <c r="NC74" i="61"/>
  <c r="NC66" i="61"/>
  <c r="NC58" i="61"/>
  <c r="NC50" i="61"/>
  <c r="NC42" i="61"/>
  <c r="NC34" i="61"/>
  <c r="NC26" i="61"/>
  <c r="NC18" i="61"/>
  <c r="NC56" i="61"/>
  <c r="NC32" i="61"/>
  <c r="NC6" i="61"/>
  <c r="NC97" i="61"/>
  <c r="NC89" i="61"/>
  <c r="NC81" i="61"/>
  <c r="NC73" i="61"/>
  <c r="NC65" i="61"/>
  <c r="NC57" i="61"/>
  <c r="NC49" i="61"/>
  <c r="NC41" i="61"/>
  <c r="NC33" i="61"/>
  <c r="NC25" i="61"/>
  <c r="NB30" i="65"/>
  <c r="NB93" i="65"/>
  <c r="NB61" i="65"/>
  <c r="NB29" i="65"/>
  <c r="NB62" i="65"/>
  <c r="NB86" i="65"/>
  <c r="NB54" i="65"/>
  <c r="NB22" i="65"/>
  <c r="NC6" i="65"/>
  <c r="NB85" i="65"/>
  <c r="NB53" i="65"/>
  <c r="NB21" i="65"/>
  <c r="NB78" i="65"/>
  <c r="NB46" i="65"/>
  <c r="NB14" i="65"/>
  <c r="M48" i="63"/>
  <c r="NB77" i="65"/>
  <c r="NB45" i="65"/>
  <c r="NB13" i="65"/>
  <c r="NB94" i="65"/>
  <c r="NB102" i="65"/>
  <c r="NB70" i="65"/>
  <c r="NB38" i="65"/>
  <c r="MY10" i="61"/>
  <c r="MY96" i="61"/>
  <c r="MY88" i="61"/>
  <c r="MY80" i="61"/>
  <c r="MY72" i="61"/>
  <c r="MY64" i="61"/>
  <c r="MY56" i="61"/>
  <c r="MY48" i="61"/>
  <c r="MY40" i="61"/>
  <c r="MY32" i="61"/>
  <c r="MY24" i="61"/>
  <c r="MY16" i="61"/>
  <c r="MY103" i="61"/>
  <c r="MY95" i="61"/>
  <c r="MY87" i="61"/>
  <c r="MY79" i="61"/>
  <c r="MY71" i="61"/>
  <c r="MY63" i="61"/>
  <c r="MY55" i="61"/>
  <c r="MY47" i="61"/>
  <c r="MY39" i="61"/>
  <c r="MY31" i="61"/>
  <c r="MY23" i="61"/>
  <c r="MY15" i="61"/>
  <c r="MY102" i="61"/>
  <c r="MY94" i="61"/>
  <c r="MY86" i="61"/>
  <c r="MY78" i="61"/>
  <c r="MY70" i="61"/>
  <c r="MY62" i="61"/>
  <c r="MY54" i="61"/>
  <c r="MY46" i="61"/>
  <c r="MY38" i="61"/>
  <c r="MY30" i="61"/>
  <c r="MY22" i="61"/>
  <c r="MY14" i="61"/>
  <c r="MY101" i="61"/>
  <c r="MY93" i="61"/>
  <c r="MY85" i="61"/>
  <c r="MY77" i="61"/>
  <c r="MY69" i="61"/>
  <c r="MY61" i="61"/>
  <c r="MY53" i="61"/>
  <c r="MY45" i="61"/>
  <c r="MY37" i="61"/>
  <c r="MY29" i="61"/>
  <c r="MY21" i="61"/>
  <c r="MY13" i="61"/>
  <c r="MY100" i="61"/>
  <c r="MY92" i="61"/>
  <c r="MY84" i="61"/>
  <c r="MY76" i="61"/>
  <c r="MY68" i="61"/>
  <c r="MY60" i="61"/>
  <c r="MY52" i="61"/>
  <c r="MY44" i="61"/>
  <c r="MY36" i="61"/>
  <c r="MY28" i="61"/>
  <c r="MY20" i="61"/>
  <c r="MY12" i="61"/>
  <c r="MY99" i="61"/>
  <c r="MY91" i="61"/>
  <c r="MY83" i="61"/>
  <c r="MY75" i="61"/>
  <c r="MY67" i="61"/>
  <c r="MY59" i="61"/>
  <c r="MY51" i="61"/>
  <c r="MY43" i="61"/>
  <c r="MY35" i="61"/>
  <c r="MY27" i="61"/>
  <c r="MY19" i="61"/>
  <c r="MY11" i="61"/>
  <c r="MY98" i="61"/>
  <c r="MY90" i="61"/>
  <c r="MY82" i="61"/>
  <c r="MY74" i="61"/>
  <c r="MY66" i="61"/>
  <c r="MY58" i="61"/>
  <c r="MY50" i="61"/>
  <c r="MY42" i="61"/>
  <c r="MY34" i="61"/>
  <c r="MY26" i="61"/>
  <c r="MY18" i="61"/>
  <c r="MY97" i="61"/>
  <c r="MY89" i="61"/>
  <c r="MY81" i="61"/>
  <c r="MY73" i="61"/>
  <c r="MY65" i="61"/>
  <c r="MY57" i="61"/>
  <c r="MY49" i="61"/>
  <c r="MY41" i="61"/>
  <c r="MY33" i="61"/>
  <c r="MY25" i="61"/>
  <c r="NA76" i="61"/>
  <c r="NA36" i="61"/>
  <c r="NA99" i="61"/>
  <c r="NA67" i="61"/>
  <c r="NA35" i="61"/>
  <c r="NA98" i="61"/>
  <c r="NA90" i="61"/>
  <c r="NA82" i="61"/>
  <c r="NA74" i="61"/>
  <c r="NA66" i="61"/>
  <c r="NA58" i="61"/>
  <c r="NA50" i="61"/>
  <c r="NA42" i="61"/>
  <c r="NA34" i="61"/>
  <c r="NA26" i="61"/>
  <c r="NA18" i="61"/>
  <c r="NA68" i="61"/>
  <c r="NA28" i="61"/>
  <c r="NA83" i="61"/>
  <c r="NA19" i="61"/>
  <c r="NA6" i="61"/>
  <c r="NA97" i="61"/>
  <c r="NA89" i="61"/>
  <c r="NA81" i="61"/>
  <c r="NA73" i="61"/>
  <c r="NA65" i="61"/>
  <c r="NA57" i="61"/>
  <c r="NA49" i="61"/>
  <c r="NA41" i="61"/>
  <c r="NA33" i="61"/>
  <c r="NA25" i="61"/>
  <c r="NA17" i="61"/>
  <c r="NA92" i="61"/>
  <c r="NA52" i="61"/>
  <c r="NA91" i="61"/>
  <c r="NA43" i="61"/>
  <c r="NA10" i="61"/>
  <c r="NA96" i="61"/>
  <c r="NA88" i="61"/>
  <c r="NA80" i="61"/>
  <c r="NA72" i="61"/>
  <c r="NA64" i="61"/>
  <c r="NA56" i="61"/>
  <c r="NA48" i="61"/>
  <c r="NA40" i="61"/>
  <c r="NA32" i="61"/>
  <c r="NA24" i="61"/>
  <c r="NA16" i="61"/>
  <c r="NA100" i="61"/>
  <c r="NA20" i="61"/>
  <c r="NA51" i="61"/>
  <c r="NA103" i="61"/>
  <c r="NA95" i="61"/>
  <c r="NA87" i="61"/>
  <c r="NA79" i="61"/>
  <c r="NA71" i="61"/>
  <c r="NA63" i="61"/>
  <c r="NA55" i="61"/>
  <c r="NA47" i="61"/>
  <c r="NA39" i="61"/>
  <c r="NA31" i="61"/>
  <c r="NA23" i="61"/>
  <c r="NA15" i="61"/>
  <c r="NA84" i="61"/>
  <c r="NA44" i="61"/>
  <c r="NA59" i="61"/>
  <c r="NA27" i="61"/>
  <c r="NA102" i="61"/>
  <c r="NA94" i="61"/>
  <c r="NA86" i="61"/>
  <c r="NA78" i="61"/>
  <c r="NA70" i="61"/>
  <c r="NA62" i="61"/>
  <c r="NA54" i="61"/>
  <c r="NA46" i="61"/>
  <c r="NA38" i="61"/>
  <c r="NA30" i="61"/>
  <c r="NA22" i="61"/>
  <c r="NA14" i="61"/>
  <c r="NA60" i="61"/>
  <c r="NA12" i="61"/>
  <c r="NA75" i="61"/>
  <c r="NA11" i="61"/>
  <c r="NA101" i="61"/>
  <c r="NA93" i="61"/>
  <c r="NA85" i="61"/>
  <c r="NA77" i="61"/>
  <c r="NA69" i="61"/>
  <c r="NA61" i="61"/>
  <c r="NA53" i="61"/>
  <c r="NA45" i="61"/>
  <c r="NA37" i="61"/>
  <c r="NA29" i="61"/>
  <c r="NA21" i="61"/>
  <c r="NB11" i="65"/>
  <c r="NB95" i="65"/>
  <c r="NB87" i="65"/>
  <c r="NB79" i="65"/>
  <c r="NB71" i="65"/>
  <c r="NB63" i="65"/>
  <c r="NB55" i="65"/>
  <c r="NB47" i="65"/>
  <c r="NB39" i="65"/>
  <c r="NB31" i="65"/>
  <c r="NB23" i="65"/>
  <c r="NB15" i="65"/>
  <c r="NB100" i="65"/>
  <c r="NB92" i="65"/>
  <c r="NB84" i="65"/>
  <c r="NB76" i="65"/>
  <c r="NB68" i="65"/>
  <c r="NB60" i="65"/>
  <c r="NB52" i="65"/>
  <c r="NB44" i="65"/>
  <c r="NB36" i="65"/>
  <c r="NB28" i="65"/>
  <c r="NB20" i="65"/>
  <c r="NB12" i="65"/>
  <c r="NB99" i="65"/>
  <c r="NB91" i="65"/>
  <c r="NB83" i="65"/>
  <c r="NB75" i="65"/>
  <c r="NB67" i="65"/>
  <c r="NB59" i="65"/>
  <c r="NB51" i="65"/>
  <c r="NB43" i="65"/>
  <c r="NB35" i="65"/>
  <c r="NB27" i="65"/>
  <c r="NB19" i="65"/>
  <c r="NC4" i="65"/>
  <c r="NB98" i="65"/>
  <c r="NB90" i="65"/>
  <c r="NB82" i="65"/>
  <c r="NB74" i="65"/>
  <c r="NB66" i="65"/>
  <c r="NB58" i="65"/>
  <c r="NB50" i="65"/>
  <c r="NB42" i="65"/>
  <c r="NB34" i="65"/>
  <c r="NB26" i="65"/>
  <c r="NB18" i="65"/>
  <c r="NB104" i="65"/>
  <c r="NB97" i="65"/>
  <c r="NB89" i="65"/>
  <c r="NB81" i="65"/>
  <c r="NB73" i="65"/>
  <c r="NB65" i="65"/>
  <c r="NB57" i="65"/>
  <c r="NB49" i="65"/>
  <c r="NB41" i="65"/>
  <c r="NB33" i="65"/>
  <c r="NB25" i="65"/>
  <c r="NB17" i="65"/>
  <c r="NB103" i="65"/>
  <c r="NB96" i="65"/>
  <c r="NB88" i="65"/>
  <c r="NB80" i="65"/>
  <c r="NB72" i="65"/>
  <c r="NB64" i="65"/>
  <c r="NB56" i="65"/>
  <c r="NB48" i="65"/>
  <c r="NB40" i="65"/>
  <c r="NB32" i="65"/>
  <c r="NB24" i="65"/>
  <c r="NA8" i="65"/>
  <c r="NA6" i="65"/>
  <c r="MW8" i="61"/>
  <c r="MW111" i="61" s="1"/>
  <c r="MW6" i="61"/>
  <c r="MU8" i="61"/>
  <c r="MU111" i="61" s="1"/>
  <c r="MY8" i="65"/>
  <c r="MW8" i="65"/>
  <c r="MU8" i="65"/>
  <c r="MS8" i="61"/>
  <c r="MS111" i="61" s="1"/>
  <c r="MQ8" i="61"/>
  <c r="MQ111" i="61" s="1"/>
  <c r="MS8" i="65"/>
  <c r="MQ8" i="65"/>
  <c r="MO8" i="61"/>
  <c r="MO111" i="61" s="1"/>
  <c r="T32" i="21"/>
  <c r="MM8" i="61"/>
  <c r="MM111" i="61" s="1"/>
  <c r="MK8" i="61"/>
  <c r="MK111" i="61" s="1"/>
  <c r="MI8" i="61"/>
  <c r="MI111" i="61" s="1"/>
  <c r="MG8" i="61"/>
  <c r="MG111" i="61" s="1"/>
  <c r="ME8" i="61"/>
  <c r="ME111" i="61" s="1"/>
  <c r="MC8" i="61"/>
  <c r="MC111" i="61" s="1"/>
  <c r="MA8" i="61"/>
  <c r="MA111" i="61" s="1"/>
  <c r="LY8" i="61"/>
  <c r="LY111" i="61" s="1"/>
  <c r="LW8" i="61"/>
  <c r="LW111" i="61" s="1"/>
  <c r="LU8" i="61"/>
  <c r="LU111" i="61" s="1"/>
  <c r="LS8" i="61"/>
  <c r="LQ8" i="61"/>
  <c r="LQ111" i="61" s="1"/>
  <c r="LO8" i="61"/>
  <c r="LO111" i="61" s="1"/>
  <c r="T31" i="21"/>
  <c r="T30" i="21"/>
  <c r="C26" i="63"/>
  <c r="MO8" i="65"/>
  <c r="MM8" i="65"/>
  <c r="T26" i="21"/>
  <c r="T25" i="21"/>
  <c r="C25" i="63"/>
  <c r="F5" i="4"/>
  <c r="B25" i="63" s="1"/>
  <c r="D5" i="4"/>
  <c r="B26" i="63" s="1"/>
  <c r="D9" i="4"/>
  <c r="D7" i="4" s="1"/>
  <c r="D26" i="63" s="1"/>
  <c r="F9" i="4"/>
  <c r="F7" i="4" s="1"/>
  <c r="D25" i="63" s="1"/>
  <c r="NG7" i="61"/>
  <c r="MY7" i="61"/>
  <c r="NA7" i="61"/>
  <c r="NA7" i="65"/>
  <c r="NE7" i="65"/>
  <c r="NI7" i="65"/>
  <c r="NG7" i="65"/>
  <c r="NC7" i="61"/>
  <c r="NE7" i="61"/>
  <c r="NC7" i="65"/>
  <c r="LO7" i="65"/>
  <c r="MW7" i="61"/>
  <c r="MX111" i="61" l="1"/>
  <c r="NB111" i="61"/>
  <c r="ND111" i="61"/>
  <c r="MZ111" i="61"/>
  <c r="NF111" i="61"/>
  <c r="ME108" i="61"/>
  <c r="ME109" i="61"/>
  <c r="ME110" i="61"/>
  <c r="LQ108" i="61"/>
  <c r="LQ109" i="61"/>
  <c r="LQ110" i="61"/>
  <c r="MQ108" i="61"/>
  <c r="MQ109" i="61"/>
  <c r="MQ110" i="61"/>
  <c r="MI108" i="61"/>
  <c r="MI109" i="61"/>
  <c r="MI110" i="61"/>
  <c r="MS108" i="61"/>
  <c r="MS110" i="61"/>
  <c r="MS109" i="61"/>
  <c r="LO108" i="61"/>
  <c r="LO109" i="61"/>
  <c r="LO110" i="61"/>
  <c r="LU108" i="61"/>
  <c r="LU109" i="61"/>
  <c r="LU110" i="61"/>
  <c r="MK108" i="61"/>
  <c r="MK109" i="61"/>
  <c r="MK110" i="61"/>
  <c r="LW108" i="61"/>
  <c r="LW109" i="61"/>
  <c r="LW110" i="61"/>
  <c r="LY109" i="61"/>
  <c r="LY108" i="61"/>
  <c r="LY110" i="61"/>
  <c r="MA108" i="61"/>
  <c r="MA109" i="61"/>
  <c r="MA110" i="61"/>
  <c r="MO108" i="61"/>
  <c r="MO109" i="61"/>
  <c r="MO110" i="61"/>
  <c r="MU108" i="61"/>
  <c r="MU109" i="61"/>
  <c r="MU110" i="61"/>
  <c r="MX108" i="61"/>
  <c r="MX110" i="61"/>
  <c r="MX109" i="61"/>
  <c r="MC108" i="61"/>
  <c r="MC109" i="61"/>
  <c r="MC110" i="61"/>
  <c r="MM108" i="61"/>
  <c r="MM109" i="61"/>
  <c r="MM110" i="61"/>
  <c r="MW108" i="61"/>
  <c r="MW109" i="61"/>
  <c r="MW110" i="61"/>
  <c r="MG108" i="61"/>
  <c r="MG109" i="61"/>
  <c r="MG110" i="61"/>
  <c r="MZ110" i="61"/>
  <c r="MZ109" i="61"/>
  <c r="MZ108" i="61"/>
  <c r="NF110" i="61"/>
  <c r="NF109" i="61"/>
  <c r="NF108" i="61"/>
  <c r="ND109" i="61"/>
  <c r="ND108" i="61"/>
  <c r="ND110" i="61"/>
  <c r="NB108" i="61"/>
  <c r="NB110" i="61"/>
  <c r="NB109" i="61"/>
  <c r="L8" i="70"/>
  <c r="J9" i="70"/>
  <c r="B33" i="63"/>
  <c r="NE2" i="61"/>
  <c r="D33" i="63" s="1"/>
  <c r="NG2" i="65"/>
  <c r="G33" i="63" s="1"/>
  <c r="H33" i="63" s="1"/>
  <c r="NE2" i="65"/>
  <c r="G32" i="63" s="1"/>
  <c r="V9" i="63"/>
  <c r="W9" i="63"/>
  <c r="LQ106" i="61"/>
  <c r="LQ107" i="61"/>
  <c r="MG106" i="61"/>
  <c r="MG107" i="61"/>
  <c r="MQ106" i="61"/>
  <c r="MQ107" i="61"/>
  <c r="LO106" i="61"/>
  <c r="LO107" i="61"/>
  <c r="ME106" i="61"/>
  <c r="ME107" i="61"/>
  <c r="MW106" i="61"/>
  <c r="MW107" i="61"/>
  <c r="L51" i="63"/>
  <c r="MI106" i="61"/>
  <c r="MI107" i="61"/>
  <c r="MS106" i="61"/>
  <c r="MS107" i="61"/>
  <c r="MC106" i="61"/>
  <c r="MC107" i="61"/>
  <c r="LU106" i="61"/>
  <c r="LU107" i="61"/>
  <c r="MK106" i="61"/>
  <c r="MK107" i="61"/>
  <c r="MM106" i="61"/>
  <c r="MM107" i="61"/>
  <c r="LY106" i="61"/>
  <c r="LY107" i="61"/>
  <c r="LW106" i="61"/>
  <c r="LW107" i="61"/>
  <c r="MA106" i="61"/>
  <c r="MA107" i="61"/>
  <c r="MO106" i="61"/>
  <c r="MO107" i="61"/>
  <c r="MU106" i="61"/>
  <c r="MU107" i="61"/>
  <c r="MX107" i="61"/>
  <c r="NB107" i="61"/>
  <c r="ND107" i="61"/>
  <c r="MZ107" i="61"/>
  <c r="NF107" i="61"/>
  <c r="T10" i="63"/>
  <c r="MX106" i="61"/>
  <c r="O56" i="63"/>
  <c r="ND106" i="61"/>
  <c r="MZ106" i="61"/>
  <c r="NF106" i="61"/>
  <c r="NB106" i="61"/>
  <c r="L39" i="63"/>
  <c r="MU104" i="61"/>
  <c r="MU105" i="61"/>
  <c r="L49" i="63"/>
  <c r="MC104" i="61"/>
  <c r="MC105" i="61"/>
  <c r="MQ105" i="65"/>
  <c r="MQ106" i="65"/>
  <c r="L42" i="63"/>
  <c r="LO104" i="61"/>
  <c r="LO105" i="61"/>
  <c r="ME104" i="61"/>
  <c r="ME105" i="61"/>
  <c r="MS106" i="65"/>
  <c r="MS105" i="65"/>
  <c r="MW104" i="61"/>
  <c r="MW105" i="61"/>
  <c r="L37" i="63"/>
  <c r="LQ104" i="61"/>
  <c r="LQ105" i="61"/>
  <c r="MY105" i="65"/>
  <c r="MY106" i="65"/>
  <c r="L46" i="63"/>
  <c r="MA104" i="61"/>
  <c r="MA105" i="61"/>
  <c r="MG104" i="61"/>
  <c r="MG105" i="61"/>
  <c r="L38" i="63"/>
  <c r="MS104" i="61"/>
  <c r="MS105" i="61"/>
  <c r="LU104" i="61"/>
  <c r="LU105" i="61"/>
  <c r="MU105" i="65"/>
  <c r="MU106" i="65"/>
  <c r="MX104" i="61"/>
  <c r="MX105" i="61"/>
  <c r="L52" i="63"/>
  <c r="LY104" i="61"/>
  <c r="LY105" i="61"/>
  <c r="L55" i="63"/>
  <c r="MO104" i="61"/>
  <c r="MO105" i="61"/>
  <c r="L41" i="63"/>
  <c r="MQ104" i="61"/>
  <c r="MQ105" i="61"/>
  <c r="L50" i="63"/>
  <c r="MI104" i="61"/>
  <c r="MI105" i="61"/>
  <c r="NA12" i="65"/>
  <c r="NA105" i="65"/>
  <c r="NA106" i="65"/>
  <c r="MM106" i="65"/>
  <c r="MM105" i="65"/>
  <c r="L43" i="63"/>
  <c r="MK104" i="61"/>
  <c r="MK105" i="61"/>
  <c r="MO105" i="65"/>
  <c r="MO106" i="65"/>
  <c r="L54" i="63"/>
  <c r="LW104" i="61"/>
  <c r="LW105" i="61"/>
  <c r="L44" i="63"/>
  <c r="MM104" i="61"/>
  <c r="MM105" i="61"/>
  <c r="MW105" i="65"/>
  <c r="MW106" i="65"/>
  <c r="NB104" i="61"/>
  <c r="NB105" i="61"/>
  <c r="NF105" i="61"/>
  <c r="NF104" i="61"/>
  <c r="MZ105" i="61"/>
  <c r="MZ104" i="61"/>
  <c r="ND105" i="61"/>
  <c r="ND104" i="61"/>
  <c r="ND105" i="65"/>
  <c r="ND106" i="65"/>
  <c r="NH105" i="65"/>
  <c r="NH106" i="65"/>
  <c r="LN105" i="65"/>
  <c r="LN106" i="65"/>
  <c r="NF105" i="65"/>
  <c r="NF106" i="65"/>
  <c r="MW17" i="61"/>
  <c r="L40" i="63"/>
  <c r="O53" i="63"/>
  <c r="M53" i="63"/>
  <c r="O45" i="63"/>
  <c r="M45" i="63"/>
  <c r="NF102" i="61"/>
  <c r="NF103" i="61"/>
  <c r="ND102" i="61"/>
  <c r="ND103" i="61"/>
  <c r="NH29" i="65"/>
  <c r="NH72" i="65"/>
  <c r="ND72" i="61"/>
  <c r="NF49" i="61"/>
  <c r="NH93" i="65"/>
  <c r="ND28" i="61"/>
  <c r="NH54" i="65"/>
  <c r="ND25" i="61"/>
  <c r="NH15" i="65"/>
  <c r="NH17" i="65"/>
  <c r="NF52" i="61"/>
  <c r="NH79" i="65"/>
  <c r="NH40" i="65"/>
  <c r="NH103" i="65"/>
  <c r="NH33" i="65"/>
  <c r="NH60" i="65"/>
  <c r="ND92" i="61"/>
  <c r="ND89" i="61"/>
  <c r="NH104" i="65"/>
  <c r="NH68" i="65"/>
  <c r="NH37" i="65"/>
  <c r="NH101" i="65"/>
  <c r="NH62" i="65"/>
  <c r="NH23" i="65"/>
  <c r="NH87" i="65"/>
  <c r="NH56" i="65"/>
  <c r="NH73" i="65"/>
  <c r="ND53" i="61"/>
  <c r="NF83" i="61"/>
  <c r="NH12" i="65"/>
  <c r="NH76" i="65"/>
  <c r="NH45" i="65"/>
  <c r="NH11" i="65"/>
  <c r="NH70" i="65"/>
  <c r="NH31" i="65"/>
  <c r="NH95" i="65"/>
  <c r="NH64" i="65"/>
  <c r="NH81" i="65"/>
  <c r="ND98" i="61"/>
  <c r="NH53" i="65"/>
  <c r="NH42" i="65"/>
  <c r="ND70" i="61"/>
  <c r="NF69" i="61"/>
  <c r="NH28" i="65"/>
  <c r="NH92" i="65"/>
  <c r="NH61" i="65"/>
  <c r="NH22" i="65"/>
  <c r="NH86" i="65"/>
  <c r="NH47" i="65"/>
  <c r="NH98" i="65"/>
  <c r="NH80" i="65"/>
  <c r="NH35" i="65"/>
  <c r="NH84" i="65"/>
  <c r="NH39" i="65"/>
  <c r="ND39" i="61"/>
  <c r="NF96" i="61"/>
  <c r="NH36" i="65"/>
  <c r="NH100" i="65"/>
  <c r="NH69" i="65"/>
  <c r="NH30" i="65"/>
  <c r="NH94" i="65"/>
  <c r="NH55" i="65"/>
  <c r="NH16" i="65"/>
  <c r="NH88" i="65"/>
  <c r="NH91" i="65"/>
  <c r="NF32" i="61"/>
  <c r="NH78" i="65"/>
  <c r="NH27" i="65"/>
  <c r="ND58" i="61"/>
  <c r="NH44" i="65"/>
  <c r="NH13" i="65"/>
  <c r="NH77" i="65"/>
  <c r="NH38" i="65"/>
  <c r="NH102" i="65"/>
  <c r="NH63" i="65"/>
  <c r="NH24" i="65"/>
  <c r="NH66" i="65"/>
  <c r="NH99" i="65"/>
  <c r="NH20" i="65"/>
  <c r="NH90" i="65"/>
  <c r="ND59" i="61"/>
  <c r="NH52" i="65"/>
  <c r="NH21" i="65"/>
  <c r="NH85" i="65"/>
  <c r="NH46" i="65"/>
  <c r="NH58" i="65"/>
  <c r="NH71" i="65"/>
  <c r="NH32" i="65"/>
  <c r="NF82" i="61"/>
  <c r="NF90" i="61"/>
  <c r="NF30" i="61"/>
  <c r="NF94" i="61"/>
  <c r="NF63" i="61"/>
  <c r="NH83" i="65"/>
  <c r="NF19" i="61"/>
  <c r="NF97" i="61"/>
  <c r="NE4" i="61"/>
  <c r="ND51" i="61"/>
  <c r="ND20" i="61"/>
  <c r="ND84" i="61"/>
  <c r="ND45" i="61"/>
  <c r="ND42" i="61"/>
  <c r="ND62" i="61"/>
  <c r="ND31" i="61"/>
  <c r="ND95" i="61"/>
  <c r="ND64" i="61"/>
  <c r="ND17" i="61"/>
  <c r="ND81" i="61"/>
  <c r="NF11" i="61"/>
  <c r="NF75" i="61"/>
  <c r="NF44" i="61"/>
  <c r="NF26" i="61"/>
  <c r="NF61" i="61"/>
  <c r="NF22" i="61"/>
  <c r="NF86" i="61"/>
  <c r="NF55" i="61"/>
  <c r="NF24" i="61"/>
  <c r="NF88" i="61"/>
  <c r="NF41" i="61"/>
  <c r="NF34" i="61"/>
  <c r="ND67" i="61"/>
  <c r="ND36" i="61"/>
  <c r="ND100" i="61"/>
  <c r="ND61" i="61"/>
  <c r="ND14" i="61"/>
  <c r="ND78" i="61"/>
  <c r="ND47" i="61"/>
  <c r="ND16" i="61"/>
  <c r="ND80" i="61"/>
  <c r="ND33" i="61"/>
  <c r="ND97" i="61"/>
  <c r="NF27" i="61"/>
  <c r="NF91" i="61"/>
  <c r="NF60" i="61"/>
  <c r="NF13" i="61"/>
  <c r="NF77" i="61"/>
  <c r="NF38" i="61"/>
  <c r="NF42" i="61"/>
  <c r="NF71" i="61"/>
  <c r="NF40" i="61"/>
  <c r="NF18" i="61"/>
  <c r="NF57" i="61"/>
  <c r="NF50" i="61"/>
  <c r="NH25" i="65"/>
  <c r="NH89" i="65"/>
  <c r="NH43" i="65"/>
  <c r="NH82" i="65"/>
  <c r="ND11" i="61"/>
  <c r="ND75" i="61"/>
  <c r="ND44" i="61"/>
  <c r="ND50" i="61"/>
  <c r="ND69" i="61"/>
  <c r="ND22" i="61"/>
  <c r="ND86" i="61"/>
  <c r="ND55" i="61"/>
  <c r="ND24" i="61"/>
  <c r="ND88" i="61"/>
  <c r="ND41" i="61"/>
  <c r="ND26" i="61"/>
  <c r="NF35" i="61"/>
  <c r="NF99" i="61"/>
  <c r="NF68" i="61"/>
  <c r="NF21" i="61"/>
  <c r="NF85" i="61"/>
  <c r="NF46" i="61"/>
  <c r="NF15" i="61"/>
  <c r="NF79" i="61"/>
  <c r="NF48" i="61"/>
  <c r="NF58" i="61"/>
  <c r="NF65" i="61"/>
  <c r="NF12" i="61"/>
  <c r="NH97" i="65"/>
  <c r="NH51" i="65"/>
  <c r="NH14" i="65"/>
  <c r="ND19" i="61"/>
  <c r="ND83" i="61"/>
  <c r="ND52" i="61"/>
  <c r="ND13" i="61"/>
  <c r="ND77" i="61"/>
  <c r="ND30" i="61"/>
  <c r="ND94" i="61"/>
  <c r="ND63" i="61"/>
  <c r="ND32" i="61"/>
  <c r="ND96" i="61"/>
  <c r="ND49" i="61"/>
  <c r="ND90" i="61"/>
  <c r="NF43" i="61"/>
  <c r="NF10" i="61"/>
  <c r="NF76" i="61"/>
  <c r="NF29" i="61"/>
  <c r="NF93" i="61"/>
  <c r="NF54" i="61"/>
  <c r="NF23" i="61"/>
  <c r="NF87" i="61"/>
  <c r="NF56" i="61"/>
  <c r="NF74" i="61"/>
  <c r="NF73" i="61"/>
  <c r="NG4" i="61"/>
  <c r="NH41" i="65"/>
  <c r="NH26" i="65"/>
  <c r="NH59" i="65"/>
  <c r="NI4" i="65"/>
  <c r="ND27" i="61"/>
  <c r="ND91" i="61"/>
  <c r="ND60" i="61"/>
  <c r="ND21" i="61"/>
  <c r="ND85" i="61"/>
  <c r="ND38" i="61"/>
  <c r="ND82" i="61"/>
  <c r="ND71" i="61"/>
  <c r="ND40" i="61"/>
  <c r="ND18" i="61"/>
  <c r="ND57" i="61"/>
  <c r="ND66" i="61"/>
  <c r="NF51" i="61"/>
  <c r="NF20" i="61"/>
  <c r="NF84" i="61"/>
  <c r="NF37" i="61"/>
  <c r="NF101" i="61"/>
  <c r="NF62" i="61"/>
  <c r="NF31" i="61"/>
  <c r="NF95" i="61"/>
  <c r="NF64" i="61"/>
  <c r="NF17" i="61"/>
  <c r="NF81" i="61"/>
  <c r="NH96" i="65"/>
  <c r="NH49" i="65"/>
  <c r="NH50" i="65"/>
  <c r="NH67" i="65"/>
  <c r="ND35" i="61"/>
  <c r="ND99" i="61"/>
  <c r="ND68" i="61"/>
  <c r="ND29" i="61"/>
  <c r="ND93" i="61"/>
  <c r="ND46" i="61"/>
  <c r="ND15" i="61"/>
  <c r="ND79" i="61"/>
  <c r="ND48" i="61"/>
  <c r="ND34" i="61"/>
  <c r="ND65" i="61"/>
  <c r="ND12" i="61"/>
  <c r="NF59" i="61"/>
  <c r="NF28" i="61"/>
  <c r="NF92" i="61"/>
  <c r="NF45" i="61"/>
  <c r="NF98" i="61"/>
  <c r="NF70" i="61"/>
  <c r="NF39" i="61"/>
  <c r="NF66" i="61"/>
  <c r="NF72" i="61"/>
  <c r="NF25" i="61"/>
  <c r="NF89" i="61"/>
  <c r="NH18" i="65"/>
  <c r="NH57" i="65"/>
  <c r="NH74" i="65"/>
  <c r="NH75" i="65"/>
  <c r="ND43" i="61"/>
  <c r="ND10" i="61"/>
  <c r="ND76" i="61"/>
  <c r="ND37" i="61"/>
  <c r="ND101" i="61"/>
  <c r="ND54" i="61"/>
  <c r="ND23" i="61"/>
  <c r="ND87" i="61"/>
  <c r="ND56" i="61"/>
  <c r="ND74" i="61"/>
  <c r="ND73" i="61"/>
  <c r="NF67" i="61"/>
  <c r="NF36" i="61"/>
  <c r="NF100" i="61"/>
  <c r="NF53" i="61"/>
  <c r="NF14" i="61"/>
  <c r="NF78" i="61"/>
  <c r="NF47" i="61"/>
  <c r="NF16" i="61"/>
  <c r="NF80" i="61"/>
  <c r="NF33" i="61"/>
  <c r="NH48" i="65"/>
  <c r="NH34" i="65"/>
  <c r="NH65" i="65"/>
  <c r="NH19" i="65"/>
  <c r="NF23" i="65"/>
  <c r="NF67" i="65"/>
  <c r="NF54" i="65"/>
  <c r="NG4" i="65"/>
  <c r="NF87" i="65"/>
  <c r="NF32" i="65"/>
  <c r="NF96" i="65"/>
  <c r="NF52" i="65"/>
  <c r="NF57" i="65"/>
  <c r="NF21" i="65"/>
  <c r="NF74" i="65"/>
  <c r="NF85" i="65"/>
  <c r="NF103" i="65"/>
  <c r="NF60" i="65"/>
  <c r="NF29" i="65"/>
  <c r="NF93" i="65"/>
  <c r="NF62" i="65"/>
  <c r="NF31" i="65"/>
  <c r="NF95" i="65"/>
  <c r="NF40" i="65"/>
  <c r="NF50" i="65"/>
  <c r="NF65" i="65"/>
  <c r="NF98" i="65"/>
  <c r="NF75" i="65"/>
  <c r="NF104" i="65"/>
  <c r="NF68" i="65"/>
  <c r="NF37" i="65"/>
  <c r="NF101" i="65"/>
  <c r="NF70" i="65"/>
  <c r="NF39" i="65"/>
  <c r="NF34" i="65"/>
  <c r="NF48" i="65"/>
  <c r="NF90" i="65"/>
  <c r="NF73" i="65"/>
  <c r="NF19" i="65"/>
  <c r="NF83" i="65"/>
  <c r="NF12" i="65"/>
  <c r="NF76" i="65"/>
  <c r="NF45" i="65"/>
  <c r="NF11" i="65"/>
  <c r="NF78" i="65"/>
  <c r="NF47" i="65"/>
  <c r="NF42" i="65"/>
  <c r="NF56" i="65"/>
  <c r="NF17" i="65"/>
  <c r="NF81" i="65"/>
  <c r="NF27" i="65"/>
  <c r="NF91" i="65"/>
  <c r="NF20" i="65"/>
  <c r="NF84" i="65"/>
  <c r="NF53" i="65"/>
  <c r="NF22" i="65"/>
  <c r="NF86" i="65"/>
  <c r="NF55" i="65"/>
  <c r="NF66" i="65"/>
  <c r="NF64" i="65"/>
  <c r="NF25" i="65"/>
  <c r="NF89" i="65"/>
  <c r="NF35" i="65"/>
  <c r="NF99" i="65"/>
  <c r="NF28" i="65"/>
  <c r="NF92" i="65"/>
  <c r="NF61" i="65"/>
  <c r="NF30" i="65"/>
  <c r="NF94" i="65"/>
  <c r="NF63" i="65"/>
  <c r="NF82" i="65"/>
  <c r="NF72" i="65"/>
  <c r="NF33" i="65"/>
  <c r="NF97" i="65"/>
  <c r="NF43" i="65"/>
  <c r="NF18" i="65"/>
  <c r="NF36" i="65"/>
  <c r="NF100" i="65"/>
  <c r="NF69" i="65"/>
  <c r="NF38" i="65"/>
  <c r="NF102" i="65"/>
  <c r="NF71" i="65"/>
  <c r="NF16" i="65"/>
  <c r="NF80" i="65"/>
  <c r="NF41" i="65"/>
  <c r="NF26" i="65"/>
  <c r="NF51" i="65"/>
  <c r="NF14" i="65"/>
  <c r="NF44" i="65"/>
  <c r="NF13" i="65"/>
  <c r="NF77" i="65"/>
  <c r="NF46" i="65"/>
  <c r="NF15" i="65"/>
  <c r="NF79" i="65"/>
  <c r="NF24" i="65"/>
  <c r="NF88" i="65"/>
  <c r="NF49" i="65"/>
  <c r="NF58" i="65"/>
  <c r="NF59" i="65"/>
  <c r="ND99" i="65"/>
  <c r="MX49" i="61"/>
  <c r="ND72" i="65"/>
  <c r="MX72" i="61"/>
  <c r="ND52" i="65"/>
  <c r="ND102" i="65"/>
  <c r="ND103" i="65"/>
  <c r="ND46" i="65"/>
  <c r="ND80" i="65"/>
  <c r="ND19" i="65"/>
  <c r="ND17" i="65"/>
  <c r="ND21" i="65"/>
  <c r="ND55" i="65"/>
  <c r="ND73" i="65"/>
  <c r="ND29" i="65"/>
  <c r="ND63" i="65"/>
  <c r="ND81" i="65"/>
  <c r="ND85" i="65"/>
  <c r="ND67" i="65"/>
  <c r="ND98" i="65"/>
  <c r="ND60" i="65"/>
  <c r="ND93" i="65"/>
  <c r="ND16" i="65"/>
  <c r="ND35" i="65"/>
  <c r="ND38" i="65"/>
  <c r="NE4" i="65"/>
  <c r="MX94" i="61"/>
  <c r="MX61" i="61"/>
  <c r="MX30" i="61"/>
  <c r="M56" i="63"/>
  <c r="MX26" i="61"/>
  <c r="ND104" i="65"/>
  <c r="ND68" i="65"/>
  <c r="ND37" i="65"/>
  <c r="ND101" i="65"/>
  <c r="ND54" i="65"/>
  <c r="ND59" i="65"/>
  <c r="ND71" i="65"/>
  <c r="ND24" i="65"/>
  <c r="ND88" i="65"/>
  <c r="ND25" i="65"/>
  <c r="ND89" i="65"/>
  <c r="ND43" i="65"/>
  <c r="ND12" i="65"/>
  <c r="ND76" i="65"/>
  <c r="ND45" i="65"/>
  <c r="ND11" i="65"/>
  <c r="ND62" i="65"/>
  <c r="ND15" i="65"/>
  <c r="ND79" i="65"/>
  <c r="ND32" i="65"/>
  <c r="ND96" i="65"/>
  <c r="ND33" i="65"/>
  <c r="ND97" i="65"/>
  <c r="ND91" i="65"/>
  <c r="MX90" i="61"/>
  <c r="MX59" i="61"/>
  <c r="MX86" i="61"/>
  <c r="ND20" i="65"/>
  <c r="ND84" i="65"/>
  <c r="ND53" i="65"/>
  <c r="ND82" i="65"/>
  <c r="ND70" i="65"/>
  <c r="ND23" i="65"/>
  <c r="ND87" i="65"/>
  <c r="ND40" i="65"/>
  <c r="ND42" i="65"/>
  <c r="ND41" i="65"/>
  <c r="ND18" i="65"/>
  <c r="ND14" i="65"/>
  <c r="MX28" i="61"/>
  <c r="ND28" i="65"/>
  <c r="ND92" i="65"/>
  <c r="ND61" i="65"/>
  <c r="ND75" i="65"/>
  <c r="ND78" i="65"/>
  <c r="ND31" i="65"/>
  <c r="ND95" i="65"/>
  <c r="ND48" i="65"/>
  <c r="ND90" i="65"/>
  <c r="ND49" i="65"/>
  <c r="ND26" i="65"/>
  <c r="ND50" i="65"/>
  <c r="MX31" i="61"/>
  <c r="ND36" i="65"/>
  <c r="ND100" i="65"/>
  <c r="ND69" i="65"/>
  <c r="ND22" i="65"/>
  <c r="ND86" i="65"/>
  <c r="ND39" i="65"/>
  <c r="ND34" i="65"/>
  <c r="ND56" i="65"/>
  <c r="ND27" i="65"/>
  <c r="ND57" i="65"/>
  <c r="ND58" i="65"/>
  <c r="ND83" i="65"/>
  <c r="MX92" i="61"/>
  <c r="MX95" i="61"/>
  <c r="O48" i="63"/>
  <c r="ND44" i="65"/>
  <c r="ND13" i="65"/>
  <c r="ND77" i="65"/>
  <c r="ND30" i="65"/>
  <c r="ND94" i="65"/>
  <c r="ND47" i="65"/>
  <c r="ND74" i="65"/>
  <c r="ND64" i="65"/>
  <c r="ND51" i="65"/>
  <c r="ND65" i="65"/>
  <c r="ND66" i="65"/>
  <c r="M42" i="63"/>
  <c r="LN91" i="65"/>
  <c r="LN89" i="65"/>
  <c r="LN20" i="65"/>
  <c r="LN25" i="65"/>
  <c r="LN84" i="65"/>
  <c r="LN35" i="65"/>
  <c r="LN53" i="65"/>
  <c r="LN50" i="65"/>
  <c r="LN19" i="65"/>
  <c r="LN70" i="65"/>
  <c r="LN23" i="65"/>
  <c r="LN87" i="65"/>
  <c r="LN56" i="65"/>
  <c r="LN28" i="65"/>
  <c r="LN95" i="65"/>
  <c r="LO4" i="65"/>
  <c r="LN36" i="65"/>
  <c r="LN100" i="65"/>
  <c r="LN69" i="65"/>
  <c r="LN22" i="65"/>
  <c r="LN86" i="65"/>
  <c r="LN39" i="65"/>
  <c r="LN51" i="65"/>
  <c r="LN72" i="65"/>
  <c r="LN41" i="65"/>
  <c r="LN59" i="65"/>
  <c r="LN66" i="65"/>
  <c r="LN67" i="65"/>
  <c r="LN92" i="65"/>
  <c r="LN58" i="65"/>
  <c r="LN44" i="65"/>
  <c r="LN13" i="65"/>
  <c r="LN77" i="65"/>
  <c r="LN30" i="65"/>
  <c r="LN94" i="65"/>
  <c r="LN47" i="65"/>
  <c r="LN16" i="65"/>
  <c r="LN80" i="65"/>
  <c r="LN49" i="65"/>
  <c r="LN99" i="65"/>
  <c r="LN74" i="65"/>
  <c r="LN14" i="65"/>
  <c r="LN78" i="65"/>
  <c r="LN33" i="65"/>
  <c r="LN52" i="65"/>
  <c r="LN21" i="65"/>
  <c r="LN85" i="65"/>
  <c r="LN38" i="65"/>
  <c r="LN102" i="65"/>
  <c r="LN55" i="65"/>
  <c r="LN24" i="65"/>
  <c r="LN88" i="65"/>
  <c r="LN57" i="65"/>
  <c r="LN18" i="65"/>
  <c r="LN82" i="65"/>
  <c r="LN31" i="65"/>
  <c r="LN60" i="65"/>
  <c r="LN29" i="65"/>
  <c r="LN93" i="65"/>
  <c r="LN46" i="65"/>
  <c r="LN27" i="65"/>
  <c r="LN63" i="65"/>
  <c r="LN32" i="65"/>
  <c r="LN96" i="65"/>
  <c r="LN65" i="65"/>
  <c r="LN26" i="65"/>
  <c r="LN90" i="65"/>
  <c r="LN61" i="65"/>
  <c r="LN64" i="65"/>
  <c r="LN68" i="65"/>
  <c r="LN37" i="65"/>
  <c r="LN101" i="65"/>
  <c r="LN54" i="65"/>
  <c r="LN83" i="65"/>
  <c r="LN71" i="65"/>
  <c r="LN40" i="65"/>
  <c r="LN43" i="65"/>
  <c r="LN73" i="65"/>
  <c r="LN34" i="65"/>
  <c r="LN98" i="65"/>
  <c r="LN75" i="65"/>
  <c r="LN97" i="65"/>
  <c r="LN12" i="65"/>
  <c r="LN76" i="65"/>
  <c r="LN45" i="65"/>
  <c r="LN11" i="65"/>
  <c r="LN62" i="65"/>
  <c r="LN15" i="65"/>
  <c r="LN79" i="65"/>
  <c r="LN48" i="65"/>
  <c r="LN17" i="65"/>
  <c r="LN81" i="65"/>
  <c r="LN42" i="65"/>
  <c r="NB36" i="61"/>
  <c r="NB47" i="61"/>
  <c r="NB22" i="61"/>
  <c r="NB41" i="61"/>
  <c r="NB86" i="61"/>
  <c r="NB97" i="61"/>
  <c r="NB103" i="61"/>
  <c r="NB16" i="61"/>
  <c r="NB67" i="61"/>
  <c r="NB80" i="61"/>
  <c r="NB100" i="61"/>
  <c r="NB18" i="61"/>
  <c r="NB69" i="61"/>
  <c r="MX39" i="61"/>
  <c r="MX16" i="61"/>
  <c r="MX80" i="61"/>
  <c r="MX57" i="61"/>
  <c r="MX34" i="61"/>
  <c r="MX98" i="61"/>
  <c r="MX67" i="61"/>
  <c r="MX36" i="61"/>
  <c r="MX100" i="61"/>
  <c r="MX69" i="61"/>
  <c r="MX38" i="61"/>
  <c r="MX10" i="61"/>
  <c r="NB11" i="61"/>
  <c r="NB75" i="61"/>
  <c r="NB44" i="61"/>
  <c r="NB13" i="61"/>
  <c r="NB77" i="61"/>
  <c r="NB30" i="61"/>
  <c r="NB94" i="61"/>
  <c r="NB55" i="61"/>
  <c r="NB24" i="61"/>
  <c r="NB88" i="61"/>
  <c r="NB49" i="61"/>
  <c r="NB50" i="61"/>
  <c r="MX103" i="61"/>
  <c r="NB19" i="61"/>
  <c r="NB83" i="61"/>
  <c r="NB52" i="61"/>
  <c r="NB21" i="61"/>
  <c r="NB85" i="61"/>
  <c r="NB38" i="61"/>
  <c r="NB34" i="61"/>
  <c r="NB63" i="61"/>
  <c r="NB32" i="61"/>
  <c r="NB96" i="61"/>
  <c r="NB57" i="61"/>
  <c r="NB74" i="61"/>
  <c r="MX88" i="61"/>
  <c r="MX44" i="61"/>
  <c r="MX15" i="61"/>
  <c r="MX96" i="61"/>
  <c r="MX21" i="61"/>
  <c r="NB27" i="61"/>
  <c r="NB91" i="61"/>
  <c r="NB60" i="61"/>
  <c r="NB29" i="61"/>
  <c r="NB93" i="61"/>
  <c r="NB46" i="61"/>
  <c r="NB90" i="61"/>
  <c r="NB71" i="61"/>
  <c r="NB40" i="61"/>
  <c r="NB26" i="61"/>
  <c r="NB65" i="61"/>
  <c r="NB58" i="61"/>
  <c r="MX47" i="61"/>
  <c r="MX42" i="61"/>
  <c r="MX46" i="61"/>
  <c r="MX81" i="61"/>
  <c r="MX52" i="61"/>
  <c r="MX63" i="61"/>
  <c r="MX40" i="61"/>
  <c r="MX17" i="61"/>
  <c r="MX89" i="61"/>
  <c r="MX58" i="61"/>
  <c r="MX27" i="61"/>
  <c r="MX91" i="61"/>
  <c r="MX60" i="61"/>
  <c r="MX29" i="61"/>
  <c r="MX93" i="61"/>
  <c r="MX62" i="61"/>
  <c r="NB35" i="61"/>
  <c r="NB99" i="61"/>
  <c r="NB68" i="61"/>
  <c r="NB37" i="61"/>
  <c r="NB101" i="61"/>
  <c r="NB54" i="61"/>
  <c r="NB15" i="61"/>
  <c r="NB79" i="61"/>
  <c r="NB48" i="61"/>
  <c r="NB98" i="61"/>
  <c r="NB73" i="61"/>
  <c r="NB12" i="61"/>
  <c r="MX24" i="61"/>
  <c r="MX75" i="61"/>
  <c r="MX50" i="61"/>
  <c r="MX85" i="61"/>
  <c r="MX71" i="61"/>
  <c r="MX48" i="61"/>
  <c r="MX25" i="61"/>
  <c r="MX97" i="61"/>
  <c r="MX66" i="61"/>
  <c r="MX35" i="61"/>
  <c r="MX99" i="61"/>
  <c r="MX68" i="61"/>
  <c r="MX37" i="61"/>
  <c r="MX101" i="61"/>
  <c r="MX70" i="61"/>
  <c r="NB43" i="61"/>
  <c r="NB10" i="61"/>
  <c r="NB76" i="61"/>
  <c r="NB45" i="61"/>
  <c r="NB42" i="61"/>
  <c r="NB62" i="61"/>
  <c r="NB23" i="61"/>
  <c r="NB87" i="61"/>
  <c r="NB56" i="61"/>
  <c r="NB17" i="61"/>
  <c r="NB81" i="61"/>
  <c r="NC4" i="61"/>
  <c r="MX11" i="61"/>
  <c r="MX77" i="61"/>
  <c r="MX55" i="61"/>
  <c r="MX19" i="61"/>
  <c r="MX54" i="61"/>
  <c r="MX79" i="61"/>
  <c r="MX56" i="61"/>
  <c r="MX33" i="61"/>
  <c r="MY4" i="61"/>
  <c r="MX74" i="61"/>
  <c r="MX43" i="61"/>
  <c r="MX12" i="61"/>
  <c r="MX76" i="61"/>
  <c r="MX45" i="61"/>
  <c r="MX14" i="61"/>
  <c r="MX78" i="61"/>
  <c r="NB51" i="61"/>
  <c r="NB20" i="61"/>
  <c r="NB84" i="61"/>
  <c r="NB53" i="61"/>
  <c r="NB82" i="61"/>
  <c r="NB70" i="61"/>
  <c r="NB31" i="61"/>
  <c r="NB95" i="61"/>
  <c r="NB64" i="61"/>
  <c r="NB25" i="61"/>
  <c r="NB89" i="61"/>
  <c r="MX65" i="61"/>
  <c r="MX13" i="61"/>
  <c r="MX32" i="61"/>
  <c r="MX83" i="61"/>
  <c r="MX73" i="61"/>
  <c r="MX23" i="61"/>
  <c r="MX87" i="61"/>
  <c r="MX64" i="61"/>
  <c r="MX41" i="61"/>
  <c r="MX18" i="61"/>
  <c r="MX82" i="61"/>
  <c r="MX51" i="61"/>
  <c r="MX20" i="61"/>
  <c r="MX84" i="61"/>
  <c r="MX53" i="61"/>
  <c r="MX22" i="61"/>
  <c r="NB102" i="61"/>
  <c r="NB59" i="61"/>
  <c r="NB28" i="61"/>
  <c r="NB92" i="61"/>
  <c r="NB61" i="61"/>
  <c r="NB14" i="61"/>
  <c r="NB78" i="61"/>
  <c r="NB39" i="61"/>
  <c r="NB66" i="61"/>
  <c r="NB72" i="61"/>
  <c r="NB33" i="61"/>
  <c r="MZ81" i="61"/>
  <c r="MZ20" i="61"/>
  <c r="MZ102" i="61"/>
  <c r="MW96" i="61"/>
  <c r="MX102" i="61"/>
  <c r="MW39" i="61"/>
  <c r="MW40" i="61"/>
  <c r="MZ56" i="61"/>
  <c r="MZ84" i="61"/>
  <c r="MZ74" i="61"/>
  <c r="MZ45" i="61"/>
  <c r="MZ25" i="61"/>
  <c r="MZ62" i="61"/>
  <c r="MZ23" i="61"/>
  <c r="MZ87" i="61"/>
  <c r="MZ51" i="61"/>
  <c r="O47" i="63"/>
  <c r="MZ103" i="61"/>
  <c r="MZ89" i="61"/>
  <c r="MZ82" i="61"/>
  <c r="MZ67" i="61"/>
  <c r="MZ36" i="61"/>
  <c r="MZ100" i="61"/>
  <c r="MZ61" i="61"/>
  <c r="MZ14" i="61"/>
  <c r="MZ78" i="61"/>
  <c r="MZ39" i="61"/>
  <c r="MZ41" i="61"/>
  <c r="MZ72" i="61"/>
  <c r="MZ26" i="61"/>
  <c r="MZ90" i="61"/>
  <c r="MZ28" i="61"/>
  <c r="MZ95" i="61"/>
  <c r="MZ11" i="61"/>
  <c r="MZ75" i="61"/>
  <c r="MZ44" i="61"/>
  <c r="MZ57" i="61"/>
  <c r="MZ69" i="61"/>
  <c r="MZ22" i="61"/>
  <c r="MZ86" i="61"/>
  <c r="MZ47" i="61"/>
  <c r="MZ16" i="61"/>
  <c r="MZ80" i="61"/>
  <c r="MZ34" i="61"/>
  <c r="MZ98" i="61"/>
  <c r="MZ31" i="61"/>
  <c r="MZ19" i="61"/>
  <c r="MZ83" i="61"/>
  <c r="MZ52" i="61"/>
  <c r="MZ13" i="61"/>
  <c r="MZ77" i="61"/>
  <c r="MZ30" i="61"/>
  <c r="MZ94" i="61"/>
  <c r="MZ55" i="61"/>
  <c r="MZ24" i="61"/>
  <c r="MZ88" i="61"/>
  <c r="MZ42" i="61"/>
  <c r="MZ65" i="61"/>
  <c r="MZ53" i="61"/>
  <c r="MZ18" i="61"/>
  <c r="MZ27" i="61"/>
  <c r="MZ91" i="61"/>
  <c r="MZ60" i="61"/>
  <c r="MZ21" i="61"/>
  <c r="MZ85" i="61"/>
  <c r="MZ38" i="61"/>
  <c r="MZ33" i="61"/>
  <c r="MZ63" i="61"/>
  <c r="MZ32" i="61"/>
  <c r="MZ96" i="61"/>
  <c r="MZ50" i="61"/>
  <c r="MZ73" i="61"/>
  <c r="MZ59" i="61"/>
  <c r="MZ70" i="61"/>
  <c r="MZ35" i="61"/>
  <c r="MZ99" i="61"/>
  <c r="MZ68" i="61"/>
  <c r="MZ29" i="61"/>
  <c r="MZ93" i="61"/>
  <c r="MZ46" i="61"/>
  <c r="MZ97" i="61"/>
  <c r="MZ71" i="61"/>
  <c r="MZ40" i="61"/>
  <c r="MZ17" i="61"/>
  <c r="MZ58" i="61"/>
  <c r="MZ12" i="61"/>
  <c r="MZ92" i="61"/>
  <c r="MZ64" i="61"/>
  <c r="MZ43" i="61"/>
  <c r="MZ10" i="61"/>
  <c r="MZ76" i="61"/>
  <c r="MZ37" i="61"/>
  <c r="MZ101" i="61"/>
  <c r="MZ54" i="61"/>
  <c r="MZ15" i="61"/>
  <c r="MZ79" i="61"/>
  <c r="MZ48" i="61"/>
  <c r="MZ49" i="61"/>
  <c r="MZ66" i="61"/>
  <c r="NA4" i="61"/>
  <c r="MW103" i="61"/>
  <c r="MW55" i="61"/>
  <c r="MW56" i="61"/>
  <c r="MW16" i="61"/>
  <c r="NA99" i="65"/>
  <c r="NA91" i="65"/>
  <c r="NA83" i="65"/>
  <c r="NA75" i="65"/>
  <c r="NA67" i="65"/>
  <c r="NA59" i="65"/>
  <c r="NA51" i="65"/>
  <c r="NA43" i="65"/>
  <c r="NA35" i="65"/>
  <c r="NA27" i="65"/>
  <c r="NA19" i="65"/>
  <c r="MW88" i="61"/>
  <c r="MW32" i="61"/>
  <c r="MW95" i="61"/>
  <c r="MW63" i="61"/>
  <c r="MW15" i="61"/>
  <c r="NA98" i="65"/>
  <c r="NA90" i="65"/>
  <c r="NA82" i="65"/>
  <c r="NA74" i="65"/>
  <c r="NA66" i="65"/>
  <c r="NA58" i="65"/>
  <c r="NA50" i="65"/>
  <c r="NA42" i="65"/>
  <c r="NA34" i="65"/>
  <c r="NA26" i="65"/>
  <c r="NA18" i="65"/>
  <c r="MW10" i="61"/>
  <c r="MW94" i="61"/>
  <c r="MW86" i="61"/>
  <c r="MW78" i="61"/>
  <c r="MW70" i="61"/>
  <c r="MW62" i="61"/>
  <c r="MW54" i="61"/>
  <c r="MW46" i="61"/>
  <c r="MW38" i="61"/>
  <c r="MW30" i="61"/>
  <c r="MW22" i="61"/>
  <c r="MW14" i="61"/>
  <c r="NA104" i="65"/>
  <c r="NA97" i="65"/>
  <c r="NA89" i="65"/>
  <c r="NA81" i="65"/>
  <c r="NA73" i="65"/>
  <c r="NA65" i="65"/>
  <c r="NA57" i="65"/>
  <c r="NA49" i="65"/>
  <c r="NA41" i="65"/>
  <c r="NA33" i="65"/>
  <c r="NA25" i="65"/>
  <c r="NA17" i="65"/>
  <c r="MW72" i="61"/>
  <c r="MW48" i="61"/>
  <c r="MW87" i="61"/>
  <c r="MW101" i="61"/>
  <c r="MW93" i="61"/>
  <c r="MW85" i="61"/>
  <c r="MW77" i="61"/>
  <c r="MW69" i="61"/>
  <c r="MW61" i="61"/>
  <c r="MW53" i="61"/>
  <c r="MW45" i="61"/>
  <c r="MW37" i="61"/>
  <c r="MW29" i="61"/>
  <c r="MW21" i="61"/>
  <c r="MW13" i="61"/>
  <c r="NA103" i="65"/>
  <c r="NA96" i="65"/>
  <c r="NA88" i="65"/>
  <c r="NA80" i="65"/>
  <c r="NA72" i="65"/>
  <c r="NA64" i="65"/>
  <c r="NA56" i="65"/>
  <c r="NA48" i="65"/>
  <c r="NA40" i="65"/>
  <c r="NA32" i="65"/>
  <c r="NA24" i="65"/>
  <c r="NA16" i="65"/>
  <c r="MW64" i="61"/>
  <c r="MW24" i="61"/>
  <c r="MW23" i="61"/>
  <c r="MW100" i="61"/>
  <c r="MW92" i="61"/>
  <c r="MW84" i="61"/>
  <c r="MW76" i="61"/>
  <c r="MW68" i="61"/>
  <c r="MW60" i="61"/>
  <c r="MW52" i="61"/>
  <c r="MW44" i="61"/>
  <c r="MW36" i="61"/>
  <c r="MW28" i="61"/>
  <c r="MW20" i="61"/>
  <c r="MW12" i="61"/>
  <c r="NA11" i="65"/>
  <c r="NA95" i="65"/>
  <c r="NA87" i="65"/>
  <c r="NA79" i="65"/>
  <c r="NA71" i="65"/>
  <c r="NA63" i="65"/>
  <c r="NA55" i="65"/>
  <c r="NA47" i="65"/>
  <c r="NA39" i="65"/>
  <c r="NA31" i="65"/>
  <c r="NA23" i="65"/>
  <c r="NA15" i="65"/>
  <c r="MW80" i="61"/>
  <c r="MW102" i="61"/>
  <c r="MW79" i="61"/>
  <c r="MW31" i="61"/>
  <c r="MW99" i="61"/>
  <c r="MW91" i="61"/>
  <c r="MW83" i="61"/>
  <c r="MW75" i="61"/>
  <c r="MW67" i="61"/>
  <c r="MW59" i="61"/>
  <c r="MW51" i="61"/>
  <c r="MW43" i="61"/>
  <c r="MW35" i="61"/>
  <c r="MW27" i="61"/>
  <c r="MW19" i="61"/>
  <c r="MW11" i="61"/>
  <c r="NA102" i="65"/>
  <c r="NA94" i="65"/>
  <c r="NA86" i="65"/>
  <c r="NA78" i="65"/>
  <c r="NA70" i="65"/>
  <c r="NA62" i="65"/>
  <c r="NA54" i="65"/>
  <c r="NA46" i="65"/>
  <c r="NA38" i="65"/>
  <c r="NA30" i="65"/>
  <c r="NA22" i="65"/>
  <c r="NA14" i="65"/>
  <c r="MU17" i="61"/>
  <c r="MW98" i="61"/>
  <c r="MW90" i="61"/>
  <c r="MW82" i="61"/>
  <c r="MW74" i="61"/>
  <c r="MW66" i="61"/>
  <c r="MW58" i="61"/>
  <c r="MW50" i="61"/>
  <c r="MW42" i="61"/>
  <c r="MW34" i="61"/>
  <c r="MW26" i="61"/>
  <c r="MW18" i="61"/>
  <c r="NA101" i="65"/>
  <c r="NA93" i="65"/>
  <c r="NA85" i="65"/>
  <c r="NA77" i="65"/>
  <c r="NA69" i="65"/>
  <c r="NA61" i="65"/>
  <c r="NA53" i="65"/>
  <c r="NA45" i="65"/>
  <c r="NA37" i="65"/>
  <c r="NA29" i="65"/>
  <c r="NA21" i="65"/>
  <c r="NA13" i="65"/>
  <c r="MW71" i="61"/>
  <c r="MW47" i="61"/>
  <c r="MW97" i="61"/>
  <c r="MW89" i="61"/>
  <c r="MW81" i="61"/>
  <c r="MW73" i="61"/>
  <c r="MW65" i="61"/>
  <c r="MW57" i="61"/>
  <c r="MW49" i="61"/>
  <c r="MW41" i="61"/>
  <c r="MW33" i="61"/>
  <c r="MW25" i="61"/>
  <c r="NA100" i="65"/>
  <c r="NA92" i="65"/>
  <c r="NA84" i="65"/>
  <c r="NA76" i="65"/>
  <c r="NA68" i="65"/>
  <c r="NA60" i="65"/>
  <c r="NA52" i="65"/>
  <c r="NA44" i="65"/>
  <c r="NA36" i="65"/>
  <c r="NA28" i="65"/>
  <c r="NA20" i="65"/>
  <c r="MY57" i="65"/>
  <c r="MY6" i="65"/>
  <c r="MU68" i="61"/>
  <c r="MU20" i="61"/>
  <c r="MU91" i="61"/>
  <c r="MU27" i="61"/>
  <c r="MU103" i="61"/>
  <c r="MU96" i="61"/>
  <c r="MU88" i="61"/>
  <c r="MU80" i="61"/>
  <c r="MU72" i="61"/>
  <c r="MU64" i="61"/>
  <c r="MU56" i="61"/>
  <c r="MU48" i="61"/>
  <c r="MU40" i="61"/>
  <c r="MU32" i="61"/>
  <c r="MU24" i="61"/>
  <c r="MU16" i="61"/>
  <c r="MU84" i="61"/>
  <c r="MU36" i="61"/>
  <c r="MU99" i="61"/>
  <c r="MU35" i="61"/>
  <c r="MU102" i="61"/>
  <c r="MU95" i="61"/>
  <c r="MU87" i="61"/>
  <c r="MU79" i="61"/>
  <c r="MU71" i="61"/>
  <c r="MU63" i="61"/>
  <c r="MU55" i="61"/>
  <c r="MU47" i="61"/>
  <c r="MU39" i="61"/>
  <c r="MU31" i="61"/>
  <c r="MU23" i="61"/>
  <c r="MU15" i="61"/>
  <c r="MU100" i="61"/>
  <c r="MU52" i="61"/>
  <c r="MU59" i="61"/>
  <c r="MU10" i="61"/>
  <c r="MU94" i="61"/>
  <c r="MU86" i="61"/>
  <c r="MU78" i="61"/>
  <c r="MU70" i="61"/>
  <c r="MU62" i="61"/>
  <c r="MU54" i="61"/>
  <c r="MU46" i="61"/>
  <c r="MU38" i="61"/>
  <c r="MU30" i="61"/>
  <c r="MU22" i="61"/>
  <c r="MU14" i="61"/>
  <c r="MU92" i="61"/>
  <c r="MU44" i="61"/>
  <c r="MU67" i="61"/>
  <c r="MU101" i="61"/>
  <c r="MU93" i="61"/>
  <c r="MU85" i="61"/>
  <c r="MU77" i="61"/>
  <c r="MU69" i="61"/>
  <c r="MU61" i="61"/>
  <c r="MU53" i="61"/>
  <c r="MU45" i="61"/>
  <c r="MU37" i="61"/>
  <c r="MU29" i="61"/>
  <c r="MU21" i="61"/>
  <c r="MU13" i="61"/>
  <c r="MU60" i="61"/>
  <c r="MU12" i="61"/>
  <c r="MU83" i="61"/>
  <c r="MU51" i="61"/>
  <c r="MU19" i="61"/>
  <c r="MU98" i="61"/>
  <c r="MU90" i="61"/>
  <c r="MU82" i="61"/>
  <c r="MU74" i="61"/>
  <c r="MU66" i="61"/>
  <c r="MU58" i="61"/>
  <c r="MU50" i="61"/>
  <c r="MU42" i="61"/>
  <c r="MU34" i="61"/>
  <c r="MU26" i="61"/>
  <c r="MU18" i="61"/>
  <c r="MU76" i="61"/>
  <c r="MU28" i="61"/>
  <c r="MU75" i="61"/>
  <c r="MU43" i="61"/>
  <c r="MU11" i="61"/>
  <c r="MU6" i="61"/>
  <c r="MU97" i="61"/>
  <c r="MU89" i="61"/>
  <c r="MU81" i="61"/>
  <c r="MU73" i="61"/>
  <c r="MU65" i="61"/>
  <c r="MU57" i="61"/>
  <c r="MU49" i="61"/>
  <c r="MU41" i="61"/>
  <c r="MU33" i="61"/>
  <c r="MU25" i="61"/>
  <c r="MW32" i="65"/>
  <c r="MY18" i="65"/>
  <c r="MY73" i="65"/>
  <c r="MY65" i="65"/>
  <c r="MY49" i="65"/>
  <c r="MY104" i="65"/>
  <c r="MY41" i="65"/>
  <c r="MY97" i="65"/>
  <c r="MY33" i="65"/>
  <c r="MY89" i="65"/>
  <c r="MY25" i="65"/>
  <c r="MY81" i="65"/>
  <c r="MY17" i="65"/>
  <c r="MY103" i="65"/>
  <c r="MY96" i="65"/>
  <c r="MY88" i="65"/>
  <c r="MY80" i="65"/>
  <c r="MY72" i="65"/>
  <c r="MY64" i="65"/>
  <c r="MY56" i="65"/>
  <c r="MY48" i="65"/>
  <c r="MY40" i="65"/>
  <c r="MY32" i="65"/>
  <c r="MY24" i="65"/>
  <c r="MY16" i="65"/>
  <c r="MW96" i="65"/>
  <c r="MY11" i="65"/>
  <c r="MY95" i="65"/>
  <c r="MY87" i="65"/>
  <c r="MY79" i="65"/>
  <c r="MY71" i="65"/>
  <c r="MY63" i="65"/>
  <c r="MY55" i="65"/>
  <c r="MY47" i="65"/>
  <c r="MY39" i="65"/>
  <c r="MY31" i="65"/>
  <c r="MY23" i="65"/>
  <c r="MY15" i="65"/>
  <c r="MY102" i="65"/>
  <c r="MY94" i="65"/>
  <c r="MY86" i="65"/>
  <c r="MY78" i="65"/>
  <c r="MY70" i="65"/>
  <c r="MY62" i="65"/>
  <c r="MY54" i="65"/>
  <c r="MY46" i="65"/>
  <c r="MY38" i="65"/>
  <c r="MY30" i="65"/>
  <c r="MY22" i="65"/>
  <c r="MY14" i="65"/>
  <c r="MY101" i="65"/>
  <c r="MY93" i="65"/>
  <c r="MY85" i="65"/>
  <c r="MY77" i="65"/>
  <c r="MY69" i="65"/>
  <c r="MY61" i="65"/>
  <c r="MY53" i="65"/>
  <c r="MY45" i="65"/>
  <c r="MY37" i="65"/>
  <c r="MY29" i="65"/>
  <c r="MY21" i="65"/>
  <c r="MY13" i="65"/>
  <c r="MY100" i="65"/>
  <c r="MY92" i="65"/>
  <c r="MY84" i="65"/>
  <c r="MY76" i="65"/>
  <c r="MY68" i="65"/>
  <c r="MY60" i="65"/>
  <c r="MY52" i="65"/>
  <c r="MY44" i="65"/>
  <c r="MY36" i="65"/>
  <c r="MY28" i="65"/>
  <c r="MY20" i="65"/>
  <c r="MY12" i="65"/>
  <c r="MY99" i="65"/>
  <c r="MY91" i="65"/>
  <c r="MY83" i="65"/>
  <c r="MY75" i="65"/>
  <c r="MY67" i="65"/>
  <c r="MY59" i="65"/>
  <c r="MY51" i="65"/>
  <c r="MY43" i="65"/>
  <c r="MY35" i="65"/>
  <c r="MY27" i="65"/>
  <c r="MY19" i="65"/>
  <c r="MY98" i="65"/>
  <c r="MY90" i="65"/>
  <c r="MY82" i="65"/>
  <c r="MY74" i="65"/>
  <c r="MY66" i="65"/>
  <c r="MY58" i="65"/>
  <c r="MY50" i="65"/>
  <c r="MY42" i="65"/>
  <c r="MY34" i="65"/>
  <c r="MY26" i="65"/>
  <c r="MS41" i="61"/>
  <c r="MM103" i="61"/>
  <c r="MM102" i="61"/>
  <c r="MW104" i="65"/>
  <c r="MW97" i="65"/>
  <c r="MW18" i="65"/>
  <c r="MW11" i="65"/>
  <c r="MW95" i="65"/>
  <c r="MW87" i="65"/>
  <c r="MW79" i="65"/>
  <c r="MW71" i="65"/>
  <c r="MW63" i="65"/>
  <c r="MW55" i="65"/>
  <c r="MW47" i="65"/>
  <c r="MW39" i="65"/>
  <c r="MW31" i="65"/>
  <c r="MW23" i="65"/>
  <c r="MW15" i="65"/>
  <c r="MW81" i="65"/>
  <c r="MW41" i="65"/>
  <c r="MW103" i="65"/>
  <c r="MW64" i="65"/>
  <c r="MW16" i="65"/>
  <c r="MW102" i="65"/>
  <c r="MW94" i="65"/>
  <c r="MW86" i="65"/>
  <c r="MW78" i="65"/>
  <c r="MW70" i="65"/>
  <c r="MW62" i="65"/>
  <c r="MW54" i="65"/>
  <c r="MW46" i="65"/>
  <c r="MW38" i="65"/>
  <c r="MW30" i="65"/>
  <c r="MW22" i="65"/>
  <c r="MW14" i="65"/>
  <c r="MW57" i="65"/>
  <c r="MW17" i="65"/>
  <c r="MW72" i="65"/>
  <c r="MW40" i="65"/>
  <c r="MU12" i="65"/>
  <c r="MW101" i="65"/>
  <c r="MW93" i="65"/>
  <c r="MW85" i="65"/>
  <c r="MW77" i="65"/>
  <c r="MW69" i="65"/>
  <c r="MW61" i="65"/>
  <c r="MW53" i="65"/>
  <c r="MW45" i="65"/>
  <c r="MW37" i="65"/>
  <c r="MW29" i="65"/>
  <c r="MW21" i="65"/>
  <c r="MW13" i="65"/>
  <c r="MW89" i="65"/>
  <c r="MW49" i="65"/>
  <c r="MW88" i="65"/>
  <c r="MW48" i="65"/>
  <c r="MU6" i="65"/>
  <c r="MW100" i="65"/>
  <c r="MW92" i="65"/>
  <c r="MW84" i="65"/>
  <c r="MW76" i="65"/>
  <c r="MW68" i="65"/>
  <c r="MW60" i="65"/>
  <c r="MW52" i="65"/>
  <c r="MW44" i="65"/>
  <c r="MW36" i="65"/>
  <c r="MW28" i="65"/>
  <c r="MW20" i="65"/>
  <c r="MW12" i="65"/>
  <c r="MW65" i="65"/>
  <c r="MW33" i="65"/>
  <c r="MW80" i="65"/>
  <c r="MW24" i="65"/>
  <c r="MW99" i="65"/>
  <c r="MW91" i="65"/>
  <c r="MW83" i="65"/>
  <c r="MW75" i="65"/>
  <c r="MW67" i="65"/>
  <c r="MW59" i="65"/>
  <c r="MW51" i="65"/>
  <c r="MW43" i="65"/>
  <c r="MW35" i="65"/>
  <c r="MW27" i="65"/>
  <c r="MW19" i="65"/>
  <c r="MW73" i="65"/>
  <c r="MW25" i="65"/>
  <c r="MW56" i="65"/>
  <c r="MS18" i="65"/>
  <c r="MW6" i="65"/>
  <c r="MW98" i="65"/>
  <c r="MW90" i="65"/>
  <c r="MW82" i="65"/>
  <c r="MW74" i="65"/>
  <c r="MW66" i="65"/>
  <c r="MW58" i="65"/>
  <c r="MW50" i="65"/>
  <c r="MW42" i="65"/>
  <c r="MW34" i="65"/>
  <c r="MW26" i="65"/>
  <c r="MS15" i="61"/>
  <c r="MS89" i="61"/>
  <c r="MS57" i="61"/>
  <c r="MS17" i="61"/>
  <c r="MS10" i="61"/>
  <c r="MS94" i="61"/>
  <c r="MS86" i="61"/>
  <c r="MS78" i="61"/>
  <c r="MS70" i="61"/>
  <c r="MS62" i="61"/>
  <c r="MS54" i="61"/>
  <c r="MS46" i="61"/>
  <c r="MS38" i="61"/>
  <c r="MS30" i="61"/>
  <c r="MS22" i="61"/>
  <c r="MS14" i="61"/>
  <c r="MS81" i="61"/>
  <c r="MS33" i="61"/>
  <c r="MQ11" i="61"/>
  <c r="MS101" i="61"/>
  <c r="MS93" i="61"/>
  <c r="MS85" i="61"/>
  <c r="MS77" i="61"/>
  <c r="MS69" i="61"/>
  <c r="MS61" i="61"/>
  <c r="MS53" i="61"/>
  <c r="MS45" i="61"/>
  <c r="MS37" i="61"/>
  <c r="MS29" i="61"/>
  <c r="MS21" i="61"/>
  <c r="MS13" i="61"/>
  <c r="MS6" i="61"/>
  <c r="MS65" i="61"/>
  <c r="MS25" i="61"/>
  <c r="MQ6" i="61"/>
  <c r="MS100" i="61"/>
  <c r="MS92" i="61"/>
  <c r="MS84" i="61"/>
  <c r="MS76" i="61"/>
  <c r="MS68" i="61"/>
  <c r="MS60" i="61"/>
  <c r="MS52" i="61"/>
  <c r="MS44" i="61"/>
  <c r="MS36" i="61"/>
  <c r="MS28" i="61"/>
  <c r="MS20" i="61"/>
  <c r="MS12" i="61"/>
  <c r="MQ98" i="61"/>
  <c r="MS99" i="61"/>
  <c r="MS91" i="61"/>
  <c r="MS83" i="61"/>
  <c r="MS75" i="61"/>
  <c r="MS67" i="61"/>
  <c r="MS59" i="61"/>
  <c r="MS51" i="61"/>
  <c r="MS43" i="61"/>
  <c r="MS35" i="61"/>
  <c r="MS27" i="61"/>
  <c r="MS19" i="61"/>
  <c r="MS11" i="61"/>
  <c r="MS98" i="61"/>
  <c r="MS90" i="61"/>
  <c r="MS82" i="61"/>
  <c r="MS74" i="61"/>
  <c r="MS66" i="61"/>
  <c r="MS58" i="61"/>
  <c r="MS50" i="61"/>
  <c r="MS42" i="61"/>
  <c r="MS34" i="61"/>
  <c r="MS26" i="61"/>
  <c r="MS18" i="61"/>
  <c r="MS97" i="61"/>
  <c r="MS49" i="61"/>
  <c r="MS103" i="61"/>
  <c r="MS96" i="61"/>
  <c r="MS88" i="61"/>
  <c r="MS80" i="61"/>
  <c r="MS72" i="61"/>
  <c r="MS64" i="61"/>
  <c r="MS56" i="61"/>
  <c r="MS48" i="61"/>
  <c r="MS40" i="61"/>
  <c r="MS32" i="61"/>
  <c r="MS24" i="61"/>
  <c r="MS16" i="61"/>
  <c r="MS73" i="61"/>
  <c r="MS102" i="61"/>
  <c r="MS95" i="61"/>
  <c r="MS87" i="61"/>
  <c r="MS79" i="61"/>
  <c r="MS71" i="61"/>
  <c r="MS63" i="61"/>
  <c r="MS55" i="61"/>
  <c r="MS47" i="61"/>
  <c r="MS39" i="61"/>
  <c r="MS31" i="61"/>
  <c r="MS23" i="61"/>
  <c r="MU99" i="65"/>
  <c r="MU91" i="65"/>
  <c r="MU83" i="65"/>
  <c r="MU43" i="65"/>
  <c r="MU90" i="65"/>
  <c r="MU58" i="65"/>
  <c r="MU34" i="65"/>
  <c r="MU18" i="65"/>
  <c r="MU104" i="65"/>
  <c r="MU97" i="65"/>
  <c r="MU89" i="65"/>
  <c r="MU81" i="65"/>
  <c r="MU73" i="65"/>
  <c r="MU65" i="65"/>
  <c r="MU57" i="65"/>
  <c r="MU49" i="65"/>
  <c r="MU41" i="65"/>
  <c r="MU33" i="65"/>
  <c r="MU25" i="65"/>
  <c r="MU17" i="65"/>
  <c r="MU67" i="65"/>
  <c r="MU19" i="65"/>
  <c r="MU74" i="65"/>
  <c r="MU42" i="65"/>
  <c r="MU103" i="65"/>
  <c r="MU96" i="65"/>
  <c r="MU88" i="65"/>
  <c r="MU80" i="65"/>
  <c r="MU72" i="65"/>
  <c r="MU64" i="65"/>
  <c r="MU56" i="65"/>
  <c r="MU48" i="65"/>
  <c r="MU40" i="65"/>
  <c r="MU32" i="65"/>
  <c r="MU24" i="65"/>
  <c r="MU16" i="65"/>
  <c r="MU75" i="65"/>
  <c r="MU27" i="65"/>
  <c r="MU66" i="65"/>
  <c r="MU26" i="65"/>
  <c r="MU11" i="65"/>
  <c r="MU95" i="65"/>
  <c r="MU87" i="65"/>
  <c r="MU79" i="65"/>
  <c r="MU71" i="65"/>
  <c r="MU63" i="65"/>
  <c r="MU55" i="65"/>
  <c r="MU47" i="65"/>
  <c r="MU39" i="65"/>
  <c r="MU31" i="65"/>
  <c r="MU23" i="65"/>
  <c r="MU15" i="65"/>
  <c r="MU59" i="65"/>
  <c r="MU50" i="65"/>
  <c r="MU102" i="65"/>
  <c r="MU94" i="65"/>
  <c r="MU86" i="65"/>
  <c r="MU78" i="65"/>
  <c r="MU70" i="65"/>
  <c r="MU62" i="65"/>
  <c r="MU54" i="65"/>
  <c r="MU46" i="65"/>
  <c r="MU38" i="65"/>
  <c r="MU30" i="65"/>
  <c r="MU22" i="65"/>
  <c r="MU14" i="65"/>
  <c r="MU51" i="65"/>
  <c r="MU82" i="65"/>
  <c r="MU101" i="65"/>
  <c r="MU93" i="65"/>
  <c r="MU85" i="65"/>
  <c r="MU77" i="65"/>
  <c r="MU69" i="65"/>
  <c r="MU61" i="65"/>
  <c r="MU53" i="65"/>
  <c r="MU45" i="65"/>
  <c r="MU37" i="65"/>
  <c r="MU29" i="65"/>
  <c r="MU21" i="65"/>
  <c r="MU13" i="65"/>
  <c r="MU35" i="65"/>
  <c r="MU98" i="65"/>
  <c r="MU100" i="65"/>
  <c r="MU92" i="65"/>
  <c r="MU84" i="65"/>
  <c r="MU76" i="65"/>
  <c r="MU68" i="65"/>
  <c r="MU60" i="65"/>
  <c r="MU52" i="65"/>
  <c r="MU44" i="65"/>
  <c r="MU36" i="65"/>
  <c r="MU28" i="65"/>
  <c r="MU20" i="65"/>
  <c r="MS104" i="65"/>
  <c r="MS6" i="65"/>
  <c r="MQ66" i="61"/>
  <c r="MQ18" i="61"/>
  <c r="MQ65" i="61"/>
  <c r="MQ33" i="61"/>
  <c r="MQ64" i="61"/>
  <c r="MQ16" i="61"/>
  <c r="MQ102" i="61"/>
  <c r="MQ95" i="61"/>
  <c r="MQ87" i="61"/>
  <c r="MQ79" i="61"/>
  <c r="MQ71" i="61"/>
  <c r="MQ63" i="61"/>
  <c r="MQ55" i="61"/>
  <c r="MQ47" i="61"/>
  <c r="MQ39" i="61"/>
  <c r="MQ31" i="61"/>
  <c r="MQ23" i="61"/>
  <c r="MQ15" i="61"/>
  <c r="MQ90" i="61"/>
  <c r="MQ42" i="61"/>
  <c r="MQ89" i="61"/>
  <c r="MQ49" i="61"/>
  <c r="MQ103" i="61"/>
  <c r="MQ72" i="61"/>
  <c r="MQ24" i="61"/>
  <c r="MQ10" i="61"/>
  <c r="MQ94" i="61"/>
  <c r="MQ86" i="61"/>
  <c r="MQ78" i="61"/>
  <c r="MQ70" i="61"/>
  <c r="MQ62" i="61"/>
  <c r="MQ54" i="61"/>
  <c r="MQ46" i="61"/>
  <c r="MQ38" i="61"/>
  <c r="MQ30" i="61"/>
  <c r="MQ22" i="61"/>
  <c r="MQ14" i="61"/>
  <c r="MQ82" i="61"/>
  <c r="MQ50" i="61"/>
  <c r="MQ97" i="61"/>
  <c r="MQ57" i="61"/>
  <c r="MQ17" i="61"/>
  <c r="MQ56" i="61"/>
  <c r="MQ32" i="61"/>
  <c r="MQ101" i="61"/>
  <c r="MQ93" i="61"/>
  <c r="MQ85" i="61"/>
  <c r="MQ77" i="61"/>
  <c r="MQ69" i="61"/>
  <c r="MQ61" i="61"/>
  <c r="MQ53" i="61"/>
  <c r="MQ45" i="61"/>
  <c r="MQ37" i="61"/>
  <c r="MQ29" i="61"/>
  <c r="MQ21" i="61"/>
  <c r="MQ13" i="61"/>
  <c r="MQ58" i="61"/>
  <c r="MQ34" i="61"/>
  <c r="MQ81" i="61"/>
  <c r="MQ41" i="61"/>
  <c r="MQ96" i="61"/>
  <c r="MQ80" i="61"/>
  <c r="MQ40" i="61"/>
  <c r="MQ100" i="61"/>
  <c r="MQ92" i="61"/>
  <c r="MQ84" i="61"/>
  <c r="MQ76" i="61"/>
  <c r="MQ68" i="61"/>
  <c r="MQ60" i="61"/>
  <c r="MQ52" i="61"/>
  <c r="MQ44" i="61"/>
  <c r="MQ36" i="61"/>
  <c r="MQ28" i="61"/>
  <c r="MQ20" i="61"/>
  <c r="MQ12" i="61"/>
  <c r="MQ74" i="61"/>
  <c r="MQ26" i="61"/>
  <c r="MQ73" i="61"/>
  <c r="MQ25" i="61"/>
  <c r="MQ88" i="61"/>
  <c r="MQ48" i="61"/>
  <c r="MQ99" i="61"/>
  <c r="MQ91" i="61"/>
  <c r="MQ83" i="61"/>
  <c r="MQ75" i="61"/>
  <c r="MQ67" i="61"/>
  <c r="MQ59" i="61"/>
  <c r="MQ51" i="61"/>
  <c r="MQ43" i="61"/>
  <c r="MQ35" i="61"/>
  <c r="MQ27" i="61"/>
  <c r="MQ19" i="61"/>
  <c r="MS89" i="65"/>
  <c r="MS69" i="65"/>
  <c r="MS48" i="65"/>
  <c r="MS25" i="65"/>
  <c r="MS88" i="65"/>
  <c r="MS65" i="65"/>
  <c r="MS45" i="65"/>
  <c r="MS24" i="65"/>
  <c r="MS64" i="65"/>
  <c r="MS101" i="65"/>
  <c r="MS80" i="65"/>
  <c r="MS57" i="65"/>
  <c r="MS37" i="65"/>
  <c r="MS16" i="65"/>
  <c r="MS21" i="65"/>
  <c r="MS61" i="65"/>
  <c r="MS97" i="65"/>
  <c r="MS77" i="65"/>
  <c r="MS56" i="65"/>
  <c r="MS33" i="65"/>
  <c r="MS13" i="65"/>
  <c r="MS41" i="65"/>
  <c r="MS81" i="65"/>
  <c r="MS17" i="65"/>
  <c r="MS96" i="65"/>
  <c r="MS73" i="65"/>
  <c r="MS53" i="65"/>
  <c r="MS32" i="65"/>
  <c r="MS85" i="65"/>
  <c r="MS103" i="65"/>
  <c r="MS40" i="65"/>
  <c r="MS93" i="65"/>
  <c r="MS72" i="65"/>
  <c r="MS49" i="65"/>
  <c r="MS29" i="65"/>
  <c r="MS11" i="65"/>
  <c r="MS95" i="65"/>
  <c r="MS87" i="65"/>
  <c r="MS79" i="65"/>
  <c r="MS71" i="65"/>
  <c r="MS63" i="65"/>
  <c r="MS55" i="65"/>
  <c r="MS47" i="65"/>
  <c r="MS39" i="65"/>
  <c r="MS31" i="65"/>
  <c r="MS23" i="65"/>
  <c r="MS15" i="65"/>
  <c r="MS102" i="65"/>
  <c r="MS94" i="65"/>
  <c r="MS86" i="65"/>
  <c r="MS78" i="65"/>
  <c r="MS70" i="65"/>
  <c r="MS62" i="65"/>
  <c r="MS54" i="65"/>
  <c r="MS46" i="65"/>
  <c r="MS38" i="65"/>
  <c r="MS30" i="65"/>
  <c r="MS22" i="65"/>
  <c r="MS14" i="65"/>
  <c r="MS100" i="65"/>
  <c r="MS92" i="65"/>
  <c r="MS84" i="65"/>
  <c r="MS76" i="65"/>
  <c r="MS68" i="65"/>
  <c r="MS60" i="65"/>
  <c r="MS52" i="65"/>
  <c r="MS44" i="65"/>
  <c r="MS36" i="65"/>
  <c r="MS28" i="65"/>
  <c r="MS20" i="65"/>
  <c r="MS12" i="65"/>
  <c r="MS99" i="65"/>
  <c r="MS91" i="65"/>
  <c r="MS83" i="65"/>
  <c r="MS75" i="65"/>
  <c r="MS67" i="65"/>
  <c r="MS59" i="65"/>
  <c r="MS51" i="65"/>
  <c r="MS43" i="65"/>
  <c r="MS35" i="65"/>
  <c r="MS27" i="65"/>
  <c r="MS19" i="65"/>
  <c r="MS98" i="65"/>
  <c r="MS90" i="65"/>
  <c r="MS82" i="65"/>
  <c r="MS74" i="65"/>
  <c r="MS66" i="65"/>
  <c r="MS58" i="65"/>
  <c r="MS50" i="65"/>
  <c r="MS42" i="65"/>
  <c r="MS34" i="65"/>
  <c r="MS26" i="65"/>
  <c r="MO102" i="61"/>
  <c r="MO103" i="65"/>
  <c r="MQ103" i="65"/>
  <c r="MQ104" i="65"/>
  <c r="MM103" i="65"/>
  <c r="MM104" i="65"/>
  <c r="MO104" i="65"/>
  <c r="MQ12" i="65"/>
  <c r="MQ89" i="65"/>
  <c r="MQ57" i="65"/>
  <c r="MQ99" i="65"/>
  <c r="MQ91" i="65"/>
  <c r="MQ83" i="65"/>
  <c r="MQ75" i="65"/>
  <c r="MQ67" i="65"/>
  <c r="MQ59" i="65"/>
  <c r="MQ51" i="65"/>
  <c r="MQ43" i="65"/>
  <c r="MQ35" i="65"/>
  <c r="MQ27" i="65"/>
  <c r="MQ19" i="65"/>
  <c r="MQ98" i="65"/>
  <c r="MQ90" i="65"/>
  <c r="MQ82" i="65"/>
  <c r="MQ74" i="65"/>
  <c r="MQ66" i="65"/>
  <c r="MQ58" i="65"/>
  <c r="MQ50" i="65"/>
  <c r="MQ42" i="65"/>
  <c r="MQ34" i="65"/>
  <c r="MQ26" i="65"/>
  <c r="MQ18" i="65"/>
  <c r="MQ81" i="65"/>
  <c r="MQ49" i="65"/>
  <c r="MQ17" i="65"/>
  <c r="MQ6" i="65"/>
  <c r="MQ96" i="65"/>
  <c r="MQ88" i="65"/>
  <c r="MQ80" i="65"/>
  <c r="MQ72" i="65"/>
  <c r="MQ64" i="65"/>
  <c r="MQ56" i="65"/>
  <c r="MQ48" i="65"/>
  <c r="MQ40" i="65"/>
  <c r="MQ32" i="65"/>
  <c r="MQ24" i="65"/>
  <c r="MQ16" i="65"/>
  <c r="MQ97" i="65"/>
  <c r="MQ65" i="65"/>
  <c r="MQ25" i="65"/>
  <c r="MQ11" i="65"/>
  <c r="MQ95" i="65"/>
  <c r="MQ87" i="65"/>
  <c r="MQ79" i="65"/>
  <c r="MQ71" i="65"/>
  <c r="MQ63" i="65"/>
  <c r="MQ55" i="65"/>
  <c r="MQ47" i="65"/>
  <c r="MQ39" i="65"/>
  <c r="MQ31" i="65"/>
  <c r="MQ23" i="65"/>
  <c r="MQ15" i="65"/>
  <c r="MQ41" i="65"/>
  <c r="MQ102" i="65"/>
  <c r="MQ94" i="65"/>
  <c r="MQ86" i="65"/>
  <c r="MQ78" i="65"/>
  <c r="MQ70" i="65"/>
  <c r="MQ62" i="65"/>
  <c r="MQ54" i="65"/>
  <c r="MQ46" i="65"/>
  <c r="MQ38" i="65"/>
  <c r="MQ30" i="65"/>
  <c r="MQ22" i="65"/>
  <c r="MQ14" i="65"/>
  <c r="MQ101" i="65"/>
  <c r="MQ93" i="65"/>
  <c r="MQ85" i="65"/>
  <c r="MQ77" i="65"/>
  <c r="MQ69" i="65"/>
  <c r="MQ61" i="65"/>
  <c r="MQ53" i="65"/>
  <c r="MQ45" i="65"/>
  <c r="MQ37" i="65"/>
  <c r="MQ29" i="65"/>
  <c r="MQ21" i="65"/>
  <c r="MQ13" i="65"/>
  <c r="MQ73" i="65"/>
  <c r="MQ33" i="65"/>
  <c r="MQ100" i="65"/>
  <c r="MQ92" i="65"/>
  <c r="MQ84" i="65"/>
  <c r="MQ76" i="65"/>
  <c r="MQ68" i="65"/>
  <c r="MQ60" i="65"/>
  <c r="MQ52" i="65"/>
  <c r="MQ44" i="65"/>
  <c r="MQ36" i="65"/>
  <c r="MQ28" i="65"/>
  <c r="MQ20" i="65"/>
  <c r="MO31" i="61"/>
  <c r="MO18" i="61"/>
  <c r="MO63" i="61"/>
  <c r="MO71" i="61"/>
  <c r="MO47" i="61"/>
  <c r="MO15" i="61"/>
  <c r="MO6" i="61"/>
  <c r="MO97" i="61"/>
  <c r="MO89" i="61"/>
  <c r="MO81" i="61"/>
  <c r="MO73" i="61"/>
  <c r="MO65" i="61"/>
  <c r="MO57" i="61"/>
  <c r="MO49" i="61"/>
  <c r="MO41" i="61"/>
  <c r="MO33" i="61"/>
  <c r="MO25" i="61"/>
  <c r="MO17" i="61"/>
  <c r="MO95" i="61"/>
  <c r="MO103" i="61"/>
  <c r="MO96" i="61"/>
  <c r="MO88" i="61"/>
  <c r="MO80" i="61"/>
  <c r="MO72" i="61"/>
  <c r="MO64" i="61"/>
  <c r="MO56" i="61"/>
  <c r="MO48" i="61"/>
  <c r="MO40" i="61"/>
  <c r="MO32" i="61"/>
  <c r="MO24" i="61"/>
  <c r="MO16" i="61"/>
  <c r="MO10" i="61"/>
  <c r="MO94" i="61"/>
  <c r="MO86" i="61"/>
  <c r="MO78" i="61"/>
  <c r="MO70" i="61"/>
  <c r="MO62" i="61"/>
  <c r="MO54" i="61"/>
  <c r="MO46" i="61"/>
  <c r="MO38" i="61"/>
  <c r="MO30" i="61"/>
  <c r="MO22" i="61"/>
  <c r="MO14" i="61"/>
  <c r="MO79" i="61"/>
  <c r="MO39" i="61"/>
  <c r="MO23" i="61"/>
  <c r="MO101" i="61"/>
  <c r="MO93" i="61"/>
  <c r="MO85" i="61"/>
  <c r="MO77" i="61"/>
  <c r="MO69" i="61"/>
  <c r="MO61" i="61"/>
  <c r="MO53" i="61"/>
  <c r="MO45" i="61"/>
  <c r="MO37" i="61"/>
  <c r="MO29" i="61"/>
  <c r="MO21" i="61"/>
  <c r="MO13" i="61"/>
  <c r="MO100" i="61"/>
  <c r="MO92" i="61"/>
  <c r="MO84" i="61"/>
  <c r="MO76" i="61"/>
  <c r="MO68" i="61"/>
  <c r="MO60" i="61"/>
  <c r="MO52" i="61"/>
  <c r="MO44" i="61"/>
  <c r="MO36" i="61"/>
  <c r="MO28" i="61"/>
  <c r="MO20" i="61"/>
  <c r="MO12" i="61"/>
  <c r="MO55" i="61"/>
  <c r="MI19" i="61"/>
  <c r="MO99" i="61"/>
  <c r="MO91" i="61"/>
  <c r="MO83" i="61"/>
  <c r="MO75" i="61"/>
  <c r="MO67" i="61"/>
  <c r="MO59" i="61"/>
  <c r="MO51" i="61"/>
  <c r="MO43" i="61"/>
  <c r="MO35" i="61"/>
  <c r="MO27" i="61"/>
  <c r="MO19" i="61"/>
  <c r="MO11" i="61"/>
  <c r="MO87" i="61"/>
  <c r="MO98" i="61"/>
  <c r="MO90" i="61"/>
  <c r="MO82" i="61"/>
  <c r="MO74" i="61"/>
  <c r="MO66" i="61"/>
  <c r="MO58" i="61"/>
  <c r="MO50" i="61"/>
  <c r="MO42" i="61"/>
  <c r="MO34" i="61"/>
  <c r="MO26" i="61"/>
  <c r="LQ17" i="61"/>
  <c r="ME6" i="61"/>
  <c r="LS6" i="61"/>
  <c r="LS111" i="61" s="1"/>
  <c r="MA19" i="61"/>
  <c r="MG6" i="61"/>
  <c r="MK12" i="61"/>
  <c r="MG90" i="61"/>
  <c r="MK6" i="61"/>
  <c r="LU6" i="61"/>
  <c r="MC12" i="61"/>
  <c r="MI14" i="61"/>
  <c r="MK81" i="61"/>
  <c r="MA6" i="61"/>
  <c r="LO17" i="61"/>
  <c r="LU76" i="61"/>
  <c r="MC6" i="61"/>
  <c r="MI6" i="61"/>
  <c r="MM18" i="61"/>
  <c r="LU13" i="61"/>
  <c r="LO6" i="61"/>
  <c r="LW11" i="61"/>
  <c r="ME18" i="61"/>
  <c r="MI83" i="61"/>
  <c r="MM6" i="61"/>
  <c r="MM55" i="61"/>
  <c r="LQ6" i="61"/>
  <c r="LY25" i="61"/>
  <c r="ME95" i="61"/>
  <c r="MI67" i="61"/>
  <c r="MM47" i="61"/>
  <c r="LW6" i="61"/>
  <c r="MI75" i="61"/>
  <c r="LS15" i="61"/>
  <c r="LY6" i="61"/>
  <c r="MG16" i="61"/>
  <c r="MK73" i="61"/>
  <c r="MK17" i="61"/>
  <c r="LU84" i="61"/>
  <c r="MI11" i="61"/>
  <c r="LU20" i="61"/>
  <c r="MC93" i="61"/>
  <c r="MK10" i="61"/>
  <c r="MK101" i="61"/>
  <c r="LQ32" i="61"/>
  <c r="LQ16" i="61"/>
  <c r="MC81" i="61"/>
  <c r="MG85" i="61"/>
  <c r="LQ103" i="61"/>
  <c r="LS46" i="61"/>
  <c r="MG37" i="61"/>
  <c r="LQ96" i="61"/>
  <c r="LQ88" i="61"/>
  <c r="LQ80" i="61"/>
  <c r="ME76" i="61"/>
  <c r="LS10" i="61"/>
  <c r="LS30" i="61"/>
  <c r="LU12" i="61"/>
  <c r="MC78" i="61"/>
  <c r="ME93" i="61"/>
  <c r="LS38" i="61"/>
  <c r="LS94" i="61"/>
  <c r="LS22" i="61"/>
  <c r="MC73" i="61"/>
  <c r="LQ64" i="61"/>
  <c r="LS86" i="61"/>
  <c r="LS14" i="61"/>
  <c r="MC57" i="61"/>
  <c r="ME71" i="61"/>
  <c r="MG29" i="61"/>
  <c r="LS78" i="61"/>
  <c r="LW74" i="61"/>
  <c r="MC101" i="61"/>
  <c r="MC25" i="61"/>
  <c r="ME23" i="61"/>
  <c r="LQ24" i="61"/>
  <c r="LS70" i="61"/>
  <c r="LW66" i="61"/>
  <c r="MC97" i="61"/>
  <c r="MC17" i="61"/>
  <c r="ME15" i="61"/>
  <c r="LS62" i="61"/>
  <c r="MC95" i="61"/>
  <c r="LU68" i="61"/>
  <c r="LW58" i="61"/>
  <c r="LY96" i="61"/>
  <c r="ME92" i="61"/>
  <c r="ME68" i="61"/>
  <c r="MG82" i="61"/>
  <c r="MG21" i="61"/>
  <c r="MK65" i="61"/>
  <c r="MM39" i="61"/>
  <c r="LO96" i="61"/>
  <c r="LQ72" i="61"/>
  <c r="LS54" i="61"/>
  <c r="LU10" i="61"/>
  <c r="LU60" i="61"/>
  <c r="LW50" i="61"/>
  <c r="MC94" i="61"/>
  <c r="MC65" i="61"/>
  <c r="ME91" i="61"/>
  <c r="ME63" i="61"/>
  <c r="MG77" i="61"/>
  <c r="MG13" i="61"/>
  <c r="MI59" i="61"/>
  <c r="MK57" i="61"/>
  <c r="MM95" i="61"/>
  <c r="MM31" i="61"/>
  <c r="LO88" i="61"/>
  <c r="LU101" i="61"/>
  <c r="LU52" i="61"/>
  <c r="LW100" i="61"/>
  <c r="LW42" i="61"/>
  <c r="ME10" i="61"/>
  <c r="ME87" i="61"/>
  <c r="ME55" i="61"/>
  <c r="MG101" i="61"/>
  <c r="MG69" i="61"/>
  <c r="MI51" i="61"/>
  <c r="MK49" i="61"/>
  <c r="MM87" i="61"/>
  <c r="MM23" i="61"/>
  <c r="LQ56" i="61"/>
  <c r="LU100" i="61"/>
  <c r="LU44" i="61"/>
  <c r="LW98" i="61"/>
  <c r="LW34" i="61"/>
  <c r="MC89" i="61"/>
  <c r="MC49" i="61"/>
  <c r="ME101" i="61"/>
  <c r="ME84" i="61"/>
  <c r="ME47" i="61"/>
  <c r="MG98" i="61"/>
  <c r="MG61" i="61"/>
  <c r="MI43" i="61"/>
  <c r="MK41" i="61"/>
  <c r="MM79" i="61"/>
  <c r="MM15" i="61"/>
  <c r="LQ48" i="61"/>
  <c r="LU94" i="61"/>
  <c r="LU36" i="61"/>
  <c r="LW90" i="61"/>
  <c r="LW26" i="61"/>
  <c r="MC86" i="61"/>
  <c r="MC41" i="61"/>
  <c r="ME100" i="61"/>
  <c r="ME83" i="61"/>
  <c r="ME39" i="61"/>
  <c r="MG97" i="61"/>
  <c r="MG53" i="61"/>
  <c r="MI99" i="61"/>
  <c r="MI35" i="61"/>
  <c r="MK97" i="61"/>
  <c r="MK33" i="61"/>
  <c r="MM71" i="61"/>
  <c r="LQ40" i="61"/>
  <c r="LU92" i="61"/>
  <c r="LU28" i="61"/>
  <c r="LW82" i="61"/>
  <c r="LW18" i="61"/>
  <c r="MC10" i="61"/>
  <c r="MC85" i="61"/>
  <c r="MC33" i="61"/>
  <c r="ME99" i="61"/>
  <c r="ME79" i="61"/>
  <c r="ME31" i="61"/>
  <c r="MG93" i="61"/>
  <c r="MG45" i="61"/>
  <c r="MI91" i="61"/>
  <c r="MI27" i="61"/>
  <c r="MK89" i="61"/>
  <c r="MK25" i="61"/>
  <c r="MM63" i="61"/>
  <c r="LO48" i="61"/>
  <c r="LY72" i="61"/>
  <c r="MA51" i="61"/>
  <c r="LO95" i="61"/>
  <c r="LO87" i="61"/>
  <c r="LO79" i="61"/>
  <c r="LO71" i="61"/>
  <c r="LO63" i="61"/>
  <c r="LO55" i="61"/>
  <c r="LO47" i="61"/>
  <c r="LO39" i="61"/>
  <c r="LO31" i="61"/>
  <c r="LO23" i="61"/>
  <c r="LO15" i="61"/>
  <c r="LQ102" i="61"/>
  <c r="LQ95" i="61"/>
  <c r="LQ87" i="61"/>
  <c r="LQ79" i="61"/>
  <c r="LQ71" i="61"/>
  <c r="LQ63" i="61"/>
  <c r="LQ55" i="61"/>
  <c r="LQ47" i="61"/>
  <c r="LQ39" i="61"/>
  <c r="LQ31" i="61"/>
  <c r="LQ23" i="61"/>
  <c r="LQ15" i="61"/>
  <c r="LS101" i="61"/>
  <c r="LS93" i="61"/>
  <c r="LS85" i="61"/>
  <c r="LS77" i="61"/>
  <c r="LS69" i="61"/>
  <c r="LS61" i="61"/>
  <c r="LS53" i="61"/>
  <c r="LS45" i="61"/>
  <c r="LS37" i="61"/>
  <c r="LS29" i="61"/>
  <c r="LS21" i="61"/>
  <c r="LS13" i="61"/>
  <c r="LU99" i="61"/>
  <c r="LU91" i="61"/>
  <c r="LU83" i="61"/>
  <c r="LU75" i="61"/>
  <c r="LU67" i="61"/>
  <c r="LU59" i="61"/>
  <c r="LU51" i="61"/>
  <c r="LU43" i="61"/>
  <c r="LU35" i="61"/>
  <c r="LU27" i="61"/>
  <c r="LU19" i="61"/>
  <c r="LU11" i="61"/>
  <c r="LW97" i="61"/>
  <c r="LW89" i="61"/>
  <c r="LW81" i="61"/>
  <c r="LW73" i="61"/>
  <c r="LW65" i="61"/>
  <c r="LW57" i="61"/>
  <c r="LW49" i="61"/>
  <c r="LW41" i="61"/>
  <c r="LW33" i="61"/>
  <c r="LW25" i="61"/>
  <c r="LW17" i="61"/>
  <c r="LY95" i="61"/>
  <c r="LY87" i="61"/>
  <c r="LY79" i="61"/>
  <c r="LY71" i="61"/>
  <c r="LY63" i="61"/>
  <c r="LY55" i="61"/>
  <c r="LY47" i="61"/>
  <c r="LY33" i="61"/>
  <c r="MA43" i="61"/>
  <c r="LO32" i="61"/>
  <c r="LO10" i="61"/>
  <c r="LO94" i="61"/>
  <c r="LO86" i="61"/>
  <c r="LO78" i="61"/>
  <c r="LO70" i="61"/>
  <c r="LO62" i="61"/>
  <c r="LO54" i="61"/>
  <c r="LO46" i="61"/>
  <c r="LO38" i="61"/>
  <c r="LO30" i="61"/>
  <c r="LO22" i="61"/>
  <c r="LO14" i="61"/>
  <c r="LQ10" i="61"/>
  <c r="LQ94" i="61"/>
  <c r="LQ86" i="61"/>
  <c r="LQ78" i="61"/>
  <c r="LQ70" i="61"/>
  <c r="LQ62" i="61"/>
  <c r="LQ54" i="61"/>
  <c r="LQ46" i="61"/>
  <c r="LQ38" i="61"/>
  <c r="LQ30" i="61"/>
  <c r="LQ22" i="61"/>
  <c r="LQ14" i="61"/>
  <c r="LS100" i="61"/>
  <c r="LS92" i="61"/>
  <c r="LS84" i="61"/>
  <c r="LS76" i="61"/>
  <c r="LS68" i="61"/>
  <c r="LS60" i="61"/>
  <c r="LS52" i="61"/>
  <c r="LS44" i="61"/>
  <c r="LS36" i="61"/>
  <c r="LS28" i="61"/>
  <c r="LS20" i="61"/>
  <c r="LS12" i="61"/>
  <c r="LU98" i="61"/>
  <c r="LU90" i="61"/>
  <c r="LU82" i="61"/>
  <c r="LU74" i="61"/>
  <c r="LU66" i="61"/>
  <c r="LU58" i="61"/>
  <c r="LU50" i="61"/>
  <c r="LU42" i="61"/>
  <c r="LU34" i="61"/>
  <c r="LU26" i="61"/>
  <c r="LU18" i="61"/>
  <c r="LW96" i="61"/>
  <c r="LW88" i="61"/>
  <c r="LW80" i="61"/>
  <c r="LW72" i="61"/>
  <c r="LW64" i="61"/>
  <c r="LW56" i="61"/>
  <c r="LW48" i="61"/>
  <c r="LW40" i="61"/>
  <c r="LW32" i="61"/>
  <c r="LW24" i="61"/>
  <c r="LW16" i="61"/>
  <c r="LY10" i="61"/>
  <c r="LY94" i="61"/>
  <c r="LY86" i="61"/>
  <c r="LY78" i="61"/>
  <c r="LY70" i="61"/>
  <c r="LY62" i="61"/>
  <c r="LY54" i="61"/>
  <c r="LY45" i="61"/>
  <c r="LY29" i="61"/>
  <c r="MA99" i="61"/>
  <c r="MA35" i="61"/>
  <c r="LO80" i="61"/>
  <c r="LO24" i="61"/>
  <c r="LY64" i="61"/>
  <c r="LY48" i="61"/>
  <c r="LO101" i="61"/>
  <c r="LO93" i="61"/>
  <c r="LO85" i="61"/>
  <c r="LO77" i="61"/>
  <c r="LO69" i="61"/>
  <c r="LO61" i="61"/>
  <c r="LO53" i="61"/>
  <c r="LO45" i="61"/>
  <c r="LO37" i="61"/>
  <c r="LO29" i="61"/>
  <c r="LO21" i="61"/>
  <c r="LO13" i="61"/>
  <c r="LQ101" i="61"/>
  <c r="LQ93" i="61"/>
  <c r="LQ85" i="61"/>
  <c r="LQ77" i="61"/>
  <c r="LQ69" i="61"/>
  <c r="LQ61" i="61"/>
  <c r="LQ53" i="61"/>
  <c r="LQ45" i="61"/>
  <c r="LQ37" i="61"/>
  <c r="LQ29" i="61"/>
  <c r="LQ21" i="61"/>
  <c r="LQ13" i="61"/>
  <c r="LS99" i="61"/>
  <c r="LS91" i="61"/>
  <c r="LS83" i="61"/>
  <c r="LS75" i="61"/>
  <c r="LS67" i="61"/>
  <c r="LS59" i="61"/>
  <c r="LS51" i="61"/>
  <c r="LS43" i="61"/>
  <c r="LS35" i="61"/>
  <c r="LS27" i="61"/>
  <c r="LS19" i="61"/>
  <c r="LS11" i="61"/>
  <c r="LU97" i="61"/>
  <c r="LU89" i="61"/>
  <c r="LU81" i="61"/>
  <c r="LU73" i="61"/>
  <c r="LU65" i="61"/>
  <c r="LU57" i="61"/>
  <c r="LU49" i="61"/>
  <c r="LU41" i="61"/>
  <c r="LU33" i="61"/>
  <c r="LU25" i="61"/>
  <c r="LU17" i="61"/>
  <c r="LW95" i="61"/>
  <c r="LW87" i="61"/>
  <c r="LW79" i="61"/>
  <c r="LW71" i="61"/>
  <c r="LW63" i="61"/>
  <c r="LW55" i="61"/>
  <c r="LW47" i="61"/>
  <c r="LW39" i="61"/>
  <c r="LW31" i="61"/>
  <c r="LW23" i="61"/>
  <c r="LW15" i="61"/>
  <c r="LY101" i="61"/>
  <c r="LY93" i="61"/>
  <c r="LY85" i="61"/>
  <c r="LY77" i="61"/>
  <c r="LY69" i="61"/>
  <c r="LY61" i="61"/>
  <c r="LY53" i="61"/>
  <c r="LY44" i="61"/>
  <c r="LY26" i="61"/>
  <c r="MA91" i="61"/>
  <c r="MA27" i="61"/>
  <c r="LO72" i="61"/>
  <c r="LO16" i="61"/>
  <c r="LY80" i="61"/>
  <c r="LY34" i="61"/>
  <c r="LO100" i="61"/>
  <c r="LO92" i="61"/>
  <c r="LO84" i="61"/>
  <c r="LO76" i="61"/>
  <c r="LO68" i="61"/>
  <c r="LO60" i="61"/>
  <c r="LO52" i="61"/>
  <c r="LO44" i="61"/>
  <c r="LO36" i="61"/>
  <c r="LO28" i="61"/>
  <c r="LO20" i="61"/>
  <c r="LO12" i="61"/>
  <c r="LQ100" i="61"/>
  <c r="LQ92" i="61"/>
  <c r="LQ84" i="61"/>
  <c r="LQ76" i="61"/>
  <c r="LQ68" i="61"/>
  <c r="LQ60" i="61"/>
  <c r="LQ52" i="61"/>
  <c r="LQ44" i="61"/>
  <c r="LQ36" i="61"/>
  <c r="LQ28" i="61"/>
  <c r="LQ20" i="61"/>
  <c r="LQ12" i="61"/>
  <c r="LS98" i="61"/>
  <c r="LS90" i="61"/>
  <c r="LS82" i="61"/>
  <c r="LS74" i="61"/>
  <c r="LS66" i="61"/>
  <c r="LS58" i="61"/>
  <c r="LS50" i="61"/>
  <c r="LS42" i="61"/>
  <c r="LS34" i="61"/>
  <c r="LS26" i="61"/>
  <c r="LS18" i="61"/>
  <c r="LU96" i="61"/>
  <c r="LU88" i="61"/>
  <c r="LU80" i="61"/>
  <c r="LU72" i="61"/>
  <c r="LU64" i="61"/>
  <c r="LU56" i="61"/>
  <c r="LU48" i="61"/>
  <c r="LU40" i="61"/>
  <c r="LU32" i="61"/>
  <c r="LU24" i="61"/>
  <c r="LU16" i="61"/>
  <c r="LW10" i="61"/>
  <c r="LW94" i="61"/>
  <c r="LW86" i="61"/>
  <c r="LW78" i="61"/>
  <c r="LW70" i="61"/>
  <c r="LW62" i="61"/>
  <c r="LW54" i="61"/>
  <c r="LW46" i="61"/>
  <c r="LW38" i="61"/>
  <c r="LW30" i="61"/>
  <c r="LW22" i="61"/>
  <c r="LW14" i="61"/>
  <c r="LY100" i="61"/>
  <c r="LY92" i="61"/>
  <c r="LY84" i="61"/>
  <c r="LY76" i="61"/>
  <c r="LY68" i="61"/>
  <c r="LY60" i="61"/>
  <c r="LY52" i="61"/>
  <c r="LY43" i="61"/>
  <c r="MA83" i="61"/>
  <c r="LO64" i="61"/>
  <c r="LY16" i="61"/>
  <c r="LY24" i="61"/>
  <c r="LY32" i="61"/>
  <c r="LY40" i="61"/>
  <c r="LY17" i="61"/>
  <c r="LY11" i="61"/>
  <c r="LY19" i="61"/>
  <c r="LY27" i="61"/>
  <c r="LY35" i="61"/>
  <c r="LY12" i="61"/>
  <c r="LY20" i="61"/>
  <c r="LY28" i="61"/>
  <c r="LY36" i="61"/>
  <c r="LY14" i="61"/>
  <c r="LY22" i="61"/>
  <c r="LY30" i="61"/>
  <c r="LY38" i="61"/>
  <c r="LY46" i="61"/>
  <c r="LY15" i="61"/>
  <c r="LY23" i="61"/>
  <c r="LY31" i="61"/>
  <c r="LY39" i="61"/>
  <c r="MA14" i="61"/>
  <c r="MA22" i="61"/>
  <c r="MA30" i="61"/>
  <c r="MA38" i="61"/>
  <c r="MA46" i="61"/>
  <c r="MA54" i="61"/>
  <c r="MA62" i="61"/>
  <c r="MA70" i="61"/>
  <c r="MA78" i="61"/>
  <c r="MA86" i="61"/>
  <c r="MA94" i="61"/>
  <c r="MA10" i="61"/>
  <c r="MA15" i="61"/>
  <c r="MA23" i="61"/>
  <c r="MA31" i="61"/>
  <c r="MA39" i="61"/>
  <c r="MA47" i="61"/>
  <c r="MA55" i="61"/>
  <c r="MA63" i="61"/>
  <c r="MA71" i="61"/>
  <c r="MA79" i="61"/>
  <c r="MA87" i="61"/>
  <c r="MA95" i="61"/>
  <c r="MA16" i="61"/>
  <c r="MA24" i="61"/>
  <c r="MA32" i="61"/>
  <c r="MA40" i="61"/>
  <c r="MA48" i="61"/>
  <c r="MA56" i="61"/>
  <c r="MA64" i="61"/>
  <c r="MA72" i="61"/>
  <c r="MA80" i="61"/>
  <c r="MA88" i="61"/>
  <c r="MA96" i="61"/>
  <c r="MA17" i="61"/>
  <c r="MA25" i="61"/>
  <c r="MA33" i="61"/>
  <c r="MA41" i="61"/>
  <c r="MA49" i="61"/>
  <c r="MA57" i="61"/>
  <c r="MA65" i="61"/>
  <c r="MA73" i="61"/>
  <c r="MA81" i="61"/>
  <c r="MA89" i="61"/>
  <c r="MA97" i="61"/>
  <c r="MA18" i="61"/>
  <c r="MA26" i="61"/>
  <c r="MA34" i="61"/>
  <c r="MA42" i="61"/>
  <c r="MA50" i="61"/>
  <c r="MA58" i="61"/>
  <c r="MA66" i="61"/>
  <c r="MA74" i="61"/>
  <c r="MA82" i="61"/>
  <c r="MA90" i="61"/>
  <c r="MA98" i="61"/>
  <c r="MA12" i="61"/>
  <c r="MA20" i="61"/>
  <c r="MA28" i="61"/>
  <c r="MA36" i="61"/>
  <c r="MA44" i="61"/>
  <c r="MA52" i="61"/>
  <c r="MA60" i="61"/>
  <c r="MA68" i="61"/>
  <c r="MA76" i="61"/>
  <c r="MA84" i="61"/>
  <c r="MA92" i="61"/>
  <c r="MA100" i="61"/>
  <c r="MA13" i="61"/>
  <c r="MA21" i="61"/>
  <c r="MA29" i="61"/>
  <c r="MA37" i="61"/>
  <c r="MA45" i="61"/>
  <c r="MA53" i="61"/>
  <c r="MA61" i="61"/>
  <c r="MA69" i="61"/>
  <c r="MA77" i="61"/>
  <c r="MA85" i="61"/>
  <c r="MA93" i="61"/>
  <c r="MA101" i="61"/>
  <c r="LO99" i="61"/>
  <c r="LO91" i="61"/>
  <c r="LO83" i="61"/>
  <c r="LO75" i="61"/>
  <c r="LO67" i="61"/>
  <c r="LO59" i="61"/>
  <c r="LO51" i="61"/>
  <c r="LO43" i="61"/>
  <c r="LO35" i="61"/>
  <c r="LO27" i="61"/>
  <c r="LO19" i="61"/>
  <c r="LO11" i="61"/>
  <c r="LQ99" i="61"/>
  <c r="LQ91" i="61"/>
  <c r="LQ83" i="61"/>
  <c r="LQ75" i="61"/>
  <c r="LQ67" i="61"/>
  <c r="LQ59" i="61"/>
  <c r="LQ51" i="61"/>
  <c r="LQ43" i="61"/>
  <c r="LQ35" i="61"/>
  <c r="LQ27" i="61"/>
  <c r="LQ19" i="61"/>
  <c r="LQ11" i="61"/>
  <c r="LS97" i="61"/>
  <c r="LS89" i="61"/>
  <c r="LS81" i="61"/>
  <c r="LS73" i="61"/>
  <c r="LS65" i="61"/>
  <c r="LS57" i="61"/>
  <c r="LS49" i="61"/>
  <c r="LS41" i="61"/>
  <c r="LS33" i="61"/>
  <c r="LS25" i="61"/>
  <c r="LS17" i="61"/>
  <c r="LU95" i="61"/>
  <c r="LU87" i="61"/>
  <c r="LU79" i="61"/>
  <c r="LU71" i="61"/>
  <c r="LU63" i="61"/>
  <c r="LU55" i="61"/>
  <c r="LU47" i="61"/>
  <c r="LU39" i="61"/>
  <c r="LU31" i="61"/>
  <c r="LU23" i="61"/>
  <c r="LU15" i="61"/>
  <c r="LW101" i="61"/>
  <c r="LW93" i="61"/>
  <c r="LW85" i="61"/>
  <c r="LW77" i="61"/>
  <c r="LW69" i="61"/>
  <c r="LW61" i="61"/>
  <c r="LW53" i="61"/>
  <c r="LW45" i="61"/>
  <c r="LW37" i="61"/>
  <c r="LW29" i="61"/>
  <c r="LW21" i="61"/>
  <c r="LW13" i="61"/>
  <c r="LY99" i="61"/>
  <c r="LY91" i="61"/>
  <c r="LY83" i="61"/>
  <c r="LY75" i="61"/>
  <c r="LY67" i="61"/>
  <c r="LY59" i="61"/>
  <c r="LY51" i="61"/>
  <c r="LY42" i="61"/>
  <c r="LY21" i="61"/>
  <c r="MA75" i="61"/>
  <c r="MA11" i="61"/>
  <c r="LO56" i="61"/>
  <c r="LO90" i="61"/>
  <c r="LO82" i="61"/>
  <c r="LO74" i="61"/>
  <c r="LO66" i="61"/>
  <c r="LO58" i="61"/>
  <c r="LO50" i="61"/>
  <c r="LO42" i="61"/>
  <c r="LO34" i="61"/>
  <c r="LO26" i="61"/>
  <c r="LO18" i="61"/>
  <c r="LQ98" i="61"/>
  <c r="LQ90" i="61"/>
  <c r="LQ82" i="61"/>
  <c r="LQ74" i="61"/>
  <c r="LQ66" i="61"/>
  <c r="LQ58" i="61"/>
  <c r="LQ50" i="61"/>
  <c r="LQ42" i="61"/>
  <c r="LQ34" i="61"/>
  <c r="LQ26" i="61"/>
  <c r="LQ18" i="61"/>
  <c r="LS96" i="61"/>
  <c r="LS88" i="61"/>
  <c r="LS80" i="61"/>
  <c r="LS72" i="61"/>
  <c r="LS64" i="61"/>
  <c r="LS56" i="61"/>
  <c r="LS48" i="61"/>
  <c r="LS40" i="61"/>
  <c r="LS32" i="61"/>
  <c r="LS24" i="61"/>
  <c r="LS16" i="61"/>
  <c r="LU86" i="61"/>
  <c r="LU78" i="61"/>
  <c r="LU70" i="61"/>
  <c r="LU62" i="61"/>
  <c r="LU54" i="61"/>
  <c r="LU46" i="61"/>
  <c r="LU38" i="61"/>
  <c r="LU30" i="61"/>
  <c r="LU22" i="61"/>
  <c r="LU14" i="61"/>
  <c r="LW92" i="61"/>
  <c r="LW84" i="61"/>
  <c r="LW76" i="61"/>
  <c r="LW68" i="61"/>
  <c r="LW60" i="61"/>
  <c r="LW52" i="61"/>
  <c r="LW44" i="61"/>
  <c r="LW36" i="61"/>
  <c r="LW28" i="61"/>
  <c r="LW20" i="61"/>
  <c r="LW12" i="61"/>
  <c r="LY98" i="61"/>
  <c r="LY90" i="61"/>
  <c r="LY82" i="61"/>
  <c r="LY74" i="61"/>
  <c r="LY66" i="61"/>
  <c r="LY58" i="61"/>
  <c r="LY50" i="61"/>
  <c r="LY41" i="61"/>
  <c r="LY18" i="61"/>
  <c r="MA67" i="61"/>
  <c r="LO40" i="61"/>
  <c r="LY88" i="61"/>
  <c r="LY56" i="61"/>
  <c r="LO98" i="61"/>
  <c r="LO97" i="61"/>
  <c r="LO89" i="61"/>
  <c r="LO81" i="61"/>
  <c r="LO73" i="61"/>
  <c r="LO65" i="61"/>
  <c r="LO57" i="61"/>
  <c r="LO49" i="61"/>
  <c r="LO41" i="61"/>
  <c r="LO33" i="61"/>
  <c r="LO25" i="61"/>
  <c r="LQ97" i="61"/>
  <c r="LQ89" i="61"/>
  <c r="LQ81" i="61"/>
  <c r="LQ73" i="61"/>
  <c r="LQ65" i="61"/>
  <c r="LQ57" i="61"/>
  <c r="LQ49" i="61"/>
  <c r="LQ41" i="61"/>
  <c r="LQ33" i="61"/>
  <c r="LQ25" i="61"/>
  <c r="LS95" i="61"/>
  <c r="LS87" i="61"/>
  <c r="LS79" i="61"/>
  <c r="LS71" i="61"/>
  <c r="LS63" i="61"/>
  <c r="LS55" i="61"/>
  <c r="LS47" i="61"/>
  <c r="LS39" i="61"/>
  <c r="LS31" i="61"/>
  <c r="LS23" i="61"/>
  <c r="LU93" i="61"/>
  <c r="LU85" i="61"/>
  <c r="LU77" i="61"/>
  <c r="LU69" i="61"/>
  <c r="LU61" i="61"/>
  <c r="LU53" i="61"/>
  <c r="LU45" i="61"/>
  <c r="LU37" i="61"/>
  <c r="LU29" i="61"/>
  <c r="LU21" i="61"/>
  <c r="LW99" i="61"/>
  <c r="LW91" i="61"/>
  <c r="LW83" i="61"/>
  <c r="LW75" i="61"/>
  <c r="LW67" i="61"/>
  <c r="LW59" i="61"/>
  <c r="LW51" i="61"/>
  <c r="LW43" i="61"/>
  <c r="LW35" i="61"/>
  <c r="LW27" i="61"/>
  <c r="LW19" i="61"/>
  <c r="LY97" i="61"/>
  <c r="LY89" i="61"/>
  <c r="LY81" i="61"/>
  <c r="LY73" i="61"/>
  <c r="LY65" i="61"/>
  <c r="LY57" i="61"/>
  <c r="LY49" i="61"/>
  <c r="LY37" i="61"/>
  <c r="LY13" i="61"/>
  <c r="MA59" i="61"/>
  <c r="MC99" i="61"/>
  <c r="MC91" i="61"/>
  <c r="MC83" i="61"/>
  <c r="MC75" i="61"/>
  <c r="MC67" i="61"/>
  <c r="MC59" i="61"/>
  <c r="MC51" i="61"/>
  <c r="MC43" i="61"/>
  <c r="MC35" i="61"/>
  <c r="MC27" i="61"/>
  <c r="MC19" i="61"/>
  <c r="MC11" i="61"/>
  <c r="ME97" i="61"/>
  <c r="ME89" i="61"/>
  <c r="ME81" i="61"/>
  <c r="ME73" i="61"/>
  <c r="ME65" i="61"/>
  <c r="ME57" i="61"/>
  <c r="ME49" i="61"/>
  <c r="ME41" i="61"/>
  <c r="ME33" i="61"/>
  <c r="ME25" i="61"/>
  <c r="ME17" i="61"/>
  <c r="MG95" i="61"/>
  <c r="MG87" i="61"/>
  <c r="MG79" i="61"/>
  <c r="MG71" i="61"/>
  <c r="MG63" i="61"/>
  <c r="MG55" i="61"/>
  <c r="MG47" i="61"/>
  <c r="MG39" i="61"/>
  <c r="MG31" i="61"/>
  <c r="MG23" i="61"/>
  <c r="MG15" i="61"/>
  <c r="MI101" i="61"/>
  <c r="MI93" i="61"/>
  <c r="MI85" i="61"/>
  <c r="MI77" i="61"/>
  <c r="MI69" i="61"/>
  <c r="MI61" i="61"/>
  <c r="MI53" i="61"/>
  <c r="MI45" i="61"/>
  <c r="MI37" i="61"/>
  <c r="MI29" i="61"/>
  <c r="MI21" i="61"/>
  <c r="MI13" i="61"/>
  <c r="MK99" i="61"/>
  <c r="MK91" i="61"/>
  <c r="MK83" i="61"/>
  <c r="MK75" i="61"/>
  <c r="MK67" i="61"/>
  <c r="MK59" i="61"/>
  <c r="MK51" i="61"/>
  <c r="MK43" i="61"/>
  <c r="MK35" i="61"/>
  <c r="MK27" i="61"/>
  <c r="MK19" i="61"/>
  <c r="MK11" i="61"/>
  <c r="MM97" i="61"/>
  <c r="MM89" i="61"/>
  <c r="MM81" i="61"/>
  <c r="MM73" i="61"/>
  <c r="MM65" i="61"/>
  <c r="MM57" i="61"/>
  <c r="MM49" i="61"/>
  <c r="MM41" i="61"/>
  <c r="MM33" i="61"/>
  <c r="MM25" i="61"/>
  <c r="MM17" i="61"/>
  <c r="MC98" i="61"/>
  <c r="MC90" i="61"/>
  <c r="MC82" i="61"/>
  <c r="MC74" i="61"/>
  <c r="MC66" i="61"/>
  <c r="MC58" i="61"/>
  <c r="MC50" i="61"/>
  <c r="MC42" i="61"/>
  <c r="MC34" i="61"/>
  <c r="MC26" i="61"/>
  <c r="MC18" i="61"/>
  <c r="ME96" i="61"/>
  <c r="ME88" i="61"/>
  <c r="ME80" i="61"/>
  <c r="ME72" i="61"/>
  <c r="ME64" i="61"/>
  <c r="ME56" i="61"/>
  <c r="ME48" i="61"/>
  <c r="ME40" i="61"/>
  <c r="ME32" i="61"/>
  <c r="ME24" i="61"/>
  <c r="ME16" i="61"/>
  <c r="MG10" i="61"/>
  <c r="MG94" i="61"/>
  <c r="MG86" i="61"/>
  <c r="MG78" i="61"/>
  <c r="MG70" i="61"/>
  <c r="MG62" i="61"/>
  <c r="MG54" i="61"/>
  <c r="MG46" i="61"/>
  <c r="MG38" i="61"/>
  <c r="MG30" i="61"/>
  <c r="MG22" i="61"/>
  <c r="MG14" i="61"/>
  <c r="MI100" i="61"/>
  <c r="MI92" i="61"/>
  <c r="MI84" i="61"/>
  <c r="MI76" i="61"/>
  <c r="MI68" i="61"/>
  <c r="MI60" i="61"/>
  <c r="MI52" i="61"/>
  <c r="MI44" i="61"/>
  <c r="MI36" i="61"/>
  <c r="MI28" i="61"/>
  <c r="MI20" i="61"/>
  <c r="MI12" i="61"/>
  <c r="MK98" i="61"/>
  <c r="MK90" i="61"/>
  <c r="MK82" i="61"/>
  <c r="MK74" i="61"/>
  <c r="MK66" i="61"/>
  <c r="MK58" i="61"/>
  <c r="MK50" i="61"/>
  <c r="MK42" i="61"/>
  <c r="MK34" i="61"/>
  <c r="MK26" i="61"/>
  <c r="MK18" i="61"/>
  <c r="MM96" i="61"/>
  <c r="MM88" i="61"/>
  <c r="MM80" i="61"/>
  <c r="MM72" i="61"/>
  <c r="MM64" i="61"/>
  <c r="MM56" i="61"/>
  <c r="MM48" i="61"/>
  <c r="MM40" i="61"/>
  <c r="MM32" i="61"/>
  <c r="MM24" i="61"/>
  <c r="MM16" i="61"/>
  <c r="MC96" i="61"/>
  <c r="MC88" i="61"/>
  <c r="MC80" i="61"/>
  <c r="MC72" i="61"/>
  <c r="MC64" i="61"/>
  <c r="MC56" i="61"/>
  <c r="MC48" i="61"/>
  <c r="MC40" i="61"/>
  <c r="MC32" i="61"/>
  <c r="MC24" i="61"/>
  <c r="MC16" i="61"/>
  <c r="ME94" i="61"/>
  <c r="ME86" i="61"/>
  <c r="ME78" i="61"/>
  <c r="ME70" i="61"/>
  <c r="ME62" i="61"/>
  <c r="ME54" i="61"/>
  <c r="ME46" i="61"/>
  <c r="ME38" i="61"/>
  <c r="ME30" i="61"/>
  <c r="ME22" i="61"/>
  <c r="ME14" i="61"/>
  <c r="MG100" i="61"/>
  <c r="MG92" i="61"/>
  <c r="MG84" i="61"/>
  <c r="MG76" i="61"/>
  <c r="MG68" i="61"/>
  <c r="MG60" i="61"/>
  <c r="MG52" i="61"/>
  <c r="MG44" i="61"/>
  <c r="MG36" i="61"/>
  <c r="MG28" i="61"/>
  <c r="MG20" i="61"/>
  <c r="MG12" i="61"/>
  <c r="MI98" i="61"/>
  <c r="MI90" i="61"/>
  <c r="MI82" i="61"/>
  <c r="MI74" i="61"/>
  <c r="MI66" i="61"/>
  <c r="MI58" i="61"/>
  <c r="MI50" i="61"/>
  <c r="MI42" i="61"/>
  <c r="MI34" i="61"/>
  <c r="MI26" i="61"/>
  <c r="MI18" i="61"/>
  <c r="MK96" i="61"/>
  <c r="MK88" i="61"/>
  <c r="MK80" i="61"/>
  <c r="MK72" i="61"/>
  <c r="MK64" i="61"/>
  <c r="MK56" i="61"/>
  <c r="MK48" i="61"/>
  <c r="MK40" i="61"/>
  <c r="MK32" i="61"/>
  <c r="MK24" i="61"/>
  <c r="MK16" i="61"/>
  <c r="MM10" i="61"/>
  <c r="MM94" i="61"/>
  <c r="MM86" i="61"/>
  <c r="MM78" i="61"/>
  <c r="MM70" i="61"/>
  <c r="MM62" i="61"/>
  <c r="MM54" i="61"/>
  <c r="MM46" i="61"/>
  <c r="MM38" i="61"/>
  <c r="MM30" i="61"/>
  <c r="MM22" i="61"/>
  <c r="MM14" i="61"/>
  <c r="MC87" i="61"/>
  <c r="MC79" i="61"/>
  <c r="MC71" i="61"/>
  <c r="MC63" i="61"/>
  <c r="MC55" i="61"/>
  <c r="MC47" i="61"/>
  <c r="MC39" i="61"/>
  <c r="MC31" i="61"/>
  <c r="MC23" i="61"/>
  <c r="MC15" i="61"/>
  <c r="ME85" i="61"/>
  <c r="ME77" i="61"/>
  <c r="ME69" i="61"/>
  <c r="ME61" i="61"/>
  <c r="ME53" i="61"/>
  <c r="ME45" i="61"/>
  <c r="ME37" i="61"/>
  <c r="ME29" i="61"/>
  <c r="ME21" i="61"/>
  <c r="ME13" i="61"/>
  <c r="MG99" i="61"/>
  <c r="MG91" i="61"/>
  <c r="MG83" i="61"/>
  <c r="MG75" i="61"/>
  <c r="MG67" i="61"/>
  <c r="MG59" i="61"/>
  <c r="MG51" i="61"/>
  <c r="MG43" i="61"/>
  <c r="MG35" i="61"/>
  <c r="MG27" i="61"/>
  <c r="MG19" i="61"/>
  <c r="MG11" i="61"/>
  <c r="MI97" i="61"/>
  <c r="MI89" i="61"/>
  <c r="MI81" i="61"/>
  <c r="MI73" i="61"/>
  <c r="MI65" i="61"/>
  <c r="MI57" i="61"/>
  <c r="MI49" i="61"/>
  <c r="MI41" i="61"/>
  <c r="MI33" i="61"/>
  <c r="MI25" i="61"/>
  <c r="MI17" i="61"/>
  <c r="MK95" i="61"/>
  <c r="MK87" i="61"/>
  <c r="MK79" i="61"/>
  <c r="MK71" i="61"/>
  <c r="MK63" i="61"/>
  <c r="MK55" i="61"/>
  <c r="MK47" i="61"/>
  <c r="MK39" i="61"/>
  <c r="MK31" i="61"/>
  <c r="MK23" i="61"/>
  <c r="MK15" i="61"/>
  <c r="MM101" i="61"/>
  <c r="MM93" i="61"/>
  <c r="MM85" i="61"/>
  <c r="MM77" i="61"/>
  <c r="MM69" i="61"/>
  <c r="MM61" i="61"/>
  <c r="MM53" i="61"/>
  <c r="MM45" i="61"/>
  <c r="MM37" i="61"/>
  <c r="MM29" i="61"/>
  <c r="MM21" i="61"/>
  <c r="MM13" i="61"/>
  <c r="MC70" i="61"/>
  <c r="MC62" i="61"/>
  <c r="MC54" i="61"/>
  <c r="MC46" i="61"/>
  <c r="MC38" i="61"/>
  <c r="MC30" i="61"/>
  <c r="MC22" i="61"/>
  <c r="MC14" i="61"/>
  <c r="ME60" i="61"/>
  <c r="ME52" i="61"/>
  <c r="ME44" i="61"/>
  <c r="ME36" i="61"/>
  <c r="ME28" i="61"/>
  <c r="ME20" i="61"/>
  <c r="ME12" i="61"/>
  <c r="MG74" i="61"/>
  <c r="MG66" i="61"/>
  <c r="MG58" i="61"/>
  <c r="MG50" i="61"/>
  <c r="MG42" i="61"/>
  <c r="MG34" i="61"/>
  <c r="MG26" i="61"/>
  <c r="MG18" i="61"/>
  <c r="MI96" i="61"/>
  <c r="MI88" i="61"/>
  <c r="MI80" i="61"/>
  <c r="MI72" i="61"/>
  <c r="MI64" i="61"/>
  <c r="MI56" i="61"/>
  <c r="MI48" i="61"/>
  <c r="MI40" i="61"/>
  <c r="MI32" i="61"/>
  <c r="MI24" i="61"/>
  <c r="MI16" i="61"/>
  <c r="MK94" i="61"/>
  <c r="MK86" i="61"/>
  <c r="MK78" i="61"/>
  <c r="MK70" i="61"/>
  <c r="MK62" i="61"/>
  <c r="MK54" i="61"/>
  <c r="MK46" i="61"/>
  <c r="MK38" i="61"/>
  <c r="MK30" i="61"/>
  <c r="MK22" i="61"/>
  <c r="MK14" i="61"/>
  <c r="MM100" i="61"/>
  <c r="MM92" i="61"/>
  <c r="MM84" i="61"/>
  <c r="MM76" i="61"/>
  <c r="MM68" i="61"/>
  <c r="MM60" i="61"/>
  <c r="MM52" i="61"/>
  <c r="MM44" i="61"/>
  <c r="MM36" i="61"/>
  <c r="MM28" i="61"/>
  <c r="MM20" i="61"/>
  <c r="MM12" i="61"/>
  <c r="MC77" i="61"/>
  <c r="MC69" i="61"/>
  <c r="MC61" i="61"/>
  <c r="MC53" i="61"/>
  <c r="MC45" i="61"/>
  <c r="MC37" i="61"/>
  <c r="MC29" i="61"/>
  <c r="MC21" i="61"/>
  <c r="MC13" i="61"/>
  <c r="ME75" i="61"/>
  <c r="ME67" i="61"/>
  <c r="ME59" i="61"/>
  <c r="ME51" i="61"/>
  <c r="ME43" i="61"/>
  <c r="ME35" i="61"/>
  <c r="ME27" i="61"/>
  <c r="ME19" i="61"/>
  <c r="ME11" i="61"/>
  <c r="MG89" i="61"/>
  <c r="MG81" i="61"/>
  <c r="MG73" i="61"/>
  <c r="MG65" i="61"/>
  <c r="MG57" i="61"/>
  <c r="MG49" i="61"/>
  <c r="MG41" i="61"/>
  <c r="MG33" i="61"/>
  <c r="MG25" i="61"/>
  <c r="MG17" i="61"/>
  <c r="MI95" i="61"/>
  <c r="MI87" i="61"/>
  <c r="MI79" i="61"/>
  <c r="MI71" i="61"/>
  <c r="MI63" i="61"/>
  <c r="MI55" i="61"/>
  <c r="MI47" i="61"/>
  <c r="MI39" i="61"/>
  <c r="MI31" i="61"/>
  <c r="MI23" i="61"/>
  <c r="MI15" i="61"/>
  <c r="MK93" i="61"/>
  <c r="MK85" i="61"/>
  <c r="MK77" i="61"/>
  <c r="MK69" i="61"/>
  <c r="MK61" i="61"/>
  <c r="MK53" i="61"/>
  <c r="MK45" i="61"/>
  <c r="MK37" i="61"/>
  <c r="MK29" i="61"/>
  <c r="MK21" i="61"/>
  <c r="MK13" i="61"/>
  <c r="MM99" i="61"/>
  <c r="MM91" i="61"/>
  <c r="MM83" i="61"/>
  <c r="MM75" i="61"/>
  <c r="MM67" i="61"/>
  <c r="MM59" i="61"/>
  <c r="MM51" i="61"/>
  <c r="MM43" i="61"/>
  <c r="MM35" i="61"/>
  <c r="MM27" i="61"/>
  <c r="MM19" i="61"/>
  <c r="MM11" i="61"/>
  <c r="MC100" i="61"/>
  <c r="MC92" i="61"/>
  <c r="MC84" i="61"/>
  <c r="MC76" i="61"/>
  <c r="MC68" i="61"/>
  <c r="MC60" i="61"/>
  <c r="MC52" i="61"/>
  <c r="MC44" i="61"/>
  <c r="MC36" i="61"/>
  <c r="MC28" i="61"/>
  <c r="MC20" i="61"/>
  <c r="ME98" i="61"/>
  <c r="ME90" i="61"/>
  <c r="ME82" i="61"/>
  <c r="ME74" i="61"/>
  <c r="ME66" i="61"/>
  <c r="ME58" i="61"/>
  <c r="ME50" i="61"/>
  <c r="ME42" i="61"/>
  <c r="ME34" i="61"/>
  <c r="ME26" i="61"/>
  <c r="MG96" i="61"/>
  <c r="MG88" i="61"/>
  <c r="MG80" i="61"/>
  <c r="MG72" i="61"/>
  <c r="MG64" i="61"/>
  <c r="MG56" i="61"/>
  <c r="MG48" i="61"/>
  <c r="MG40" i="61"/>
  <c r="MG32" i="61"/>
  <c r="MG24" i="61"/>
  <c r="MI10" i="61"/>
  <c r="MI94" i="61"/>
  <c r="MI86" i="61"/>
  <c r="MI78" i="61"/>
  <c r="MI70" i="61"/>
  <c r="MI62" i="61"/>
  <c r="MI54" i="61"/>
  <c r="MI46" i="61"/>
  <c r="MI38" i="61"/>
  <c r="MI30" i="61"/>
  <c r="MI22" i="61"/>
  <c r="MK100" i="61"/>
  <c r="MK92" i="61"/>
  <c r="MK84" i="61"/>
  <c r="MK76" i="61"/>
  <c r="MK68" i="61"/>
  <c r="MK60" i="61"/>
  <c r="MK52" i="61"/>
  <c r="MK44" i="61"/>
  <c r="MK36" i="61"/>
  <c r="MK28" i="61"/>
  <c r="MK20" i="61"/>
  <c r="MM98" i="61"/>
  <c r="MM90" i="61"/>
  <c r="MM82" i="61"/>
  <c r="MM74" i="61"/>
  <c r="MM66" i="61"/>
  <c r="MM58" i="61"/>
  <c r="MM50" i="61"/>
  <c r="MM42" i="61"/>
  <c r="MM34" i="61"/>
  <c r="MM26" i="61"/>
  <c r="ME103" i="61"/>
  <c r="MG103" i="61"/>
  <c r="MK103" i="61"/>
  <c r="MI103" i="61"/>
  <c r="MK102" i="61"/>
  <c r="MI102" i="61"/>
  <c r="MG102" i="61"/>
  <c r="ME102" i="61"/>
  <c r="MO35" i="65"/>
  <c r="MM83" i="65"/>
  <c r="MO75" i="65"/>
  <c r="MO102" i="65"/>
  <c r="MO12" i="65"/>
  <c r="MM102" i="65"/>
  <c r="MM100" i="65"/>
  <c r="MM81" i="65"/>
  <c r="MM27" i="65"/>
  <c r="MO98" i="65"/>
  <c r="MO90" i="65"/>
  <c r="MO82" i="65"/>
  <c r="MO74" i="65"/>
  <c r="MO66" i="65"/>
  <c r="MO58" i="65"/>
  <c r="MO50" i="65"/>
  <c r="MO42" i="65"/>
  <c r="MO34" i="65"/>
  <c r="MO26" i="65"/>
  <c r="MO18" i="65"/>
  <c r="MO83" i="65"/>
  <c r="MO27" i="65"/>
  <c r="MM97" i="65"/>
  <c r="MM77" i="65"/>
  <c r="MM19" i="65"/>
  <c r="MO97" i="65"/>
  <c r="MO89" i="65"/>
  <c r="MO81" i="65"/>
  <c r="MO73" i="65"/>
  <c r="MO65" i="65"/>
  <c r="MO57" i="65"/>
  <c r="MO49" i="65"/>
  <c r="MO41" i="65"/>
  <c r="MO33" i="65"/>
  <c r="MO25" i="65"/>
  <c r="MO17" i="65"/>
  <c r="MO99" i="65"/>
  <c r="MO67" i="65"/>
  <c r="MO19" i="65"/>
  <c r="MM95" i="65"/>
  <c r="MM75" i="65"/>
  <c r="MO96" i="65"/>
  <c r="MO88" i="65"/>
  <c r="MO80" i="65"/>
  <c r="MO72" i="65"/>
  <c r="MO64" i="65"/>
  <c r="MO56" i="65"/>
  <c r="MO48" i="65"/>
  <c r="MO40" i="65"/>
  <c r="MO32" i="65"/>
  <c r="MO24" i="65"/>
  <c r="MO16" i="65"/>
  <c r="MO51" i="65"/>
  <c r="MM93" i="65"/>
  <c r="MM71" i="65"/>
  <c r="MO6" i="65"/>
  <c r="MO95" i="65"/>
  <c r="MO87" i="65"/>
  <c r="MO79" i="65"/>
  <c r="MO71" i="65"/>
  <c r="MO63" i="65"/>
  <c r="MO55" i="65"/>
  <c r="MO47" i="65"/>
  <c r="MO39" i="65"/>
  <c r="MO31" i="65"/>
  <c r="MO23" i="65"/>
  <c r="MO15" i="65"/>
  <c r="MM6" i="65"/>
  <c r="MO59" i="65"/>
  <c r="MM91" i="65"/>
  <c r="MM69" i="65"/>
  <c r="MO101" i="65"/>
  <c r="MO94" i="65"/>
  <c r="MO86" i="65"/>
  <c r="MO78" i="65"/>
  <c r="MO70" i="65"/>
  <c r="MO62" i="65"/>
  <c r="MO54" i="65"/>
  <c r="MO46" i="65"/>
  <c r="MO38" i="65"/>
  <c r="MO30" i="65"/>
  <c r="MO22" i="65"/>
  <c r="MO14" i="65"/>
  <c r="MM43" i="65"/>
  <c r="MO43" i="65"/>
  <c r="MM87" i="65"/>
  <c r="MM68" i="65"/>
  <c r="MO11" i="65"/>
  <c r="MO93" i="65"/>
  <c r="MO85" i="65"/>
  <c r="MO77" i="65"/>
  <c r="MO69" i="65"/>
  <c r="MO61" i="65"/>
  <c r="MO53" i="65"/>
  <c r="MO45" i="65"/>
  <c r="MO37" i="65"/>
  <c r="MO29" i="65"/>
  <c r="MO21" i="65"/>
  <c r="MO13" i="65"/>
  <c r="MO91" i="65"/>
  <c r="MM12" i="65"/>
  <c r="MM84" i="65"/>
  <c r="MM59" i="65"/>
  <c r="MO100" i="65"/>
  <c r="MO92" i="65"/>
  <c r="MO84" i="65"/>
  <c r="MO76" i="65"/>
  <c r="MO68" i="65"/>
  <c r="MO60" i="65"/>
  <c r="MO52" i="65"/>
  <c r="MO44" i="65"/>
  <c r="MO36" i="65"/>
  <c r="MO28" i="65"/>
  <c r="MO20" i="65"/>
  <c r="MM92" i="65"/>
  <c r="MM79" i="65"/>
  <c r="MM67" i="65"/>
  <c r="MM11" i="65"/>
  <c r="MM89" i="65"/>
  <c r="MM76" i="65"/>
  <c r="MM51" i="65"/>
  <c r="MM99" i="65"/>
  <c r="MM85" i="65"/>
  <c r="MM73" i="65"/>
  <c r="MM35" i="65"/>
  <c r="MM98" i="65"/>
  <c r="MM90" i="65"/>
  <c r="MM82" i="65"/>
  <c r="MM74" i="65"/>
  <c r="MM66" i="65"/>
  <c r="MM58" i="65"/>
  <c r="MM50" i="65"/>
  <c r="MM42" i="65"/>
  <c r="MM34" i="65"/>
  <c r="MM26" i="65"/>
  <c r="MM18" i="65"/>
  <c r="MM65" i="65"/>
  <c r="MM57" i="65"/>
  <c r="MM49" i="65"/>
  <c r="MM41" i="65"/>
  <c r="MM33" i="65"/>
  <c r="MM25" i="65"/>
  <c r="MM17" i="65"/>
  <c r="MM96" i="65"/>
  <c r="MM88" i="65"/>
  <c r="MM80" i="65"/>
  <c r="MM72" i="65"/>
  <c r="MM64" i="65"/>
  <c r="MM56" i="65"/>
  <c r="MM48" i="65"/>
  <c r="MM40" i="65"/>
  <c r="MM32" i="65"/>
  <c r="MM24" i="65"/>
  <c r="MM16" i="65"/>
  <c r="MM63" i="65"/>
  <c r="MM55" i="65"/>
  <c r="MM47" i="65"/>
  <c r="MM39" i="65"/>
  <c r="MM31" i="65"/>
  <c r="MM23" i="65"/>
  <c r="MM15" i="65"/>
  <c r="MM101" i="65"/>
  <c r="MM94" i="65"/>
  <c r="MM86" i="65"/>
  <c r="MM78" i="65"/>
  <c r="MM70" i="65"/>
  <c r="MM62" i="65"/>
  <c r="MM54" i="65"/>
  <c r="MM46" i="65"/>
  <c r="MM38" i="65"/>
  <c r="MM30" i="65"/>
  <c r="MM22" i="65"/>
  <c r="MM14" i="65"/>
  <c r="MM61" i="65"/>
  <c r="MM53" i="65"/>
  <c r="MM45" i="65"/>
  <c r="MM37" i="65"/>
  <c r="MM29" i="65"/>
  <c r="MM21" i="65"/>
  <c r="MM13" i="65"/>
  <c r="MM60" i="65"/>
  <c r="MM52" i="65"/>
  <c r="MM44" i="65"/>
  <c r="MM36" i="65"/>
  <c r="MM28" i="65"/>
  <c r="MM20" i="65"/>
  <c r="MK8" i="65"/>
  <c r="MI8" i="65"/>
  <c r="T29" i="21"/>
  <c r="T28" i="21"/>
  <c r="MU7" i="61"/>
  <c r="LO7" i="61"/>
  <c r="LQ7" i="61"/>
  <c r="MY7" i="65"/>
  <c r="LY7" i="61"/>
  <c r="MI7" i="61"/>
  <c r="MS7" i="61"/>
  <c r="LU7" i="61"/>
  <c r="LS7" i="61"/>
  <c r="MG7" i="61"/>
  <c r="MQ7" i="65"/>
  <c r="MU7" i="65"/>
  <c r="MO7" i="65"/>
  <c r="MQ7" i="61"/>
  <c r="LW7" i="61"/>
  <c r="MS7" i="65"/>
  <c r="MK7" i="61"/>
  <c r="MM7" i="65"/>
  <c r="MM7" i="61"/>
  <c r="MW7" i="65"/>
  <c r="MA7" i="61"/>
  <c r="ME7" i="61"/>
  <c r="MC7" i="61"/>
  <c r="LV111" i="61" l="1"/>
  <c r="MJ111" i="61"/>
  <c r="MF111" i="61"/>
  <c r="MH111" i="61"/>
  <c r="MP111" i="61"/>
  <c r="MB111" i="61"/>
  <c r="LR111" i="61"/>
  <c r="MN111" i="61"/>
  <c r="ML111" i="61"/>
  <c r="LP111" i="61"/>
  <c r="LZ111" i="61"/>
  <c r="MR111" i="61"/>
  <c r="MV111" i="61"/>
  <c r="LT111" i="61"/>
  <c r="MD111" i="61"/>
  <c r="LX111" i="61"/>
  <c r="MT111" i="61"/>
  <c r="LN111" i="61"/>
  <c r="LS106" i="61"/>
  <c r="LS108" i="61"/>
  <c r="LS109" i="61"/>
  <c r="LS110" i="61"/>
  <c r="MT108" i="61"/>
  <c r="MT110" i="61"/>
  <c r="MT109" i="61"/>
  <c r="LV108" i="61"/>
  <c r="LV110" i="61"/>
  <c r="LV109" i="61"/>
  <c r="MJ110" i="61"/>
  <c r="MJ109" i="61"/>
  <c r="MJ108" i="61"/>
  <c r="LN108" i="61"/>
  <c r="LN110" i="61"/>
  <c r="LN109" i="61"/>
  <c r="MF109" i="61"/>
  <c r="MF108" i="61"/>
  <c r="MF110" i="61"/>
  <c r="MH110" i="61"/>
  <c r="MH109" i="61"/>
  <c r="MH108" i="61"/>
  <c r="MP110" i="61"/>
  <c r="MP109" i="61"/>
  <c r="MP108" i="61"/>
  <c r="ML108" i="61"/>
  <c r="ML110" i="61"/>
  <c r="ML109" i="61"/>
  <c r="MB110" i="61"/>
  <c r="MB109" i="61"/>
  <c r="MB108" i="61"/>
  <c r="LR110" i="61"/>
  <c r="LR109" i="61"/>
  <c r="LR108" i="61"/>
  <c r="MN109" i="61"/>
  <c r="MN108" i="61"/>
  <c r="MN110" i="61"/>
  <c r="LP109" i="61"/>
  <c r="LP108" i="61"/>
  <c r="LP110" i="61"/>
  <c r="LT110" i="61"/>
  <c r="LT109" i="61"/>
  <c r="LT108" i="61"/>
  <c r="LZ110" i="61"/>
  <c r="LZ109" i="61"/>
  <c r="LZ108" i="61"/>
  <c r="MR110" i="61"/>
  <c r="MR109" i="61"/>
  <c r="MR108" i="61"/>
  <c r="MV109" i="61"/>
  <c r="MV108" i="61"/>
  <c r="MV110" i="61"/>
  <c r="MD108" i="61"/>
  <c r="MD110" i="61"/>
  <c r="MD109" i="61"/>
  <c r="LX109" i="61"/>
  <c r="LX108" i="61"/>
  <c r="LX110" i="61"/>
  <c r="L9" i="70"/>
  <c r="J10" i="70"/>
  <c r="V10" i="63"/>
  <c r="W10" i="63"/>
  <c r="LS107" i="61"/>
  <c r="MV107" i="61"/>
  <c r="LP107" i="61"/>
  <c r="LX107" i="61"/>
  <c r="MD107" i="61"/>
  <c r="LV107" i="61"/>
  <c r="MN107" i="61"/>
  <c r="LR107" i="61"/>
  <c r="LN107" i="61"/>
  <c r="LZ107" i="61"/>
  <c r="MB107" i="61"/>
  <c r="LT107" i="61"/>
  <c r="MR107" i="61"/>
  <c r="ML107" i="61"/>
  <c r="MF107" i="61"/>
  <c r="MH107" i="61"/>
  <c r="MJ107" i="61"/>
  <c r="MP107" i="61"/>
  <c r="MT107" i="61"/>
  <c r="T11" i="63"/>
  <c r="MR106" i="61"/>
  <c r="LP106" i="61"/>
  <c r="MV106" i="61"/>
  <c r="LT106" i="61"/>
  <c r="MD106" i="61"/>
  <c r="LV106" i="61"/>
  <c r="MN106" i="61"/>
  <c r="LR106" i="61"/>
  <c r="LN106" i="61"/>
  <c r="LZ106" i="61"/>
  <c r="MB106" i="61"/>
  <c r="LX106" i="61"/>
  <c r="ML106" i="61"/>
  <c r="MF106" i="61"/>
  <c r="MH106" i="61"/>
  <c r="MJ106" i="61"/>
  <c r="MP106" i="61"/>
  <c r="MT106" i="61"/>
  <c r="MI105" i="65"/>
  <c r="MI106" i="65"/>
  <c r="LS104" i="61"/>
  <c r="LS105" i="61"/>
  <c r="MK105" i="65"/>
  <c r="MK106" i="65"/>
  <c r="MD104" i="61"/>
  <c r="MD105" i="61"/>
  <c r="LZ105" i="61"/>
  <c r="LZ104" i="61"/>
  <c r="MT104" i="61"/>
  <c r="MT105" i="61"/>
  <c r="LN104" i="61"/>
  <c r="LN105" i="61"/>
  <c r="LT105" i="61"/>
  <c r="LT104" i="61"/>
  <c r="MN105" i="61"/>
  <c r="MN104" i="61"/>
  <c r="MP105" i="61"/>
  <c r="MP104" i="61"/>
  <c r="ML104" i="61"/>
  <c r="ML105" i="61"/>
  <c r="LR105" i="61"/>
  <c r="LR104" i="61"/>
  <c r="MF105" i="61"/>
  <c r="MF104" i="61"/>
  <c r="LV104" i="61"/>
  <c r="LV105" i="61"/>
  <c r="MV105" i="61"/>
  <c r="MV104" i="61"/>
  <c r="MB105" i="61"/>
  <c r="MB104" i="61"/>
  <c r="MH105" i="61"/>
  <c r="MH104" i="61"/>
  <c r="LP105" i="61"/>
  <c r="LP104" i="61"/>
  <c r="MR105" i="61"/>
  <c r="MR104" i="61"/>
  <c r="LX105" i="61"/>
  <c r="LX104" i="61"/>
  <c r="MJ105" i="61"/>
  <c r="MJ104" i="61"/>
  <c r="MN105" i="65"/>
  <c r="MN106" i="65"/>
  <c r="MR105" i="65"/>
  <c r="MR106" i="65"/>
  <c r="MP105" i="65"/>
  <c r="MP106" i="65"/>
  <c r="MZ105" i="65"/>
  <c r="MZ106" i="65"/>
  <c r="MT105" i="65"/>
  <c r="MT106" i="65"/>
  <c r="MX105" i="65"/>
  <c r="MX106" i="65"/>
  <c r="ML105" i="65"/>
  <c r="ML106" i="65"/>
  <c r="MV106" i="65"/>
  <c r="MV105" i="65"/>
  <c r="MT102" i="61"/>
  <c r="MT103" i="61"/>
  <c r="MV58" i="61"/>
  <c r="MZ30" i="65"/>
  <c r="MV35" i="61"/>
  <c r="MV99" i="61"/>
  <c r="MV40" i="61"/>
  <c r="MV26" i="61"/>
  <c r="MZ61" i="65"/>
  <c r="MZ91" i="65"/>
  <c r="M40" i="63"/>
  <c r="O40" i="63"/>
  <c r="MZ90" i="65"/>
  <c r="MZ75" i="65"/>
  <c r="MV68" i="61"/>
  <c r="MV65" i="61"/>
  <c r="MZ94" i="65"/>
  <c r="MW2" i="61"/>
  <c r="MV21" i="61"/>
  <c r="MV12" i="61"/>
  <c r="MZ47" i="65"/>
  <c r="MV85" i="61"/>
  <c r="MZ50" i="65"/>
  <c r="MV38" i="61"/>
  <c r="MZ64" i="65"/>
  <c r="MV42" i="61"/>
  <c r="MZ28" i="65"/>
  <c r="MZ17" i="65"/>
  <c r="MV63" i="61"/>
  <c r="MZ92" i="65"/>
  <c r="MZ81" i="65"/>
  <c r="MV29" i="61"/>
  <c r="MV48" i="61"/>
  <c r="MZ102" i="65"/>
  <c r="NA4" i="65"/>
  <c r="MV51" i="61"/>
  <c r="MV20" i="61"/>
  <c r="MV84" i="61"/>
  <c r="MV37" i="61"/>
  <c r="MV101" i="61"/>
  <c r="MV54" i="61"/>
  <c r="MV15" i="61"/>
  <c r="MV79" i="61"/>
  <c r="MV56" i="61"/>
  <c r="MV17" i="61"/>
  <c r="MV81" i="61"/>
  <c r="MZ44" i="65"/>
  <c r="MZ13" i="65"/>
  <c r="MZ77" i="65"/>
  <c r="MZ46" i="65"/>
  <c r="MZ42" i="65"/>
  <c r="MZ63" i="65"/>
  <c r="MZ16" i="65"/>
  <c r="MZ80" i="65"/>
  <c r="MZ33" i="65"/>
  <c r="MZ97" i="65"/>
  <c r="MZ99" i="65"/>
  <c r="MZ35" i="65"/>
  <c r="MV43" i="61"/>
  <c r="MV82" i="61"/>
  <c r="MZ100" i="65"/>
  <c r="MZ72" i="65"/>
  <c r="MV102" i="61"/>
  <c r="MV59" i="61"/>
  <c r="MV28" i="61"/>
  <c r="MV92" i="61"/>
  <c r="MV45" i="61"/>
  <c r="MV50" i="61"/>
  <c r="MV62" i="61"/>
  <c r="MV23" i="61"/>
  <c r="MV87" i="61"/>
  <c r="MV64" i="61"/>
  <c r="MV25" i="61"/>
  <c r="MV89" i="61"/>
  <c r="MZ52" i="65"/>
  <c r="MZ21" i="65"/>
  <c r="MZ85" i="65"/>
  <c r="MZ54" i="65"/>
  <c r="MZ82" i="65"/>
  <c r="MZ71" i="65"/>
  <c r="MZ24" i="65"/>
  <c r="MZ88" i="65"/>
  <c r="MZ41" i="65"/>
  <c r="MZ34" i="65"/>
  <c r="MZ43" i="65"/>
  <c r="NA2" i="65"/>
  <c r="MV76" i="61"/>
  <c r="MW4" i="61"/>
  <c r="MZ55" i="65"/>
  <c r="MZ14" i="65"/>
  <c r="MV103" i="61"/>
  <c r="MV67" i="61"/>
  <c r="MV36" i="61"/>
  <c r="MV100" i="61"/>
  <c r="MV53" i="61"/>
  <c r="MV98" i="61"/>
  <c r="MV70" i="61"/>
  <c r="MV31" i="61"/>
  <c r="MV95" i="61"/>
  <c r="MV72" i="61"/>
  <c r="MV33" i="61"/>
  <c r="MV97" i="61"/>
  <c r="MZ103" i="65"/>
  <c r="MZ60" i="65"/>
  <c r="MZ29" i="65"/>
  <c r="MZ93" i="65"/>
  <c r="MZ62" i="65"/>
  <c r="MZ15" i="65"/>
  <c r="MZ79" i="65"/>
  <c r="MZ32" i="65"/>
  <c r="MZ96" i="65"/>
  <c r="MZ49" i="65"/>
  <c r="MZ66" i="65"/>
  <c r="MZ51" i="65"/>
  <c r="MW1" i="61"/>
  <c r="MV93" i="61"/>
  <c r="MV66" i="61"/>
  <c r="MZ69" i="65"/>
  <c r="MZ89" i="65"/>
  <c r="MV11" i="61"/>
  <c r="MV75" i="61"/>
  <c r="MV44" i="61"/>
  <c r="MV34" i="61"/>
  <c r="MV61" i="61"/>
  <c r="MV14" i="61"/>
  <c r="MV78" i="61"/>
  <c r="MV39" i="61"/>
  <c r="MV16" i="61"/>
  <c r="MV80" i="61"/>
  <c r="MV41" i="61"/>
  <c r="MV18" i="61"/>
  <c r="MZ104" i="65"/>
  <c r="MZ68" i="65"/>
  <c r="MZ37" i="65"/>
  <c r="MZ101" i="65"/>
  <c r="MZ70" i="65"/>
  <c r="MZ23" i="65"/>
  <c r="MZ87" i="65"/>
  <c r="MZ40" i="65"/>
  <c r="MZ26" i="65"/>
  <c r="MZ57" i="65"/>
  <c r="MZ19" i="65"/>
  <c r="MZ59" i="65"/>
  <c r="MV46" i="61"/>
  <c r="MV73" i="61"/>
  <c r="MZ38" i="65"/>
  <c r="MZ25" i="65"/>
  <c r="MV19" i="61"/>
  <c r="MV83" i="61"/>
  <c r="MV52" i="61"/>
  <c r="MV90" i="61"/>
  <c r="MV69" i="61"/>
  <c r="MV22" i="61"/>
  <c r="MV86" i="61"/>
  <c r="MV47" i="61"/>
  <c r="MV24" i="61"/>
  <c r="MV88" i="61"/>
  <c r="MV49" i="61"/>
  <c r="MV74" i="61"/>
  <c r="MZ12" i="65"/>
  <c r="MZ76" i="65"/>
  <c r="MZ45" i="65"/>
  <c r="MZ11" i="65"/>
  <c r="MZ78" i="65"/>
  <c r="MZ31" i="65"/>
  <c r="MZ95" i="65"/>
  <c r="MZ48" i="65"/>
  <c r="MZ58" i="65"/>
  <c r="MZ65" i="65"/>
  <c r="MZ83" i="65"/>
  <c r="MZ67" i="65"/>
  <c r="MV10" i="61"/>
  <c r="MV71" i="61"/>
  <c r="MZ36" i="65"/>
  <c r="MZ74" i="65"/>
  <c r="MV27" i="61"/>
  <c r="MV91" i="61"/>
  <c r="MV60" i="61"/>
  <c r="MV13" i="61"/>
  <c r="MV77" i="61"/>
  <c r="MV30" i="61"/>
  <c r="MV94" i="61"/>
  <c r="MV55" i="61"/>
  <c r="MV32" i="61"/>
  <c r="MV96" i="61"/>
  <c r="MV57" i="61"/>
  <c r="MZ20" i="65"/>
  <c r="MZ84" i="65"/>
  <c r="MZ53" i="65"/>
  <c r="MZ22" i="65"/>
  <c r="MZ86" i="65"/>
  <c r="MZ39" i="65"/>
  <c r="MZ18" i="65"/>
  <c r="MZ56" i="65"/>
  <c r="MZ98" i="65"/>
  <c r="MZ73" i="65"/>
  <c r="MZ27" i="65"/>
  <c r="MT45" i="61"/>
  <c r="MT63" i="61"/>
  <c r="MT24" i="61"/>
  <c r="MT79" i="61"/>
  <c r="MT83" i="61"/>
  <c r="MT30" i="61"/>
  <c r="MT93" i="61"/>
  <c r="MT99" i="61"/>
  <c r="MT86" i="61"/>
  <c r="MT14" i="61"/>
  <c r="MT32" i="61"/>
  <c r="MT64" i="61"/>
  <c r="MT72" i="61"/>
  <c r="MT81" i="61"/>
  <c r="MT89" i="61"/>
  <c r="MT22" i="61"/>
  <c r="MT34" i="61"/>
  <c r="MT42" i="61"/>
  <c r="MT12" i="61"/>
  <c r="MT19" i="61"/>
  <c r="MT44" i="61"/>
  <c r="MT29" i="61"/>
  <c r="MT35" i="61"/>
  <c r="MT60" i="61"/>
  <c r="O39" i="63"/>
  <c r="MU2" i="61"/>
  <c r="MT90" i="61"/>
  <c r="MT27" i="61"/>
  <c r="MT91" i="61"/>
  <c r="MT87" i="61"/>
  <c r="MT18" i="61"/>
  <c r="MT52" i="61"/>
  <c r="MT62" i="61"/>
  <c r="MT48" i="61"/>
  <c r="MT26" i="61"/>
  <c r="MT37" i="61"/>
  <c r="MT101" i="61"/>
  <c r="MT40" i="61"/>
  <c r="MT16" i="61"/>
  <c r="MT43" i="61"/>
  <c r="MT10" i="61"/>
  <c r="MT56" i="61"/>
  <c r="MT58" i="61"/>
  <c r="MT68" i="61"/>
  <c r="MT15" i="61"/>
  <c r="MT88" i="61"/>
  <c r="MT66" i="61"/>
  <c r="MT53" i="61"/>
  <c r="MT38" i="61"/>
  <c r="MT33" i="61"/>
  <c r="MU4" i="61"/>
  <c r="MT51" i="61"/>
  <c r="MT46" i="61"/>
  <c r="MT80" i="61"/>
  <c r="MT82" i="61"/>
  <c r="MT76" i="61"/>
  <c r="MT39" i="61"/>
  <c r="MT17" i="61"/>
  <c r="MT74" i="61"/>
  <c r="MT61" i="61"/>
  <c r="MT54" i="61"/>
  <c r="MT73" i="61"/>
  <c r="MT59" i="61"/>
  <c r="MT70" i="61"/>
  <c r="MT96" i="61"/>
  <c r="MT20" i="61"/>
  <c r="MT84" i="61"/>
  <c r="MT47" i="61"/>
  <c r="MT41" i="61"/>
  <c r="MT98" i="61"/>
  <c r="MT69" i="61"/>
  <c r="MT78" i="61"/>
  <c r="MT97" i="61"/>
  <c r="MT67" i="61"/>
  <c r="MT94" i="61"/>
  <c r="MT25" i="61"/>
  <c r="MT28" i="61"/>
  <c r="MT92" i="61"/>
  <c r="MT71" i="61"/>
  <c r="MT49" i="61"/>
  <c r="MT13" i="61"/>
  <c r="MT77" i="61"/>
  <c r="MT23" i="61"/>
  <c r="MT50" i="61"/>
  <c r="MT11" i="61"/>
  <c r="MT75" i="61"/>
  <c r="MT31" i="61"/>
  <c r="MT57" i="61"/>
  <c r="MT36" i="61"/>
  <c r="MT100" i="61"/>
  <c r="MT95" i="61"/>
  <c r="MT65" i="61"/>
  <c r="MT21" i="61"/>
  <c r="MT85" i="61"/>
  <c r="MT55" i="61"/>
  <c r="O43" i="63"/>
  <c r="M41" i="63"/>
  <c r="O37" i="63"/>
  <c r="M38" i="63"/>
  <c r="O55" i="63"/>
  <c r="O44" i="63"/>
  <c r="O41" i="63"/>
  <c r="M43" i="63"/>
  <c r="M44" i="63"/>
  <c r="O50" i="63"/>
  <c r="M55" i="63"/>
  <c r="O38" i="63"/>
  <c r="MX96" i="65"/>
  <c r="MX83" i="65"/>
  <c r="MX67" i="65"/>
  <c r="MX14" i="65"/>
  <c r="MX103" i="65"/>
  <c r="MX85" i="65"/>
  <c r="MX38" i="65"/>
  <c r="MX32" i="65"/>
  <c r="MX22" i="65"/>
  <c r="MX80" i="65"/>
  <c r="MX44" i="65"/>
  <c r="MX86" i="65"/>
  <c r="MX34" i="65"/>
  <c r="MX60" i="65"/>
  <c r="MX102" i="65"/>
  <c r="MX50" i="65"/>
  <c r="MX81" i="65"/>
  <c r="MX39" i="65"/>
  <c r="MX98" i="65"/>
  <c r="MX21" i="65"/>
  <c r="MX55" i="65"/>
  <c r="MX19" i="65"/>
  <c r="MX69" i="65"/>
  <c r="MX16" i="65"/>
  <c r="MX25" i="65"/>
  <c r="MM1" i="61"/>
  <c r="MX52" i="65"/>
  <c r="MX13" i="65"/>
  <c r="MX77" i="65"/>
  <c r="MX30" i="65"/>
  <c r="MX94" i="65"/>
  <c r="MX47" i="65"/>
  <c r="MX24" i="65"/>
  <c r="MX88" i="65"/>
  <c r="MX42" i="65"/>
  <c r="MX73" i="65"/>
  <c r="MX75" i="65"/>
  <c r="MX104" i="65"/>
  <c r="MX68" i="65"/>
  <c r="MX29" i="65"/>
  <c r="MX93" i="65"/>
  <c r="MX46" i="65"/>
  <c r="MX33" i="65"/>
  <c r="MX63" i="65"/>
  <c r="MX40" i="65"/>
  <c r="MX17" i="65"/>
  <c r="MX58" i="65"/>
  <c r="MX27" i="65"/>
  <c r="MX91" i="65"/>
  <c r="MX12" i="65"/>
  <c r="MX76" i="65"/>
  <c r="MX37" i="65"/>
  <c r="MX101" i="65"/>
  <c r="MX54" i="65"/>
  <c r="MX89" i="65"/>
  <c r="MX71" i="65"/>
  <c r="MX48" i="65"/>
  <c r="MX49" i="65"/>
  <c r="MX66" i="65"/>
  <c r="MX35" i="65"/>
  <c r="MX99" i="65"/>
  <c r="MX20" i="65"/>
  <c r="MX84" i="65"/>
  <c r="MX45" i="65"/>
  <c r="MX11" i="65"/>
  <c r="MX62" i="65"/>
  <c r="MX15" i="65"/>
  <c r="MX79" i="65"/>
  <c r="MX56" i="65"/>
  <c r="MX65" i="65"/>
  <c r="MX74" i="65"/>
  <c r="MX43" i="65"/>
  <c r="MX57" i="65"/>
  <c r="MX28" i="65"/>
  <c r="MX92" i="65"/>
  <c r="MX53" i="65"/>
  <c r="MX41" i="65"/>
  <c r="MX70" i="65"/>
  <c r="MX23" i="65"/>
  <c r="MX87" i="65"/>
  <c r="MX64" i="65"/>
  <c r="MX18" i="65"/>
  <c r="MX82" i="65"/>
  <c r="MX51" i="65"/>
  <c r="MY4" i="65"/>
  <c r="MX36" i="65"/>
  <c r="MX100" i="65"/>
  <c r="MX61" i="65"/>
  <c r="MX97" i="65"/>
  <c r="MX78" i="65"/>
  <c r="MX31" i="65"/>
  <c r="MX95" i="65"/>
  <c r="MX72" i="65"/>
  <c r="MX26" i="65"/>
  <c r="MX90" i="65"/>
  <c r="MX59" i="65"/>
  <c r="LQ2" i="61"/>
  <c r="MI2" i="61"/>
  <c r="MK2" i="61"/>
  <c r="MK1" i="61"/>
  <c r="MM2" i="61"/>
  <c r="MR37" i="61"/>
  <c r="MV77" i="65"/>
  <c r="MV38" i="65"/>
  <c r="MV82" i="65"/>
  <c r="MQ1" i="61"/>
  <c r="MW2" i="65"/>
  <c r="MW4" i="65"/>
  <c r="MV102" i="65"/>
  <c r="MV63" i="65"/>
  <c r="MV32" i="65"/>
  <c r="MV96" i="65"/>
  <c r="MV52" i="65"/>
  <c r="MV65" i="65"/>
  <c r="MV13" i="65"/>
  <c r="MV18" i="65"/>
  <c r="MV103" i="65"/>
  <c r="MV60" i="65"/>
  <c r="MV21" i="65"/>
  <c r="MV85" i="65"/>
  <c r="MV46" i="65"/>
  <c r="MV43" i="65"/>
  <c r="MV71" i="65"/>
  <c r="MV40" i="65"/>
  <c r="MV51" i="65"/>
  <c r="MV73" i="65"/>
  <c r="MV26" i="65"/>
  <c r="MV90" i="65"/>
  <c r="MV104" i="65"/>
  <c r="MV68" i="65"/>
  <c r="MV29" i="65"/>
  <c r="MV93" i="65"/>
  <c r="MV54" i="65"/>
  <c r="MV15" i="65"/>
  <c r="MV79" i="65"/>
  <c r="MV48" i="65"/>
  <c r="MV17" i="65"/>
  <c r="MV81" i="65"/>
  <c r="MV34" i="65"/>
  <c r="MV98" i="65"/>
  <c r="MV12" i="65"/>
  <c r="MV76" i="65"/>
  <c r="MV37" i="65"/>
  <c r="MV101" i="65"/>
  <c r="MV62" i="65"/>
  <c r="MV23" i="65"/>
  <c r="MV87" i="65"/>
  <c r="MV56" i="65"/>
  <c r="MV25" i="65"/>
  <c r="MV89" i="65"/>
  <c r="MV42" i="65"/>
  <c r="MV27" i="65"/>
  <c r="MV20" i="65"/>
  <c r="MV84" i="65"/>
  <c r="MV45" i="65"/>
  <c r="MV11" i="65"/>
  <c r="MV70" i="65"/>
  <c r="MV31" i="65"/>
  <c r="MV95" i="65"/>
  <c r="MV64" i="65"/>
  <c r="MV33" i="65"/>
  <c r="MV97" i="65"/>
  <c r="MV50" i="65"/>
  <c r="MV67" i="65"/>
  <c r="MV28" i="65"/>
  <c r="MV92" i="65"/>
  <c r="MV53" i="65"/>
  <c r="MV91" i="65"/>
  <c r="MV78" i="65"/>
  <c r="MV39" i="65"/>
  <c r="MV75" i="65"/>
  <c r="MV72" i="65"/>
  <c r="MV41" i="65"/>
  <c r="MV19" i="65"/>
  <c r="MV58" i="65"/>
  <c r="MV35" i="65"/>
  <c r="MV36" i="65"/>
  <c r="MV100" i="65"/>
  <c r="MV61" i="65"/>
  <c r="MV22" i="65"/>
  <c r="MV86" i="65"/>
  <c r="MV47" i="65"/>
  <c r="MV16" i="65"/>
  <c r="MV80" i="65"/>
  <c r="MV49" i="65"/>
  <c r="MV59" i="65"/>
  <c r="MV66" i="65"/>
  <c r="MV14" i="65"/>
  <c r="MV44" i="65"/>
  <c r="MV99" i="65"/>
  <c r="MV69" i="65"/>
  <c r="MV30" i="65"/>
  <c r="MV94" i="65"/>
  <c r="MV55" i="65"/>
  <c r="MV24" i="65"/>
  <c r="MV88" i="65"/>
  <c r="MV57" i="65"/>
  <c r="MV83" i="65"/>
  <c r="MV74" i="65"/>
  <c r="MR90" i="61"/>
  <c r="MR101" i="61"/>
  <c r="MR25" i="61"/>
  <c r="MR30" i="61"/>
  <c r="MR94" i="61"/>
  <c r="MR102" i="61"/>
  <c r="MR39" i="61"/>
  <c r="MS2" i="61"/>
  <c r="MR67" i="61"/>
  <c r="MR41" i="61"/>
  <c r="MR12" i="61"/>
  <c r="MR48" i="61"/>
  <c r="MR76" i="61"/>
  <c r="MR49" i="61"/>
  <c r="MR75" i="61"/>
  <c r="MR84" i="61"/>
  <c r="MR17" i="61"/>
  <c r="MR103" i="61"/>
  <c r="MR89" i="61"/>
  <c r="MR56" i="61"/>
  <c r="MR19" i="61"/>
  <c r="MR83" i="61"/>
  <c r="MR28" i="61"/>
  <c r="MR92" i="61"/>
  <c r="MR53" i="61"/>
  <c r="MR33" i="61"/>
  <c r="MR46" i="61"/>
  <c r="MR65" i="61"/>
  <c r="MR55" i="61"/>
  <c r="MR26" i="61"/>
  <c r="MR64" i="61"/>
  <c r="MR34" i="61"/>
  <c r="MR11" i="61"/>
  <c r="MR20" i="61"/>
  <c r="MR45" i="61"/>
  <c r="MR38" i="61"/>
  <c r="MR47" i="61"/>
  <c r="MR81" i="61"/>
  <c r="MR27" i="61"/>
  <c r="MR91" i="61"/>
  <c r="MR36" i="61"/>
  <c r="MR100" i="61"/>
  <c r="MR61" i="61"/>
  <c r="MR73" i="61"/>
  <c r="MR54" i="61"/>
  <c r="MR42" i="61"/>
  <c r="MR63" i="61"/>
  <c r="MR58" i="61"/>
  <c r="MR72" i="61"/>
  <c r="MR66" i="61"/>
  <c r="MR44" i="61"/>
  <c r="MR62" i="61"/>
  <c r="MR16" i="61"/>
  <c r="MR57" i="61"/>
  <c r="MR43" i="61"/>
  <c r="MR97" i="61"/>
  <c r="MR52" i="61"/>
  <c r="MR98" i="61"/>
  <c r="MR77" i="61"/>
  <c r="MR74" i="61"/>
  <c r="MR70" i="61"/>
  <c r="MR15" i="61"/>
  <c r="MR79" i="61"/>
  <c r="MR24" i="61"/>
  <c r="MR88" i="61"/>
  <c r="MS4" i="61"/>
  <c r="MR35" i="61"/>
  <c r="MR10" i="61"/>
  <c r="MR18" i="61"/>
  <c r="MR71" i="61"/>
  <c r="MR80" i="61"/>
  <c r="MR51" i="61"/>
  <c r="MR50" i="61"/>
  <c r="MR60" i="61"/>
  <c r="MR21" i="61"/>
  <c r="MR85" i="61"/>
  <c r="MR14" i="61"/>
  <c r="MR78" i="61"/>
  <c r="MR23" i="61"/>
  <c r="MR87" i="61"/>
  <c r="MR32" i="61"/>
  <c r="MR96" i="61"/>
  <c r="MR13" i="61"/>
  <c r="MR99" i="61"/>
  <c r="MR69" i="61"/>
  <c r="MR59" i="61"/>
  <c r="MR82" i="61"/>
  <c r="MR68" i="61"/>
  <c r="MR29" i="61"/>
  <c r="MR93" i="61"/>
  <c r="MR22" i="61"/>
  <c r="MR86" i="61"/>
  <c r="MR31" i="61"/>
  <c r="MR95" i="61"/>
  <c r="MR40" i="61"/>
  <c r="MO2" i="61"/>
  <c r="MO1" i="61"/>
  <c r="MS1" i="61"/>
  <c r="MQ2" i="61"/>
  <c r="MU2" i="65"/>
  <c r="MT34" i="65"/>
  <c r="MT29" i="65"/>
  <c r="MT54" i="65"/>
  <c r="MT65" i="65"/>
  <c r="MT68" i="65"/>
  <c r="MT35" i="65"/>
  <c r="MT93" i="65"/>
  <c r="MT98" i="65"/>
  <c r="MT15" i="65"/>
  <c r="MT79" i="65"/>
  <c r="MT40" i="65"/>
  <c r="MT104" i="65"/>
  <c r="MT90" i="65"/>
  <c r="MT12" i="65"/>
  <c r="MT76" i="65"/>
  <c r="MT37" i="65"/>
  <c r="MT101" i="65"/>
  <c r="MT62" i="65"/>
  <c r="MT23" i="65"/>
  <c r="MT87" i="65"/>
  <c r="MT48" i="65"/>
  <c r="MT75" i="65"/>
  <c r="MT73" i="65"/>
  <c r="MT42" i="65"/>
  <c r="MT19" i="65"/>
  <c r="MT20" i="65"/>
  <c r="MT84" i="65"/>
  <c r="MT45" i="65"/>
  <c r="MT11" i="65"/>
  <c r="MT70" i="65"/>
  <c r="MT31" i="65"/>
  <c r="MT95" i="65"/>
  <c r="MT56" i="65"/>
  <c r="MT17" i="65"/>
  <c r="MT81" i="65"/>
  <c r="MT50" i="65"/>
  <c r="MT83" i="65"/>
  <c r="MT28" i="65"/>
  <c r="MT92" i="65"/>
  <c r="MT53" i="65"/>
  <c r="MT51" i="65"/>
  <c r="MT78" i="65"/>
  <c r="MT39" i="65"/>
  <c r="MT27" i="65"/>
  <c r="MT64" i="65"/>
  <c r="MT25" i="65"/>
  <c r="MT89" i="65"/>
  <c r="MT58" i="65"/>
  <c r="MT43" i="65"/>
  <c r="MT36" i="65"/>
  <c r="MT100" i="65"/>
  <c r="MT61" i="65"/>
  <c r="MT22" i="65"/>
  <c r="MT86" i="65"/>
  <c r="MT47" i="65"/>
  <c r="MT91" i="65"/>
  <c r="MT72" i="65"/>
  <c r="MT33" i="65"/>
  <c r="MT97" i="65"/>
  <c r="MT66" i="65"/>
  <c r="MT14" i="65"/>
  <c r="MT44" i="65"/>
  <c r="MT99" i="65"/>
  <c r="MT69" i="65"/>
  <c r="MT30" i="65"/>
  <c r="MT94" i="65"/>
  <c r="MT55" i="65"/>
  <c r="MT16" i="65"/>
  <c r="MT80" i="65"/>
  <c r="MT41" i="65"/>
  <c r="MT67" i="65"/>
  <c r="MT74" i="65"/>
  <c r="MU4" i="65"/>
  <c r="MT52" i="65"/>
  <c r="MT13" i="65"/>
  <c r="MT77" i="65"/>
  <c r="MT38" i="65"/>
  <c r="MT102" i="65"/>
  <c r="MT63" i="65"/>
  <c r="MT24" i="65"/>
  <c r="MT88" i="65"/>
  <c r="MT49" i="65"/>
  <c r="MT18" i="65"/>
  <c r="MT82" i="65"/>
  <c r="MT103" i="65"/>
  <c r="MT60" i="65"/>
  <c r="MT21" i="65"/>
  <c r="MT85" i="65"/>
  <c r="MT46" i="65"/>
  <c r="MT59" i="65"/>
  <c r="MT71" i="65"/>
  <c r="MT32" i="65"/>
  <c r="MT96" i="65"/>
  <c r="MT57" i="65"/>
  <c r="MT26" i="65"/>
  <c r="MP66" i="61"/>
  <c r="MP95" i="61"/>
  <c r="MP21" i="61"/>
  <c r="MP39" i="61"/>
  <c r="MP29" i="61"/>
  <c r="MP72" i="61"/>
  <c r="MP19" i="61"/>
  <c r="MP85" i="61"/>
  <c r="MP49" i="61"/>
  <c r="MP27" i="61"/>
  <c r="MP93" i="61"/>
  <c r="MP57" i="61"/>
  <c r="MP83" i="61"/>
  <c r="MP54" i="61"/>
  <c r="MP91" i="61"/>
  <c r="MP62" i="61"/>
  <c r="MP52" i="61"/>
  <c r="MP31" i="61"/>
  <c r="MP60" i="61"/>
  <c r="MP82" i="61"/>
  <c r="MP12" i="61"/>
  <c r="MP80" i="61"/>
  <c r="MP58" i="61"/>
  <c r="MP74" i="61"/>
  <c r="MP16" i="61"/>
  <c r="MP35" i="61"/>
  <c r="MP99" i="61"/>
  <c r="MP68" i="61"/>
  <c r="MP37" i="61"/>
  <c r="MP101" i="61"/>
  <c r="MP70" i="61"/>
  <c r="MP47" i="61"/>
  <c r="MP24" i="61"/>
  <c r="MP88" i="61"/>
  <c r="MP65" i="61"/>
  <c r="MP90" i="61"/>
  <c r="MP26" i="61"/>
  <c r="MP43" i="61"/>
  <c r="MP10" i="61"/>
  <c r="MP76" i="61"/>
  <c r="MP45" i="61"/>
  <c r="MP14" i="61"/>
  <c r="MP78" i="61"/>
  <c r="MP55" i="61"/>
  <c r="MP32" i="61"/>
  <c r="MP96" i="61"/>
  <c r="MP73" i="61"/>
  <c r="MP34" i="61"/>
  <c r="MQ4" i="61"/>
  <c r="MP51" i="61"/>
  <c r="MP20" i="61"/>
  <c r="MP84" i="61"/>
  <c r="MP53" i="61"/>
  <c r="MP22" i="61"/>
  <c r="MP86" i="61"/>
  <c r="MP63" i="61"/>
  <c r="MP40" i="61"/>
  <c r="MP17" i="61"/>
  <c r="MP81" i="61"/>
  <c r="MP98" i="61"/>
  <c r="MP102" i="61"/>
  <c r="MP59" i="61"/>
  <c r="MP28" i="61"/>
  <c r="MP92" i="61"/>
  <c r="MP61" i="61"/>
  <c r="MP30" i="61"/>
  <c r="MP94" i="61"/>
  <c r="MP71" i="61"/>
  <c r="MP48" i="61"/>
  <c r="MP25" i="61"/>
  <c r="MP89" i="61"/>
  <c r="MP42" i="61"/>
  <c r="MP103" i="61"/>
  <c r="MP67" i="61"/>
  <c r="MP36" i="61"/>
  <c r="MP100" i="61"/>
  <c r="MP69" i="61"/>
  <c r="MP38" i="61"/>
  <c r="MP15" i="61"/>
  <c r="MP79" i="61"/>
  <c r="MP56" i="61"/>
  <c r="MP33" i="61"/>
  <c r="MP97" i="61"/>
  <c r="MP50" i="61"/>
  <c r="MP11" i="61"/>
  <c r="MP75" i="61"/>
  <c r="MP44" i="61"/>
  <c r="MP13" i="61"/>
  <c r="MP77" i="61"/>
  <c r="MP46" i="61"/>
  <c r="MP23" i="61"/>
  <c r="MP87" i="61"/>
  <c r="MP64" i="61"/>
  <c r="MP41" i="61"/>
  <c r="MP18" i="61"/>
  <c r="MS4" i="65"/>
  <c r="MR36" i="65"/>
  <c r="MR100" i="65"/>
  <c r="MR98" i="65"/>
  <c r="MR69" i="65"/>
  <c r="MR67" i="65"/>
  <c r="MR30" i="65"/>
  <c r="MR57" i="65"/>
  <c r="MR94" i="65"/>
  <c r="MR47" i="65"/>
  <c r="MR81" i="65"/>
  <c r="MR34" i="65"/>
  <c r="MR72" i="65"/>
  <c r="MR44" i="65"/>
  <c r="MR13" i="65"/>
  <c r="MR77" i="65"/>
  <c r="MR38" i="65"/>
  <c r="MR102" i="65"/>
  <c r="MR55" i="65"/>
  <c r="MR16" i="65"/>
  <c r="MR80" i="65"/>
  <c r="MR42" i="65"/>
  <c r="MR65" i="65"/>
  <c r="MR75" i="65"/>
  <c r="MR14" i="65"/>
  <c r="MR52" i="65"/>
  <c r="MR21" i="65"/>
  <c r="MR85" i="65"/>
  <c r="MR46" i="65"/>
  <c r="MR25" i="65"/>
  <c r="MR63" i="65"/>
  <c r="MR24" i="65"/>
  <c r="MR88" i="65"/>
  <c r="MR50" i="65"/>
  <c r="MR19" i="65"/>
  <c r="MR83" i="65"/>
  <c r="MR104" i="65"/>
  <c r="MR60" i="65"/>
  <c r="MR29" i="65"/>
  <c r="MR93" i="65"/>
  <c r="MR54" i="65"/>
  <c r="MR89" i="65"/>
  <c r="MR71" i="65"/>
  <c r="MR32" i="65"/>
  <c r="MR96" i="65"/>
  <c r="MR58" i="65"/>
  <c r="MR27" i="65"/>
  <c r="MR91" i="65"/>
  <c r="MR103" i="65"/>
  <c r="MR68" i="65"/>
  <c r="MR37" i="65"/>
  <c r="MR101" i="65"/>
  <c r="MR62" i="65"/>
  <c r="MR15" i="65"/>
  <c r="MR79" i="65"/>
  <c r="MR40" i="65"/>
  <c r="MR17" i="65"/>
  <c r="MR66" i="65"/>
  <c r="MR35" i="65"/>
  <c r="MR99" i="65"/>
  <c r="MR12" i="65"/>
  <c r="MR76" i="65"/>
  <c r="MR45" i="65"/>
  <c r="MR11" i="65"/>
  <c r="MR70" i="65"/>
  <c r="MR23" i="65"/>
  <c r="MR87" i="65"/>
  <c r="MR48" i="65"/>
  <c r="MR73" i="65"/>
  <c r="MR74" i="65"/>
  <c r="MR43" i="65"/>
  <c r="MR41" i="65"/>
  <c r="MR20" i="65"/>
  <c r="MR84" i="65"/>
  <c r="MR53" i="65"/>
  <c r="MR49" i="65"/>
  <c r="MR78" i="65"/>
  <c r="MR31" i="65"/>
  <c r="MR95" i="65"/>
  <c r="MR56" i="65"/>
  <c r="MR18" i="65"/>
  <c r="MR82" i="65"/>
  <c r="MR51" i="65"/>
  <c r="MR97" i="65"/>
  <c r="MR28" i="65"/>
  <c r="MR92" i="65"/>
  <c r="MR61" i="65"/>
  <c r="MR22" i="65"/>
  <c r="MR86" i="65"/>
  <c r="MR39" i="65"/>
  <c r="MR33" i="65"/>
  <c r="MR64" i="65"/>
  <c r="MR26" i="65"/>
  <c r="MR90" i="65"/>
  <c r="MR59" i="65"/>
  <c r="MS2" i="65"/>
  <c r="MQ2" i="65"/>
  <c r="LN103" i="65"/>
  <c r="LN104" i="65"/>
  <c r="MN103" i="65"/>
  <c r="MN104" i="65"/>
  <c r="MP103" i="65"/>
  <c r="MP104" i="65"/>
  <c r="MK104" i="65"/>
  <c r="MK103" i="65"/>
  <c r="ML104" i="65"/>
  <c r="ML103" i="65"/>
  <c r="MI103" i="65"/>
  <c r="MI104" i="65"/>
  <c r="MP55" i="65"/>
  <c r="MP96" i="65"/>
  <c r="MP32" i="65"/>
  <c r="MP20" i="65"/>
  <c r="MP73" i="65"/>
  <c r="MP14" i="65"/>
  <c r="MP84" i="65"/>
  <c r="MP50" i="65"/>
  <c r="MP53" i="65"/>
  <c r="MP75" i="65"/>
  <c r="MP22" i="65"/>
  <c r="MP51" i="65"/>
  <c r="MP86" i="65"/>
  <c r="MP68" i="65"/>
  <c r="MP37" i="65"/>
  <c r="MP101" i="65"/>
  <c r="MP70" i="65"/>
  <c r="MP39" i="65"/>
  <c r="MP16" i="65"/>
  <c r="MP80" i="65"/>
  <c r="MP57" i="65"/>
  <c r="MP34" i="65"/>
  <c r="MP98" i="65"/>
  <c r="MP99" i="65"/>
  <c r="MP12" i="65"/>
  <c r="MP76" i="65"/>
  <c r="MP45" i="65"/>
  <c r="MP11" i="65"/>
  <c r="MP78" i="65"/>
  <c r="MP47" i="65"/>
  <c r="MP24" i="65"/>
  <c r="MP88" i="65"/>
  <c r="MP65" i="65"/>
  <c r="MP42" i="65"/>
  <c r="MQ4" i="65"/>
  <c r="MP43" i="65"/>
  <c r="MP28" i="65"/>
  <c r="MP92" i="65"/>
  <c r="MP61" i="65"/>
  <c r="MP30" i="65"/>
  <c r="MP94" i="65"/>
  <c r="MP63" i="65"/>
  <c r="MP40" i="65"/>
  <c r="MP17" i="65"/>
  <c r="MP81" i="65"/>
  <c r="MP58" i="65"/>
  <c r="MP19" i="65"/>
  <c r="MP59" i="65"/>
  <c r="MP36" i="65"/>
  <c r="MP100" i="65"/>
  <c r="MP69" i="65"/>
  <c r="MP38" i="65"/>
  <c r="MP102" i="65"/>
  <c r="MP71" i="65"/>
  <c r="MP48" i="65"/>
  <c r="MP25" i="65"/>
  <c r="MP89" i="65"/>
  <c r="MP66" i="65"/>
  <c r="MP83" i="65"/>
  <c r="MP67" i="65"/>
  <c r="MP44" i="65"/>
  <c r="MP13" i="65"/>
  <c r="MP77" i="65"/>
  <c r="MP46" i="65"/>
  <c r="MP15" i="65"/>
  <c r="MP79" i="65"/>
  <c r="MP56" i="65"/>
  <c r="MP33" i="65"/>
  <c r="MP97" i="65"/>
  <c r="MP74" i="65"/>
  <c r="MP27" i="65"/>
  <c r="MP35" i="65"/>
  <c r="MP52" i="65"/>
  <c r="MP21" i="65"/>
  <c r="MP85" i="65"/>
  <c r="MP54" i="65"/>
  <c r="MP23" i="65"/>
  <c r="MP87" i="65"/>
  <c r="MP64" i="65"/>
  <c r="MP41" i="65"/>
  <c r="MP18" i="65"/>
  <c r="MP82" i="65"/>
  <c r="MP91" i="65"/>
  <c r="MP60" i="65"/>
  <c r="MP29" i="65"/>
  <c r="MP93" i="65"/>
  <c r="MP62" i="65"/>
  <c r="MP31" i="65"/>
  <c r="MP95" i="65"/>
  <c r="MP72" i="65"/>
  <c r="MP49" i="65"/>
  <c r="MP26" i="65"/>
  <c r="MP90" i="65"/>
  <c r="MN95" i="61"/>
  <c r="MN28" i="61"/>
  <c r="MN42" i="61"/>
  <c r="MN35" i="61"/>
  <c r="MN94" i="61"/>
  <c r="MN99" i="61"/>
  <c r="MN31" i="61"/>
  <c r="MN92" i="61"/>
  <c r="MN12" i="61"/>
  <c r="MN74" i="61"/>
  <c r="MN69" i="61"/>
  <c r="MN17" i="61"/>
  <c r="MN30" i="61"/>
  <c r="MN19" i="61"/>
  <c r="MN83" i="61"/>
  <c r="MN98" i="61"/>
  <c r="MN76" i="61"/>
  <c r="MN81" i="61"/>
  <c r="MN53" i="61"/>
  <c r="MN56" i="61"/>
  <c r="MN14" i="61"/>
  <c r="MN78" i="61"/>
  <c r="MN15" i="61"/>
  <c r="MN79" i="61"/>
  <c r="MN90" i="61"/>
  <c r="MN27" i="61"/>
  <c r="MN91" i="61"/>
  <c r="MN20" i="61"/>
  <c r="MN84" i="61"/>
  <c r="MN26" i="61"/>
  <c r="MN61" i="61"/>
  <c r="MN96" i="61"/>
  <c r="MN22" i="61"/>
  <c r="MN86" i="61"/>
  <c r="MN23" i="61"/>
  <c r="MN87" i="61"/>
  <c r="MN64" i="61"/>
  <c r="MN43" i="61"/>
  <c r="MN10" i="61"/>
  <c r="MN36" i="61"/>
  <c r="MN100" i="61"/>
  <c r="MN13" i="61"/>
  <c r="MN77" i="61"/>
  <c r="MN57" i="61"/>
  <c r="MN38" i="61"/>
  <c r="MN40" i="61"/>
  <c r="MN39" i="61"/>
  <c r="MN16" i="61"/>
  <c r="MO4" i="61"/>
  <c r="MN51" i="61"/>
  <c r="MN41" i="61"/>
  <c r="MN44" i="61"/>
  <c r="MN32" i="61"/>
  <c r="MN21" i="61"/>
  <c r="MN85" i="61"/>
  <c r="MN89" i="61"/>
  <c r="MN46" i="61"/>
  <c r="MN88" i="61"/>
  <c r="MN47" i="61"/>
  <c r="MN48" i="61"/>
  <c r="MN102" i="61"/>
  <c r="MN59" i="61"/>
  <c r="MN97" i="61"/>
  <c r="MN52" i="61"/>
  <c r="MN72" i="61"/>
  <c r="MN29" i="61"/>
  <c r="MN93" i="61"/>
  <c r="MN18" i="61"/>
  <c r="MN54" i="61"/>
  <c r="MN33" i="61"/>
  <c r="MN55" i="61"/>
  <c r="MN80" i="61"/>
  <c r="MN103" i="61"/>
  <c r="MN67" i="61"/>
  <c r="MN34" i="61"/>
  <c r="MN60" i="61"/>
  <c r="MN25" i="61"/>
  <c r="MN37" i="61"/>
  <c r="MN101" i="61"/>
  <c r="MN58" i="61"/>
  <c r="MN62" i="61"/>
  <c r="MN73" i="61"/>
  <c r="MN63" i="61"/>
  <c r="MN49" i="61"/>
  <c r="MN11" i="61"/>
  <c r="MN75" i="61"/>
  <c r="MN66" i="61"/>
  <c r="MN68" i="61"/>
  <c r="MN65" i="61"/>
  <c r="MN45" i="61"/>
  <c r="MN24" i="61"/>
  <c r="MN82" i="61"/>
  <c r="MN70" i="61"/>
  <c r="MN50" i="61"/>
  <c r="MN71" i="61"/>
  <c r="MD41" i="61"/>
  <c r="ML37" i="61"/>
  <c r="LN58" i="61"/>
  <c r="LR41" i="61"/>
  <c r="LR54" i="61"/>
  <c r="MH64" i="61"/>
  <c r="ME4" i="61"/>
  <c r="ML45" i="61"/>
  <c r="LP39" i="61"/>
  <c r="LT56" i="61"/>
  <c r="LT60" i="61"/>
  <c r="MH29" i="61"/>
  <c r="ML24" i="61"/>
  <c r="LT21" i="61"/>
  <c r="MH37" i="61"/>
  <c r="ML32" i="61"/>
  <c r="LT39" i="61"/>
  <c r="MH17" i="61"/>
  <c r="LZ33" i="61"/>
  <c r="LN18" i="61"/>
  <c r="LV18" i="61"/>
  <c r="LP98" i="61"/>
  <c r="LN84" i="61"/>
  <c r="LT95" i="61"/>
  <c r="MH25" i="61"/>
  <c r="MH48" i="61"/>
  <c r="MF31" i="61"/>
  <c r="ML66" i="61"/>
  <c r="LR33" i="61"/>
  <c r="LT73" i="61"/>
  <c r="LT16" i="61"/>
  <c r="MH56" i="61"/>
  <c r="MD44" i="61"/>
  <c r="LX86" i="61"/>
  <c r="LR56" i="61"/>
  <c r="LV68" i="61"/>
  <c r="LP65" i="61"/>
  <c r="ML35" i="61"/>
  <c r="LN30" i="61"/>
  <c r="LP36" i="61"/>
  <c r="LP42" i="61"/>
  <c r="LT19" i="61"/>
  <c r="LT85" i="61"/>
  <c r="MH35" i="61"/>
  <c r="MH101" i="61"/>
  <c r="MH89" i="61"/>
  <c r="ML43" i="61"/>
  <c r="ML14" i="61"/>
  <c r="ML96" i="61"/>
  <c r="LT40" i="61"/>
  <c r="LT29" i="61"/>
  <c r="MH27" i="61"/>
  <c r="LN94" i="61"/>
  <c r="LP100" i="61"/>
  <c r="LP16" i="61"/>
  <c r="LT27" i="61"/>
  <c r="LT93" i="61"/>
  <c r="LT81" i="61"/>
  <c r="LX22" i="61"/>
  <c r="MH91" i="61"/>
  <c r="MH62" i="61"/>
  <c r="MH58" i="61"/>
  <c r="ML99" i="61"/>
  <c r="ML70" i="61"/>
  <c r="ML65" i="61"/>
  <c r="LP56" i="61"/>
  <c r="LN93" i="61"/>
  <c r="LT17" i="61"/>
  <c r="MH81" i="61"/>
  <c r="ML101" i="61"/>
  <c r="LN103" i="61"/>
  <c r="LN55" i="61"/>
  <c r="LP53" i="61"/>
  <c r="LR75" i="61"/>
  <c r="LT83" i="61"/>
  <c r="LT54" i="61"/>
  <c r="LT50" i="61"/>
  <c r="MH99" i="61"/>
  <c r="MH70" i="61"/>
  <c r="MH66" i="61"/>
  <c r="ML10" i="61"/>
  <c r="ML78" i="61"/>
  <c r="ML73" i="61"/>
  <c r="LN29" i="61"/>
  <c r="MJ15" i="61"/>
  <c r="LR97" i="61"/>
  <c r="MH93" i="61"/>
  <c r="LN67" i="61"/>
  <c r="LN34" i="61"/>
  <c r="LP14" i="61"/>
  <c r="LR36" i="61"/>
  <c r="LT91" i="61"/>
  <c r="LT62" i="61"/>
  <c r="LT58" i="61"/>
  <c r="MD75" i="61"/>
  <c r="MH60" i="61"/>
  <c r="MH39" i="61"/>
  <c r="MH16" i="61"/>
  <c r="ML68" i="61"/>
  <c r="ML47" i="61"/>
  <c r="ML82" i="61"/>
  <c r="LP11" i="61"/>
  <c r="MB15" i="61"/>
  <c r="LP75" i="61"/>
  <c r="LT64" i="61"/>
  <c r="ML88" i="61"/>
  <c r="LN20" i="61"/>
  <c r="LN64" i="61"/>
  <c r="LP78" i="61"/>
  <c r="LT52" i="61"/>
  <c r="LT31" i="61"/>
  <c r="LT72" i="61"/>
  <c r="MH68" i="61"/>
  <c r="MH47" i="61"/>
  <c r="MH80" i="61"/>
  <c r="ML76" i="61"/>
  <c r="ML55" i="61"/>
  <c r="ML12" i="61"/>
  <c r="LN28" i="61"/>
  <c r="LN63" i="61"/>
  <c r="LP44" i="61"/>
  <c r="LP88" i="61"/>
  <c r="LN19" i="61"/>
  <c r="LN83" i="61"/>
  <c r="LN36" i="61"/>
  <c r="LN100" i="61"/>
  <c r="LN45" i="61"/>
  <c r="LN49" i="61"/>
  <c r="LN46" i="61"/>
  <c r="LN65" i="61"/>
  <c r="LN71" i="61"/>
  <c r="LN16" i="61"/>
  <c r="LN80" i="61"/>
  <c r="LO4" i="61"/>
  <c r="LP27" i="61"/>
  <c r="LP91" i="61"/>
  <c r="LP52" i="61"/>
  <c r="LP80" i="61"/>
  <c r="LP69" i="61"/>
  <c r="LP30" i="61"/>
  <c r="LP94" i="61"/>
  <c r="LP55" i="61"/>
  <c r="LP17" i="61"/>
  <c r="LP81" i="61"/>
  <c r="LP58" i="61"/>
  <c r="LQ4" i="61"/>
  <c r="LR44" i="61"/>
  <c r="LR62" i="61"/>
  <c r="LR18" i="61"/>
  <c r="LT35" i="61"/>
  <c r="LT99" i="61"/>
  <c r="LT68" i="61"/>
  <c r="LT37" i="61"/>
  <c r="LT101" i="61"/>
  <c r="LT70" i="61"/>
  <c r="LT47" i="61"/>
  <c r="LT25" i="61"/>
  <c r="LT89" i="61"/>
  <c r="LT66" i="61"/>
  <c r="LT80" i="61"/>
  <c r="LT48" i="61"/>
  <c r="LV85" i="61"/>
  <c r="LZ59" i="61"/>
  <c r="MH43" i="61"/>
  <c r="MH10" i="61"/>
  <c r="MH76" i="61"/>
  <c r="MH45" i="61"/>
  <c r="MH14" i="61"/>
  <c r="MH78" i="61"/>
  <c r="MH55" i="61"/>
  <c r="MH33" i="61"/>
  <c r="MH97" i="61"/>
  <c r="MH74" i="61"/>
  <c r="MH12" i="61"/>
  <c r="MH24" i="61"/>
  <c r="ML51" i="61"/>
  <c r="ML20" i="61"/>
  <c r="ML84" i="61"/>
  <c r="ML53" i="61"/>
  <c r="ML22" i="61"/>
  <c r="ML86" i="61"/>
  <c r="ML63" i="61"/>
  <c r="ML40" i="61"/>
  <c r="ML17" i="61"/>
  <c r="ML81" i="61"/>
  <c r="ML90" i="61"/>
  <c r="LN75" i="61"/>
  <c r="LN17" i="61"/>
  <c r="LP83" i="61"/>
  <c r="LP47" i="61"/>
  <c r="LN27" i="61"/>
  <c r="LN91" i="61"/>
  <c r="LN44" i="61"/>
  <c r="LN57" i="61"/>
  <c r="LN53" i="61"/>
  <c r="LN89" i="61"/>
  <c r="LN54" i="61"/>
  <c r="LN15" i="61"/>
  <c r="LN79" i="61"/>
  <c r="LN24" i="61"/>
  <c r="LN88" i="61"/>
  <c r="LN33" i="61"/>
  <c r="LP35" i="61"/>
  <c r="LP99" i="61"/>
  <c r="LP60" i="61"/>
  <c r="LP13" i="61"/>
  <c r="LP77" i="61"/>
  <c r="LP38" i="61"/>
  <c r="LP48" i="61"/>
  <c r="LP63" i="61"/>
  <c r="LP25" i="61"/>
  <c r="LP89" i="61"/>
  <c r="LP66" i="61"/>
  <c r="LP24" i="61"/>
  <c r="LR100" i="61"/>
  <c r="LR15" i="61"/>
  <c r="LR82" i="61"/>
  <c r="LT43" i="61"/>
  <c r="LT12" i="61"/>
  <c r="LT76" i="61"/>
  <c r="LT45" i="61"/>
  <c r="LT14" i="61"/>
  <c r="LT78" i="61"/>
  <c r="LT55" i="61"/>
  <c r="LT33" i="61"/>
  <c r="LT97" i="61"/>
  <c r="LT74" i="61"/>
  <c r="LT10" i="61"/>
  <c r="LT24" i="61"/>
  <c r="LV46" i="61"/>
  <c r="LZ20" i="61"/>
  <c r="MH51" i="61"/>
  <c r="MH20" i="61"/>
  <c r="MH84" i="61"/>
  <c r="MH53" i="61"/>
  <c r="MH22" i="61"/>
  <c r="MH86" i="61"/>
  <c r="MH63" i="61"/>
  <c r="MH41" i="61"/>
  <c r="MH18" i="61"/>
  <c r="MH82" i="61"/>
  <c r="MH88" i="61"/>
  <c r="MJ38" i="61"/>
  <c r="ML59" i="61"/>
  <c r="ML28" i="61"/>
  <c r="ML92" i="61"/>
  <c r="ML61" i="61"/>
  <c r="ML30" i="61"/>
  <c r="ML94" i="61"/>
  <c r="ML71" i="61"/>
  <c r="ML48" i="61"/>
  <c r="ML25" i="61"/>
  <c r="ML89" i="61"/>
  <c r="ML34" i="61"/>
  <c r="LN37" i="61"/>
  <c r="LN72" i="61"/>
  <c r="LP61" i="61"/>
  <c r="LN35" i="61"/>
  <c r="LN99" i="61"/>
  <c r="LN52" i="61"/>
  <c r="LN26" i="61"/>
  <c r="LN61" i="61"/>
  <c r="LN42" i="61"/>
  <c r="LN62" i="61"/>
  <c r="LN23" i="61"/>
  <c r="LN87" i="61"/>
  <c r="LN32" i="61"/>
  <c r="LN96" i="61"/>
  <c r="LN12" i="61"/>
  <c r="LP43" i="61"/>
  <c r="LP10" i="61"/>
  <c r="LP68" i="61"/>
  <c r="LP21" i="61"/>
  <c r="LP85" i="61"/>
  <c r="LP46" i="61"/>
  <c r="LP96" i="61"/>
  <c r="LP71" i="61"/>
  <c r="LP33" i="61"/>
  <c r="LP97" i="61"/>
  <c r="LP74" i="61"/>
  <c r="LP12" i="61"/>
  <c r="LR10" i="61"/>
  <c r="LR23" i="61"/>
  <c r="LR90" i="61"/>
  <c r="LT51" i="61"/>
  <c r="LT20" i="61"/>
  <c r="LT84" i="61"/>
  <c r="LT53" i="61"/>
  <c r="LT22" i="61"/>
  <c r="LT86" i="61"/>
  <c r="LT63" i="61"/>
  <c r="LT41" i="61"/>
  <c r="LT18" i="61"/>
  <c r="LT82" i="61"/>
  <c r="LT88" i="61"/>
  <c r="LV19" i="61"/>
  <c r="LV15" i="61"/>
  <c r="LZ64" i="61"/>
  <c r="MF54" i="61"/>
  <c r="MH59" i="61"/>
  <c r="MH28" i="61"/>
  <c r="MH92" i="61"/>
  <c r="MH61" i="61"/>
  <c r="MH30" i="61"/>
  <c r="MH94" i="61"/>
  <c r="MH71" i="61"/>
  <c r="MH49" i="61"/>
  <c r="MH26" i="61"/>
  <c r="MH90" i="61"/>
  <c r="MH32" i="61"/>
  <c r="ML67" i="61"/>
  <c r="ML36" i="61"/>
  <c r="ML100" i="61"/>
  <c r="ML69" i="61"/>
  <c r="ML38" i="61"/>
  <c r="ML15" i="61"/>
  <c r="ML79" i="61"/>
  <c r="ML56" i="61"/>
  <c r="ML33" i="61"/>
  <c r="ML97" i="61"/>
  <c r="ML98" i="61"/>
  <c r="LN11" i="61"/>
  <c r="LN38" i="61"/>
  <c r="LP19" i="61"/>
  <c r="LP22" i="61"/>
  <c r="LP50" i="61"/>
  <c r="LN43" i="61"/>
  <c r="LN10" i="61"/>
  <c r="LN60" i="61"/>
  <c r="LN90" i="61"/>
  <c r="LN69" i="61"/>
  <c r="LN66" i="61"/>
  <c r="LN70" i="61"/>
  <c r="LN31" i="61"/>
  <c r="LN95" i="61"/>
  <c r="LN40" i="61"/>
  <c r="LN25" i="61"/>
  <c r="LN50" i="61"/>
  <c r="LP51" i="61"/>
  <c r="LP64" i="61"/>
  <c r="LP76" i="61"/>
  <c r="LP29" i="61"/>
  <c r="LP93" i="61"/>
  <c r="LP54" i="61"/>
  <c r="LP15" i="61"/>
  <c r="LP79" i="61"/>
  <c r="LP41" i="61"/>
  <c r="LP18" i="61"/>
  <c r="LP82" i="61"/>
  <c r="LR102" i="61"/>
  <c r="LR45" i="61"/>
  <c r="LR79" i="61"/>
  <c r="LT102" i="61"/>
  <c r="LT59" i="61"/>
  <c r="LT28" i="61"/>
  <c r="LT92" i="61"/>
  <c r="LT61" i="61"/>
  <c r="LT30" i="61"/>
  <c r="LT94" i="61"/>
  <c r="LT71" i="61"/>
  <c r="LT49" i="61"/>
  <c r="LT26" i="61"/>
  <c r="LT90" i="61"/>
  <c r="LT32" i="61"/>
  <c r="LV43" i="61"/>
  <c r="LV48" i="61"/>
  <c r="MH67" i="61"/>
  <c r="MH36" i="61"/>
  <c r="MH100" i="61"/>
  <c r="MH69" i="61"/>
  <c r="MH38" i="61"/>
  <c r="MH15" i="61"/>
  <c r="MH79" i="61"/>
  <c r="MH57" i="61"/>
  <c r="MH34" i="61"/>
  <c r="MH98" i="61"/>
  <c r="MH96" i="61"/>
  <c r="ML11" i="61"/>
  <c r="ML75" i="61"/>
  <c r="ML44" i="61"/>
  <c r="ML13" i="61"/>
  <c r="ML77" i="61"/>
  <c r="ML46" i="61"/>
  <c r="ML23" i="61"/>
  <c r="ML87" i="61"/>
  <c r="ML64" i="61"/>
  <c r="ML41" i="61"/>
  <c r="MM4" i="61"/>
  <c r="ML42" i="61"/>
  <c r="LN101" i="61"/>
  <c r="LN98" i="61"/>
  <c r="LP86" i="61"/>
  <c r="LP72" i="61"/>
  <c r="LN51" i="61"/>
  <c r="LN81" i="61"/>
  <c r="LN68" i="61"/>
  <c r="LN13" i="61"/>
  <c r="LN77" i="61"/>
  <c r="LN14" i="61"/>
  <c r="LN78" i="61"/>
  <c r="LN39" i="61"/>
  <c r="LN41" i="61"/>
  <c r="LN48" i="61"/>
  <c r="LN73" i="61"/>
  <c r="LP102" i="61"/>
  <c r="LP59" i="61"/>
  <c r="LP20" i="61"/>
  <c r="LP84" i="61"/>
  <c r="LP37" i="61"/>
  <c r="LP101" i="61"/>
  <c r="LP62" i="61"/>
  <c r="LP23" i="61"/>
  <c r="LP87" i="61"/>
  <c r="LP49" i="61"/>
  <c r="LP26" i="61"/>
  <c r="LP90" i="61"/>
  <c r="LR11" i="61"/>
  <c r="LR53" i="61"/>
  <c r="LR87" i="61"/>
  <c r="LT103" i="61"/>
  <c r="LT67" i="61"/>
  <c r="LT36" i="61"/>
  <c r="LT100" i="61"/>
  <c r="LT69" i="61"/>
  <c r="LT38" i="61"/>
  <c r="LT15" i="61"/>
  <c r="LT79" i="61"/>
  <c r="LT57" i="61"/>
  <c r="LT34" i="61"/>
  <c r="LT98" i="61"/>
  <c r="LT96" i="61"/>
  <c r="LV83" i="61"/>
  <c r="LV66" i="61"/>
  <c r="MB38" i="61"/>
  <c r="MH11" i="61"/>
  <c r="MH75" i="61"/>
  <c r="MH44" i="61"/>
  <c r="MH13" i="61"/>
  <c r="MH77" i="61"/>
  <c r="MH46" i="61"/>
  <c r="MH23" i="61"/>
  <c r="MH87" i="61"/>
  <c r="MH65" i="61"/>
  <c r="MH42" i="61"/>
  <c r="MI4" i="61"/>
  <c r="MH40" i="61"/>
  <c r="ML19" i="61"/>
  <c r="ML83" i="61"/>
  <c r="ML52" i="61"/>
  <c r="ML21" i="61"/>
  <c r="ML85" i="61"/>
  <c r="ML54" i="61"/>
  <c r="ML31" i="61"/>
  <c r="ML95" i="61"/>
  <c r="ML72" i="61"/>
  <c r="ML49" i="61"/>
  <c r="ML74" i="61"/>
  <c r="ML58" i="61"/>
  <c r="LR74" i="61"/>
  <c r="LN92" i="61"/>
  <c r="LN74" i="61"/>
  <c r="LP32" i="61"/>
  <c r="LP73" i="61"/>
  <c r="LV21" i="61"/>
  <c r="LN102" i="61"/>
  <c r="LN59" i="61"/>
  <c r="LN82" i="61"/>
  <c r="LN76" i="61"/>
  <c r="LN21" i="61"/>
  <c r="LN85" i="61"/>
  <c r="LN22" i="61"/>
  <c r="LN86" i="61"/>
  <c r="LN47" i="61"/>
  <c r="LN97" i="61"/>
  <c r="LN56" i="61"/>
  <c r="LP103" i="61"/>
  <c r="LP67" i="61"/>
  <c r="LP28" i="61"/>
  <c r="LP92" i="61"/>
  <c r="LP45" i="61"/>
  <c r="LP40" i="61"/>
  <c r="LP70" i="61"/>
  <c r="LP31" i="61"/>
  <c r="LP95" i="61"/>
  <c r="LP57" i="61"/>
  <c r="LP34" i="61"/>
  <c r="LR67" i="61"/>
  <c r="LR24" i="61"/>
  <c r="LT11" i="61"/>
  <c r="LT75" i="61"/>
  <c r="LT44" i="61"/>
  <c r="LT13" i="61"/>
  <c r="LT77" i="61"/>
  <c r="LT46" i="61"/>
  <c r="LT23" i="61"/>
  <c r="LT87" i="61"/>
  <c r="LT65" i="61"/>
  <c r="LT42" i="61"/>
  <c r="LU4" i="61"/>
  <c r="LV10" i="61"/>
  <c r="MH19" i="61"/>
  <c r="MH83" i="61"/>
  <c r="MH52" i="61"/>
  <c r="MH21" i="61"/>
  <c r="MH85" i="61"/>
  <c r="MH54" i="61"/>
  <c r="MH31" i="61"/>
  <c r="MH95" i="61"/>
  <c r="MH73" i="61"/>
  <c r="MH50" i="61"/>
  <c r="MH72" i="61"/>
  <c r="ML27" i="61"/>
  <c r="ML91" i="61"/>
  <c r="ML60" i="61"/>
  <c r="ML29" i="61"/>
  <c r="ML93" i="61"/>
  <c r="ML62" i="61"/>
  <c r="ML39" i="61"/>
  <c r="ML16" i="61"/>
  <c r="ML80" i="61"/>
  <c r="ML57" i="61"/>
  <c r="ML18" i="61"/>
  <c r="LZ89" i="61"/>
  <c r="LZ25" i="61"/>
  <c r="LZ56" i="61"/>
  <c r="LZ87" i="61"/>
  <c r="LZ23" i="61"/>
  <c r="LZ62" i="61"/>
  <c r="LZ101" i="61"/>
  <c r="LZ37" i="61"/>
  <c r="LZ76" i="61"/>
  <c r="LZ82" i="61"/>
  <c r="LZ51" i="61"/>
  <c r="LZ12" i="61"/>
  <c r="LZ81" i="61"/>
  <c r="LZ90" i="61"/>
  <c r="LZ48" i="61"/>
  <c r="LZ79" i="61"/>
  <c r="LZ15" i="61"/>
  <c r="LZ54" i="61"/>
  <c r="LZ93" i="61"/>
  <c r="LZ29" i="61"/>
  <c r="LZ68" i="61"/>
  <c r="LZ10" i="61"/>
  <c r="LZ43" i="61"/>
  <c r="LZ18" i="61"/>
  <c r="LZ73" i="61"/>
  <c r="LZ26" i="61"/>
  <c r="LZ40" i="61"/>
  <c r="LZ71" i="61"/>
  <c r="LZ98" i="61"/>
  <c r="LZ46" i="61"/>
  <c r="LZ85" i="61"/>
  <c r="LZ21" i="61"/>
  <c r="LZ60" i="61"/>
  <c r="LZ99" i="61"/>
  <c r="LZ35" i="61"/>
  <c r="LZ17" i="61"/>
  <c r="LZ65" i="61"/>
  <c r="LZ96" i="61"/>
  <c r="LZ32" i="61"/>
  <c r="LZ63" i="61"/>
  <c r="LZ42" i="61"/>
  <c r="LZ38" i="61"/>
  <c r="LZ77" i="61"/>
  <c r="LZ13" i="61"/>
  <c r="LZ52" i="61"/>
  <c r="LZ91" i="61"/>
  <c r="LZ27" i="61"/>
  <c r="MA4" i="61"/>
  <c r="LZ57" i="61"/>
  <c r="LZ88" i="61"/>
  <c r="LZ24" i="61"/>
  <c r="LZ55" i="61"/>
  <c r="LZ94" i="61"/>
  <c r="LZ30" i="61"/>
  <c r="LZ69" i="61"/>
  <c r="LZ74" i="61"/>
  <c r="LZ44" i="61"/>
  <c r="LZ83" i="61"/>
  <c r="LZ19" i="61"/>
  <c r="LZ66" i="61"/>
  <c r="LZ49" i="61"/>
  <c r="LZ80" i="61"/>
  <c r="LZ16" i="61"/>
  <c r="LZ47" i="61"/>
  <c r="LZ86" i="61"/>
  <c r="LZ22" i="61"/>
  <c r="LZ61" i="61"/>
  <c r="LZ100" i="61"/>
  <c r="LZ36" i="61"/>
  <c r="LZ75" i="61"/>
  <c r="LZ11" i="61"/>
  <c r="LZ34" i="61"/>
  <c r="LZ41" i="61"/>
  <c r="LZ72" i="61"/>
  <c r="LZ50" i="61"/>
  <c r="LZ39" i="61"/>
  <c r="LZ78" i="61"/>
  <c r="LZ14" i="61"/>
  <c r="LZ53" i="61"/>
  <c r="LZ92" i="61"/>
  <c r="LZ28" i="61"/>
  <c r="LZ67" i="61"/>
  <c r="LZ103" i="61"/>
  <c r="LX12" i="61"/>
  <c r="LX58" i="61"/>
  <c r="LX73" i="61"/>
  <c r="LX96" i="61"/>
  <c r="LX32" i="61"/>
  <c r="LX55" i="61"/>
  <c r="LX78" i="61"/>
  <c r="LX14" i="61"/>
  <c r="LX45" i="61"/>
  <c r="LX76" i="61"/>
  <c r="LX10" i="61"/>
  <c r="LX43" i="61"/>
  <c r="LX18" i="61"/>
  <c r="LX50" i="61"/>
  <c r="LX65" i="61"/>
  <c r="LX88" i="61"/>
  <c r="LX24" i="61"/>
  <c r="LX47" i="61"/>
  <c r="LX70" i="61"/>
  <c r="LX101" i="61"/>
  <c r="LX37" i="61"/>
  <c r="LX68" i="61"/>
  <c r="LX99" i="61"/>
  <c r="LX35" i="61"/>
  <c r="LY4" i="61"/>
  <c r="LX42" i="61"/>
  <c r="LX57" i="61"/>
  <c r="LX80" i="61"/>
  <c r="LX16" i="61"/>
  <c r="LX39" i="61"/>
  <c r="LX62" i="61"/>
  <c r="LX93" i="61"/>
  <c r="LX29" i="61"/>
  <c r="LX60" i="61"/>
  <c r="LX91" i="61"/>
  <c r="LX27" i="61"/>
  <c r="LX98" i="61"/>
  <c r="LX34" i="61"/>
  <c r="LX49" i="61"/>
  <c r="LX72" i="61"/>
  <c r="LX95" i="61"/>
  <c r="LX31" i="61"/>
  <c r="LX54" i="61"/>
  <c r="LX85" i="61"/>
  <c r="LX21" i="61"/>
  <c r="LX52" i="61"/>
  <c r="LX83" i="61"/>
  <c r="LX19" i="61"/>
  <c r="LX90" i="61"/>
  <c r="LX26" i="61"/>
  <c r="LX41" i="61"/>
  <c r="LX64" i="61"/>
  <c r="LX87" i="61"/>
  <c r="LX23" i="61"/>
  <c r="LX46" i="61"/>
  <c r="LX77" i="61"/>
  <c r="LX13" i="61"/>
  <c r="LX44" i="61"/>
  <c r="LX75" i="61"/>
  <c r="LX11" i="61"/>
  <c r="LX82" i="61"/>
  <c r="LX97" i="61"/>
  <c r="LX33" i="61"/>
  <c r="LX56" i="61"/>
  <c r="LX79" i="61"/>
  <c r="LX15" i="61"/>
  <c r="LX38" i="61"/>
  <c r="LX69" i="61"/>
  <c r="LX100" i="61"/>
  <c r="LX36" i="61"/>
  <c r="LX67" i="61"/>
  <c r="LX103" i="61"/>
  <c r="LX74" i="61"/>
  <c r="LX89" i="61"/>
  <c r="LX25" i="61"/>
  <c r="LX48" i="61"/>
  <c r="LX71" i="61"/>
  <c r="LX94" i="61"/>
  <c r="LX30" i="61"/>
  <c r="LX61" i="61"/>
  <c r="LX92" i="61"/>
  <c r="LX28" i="61"/>
  <c r="LX59" i="61"/>
  <c r="LX102" i="61"/>
  <c r="MF42" i="61"/>
  <c r="MG4" i="61"/>
  <c r="MF41" i="61"/>
  <c r="MF64" i="61"/>
  <c r="MF87" i="61"/>
  <c r="MF23" i="61"/>
  <c r="MF46" i="61"/>
  <c r="MF77" i="61"/>
  <c r="MF13" i="61"/>
  <c r="MF44" i="61"/>
  <c r="MF75" i="61"/>
  <c r="MF11" i="61"/>
  <c r="MF98" i="61"/>
  <c r="MF97" i="61"/>
  <c r="MF33" i="61"/>
  <c r="MF56" i="61"/>
  <c r="MF79" i="61"/>
  <c r="MF15" i="61"/>
  <c r="MF38" i="61"/>
  <c r="MF69" i="61"/>
  <c r="MF100" i="61"/>
  <c r="MF36" i="61"/>
  <c r="MF67" i="61"/>
  <c r="MF103" i="61"/>
  <c r="MF34" i="61"/>
  <c r="MF89" i="61"/>
  <c r="MF25" i="61"/>
  <c r="MF48" i="61"/>
  <c r="MF71" i="61"/>
  <c r="MF94" i="61"/>
  <c r="MF30" i="61"/>
  <c r="MF61" i="61"/>
  <c r="MF92" i="61"/>
  <c r="MF28" i="61"/>
  <c r="MF59" i="61"/>
  <c r="MF102" i="61"/>
  <c r="MF90" i="61"/>
  <c r="MF81" i="61"/>
  <c r="MF17" i="61"/>
  <c r="MF40" i="61"/>
  <c r="MF63" i="61"/>
  <c r="MF86" i="61"/>
  <c r="MF22" i="61"/>
  <c r="MF53" i="61"/>
  <c r="MF84" i="61"/>
  <c r="MF20" i="61"/>
  <c r="MF51" i="61"/>
  <c r="MF26" i="61"/>
  <c r="MF12" i="61"/>
  <c r="MF73" i="61"/>
  <c r="MF96" i="61"/>
  <c r="MF32" i="61"/>
  <c r="MF55" i="61"/>
  <c r="MF78" i="61"/>
  <c r="MF14" i="61"/>
  <c r="MF45" i="61"/>
  <c r="MF76" i="61"/>
  <c r="MF10" i="61"/>
  <c r="MF43" i="61"/>
  <c r="MF66" i="61"/>
  <c r="MF82" i="61"/>
  <c r="MF65" i="61"/>
  <c r="MF88" i="61"/>
  <c r="MF24" i="61"/>
  <c r="MF47" i="61"/>
  <c r="MF70" i="61"/>
  <c r="MF101" i="61"/>
  <c r="MF37" i="61"/>
  <c r="MF68" i="61"/>
  <c r="MF99" i="61"/>
  <c r="MF35" i="61"/>
  <c r="MF58" i="61"/>
  <c r="MF18" i="61"/>
  <c r="MF57" i="61"/>
  <c r="MF80" i="61"/>
  <c r="MF16" i="61"/>
  <c r="MF39" i="61"/>
  <c r="MF62" i="61"/>
  <c r="MF93" i="61"/>
  <c r="MF29" i="61"/>
  <c r="MF60" i="61"/>
  <c r="MF91" i="61"/>
  <c r="MF27" i="61"/>
  <c r="MJ74" i="61"/>
  <c r="MJ89" i="61"/>
  <c r="MJ25" i="61"/>
  <c r="MJ48" i="61"/>
  <c r="MJ71" i="61"/>
  <c r="MJ94" i="61"/>
  <c r="MJ30" i="61"/>
  <c r="MJ61" i="61"/>
  <c r="MJ92" i="61"/>
  <c r="MJ28" i="61"/>
  <c r="MJ59" i="61"/>
  <c r="MJ66" i="61"/>
  <c r="MJ81" i="61"/>
  <c r="MJ17" i="61"/>
  <c r="MJ40" i="61"/>
  <c r="MJ63" i="61"/>
  <c r="MJ86" i="61"/>
  <c r="MJ22" i="61"/>
  <c r="MJ53" i="61"/>
  <c r="MJ84" i="61"/>
  <c r="MJ20" i="61"/>
  <c r="MJ51" i="61"/>
  <c r="MJ12" i="61"/>
  <c r="MJ58" i="61"/>
  <c r="MJ73" i="61"/>
  <c r="MJ96" i="61"/>
  <c r="MJ32" i="61"/>
  <c r="MJ55" i="61"/>
  <c r="MJ78" i="61"/>
  <c r="MJ14" i="61"/>
  <c r="MJ45" i="61"/>
  <c r="MJ76" i="61"/>
  <c r="MJ10" i="61"/>
  <c r="MJ43" i="61"/>
  <c r="MJ18" i="61"/>
  <c r="MJ50" i="61"/>
  <c r="MJ65" i="61"/>
  <c r="MJ88" i="61"/>
  <c r="MJ24" i="61"/>
  <c r="MJ47" i="61"/>
  <c r="MJ70" i="61"/>
  <c r="MJ101" i="61"/>
  <c r="MJ37" i="61"/>
  <c r="MJ68" i="61"/>
  <c r="MJ99" i="61"/>
  <c r="MJ35" i="61"/>
  <c r="MK4" i="61"/>
  <c r="MJ42" i="61"/>
  <c r="MJ57" i="61"/>
  <c r="MJ80" i="61"/>
  <c r="MJ16" i="61"/>
  <c r="MJ39" i="61"/>
  <c r="MJ62" i="61"/>
  <c r="MJ93" i="61"/>
  <c r="MJ29" i="61"/>
  <c r="MJ60" i="61"/>
  <c r="MJ91" i="61"/>
  <c r="MJ27" i="61"/>
  <c r="MJ98" i="61"/>
  <c r="MJ34" i="61"/>
  <c r="MJ49" i="61"/>
  <c r="MJ72" i="61"/>
  <c r="MJ95" i="61"/>
  <c r="MJ31" i="61"/>
  <c r="MJ54" i="61"/>
  <c r="MJ85" i="61"/>
  <c r="MJ21" i="61"/>
  <c r="MJ52" i="61"/>
  <c r="MJ83" i="61"/>
  <c r="MJ19" i="61"/>
  <c r="MJ90" i="61"/>
  <c r="MJ26" i="61"/>
  <c r="MJ41" i="61"/>
  <c r="MJ64" i="61"/>
  <c r="MJ87" i="61"/>
  <c r="MJ23" i="61"/>
  <c r="MJ46" i="61"/>
  <c r="MJ77" i="61"/>
  <c r="MJ13" i="61"/>
  <c r="MJ44" i="61"/>
  <c r="MJ75" i="61"/>
  <c r="MJ11" i="61"/>
  <c r="MD98" i="61"/>
  <c r="MD97" i="61"/>
  <c r="MD33" i="61"/>
  <c r="MD56" i="61"/>
  <c r="MD79" i="61"/>
  <c r="MD15" i="61"/>
  <c r="MD38" i="61"/>
  <c r="MD69" i="61"/>
  <c r="MD100" i="61"/>
  <c r="MD36" i="61"/>
  <c r="MD67" i="61"/>
  <c r="MD103" i="61"/>
  <c r="MD34" i="61"/>
  <c r="MD89" i="61"/>
  <c r="MD25" i="61"/>
  <c r="MD48" i="61"/>
  <c r="MD71" i="61"/>
  <c r="MD94" i="61"/>
  <c r="MD30" i="61"/>
  <c r="MD61" i="61"/>
  <c r="MD92" i="61"/>
  <c r="MD28" i="61"/>
  <c r="MD59" i="61"/>
  <c r="MD102" i="61"/>
  <c r="MD90" i="61"/>
  <c r="MD81" i="61"/>
  <c r="MD17" i="61"/>
  <c r="MD40" i="61"/>
  <c r="MD63" i="61"/>
  <c r="MD86" i="61"/>
  <c r="MD22" i="61"/>
  <c r="MD53" i="61"/>
  <c r="MD84" i="61"/>
  <c r="MD20" i="61"/>
  <c r="MD51" i="61"/>
  <c r="MD26" i="61"/>
  <c r="MD12" i="61"/>
  <c r="MD73" i="61"/>
  <c r="MD96" i="61"/>
  <c r="MD32" i="61"/>
  <c r="MD55" i="61"/>
  <c r="MD78" i="61"/>
  <c r="MD14" i="61"/>
  <c r="MD45" i="61"/>
  <c r="MD76" i="61"/>
  <c r="MD10" i="61"/>
  <c r="MD43" i="61"/>
  <c r="MD58" i="61"/>
  <c r="MD82" i="61"/>
  <c r="MD65" i="61"/>
  <c r="MD88" i="61"/>
  <c r="MD24" i="61"/>
  <c r="MD47" i="61"/>
  <c r="MD70" i="61"/>
  <c r="MD101" i="61"/>
  <c r="MD37" i="61"/>
  <c r="MD68" i="61"/>
  <c r="MD99" i="61"/>
  <c r="MD35" i="61"/>
  <c r="MD50" i="61"/>
  <c r="MD18" i="61"/>
  <c r="MD57" i="61"/>
  <c r="MD80" i="61"/>
  <c r="MD16" i="61"/>
  <c r="MD39" i="61"/>
  <c r="MD62" i="61"/>
  <c r="MD93" i="61"/>
  <c r="MD29" i="61"/>
  <c r="MD60" i="61"/>
  <c r="MD91" i="61"/>
  <c r="MD27" i="61"/>
  <c r="MD42" i="61"/>
  <c r="MD74" i="61"/>
  <c r="MD49" i="61"/>
  <c r="MD72" i="61"/>
  <c r="MD95" i="61"/>
  <c r="MD31" i="61"/>
  <c r="MD54" i="61"/>
  <c r="MD85" i="61"/>
  <c r="MD21" i="61"/>
  <c r="MD52" i="61"/>
  <c r="MD83" i="61"/>
  <c r="MD19" i="61"/>
  <c r="MB74" i="61"/>
  <c r="MB97" i="61"/>
  <c r="MB33" i="61"/>
  <c r="MB56" i="61"/>
  <c r="MB71" i="61"/>
  <c r="MB94" i="61"/>
  <c r="MB30" i="61"/>
  <c r="MB61" i="61"/>
  <c r="MB92" i="61"/>
  <c r="MB28" i="61"/>
  <c r="MB59" i="61"/>
  <c r="MB102" i="61"/>
  <c r="MB66" i="61"/>
  <c r="MB89" i="61"/>
  <c r="MB25" i="61"/>
  <c r="MB48" i="61"/>
  <c r="MB63" i="61"/>
  <c r="MB86" i="61"/>
  <c r="MB22" i="61"/>
  <c r="MB53" i="61"/>
  <c r="MB84" i="61"/>
  <c r="MB20" i="61"/>
  <c r="MB51" i="61"/>
  <c r="MB12" i="61"/>
  <c r="MB58" i="61"/>
  <c r="MB81" i="61"/>
  <c r="MB17" i="61"/>
  <c r="MB40" i="61"/>
  <c r="MB55" i="61"/>
  <c r="MB78" i="61"/>
  <c r="MB14" i="61"/>
  <c r="MB45" i="61"/>
  <c r="MB76" i="61"/>
  <c r="MB10" i="61"/>
  <c r="MB43" i="61"/>
  <c r="MB16" i="61"/>
  <c r="MB50" i="61"/>
  <c r="MB73" i="61"/>
  <c r="MB96" i="61"/>
  <c r="MB32" i="61"/>
  <c r="MB47" i="61"/>
  <c r="MB70" i="61"/>
  <c r="MB101" i="61"/>
  <c r="MB37" i="61"/>
  <c r="MB68" i="61"/>
  <c r="MB99" i="61"/>
  <c r="MB35" i="61"/>
  <c r="MC4" i="61"/>
  <c r="MB42" i="61"/>
  <c r="MB65" i="61"/>
  <c r="MB88" i="61"/>
  <c r="MB24" i="61"/>
  <c r="MB39" i="61"/>
  <c r="MB62" i="61"/>
  <c r="MB93" i="61"/>
  <c r="MB29" i="61"/>
  <c r="MB60" i="61"/>
  <c r="MB91" i="61"/>
  <c r="MB27" i="61"/>
  <c r="MB98" i="61"/>
  <c r="MB34" i="61"/>
  <c r="MB57" i="61"/>
  <c r="MB80" i="61"/>
  <c r="MB95" i="61"/>
  <c r="MB31" i="61"/>
  <c r="MB54" i="61"/>
  <c r="MB85" i="61"/>
  <c r="MB21" i="61"/>
  <c r="MB52" i="61"/>
  <c r="MB83" i="61"/>
  <c r="MB19" i="61"/>
  <c r="MB90" i="61"/>
  <c r="MB26" i="61"/>
  <c r="MB49" i="61"/>
  <c r="MB72" i="61"/>
  <c r="MB87" i="61"/>
  <c r="MB23" i="61"/>
  <c r="MB46" i="61"/>
  <c r="MB77" i="61"/>
  <c r="MB13" i="61"/>
  <c r="MB44" i="61"/>
  <c r="MB75" i="61"/>
  <c r="MB11" i="61"/>
  <c r="LV12" i="61"/>
  <c r="LV65" i="61"/>
  <c r="LV26" i="61"/>
  <c r="LV40" i="61"/>
  <c r="LV71" i="61"/>
  <c r="LV50" i="61"/>
  <c r="LV38" i="61"/>
  <c r="LV77" i="61"/>
  <c r="LV13" i="61"/>
  <c r="LV60" i="61"/>
  <c r="LV99" i="61"/>
  <c r="LV35" i="61"/>
  <c r="LW4" i="61"/>
  <c r="LV57" i="61"/>
  <c r="LV96" i="61"/>
  <c r="LV32" i="61"/>
  <c r="LV63" i="61"/>
  <c r="LV94" i="61"/>
  <c r="LV30" i="61"/>
  <c r="LV69" i="61"/>
  <c r="LV90" i="61"/>
  <c r="LV52" i="61"/>
  <c r="LV91" i="61"/>
  <c r="LV27" i="61"/>
  <c r="LV98" i="61"/>
  <c r="LV49" i="61"/>
  <c r="LV88" i="61"/>
  <c r="LV24" i="61"/>
  <c r="LV55" i="61"/>
  <c r="LV86" i="61"/>
  <c r="LV22" i="61"/>
  <c r="LV61" i="61"/>
  <c r="LV34" i="61"/>
  <c r="LV44" i="61"/>
  <c r="LV42" i="61"/>
  <c r="LV41" i="61"/>
  <c r="LV80" i="61"/>
  <c r="LV16" i="61"/>
  <c r="LV47" i="61"/>
  <c r="LV78" i="61"/>
  <c r="LV14" i="61"/>
  <c r="LV53" i="61"/>
  <c r="LV100" i="61"/>
  <c r="LV36" i="61"/>
  <c r="LV75" i="61"/>
  <c r="LV11" i="61"/>
  <c r="LV97" i="61"/>
  <c r="LV33" i="61"/>
  <c r="LV72" i="61"/>
  <c r="LV82" i="61"/>
  <c r="LV39" i="61"/>
  <c r="LV70" i="61"/>
  <c r="LV58" i="61"/>
  <c r="LV45" i="61"/>
  <c r="LV92" i="61"/>
  <c r="LV28" i="61"/>
  <c r="LV67" i="61"/>
  <c r="LV103" i="61"/>
  <c r="LV89" i="61"/>
  <c r="LV25" i="61"/>
  <c r="LV64" i="61"/>
  <c r="LV95" i="61"/>
  <c r="LV31" i="61"/>
  <c r="LV62" i="61"/>
  <c r="LV101" i="61"/>
  <c r="LV37" i="61"/>
  <c r="LV84" i="61"/>
  <c r="LV20" i="61"/>
  <c r="LV59" i="61"/>
  <c r="LV102" i="61"/>
  <c r="LV81" i="61"/>
  <c r="LV17" i="61"/>
  <c r="LV56" i="61"/>
  <c r="LV87" i="61"/>
  <c r="LV23" i="61"/>
  <c r="LV54" i="61"/>
  <c r="LV93" i="61"/>
  <c r="LV29" i="61"/>
  <c r="LV76" i="61"/>
  <c r="LV74" i="61"/>
  <c r="LV51" i="61"/>
  <c r="LR19" i="61"/>
  <c r="LR83" i="61"/>
  <c r="LR52" i="61"/>
  <c r="LR32" i="61"/>
  <c r="LR61" i="61"/>
  <c r="LR96" i="61"/>
  <c r="LR70" i="61"/>
  <c r="LR31" i="61"/>
  <c r="LR95" i="61"/>
  <c r="LR49" i="61"/>
  <c r="LR26" i="61"/>
  <c r="LR98" i="61"/>
  <c r="LV73" i="61"/>
  <c r="LX63" i="61"/>
  <c r="LZ84" i="61"/>
  <c r="LZ97" i="61"/>
  <c r="MB79" i="61"/>
  <c r="MD13" i="61"/>
  <c r="MD66" i="61"/>
  <c r="MF95" i="61"/>
  <c r="MJ79" i="61"/>
  <c r="LR27" i="61"/>
  <c r="LR91" i="61"/>
  <c r="LR60" i="61"/>
  <c r="LR72" i="61"/>
  <c r="LR69" i="61"/>
  <c r="LR14" i="61"/>
  <c r="LR78" i="61"/>
  <c r="LR39" i="61"/>
  <c r="LR16" i="61"/>
  <c r="LR57" i="61"/>
  <c r="LR34" i="61"/>
  <c r="LS4" i="61"/>
  <c r="LX40" i="61"/>
  <c r="LZ45" i="61"/>
  <c r="MB103" i="61"/>
  <c r="MB64" i="61"/>
  <c r="MD77" i="61"/>
  <c r="MF19" i="61"/>
  <c r="MF72" i="61"/>
  <c r="MJ56" i="61"/>
  <c r="LR35" i="61"/>
  <c r="LR99" i="61"/>
  <c r="LR68" i="61"/>
  <c r="LR88" i="61"/>
  <c r="LR77" i="61"/>
  <c r="LR22" i="61"/>
  <c r="LR86" i="61"/>
  <c r="LR47" i="61"/>
  <c r="LR64" i="61"/>
  <c r="LR65" i="61"/>
  <c r="LR42" i="61"/>
  <c r="LR48" i="61"/>
  <c r="LX51" i="61"/>
  <c r="LX17" i="61"/>
  <c r="LZ58" i="61"/>
  <c r="MB67" i="61"/>
  <c r="MB41" i="61"/>
  <c r="MD46" i="61"/>
  <c r="MF83" i="61"/>
  <c r="MF49" i="61"/>
  <c r="MJ67" i="61"/>
  <c r="MJ33" i="61"/>
  <c r="LR43" i="61"/>
  <c r="LR12" i="61"/>
  <c r="LR76" i="61"/>
  <c r="LR21" i="61"/>
  <c r="LR85" i="61"/>
  <c r="LR30" i="61"/>
  <c r="LR94" i="61"/>
  <c r="LR55" i="61"/>
  <c r="LR80" i="61"/>
  <c r="LR73" i="61"/>
  <c r="LR50" i="61"/>
  <c r="LR58" i="61"/>
  <c r="LX20" i="61"/>
  <c r="LX81" i="61"/>
  <c r="LZ70" i="61"/>
  <c r="MB36" i="61"/>
  <c r="MB18" i="61"/>
  <c r="MD23" i="61"/>
  <c r="MF52" i="61"/>
  <c r="MF74" i="61"/>
  <c r="MJ36" i="61"/>
  <c r="MJ97" i="61"/>
  <c r="LR51" i="61"/>
  <c r="LR20" i="61"/>
  <c r="LR84" i="61"/>
  <c r="LR29" i="61"/>
  <c r="LR93" i="61"/>
  <c r="LR38" i="61"/>
  <c r="LR103" i="61"/>
  <c r="LR63" i="61"/>
  <c r="LR17" i="61"/>
  <c r="LR81" i="61"/>
  <c r="LR66" i="61"/>
  <c r="LR13" i="61"/>
  <c r="LX84" i="61"/>
  <c r="LX66" i="61"/>
  <c r="LZ31" i="61"/>
  <c r="MB100" i="61"/>
  <c r="MB82" i="61"/>
  <c r="MD87" i="61"/>
  <c r="MF21" i="61"/>
  <c r="MF50" i="61"/>
  <c r="MJ100" i="61"/>
  <c r="MJ82" i="61"/>
  <c r="LR59" i="61"/>
  <c r="LR28" i="61"/>
  <c r="LR92" i="61"/>
  <c r="LR37" i="61"/>
  <c r="LR101" i="61"/>
  <c r="LR46" i="61"/>
  <c r="LR40" i="61"/>
  <c r="LR71" i="61"/>
  <c r="LR25" i="61"/>
  <c r="LR89" i="61"/>
  <c r="LV79" i="61"/>
  <c r="LX53" i="61"/>
  <c r="LZ102" i="61"/>
  <c r="LZ95" i="61"/>
  <c r="MB69" i="61"/>
  <c r="MD11" i="61"/>
  <c r="MD64" i="61"/>
  <c r="MF85" i="61"/>
  <c r="MJ69" i="61"/>
  <c r="ML26" i="61"/>
  <c r="ML50" i="61"/>
  <c r="ML102" i="61"/>
  <c r="ML103" i="61"/>
  <c r="MJ103" i="61"/>
  <c r="MH103" i="61"/>
  <c r="MJ102" i="61"/>
  <c r="MI102" i="65"/>
  <c r="MH102" i="61"/>
  <c r="ML11" i="65"/>
  <c r="MN11" i="65"/>
  <c r="MK102" i="65"/>
  <c r="MM2" i="65"/>
  <c r="G26" i="63" s="1"/>
  <c r="MO2" i="65"/>
  <c r="G25" i="63" s="1"/>
  <c r="MN19" i="65"/>
  <c r="MN27" i="65"/>
  <c r="MN35" i="65"/>
  <c r="MN43" i="65"/>
  <c r="MN51" i="65"/>
  <c r="MN59" i="65"/>
  <c r="MN67" i="65"/>
  <c r="MN75" i="65"/>
  <c r="MN83" i="65"/>
  <c r="MN91" i="65"/>
  <c r="MN99" i="65"/>
  <c r="MN48" i="65"/>
  <c r="MN82" i="65"/>
  <c r="MN12" i="65"/>
  <c r="MN20" i="65"/>
  <c r="MN28" i="65"/>
  <c r="MN36" i="65"/>
  <c r="MN44" i="65"/>
  <c r="MN52" i="65"/>
  <c r="MN60" i="65"/>
  <c r="MN68" i="65"/>
  <c r="MN76" i="65"/>
  <c r="MN84" i="65"/>
  <c r="MN92" i="65"/>
  <c r="MN100" i="65"/>
  <c r="MN40" i="65"/>
  <c r="MN80" i="65"/>
  <c r="MN74" i="65"/>
  <c r="MN13" i="65"/>
  <c r="MN21" i="65"/>
  <c r="MN29" i="65"/>
  <c r="MN37" i="65"/>
  <c r="MN45" i="65"/>
  <c r="MN53" i="65"/>
  <c r="MN61" i="65"/>
  <c r="MN69" i="65"/>
  <c r="MN77" i="65"/>
  <c r="MN85" i="65"/>
  <c r="MN93" i="65"/>
  <c r="MN101" i="65"/>
  <c r="MN24" i="65"/>
  <c r="MN72" i="65"/>
  <c r="MN90" i="65"/>
  <c r="MN14" i="65"/>
  <c r="MN22" i="65"/>
  <c r="MN30" i="65"/>
  <c r="MN38" i="65"/>
  <c r="MN46" i="65"/>
  <c r="MN54" i="65"/>
  <c r="MN62" i="65"/>
  <c r="MN70" i="65"/>
  <c r="MN78" i="65"/>
  <c r="MN86" i="65"/>
  <c r="MN94" i="65"/>
  <c r="MN102" i="65"/>
  <c r="MN16" i="65"/>
  <c r="MN56" i="65"/>
  <c r="MN96" i="65"/>
  <c r="MN58" i="65"/>
  <c r="MN15" i="65"/>
  <c r="MN23" i="65"/>
  <c r="MN31" i="65"/>
  <c r="MN39" i="65"/>
  <c r="MN47" i="65"/>
  <c r="MN55" i="65"/>
  <c r="MN63" i="65"/>
  <c r="MN71" i="65"/>
  <c r="MN79" i="65"/>
  <c r="MN87" i="65"/>
  <c r="MN95" i="65"/>
  <c r="MN32" i="65"/>
  <c r="MN64" i="65"/>
  <c r="MN88" i="65"/>
  <c r="MN66" i="65"/>
  <c r="MN17" i="65"/>
  <c r="MN25" i="65"/>
  <c r="MN33" i="65"/>
  <c r="MN41" i="65"/>
  <c r="MN49" i="65"/>
  <c r="MN57" i="65"/>
  <c r="MN65" i="65"/>
  <c r="MN73" i="65"/>
  <c r="MN81" i="65"/>
  <c r="MN89" i="65"/>
  <c r="MN97" i="65"/>
  <c r="MN18" i="65"/>
  <c r="MN26" i="65"/>
  <c r="MN34" i="65"/>
  <c r="MN42" i="65"/>
  <c r="MN50" i="65"/>
  <c r="MN98" i="65"/>
  <c r="ML102" i="65"/>
  <c r="ML101" i="65"/>
  <c r="MO4" i="65"/>
  <c r="ML91" i="65"/>
  <c r="ML78" i="65"/>
  <c r="ML47" i="65"/>
  <c r="ML16" i="65"/>
  <c r="ML80" i="65"/>
  <c r="ML49" i="65"/>
  <c r="ML68" i="65"/>
  <c r="ML99" i="65"/>
  <c r="ML51" i="65"/>
  <c r="ML45" i="65"/>
  <c r="ML74" i="65"/>
  <c r="ML14" i="65"/>
  <c r="ML12" i="65"/>
  <c r="ML76" i="65"/>
  <c r="ML53" i="65"/>
  <c r="ML22" i="65"/>
  <c r="ML86" i="65"/>
  <c r="ML55" i="65"/>
  <c r="ML24" i="65"/>
  <c r="ML88" i="65"/>
  <c r="ML57" i="65"/>
  <c r="ML18" i="65"/>
  <c r="ML82" i="65"/>
  <c r="ML100" i="65"/>
  <c r="ML20" i="65"/>
  <c r="ML84" i="65"/>
  <c r="ML61" i="65"/>
  <c r="ML30" i="65"/>
  <c r="ML94" i="65"/>
  <c r="ML63" i="65"/>
  <c r="ML32" i="65"/>
  <c r="ML96" i="65"/>
  <c r="ML65" i="65"/>
  <c r="ML26" i="65"/>
  <c r="ML90" i="65"/>
  <c r="MM4" i="65"/>
  <c r="ML28" i="65"/>
  <c r="ML92" i="65"/>
  <c r="ML69" i="65"/>
  <c r="ML38" i="65"/>
  <c r="ML83" i="65"/>
  <c r="ML71" i="65"/>
  <c r="ML40" i="65"/>
  <c r="ML35" i="65"/>
  <c r="ML73" i="65"/>
  <c r="ML34" i="65"/>
  <c r="ML98" i="65"/>
  <c r="ML36" i="65"/>
  <c r="ML13" i="65"/>
  <c r="ML77" i="65"/>
  <c r="ML46" i="65"/>
  <c r="ML15" i="65"/>
  <c r="ML79" i="65"/>
  <c r="ML48" i="65"/>
  <c r="ML17" i="65"/>
  <c r="ML81" i="65"/>
  <c r="ML42" i="65"/>
  <c r="ML75" i="65"/>
  <c r="ML44" i="65"/>
  <c r="ML21" i="65"/>
  <c r="ML85" i="65"/>
  <c r="ML54" i="65"/>
  <c r="ML23" i="65"/>
  <c r="ML87" i="65"/>
  <c r="ML56" i="65"/>
  <c r="ML25" i="65"/>
  <c r="ML89" i="65"/>
  <c r="ML50" i="65"/>
  <c r="ML19" i="65"/>
  <c r="ML52" i="65"/>
  <c r="ML29" i="65"/>
  <c r="ML93" i="65"/>
  <c r="ML62" i="65"/>
  <c r="ML31" i="65"/>
  <c r="ML95" i="65"/>
  <c r="ML64" i="65"/>
  <c r="ML33" i="65"/>
  <c r="ML97" i="65"/>
  <c r="ML58" i="65"/>
  <c r="ML27" i="65"/>
  <c r="ML60" i="65"/>
  <c r="ML37" i="65"/>
  <c r="ML67" i="65"/>
  <c r="ML70" i="65"/>
  <c r="ML39" i="65"/>
  <c r="ML59" i="65"/>
  <c r="ML72" i="65"/>
  <c r="ML41" i="65"/>
  <c r="ML43" i="65"/>
  <c r="ML66" i="65"/>
  <c r="MK83" i="65"/>
  <c r="MK19" i="65"/>
  <c r="MK75" i="65"/>
  <c r="MK12" i="65"/>
  <c r="MK67" i="65"/>
  <c r="MK99" i="65"/>
  <c r="MK51" i="65"/>
  <c r="MK35" i="65"/>
  <c r="MK27" i="65"/>
  <c r="MK98" i="65"/>
  <c r="MK90" i="65"/>
  <c r="MK82" i="65"/>
  <c r="MK74" i="65"/>
  <c r="MK66" i="65"/>
  <c r="MK58" i="65"/>
  <c r="MK50" i="65"/>
  <c r="MK42" i="65"/>
  <c r="MK34" i="65"/>
  <c r="MK26" i="65"/>
  <c r="MK18" i="65"/>
  <c r="MK91" i="65"/>
  <c r="MK59" i="65"/>
  <c r="MK43" i="65"/>
  <c r="MK97" i="65"/>
  <c r="MK89" i="65"/>
  <c r="MK81" i="65"/>
  <c r="MK73" i="65"/>
  <c r="MK65" i="65"/>
  <c r="MK57" i="65"/>
  <c r="MK49" i="65"/>
  <c r="MK41" i="65"/>
  <c r="MK33" i="65"/>
  <c r="MK25" i="65"/>
  <c r="MK17" i="65"/>
  <c r="MK96" i="65"/>
  <c r="MK88" i="65"/>
  <c r="MK80" i="65"/>
  <c r="MK72" i="65"/>
  <c r="MK64" i="65"/>
  <c r="MK56" i="65"/>
  <c r="MK48" i="65"/>
  <c r="MK40" i="65"/>
  <c r="MK32" i="65"/>
  <c r="MK24" i="65"/>
  <c r="MK16" i="65"/>
  <c r="MK6" i="65"/>
  <c r="MK95" i="65"/>
  <c r="MK87" i="65"/>
  <c r="MK79" i="65"/>
  <c r="MK71" i="65"/>
  <c r="MK63" i="65"/>
  <c r="MK55" i="65"/>
  <c r="MK47" i="65"/>
  <c r="MK39" i="65"/>
  <c r="MK31" i="65"/>
  <c r="MK23" i="65"/>
  <c r="MK15" i="65"/>
  <c r="MK101" i="65"/>
  <c r="MK94" i="65"/>
  <c r="MK86" i="65"/>
  <c r="MK78" i="65"/>
  <c r="MK70" i="65"/>
  <c r="MK62" i="65"/>
  <c r="MK54" i="65"/>
  <c r="MK46" i="65"/>
  <c r="MK38" i="65"/>
  <c r="MK30" i="65"/>
  <c r="MK22" i="65"/>
  <c r="MK14" i="65"/>
  <c r="MK100" i="65"/>
  <c r="MK93" i="65"/>
  <c r="MK85" i="65"/>
  <c r="MK77" i="65"/>
  <c r="MK69" i="65"/>
  <c r="MK61" i="65"/>
  <c r="MK53" i="65"/>
  <c r="MK45" i="65"/>
  <c r="MK37" i="65"/>
  <c r="MK29" i="65"/>
  <c r="MK21" i="65"/>
  <c r="MK13" i="65"/>
  <c r="MK11" i="65"/>
  <c r="MK92" i="65"/>
  <c r="MK84" i="65"/>
  <c r="MK76" i="65"/>
  <c r="MK68" i="65"/>
  <c r="MK60" i="65"/>
  <c r="MK52" i="65"/>
  <c r="MK44" i="65"/>
  <c r="MK36" i="65"/>
  <c r="MK28" i="65"/>
  <c r="MK20" i="65"/>
  <c r="MI24" i="65"/>
  <c r="MA6" i="65"/>
  <c r="MI80" i="65"/>
  <c r="MI48" i="65"/>
  <c r="MI95" i="65"/>
  <c r="MI87" i="65"/>
  <c r="MI79" i="65"/>
  <c r="MI71" i="65"/>
  <c r="MI63" i="65"/>
  <c r="MI55" i="65"/>
  <c r="MI47" i="65"/>
  <c r="MI39" i="65"/>
  <c r="MI31" i="65"/>
  <c r="MI23" i="65"/>
  <c r="MI15" i="65"/>
  <c r="MI6" i="65"/>
  <c r="MI94" i="65"/>
  <c r="MI86" i="65"/>
  <c r="MI78" i="65"/>
  <c r="MI70" i="65"/>
  <c r="MI62" i="65"/>
  <c r="MI54" i="65"/>
  <c r="MI46" i="65"/>
  <c r="MI38" i="65"/>
  <c r="MI30" i="65"/>
  <c r="MI22" i="65"/>
  <c r="MI14" i="65"/>
  <c r="MI72" i="65"/>
  <c r="MI40" i="65"/>
  <c r="MI16" i="65"/>
  <c r="MI100" i="65"/>
  <c r="MI93" i="65"/>
  <c r="MI85" i="65"/>
  <c r="MI77" i="65"/>
  <c r="MI69" i="65"/>
  <c r="MI61" i="65"/>
  <c r="MI53" i="65"/>
  <c r="MI45" i="65"/>
  <c r="MI37" i="65"/>
  <c r="MI29" i="65"/>
  <c r="MI21" i="65"/>
  <c r="MI13" i="65"/>
  <c r="MI96" i="65"/>
  <c r="MI56" i="65"/>
  <c r="MI32" i="65"/>
  <c r="MI11" i="65"/>
  <c r="MI92" i="65"/>
  <c r="MI84" i="65"/>
  <c r="MI76" i="65"/>
  <c r="MI68" i="65"/>
  <c r="MI60" i="65"/>
  <c r="MI52" i="65"/>
  <c r="MI44" i="65"/>
  <c r="MI36" i="65"/>
  <c r="MI28" i="65"/>
  <c r="MI20" i="65"/>
  <c r="MI12" i="65"/>
  <c r="MI88" i="65"/>
  <c r="MI64" i="65"/>
  <c r="MI99" i="65"/>
  <c r="MI91" i="65"/>
  <c r="MI83" i="65"/>
  <c r="MI75" i="65"/>
  <c r="MI67" i="65"/>
  <c r="MI59" i="65"/>
  <c r="MI51" i="65"/>
  <c r="MI43" i="65"/>
  <c r="MI35" i="65"/>
  <c r="MI27" i="65"/>
  <c r="MI19" i="65"/>
  <c r="MI101" i="65"/>
  <c r="MI98" i="65"/>
  <c r="MI90" i="65"/>
  <c r="MI82" i="65"/>
  <c r="MI74" i="65"/>
  <c r="MI66" i="65"/>
  <c r="MI58" i="65"/>
  <c r="MI50" i="65"/>
  <c r="MI42" i="65"/>
  <c r="MI34" i="65"/>
  <c r="MI26" i="65"/>
  <c r="MI18" i="65"/>
  <c r="MI97" i="65"/>
  <c r="MI89" i="65"/>
  <c r="MI81" i="65"/>
  <c r="MI73" i="65"/>
  <c r="MI65" i="65"/>
  <c r="MI57" i="65"/>
  <c r="MI49" i="65"/>
  <c r="MI41" i="65"/>
  <c r="MI33" i="65"/>
  <c r="MI25" i="65"/>
  <c r="MI17" i="65"/>
  <c r="CH98" i="4"/>
  <c r="CH99" i="4"/>
  <c r="CH100" i="4"/>
  <c r="CH101" i="4"/>
  <c r="MK7" i="65"/>
  <c r="MO7" i="61"/>
  <c r="MI7" i="65"/>
  <c r="L10" i="70" l="1"/>
  <c r="J11" i="70"/>
  <c r="W11" i="63"/>
  <c r="V11" i="63"/>
  <c r="T12" i="63"/>
  <c r="MJ105" i="65"/>
  <c r="MJ106" i="65"/>
  <c r="MH105" i="65"/>
  <c r="MH106" i="65"/>
  <c r="M39" i="63"/>
  <c r="MU1" i="61"/>
  <c r="MJ104" i="65"/>
  <c r="MJ103" i="65"/>
  <c r="MH103" i="65"/>
  <c r="MH104" i="65"/>
  <c r="MH11" i="65"/>
  <c r="MJ11" i="65"/>
  <c r="MH102" i="65"/>
  <c r="MJ102" i="65"/>
  <c r="MJ36" i="65"/>
  <c r="MJ43" i="65"/>
  <c r="MJ101" i="65"/>
  <c r="MJ13" i="65"/>
  <c r="MJ77" i="65"/>
  <c r="MJ62" i="65"/>
  <c r="MJ47" i="65"/>
  <c r="MJ44" i="65"/>
  <c r="MJ21" i="65"/>
  <c r="MJ85" i="65"/>
  <c r="MJ70" i="65"/>
  <c r="MJ79" i="65"/>
  <c r="MJ52" i="65"/>
  <c r="MJ29" i="65"/>
  <c r="MJ93" i="65"/>
  <c r="MJ78" i="65"/>
  <c r="MJ95" i="65"/>
  <c r="MJ60" i="65"/>
  <c r="MJ37" i="65"/>
  <c r="MJ14" i="65"/>
  <c r="MJ86" i="65"/>
  <c r="MJ16" i="65"/>
  <c r="MJ68" i="65"/>
  <c r="MJ45" i="65"/>
  <c r="MJ22" i="65"/>
  <c r="MJ15" i="65"/>
  <c r="MJ48" i="65"/>
  <c r="MJ42" i="65"/>
  <c r="MJ12" i="65"/>
  <c r="MJ76" i="65"/>
  <c r="MJ53" i="65"/>
  <c r="MJ38" i="65"/>
  <c r="MJ23" i="65"/>
  <c r="MJ72" i="65"/>
  <c r="MJ20" i="65"/>
  <c r="MJ84" i="65"/>
  <c r="MJ61" i="65"/>
  <c r="MJ46" i="65"/>
  <c r="MJ31" i="65"/>
  <c r="MJ28" i="65"/>
  <c r="MJ92" i="65"/>
  <c r="MJ69" i="65"/>
  <c r="MJ54" i="65"/>
  <c r="MJ39" i="65"/>
  <c r="MJ64" i="65"/>
  <c r="MJ80" i="65"/>
  <c r="MJ35" i="65"/>
  <c r="MJ25" i="65"/>
  <c r="MJ51" i="65"/>
  <c r="MJ41" i="65"/>
  <c r="MJ73" i="65"/>
  <c r="MJ89" i="65"/>
  <c r="MJ27" i="65"/>
  <c r="MJ26" i="65"/>
  <c r="MJ66" i="65"/>
  <c r="MJ87" i="65"/>
  <c r="MJ56" i="65"/>
  <c r="MJ99" i="65"/>
  <c r="MJ81" i="65"/>
  <c r="MJ34" i="65"/>
  <c r="MJ33" i="65"/>
  <c r="MJ97" i="65"/>
  <c r="MJ58" i="65"/>
  <c r="MJ55" i="65"/>
  <c r="MJ24" i="65"/>
  <c r="MJ88" i="65"/>
  <c r="MJ49" i="65"/>
  <c r="MJ59" i="65"/>
  <c r="MJ74" i="65"/>
  <c r="MJ30" i="65"/>
  <c r="MJ94" i="65"/>
  <c r="MJ63" i="65"/>
  <c r="MJ32" i="65"/>
  <c r="MJ96" i="65"/>
  <c r="MJ57" i="65"/>
  <c r="MJ83" i="65"/>
  <c r="MJ90" i="65"/>
  <c r="MJ75" i="65"/>
  <c r="MJ71" i="65"/>
  <c r="MJ40" i="65"/>
  <c r="MJ65" i="65"/>
  <c r="MJ18" i="65"/>
  <c r="MJ19" i="65"/>
  <c r="MJ82" i="65"/>
  <c r="MK4" i="65"/>
  <c r="MJ17" i="65"/>
  <c r="MJ50" i="65"/>
  <c r="MJ98" i="65"/>
  <c r="MJ67" i="65"/>
  <c r="MJ91" i="65"/>
  <c r="MJ100" i="65"/>
  <c r="MH32" i="65"/>
  <c r="MH67" i="65"/>
  <c r="MH36" i="65"/>
  <c r="MH54" i="65"/>
  <c r="MH77" i="65"/>
  <c r="MH13" i="65"/>
  <c r="MH55" i="65"/>
  <c r="MI4" i="65"/>
  <c r="MH75" i="65"/>
  <c r="MH44" i="65"/>
  <c r="MH21" i="65"/>
  <c r="MH85" i="65"/>
  <c r="MH62" i="65"/>
  <c r="MH40" i="65"/>
  <c r="MH17" i="65"/>
  <c r="MH81" i="65"/>
  <c r="MH58" i="65"/>
  <c r="MH23" i="65"/>
  <c r="MH71" i="65"/>
  <c r="MH73" i="65"/>
  <c r="MH63" i="65"/>
  <c r="MH52" i="65"/>
  <c r="MH70" i="65"/>
  <c r="MH66" i="65"/>
  <c r="MH87" i="65"/>
  <c r="MH27" i="65"/>
  <c r="MH91" i="65"/>
  <c r="MH60" i="65"/>
  <c r="MH37" i="65"/>
  <c r="MH14" i="65"/>
  <c r="MH78" i="65"/>
  <c r="MH56" i="65"/>
  <c r="MH33" i="65"/>
  <c r="MH97" i="65"/>
  <c r="MH74" i="65"/>
  <c r="MH31" i="65"/>
  <c r="MH101" i="65"/>
  <c r="MH96" i="65"/>
  <c r="MH79" i="65"/>
  <c r="MH19" i="65"/>
  <c r="MH93" i="65"/>
  <c r="MH35" i="65"/>
  <c r="MH99" i="65"/>
  <c r="MH68" i="65"/>
  <c r="MH45" i="65"/>
  <c r="MH22" i="65"/>
  <c r="MH86" i="65"/>
  <c r="MH64" i="65"/>
  <c r="MH41" i="65"/>
  <c r="MH18" i="65"/>
  <c r="MH82" i="65"/>
  <c r="MH95" i="65"/>
  <c r="MH29" i="65"/>
  <c r="MH25" i="65"/>
  <c r="MH43" i="65"/>
  <c r="MH12" i="65"/>
  <c r="MH76" i="65"/>
  <c r="MH53" i="65"/>
  <c r="MH30" i="65"/>
  <c r="MH94" i="65"/>
  <c r="MH72" i="65"/>
  <c r="MH49" i="65"/>
  <c r="MH26" i="65"/>
  <c r="MH90" i="65"/>
  <c r="MH39" i="65"/>
  <c r="MH83" i="65"/>
  <c r="MH48" i="65"/>
  <c r="MH89" i="65"/>
  <c r="MH100" i="65"/>
  <c r="MH51" i="65"/>
  <c r="MH20" i="65"/>
  <c r="MH84" i="65"/>
  <c r="MH61" i="65"/>
  <c r="MH38" i="65"/>
  <c r="MH16" i="65"/>
  <c r="MH80" i="65"/>
  <c r="MH57" i="65"/>
  <c r="MH34" i="65"/>
  <c r="MH98" i="65"/>
  <c r="MH47" i="65"/>
  <c r="MH50" i="65"/>
  <c r="MH59" i="65"/>
  <c r="MH28" i="65"/>
  <c r="MH92" i="65"/>
  <c r="MH69" i="65"/>
  <c r="MH46" i="65"/>
  <c r="MH24" i="65"/>
  <c r="MH88" i="65"/>
  <c r="MH65" i="65"/>
  <c r="MH42" i="65"/>
  <c r="MH15" i="65"/>
  <c r="MF4" i="61"/>
  <c r="MH3" i="61"/>
  <c r="J12" i="70" l="1"/>
  <c r="L11" i="70"/>
  <c r="W12" i="63"/>
  <c r="V12" i="63"/>
  <c r="T13" i="63"/>
  <c r="AI101" i="4"/>
  <c r="AQ101" i="4"/>
  <c r="DX24" i="4"/>
  <c r="EW24" i="4"/>
  <c r="EX24" i="4"/>
  <c r="MG8" i="65"/>
  <c r="T9" i="21"/>
  <c r="ME8" i="65"/>
  <c r="MC8" i="65"/>
  <c r="MA8" i="65"/>
  <c r="LY8" i="65"/>
  <c r="LW8" i="65"/>
  <c r="LU8" i="65"/>
  <c r="LS8" i="65"/>
  <c r="LQ8" i="65"/>
  <c r="B101" i="4"/>
  <c r="B102" i="4" s="1"/>
  <c r="B103" i="4" s="1"/>
  <c r="B104" i="4" s="1"/>
  <c r="B105" i="4" s="1"/>
  <c r="B106" i="4" s="1"/>
  <c r="B107" i="4" s="1"/>
  <c r="B108" i="4" s="1"/>
  <c r="B109" i="4" s="1"/>
  <c r="B110" i="4" s="1"/>
  <c r="B111" i="4" s="1"/>
  <c r="B112" i="4" s="1"/>
  <c r="B113" i="4" s="1"/>
  <c r="B114" i="4" s="1"/>
  <c r="B115" i="4" s="1"/>
  <c r="B116" i="4" s="1"/>
  <c r="L12" i="70" l="1"/>
  <c r="J13" i="70"/>
  <c r="W13" i="63"/>
  <c r="V13" i="63"/>
  <c r="T14" i="63"/>
  <c r="LS105" i="65"/>
  <c r="LS106" i="65"/>
  <c r="ME105" i="65"/>
  <c r="ME106" i="65"/>
  <c r="LU105" i="65"/>
  <c r="LU106" i="65"/>
  <c r="LY105" i="65"/>
  <c r="LY106" i="65"/>
  <c r="LQ105" i="65"/>
  <c r="LQ106" i="65"/>
  <c r="LW106" i="65"/>
  <c r="LW105" i="65"/>
  <c r="MA105" i="65"/>
  <c r="MA106" i="65"/>
  <c r="MG105" i="65"/>
  <c r="MG106" i="65"/>
  <c r="MC106" i="65"/>
  <c r="MC105" i="65"/>
  <c r="LQ103" i="65"/>
  <c r="LQ104" i="65"/>
  <c r="LU104" i="65"/>
  <c r="LU103" i="65"/>
  <c r="LW103" i="65"/>
  <c r="LW104" i="65"/>
  <c r="LS104" i="65"/>
  <c r="LS103" i="65"/>
  <c r="ME104" i="65"/>
  <c r="ME103" i="65"/>
  <c r="MG103" i="65"/>
  <c r="MG104" i="65"/>
  <c r="LY103" i="65"/>
  <c r="LY104" i="65"/>
  <c r="MA104" i="65"/>
  <c r="MA103" i="65"/>
  <c r="MC104" i="65"/>
  <c r="MC103" i="65"/>
  <c r="LQ102" i="65"/>
  <c r="MG102" i="65"/>
  <c r="LS102" i="65"/>
  <c r="LW102" i="65"/>
  <c r="LY102" i="65"/>
  <c r="LU102" i="65"/>
  <c r="MA102" i="65"/>
  <c r="MC102" i="65"/>
  <c r="ME102" i="65"/>
  <c r="MG101" i="65"/>
  <c r="LU101" i="65"/>
  <c r="LW101" i="65"/>
  <c r="LS101" i="65"/>
  <c r="LY101" i="65"/>
  <c r="LQ33" i="65"/>
  <c r="LQ97" i="65"/>
  <c r="LQ42" i="65"/>
  <c r="LQ27" i="65"/>
  <c r="LQ91" i="65"/>
  <c r="LQ68" i="65"/>
  <c r="LQ48" i="65"/>
  <c r="LQ45" i="65"/>
  <c r="LQ22" i="65"/>
  <c r="LQ86" i="65"/>
  <c r="LQ71" i="65"/>
  <c r="LQ32" i="65"/>
  <c r="LQ41" i="65"/>
  <c r="LQ50" i="65"/>
  <c r="LQ35" i="65"/>
  <c r="LQ99" i="65"/>
  <c r="LQ12" i="65"/>
  <c r="LQ76" i="65"/>
  <c r="LQ96" i="65"/>
  <c r="LQ53" i="65"/>
  <c r="LQ30" i="65"/>
  <c r="LQ94" i="65"/>
  <c r="LQ15" i="65"/>
  <c r="LQ79" i="65"/>
  <c r="LQ80" i="65"/>
  <c r="LQ49" i="65"/>
  <c r="LQ58" i="65"/>
  <c r="LQ43" i="65"/>
  <c r="LQ20" i="65"/>
  <c r="LQ84" i="65"/>
  <c r="LQ61" i="65"/>
  <c r="LQ38" i="65"/>
  <c r="LQ23" i="65"/>
  <c r="LQ87" i="65"/>
  <c r="LQ57" i="65"/>
  <c r="LQ66" i="65"/>
  <c r="LQ56" i="65"/>
  <c r="LQ51" i="65"/>
  <c r="LQ28" i="65"/>
  <c r="LQ92" i="65"/>
  <c r="LQ69" i="65"/>
  <c r="LQ16" i="65"/>
  <c r="LQ46" i="65"/>
  <c r="LQ31" i="65"/>
  <c r="LQ95" i="65"/>
  <c r="LQ65" i="65"/>
  <c r="LQ74" i="65"/>
  <c r="LQ59" i="65"/>
  <c r="LQ36" i="65"/>
  <c r="LQ100" i="65"/>
  <c r="LQ13" i="65"/>
  <c r="LQ77" i="65"/>
  <c r="LQ64" i="65"/>
  <c r="LQ54" i="65"/>
  <c r="LQ39" i="65"/>
  <c r="LQ73" i="65"/>
  <c r="LQ18" i="65"/>
  <c r="LQ82" i="65"/>
  <c r="LQ67" i="65"/>
  <c r="LQ24" i="65"/>
  <c r="LQ44" i="65"/>
  <c r="LQ21" i="65"/>
  <c r="LQ85" i="65"/>
  <c r="LQ62" i="65"/>
  <c r="LQ47" i="65"/>
  <c r="LQ17" i="65"/>
  <c r="LQ81" i="65"/>
  <c r="LQ26" i="65"/>
  <c r="LQ90" i="65"/>
  <c r="LQ11" i="65"/>
  <c r="LQ75" i="65"/>
  <c r="LQ72" i="65"/>
  <c r="LQ52" i="65"/>
  <c r="LQ29" i="65"/>
  <c r="LQ93" i="65"/>
  <c r="LQ70" i="65"/>
  <c r="LQ40" i="65"/>
  <c r="LQ55" i="65"/>
  <c r="LQ25" i="65"/>
  <c r="LQ89" i="65"/>
  <c r="LQ34" i="65"/>
  <c r="LQ98" i="65"/>
  <c r="LQ19" i="65"/>
  <c r="LQ83" i="65"/>
  <c r="LQ60" i="65"/>
  <c r="LQ37" i="65"/>
  <c r="LQ101" i="65"/>
  <c r="LQ14" i="65"/>
  <c r="LQ78" i="65"/>
  <c r="LQ88" i="65"/>
  <c r="LQ63" i="65"/>
  <c r="MA101" i="65"/>
  <c r="MC101" i="65"/>
  <c r="ME101" i="65"/>
  <c r="LU100" i="65"/>
  <c r="LU99" i="65"/>
  <c r="LW99" i="65"/>
  <c r="LW100" i="65"/>
  <c r="LS15" i="65"/>
  <c r="LS100" i="65"/>
  <c r="LS99" i="65"/>
  <c r="LY99" i="65"/>
  <c r="LY100" i="65"/>
  <c r="MA100" i="65"/>
  <c r="MA99" i="65"/>
  <c r="MG99" i="65"/>
  <c r="MG100" i="65"/>
  <c r="MC99" i="65"/>
  <c r="MC100" i="65"/>
  <c r="ME99" i="65"/>
  <c r="ME100" i="65"/>
  <c r="LY6" i="65"/>
  <c r="MG15" i="65"/>
  <c r="LU96" i="65"/>
  <c r="MG98" i="65"/>
  <c r="MG34" i="65"/>
  <c r="ME6" i="65"/>
  <c r="LS6" i="65"/>
  <c r="MG94" i="65"/>
  <c r="MG86" i="65"/>
  <c r="MG78" i="65"/>
  <c r="MG70" i="65"/>
  <c r="MG62" i="65"/>
  <c r="MG54" i="65"/>
  <c r="MG46" i="65"/>
  <c r="MG38" i="65"/>
  <c r="MG30" i="65"/>
  <c r="MG22" i="65"/>
  <c r="MG14" i="65"/>
  <c r="LS94" i="65"/>
  <c r="LS86" i="65"/>
  <c r="LS78" i="65"/>
  <c r="LS70" i="65"/>
  <c r="LS62" i="65"/>
  <c r="LS54" i="65"/>
  <c r="LS46" i="65"/>
  <c r="LS38" i="65"/>
  <c r="LS30" i="65"/>
  <c r="LS22" i="65"/>
  <c r="LS14" i="65"/>
  <c r="LU6" i="65"/>
  <c r="MG93" i="65"/>
  <c r="MG85" i="65"/>
  <c r="MG77" i="65"/>
  <c r="MG69" i="65"/>
  <c r="MG61" i="65"/>
  <c r="MG53" i="65"/>
  <c r="MG45" i="65"/>
  <c r="MG37" i="65"/>
  <c r="MG29" i="65"/>
  <c r="MG21" i="65"/>
  <c r="MG13" i="65"/>
  <c r="LS93" i="65"/>
  <c r="LS85" i="65"/>
  <c r="LS77" i="65"/>
  <c r="LS69" i="65"/>
  <c r="LS61" i="65"/>
  <c r="LS53" i="65"/>
  <c r="LS45" i="65"/>
  <c r="LS37" i="65"/>
  <c r="LS29" i="65"/>
  <c r="LS21" i="65"/>
  <c r="LS13" i="65"/>
  <c r="LW6" i="65"/>
  <c r="MG92" i="65"/>
  <c r="MG84" i="65"/>
  <c r="MG76" i="65"/>
  <c r="MG68" i="65"/>
  <c r="MG60" i="65"/>
  <c r="MG52" i="65"/>
  <c r="MG44" i="65"/>
  <c r="MG36" i="65"/>
  <c r="MG28" i="65"/>
  <c r="MG20" i="65"/>
  <c r="MG12" i="65"/>
  <c r="LS92" i="65"/>
  <c r="LS84" i="65"/>
  <c r="LS76" i="65"/>
  <c r="LS68" i="65"/>
  <c r="LS60" i="65"/>
  <c r="LS52" i="65"/>
  <c r="LS44" i="65"/>
  <c r="LS36" i="65"/>
  <c r="LS28" i="65"/>
  <c r="LS20" i="65"/>
  <c r="LS12" i="65"/>
  <c r="MG91" i="65"/>
  <c r="MG83" i="65"/>
  <c r="MG75" i="65"/>
  <c r="MG67" i="65"/>
  <c r="MG59" i="65"/>
  <c r="MG51" i="65"/>
  <c r="MG43" i="65"/>
  <c r="MG35" i="65"/>
  <c r="MG27" i="65"/>
  <c r="MG19" i="65"/>
  <c r="MG11" i="65"/>
  <c r="LS91" i="65"/>
  <c r="LS83" i="65"/>
  <c r="LS75" i="65"/>
  <c r="LS67" i="65"/>
  <c r="LS59" i="65"/>
  <c r="LS51" i="65"/>
  <c r="LS43" i="65"/>
  <c r="LS35" i="65"/>
  <c r="LS27" i="65"/>
  <c r="LS19" i="65"/>
  <c r="LS11" i="65"/>
  <c r="MG90" i="65"/>
  <c r="MG74" i="65"/>
  <c r="MG50" i="65"/>
  <c r="MG18" i="65"/>
  <c r="LS98" i="65"/>
  <c r="LS90" i="65"/>
  <c r="LS82" i="65"/>
  <c r="LS74" i="65"/>
  <c r="LS66" i="65"/>
  <c r="LS58" i="65"/>
  <c r="LS50" i="65"/>
  <c r="LS42" i="65"/>
  <c r="LS34" i="65"/>
  <c r="LS26" i="65"/>
  <c r="LS18" i="65"/>
  <c r="ME15" i="65"/>
  <c r="MG82" i="65"/>
  <c r="MG58" i="65"/>
  <c r="MG42" i="65"/>
  <c r="MG26" i="65"/>
  <c r="MG97" i="65"/>
  <c r="MG89" i="65"/>
  <c r="MG81" i="65"/>
  <c r="MG73" i="65"/>
  <c r="MG65" i="65"/>
  <c r="MG57" i="65"/>
  <c r="MG49" i="65"/>
  <c r="MG41" i="65"/>
  <c r="MG33" i="65"/>
  <c r="MG25" i="65"/>
  <c r="MG17" i="65"/>
  <c r="LS97" i="65"/>
  <c r="LS89" i="65"/>
  <c r="LS81" i="65"/>
  <c r="LS73" i="65"/>
  <c r="LS65" i="65"/>
  <c r="LS57" i="65"/>
  <c r="LS49" i="65"/>
  <c r="LS41" i="65"/>
  <c r="LS33" i="65"/>
  <c r="LS25" i="65"/>
  <c r="LS17" i="65"/>
  <c r="MG66" i="65"/>
  <c r="MG96" i="65"/>
  <c r="MG88" i="65"/>
  <c r="MG80" i="65"/>
  <c r="MG72" i="65"/>
  <c r="MG64" i="65"/>
  <c r="MG56" i="65"/>
  <c r="MG48" i="65"/>
  <c r="MG40" i="65"/>
  <c r="MG32" i="65"/>
  <c r="MG24" i="65"/>
  <c r="MG16" i="65"/>
  <c r="LS96" i="65"/>
  <c r="LS88" i="65"/>
  <c r="LS80" i="65"/>
  <c r="LS72" i="65"/>
  <c r="LS64" i="65"/>
  <c r="LS56" i="65"/>
  <c r="LS48" i="65"/>
  <c r="LS40" i="65"/>
  <c r="LS32" i="65"/>
  <c r="LS24" i="65"/>
  <c r="LS16" i="65"/>
  <c r="LQ6" i="65"/>
  <c r="MG95" i="65"/>
  <c r="MG87" i="65"/>
  <c r="MG79" i="65"/>
  <c r="MG71" i="65"/>
  <c r="MG63" i="65"/>
  <c r="MG55" i="65"/>
  <c r="MG47" i="65"/>
  <c r="MG39" i="65"/>
  <c r="MG31" i="65"/>
  <c r="MG23" i="65"/>
  <c r="LS95" i="65"/>
  <c r="LS87" i="65"/>
  <c r="LS79" i="65"/>
  <c r="LS71" i="65"/>
  <c r="LS63" i="65"/>
  <c r="LS55" i="65"/>
  <c r="LS47" i="65"/>
  <c r="LS39" i="65"/>
  <c r="LS31" i="65"/>
  <c r="LS23" i="65"/>
  <c r="LU56" i="65"/>
  <c r="LW88" i="65"/>
  <c r="LW40" i="65"/>
  <c r="LY72" i="65"/>
  <c r="LY16" i="65"/>
  <c r="MA39" i="65"/>
  <c r="MC71" i="65"/>
  <c r="MC15" i="65"/>
  <c r="ME55" i="65"/>
  <c r="LU95" i="65"/>
  <c r="LU87" i="65"/>
  <c r="LU79" i="65"/>
  <c r="LU71" i="65"/>
  <c r="LU63" i="65"/>
  <c r="LU55" i="65"/>
  <c r="LU47" i="65"/>
  <c r="LU39" i="65"/>
  <c r="LU31" i="65"/>
  <c r="LU23" i="65"/>
  <c r="LU15" i="65"/>
  <c r="LW95" i="65"/>
  <c r="LW87" i="65"/>
  <c r="LW79" i="65"/>
  <c r="LW71" i="65"/>
  <c r="LW63" i="65"/>
  <c r="LW55" i="65"/>
  <c r="LW47" i="65"/>
  <c r="LW39" i="65"/>
  <c r="LW31" i="65"/>
  <c r="LW23" i="65"/>
  <c r="LW15" i="65"/>
  <c r="LY95" i="65"/>
  <c r="LY87" i="65"/>
  <c r="LY79" i="65"/>
  <c r="LY71" i="65"/>
  <c r="LY63" i="65"/>
  <c r="LY55" i="65"/>
  <c r="LY47" i="65"/>
  <c r="LY39" i="65"/>
  <c r="LY31" i="65"/>
  <c r="LY23" i="65"/>
  <c r="LY15" i="65"/>
  <c r="MA94" i="65"/>
  <c r="MA86" i="65"/>
  <c r="MA78" i="65"/>
  <c r="MA70" i="65"/>
  <c r="MA62" i="65"/>
  <c r="MA54" i="65"/>
  <c r="MA46" i="65"/>
  <c r="MA38" i="65"/>
  <c r="MA30" i="65"/>
  <c r="MA22" i="65"/>
  <c r="MA14" i="65"/>
  <c r="MC94" i="65"/>
  <c r="MC86" i="65"/>
  <c r="MC78" i="65"/>
  <c r="MC70" i="65"/>
  <c r="MC62" i="65"/>
  <c r="MC54" i="65"/>
  <c r="MC46" i="65"/>
  <c r="MC38" i="65"/>
  <c r="MC30" i="65"/>
  <c r="MC22" i="65"/>
  <c r="MC14" i="65"/>
  <c r="ME94" i="65"/>
  <c r="ME86" i="65"/>
  <c r="ME78" i="65"/>
  <c r="ME70" i="65"/>
  <c r="ME62" i="65"/>
  <c r="ME54" i="65"/>
  <c r="ME46" i="65"/>
  <c r="ME38" i="65"/>
  <c r="ME30" i="65"/>
  <c r="ME22" i="65"/>
  <c r="ME14" i="65"/>
  <c r="LU72" i="65"/>
  <c r="LU16" i="65"/>
  <c r="LW64" i="65"/>
  <c r="LY96" i="65"/>
  <c r="LY40" i="65"/>
  <c r="MA71" i="65"/>
  <c r="MA15" i="65"/>
  <c r="MC31" i="65"/>
  <c r="ME71" i="65"/>
  <c r="ME23" i="65"/>
  <c r="LU94" i="65"/>
  <c r="LU86" i="65"/>
  <c r="LU78" i="65"/>
  <c r="LU70" i="65"/>
  <c r="LU62" i="65"/>
  <c r="LU54" i="65"/>
  <c r="LU46" i="65"/>
  <c r="LU38" i="65"/>
  <c r="LU30" i="65"/>
  <c r="LU22" i="65"/>
  <c r="LU14" i="65"/>
  <c r="LW94" i="65"/>
  <c r="LW86" i="65"/>
  <c r="LW78" i="65"/>
  <c r="LW70" i="65"/>
  <c r="LW62" i="65"/>
  <c r="LW54" i="65"/>
  <c r="LW46" i="65"/>
  <c r="LW38" i="65"/>
  <c r="LW30" i="65"/>
  <c r="LW22" i="65"/>
  <c r="LW14" i="65"/>
  <c r="LY94" i="65"/>
  <c r="LY86" i="65"/>
  <c r="LY78" i="65"/>
  <c r="LY70" i="65"/>
  <c r="LY62" i="65"/>
  <c r="LY54" i="65"/>
  <c r="LY46" i="65"/>
  <c r="LY38" i="65"/>
  <c r="LY30" i="65"/>
  <c r="LY22" i="65"/>
  <c r="LY14" i="65"/>
  <c r="MA93" i="65"/>
  <c r="MA85" i="65"/>
  <c r="MA77" i="65"/>
  <c r="MA69" i="65"/>
  <c r="MA61" i="65"/>
  <c r="MA53" i="65"/>
  <c r="MA45" i="65"/>
  <c r="MA37" i="65"/>
  <c r="MA29" i="65"/>
  <c r="MA21" i="65"/>
  <c r="MA13" i="65"/>
  <c r="MC93" i="65"/>
  <c r="MC85" i="65"/>
  <c r="MC77" i="65"/>
  <c r="MC69" i="65"/>
  <c r="MC61" i="65"/>
  <c r="MC53" i="65"/>
  <c r="MC45" i="65"/>
  <c r="MC37" i="65"/>
  <c r="MC29" i="65"/>
  <c r="MC21" i="65"/>
  <c r="MC13" i="65"/>
  <c r="ME93" i="65"/>
  <c r="ME85" i="65"/>
  <c r="ME77" i="65"/>
  <c r="ME69" i="65"/>
  <c r="ME61" i="65"/>
  <c r="ME53" i="65"/>
  <c r="ME45" i="65"/>
  <c r="ME37" i="65"/>
  <c r="ME29" i="65"/>
  <c r="ME21" i="65"/>
  <c r="ME13" i="65"/>
  <c r="LU40" i="65"/>
  <c r="LW72" i="65"/>
  <c r="LW16" i="65"/>
  <c r="LY48" i="65"/>
  <c r="MA87" i="65"/>
  <c r="MA47" i="65"/>
  <c r="MC79" i="65"/>
  <c r="MC23" i="65"/>
  <c r="ME39" i="65"/>
  <c r="LU93" i="65"/>
  <c r="LU85" i="65"/>
  <c r="LU77" i="65"/>
  <c r="LU69" i="65"/>
  <c r="LU61" i="65"/>
  <c r="LU53" i="65"/>
  <c r="LU45" i="65"/>
  <c r="LU37" i="65"/>
  <c r="LU29" i="65"/>
  <c r="LU21" i="65"/>
  <c r="LU13" i="65"/>
  <c r="LW93" i="65"/>
  <c r="LW85" i="65"/>
  <c r="LW77" i="65"/>
  <c r="LW69" i="65"/>
  <c r="LW61" i="65"/>
  <c r="LW53" i="65"/>
  <c r="LW45" i="65"/>
  <c r="LW37" i="65"/>
  <c r="LW29" i="65"/>
  <c r="LW21" i="65"/>
  <c r="LW13" i="65"/>
  <c r="LY93" i="65"/>
  <c r="LY85" i="65"/>
  <c r="LY77" i="65"/>
  <c r="LY69" i="65"/>
  <c r="LY61" i="65"/>
  <c r="LY53" i="65"/>
  <c r="LY45" i="65"/>
  <c r="LY37" i="65"/>
  <c r="LY29" i="65"/>
  <c r="LY21" i="65"/>
  <c r="LY13" i="65"/>
  <c r="MA92" i="65"/>
  <c r="MA84" i="65"/>
  <c r="MA76" i="65"/>
  <c r="MA68" i="65"/>
  <c r="MA60" i="65"/>
  <c r="MA52" i="65"/>
  <c r="MA44" i="65"/>
  <c r="MA36" i="65"/>
  <c r="MA28" i="65"/>
  <c r="MA20" i="65"/>
  <c r="MA12" i="65"/>
  <c r="MC92" i="65"/>
  <c r="MC84" i="65"/>
  <c r="MC76" i="65"/>
  <c r="MC68" i="65"/>
  <c r="MC60" i="65"/>
  <c r="MC52" i="65"/>
  <c r="MC44" i="65"/>
  <c r="MC36" i="65"/>
  <c r="MC28" i="65"/>
  <c r="MC20" i="65"/>
  <c r="MC12" i="65"/>
  <c r="ME92" i="65"/>
  <c r="ME84" i="65"/>
  <c r="ME76" i="65"/>
  <c r="ME68" i="65"/>
  <c r="ME60" i="65"/>
  <c r="ME52" i="65"/>
  <c r="ME44" i="65"/>
  <c r="ME36" i="65"/>
  <c r="ME28" i="65"/>
  <c r="ME20" i="65"/>
  <c r="ME12" i="65"/>
  <c r="LU64" i="65"/>
  <c r="LW96" i="65"/>
  <c r="LW32" i="65"/>
  <c r="LY64" i="65"/>
  <c r="MA95" i="65"/>
  <c r="MA31" i="65"/>
  <c r="MC63" i="65"/>
  <c r="ME87" i="65"/>
  <c r="ME31" i="65"/>
  <c r="LU92" i="65"/>
  <c r="LU84" i="65"/>
  <c r="LU76" i="65"/>
  <c r="LU68" i="65"/>
  <c r="LU60" i="65"/>
  <c r="LU52" i="65"/>
  <c r="LU44" i="65"/>
  <c r="LU36" i="65"/>
  <c r="LU28" i="65"/>
  <c r="LU20" i="65"/>
  <c r="LU12" i="65"/>
  <c r="LW92" i="65"/>
  <c r="LW84" i="65"/>
  <c r="LW76" i="65"/>
  <c r="LW68" i="65"/>
  <c r="LW60" i="65"/>
  <c r="LW52" i="65"/>
  <c r="LW44" i="65"/>
  <c r="LW36" i="65"/>
  <c r="LW28" i="65"/>
  <c r="LW20" i="65"/>
  <c r="LW12" i="65"/>
  <c r="LY92" i="65"/>
  <c r="LY84" i="65"/>
  <c r="LY76" i="65"/>
  <c r="LY68" i="65"/>
  <c r="LY60" i="65"/>
  <c r="LY52" i="65"/>
  <c r="LY44" i="65"/>
  <c r="LY36" i="65"/>
  <c r="LY28" i="65"/>
  <c r="LY20" i="65"/>
  <c r="LY12" i="65"/>
  <c r="MA91" i="65"/>
  <c r="MA83" i="65"/>
  <c r="MA75" i="65"/>
  <c r="MA67" i="65"/>
  <c r="MA59" i="65"/>
  <c r="MA51" i="65"/>
  <c r="MA43" i="65"/>
  <c r="MA35" i="65"/>
  <c r="MA27" i="65"/>
  <c r="MA19" i="65"/>
  <c r="MA11" i="65"/>
  <c r="MC91" i="65"/>
  <c r="MC83" i="65"/>
  <c r="MC75" i="65"/>
  <c r="MC67" i="65"/>
  <c r="MC59" i="65"/>
  <c r="MC51" i="65"/>
  <c r="MC43" i="65"/>
  <c r="MC35" i="65"/>
  <c r="MC27" i="65"/>
  <c r="MC19" i="65"/>
  <c r="MC11" i="65"/>
  <c r="ME91" i="65"/>
  <c r="ME83" i="65"/>
  <c r="ME75" i="65"/>
  <c r="ME67" i="65"/>
  <c r="ME59" i="65"/>
  <c r="ME51" i="65"/>
  <c r="ME43" i="65"/>
  <c r="ME35" i="65"/>
  <c r="ME27" i="65"/>
  <c r="ME19" i="65"/>
  <c r="ME11" i="65"/>
  <c r="LU80" i="65"/>
  <c r="LU24" i="65"/>
  <c r="LW56" i="65"/>
  <c r="LY80" i="65"/>
  <c r="LY32" i="65"/>
  <c r="MA55" i="65"/>
  <c r="MC95" i="65"/>
  <c r="MC47" i="65"/>
  <c r="ME79" i="65"/>
  <c r="ME47" i="65"/>
  <c r="LU11" i="65"/>
  <c r="LU91" i="65"/>
  <c r="LU83" i="65"/>
  <c r="LU75" i="65"/>
  <c r="LU67" i="65"/>
  <c r="LU59" i="65"/>
  <c r="LU51" i="65"/>
  <c r="LU43" i="65"/>
  <c r="LU35" i="65"/>
  <c r="LU27" i="65"/>
  <c r="LU19" i="65"/>
  <c r="LW11" i="65"/>
  <c r="LW91" i="65"/>
  <c r="LW83" i="65"/>
  <c r="LW75" i="65"/>
  <c r="LW67" i="65"/>
  <c r="LW59" i="65"/>
  <c r="LW51" i="65"/>
  <c r="LW43" i="65"/>
  <c r="LW35" i="65"/>
  <c r="LW27" i="65"/>
  <c r="LW19" i="65"/>
  <c r="LY11" i="65"/>
  <c r="LY91" i="65"/>
  <c r="LY83" i="65"/>
  <c r="LY75" i="65"/>
  <c r="LY67" i="65"/>
  <c r="LY59" i="65"/>
  <c r="LY51" i="65"/>
  <c r="LY43" i="65"/>
  <c r="LY35" i="65"/>
  <c r="LY27" i="65"/>
  <c r="LY19" i="65"/>
  <c r="MA98" i="65"/>
  <c r="MA90" i="65"/>
  <c r="MA82" i="65"/>
  <c r="MA74" i="65"/>
  <c r="MA66" i="65"/>
  <c r="MA58" i="65"/>
  <c r="MA50" i="65"/>
  <c r="MA42" i="65"/>
  <c r="MA34" i="65"/>
  <c r="MA26" i="65"/>
  <c r="MA18" i="65"/>
  <c r="MC98" i="65"/>
  <c r="MC90" i="65"/>
  <c r="MC82" i="65"/>
  <c r="MC74" i="65"/>
  <c r="MC66" i="65"/>
  <c r="MC58" i="65"/>
  <c r="MC50" i="65"/>
  <c r="MC42" i="65"/>
  <c r="MC34" i="65"/>
  <c r="MC26" i="65"/>
  <c r="MC18" i="65"/>
  <c r="ME98" i="65"/>
  <c r="ME90" i="65"/>
  <c r="ME82" i="65"/>
  <c r="ME74" i="65"/>
  <c r="ME66" i="65"/>
  <c r="ME58" i="65"/>
  <c r="ME50" i="65"/>
  <c r="ME42" i="65"/>
  <c r="ME34" i="65"/>
  <c r="ME26" i="65"/>
  <c r="ME18" i="65"/>
  <c r="MC6" i="65"/>
  <c r="LU48" i="65"/>
  <c r="LW80" i="65"/>
  <c r="LW24" i="65"/>
  <c r="LY56" i="65"/>
  <c r="MA79" i="65"/>
  <c r="MA23" i="65"/>
  <c r="MC55" i="65"/>
  <c r="ME63" i="65"/>
  <c r="LU98" i="65"/>
  <c r="LU90" i="65"/>
  <c r="LU82" i="65"/>
  <c r="LU74" i="65"/>
  <c r="LU66" i="65"/>
  <c r="LU58" i="65"/>
  <c r="LU50" i="65"/>
  <c r="LU42" i="65"/>
  <c r="LU34" i="65"/>
  <c r="LU26" i="65"/>
  <c r="LU18" i="65"/>
  <c r="LW98" i="65"/>
  <c r="LW90" i="65"/>
  <c r="LW82" i="65"/>
  <c r="LW74" i="65"/>
  <c r="LW66" i="65"/>
  <c r="LW58" i="65"/>
  <c r="LW50" i="65"/>
  <c r="LW42" i="65"/>
  <c r="LW34" i="65"/>
  <c r="LW26" i="65"/>
  <c r="LW18" i="65"/>
  <c r="LY98" i="65"/>
  <c r="LY90" i="65"/>
  <c r="LY82" i="65"/>
  <c r="LY74" i="65"/>
  <c r="LY66" i="65"/>
  <c r="LY58" i="65"/>
  <c r="LY50" i="65"/>
  <c r="LY42" i="65"/>
  <c r="LY34" i="65"/>
  <c r="LY26" i="65"/>
  <c r="LY18" i="65"/>
  <c r="MA97" i="65"/>
  <c r="MA89" i="65"/>
  <c r="MA81" i="65"/>
  <c r="MA73" i="65"/>
  <c r="MA65" i="65"/>
  <c r="MA57" i="65"/>
  <c r="MA49" i="65"/>
  <c r="MA41" i="65"/>
  <c r="MA33" i="65"/>
  <c r="MA25" i="65"/>
  <c r="MA17" i="65"/>
  <c r="MC97" i="65"/>
  <c r="MC89" i="65"/>
  <c r="MC81" i="65"/>
  <c r="MC73" i="65"/>
  <c r="MC65" i="65"/>
  <c r="MC57" i="65"/>
  <c r="MC49" i="65"/>
  <c r="MC41" i="65"/>
  <c r="MC33" i="65"/>
  <c r="MC25" i="65"/>
  <c r="MC17" i="65"/>
  <c r="ME97" i="65"/>
  <c r="ME89" i="65"/>
  <c r="ME81" i="65"/>
  <c r="ME73" i="65"/>
  <c r="ME65" i="65"/>
  <c r="ME57" i="65"/>
  <c r="ME49" i="65"/>
  <c r="ME41" i="65"/>
  <c r="ME33" i="65"/>
  <c r="ME25" i="65"/>
  <c r="ME17" i="65"/>
  <c r="MG6" i="65"/>
  <c r="LU88" i="65"/>
  <c r="LU32" i="65"/>
  <c r="LW48" i="65"/>
  <c r="LY88" i="65"/>
  <c r="LY24" i="65"/>
  <c r="MA63" i="65"/>
  <c r="MC87" i="65"/>
  <c r="MC39" i="65"/>
  <c r="ME95" i="65"/>
  <c r="LU97" i="65"/>
  <c r="LU89" i="65"/>
  <c r="LU81" i="65"/>
  <c r="LU73" i="65"/>
  <c r="LU65" i="65"/>
  <c r="LU57" i="65"/>
  <c r="LU49" i="65"/>
  <c r="LU41" i="65"/>
  <c r="LU33" i="65"/>
  <c r="LU25" i="65"/>
  <c r="LU17" i="65"/>
  <c r="LW97" i="65"/>
  <c r="LW89" i="65"/>
  <c r="LW81" i="65"/>
  <c r="LW73" i="65"/>
  <c r="LW65" i="65"/>
  <c r="LW57" i="65"/>
  <c r="LW49" i="65"/>
  <c r="LW41" i="65"/>
  <c r="LW33" i="65"/>
  <c r="LW25" i="65"/>
  <c r="LW17" i="65"/>
  <c r="LY97" i="65"/>
  <c r="LY89" i="65"/>
  <c r="LY81" i="65"/>
  <c r="LY73" i="65"/>
  <c r="LY65" i="65"/>
  <c r="LY57" i="65"/>
  <c r="LY49" i="65"/>
  <c r="LY41" i="65"/>
  <c r="LY33" i="65"/>
  <c r="LY25" i="65"/>
  <c r="LY17" i="65"/>
  <c r="MA96" i="65"/>
  <c r="MA88" i="65"/>
  <c r="MA80" i="65"/>
  <c r="MA72" i="65"/>
  <c r="MA64" i="65"/>
  <c r="MA56" i="65"/>
  <c r="MA48" i="65"/>
  <c r="MA40" i="65"/>
  <c r="MA32" i="65"/>
  <c r="MA24" i="65"/>
  <c r="MA16" i="65"/>
  <c r="MC96" i="65"/>
  <c r="MC88" i="65"/>
  <c r="MC80" i="65"/>
  <c r="MC72" i="65"/>
  <c r="MC64" i="65"/>
  <c r="MC56" i="65"/>
  <c r="MC48" i="65"/>
  <c r="MC40" i="65"/>
  <c r="MC32" i="65"/>
  <c r="MC24" i="65"/>
  <c r="MC16" i="65"/>
  <c r="ME96" i="65"/>
  <c r="ME88" i="65"/>
  <c r="ME80" i="65"/>
  <c r="ME72" i="65"/>
  <c r="ME64" i="65"/>
  <c r="ME56" i="65"/>
  <c r="ME48" i="65"/>
  <c r="ME40" i="65"/>
  <c r="ME32" i="65"/>
  <c r="ME24" i="65"/>
  <c r="ME16" i="65"/>
  <c r="AO4" i="4"/>
  <c r="CJ56" i="4"/>
  <c r="CJ57" i="4"/>
  <c r="CJ58" i="4"/>
  <c r="CJ59" i="4"/>
  <c r="CJ60" i="4"/>
  <c r="CJ61" i="4" s="1"/>
  <c r="CJ62" i="4" s="1"/>
  <c r="CJ63" i="4" s="1"/>
  <c r="CJ64" i="4" s="1"/>
  <c r="CJ65" i="4" s="1"/>
  <c r="CJ66" i="4" s="1"/>
  <c r="CJ67" i="4" s="1"/>
  <c r="CJ68" i="4" s="1"/>
  <c r="CJ69" i="4" s="1"/>
  <c r="CJ70" i="4" s="1"/>
  <c r="CJ71" i="4" s="1"/>
  <c r="CJ72" i="4" s="1"/>
  <c r="CJ73" i="4" s="1"/>
  <c r="CJ74" i="4" s="1"/>
  <c r="CJ75" i="4" s="1"/>
  <c r="CJ76" i="4" s="1"/>
  <c r="CJ77" i="4" s="1"/>
  <c r="CJ78" i="4" s="1"/>
  <c r="CJ79" i="4" s="1"/>
  <c r="CJ80" i="4" s="1"/>
  <c r="CJ81" i="4" s="1"/>
  <c r="CJ82" i="4" s="1"/>
  <c r="CJ83" i="4" s="1"/>
  <c r="CJ84" i="4" s="1"/>
  <c r="CJ85" i="4" s="1"/>
  <c r="CJ86" i="4" s="1"/>
  <c r="CJ87" i="4" s="1"/>
  <c r="CJ88" i="4" s="1"/>
  <c r="CJ89" i="4" s="1"/>
  <c r="CJ90" i="4" s="1"/>
  <c r="CJ91" i="4" s="1"/>
  <c r="CJ92" i="4" s="1"/>
  <c r="CJ93" i="4" s="1"/>
  <c r="CJ94" i="4" s="1"/>
  <c r="CJ95" i="4" s="1"/>
  <c r="CJ96" i="4" s="1"/>
  <c r="CJ97" i="4" s="1"/>
  <c r="CJ98" i="4" s="1"/>
  <c r="CJ99" i="4" s="1"/>
  <c r="CJ100" i="4" s="1"/>
  <c r="CJ101" i="4" s="1"/>
  <c r="CJ102" i="4" s="1"/>
  <c r="CJ103" i="4" s="1"/>
  <c r="CJ104" i="4" s="1"/>
  <c r="CJ105" i="4" s="1"/>
  <c r="CJ106" i="4" s="1"/>
  <c r="CJ107" i="4" s="1"/>
  <c r="CJ108" i="4" s="1"/>
  <c r="CJ109" i="4" s="1"/>
  <c r="CJ110" i="4" s="1"/>
  <c r="CJ111" i="4" s="1"/>
  <c r="CJ112" i="4" s="1"/>
  <c r="CJ113" i="4" s="1"/>
  <c r="CJ114" i="4" s="1"/>
  <c r="CJ5" i="4"/>
  <c r="BZ3" i="4"/>
  <c r="BZ4" i="4"/>
  <c r="BZ2" i="4"/>
  <c r="LU7" i="65"/>
  <c r="LY7" i="65"/>
  <c r="MC7" i="65"/>
  <c r="LS7" i="65"/>
  <c r="MG7" i="65"/>
  <c r="LQ7" i="65"/>
  <c r="MA7" i="65"/>
  <c r="ME7" i="65"/>
  <c r="L13" i="70" l="1"/>
  <c r="J14" i="70"/>
  <c r="W14" i="63"/>
  <c r="V14" i="63"/>
  <c r="T15" i="63"/>
  <c r="LZ105" i="65"/>
  <c r="LZ106" i="65"/>
  <c r="MF106" i="65"/>
  <c r="MF105" i="65"/>
  <c r="LV105" i="65"/>
  <c r="LV106" i="65"/>
  <c r="LP106" i="65"/>
  <c r="LP105" i="65"/>
  <c r="MD105" i="65"/>
  <c r="MD106" i="65"/>
  <c r="LT105" i="65"/>
  <c r="LT106" i="65"/>
  <c r="MB105" i="65"/>
  <c r="MB106" i="65"/>
  <c r="LR105" i="65"/>
  <c r="LR106" i="65"/>
  <c r="LX105" i="65"/>
  <c r="LX106" i="65"/>
  <c r="M46" i="63"/>
  <c r="M52" i="63"/>
  <c r="M49" i="63"/>
  <c r="M47" i="63"/>
  <c r="M51" i="63"/>
  <c r="M37" i="63"/>
  <c r="M50" i="63"/>
  <c r="M54" i="63"/>
  <c r="LQ1" i="61"/>
  <c r="LS1" i="61"/>
  <c r="LW1" i="61"/>
  <c r="MI1" i="61"/>
  <c r="LP103" i="65"/>
  <c r="LP104" i="65"/>
  <c r="LV103" i="65"/>
  <c r="LV104" i="65"/>
  <c r="LT104" i="65"/>
  <c r="LT103" i="65"/>
  <c r="LR103" i="65"/>
  <c r="LR104" i="65"/>
  <c r="MF103" i="65"/>
  <c r="MF104" i="65"/>
  <c r="MD104" i="65"/>
  <c r="MD103" i="65"/>
  <c r="MB104" i="65"/>
  <c r="MB103" i="65"/>
  <c r="LZ103" i="65"/>
  <c r="LZ104" i="65"/>
  <c r="LX103" i="65"/>
  <c r="LX104" i="65"/>
  <c r="LV11" i="65"/>
  <c r="MF11" i="65"/>
  <c r="LT11" i="65"/>
  <c r="MB11" i="65"/>
  <c r="LX11" i="65"/>
  <c r="LZ11" i="65"/>
  <c r="LP11" i="65"/>
  <c r="MD11" i="65"/>
  <c r="LR11" i="65"/>
  <c r="LZ102" i="65"/>
  <c r="LP102" i="65"/>
  <c r="LV102" i="65"/>
  <c r="MD102" i="65"/>
  <c r="LT102" i="65"/>
  <c r="MB102" i="65"/>
  <c r="LR102" i="65"/>
  <c r="MF102" i="65"/>
  <c r="LX102" i="65"/>
  <c r="LT101" i="65"/>
  <c r="MD101" i="65"/>
  <c r="MB101" i="65"/>
  <c r="LV101" i="65"/>
  <c r="LX101" i="65"/>
  <c r="LR101" i="65"/>
  <c r="LZ101" i="65"/>
  <c r="LP101" i="65"/>
  <c r="MF101" i="65"/>
  <c r="LT100" i="65"/>
  <c r="LT99" i="65"/>
  <c r="LX99" i="65"/>
  <c r="LX100" i="65"/>
  <c r="LP99" i="65"/>
  <c r="LP100" i="65"/>
  <c r="LR100" i="65"/>
  <c r="LR99" i="65"/>
  <c r="LZ100" i="65"/>
  <c r="LZ99" i="65"/>
  <c r="LV99" i="65"/>
  <c r="LV100" i="65"/>
  <c r="MF99" i="65"/>
  <c r="MF100" i="65"/>
  <c r="MB100" i="65"/>
  <c r="MB99" i="65"/>
  <c r="MD99" i="65"/>
  <c r="MD100" i="65"/>
  <c r="MG2" i="65"/>
  <c r="LS2" i="65"/>
  <c r="ME2" i="65"/>
  <c r="MC2" i="65"/>
  <c r="MA2" i="65"/>
  <c r="LY2" i="65"/>
  <c r="MF13" i="65"/>
  <c r="MF21" i="65"/>
  <c r="MF29" i="65"/>
  <c r="MF37" i="65"/>
  <c r="MF45" i="65"/>
  <c r="MF53" i="65"/>
  <c r="MF61" i="65"/>
  <c r="MF69" i="65"/>
  <c r="MF77" i="65"/>
  <c r="MF85" i="65"/>
  <c r="MF93" i="65"/>
  <c r="MF52" i="65"/>
  <c r="MF92" i="65"/>
  <c r="MF14" i="65"/>
  <c r="MF22" i="65"/>
  <c r="MF30" i="65"/>
  <c r="MF38" i="65"/>
  <c r="MF46" i="65"/>
  <c r="MF54" i="65"/>
  <c r="MF62" i="65"/>
  <c r="MF70" i="65"/>
  <c r="MF78" i="65"/>
  <c r="MF86" i="65"/>
  <c r="MF94" i="65"/>
  <c r="MF44" i="65"/>
  <c r="MF76" i="65"/>
  <c r="MF15" i="65"/>
  <c r="MF23" i="65"/>
  <c r="MF31" i="65"/>
  <c r="MF39" i="65"/>
  <c r="MF47" i="65"/>
  <c r="MF55" i="65"/>
  <c r="MF63" i="65"/>
  <c r="MF71" i="65"/>
  <c r="MF79" i="65"/>
  <c r="MF87" i="65"/>
  <c r="MF95" i="65"/>
  <c r="MF36" i="65"/>
  <c r="MF84" i="65"/>
  <c r="MF16" i="65"/>
  <c r="MF24" i="65"/>
  <c r="MF32" i="65"/>
  <c r="MF40" i="65"/>
  <c r="MF48" i="65"/>
  <c r="MF56" i="65"/>
  <c r="MF64" i="65"/>
  <c r="MF72" i="65"/>
  <c r="MF80" i="65"/>
  <c r="MF88" i="65"/>
  <c r="MF96" i="65"/>
  <c r="MF17" i="65"/>
  <c r="MF25" i="65"/>
  <c r="MF33" i="65"/>
  <c r="MF41" i="65"/>
  <c r="MF49" i="65"/>
  <c r="MF57" i="65"/>
  <c r="MF65" i="65"/>
  <c r="MF73" i="65"/>
  <c r="MF81" i="65"/>
  <c r="MF89" i="65"/>
  <c r="MF97" i="65"/>
  <c r="MF28" i="65"/>
  <c r="MF18" i="65"/>
  <c r="MF26" i="65"/>
  <c r="MF34" i="65"/>
  <c r="MF42" i="65"/>
  <c r="MF50" i="65"/>
  <c r="MF58" i="65"/>
  <c r="MF66" i="65"/>
  <c r="MF74" i="65"/>
  <c r="MF82" i="65"/>
  <c r="MF90" i="65"/>
  <c r="MF98" i="65"/>
  <c r="MF20" i="65"/>
  <c r="MF60" i="65"/>
  <c r="MG4" i="65"/>
  <c r="MF19" i="65"/>
  <c r="MF27" i="65"/>
  <c r="MF35" i="65"/>
  <c r="MF43" i="65"/>
  <c r="MF51" i="65"/>
  <c r="MF59" i="65"/>
  <c r="MF67" i="65"/>
  <c r="MF75" i="65"/>
  <c r="MF83" i="65"/>
  <c r="MF91" i="65"/>
  <c r="MF12" i="65"/>
  <c r="MF68" i="65"/>
  <c r="ME4" i="65"/>
  <c r="MD12" i="65"/>
  <c r="MD20" i="65"/>
  <c r="MD28" i="65"/>
  <c r="MD36" i="65"/>
  <c r="MD44" i="65"/>
  <c r="MD52" i="65"/>
  <c r="MD60" i="65"/>
  <c r="MD68" i="65"/>
  <c r="MD76" i="65"/>
  <c r="MD84" i="65"/>
  <c r="MD92" i="65"/>
  <c r="MD13" i="65"/>
  <c r="MD21" i="65"/>
  <c r="MD29" i="65"/>
  <c r="MD37" i="65"/>
  <c r="MD45" i="65"/>
  <c r="MD53" i="65"/>
  <c r="MD61" i="65"/>
  <c r="MD69" i="65"/>
  <c r="MD77" i="65"/>
  <c r="MD85" i="65"/>
  <c r="MD93" i="65"/>
  <c r="MD14" i="65"/>
  <c r="MD22" i="65"/>
  <c r="MD30" i="65"/>
  <c r="MD38" i="65"/>
  <c r="MD46" i="65"/>
  <c r="MD54" i="65"/>
  <c r="MD62" i="65"/>
  <c r="MD70" i="65"/>
  <c r="MD78" i="65"/>
  <c r="MD86" i="65"/>
  <c r="MD94" i="65"/>
  <c r="MD15" i="65"/>
  <c r="MD23" i="65"/>
  <c r="MD31" i="65"/>
  <c r="MD39" i="65"/>
  <c r="MD47" i="65"/>
  <c r="MD55" i="65"/>
  <c r="MD63" i="65"/>
  <c r="MD71" i="65"/>
  <c r="MD79" i="65"/>
  <c r="MD87" i="65"/>
  <c r="MD95" i="65"/>
  <c r="MD16" i="65"/>
  <c r="MD24" i="65"/>
  <c r="MD32" i="65"/>
  <c r="MD40" i="65"/>
  <c r="MD48" i="65"/>
  <c r="MD56" i="65"/>
  <c r="MD64" i="65"/>
  <c r="MD72" i="65"/>
  <c r="MD80" i="65"/>
  <c r="MD88" i="65"/>
  <c r="MD96" i="65"/>
  <c r="MD17" i="65"/>
  <c r="MD25" i="65"/>
  <c r="MD33" i="65"/>
  <c r="MD41" i="65"/>
  <c r="MD49" i="65"/>
  <c r="MD57" i="65"/>
  <c r="MD65" i="65"/>
  <c r="MD73" i="65"/>
  <c r="MD81" i="65"/>
  <c r="MD89" i="65"/>
  <c r="MD97" i="65"/>
  <c r="MD18" i="65"/>
  <c r="MD26" i="65"/>
  <c r="MD34" i="65"/>
  <c r="MD42" i="65"/>
  <c r="MD50" i="65"/>
  <c r="MD58" i="65"/>
  <c r="MD66" i="65"/>
  <c r="MD74" i="65"/>
  <c r="MD82" i="65"/>
  <c r="MD90" i="65"/>
  <c r="MD98" i="65"/>
  <c r="MD19" i="65"/>
  <c r="MD27" i="65"/>
  <c r="MD35" i="65"/>
  <c r="MD43" i="65"/>
  <c r="MD51" i="65"/>
  <c r="MD59" i="65"/>
  <c r="MD67" i="65"/>
  <c r="MD75" i="65"/>
  <c r="MD83" i="65"/>
  <c r="MD91" i="65"/>
  <c r="MC103" i="61"/>
  <c r="EW12" i="4"/>
  <c r="LW7" i="65"/>
  <c r="J15" i="70" l="1"/>
  <c r="L14" i="70"/>
  <c r="H26" i="63"/>
  <c r="W15" i="63"/>
  <c r="V15" i="63"/>
  <c r="T16" i="63"/>
  <c r="M57" i="63"/>
  <c r="N47" i="63" s="1"/>
  <c r="L57" i="63"/>
  <c r="MC102" i="61"/>
  <c r="O49" i="63" s="1"/>
  <c r="G22" i="63"/>
  <c r="H25" i="63"/>
  <c r="G12" i="63"/>
  <c r="G29" i="63"/>
  <c r="G10" i="63"/>
  <c r="G27" i="63"/>
  <c r="G9" i="63"/>
  <c r="G24" i="63"/>
  <c r="G8" i="63"/>
  <c r="G23" i="63"/>
  <c r="G11" i="63"/>
  <c r="G28" i="63"/>
  <c r="G7" i="63"/>
  <c r="N11" i="4"/>
  <c r="N12" i="4"/>
  <c r="N13" i="4"/>
  <c r="N14" i="4"/>
  <c r="N15" i="4"/>
  <c r="N16" i="4"/>
  <c r="N17" i="4"/>
  <c r="N18" i="4"/>
  <c r="N113" i="4"/>
  <c r="N114" i="4"/>
  <c r="N115" i="4"/>
  <c r="N116" i="4"/>
  <c r="N117" i="4"/>
  <c r="N118" i="4"/>
  <c r="N119" i="4"/>
  <c r="N120" i="4"/>
  <c r="L15" i="70" l="1"/>
  <c r="J16" i="70"/>
  <c r="W16" i="63"/>
  <c r="V16" i="63"/>
  <c r="T17" i="63"/>
  <c r="N50" i="63"/>
  <c r="N54" i="63"/>
  <c r="N46" i="63"/>
  <c r="N52" i="63"/>
  <c r="N49" i="63"/>
  <c r="N37" i="63"/>
  <c r="N48" i="63"/>
  <c r="N45" i="63"/>
  <c r="N53" i="63"/>
  <c r="N42" i="63"/>
  <c r="N56" i="63"/>
  <c r="N44" i="63"/>
  <c r="N43" i="63"/>
  <c r="N41" i="63"/>
  <c r="N40" i="63"/>
  <c r="N38" i="63"/>
  <c r="N55" i="63"/>
  <c r="N39" i="63"/>
  <c r="N51" i="63"/>
  <c r="MC4" i="65"/>
  <c r="MB12" i="65"/>
  <c r="MB20" i="65"/>
  <c r="MB28" i="65"/>
  <c r="MB36" i="65"/>
  <c r="MB44" i="65"/>
  <c r="MB52" i="65"/>
  <c r="MB60" i="65"/>
  <c r="MB68" i="65"/>
  <c r="MB76" i="65"/>
  <c r="MB84" i="65"/>
  <c r="MB92" i="65"/>
  <c r="MB13" i="65"/>
  <c r="MB21" i="65"/>
  <c r="MB29" i="65"/>
  <c r="MB37" i="65"/>
  <c r="MB45" i="65"/>
  <c r="MB53" i="65"/>
  <c r="MB61" i="65"/>
  <c r="MB69" i="65"/>
  <c r="MB77" i="65"/>
  <c r="MB85" i="65"/>
  <c r="MB93" i="65"/>
  <c r="MB14" i="65"/>
  <c r="MB22" i="65"/>
  <c r="MB30" i="65"/>
  <c r="MB38" i="65"/>
  <c r="MB46" i="65"/>
  <c r="MB54" i="65"/>
  <c r="MB62" i="65"/>
  <c r="MB70" i="65"/>
  <c r="MB78" i="65"/>
  <c r="MB86" i="65"/>
  <c r="MB94" i="65"/>
  <c r="MB15" i="65"/>
  <c r="MB23" i="65"/>
  <c r="MB31" i="65"/>
  <c r="MB39" i="65"/>
  <c r="MB47" i="65"/>
  <c r="MB55" i="65"/>
  <c r="MB63" i="65"/>
  <c r="MB71" i="65"/>
  <c r="MB79" i="65"/>
  <c r="MB87" i="65"/>
  <c r="MB95" i="65"/>
  <c r="MB16" i="65"/>
  <c r="MB24" i="65"/>
  <c r="MB32" i="65"/>
  <c r="MB40" i="65"/>
  <c r="MB48" i="65"/>
  <c r="MB56" i="65"/>
  <c r="MB64" i="65"/>
  <c r="MB72" i="65"/>
  <c r="MB80" i="65"/>
  <c r="MB88" i="65"/>
  <c r="MB96" i="65"/>
  <c r="MB17" i="65"/>
  <c r="MB25" i="65"/>
  <c r="MB33" i="65"/>
  <c r="MB41" i="65"/>
  <c r="MB49" i="65"/>
  <c r="MB57" i="65"/>
  <c r="MB65" i="65"/>
  <c r="MB73" i="65"/>
  <c r="MB81" i="65"/>
  <c r="MB89" i="65"/>
  <c r="MB97" i="65"/>
  <c r="MB18" i="65"/>
  <c r="MB26" i="65"/>
  <c r="MB34" i="65"/>
  <c r="MB42" i="65"/>
  <c r="MB50" i="65"/>
  <c r="MB58" i="65"/>
  <c r="MB66" i="65"/>
  <c r="MB74" i="65"/>
  <c r="MB82" i="65"/>
  <c r="MB90" i="65"/>
  <c r="MB98" i="65"/>
  <c r="MB19" i="65"/>
  <c r="MB27" i="65"/>
  <c r="MB35" i="65"/>
  <c r="MB43" i="65"/>
  <c r="MB51" i="65"/>
  <c r="MB59" i="65"/>
  <c r="MB67" i="65"/>
  <c r="MB75" i="65"/>
  <c r="MB83" i="65"/>
  <c r="MB91" i="65"/>
  <c r="AI100" i="4"/>
  <c r="AI102" i="4"/>
  <c r="AI103" i="4"/>
  <c r="AI104" i="4"/>
  <c r="AI105" i="4"/>
  <c r="L16" i="70" l="1"/>
  <c r="J17" i="70"/>
  <c r="V17" i="63"/>
  <c r="W17" i="63"/>
  <c r="T18" i="63"/>
  <c r="I84" i="4"/>
  <c r="W3" i="63" s="1"/>
  <c r="I85" i="4"/>
  <c r="W4" i="63" s="1"/>
  <c r="I86" i="4"/>
  <c r="W5" i="63" s="1"/>
  <c r="I87" i="4"/>
  <c r="W6" i="63" s="1"/>
  <c r="I83" i="4"/>
  <c r="W2" i="63" s="1"/>
  <c r="CM98" i="4"/>
  <c r="CI56" i="4"/>
  <c r="CI57" i="4"/>
  <c r="CI58" i="4"/>
  <c r="CI59" i="4"/>
  <c r="CI60" i="4"/>
  <c r="CI61" i="4"/>
  <c r="CI62" i="4"/>
  <c r="CI63" i="4"/>
  <c r="CI64" i="4"/>
  <c r="CI65" i="4"/>
  <c r="CI66" i="4"/>
  <c r="CI67" i="4"/>
  <c r="CI68" i="4"/>
  <c r="CI69" i="4"/>
  <c r="CI70" i="4"/>
  <c r="CI71" i="4"/>
  <c r="CI72" i="4"/>
  <c r="CI73" i="4"/>
  <c r="CI74" i="4"/>
  <c r="CI75" i="4"/>
  <c r="CI76" i="4"/>
  <c r="CI77" i="4"/>
  <c r="CI78" i="4"/>
  <c r="CI79" i="4"/>
  <c r="CI80" i="4"/>
  <c r="CI81" i="4"/>
  <c r="CI82" i="4"/>
  <c r="CI83" i="4"/>
  <c r="CI84" i="4"/>
  <c r="CI85" i="4"/>
  <c r="CI86" i="4"/>
  <c r="CI87" i="4"/>
  <c r="CI88" i="4"/>
  <c r="CI89" i="4"/>
  <c r="CI90" i="4"/>
  <c r="CI91" i="4"/>
  <c r="CI92" i="4"/>
  <c r="CI93" i="4"/>
  <c r="CI94" i="4"/>
  <c r="CI95" i="4"/>
  <c r="CI96" i="4"/>
  <c r="CI97" i="4"/>
  <c r="CI98" i="4"/>
  <c r="CI99" i="4"/>
  <c r="CI100" i="4"/>
  <c r="CI101" i="4"/>
  <c r="CI102" i="4"/>
  <c r="CI103" i="4"/>
  <c r="CI104" i="4"/>
  <c r="CI105" i="4"/>
  <c r="CI106" i="4"/>
  <c r="CI107" i="4"/>
  <c r="CI108" i="4"/>
  <c r="CI109" i="4"/>
  <c r="CI110" i="4"/>
  <c r="CI111" i="4"/>
  <c r="CI112" i="4"/>
  <c r="CI113" i="4"/>
  <c r="CI114" i="4"/>
  <c r="CI115" i="4"/>
  <c r="CI116" i="4"/>
  <c r="CI117" i="4"/>
  <c r="CI118" i="4"/>
  <c r="CI119" i="4"/>
  <c r="CI120" i="4"/>
  <c r="CH56" i="4"/>
  <c r="CH58" i="4"/>
  <c r="CH59" i="4"/>
  <c r="CH60" i="4"/>
  <c r="CH61" i="4"/>
  <c r="CH62" i="4"/>
  <c r="CH63" i="4"/>
  <c r="CH64" i="4"/>
  <c r="CH65" i="4"/>
  <c r="CH66" i="4"/>
  <c r="CH67" i="4"/>
  <c r="CH68" i="4"/>
  <c r="CH69" i="4"/>
  <c r="CH70" i="4"/>
  <c r="CH71" i="4"/>
  <c r="CH72" i="4"/>
  <c r="CH73" i="4"/>
  <c r="CH74" i="4"/>
  <c r="CH75" i="4"/>
  <c r="CH76" i="4"/>
  <c r="CH77" i="4"/>
  <c r="CH78" i="4"/>
  <c r="CH79" i="4"/>
  <c r="CH80" i="4"/>
  <c r="CH81" i="4"/>
  <c r="CH82" i="4"/>
  <c r="CH83" i="4"/>
  <c r="CH84" i="4"/>
  <c r="CH85" i="4"/>
  <c r="CH86" i="4"/>
  <c r="CH87" i="4"/>
  <c r="CH88" i="4"/>
  <c r="CH89" i="4"/>
  <c r="CH90" i="4"/>
  <c r="CH91" i="4"/>
  <c r="CH92" i="4"/>
  <c r="CH93" i="4"/>
  <c r="CH94" i="4"/>
  <c r="CH95" i="4"/>
  <c r="CH96" i="4"/>
  <c r="CH97" i="4"/>
  <c r="CH102" i="4"/>
  <c r="CH103" i="4"/>
  <c r="CH104" i="4"/>
  <c r="CH105" i="4"/>
  <c r="CH106" i="4"/>
  <c r="CH107" i="4"/>
  <c r="CH108" i="4"/>
  <c r="CH109" i="4"/>
  <c r="CH110" i="4"/>
  <c r="CH111" i="4"/>
  <c r="CH112" i="4"/>
  <c r="CH113" i="4"/>
  <c r="CH114" i="4"/>
  <c r="CH115" i="4"/>
  <c r="CH116" i="4"/>
  <c r="CH117" i="4"/>
  <c r="CH118" i="4"/>
  <c r="CH119" i="4"/>
  <c r="CH120" i="4"/>
  <c r="CH57" i="4"/>
  <c r="L17" i="70" l="1"/>
  <c r="J18" i="70"/>
  <c r="V18" i="63"/>
  <c r="W18" i="63"/>
  <c r="T19" i="63"/>
  <c r="I5" i="4"/>
  <c r="B29" i="63" s="1"/>
  <c r="MA103" i="61"/>
  <c r="L18" i="70" l="1"/>
  <c r="J19" i="70"/>
  <c r="W19" i="63"/>
  <c r="V19" i="63"/>
  <c r="T20" i="63"/>
  <c r="MA102" i="61"/>
  <c r="O46" i="63" s="1"/>
  <c r="B12" i="63"/>
  <c r="K5" i="4"/>
  <c r="J5" i="4"/>
  <c r="H5" i="4"/>
  <c r="G5" i="4"/>
  <c r="E5" i="4"/>
  <c r="I8" i="4"/>
  <c r="C29" i="63" s="1"/>
  <c r="H29" i="63" s="1"/>
  <c r="T27" i="21"/>
  <c r="H8" i="4"/>
  <c r="C27" i="63" s="1"/>
  <c r="K8" i="4"/>
  <c r="C24" i="63" s="1"/>
  <c r="H24" i="63" s="1"/>
  <c r="J8" i="4"/>
  <c r="C23" i="63" s="1"/>
  <c r="G8" i="4"/>
  <c r="C22" i="63" s="1"/>
  <c r="T24" i="21"/>
  <c r="T23" i="21"/>
  <c r="LY103" i="61"/>
  <c r="T22" i="21"/>
  <c r="LW103" i="61"/>
  <c r="L19" i="70" l="1"/>
  <c r="J20" i="70"/>
  <c r="W20" i="63"/>
  <c r="V20" i="63"/>
  <c r="LW102" i="61"/>
  <c r="LY102" i="61"/>
  <c r="O52" i="63" s="1"/>
  <c r="B11" i="63"/>
  <c r="B28" i="63"/>
  <c r="H22" i="63"/>
  <c r="B17" i="63"/>
  <c r="B27" i="63"/>
  <c r="B10" i="63"/>
  <c r="B24" i="63"/>
  <c r="B7" i="63"/>
  <c r="B22" i="63"/>
  <c r="H23" i="63"/>
  <c r="H27" i="63"/>
  <c r="B8" i="63"/>
  <c r="B23" i="63"/>
  <c r="MA4" i="65"/>
  <c r="LZ12" i="65"/>
  <c r="LZ20" i="65"/>
  <c r="LZ28" i="65"/>
  <c r="LZ36" i="65"/>
  <c r="LZ44" i="65"/>
  <c r="LZ52" i="65"/>
  <c r="LZ60" i="65"/>
  <c r="LZ68" i="65"/>
  <c r="LZ76" i="65"/>
  <c r="LZ84" i="65"/>
  <c r="LZ92" i="65"/>
  <c r="LZ13" i="65"/>
  <c r="LZ21" i="65"/>
  <c r="LZ29" i="65"/>
  <c r="LZ37" i="65"/>
  <c r="LZ45" i="65"/>
  <c r="LZ53" i="65"/>
  <c r="LZ61" i="65"/>
  <c r="LZ69" i="65"/>
  <c r="LZ77" i="65"/>
  <c r="LZ85" i="65"/>
  <c r="LZ93" i="65"/>
  <c r="LZ14" i="65"/>
  <c r="LZ22" i="65"/>
  <c r="LZ30" i="65"/>
  <c r="LZ38" i="65"/>
  <c r="LZ46" i="65"/>
  <c r="LZ54" i="65"/>
  <c r="LZ62" i="65"/>
  <c r="LZ70" i="65"/>
  <c r="LZ78" i="65"/>
  <c r="LZ86" i="65"/>
  <c r="LZ94" i="65"/>
  <c r="LZ15" i="65"/>
  <c r="LZ23" i="65"/>
  <c r="LZ31" i="65"/>
  <c r="LZ39" i="65"/>
  <c r="LZ47" i="65"/>
  <c r="LZ55" i="65"/>
  <c r="LZ63" i="65"/>
  <c r="LZ71" i="65"/>
  <c r="LZ79" i="65"/>
  <c r="LZ87" i="65"/>
  <c r="LZ95" i="65"/>
  <c r="LZ16" i="65"/>
  <c r="LZ24" i="65"/>
  <c r="LZ32" i="65"/>
  <c r="LZ40" i="65"/>
  <c r="LZ48" i="65"/>
  <c r="LZ56" i="65"/>
  <c r="LZ64" i="65"/>
  <c r="LZ72" i="65"/>
  <c r="LZ80" i="65"/>
  <c r="LZ88" i="65"/>
  <c r="LZ96" i="65"/>
  <c r="LZ17" i="65"/>
  <c r="LZ25" i="65"/>
  <c r="LZ33" i="65"/>
  <c r="LZ41" i="65"/>
  <c r="LZ49" i="65"/>
  <c r="LZ57" i="65"/>
  <c r="LZ65" i="65"/>
  <c r="LZ73" i="65"/>
  <c r="LZ81" i="65"/>
  <c r="LZ89" i="65"/>
  <c r="LZ97" i="65"/>
  <c r="LZ18" i="65"/>
  <c r="LZ26" i="65"/>
  <c r="LZ34" i="65"/>
  <c r="LZ42" i="65"/>
  <c r="LZ50" i="65"/>
  <c r="LZ58" i="65"/>
  <c r="LZ66" i="65"/>
  <c r="LZ74" i="65"/>
  <c r="LZ82" i="65"/>
  <c r="LZ90" i="65"/>
  <c r="LZ98" i="65"/>
  <c r="LZ19" i="65"/>
  <c r="LZ27" i="65"/>
  <c r="LZ35" i="65"/>
  <c r="LZ43" i="65"/>
  <c r="LZ51" i="65"/>
  <c r="LZ59" i="65"/>
  <c r="LZ67" i="65"/>
  <c r="LZ75" i="65"/>
  <c r="LZ83" i="65"/>
  <c r="LZ91" i="65"/>
  <c r="J9" i="4"/>
  <c r="J7" i="4" s="1"/>
  <c r="C8" i="63"/>
  <c r="B9" i="63"/>
  <c r="K9" i="4"/>
  <c r="K7" i="4" s="1"/>
  <c r="C9" i="63"/>
  <c r="H9" i="63" s="1"/>
  <c r="H9" i="4"/>
  <c r="H7" i="4" s="1"/>
  <c r="C10" i="63"/>
  <c r="I9" i="4"/>
  <c r="I7" i="4" s="1"/>
  <c r="C12" i="63"/>
  <c r="G9" i="4"/>
  <c r="G7" i="4" s="1"/>
  <c r="C7" i="63"/>
  <c r="LU103" i="61"/>
  <c r="L20" i="70" l="1"/>
  <c r="J21" i="70"/>
  <c r="F4" i="63"/>
  <c r="O54" i="63"/>
  <c r="F18" i="63"/>
  <c r="LW2" i="61"/>
  <c r="LU102" i="61"/>
  <c r="F3" i="63"/>
  <c r="C17" i="63"/>
  <c r="F17" i="63"/>
  <c r="G17" i="63" s="1"/>
  <c r="H17" i="63" s="1"/>
  <c r="D17" i="63"/>
  <c r="D10" i="63"/>
  <c r="D27" i="63"/>
  <c r="D9" i="63"/>
  <c r="D24" i="63"/>
  <c r="D12" i="63"/>
  <c r="D29" i="63"/>
  <c r="D7" i="63"/>
  <c r="D22" i="63"/>
  <c r="C7" i="4"/>
  <c r="D8" i="63"/>
  <c r="D23" i="63"/>
  <c r="B3" i="63"/>
  <c r="H10" i="63"/>
  <c r="H7" i="63"/>
  <c r="H12" i="63"/>
  <c r="H8" i="63"/>
  <c r="LY4" i="65"/>
  <c r="LX12" i="65"/>
  <c r="LX20" i="65"/>
  <c r="LX28" i="65"/>
  <c r="LX36" i="65"/>
  <c r="LX44" i="65"/>
  <c r="LX52" i="65"/>
  <c r="LX60" i="65"/>
  <c r="LX68" i="65"/>
  <c r="LX76" i="65"/>
  <c r="LX84" i="65"/>
  <c r="LX92" i="65"/>
  <c r="LX13" i="65"/>
  <c r="LX21" i="65"/>
  <c r="LX29" i="65"/>
  <c r="LX37" i="65"/>
  <c r="LX45" i="65"/>
  <c r="LX53" i="65"/>
  <c r="LX61" i="65"/>
  <c r="LX69" i="65"/>
  <c r="LX77" i="65"/>
  <c r="LX85" i="65"/>
  <c r="LX93" i="65"/>
  <c r="LX14" i="65"/>
  <c r="LX22" i="65"/>
  <c r="LX30" i="65"/>
  <c r="LX38" i="65"/>
  <c r="LX46" i="65"/>
  <c r="LX54" i="65"/>
  <c r="LX62" i="65"/>
  <c r="LX70" i="65"/>
  <c r="LX78" i="65"/>
  <c r="LX86" i="65"/>
  <c r="LX94" i="65"/>
  <c r="LX15" i="65"/>
  <c r="LX23" i="65"/>
  <c r="LX31" i="65"/>
  <c r="LX39" i="65"/>
  <c r="LX47" i="65"/>
  <c r="LX55" i="65"/>
  <c r="LX63" i="65"/>
  <c r="LX71" i="65"/>
  <c r="LX79" i="65"/>
  <c r="LX87" i="65"/>
  <c r="LX95" i="65"/>
  <c r="LX16" i="65"/>
  <c r="LX24" i="65"/>
  <c r="LX32" i="65"/>
  <c r="LX40" i="65"/>
  <c r="LX48" i="65"/>
  <c r="LX56" i="65"/>
  <c r="LX64" i="65"/>
  <c r="LX72" i="65"/>
  <c r="LX80" i="65"/>
  <c r="LX88" i="65"/>
  <c r="LX96" i="65"/>
  <c r="LX17" i="65"/>
  <c r="LX25" i="65"/>
  <c r="LX33" i="65"/>
  <c r="LX41" i="65"/>
  <c r="LX49" i="65"/>
  <c r="LX57" i="65"/>
  <c r="LX65" i="65"/>
  <c r="LX73" i="65"/>
  <c r="LX81" i="65"/>
  <c r="LX89" i="65"/>
  <c r="LX97" i="65"/>
  <c r="LX18" i="65"/>
  <c r="LX26" i="65"/>
  <c r="LX34" i="65"/>
  <c r="LX42" i="65"/>
  <c r="LX50" i="65"/>
  <c r="LX58" i="65"/>
  <c r="LX66" i="65"/>
  <c r="LX74" i="65"/>
  <c r="LX82" i="65"/>
  <c r="LX90" i="65"/>
  <c r="LX98" i="65"/>
  <c r="LX19" i="65"/>
  <c r="LX27" i="65"/>
  <c r="LX35" i="65"/>
  <c r="LX43" i="65"/>
  <c r="LX51" i="65"/>
  <c r="LX59" i="65"/>
  <c r="LX67" i="65"/>
  <c r="LX75" i="65"/>
  <c r="LX83" i="65"/>
  <c r="LX91" i="65"/>
  <c r="LW4" i="65"/>
  <c r="LV12" i="65"/>
  <c r="LV20" i="65"/>
  <c r="LV28" i="65"/>
  <c r="LV36" i="65"/>
  <c r="LV44" i="65"/>
  <c r="LV52" i="65"/>
  <c r="LV60" i="65"/>
  <c r="LV68" i="65"/>
  <c r="LV76" i="65"/>
  <c r="LV84" i="65"/>
  <c r="LV92" i="65"/>
  <c r="LV13" i="65"/>
  <c r="LV21" i="65"/>
  <c r="LV29" i="65"/>
  <c r="LV37" i="65"/>
  <c r="LV45" i="65"/>
  <c r="LV53" i="65"/>
  <c r="LV61" i="65"/>
  <c r="LV69" i="65"/>
  <c r="LV77" i="65"/>
  <c r="LV85" i="65"/>
  <c r="LV93" i="65"/>
  <c r="LV14" i="65"/>
  <c r="LV22" i="65"/>
  <c r="LV30" i="65"/>
  <c r="LV38" i="65"/>
  <c r="LV46" i="65"/>
  <c r="LV54" i="65"/>
  <c r="LV62" i="65"/>
  <c r="LV70" i="65"/>
  <c r="LV78" i="65"/>
  <c r="LV86" i="65"/>
  <c r="LV94" i="65"/>
  <c r="LV15" i="65"/>
  <c r="LV23" i="65"/>
  <c r="LV31" i="65"/>
  <c r="LV39" i="65"/>
  <c r="LV47" i="65"/>
  <c r="LV55" i="65"/>
  <c r="LV63" i="65"/>
  <c r="LV71" i="65"/>
  <c r="LV79" i="65"/>
  <c r="LV87" i="65"/>
  <c r="LV95" i="65"/>
  <c r="LV16" i="65"/>
  <c r="LV24" i="65"/>
  <c r="LV32" i="65"/>
  <c r="LV40" i="65"/>
  <c r="LV48" i="65"/>
  <c r="LV56" i="65"/>
  <c r="LV64" i="65"/>
  <c r="LV72" i="65"/>
  <c r="LV80" i="65"/>
  <c r="LV88" i="65"/>
  <c r="LV96" i="65"/>
  <c r="LV17" i="65"/>
  <c r="LV25" i="65"/>
  <c r="LV33" i="65"/>
  <c r="LV41" i="65"/>
  <c r="LV49" i="65"/>
  <c r="LV57" i="65"/>
  <c r="LV65" i="65"/>
  <c r="LV73" i="65"/>
  <c r="LV81" i="65"/>
  <c r="LV89" i="65"/>
  <c r="LV97" i="65"/>
  <c r="LV18" i="65"/>
  <c r="LV26" i="65"/>
  <c r="LV34" i="65"/>
  <c r="LV42" i="65"/>
  <c r="LV50" i="65"/>
  <c r="LV58" i="65"/>
  <c r="LV66" i="65"/>
  <c r="LV74" i="65"/>
  <c r="LV82" i="65"/>
  <c r="LV90" i="65"/>
  <c r="LV98" i="65"/>
  <c r="LV19" i="65"/>
  <c r="LV27" i="65"/>
  <c r="LV35" i="65"/>
  <c r="LV43" i="65"/>
  <c r="LV51" i="65"/>
  <c r="LV59" i="65"/>
  <c r="LV67" i="65"/>
  <c r="LV75" i="65"/>
  <c r="LV83" i="65"/>
  <c r="LV91" i="65"/>
  <c r="T20" i="21"/>
  <c r="LU4" i="65"/>
  <c r="LT12" i="65"/>
  <c r="LT20" i="65"/>
  <c r="LT28" i="65"/>
  <c r="LT36" i="65"/>
  <c r="LT44" i="65"/>
  <c r="LT52" i="65"/>
  <c r="LT60" i="65"/>
  <c r="LT68" i="65"/>
  <c r="LT76" i="65"/>
  <c r="LT84" i="65"/>
  <c r="LT92" i="65"/>
  <c r="LT13" i="65"/>
  <c r="LT21" i="65"/>
  <c r="LT29" i="65"/>
  <c r="LT37" i="65"/>
  <c r="LT45" i="65"/>
  <c r="LT53" i="65"/>
  <c r="LT61" i="65"/>
  <c r="LT69" i="65"/>
  <c r="LT77" i="65"/>
  <c r="LT85" i="65"/>
  <c r="LT93" i="65"/>
  <c r="LT14" i="65"/>
  <c r="LT22" i="65"/>
  <c r="LT30" i="65"/>
  <c r="LT38" i="65"/>
  <c r="LT46" i="65"/>
  <c r="LT54" i="65"/>
  <c r="LT62" i="65"/>
  <c r="LT70" i="65"/>
  <c r="LT78" i="65"/>
  <c r="LT86" i="65"/>
  <c r="LT94" i="65"/>
  <c r="LT15" i="65"/>
  <c r="LT23" i="65"/>
  <c r="LT31" i="65"/>
  <c r="LT39" i="65"/>
  <c r="LT47" i="65"/>
  <c r="LT55" i="65"/>
  <c r="LT63" i="65"/>
  <c r="LT71" i="65"/>
  <c r="LT79" i="65"/>
  <c r="LT87" i="65"/>
  <c r="LT95" i="65"/>
  <c r="LT16" i="65"/>
  <c r="LT24" i="65"/>
  <c r="LT32" i="65"/>
  <c r="LT40" i="65"/>
  <c r="LT48" i="65"/>
  <c r="LT56" i="65"/>
  <c r="LT64" i="65"/>
  <c r="LT72" i="65"/>
  <c r="LT80" i="65"/>
  <c r="LT88" i="65"/>
  <c r="LT96" i="65"/>
  <c r="LT17" i="65"/>
  <c r="LT25" i="65"/>
  <c r="LT33" i="65"/>
  <c r="LT41" i="65"/>
  <c r="LT49" i="65"/>
  <c r="LT57" i="65"/>
  <c r="LT65" i="65"/>
  <c r="LT73" i="65"/>
  <c r="LT81" i="65"/>
  <c r="LT89" i="65"/>
  <c r="LT97" i="65"/>
  <c r="LT18" i="65"/>
  <c r="LT26" i="65"/>
  <c r="LT34" i="65"/>
  <c r="LT42" i="65"/>
  <c r="LT50" i="65"/>
  <c r="LT58" i="65"/>
  <c r="LT66" i="65"/>
  <c r="LT74" i="65"/>
  <c r="LT82" i="65"/>
  <c r="LT90" i="65"/>
  <c r="LT98" i="65"/>
  <c r="LT19" i="65"/>
  <c r="LT27" i="65"/>
  <c r="LT35" i="65"/>
  <c r="LT43" i="65"/>
  <c r="LT51" i="65"/>
  <c r="LT59" i="65"/>
  <c r="LT67" i="65"/>
  <c r="LT75" i="65"/>
  <c r="LT83" i="65"/>
  <c r="LT91" i="65"/>
  <c r="LS4" i="65"/>
  <c r="LR12" i="65"/>
  <c r="LR20" i="65"/>
  <c r="LR28" i="65"/>
  <c r="LR36" i="65"/>
  <c r="LR44" i="65"/>
  <c r="LR52" i="65"/>
  <c r="LR60" i="65"/>
  <c r="LR68" i="65"/>
  <c r="LR76" i="65"/>
  <c r="LR84" i="65"/>
  <c r="LR92" i="65"/>
  <c r="LR13" i="65"/>
  <c r="LR21" i="65"/>
  <c r="LR29" i="65"/>
  <c r="LR37" i="65"/>
  <c r="LR45" i="65"/>
  <c r="LR53" i="65"/>
  <c r="LR61" i="65"/>
  <c r="LR69" i="65"/>
  <c r="LR77" i="65"/>
  <c r="LR85" i="65"/>
  <c r="LR93" i="65"/>
  <c r="LR14" i="65"/>
  <c r="LR22" i="65"/>
  <c r="LR30" i="65"/>
  <c r="LR38" i="65"/>
  <c r="LR46" i="65"/>
  <c r="LR54" i="65"/>
  <c r="LR62" i="65"/>
  <c r="LR70" i="65"/>
  <c r="LR78" i="65"/>
  <c r="LR86" i="65"/>
  <c r="LR94" i="65"/>
  <c r="LR15" i="65"/>
  <c r="LR23" i="65"/>
  <c r="LR31" i="65"/>
  <c r="LR39" i="65"/>
  <c r="LR47" i="65"/>
  <c r="LR55" i="65"/>
  <c r="LR63" i="65"/>
  <c r="LR71" i="65"/>
  <c r="LR79" i="65"/>
  <c r="LR87" i="65"/>
  <c r="LR95" i="65"/>
  <c r="LR16" i="65"/>
  <c r="LR24" i="65"/>
  <c r="LR32" i="65"/>
  <c r="LR40" i="65"/>
  <c r="LR48" i="65"/>
  <c r="LR56" i="65"/>
  <c r="LR64" i="65"/>
  <c r="LR72" i="65"/>
  <c r="LR80" i="65"/>
  <c r="LR88" i="65"/>
  <c r="LR96" i="65"/>
  <c r="LR17" i="65"/>
  <c r="LR25" i="65"/>
  <c r="LR33" i="65"/>
  <c r="LR41" i="65"/>
  <c r="LR49" i="65"/>
  <c r="LR57" i="65"/>
  <c r="LR65" i="65"/>
  <c r="LR73" i="65"/>
  <c r="LR81" i="65"/>
  <c r="LR89" i="65"/>
  <c r="LR97" i="65"/>
  <c r="LR18" i="65"/>
  <c r="LR26" i="65"/>
  <c r="LR34" i="65"/>
  <c r="LR42" i="65"/>
  <c r="LR50" i="65"/>
  <c r="LR58" i="65"/>
  <c r="LR66" i="65"/>
  <c r="LR74" i="65"/>
  <c r="LR82" i="65"/>
  <c r="LR90" i="65"/>
  <c r="LR98" i="65"/>
  <c r="LR19" i="65"/>
  <c r="LR27" i="65"/>
  <c r="LR35" i="65"/>
  <c r="LR43" i="65"/>
  <c r="LR51" i="65"/>
  <c r="LR59" i="65"/>
  <c r="LR67" i="65"/>
  <c r="LR75" i="65"/>
  <c r="LR83" i="65"/>
  <c r="LR91" i="65"/>
  <c r="T19" i="21"/>
  <c r="L21" i="70" l="1"/>
  <c r="J22" i="70"/>
  <c r="E33" i="63"/>
  <c r="G3" i="63"/>
  <c r="H3" i="63" s="1"/>
  <c r="LS103" i="61"/>
  <c r="LS102" i="61"/>
  <c r="I17" i="63"/>
  <c r="J17" i="63" s="1"/>
  <c r="E17" i="63"/>
  <c r="D3" i="63"/>
  <c r="T18" i="21"/>
  <c r="J23" i="70" l="1"/>
  <c r="L22" i="70"/>
  <c r="LS2" i="61"/>
  <c r="O51" i="63"/>
  <c r="W2" i="4"/>
  <c r="E3" i="63"/>
  <c r="LP16" i="65"/>
  <c r="LP24" i="65"/>
  <c r="LP32" i="65"/>
  <c r="LP40" i="65"/>
  <c r="LP48" i="65"/>
  <c r="LP56" i="65"/>
  <c r="LP64" i="65"/>
  <c r="LP72" i="65"/>
  <c r="LP80" i="65"/>
  <c r="LP88" i="65"/>
  <c r="LP96" i="65"/>
  <c r="LP55" i="65"/>
  <c r="LP95" i="65"/>
  <c r="LP17" i="65"/>
  <c r="LP25" i="65"/>
  <c r="LP33" i="65"/>
  <c r="LP41" i="65"/>
  <c r="LP49" i="65"/>
  <c r="LP57" i="65"/>
  <c r="LP65" i="65"/>
  <c r="LP73" i="65"/>
  <c r="LP81" i="65"/>
  <c r="LP89" i="65"/>
  <c r="LP97" i="65"/>
  <c r="LP63" i="65"/>
  <c r="LP18" i="65"/>
  <c r="LP26" i="65"/>
  <c r="LP34" i="65"/>
  <c r="LP42" i="65"/>
  <c r="LP50" i="65"/>
  <c r="LP58" i="65"/>
  <c r="LP66" i="65"/>
  <c r="LP74" i="65"/>
  <c r="LP82" i="65"/>
  <c r="LP90" i="65"/>
  <c r="LP98" i="65"/>
  <c r="LP47" i="65"/>
  <c r="LQ4" i="65"/>
  <c r="LP19" i="65"/>
  <c r="LP27" i="65"/>
  <c r="LP35" i="65"/>
  <c r="LP43" i="65"/>
  <c r="LP51" i="65"/>
  <c r="LP59" i="65"/>
  <c r="LP67" i="65"/>
  <c r="LP75" i="65"/>
  <c r="LP83" i="65"/>
  <c r="LP91" i="65"/>
  <c r="LP39" i="65"/>
  <c r="LP87" i="65"/>
  <c r="LP12" i="65"/>
  <c r="LP20" i="65"/>
  <c r="LP28" i="65"/>
  <c r="LP36" i="65"/>
  <c r="LP44" i="65"/>
  <c r="LP52" i="65"/>
  <c r="LP60" i="65"/>
  <c r="LP68" i="65"/>
  <c r="LP76" i="65"/>
  <c r="LP84" i="65"/>
  <c r="LP92" i="65"/>
  <c r="LP31" i="65"/>
  <c r="LP13" i="65"/>
  <c r="LP21" i="65"/>
  <c r="LP29" i="65"/>
  <c r="LP37" i="65"/>
  <c r="LP45" i="65"/>
  <c r="LP53" i="65"/>
  <c r="LP61" i="65"/>
  <c r="LP69" i="65"/>
  <c r="LP77" i="65"/>
  <c r="LP85" i="65"/>
  <c r="LP93" i="65"/>
  <c r="LP15" i="65"/>
  <c r="LP71" i="65"/>
  <c r="LP14" i="65"/>
  <c r="LP22" i="65"/>
  <c r="LP30" i="65"/>
  <c r="LP38" i="65"/>
  <c r="LP46" i="65"/>
  <c r="LP54" i="65"/>
  <c r="LP62" i="65"/>
  <c r="LP70" i="65"/>
  <c r="LP78" i="65"/>
  <c r="LP86" i="65"/>
  <c r="LP94" i="65"/>
  <c r="LP23" i="65"/>
  <c r="LP79" i="65"/>
  <c r="W3" i="4"/>
  <c r="L23" i="70" l="1"/>
  <c r="J24" i="70"/>
  <c r="LO103" i="61"/>
  <c r="L24" i="70" l="1"/>
  <c r="J25" i="70"/>
  <c r="LO102" i="61"/>
  <c r="O42" i="63" s="1"/>
  <c r="T17" i="21"/>
  <c r="L25" i="70" l="1"/>
  <c r="J26" i="70"/>
  <c r="O57" i="63"/>
  <c r="EF6" i="4"/>
  <c r="L26" i="70" l="1"/>
  <c r="J27" i="70"/>
  <c r="P48" i="63"/>
  <c r="P47" i="63"/>
  <c r="P45" i="63"/>
  <c r="P53" i="63"/>
  <c r="P56" i="63"/>
  <c r="P43" i="63"/>
  <c r="P37" i="63"/>
  <c r="P41" i="63"/>
  <c r="P40" i="63"/>
  <c r="P50" i="63"/>
  <c r="P44" i="63"/>
  <c r="P38" i="63"/>
  <c r="P39" i="63"/>
  <c r="P55" i="63"/>
  <c r="P49" i="63"/>
  <c r="P46" i="63"/>
  <c r="P52" i="63"/>
  <c r="P54" i="63"/>
  <c r="P51" i="63"/>
  <c r="P42" i="63"/>
  <c r="AA5" i="4"/>
  <c r="J28" i="70" l="1"/>
  <c r="L27" i="70"/>
  <c r="DN14" i="4"/>
  <c r="DN15" i="4"/>
  <c r="DN16" i="4"/>
  <c r="DN17" i="4"/>
  <c r="EE23" i="4"/>
  <c r="EB23" i="4"/>
  <c r="DW23" i="4"/>
  <c r="DT23" i="4"/>
  <c r="DN23" i="4"/>
  <c r="DA8" i="4"/>
  <c r="DB11" i="4"/>
  <c r="DB12" i="4"/>
  <c r="DB13" i="4"/>
  <c r="DB14" i="4"/>
  <c r="DB15" i="4"/>
  <c r="DB16" i="4"/>
  <c r="DB17" i="4"/>
  <c r="DB18" i="4"/>
  <c r="DB19" i="4"/>
  <c r="DB20" i="4"/>
  <c r="DB21" i="4"/>
  <c r="DB22" i="4"/>
  <c r="DB23" i="4"/>
  <c r="DB24" i="4"/>
  <c r="DB25" i="4"/>
  <c r="DB26" i="4"/>
  <c r="DB27" i="4"/>
  <c r="DB28" i="4"/>
  <c r="DB29" i="4"/>
  <c r="DB30" i="4"/>
  <c r="DB31" i="4"/>
  <c r="DB32" i="4"/>
  <c r="DB33" i="4"/>
  <c r="DB34" i="4"/>
  <c r="DB35" i="4"/>
  <c r="DB36" i="4"/>
  <c r="DB37" i="4"/>
  <c r="DB38" i="4"/>
  <c r="DB39" i="4"/>
  <c r="DB40" i="4"/>
  <c r="DB41" i="4"/>
  <c r="DB42" i="4"/>
  <c r="DB43" i="4"/>
  <c r="DB44" i="4"/>
  <c r="DB45" i="4"/>
  <c r="DB46" i="4"/>
  <c r="DB113" i="4"/>
  <c r="DB114" i="4"/>
  <c r="DB115" i="4"/>
  <c r="DB116" i="4"/>
  <c r="DB117" i="4"/>
  <c r="DB118" i="4"/>
  <c r="DB119" i="4"/>
  <c r="DB120" i="4"/>
  <c r="EW23" i="4"/>
  <c r="EW11" i="4"/>
  <c r="EW13" i="4"/>
  <c r="EW14" i="4"/>
  <c r="EW15" i="4"/>
  <c r="EW16" i="4"/>
  <c r="EW17" i="4"/>
  <c r="EW18" i="4"/>
  <c r="EW19" i="4"/>
  <c r="EW22" i="4"/>
  <c r="DX23" i="4"/>
  <c r="DZ23" i="4"/>
  <c r="L28" i="70" l="1"/>
  <c r="J29" i="70"/>
  <c r="DA9" i="4"/>
  <c r="DB112" i="4" s="1"/>
  <c r="EC23" i="4"/>
  <c r="DB110" i="4" l="1"/>
  <c r="DB111" i="4"/>
  <c r="L29" i="70"/>
  <c r="J30" i="70"/>
  <c r="DB108" i="4"/>
  <c r="DB109" i="4"/>
  <c r="DB106" i="4"/>
  <c r="DB107" i="4"/>
  <c r="DB104" i="4"/>
  <c r="DB105" i="4"/>
  <c r="DB102" i="4"/>
  <c r="DB103" i="4"/>
  <c r="DB100" i="4"/>
  <c r="DB101" i="4"/>
  <c r="DB98" i="4"/>
  <c r="DB99" i="4"/>
  <c r="DB96" i="4"/>
  <c r="DB97" i="4"/>
  <c r="DB73" i="4"/>
  <c r="DB95" i="4"/>
  <c r="DB85" i="4"/>
  <c r="DB68" i="4"/>
  <c r="DB52" i="4"/>
  <c r="DB93" i="4"/>
  <c r="DB94" i="4"/>
  <c r="DB53" i="4"/>
  <c r="DB76" i="4"/>
  <c r="DB48" i="4"/>
  <c r="DB66" i="4"/>
  <c r="DB71" i="4"/>
  <c r="DB58" i="4"/>
  <c r="DB84" i="4"/>
  <c r="DB57" i="4"/>
  <c r="DB74" i="4"/>
  <c r="DB80" i="4"/>
  <c r="DB92" i="4"/>
  <c r="DB65" i="4"/>
  <c r="DB82" i="4"/>
  <c r="DB50" i="4"/>
  <c r="DB72" i="4"/>
  <c r="DB61" i="4"/>
  <c r="DB81" i="4"/>
  <c r="DB88" i="4"/>
  <c r="DB83" i="4"/>
  <c r="DB51" i="4"/>
  <c r="DB69" i="4"/>
  <c r="DB89" i="4"/>
  <c r="DB63" i="4"/>
  <c r="DB70" i="4"/>
  <c r="DB67" i="4"/>
  <c r="DB60" i="4"/>
  <c r="DB77" i="4"/>
  <c r="DB49" i="4"/>
  <c r="DB79" i="4"/>
  <c r="DB55" i="4"/>
  <c r="DB90" i="4"/>
  <c r="DB47" i="4"/>
  <c r="DB86" i="4"/>
  <c r="DB56" i="4"/>
  <c r="DB64" i="4"/>
  <c r="DB87" i="4"/>
  <c r="DB54" i="4"/>
  <c r="DB75" i="4"/>
  <c r="DB78" i="4"/>
  <c r="DB59" i="4"/>
  <c r="DB62" i="4"/>
  <c r="DB91" i="4"/>
  <c r="EB22" i="4"/>
  <c r="DW22" i="4"/>
  <c r="CV4" i="4"/>
  <c r="DT22" i="4"/>
  <c r="CT113" i="4"/>
  <c r="CT114" i="4"/>
  <c r="CT115" i="4"/>
  <c r="CT116" i="4"/>
  <c r="CT117" i="4"/>
  <c r="CT118" i="4"/>
  <c r="CT119" i="4"/>
  <c r="CT120" i="4"/>
  <c r="CS8" i="4"/>
  <c r="DZ22" i="4"/>
  <c r="J31" i="70" l="1"/>
  <c r="L30" i="70"/>
  <c r="CS9" i="4"/>
  <c r="C32" i="63"/>
  <c r="H32" i="63" s="1"/>
  <c r="CT108" i="4"/>
  <c r="CT107" i="4"/>
  <c r="CT106" i="4"/>
  <c r="CT105" i="4"/>
  <c r="CT99" i="4"/>
  <c r="CT98" i="4"/>
  <c r="CT97" i="4"/>
  <c r="CT96" i="4"/>
  <c r="CT95" i="4"/>
  <c r="CT94" i="4"/>
  <c r="EK23" i="4"/>
  <c r="CT93" i="4"/>
  <c r="CT11" i="4"/>
  <c r="CT62" i="4"/>
  <c r="CT91" i="4"/>
  <c r="CT89" i="4"/>
  <c r="CT81" i="4"/>
  <c r="CT73" i="4"/>
  <c r="CT65" i="4"/>
  <c r="CT57" i="4"/>
  <c r="CT49" i="4"/>
  <c r="CT41" i="4"/>
  <c r="CT33" i="4"/>
  <c r="CT25" i="4"/>
  <c r="CT17" i="4"/>
  <c r="CT90" i="4"/>
  <c r="CT42" i="4"/>
  <c r="CT26" i="4"/>
  <c r="CT18" i="4"/>
  <c r="CT88" i="4"/>
  <c r="CT80" i="4"/>
  <c r="CT72" i="4"/>
  <c r="CT64" i="4"/>
  <c r="CT56" i="4"/>
  <c r="CT48" i="4"/>
  <c r="CT40" i="4"/>
  <c r="CT32" i="4"/>
  <c r="CT24" i="4"/>
  <c r="CT16" i="4"/>
  <c r="CT74" i="4"/>
  <c r="CT50" i="4"/>
  <c r="CT34" i="4"/>
  <c r="CT87" i="4"/>
  <c r="CT79" i="4"/>
  <c r="CT71" i="4"/>
  <c r="CT63" i="4"/>
  <c r="CT55" i="4"/>
  <c r="CT47" i="4"/>
  <c r="CT39" i="4"/>
  <c r="CT31" i="4"/>
  <c r="CT23" i="4"/>
  <c r="CT15" i="4"/>
  <c r="CT78" i="4"/>
  <c r="CT46" i="4"/>
  <c r="CT38" i="4"/>
  <c r="CT30" i="4"/>
  <c r="CT22" i="4"/>
  <c r="CT14" i="4"/>
  <c r="CT58" i="4"/>
  <c r="CT85" i="4"/>
  <c r="CT77" i="4"/>
  <c r="CT69" i="4"/>
  <c r="CT61" i="4"/>
  <c r="CT53" i="4"/>
  <c r="CT45" i="4"/>
  <c r="CT37" i="4"/>
  <c r="CT29" i="4"/>
  <c r="CT21" i="4"/>
  <c r="CT13" i="4"/>
  <c r="CT82" i="4"/>
  <c r="CT86" i="4"/>
  <c r="CT54" i="4"/>
  <c r="CT84" i="4"/>
  <c r="CT76" i="4"/>
  <c r="CT68" i="4"/>
  <c r="CT60" i="4"/>
  <c r="CT52" i="4"/>
  <c r="CT44" i="4"/>
  <c r="CT36" i="4"/>
  <c r="CT28" i="4"/>
  <c r="CT20" i="4"/>
  <c r="CT12" i="4"/>
  <c r="CT66" i="4"/>
  <c r="CT70" i="4"/>
  <c r="CT83" i="4"/>
  <c r="CT75" i="4"/>
  <c r="CT67" i="4"/>
  <c r="CT59" i="4"/>
  <c r="CT51" i="4"/>
  <c r="CT43" i="4"/>
  <c r="CT35" i="4"/>
  <c r="CT27" i="4"/>
  <c r="CT19" i="4"/>
  <c r="DX22" i="4"/>
  <c r="AJ11" i="4"/>
  <c r="AJ12" i="4"/>
  <c r="AJ13" i="4"/>
  <c r="Q8" i="4"/>
  <c r="Q9" i="4" s="1"/>
  <c r="R90" i="4" s="1"/>
  <c r="CN11" i="4"/>
  <c r="CN12" i="4"/>
  <c r="CN13" i="4"/>
  <c r="CN14" i="4"/>
  <c r="CN15" i="4"/>
  <c r="CN16" i="4"/>
  <c r="CN17" i="4"/>
  <c r="CN18" i="4"/>
  <c r="CN19" i="4"/>
  <c r="CN20" i="4"/>
  <c r="CN21" i="4"/>
  <c r="CN22" i="4"/>
  <c r="CN23" i="4"/>
  <c r="CN24" i="4"/>
  <c r="CN25" i="4"/>
  <c r="CN26" i="4"/>
  <c r="CN27" i="4"/>
  <c r="CN28" i="4"/>
  <c r="CN29" i="4"/>
  <c r="CN30" i="4"/>
  <c r="CN31" i="4"/>
  <c r="CN32" i="4"/>
  <c r="CN33" i="4"/>
  <c r="CN34" i="4"/>
  <c r="CN35" i="4"/>
  <c r="CN36" i="4"/>
  <c r="CN37" i="4"/>
  <c r="CN38" i="4"/>
  <c r="CN39" i="4"/>
  <c r="CN40" i="4"/>
  <c r="CN41" i="4"/>
  <c r="CN42" i="4"/>
  <c r="CN43" i="4"/>
  <c r="CN44" i="4"/>
  <c r="CN45" i="4"/>
  <c r="CN46" i="4"/>
  <c r="CN47" i="4"/>
  <c r="CN48" i="4"/>
  <c r="CN49" i="4"/>
  <c r="CN50" i="4"/>
  <c r="CN51" i="4"/>
  <c r="CN52" i="4"/>
  <c r="CN53" i="4"/>
  <c r="CN113" i="4"/>
  <c r="CN114" i="4"/>
  <c r="CN115" i="4"/>
  <c r="CN116" i="4"/>
  <c r="CN117" i="4"/>
  <c r="CN118" i="4"/>
  <c r="CN119" i="4"/>
  <c r="CN120" i="4"/>
  <c r="AA113" i="4"/>
  <c r="AA114" i="4"/>
  <c r="AA115" i="4"/>
  <c r="AA116" i="4"/>
  <c r="AA117" i="4"/>
  <c r="AA118" i="4"/>
  <c r="AA119" i="4"/>
  <c r="AA120" i="4"/>
  <c r="Y113" i="4"/>
  <c r="Y114" i="4"/>
  <c r="Y115" i="4"/>
  <c r="Y116" i="4"/>
  <c r="Y117" i="4"/>
  <c r="Y118" i="4"/>
  <c r="Y119" i="4"/>
  <c r="Y120" i="4"/>
  <c r="V113" i="4"/>
  <c r="V114" i="4"/>
  <c r="V115" i="4"/>
  <c r="V116" i="4"/>
  <c r="V117" i="4"/>
  <c r="V118" i="4"/>
  <c r="V119" i="4"/>
  <c r="V120" i="4"/>
  <c r="T11" i="4"/>
  <c r="T12" i="4"/>
  <c r="T13" i="4"/>
  <c r="T14" i="4"/>
  <c r="T15" i="4"/>
  <c r="T16" i="4"/>
  <c r="T17" i="4"/>
  <c r="T18" i="4"/>
  <c r="T113" i="4"/>
  <c r="T114" i="4"/>
  <c r="T115" i="4"/>
  <c r="T116" i="4"/>
  <c r="T117" i="4"/>
  <c r="T118" i="4"/>
  <c r="T119" i="4"/>
  <c r="T120" i="4"/>
  <c r="R108" i="4"/>
  <c r="R109" i="4"/>
  <c r="R110" i="4"/>
  <c r="R111" i="4"/>
  <c r="R112" i="4"/>
  <c r="R113" i="4"/>
  <c r="R114" i="4"/>
  <c r="R115" i="4"/>
  <c r="R116" i="4"/>
  <c r="R117" i="4"/>
  <c r="R118" i="4"/>
  <c r="R119" i="4"/>
  <c r="R120" i="4"/>
  <c r="P113" i="4"/>
  <c r="P114" i="4"/>
  <c r="P115" i="4"/>
  <c r="P116" i="4"/>
  <c r="P117" i="4"/>
  <c r="P118" i="4"/>
  <c r="P119" i="4"/>
  <c r="P120" i="4"/>
  <c r="CT102" i="4" l="1"/>
  <c r="CT112" i="4"/>
  <c r="CT100" i="4"/>
  <c r="CT101" i="4"/>
  <c r="CT110" i="4"/>
  <c r="CT111" i="4"/>
  <c r="CT103" i="4"/>
  <c r="CT104" i="4"/>
  <c r="L31" i="70"/>
  <c r="J32" i="70"/>
  <c r="CT92" i="4"/>
  <c r="CS7" i="4"/>
  <c r="CT109" i="4"/>
  <c r="R107" i="4"/>
  <c r="R106" i="4"/>
  <c r="R105" i="4"/>
  <c r="R102" i="4"/>
  <c r="R103" i="4"/>
  <c r="R104" i="4"/>
  <c r="R101" i="4"/>
  <c r="R100" i="4"/>
  <c r="R99" i="4"/>
  <c r="R95" i="4"/>
  <c r="R98" i="4"/>
  <c r="R97" i="4"/>
  <c r="R96" i="4"/>
  <c r="R94" i="4"/>
  <c r="R93" i="4"/>
  <c r="R92" i="4"/>
  <c r="R91" i="4"/>
  <c r="EK22" i="4" a="1"/>
  <c r="R11" i="4"/>
  <c r="R19" i="4"/>
  <c r="R27" i="4"/>
  <c r="R35" i="4"/>
  <c r="R43" i="4"/>
  <c r="R51" i="4"/>
  <c r="R59" i="4"/>
  <c r="R67" i="4"/>
  <c r="R75" i="4"/>
  <c r="R83" i="4"/>
  <c r="R26" i="4"/>
  <c r="R12" i="4"/>
  <c r="R20" i="4"/>
  <c r="R28" i="4"/>
  <c r="R36" i="4"/>
  <c r="R44" i="4"/>
  <c r="R52" i="4"/>
  <c r="R60" i="4"/>
  <c r="R68" i="4"/>
  <c r="R76" i="4"/>
  <c r="R84" i="4"/>
  <c r="R34" i="4"/>
  <c r="R82" i="4"/>
  <c r="R13" i="4"/>
  <c r="R21" i="4"/>
  <c r="R29" i="4"/>
  <c r="R37" i="4"/>
  <c r="R45" i="4"/>
  <c r="R53" i="4"/>
  <c r="R61" i="4"/>
  <c r="R69" i="4"/>
  <c r="R77" i="4"/>
  <c r="R85" i="4"/>
  <c r="R66" i="4"/>
  <c r="R14" i="4"/>
  <c r="R22" i="4"/>
  <c r="R30" i="4"/>
  <c r="R38" i="4"/>
  <c r="R46" i="4"/>
  <c r="R54" i="4"/>
  <c r="R62" i="4"/>
  <c r="R70" i="4"/>
  <c r="R78" i="4"/>
  <c r="R86" i="4"/>
  <c r="R50" i="4"/>
  <c r="R15" i="4"/>
  <c r="R23" i="4"/>
  <c r="R31" i="4"/>
  <c r="R39" i="4"/>
  <c r="R47" i="4"/>
  <c r="R55" i="4"/>
  <c r="R63" i="4"/>
  <c r="R71" i="4"/>
  <c r="R79" i="4"/>
  <c r="R87" i="4"/>
  <c r="R42" i="4"/>
  <c r="R16" i="4"/>
  <c r="R24" i="4"/>
  <c r="R32" i="4"/>
  <c r="R40" i="4"/>
  <c r="R48" i="4"/>
  <c r="R56" i="4"/>
  <c r="R64" i="4"/>
  <c r="R72" i="4"/>
  <c r="R80" i="4"/>
  <c r="R88" i="4"/>
  <c r="R18" i="4"/>
  <c r="R74" i="4"/>
  <c r="R17" i="4"/>
  <c r="R25" i="4"/>
  <c r="R33" i="4"/>
  <c r="R41" i="4"/>
  <c r="R49" i="4"/>
  <c r="R57" i="4"/>
  <c r="R65" i="4"/>
  <c r="R73" i="4"/>
  <c r="R81" i="4"/>
  <c r="R89" i="4"/>
  <c r="R58" i="4"/>
  <c r="AA7" i="4"/>
  <c r="T10" i="21"/>
  <c r="DO22" i="4" s="1"/>
  <c r="AQ115" i="4"/>
  <c r="L115" i="4" s="1"/>
  <c r="AQ116" i="4"/>
  <c r="L116" i="4" s="1"/>
  <c r="AQ117" i="4"/>
  <c r="L117" i="4" s="1"/>
  <c r="BR115" i="4"/>
  <c r="BR116" i="4"/>
  <c r="BR117" i="4"/>
  <c r="CK115" i="4"/>
  <c r="CK116" i="4"/>
  <c r="CK117" i="4"/>
  <c r="CL115" i="4"/>
  <c r="CL116" i="4"/>
  <c r="CL117" i="4"/>
  <c r="CO115" i="4"/>
  <c r="CO116" i="4"/>
  <c r="CO117" i="4"/>
  <c r="CP115" i="4"/>
  <c r="CP116" i="4"/>
  <c r="CP117" i="4"/>
  <c r="EK22" i="4" l="1"/>
  <c r="L32" i="70"/>
  <c r="J33" i="70"/>
  <c r="CS6" i="4"/>
  <c r="D32" i="63"/>
  <c r="E32" i="63" s="1"/>
  <c r="CY11" i="4"/>
  <c r="CY19" i="4"/>
  <c r="CY27" i="4"/>
  <c r="CY35" i="4"/>
  <c r="CY43" i="4"/>
  <c r="CY51" i="4"/>
  <c r="CY59" i="4"/>
  <c r="CY34" i="4"/>
  <c r="CY12" i="4"/>
  <c r="CY20" i="4"/>
  <c r="CY28" i="4"/>
  <c r="CY36" i="4"/>
  <c r="CY44" i="4"/>
  <c r="CY52" i="4"/>
  <c r="CY60" i="4"/>
  <c r="CY18" i="4"/>
  <c r="CY13" i="4"/>
  <c r="CY21" i="4"/>
  <c r="CY29" i="4"/>
  <c r="CY37" i="4"/>
  <c r="CY45" i="4"/>
  <c r="CY53" i="4"/>
  <c r="CY61" i="4"/>
  <c r="CY50" i="4"/>
  <c r="CY14" i="4"/>
  <c r="CY22" i="4"/>
  <c r="CY30" i="4"/>
  <c r="CY38" i="4"/>
  <c r="CY46" i="4"/>
  <c r="CY54" i="4"/>
  <c r="CY55" i="4"/>
  <c r="CY26" i="4"/>
  <c r="CY15" i="4"/>
  <c r="CY23" i="4"/>
  <c r="CY31" i="4"/>
  <c r="CY39" i="4"/>
  <c r="CY47" i="4"/>
  <c r="CY57" i="4"/>
  <c r="CY58" i="4"/>
  <c r="CY16" i="4"/>
  <c r="CY24" i="4"/>
  <c r="CY32" i="4"/>
  <c r="CY40" i="4"/>
  <c r="CY48" i="4"/>
  <c r="CY56" i="4"/>
  <c r="CY42" i="4"/>
  <c r="CY17" i="4"/>
  <c r="CY25" i="4"/>
  <c r="CY33" i="4"/>
  <c r="CY41" i="4"/>
  <c r="CY49" i="4"/>
  <c r="CU12" i="4"/>
  <c r="CV12" i="4" s="1"/>
  <c r="CW12" i="4" s="1"/>
  <c r="CU20" i="4"/>
  <c r="CV20" i="4" s="1"/>
  <c r="CW20" i="4" s="1"/>
  <c r="CU28" i="4"/>
  <c r="CV28" i="4" s="1"/>
  <c r="CW28" i="4" s="1"/>
  <c r="CU36" i="4"/>
  <c r="CV36" i="4" s="1"/>
  <c r="CW36" i="4" s="1"/>
  <c r="CU44" i="4"/>
  <c r="CV44" i="4" s="1"/>
  <c r="CW44" i="4" s="1"/>
  <c r="CU52" i="4"/>
  <c r="CV52" i="4" s="1"/>
  <c r="CW52" i="4" s="1"/>
  <c r="CU60" i="4"/>
  <c r="CV60" i="4" s="1"/>
  <c r="CW60" i="4" s="1"/>
  <c r="CU56" i="4"/>
  <c r="CV56" i="4" s="1"/>
  <c r="CW56" i="4" s="1"/>
  <c r="CU43" i="4"/>
  <c r="CV43" i="4" s="1"/>
  <c r="CW43" i="4" s="1"/>
  <c r="CU13" i="4"/>
  <c r="CV13" i="4" s="1"/>
  <c r="CW13" i="4" s="1"/>
  <c r="CU21" i="4"/>
  <c r="CV21" i="4" s="1"/>
  <c r="CW21" i="4" s="1"/>
  <c r="CU29" i="4"/>
  <c r="CV29" i="4" s="1"/>
  <c r="CW29" i="4" s="1"/>
  <c r="CU37" i="4"/>
  <c r="CV37" i="4" s="1"/>
  <c r="CW37" i="4" s="1"/>
  <c r="CU45" i="4"/>
  <c r="CV45" i="4" s="1"/>
  <c r="CW45" i="4" s="1"/>
  <c r="CU53" i="4"/>
  <c r="CV53" i="4" s="1"/>
  <c r="CW53" i="4" s="1"/>
  <c r="CU61" i="4"/>
  <c r="CV61" i="4" s="1"/>
  <c r="CW61" i="4" s="1"/>
  <c r="CU48" i="4"/>
  <c r="CV48" i="4" s="1"/>
  <c r="CW48" i="4" s="1"/>
  <c r="CU35" i="4"/>
  <c r="CV35" i="4" s="1"/>
  <c r="CW35" i="4" s="1"/>
  <c r="CU14" i="4"/>
  <c r="CV14" i="4" s="1"/>
  <c r="CW14" i="4" s="1"/>
  <c r="CU22" i="4"/>
  <c r="CV22" i="4" s="1"/>
  <c r="CW22" i="4" s="1"/>
  <c r="CU30" i="4"/>
  <c r="CV30" i="4" s="1"/>
  <c r="CW30" i="4" s="1"/>
  <c r="CU38" i="4"/>
  <c r="CV38" i="4" s="1"/>
  <c r="CW38" i="4" s="1"/>
  <c r="CU46" i="4"/>
  <c r="CV46" i="4" s="1"/>
  <c r="CW46" i="4" s="1"/>
  <c r="CU54" i="4"/>
  <c r="CV54" i="4" s="1"/>
  <c r="CW54" i="4" s="1"/>
  <c r="CU51" i="4"/>
  <c r="CV51" i="4" s="1"/>
  <c r="CW51" i="4" s="1"/>
  <c r="CU15" i="4"/>
  <c r="CV15" i="4" s="1"/>
  <c r="CW15" i="4" s="1"/>
  <c r="CU23" i="4"/>
  <c r="CV23" i="4" s="1"/>
  <c r="CW23" i="4" s="1"/>
  <c r="CU31" i="4"/>
  <c r="CV31" i="4" s="1"/>
  <c r="CW31" i="4" s="1"/>
  <c r="CU39" i="4"/>
  <c r="CV39" i="4" s="1"/>
  <c r="CW39" i="4" s="1"/>
  <c r="CU47" i="4"/>
  <c r="CV47" i="4" s="1"/>
  <c r="CW47" i="4" s="1"/>
  <c r="CU55" i="4"/>
  <c r="CV55" i="4" s="1"/>
  <c r="CW55" i="4" s="1"/>
  <c r="CU24" i="4"/>
  <c r="CV24" i="4" s="1"/>
  <c r="CW24" i="4" s="1"/>
  <c r="CU40" i="4"/>
  <c r="CV40" i="4" s="1"/>
  <c r="CW40" i="4" s="1"/>
  <c r="CU58" i="4"/>
  <c r="CV58" i="4" s="1"/>
  <c r="CW58" i="4" s="1"/>
  <c r="CU19" i="4"/>
  <c r="CV19" i="4" s="1"/>
  <c r="CW19" i="4" s="1"/>
  <c r="CU16" i="4"/>
  <c r="CV16" i="4" s="1"/>
  <c r="CW16" i="4" s="1"/>
  <c r="CU32" i="4"/>
  <c r="CV32" i="4" s="1"/>
  <c r="CW32" i="4" s="1"/>
  <c r="CU50" i="4"/>
  <c r="CV50" i="4" s="1"/>
  <c r="CW50" i="4" s="1"/>
  <c r="CU17" i="4"/>
  <c r="CV17" i="4" s="1"/>
  <c r="CW17" i="4" s="1"/>
  <c r="CU25" i="4"/>
  <c r="CV25" i="4" s="1"/>
  <c r="CW25" i="4" s="1"/>
  <c r="CU33" i="4"/>
  <c r="CV33" i="4" s="1"/>
  <c r="CW33" i="4" s="1"/>
  <c r="CU41" i="4"/>
  <c r="CV41" i="4" s="1"/>
  <c r="CW41" i="4" s="1"/>
  <c r="CU49" i="4"/>
  <c r="CV49" i="4" s="1"/>
  <c r="CW49" i="4" s="1"/>
  <c r="CU57" i="4"/>
  <c r="CV57" i="4" s="1"/>
  <c r="CW57" i="4" s="1"/>
  <c r="CU59" i="4"/>
  <c r="CV59" i="4" s="1"/>
  <c r="CW59" i="4" s="1"/>
  <c r="CU18" i="4"/>
  <c r="CV18" i="4" s="1"/>
  <c r="CW18" i="4" s="1"/>
  <c r="CU26" i="4"/>
  <c r="CV26" i="4" s="1"/>
  <c r="CW26" i="4" s="1"/>
  <c r="CU34" i="4"/>
  <c r="CV34" i="4" s="1"/>
  <c r="CW34" i="4" s="1"/>
  <c r="CU42" i="4"/>
  <c r="CV42" i="4" s="1"/>
  <c r="CW42" i="4" s="1"/>
  <c r="CU27" i="4"/>
  <c r="CV27" i="4" s="1"/>
  <c r="CW27" i="4" s="1"/>
  <c r="CU11" i="4"/>
  <c r="CV11" i="4" s="1"/>
  <c r="CW11" i="4" s="1"/>
  <c r="HS11" i="4"/>
  <c r="HS12" i="4"/>
  <c r="HS13" i="4"/>
  <c r="HS14" i="4"/>
  <c r="HS15" i="4"/>
  <c r="HS16" i="4"/>
  <c r="HS17" i="4"/>
  <c r="HS18" i="4"/>
  <c r="HS19" i="4"/>
  <c r="HS20" i="4"/>
  <c r="HS21" i="4"/>
  <c r="HS22" i="4"/>
  <c r="HS23" i="4"/>
  <c r="HS24" i="4"/>
  <c r="HS25" i="4"/>
  <c r="HS26" i="4"/>
  <c r="HS27" i="4"/>
  <c r="HS28" i="4"/>
  <c r="HS29" i="4"/>
  <c r="HS30" i="4"/>
  <c r="HS31" i="4"/>
  <c r="HS32" i="4"/>
  <c r="HS33" i="4"/>
  <c r="T16" i="21"/>
  <c r="DO21" i="4" s="1"/>
  <c r="HQ44" i="4"/>
  <c r="HQ45" i="4"/>
  <c r="HQ46" i="4"/>
  <c r="HQ47" i="4"/>
  <c r="HQ48" i="4"/>
  <c r="HQ49" i="4"/>
  <c r="HQ51" i="4"/>
  <c r="HQ52" i="4"/>
  <c r="HQ53" i="4"/>
  <c r="HQ54" i="4"/>
  <c r="HQ55" i="4"/>
  <c r="HQ56" i="4"/>
  <c r="HQ57" i="4"/>
  <c r="HQ58" i="4"/>
  <c r="HQ59" i="4"/>
  <c r="HQ60" i="4"/>
  <c r="HQ61" i="4"/>
  <c r="HQ62" i="4"/>
  <c r="HQ63" i="4"/>
  <c r="P16" i="21"/>
  <c r="DW21" i="4"/>
  <c r="DT21" i="4"/>
  <c r="DX21" i="4"/>
  <c r="HQ43" i="4"/>
  <c r="DZ21" i="4"/>
  <c r="L33" i="70" l="1"/>
  <c r="J34" i="70"/>
  <c r="HS70" i="4"/>
  <c r="HS78" i="4"/>
  <c r="HS67" i="4"/>
  <c r="HT67" i="4" s="1"/>
  <c r="HS77" i="4"/>
  <c r="HS71" i="4"/>
  <c r="HS66" i="4"/>
  <c r="HT66" i="4" s="1"/>
  <c r="HS72" i="4"/>
  <c r="HS75" i="4"/>
  <c r="HS69" i="4"/>
  <c r="HS73" i="4"/>
  <c r="HS68" i="4"/>
  <c r="HS74" i="4"/>
  <c r="HS76" i="4"/>
  <c r="HQ50" i="4"/>
  <c r="HS37" i="4"/>
  <c r="HS64" i="4"/>
  <c r="HT64" i="4" s="1"/>
  <c r="HS65" i="4"/>
  <c r="HT65" i="4" s="1"/>
  <c r="CX40" i="4"/>
  <c r="CX58" i="4"/>
  <c r="CX38" i="4"/>
  <c r="CX30" i="4"/>
  <c r="CX61" i="4"/>
  <c r="CX33" i="4"/>
  <c r="CX36" i="4"/>
  <c r="CX25" i="4"/>
  <c r="CX28" i="4"/>
  <c r="CX48" i="4"/>
  <c r="CX59" i="4"/>
  <c r="CX26" i="4"/>
  <c r="CX17" i="4"/>
  <c r="CX32" i="4"/>
  <c r="CX22" i="4"/>
  <c r="CX53" i="4"/>
  <c r="CX20" i="4"/>
  <c r="CX51" i="4"/>
  <c r="CX24" i="4"/>
  <c r="CX39" i="4"/>
  <c r="CX14" i="4"/>
  <c r="CX45" i="4"/>
  <c r="CX12" i="4"/>
  <c r="CX43" i="4"/>
  <c r="CX50" i="4"/>
  <c r="CX16" i="4"/>
  <c r="CX31" i="4"/>
  <c r="CX37" i="4"/>
  <c r="CX35" i="4"/>
  <c r="CX57" i="4"/>
  <c r="CX23" i="4"/>
  <c r="CX47" i="4"/>
  <c r="CX34" i="4"/>
  <c r="CX29" i="4"/>
  <c r="CX60" i="4"/>
  <c r="CX18" i="4"/>
  <c r="CX27" i="4"/>
  <c r="CX49" i="4"/>
  <c r="CX42" i="4"/>
  <c r="CX15" i="4"/>
  <c r="CX54" i="4"/>
  <c r="CX21" i="4"/>
  <c r="CX52" i="4"/>
  <c r="CX19" i="4"/>
  <c r="CX55" i="4"/>
  <c r="CX41" i="4"/>
  <c r="CX56" i="4"/>
  <c r="CX46" i="4"/>
  <c r="CX13" i="4"/>
  <c r="CX44" i="4"/>
  <c r="CX11" i="4"/>
  <c r="HS38" i="4"/>
  <c r="HS48" i="4"/>
  <c r="HT48" i="4" s="1"/>
  <c r="HS46" i="4"/>
  <c r="HT46" i="4" s="1"/>
  <c r="HS40" i="4"/>
  <c r="HS62" i="4"/>
  <c r="HT62" i="4" s="1"/>
  <c r="HS56" i="4"/>
  <c r="HT56" i="4" s="1"/>
  <c r="HS54" i="4"/>
  <c r="HT54" i="4" s="1"/>
  <c r="HS60" i="4"/>
  <c r="HT60" i="4" s="1"/>
  <c r="HS52" i="4"/>
  <c r="HT52" i="4" s="1"/>
  <c r="HS44" i="4"/>
  <c r="HT44" i="4" s="1"/>
  <c r="HS36" i="4"/>
  <c r="HS59" i="4"/>
  <c r="HT59" i="4" s="1"/>
  <c r="HS51" i="4"/>
  <c r="HT51" i="4" s="1"/>
  <c r="HS43" i="4"/>
  <c r="HT43" i="4" s="1"/>
  <c r="HS35" i="4"/>
  <c r="HS58" i="4"/>
  <c r="HT58" i="4" s="1"/>
  <c r="HS50" i="4"/>
  <c r="HS42" i="4"/>
  <c r="HS34" i="4"/>
  <c r="HS57" i="4"/>
  <c r="HT57" i="4" s="1"/>
  <c r="HS49" i="4"/>
  <c r="HT49" i="4" s="1"/>
  <c r="HS41" i="4"/>
  <c r="HS63" i="4"/>
  <c r="HT63" i="4" s="1"/>
  <c r="HS55" i="4"/>
  <c r="HT55" i="4" s="1"/>
  <c r="HS47" i="4"/>
  <c r="HT47" i="4" s="1"/>
  <c r="HS39" i="4"/>
  <c r="HS61" i="4"/>
  <c r="HT61" i="4" s="1"/>
  <c r="HS53" i="4"/>
  <c r="HT53" i="4" s="1"/>
  <c r="HS45" i="4"/>
  <c r="HT45" i="4" s="1"/>
  <c r="HQ42" i="4"/>
  <c r="BX5" i="4"/>
  <c r="BX4" i="4"/>
  <c r="HT50" i="4" l="1"/>
  <c r="L34" i="70"/>
  <c r="J35" i="70"/>
  <c r="HT42" i="4"/>
  <c r="EA21" i="4" a="1"/>
  <c r="HQ11" i="4"/>
  <c r="HQ12" i="4"/>
  <c r="HT12" i="4" s="1"/>
  <c r="HQ13" i="4"/>
  <c r="HT13" i="4" s="1"/>
  <c r="HQ14" i="4"/>
  <c r="HT14" i="4" s="1"/>
  <c r="HQ15" i="4"/>
  <c r="HT15" i="4" s="1"/>
  <c r="HQ16" i="4"/>
  <c r="HT16" i="4" s="1"/>
  <c r="HQ17" i="4"/>
  <c r="HT17" i="4" s="1"/>
  <c r="HQ18" i="4"/>
  <c r="HT18" i="4" s="1"/>
  <c r="HQ19" i="4"/>
  <c r="HT19" i="4" s="1"/>
  <c r="HQ20" i="4"/>
  <c r="HT20" i="4" s="1"/>
  <c r="HQ21" i="4"/>
  <c r="HT21" i="4" s="1"/>
  <c r="HQ22" i="4"/>
  <c r="HT22" i="4" s="1"/>
  <c r="HQ23" i="4"/>
  <c r="HT23" i="4" s="1"/>
  <c r="HQ24" i="4"/>
  <c r="HT24" i="4" s="1"/>
  <c r="HQ25" i="4"/>
  <c r="HT25" i="4" s="1"/>
  <c r="HQ26" i="4"/>
  <c r="HT26" i="4" s="1"/>
  <c r="HQ27" i="4"/>
  <c r="HT27" i="4" s="1"/>
  <c r="HQ28" i="4"/>
  <c r="HT28" i="4" s="1"/>
  <c r="HQ29" i="4"/>
  <c r="HT29" i="4" s="1"/>
  <c r="HQ30" i="4"/>
  <c r="HT30" i="4" s="1"/>
  <c r="HQ31" i="4"/>
  <c r="HT31" i="4" s="1"/>
  <c r="HQ32" i="4"/>
  <c r="HT32" i="4" s="1"/>
  <c r="HQ33" i="4"/>
  <c r="HT33" i="4" s="1"/>
  <c r="HQ34" i="4"/>
  <c r="HT34" i="4" s="1"/>
  <c r="HQ35" i="4"/>
  <c r="HT35" i="4" s="1"/>
  <c r="HQ36" i="4"/>
  <c r="HT36" i="4" s="1"/>
  <c r="HQ37" i="4"/>
  <c r="HT37" i="4" s="1"/>
  <c r="HQ38" i="4"/>
  <c r="HT38" i="4" s="1"/>
  <c r="HQ39" i="4"/>
  <c r="HT39" i="4" s="1"/>
  <c r="HQ40" i="4"/>
  <c r="HT40" i="4" s="1"/>
  <c r="HQ41" i="4"/>
  <c r="HT41" i="4" s="1"/>
  <c r="HO5" i="4"/>
  <c r="HI11" i="4"/>
  <c r="HU67" i="4" l="1"/>
  <c r="HU66" i="4"/>
  <c r="HU65" i="4"/>
  <c r="J36" i="70"/>
  <c r="L35" i="70"/>
  <c r="HU64" i="4"/>
  <c r="HU50" i="4"/>
  <c r="HU63" i="4"/>
  <c r="HU62" i="4"/>
  <c r="HU61" i="4"/>
  <c r="HU60" i="4"/>
  <c r="HU57" i="4"/>
  <c r="HU59" i="4"/>
  <c r="HU58" i="4"/>
  <c r="HU56" i="4"/>
  <c r="HU49" i="4"/>
  <c r="HU55" i="4"/>
  <c r="HU54" i="4"/>
  <c r="HU53" i="4"/>
  <c r="HU52" i="4"/>
  <c r="HU51" i="4"/>
  <c r="HU48" i="4"/>
  <c r="HU47" i="4"/>
  <c r="HU46" i="4"/>
  <c r="EB21" i="4"/>
  <c r="HU45" i="4"/>
  <c r="HU44" i="4"/>
  <c r="EK21" i="4" a="1"/>
  <c r="EK21" i="4" s="1"/>
  <c r="EE21" i="4" a="1"/>
  <c r="EE21" i="4" s="1"/>
  <c r="ED21" i="4" a="1"/>
  <c r="ED21" i="4" s="1"/>
  <c r="EU21" i="4" s="1"/>
  <c r="HT11" i="4"/>
  <c r="DY21" i="4" a="1"/>
  <c r="DY21" i="4" s="1"/>
  <c r="EQ21" i="4" s="1"/>
  <c r="HU23" i="4"/>
  <c r="HU30" i="4"/>
  <c r="HU14" i="4"/>
  <c r="HU37" i="4"/>
  <c r="HU29" i="4"/>
  <c r="HU21" i="4"/>
  <c r="HU13" i="4"/>
  <c r="HU35" i="4"/>
  <c r="HU27" i="4"/>
  <c r="HU19" i="4"/>
  <c r="HU11" i="4"/>
  <c r="HU43" i="4"/>
  <c r="HU39" i="4"/>
  <c r="HU22" i="4"/>
  <c r="HU34" i="4"/>
  <c r="HU26" i="4"/>
  <c r="HU18" i="4"/>
  <c r="HU42" i="4"/>
  <c r="HU15" i="4"/>
  <c r="HU36" i="4"/>
  <c r="HU20" i="4"/>
  <c r="HU41" i="4"/>
  <c r="HU33" i="4"/>
  <c r="HU25" i="4"/>
  <c r="HU17" i="4"/>
  <c r="HU31" i="4"/>
  <c r="HU38" i="4"/>
  <c r="HU28" i="4"/>
  <c r="HU12" i="4"/>
  <c r="HU40" i="4"/>
  <c r="HU32" i="4"/>
  <c r="HU24" i="4"/>
  <c r="HU16" i="4"/>
  <c r="AI84" i="4"/>
  <c r="AI85" i="4"/>
  <c r="AI86" i="4"/>
  <c r="AI87" i="4"/>
  <c r="AI88" i="4"/>
  <c r="AI89" i="4"/>
  <c r="AI90" i="4"/>
  <c r="AI91" i="4"/>
  <c r="AI92" i="4"/>
  <c r="AI93" i="4"/>
  <c r="AI94" i="4"/>
  <c r="AI95" i="4"/>
  <c r="AI96" i="4"/>
  <c r="AI97" i="4"/>
  <c r="AI98" i="4"/>
  <c r="AI99" i="4"/>
  <c r="AJ114" i="4"/>
  <c r="AJ118" i="4"/>
  <c r="AJ119" i="4"/>
  <c r="AJ120" i="4"/>
  <c r="AI14"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I76" i="4"/>
  <c r="AI77" i="4"/>
  <c r="AI78" i="4"/>
  <c r="AI79" i="4"/>
  <c r="AI80" i="4"/>
  <c r="AI81" i="4"/>
  <c r="AI82" i="4"/>
  <c r="AI83" i="4"/>
  <c r="AI15" i="4"/>
  <c r="J37" i="70" l="1"/>
  <c r="L36" i="70"/>
  <c r="EA21" i="4"/>
  <c r="HW43" i="4"/>
  <c r="DU21" i="4"/>
  <c r="DV21" i="4"/>
  <c r="CM11" i="4"/>
  <c r="CM12" i="4"/>
  <c r="CM13" i="4"/>
  <c r="CM14" i="4"/>
  <c r="CM15" i="4"/>
  <c r="CM16" i="4"/>
  <c r="CM17" i="4"/>
  <c r="CM18" i="4"/>
  <c r="CM19" i="4"/>
  <c r="CM20" i="4"/>
  <c r="CM21" i="4"/>
  <c r="CM22" i="4"/>
  <c r="CM23" i="4"/>
  <c r="CM24" i="4"/>
  <c r="CM25" i="4"/>
  <c r="CM26" i="4"/>
  <c r="CM27" i="4"/>
  <c r="CM28" i="4"/>
  <c r="CM29" i="4"/>
  <c r="CM30" i="4"/>
  <c r="CM31" i="4"/>
  <c r="CM32" i="4"/>
  <c r="CM33" i="4"/>
  <c r="CM34" i="4"/>
  <c r="CM35" i="4"/>
  <c r="CM36" i="4"/>
  <c r="CM37" i="4"/>
  <c r="CM38" i="4"/>
  <c r="CM39" i="4"/>
  <c r="CM40" i="4"/>
  <c r="CM41" i="4"/>
  <c r="CM42" i="4"/>
  <c r="CM43" i="4"/>
  <c r="CM44" i="4"/>
  <c r="CM45" i="4"/>
  <c r="CM46" i="4"/>
  <c r="CM47" i="4"/>
  <c r="CM48" i="4"/>
  <c r="CM49" i="4"/>
  <c r="CM50" i="4"/>
  <c r="CM51" i="4"/>
  <c r="CM52" i="4"/>
  <c r="CM53" i="4"/>
  <c r="CM54" i="4"/>
  <c r="CM55" i="4"/>
  <c r="CM56" i="4"/>
  <c r="CM57" i="4"/>
  <c r="CM58" i="4"/>
  <c r="CM59" i="4"/>
  <c r="CM60" i="4"/>
  <c r="CM61" i="4"/>
  <c r="L37" i="70" l="1"/>
  <c r="J38" i="70"/>
  <c r="DN18" i="4"/>
  <c r="DN13" i="4"/>
  <c r="DN12" i="4"/>
  <c r="DN11" i="4"/>
  <c r="J39" i="70" l="1"/>
  <c r="L38" i="70"/>
  <c r="AQ11" i="4"/>
  <c r="AQ12" i="4"/>
  <c r="L12" i="4" s="1"/>
  <c r="AQ13" i="4"/>
  <c r="L13" i="4" s="1"/>
  <c r="AQ14" i="4"/>
  <c r="AQ15" i="4"/>
  <c r="AQ16" i="4"/>
  <c r="AQ17" i="4"/>
  <c r="AQ18" i="4"/>
  <c r="AQ19" i="4"/>
  <c r="AQ20" i="4"/>
  <c r="AQ21" i="4"/>
  <c r="AQ22" i="4"/>
  <c r="AQ23" i="4"/>
  <c r="AQ24" i="4"/>
  <c r="AQ25" i="4"/>
  <c r="AQ26" i="4"/>
  <c r="AQ27" i="4"/>
  <c r="AQ28" i="4"/>
  <c r="AQ29" i="4"/>
  <c r="AQ30" i="4"/>
  <c r="AQ31" i="4"/>
  <c r="AQ32" i="4"/>
  <c r="AQ33" i="4"/>
  <c r="AQ34" i="4"/>
  <c r="AQ35" i="4"/>
  <c r="AQ36" i="4"/>
  <c r="AQ37" i="4"/>
  <c r="AQ38" i="4"/>
  <c r="AQ39" i="4"/>
  <c r="AQ40" i="4"/>
  <c r="AQ41" i="4"/>
  <c r="AQ42" i="4"/>
  <c r="AQ43" i="4"/>
  <c r="AQ44" i="4"/>
  <c r="AQ45" i="4"/>
  <c r="AQ46" i="4"/>
  <c r="AQ47" i="4"/>
  <c r="AQ48" i="4"/>
  <c r="AQ49" i="4"/>
  <c r="AQ50" i="4"/>
  <c r="AQ51" i="4"/>
  <c r="AQ52" i="4"/>
  <c r="AQ53" i="4"/>
  <c r="AQ54" i="4"/>
  <c r="AQ55" i="4"/>
  <c r="AQ56" i="4"/>
  <c r="AQ57" i="4"/>
  <c r="AQ58" i="4"/>
  <c r="AQ59" i="4"/>
  <c r="AQ60" i="4"/>
  <c r="AQ61" i="4"/>
  <c r="AQ62" i="4"/>
  <c r="AQ63" i="4"/>
  <c r="AQ64" i="4"/>
  <c r="AQ65" i="4"/>
  <c r="AQ66" i="4"/>
  <c r="AQ67" i="4"/>
  <c r="AQ68" i="4"/>
  <c r="AQ69" i="4"/>
  <c r="AQ70" i="4"/>
  <c r="AQ71" i="4"/>
  <c r="AQ72" i="4"/>
  <c r="AQ73" i="4"/>
  <c r="AQ74" i="4"/>
  <c r="AQ75" i="4"/>
  <c r="AQ76" i="4"/>
  <c r="AQ77" i="4"/>
  <c r="AQ78" i="4"/>
  <c r="AQ79" i="4"/>
  <c r="AQ80" i="4"/>
  <c r="AQ81" i="4"/>
  <c r="AQ82" i="4"/>
  <c r="AQ83" i="4"/>
  <c r="AQ84" i="4"/>
  <c r="AQ85" i="4"/>
  <c r="AQ86" i="4"/>
  <c r="AQ87" i="4"/>
  <c r="AQ88" i="4"/>
  <c r="AQ89" i="4"/>
  <c r="AQ90" i="4"/>
  <c r="AQ91" i="4"/>
  <c r="AQ92" i="4"/>
  <c r="AQ93" i="4"/>
  <c r="AQ94" i="4"/>
  <c r="AQ95" i="4"/>
  <c r="AQ96" i="4"/>
  <c r="AQ97" i="4"/>
  <c r="AQ98" i="4"/>
  <c r="AQ99" i="4"/>
  <c r="AQ100" i="4"/>
  <c r="AQ102" i="4"/>
  <c r="AQ103" i="4"/>
  <c r="AQ104" i="4"/>
  <c r="AQ105" i="4"/>
  <c r="AQ106" i="4"/>
  <c r="AQ107" i="4"/>
  <c r="AQ108" i="4"/>
  <c r="AQ109" i="4"/>
  <c r="AQ110" i="4"/>
  <c r="AQ111" i="4"/>
  <c r="AQ112" i="4"/>
  <c r="AQ113" i="4"/>
  <c r="AQ114" i="4"/>
  <c r="L114" i="4" s="1"/>
  <c r="AQ118" i="4"/>
  <c r="L118" i="4" s="1"/>
  <c r="AQ119" i="4"/>
  <c r="L119" i="4" s="1"/>
  <c r="AQ120" i="4"/>
  <c r="L120" i="4" s="1"/>
  <c r="L39" i="70" l="1"/>
  <c r="J40" i="70"/>
  <c r="L11" i="4"/>
  <c r="AO3" i="4"/>
  <c r="FB11" i="4"/>
  <c r="L40" i="70" l="1"/>
  <c r="J41" i="70"/>
  <c r="T11" i="21"/>
  <c r="DO23" i="4" s="1"/>
  <c r="L41" i="70" l="1"/>
  <c r="J42" i="70"/>
  <c r="B9" i="41"/>
  <c r="C9" i="41" s="1"/>
  <c r="C8" i="41"/>
  <c r="B7" i="41"/>
  <c r="C7" i="41" s="1"/>
  <c r="B6" i="41"/>
  <c r="C6" i="41" s="1"/>
  <c r="B5" i="41"/>
  <c r="C5" i="41" s="1"/>
  <c r="B4" i="41"/>
  <c r="C4" i="41" s="1"/>
  <c r="B3" i="41"/>
  <c r="C3" i="41" s="1"/>
  <c r="B2" i="41"/>
  <c r="C2" i="41" s="1"/>
  <c r="J43" i="70" l="1"/>
  <c r="L42" i="70"/>
  <c r="AE3" i="21"/>
  <c r="T2" i="21"/>
  <c r="J44" i="70" l="1"/>
  <c r="L43" i="70"/>
  <c r="T3" i="21"/>
  <c r="DO12" i="4" s="1"/>
  <c r="T4" i="21"/>
  <c r="T5" i="21"/>
  <c r="T6" i="21"/>
  <c r="DO15" i="4" s="1"/>
  <c r="T7" i="21"/>
  <c r="DO16" i="4" s="1"/>
  <c r="T8" i="21"/>
  <c r="DO17" i="4" s="1"/>
  <c r="T12" i="21"/>
  <c r="T13" i="21"/>
  <c r="T14" i="21"/>
  <c r="L44" i="70" l="1"/>
  <c r="J45" i="70"/>
  <c r="DG18" i="4"/>
  <c r="DG26" i="4"/>
  <c r="DG34" i="4"/>
  <c r="DG42" i="4"/>
  <c r="DG50" i="4"/>
  <c r="DG58" i="4"/>
  <c r="DE15" i="4"/>
  <c r="DE23" i="4"/>
  <c r="DE31" i="4"/>
  <c r="DE39" i="4"/>
  <c r="DC12" i="4"/>
  <c r="DD12" i="4" s="1"/>
  <c r="DC20" i="4"/>
  <c r="DD20" i="4" s="1"/>
  <c r="DC28" i="4"/>
  <c r="DD28" i="4" s="1"/>
  <c r="DC36" i="4"/>
  <c r="DD36" i="4" s="1"/>
  <c r="DC44" i="4"/>
  <c r="DD44" i="4" s="1"/>
  <c r="DC52" i="4"/>
  <c r="DD52" i="4" s="1"/>
  <c r="DE52" i="4" s="1"/>
  <c r="DC60" i="4"/>
  <c r="DD60" i="4" s="1"/>
  <c r="DE60" i="4" s="1"/>
  <c r="DC61" i="4"/>
  <c r="DD61" i="4" s="1"/>
  <c r="DE61" i="4" s="1"/>
  <c r="DG20" i="4"/>
  <c r="DG36" i="4"/>
  <c r="DG52" i="4"/>
  <c r="DE17" i="4"/>
  <c r="DE33" i="4"/>
  <c r="DC14" i="4"/>
  <c r="DD14" i="4" s="1"/>
  <c r="DC38" i="4"/>
  <c r="DD38" i="4" s="1"/>
  <c r="DG11" i="4"/>
  <c r="DG19" i="4"/>
  <c r="DG27" i="4"/>
  <c r="DG35" i="4"/>
  <c r="DG43" i="4"/>
  <c r="DG51" i="4"/>
  <c r="DG59" i="4"/>
  <c r="DE16" i="4"/>
  <c r="DE24" i="4"/>
  <c r="DE32" i="4"/>
  <c r="DE40" i="4"/>
  <c r="DC13" i="4"/>
  <c r="DD13" i="4" s="1"/>
  <c r="DC21" i="4"/>
  <c r="DD21" i="4" s="1"/>
  <c r="DC29" i="4"/>
  <c r="DD29" i="4" s="1"/>
  <c r="DC37" i="4"/>
  <c r="DD37" i="4" s="1"/>
  <c r="DC45" i="4"/>
  <c r="DD45" i="4" s="1"/>
  <c r="DC53" i="4"/>
  <c r="DD53" i="4" s="1"/>
  <c r="DE53" i="4" s="1"/>
  <c r="DG28" i="4"/>
  <c r="DG44" i="4"/>
  <c r="DG60" i="4"/>
  <c r="DE25" i="4"/>
  <c r="DC22" i="4"/>
  <c r="DD22" i="4" s="1"/>
  <c r="DC46" i="4"/>
  <c r="DD46" i="4" s="1"/>
  <c r="DG12" i="4"/>
  <c r="DE41" i="4"/>
  <c r="DC30" i="4"/>
  <c r="DD30" i="4" s="1"/>
  <c r="DG13" i="4"/>
  <c r="DG21" i="4"/>
  <c r="DG29" i="4"/>
  <c r="DG37" i="4"/>
  <c r="DG45" i="4"/>
  <c r="DG53" i="4"/>
  <c r="DG61" i="4"/>
  <c r="DE18" i="4"/>
  <c r="DE26" i="4"/>
  <c r="DE34" i="4"/>
  <c r="DE42" i="4"/>
  <c r="DC15" i="4"/>
  <c r="DD15" i="4" s="1"/>
  <c r="DC23" i="4"/>
  <c r="DD23" i="4" s="1"/>
  <c r="DC31" i="4"/>
  <c r="DD31" i="4" s="1"/>
  <c r="DC39" i="4"/>
  <c r="DD39" i="4" s="1"/>
  <c r="DF39" i="4" s="1"/>
  <c r="DC47" i="4"/>
  <c r="DD47" i="4" s="1"/>
  <c r="DE47" i="4" s="1"/>
  <c r="DC55" i="4"/>
  <c r="DD55" i="4" s="1"/>
  <c r="DE55" i="4" s="1"/>
  <c r="DG17" i="4"/>
  <c r="DG57" i="4"/>
  <c r="DE46" i="4"/>
  <c r="DC27" i="4"/>
  <c r="DD27" i="4" s="1"/>
  <c r="DC59" i="4"/>
  <c r="DD59" i="4" s="1"/>
  <c r="DE59" i="4" s="1"/>
  <c r="DG14" i="4"/>
  <c r="DG22" i="4"/>
  <c r="DG30" i="4"/>
  <c r="DG38" i="4"/>
  <c r="DG46" i="4"/>
  <c r="DG54" i="4"/>
  <c r="DE11" i="4"/>
  <c r="DE19" i="4"/>
  <c r="DE27" i="4"/>
  <c r="DE35" i="4"/>
  <c r="DE43" i="4"/>
  <c r="DC16" i="4"/>
  <c r="DD16" i="4" s="1"/>
  <c r="DC24" i="4"/>
  <c r="DD24" i="4" s="1"/>
  <c r="DC32" i="4"/>
  <c r="DD32" i="4" s="1"/>
  <c r="DC40" i="4"/>
  <c r="DD40" i="4" s="1"/>
  <c r="DC48" i="4"/>
  <c r="DD48" i="4" s="1"/>
  <c r="DE48" i="4" s="1"/>
  <c r="DC56" i="4"/>
  <c r="DD56" i="4" s="1"/>
  <c r="DE56" i="4" s="1"/>
  <c r="DG41" i="4"/>
  <c r="DE22" i="4"/>
  <c r="DE38" i="4"/>
  <c r="DC19" i="4"/>
  <c r="DD19" i="4" s="1"/>
  <c r="DC51" i="4"/>
  <c r="DD51" i="4" s="1"/>
  <c r="DE51" i="4" s="1"/>
  <c r="DG15" i="4"/>
  <c r="DG23" i="4"/>
  <c r="DG31" i="4"/>
  <c r="DG39" i="4"/>
  <c r="DG47" i="4"/>
  <c r="DG55" i="4"/>
  <c r="DE12" i="4"/>
  <c r="DE20" i="4"/>
  <c r="DE28" i="4"/>
  <c r="DE36" i="4"/>
  <c r="DE44" i="4"/>
  <c r="DC17" i="4"/>
  <c r="DD17" i="4" s="1"/>
  <c r="DC25" i="4"/>
  <c r="DD25" i="4" s="1"/>
  <c r="DC33" i="4"/>
  <c r="DD33" i="4" s="1"/>
  <c r="DC41" i="4"/>
  <c r="DD41" i="4" s="1"/>
  <c r="DC49" i="4"/>
  <c r="DD49" i="4" s="1"/>
  <c r="DE49" i="4" s="1"/>
  <c r="DC57" i="4"/>
  <c r="DD57" i="4" s="1"/>
  <c r="DE57" i="4" s="1"/>
  <c r="DG33" i="4"/>
  <c r="DG49" i="4"/>
  <c r="DC35" i="4"/>
  <c r="DD35" i="4" s="1"/>
  <c r="DC54" i="4"/>
  <c r="DD54" i="4" s="1"/>
  <c r="DE54" i="4" s="1"/>
  <c r="DG16" i="4"/>
  <c r="DG24" i="4"/>
  <c r="DG32" i="4"/>
  <c r="DG40" i="4"/>
  <c r="DG48" i="4"/>
  <c r="DG56" i="4"/>
  <c r="DE13" i="4"/>
  <c r="DE21" i="4"/>
  <c r="DE29" i="4"/>
  <c r="DE37" i="4"/>
  <c r="DE45" i="4"/>
  <c r="DC18" i="4"/>
  <c r="DD18" i="4" s="1"/>
  <c r="DC26" i="4"/>
  <c r="DD26" i="4" s="1"/>
  <c r="DC34" i="4"/>
  <c r="DD34" i="4" s="1"/>
  <c r="DF34" i="4" s="1"/>
  <c r="DC42" i="4"/>
  <c r="DD42" i="4" s="1"/>
  <c r="DC50" i="4"/>
  <c r="DD50" i="4" s="1"/>
  <c r="DF50" i="4" s="1"/>
  <c r="DC58" i="4"/>
  <c r="DD58" i="4" s="1"/>
  <c r="DF58" i="4" s="1"/>
  <c r="DG25" i="4"/>
  <c r="DE14" i="4"/>
  <c r="DE30" i="4"/>
  <c r="DC11" i="4"/>
  <c r="DD11" i="4" s="1"/>
  <c r="DC43" i="4"/>
  <c r="DD43" i="4" s="1"/>
  <c r="DF43" i="4" s="1"/>
  <c r="CP11" i="4"/>
  <c r="CP12" i="4"/>
  <c r="CP13" i="4"/>
  <c r="CP14" i="4"/>
  <c r="CP15" i="4"/>
  <c r="CP16" i="4"/>
  <c r="CP17" i="4"/>
  <c r="CP18" i="4"/>
  <c r="CP19" i="4"/>
  <c r="CP20" i="4"/>
  <c r="CP21" i="4"/>
  <c r="CP22" i="4"/>
  <c r="CP23" i="4"/>
  <c r="CP24" i="4"/>
  <c r="CP25" i="4"/>
  <c r="CP26" i="4"/>
  <c r="CP27" i="4"/>
  <c r="CP28" i="4"/>
  <c r="CP29" i="4"/>
  <c r="CP30" i="4"/>
  <c r="CP31" i="4"/>
  <c r="CP32" i="4"/>
  <c r="CP33" i="4"/>
  <c r="CP34" i="4"/>
  <c r="CP35" i="4"/>
  <c r="CP36" i="4"/>
  <c r="CP37" i="4"/>
  <c r="CP38" i="4"/>
  <c r="CP39" i="4"/>
  <c r="CP40" i="4"/>
  <c r="CP41" i="4"/>
  <c r="CP42" i="4"/>
  <c r="CP43" i="4"/>
  <c r="CP44" i="4"/>
  <c r="CP45" i="4"/>
  <c r="CP46" i="4"/>
  <c r="CP47" i="4"/>
  <c r="CP48" i="4"/>
  <c r="CP49" i="4"/>
  <c r="CP50" i="4"/>
  <c r="CP51" i="4"/>
  <c r="CP52" i="4"/>
  <c r="CP53" i="4"/>
  <c r="CP54" i="4"/>
  <c r="CO11" i="4"/>
  <c r="CO12" i="4"/>
  <c r="CO13" i="4"/>
  <c r="CO14" i="4"/>
  <c r="CO15" i="4"/>
  <c r="CO16" i="4"/>
  <c r="CO17" i="4"/>
  <c r="CO18" i="4"/>
  <c r="CO19" i="4"/>
  <c r="CO20" i="4"/>
  <c r="CO21" i="4"/>
  <c r="CO22" i="4"/>
  <c r="CO23" i="4"/>
  <c r="CO24" i="4"/>
  <c r="CO25" i="4"/>
  <c r="CO26" i="4"/>
  <c r="CO27" i="4"/>
  <c r="CO28" i="4"/>
  <c r="CO29" i="4"/>
  <c r="CO30" i="4"/>
  <c r="CO31" i="4"/>
  <c r="CO32" i="4"/>
  <c r="CO33" i="4"/>
  <c r="CO34" i="4"/>
  <c r="CO35" i="4"/>
  <c r="CO36" i="4"/>
  <c r="CO37" i="4"/>
  <c r="CO38" i="4"/>
  <c r="CO39" i="4"/>
  <c r="CO40" i="4"/>
  <c r="CO41" i="4"/>
  <c r="CO42" i="4"/>
  <c r="CO43" i="4"/>
  <c r="CO44" i="4"/>
  <c r="CO45" i="4"/>
  <c r="CO46" i="4"/>
  <c r="CO47" i="4"/>
  <c r="CO48" i="4"/>
  <c r="CO49" i="4"/>
  <c r="CO50" i="4"/>
  <c r="CO51" i="4"/>
  <c r="CO52" i="4"/>
  <c r="CO53" i="4"/>
  <c r="CO54" i="4"/>
  <c r="CJ55" i="4"/>
  <c r="CI11" i="4"/>
  <c r="CH11" i="4"/>
  <c r="CH12" i="4"/>
  <c r="CH13" i="4"/>
  <c r="CH14" i="4"/>
  <c r="CH15" i="4"/>
  <c r="CH16" i="4"/>
  <c r="CH17" i="4"/>
  <c r="CH18" i="4"/>
  <c r="CH19" i="4"/>
  <c r="CH20" i="4"/>
  <c r="CH21" i="4"/>
  <c r="CH22" i="4"/>
  <c r="CH23" i="4"/>
  <c r="CH24" i="4"/>
  <c r="CH25" i="4"/>
  <c r="CH26" i="4"/>
  <c r="CH27" i="4"/>
  <c r="CH28" i="4"/>
  <c r="CH29" i="4"/>
  <c r="CH30" i="4"/>
  <c r="CH31" i="4"/>
  <c r="CH32" i="4"/>
  <c r="CH33" i="4"/>
  <c r="CH34" i="4"/>
  <c r="CH35" i="4"/>
  <c r="CH36" i="4"/>
  <c r="CH37" i="4"/>
  <c r="CH38" i="4"/>
  <c r="CH39" i="4"/>
  <c r="CH40" i="4"/>
  <c r="CH41" i="4"/>
  <c r="CH42" i="4"/>
  <c r="CH43" i="4"/>
  <c r="CH44" i="4"/>
  <c r="CH45" i="4"/>
  <c r="CH46" i="4"/>
  <c r="CH47" i="4"/>
  <c r="CH48" i="4"/>
  <c r="CH49" i="4"/>
  <c r="CH50" i="4"/>
  <c r="CH51" i="4"/>
  <c r="CH52" i="4"/>
  <c r="CH53" i="4"/>
  <c r="CK11" i="4"/>
  <c r="CK12" i="4"/>
  <c r="CK13" i="4"/>
  <c r="CK14" i="4"/>
  <c r="CK15" i="4"/>
  <c r="CK16" i="4"/>
  <c r="CK17" i="4"/>
  <c r="CK18" i="4"/>
  <c r="CK19" i="4"/>
  <c r="CK20" i="4"/>
  <c r="CK21" i="4"/>
  <c r="CK22" i="4"/>
  <c r="CK23" i="4"/>
  <c r="CK24" i="4"/>
  <c r="CK25" i="4"/>
  <c r="CK26" i="4"/>
  <c r="CK27" i="4"/>
  <c r="CK28" i="4"/>
  <c r="CK29" i="4"/>
  <c r="CK30" i="4"/>
  <c r="CK31" i="4"/>
  <c r="CK32" i="4"/>
  <c r="CK33" i="4"/>
  <c r="CK34" i="4"/>
  <c r="CK35" i="4"/>
  <c r="CK36" i="4"/>
  <c r="CK37" i="4"/>
  <c r="CK38" i="4"/>
  <c r="CK39" i="4"/>
  <c r="CK40" i="4"/>
  <c r="CK41" i="4"/>
  <c r="CK42" i="4"/>
  <c r="CK43" i="4"/>
  <c r="CK44" i="4"/>
  <c r="CK45" i="4"/>
  <c r="CK46" i="4"/>
  <c r="CK47" i="4"/>
  <c r="CK48" i="4"/>
  <c r="CK49" i="4"/>
  <c r="CK50" i="4"/>
  <c r="CK51" i="4"/>
  <c r="CK52" i="4"/>
  <c r="CK53" i="4"/>
  <c r="CK54" i="4"/>
  <c r="J46" i="70" l="1"/>
  <c r="L45" i="70"/>
  <c r="DF31" i="4"/>
  <c r="DF30" i="4"/>
  <c r="DF59" i="4"/>
  <c r="DF55" i="4"/>
  <c r="DF29" i="4"/>
  <c r="DF41" i="4"/>
  <c r="DF32" i="4"/>
  <c r="DF51" i="4"/>
  <c r="DF40" i="4"/>
  <c r="DF33" i="4"/>
  <c r="DF13" i="4"/>
  <c r="DF52" i="4"/>
  <c r="DF54" i="4"/>
  <c r="DE50" i="4"/>
  <c r="DF21" i="4"/>
  <c r="DF44" i="4"/>
  <c r="DE58" i="4"/>
  <c r="DF14" i="4"/>
  <c r="DF48" i="4"/>
  <c r="DF60" i="4"/>
  <c r="DF42" i="4"/>
  <c r="DF47" i="4"/>
  <c r="DF49" i="4"/>
  <c r="DF17" i="4"/>
  <c r="DF20" i="4"/>
  <c r="DF15" i="4"/>
  <c r="DF28" i="4"/>
  <c r="DF45" i="4"/>
  <c r="DF53" i="4"/>
  <c r="DF46" i="4"/>
  <c r="DF16" i="4"/>
  <c r="DF18" i="4"/>
  <c r="DF38" i="4"/>
  <c r="DF57" i="4"/>
  <c r="DF56" i="4"/>
  <c r="DF12" i="4"/>
  <c r="DF61" i="4"/>
  <c r="DF22" i="4"/>
  <c r="DF19" i="4"/>
  <c r="DF26" i="4"/>
  <c r="DF27" i="4"/>
  <c r="DF36" i="4"/>
  <c r="DF35" i="4"/>
  <c r="DF25" i="4"/>
  <c r="DF24" i="4"/>
  <c r="DF23" i="4"/>
  <c r="DF37" i="4"/>
  <c r="DF11" i="4"/>
  <c r="DX19" i="4"/>
  <c r="DT19" i="4"/>
  <c r="CL11" i="4"/>
  <c r="CL12" i="4"/>
  <c r="CL13" i="4"/>
  <c r="CL14" i="4"/>
  <c r="CL15" i="4"/>
  <c r="CL16" i="4"/>
  <c r="CL17" i="4"/>
  <c r="CL18" i="4"/>
  <c r="CL19" i="4"/>
  <c r="CL20" i="4"/>
  <c r="CL21" i="4"/>
  <c r="CL22" i="4"/>
  <c r="CL23" i="4"/>
  <c r="CL24" i="4"/>
  <c r="CL25" i="4"/>
  <c r="CL26" i="4"/>
  <c r="CL27" i="4"/>
  <c r="CL28" i="4"/>
  <c r="CL29" i="4"/>
  <c r="CL30" i="4"/>
  <c r="CL31" i="4"/>
  <c r="CL32" i="4"/>
  <c r="CL33" i="4"/>
  <c r="CL34" i="4"/>
  <c r="CL35" i="4"/>
  <c r="CL36" i="4"/>
  <c r="CL37" i="4"/>
  <c r="CL38" i="4"/>
  <c r="CL39" i="4"/>
  <c r="CL40" i="4"/>
  <c r="CL41" i="4"/>
  <c r="CL42" i="4"/>
  <c r="CL43" i="4"/>
  <c r="CL44" i="4"/>
  <c r="CL45" i="4"/>
  <c r="CL46" i="4"/>
  <c r="CL47" i="4"/>
  <c r="CL48" i="4"/>
  <c r="CL49" i="4"/>
  <c r="CL50" i="4"/>
  <c r="CL51" i="4"/>
  <c r="CL52" i="4"/>
  <c r="CL53" i="4"/>
  <c r="CL54" i="4"/>
  <c r="CL113" i="4"/>
  <c r="CL114" i="4"/>
  <c r="CL118" i="4"/>
  <c r="CL119" i="4"/>
  <c r="CL120" i="4"/>
  <c r="O2" i="16"/>
  <c r="Q2" i="16" s="1"/>
  <c r="J47" i="70" l="1"/>
  <c r="L46" i="70"/>
  <c r="DW19" i="4"/>
  <c r="L47" i="70" l="1"/>
  <c r="J48" i="70"/>
  <c r="CK55" i="4"/>
  <c r="L48" i="70" l="1"/>
  <c r="J49" i="70"/>
  <c r="EK19" i="4" a="1"/>
  <c r="EK19" i="4" s="1"/>
  <c r="EB20" i="4" a="1"/>
  <c r="EB20" i="4" s="1"/>
  <c r="EB19" i="4" a="1"/>
  <c r="EB19" i="4" s="1"/>
  <c r="EA19" i="4"/>
  <c r="DX12" i="4"/>
  <c r="DX13" i="4"/>
  <c r="DX14" i="4"/>
  <c r="DX15" i="4"/>
  <c r="DX16" i="4"/>
  <c r="DX17" i="4"/>
  <c r="DX18" i="4"/>
  <c r="DX20" i="4"/>
  <c r="DX11" i="4"/>
  <c r="DW18" i="4"/>
  <c r="DW20" i="4"/>
  <c r="CV3" i="4" s="1"/>
  <c r="DW17" i="4"/>
  <c r="DZ19" i="4"/>
  <c r="L49" i="70" l="1"/>
  <c r="J50" i="70"/>
  <c r="DT20" i="4"/>
  <c r="DO14" i="4"/>
  <c r="DO11" i="4"/>
  <c r="J35" i="63" s="1"/>
  <c r="DO13" i="4"/>
  <c r="DO18" i="4"/>
  <c r="S8" i="4"/>
  <c r="O8" i="4"/>
  <c r="AB2" i="4"/>
  <c r="M8" i="4"/>
  <c r="E8" i="4"/>
  <c r="U8" i="4"/>
  <c r="U9" i="4" s="1"/>
  <c r="X8" i="4"/>
  <c r="DZ20" i="4"/>
  <c r="EC22" i="4"/>
  <c r="V111" i="4" l="1"/>
  <c r="V112" i="4"/>
  <c r="V109" i="4"/>
  <c r="V110" i="4"/>
  <c r="L50" i="70"/>
  <c r="J51" i="70"/>
  <c r="V107" i="4"/>
  <c r="V108" i="4"/>
  <c r="V105" i="4"/>
  <c r="V106" i="4"/>
  <c r="EI8" i="4"/>
  <c r="V104" i="4"/>
  <c r="A20" i="63"/>
  <c r="EI7" i="4"/>
  <c r="A15" i="63"/>
  <c r="V102" i="4"/>
  <c r="V103" i="4"/>
  <c r="C11" i="63"/>
  <c r="B4" i="63" s="1"/>
  <c r="G4" i="63" s="1"/>
  <c r="H4" i="63" s="1"/>
  <c r="C28" i="63"/>
  <c r="AN101" i="4"/>
  <c r="Y4" i="4"/>
  <c r="Y5" i="4"/>
  <c r="AW8" i="4"/>
  <c r="CR11" i="4"/>
  <c r="CR12" i="4"/>
  <c r="CR13" i="4"/>
  <c r="DL20" i="4"/>
  <c r="AM11" i="4"/>
  <c r="AM12" i="4"/>
  <c r="AM13" i="4"/>
  <c r="BY14" i="4"/>
  <c r="BY22" i="4"/>
  <c r="BY30" i="4"/>
  <c r="BY38" i="4"/>
  <c r="BY46" i="4"/>
  <c r="BY54" i="4"/>
  <c r="BY43" i="4"/>
  <c r="BY15" i="4"/>
  <c r="BY23" i="4"/>
  <c r="BY31" i="4"/>
  <c r="BY39" i="4"/>
  <c r="BY47" i="4"/>
  <c r="BY55" i="4"/>
  <c r="BY34" i="4"/>
  <c r="BY35" i="4"/>
  <c r="BY16" i="4"/>
  <c r="BY24" i="4"/>
  <c r="BY32" i="4"/>
  <c r="BY40" i="4"/>
  <c r="BY48" i="4"/>
  <c r="BY56" i="4"/>
  <c r="BY26" i="4"/>
  <c r="BY19" i="4"/>
  <c r="BY17" i="4"/>
  <c r="BY25" i="4"/>
  <c r="BY33" i="4"/>
  <c r="BY41" i="4"/>
  <c r="BY49" i="4"/>
  <c r="BY57" i="4"/>
  <c r="BY18" i="4"/>
  <c r="BY50" i="4"/>
  <c r="BY58" i="4"/>
  <c r="BY11" i="4"/>
  <c r="BY59" i="4"/>
  <c r="BY12" i="4"/>
  <c r="BY20" i="4"/>
  <c r="BY28" i="4"/>
  <c r="BY36" i="4"/>
  <c r="BY44" i="4"/>
  <c r="BY52" i="4"/>
  <c r="BY60" i="4"/>
  <c r="BY51" i="4"/>
  <c r="BY13" i="4"/>
  <c r="BY21" i="4"/>
  <c r="BY29" i="4"/>
  <c r="BY37" i="4"/>
  <c r="BY45" i="4"/>
  <c r="BY53" i="4"/>
  <c r="BY61" i="4"/>
  <c r="BY42" i="4"/>
  <c r="BY27" i="4"/>
  <c r="BT12" i="4"/>
  <c r="BT20" i="4"/>
  <c r="BT28" i="4"/>
  <c r="BT36" i="4"/>
  <c r="BT44" i="4"/>
  <c r="BT52" i="4"/>
  <c r="BT60" i="4"/>
  <c r="BT19" i="4"/>
  <c r="BT13" i="4"/>
  <c r="BT21" i="4"/>
  <c r="BT29" i="4"/>
  <c r="BT37" i="4"/>
  <c r="BT45" i="4"/>
  <c r="BT53" i="4"/>
  <c r="BT61" i="4"/>
  <c r="BT35" i="4"/>
  <c r="BT14" i="4"/>
  <c r="BT22" i="4"/>
  <c r="BT30" i="4"/>
  <c r="BT38" i="4"/>
  <c r="BT46" i="4"/>
  <c r="BT54" i="4"/>
  <c r="BT43" i="4"/>
  <c r="BT15" i="4"/>
  <c r="BT23" i="4"/>
  <c r="BT31" i="4"/>
  <c r="BT39" i="4"/>
  <c r="BT47" i="4"/>
  <c r="BT55" i="4"/>
  <c r="BT50" i="4"/>
  <c r="BT51" i="4"/>
  <c r="BT16" i="4"/>
  <c r="BT24" i="4"/>
  <c r="BT32" i="4"/>
  <c r="BT40" i="4"/>
  <c r="BT48" i="4"/>
  <c r="BT56" i="4"/>
  <c r="BT59" i="4"/>
  <c r="BT17" i="4"/>
  <c r="BT25" i="4"/>
  <c r="BT33" i="4"/>
  <c r="BT41" i="4"/>
  <c r="BT49" i="4"/>
  <c r="BT57" i="4"/>
  <c r="BT27" i="4"/>
  <c r="BT18" i="4"/>
  <c r="BT26" i="4"/>
  <c r="BT34" i="4"/>
  <c r="BT42" i="4"/>
  <c r="BT58" i="4"/>
  <c r="BT11" i="4"/>
  <c r="BO12" i="4"/>
  <c r="BO20" i="4"/>
  <c r="BO28" i="4"/>
  <c r="BO36" i="4"/>
  <c r="BO44" i="4"/>
  <c r="BO13" i="4"/>
  <c r="BO21" i="4"/>
  <c r="BO29" i="4"/>
  <c r="BO37" i="4"/>
  <c r="BO45" i="4"/>
  <c r="BO53" i="4"/>
  <c r="BO61" i="4"/>
  <c r="BO25" i="4"/>
  <c r="BO57" i="4"/>
  <c r="BO19" i="4"/>
  <c r="BO59" i="4"/>
  <c r="BO14" i="4"/>
  <c r="BO22" i="4"/>
  <c r="BO30" i="4"/>
  <c r="BO38" i="4"/>
  <c r="BO46" i="4"/>
  <c r="BO54" i="4"/>
  <c r="BO17" i="4"/>
  <c r="BO49" i="4"/>
  <c r="BO43" i="4"/>
  <c r="BO15" i="4"/>
  <c r="BO23" i="4"/>
  <c r="BO31" i="4"/>
  <c r="BO39" i="4"/>
  <c r="BO47" i="4"/>
  <c r="BO55" i="4"/>
  <c r="BO41" i="4"/>
  <c r="BO35" i="4"/>
  <c r="BO60" i="4"/>
  <c r="BO16" i="4"/>
  <c r="BO24" i="4"/>
  <c r="BO32" i="4"/>
  <c r="BO40" i="4"/>
  <c r="BO48" i="4"/>
  <c r="BO56" i="4"/>
  <c r="BO33" i="4"/>
  <c r="BO50" i="4"/>
  <c r="BO27" i="4"/>
  <c r="BO18" i="4"/>
  <c r="BO26" i="4"/>
  <c r="BO34" i="4"/>
  <c r="BO42" i="4"/>
  <c r="BO58" i="4"/>
  <c r="BO51" i="4"/>
  <c r="BO52" i="4"/>
  <c r="BO11" i="4"/>
  <c r="BJ11" i="4"/>
  <c r="BJ19" i="4"/>
  <c r="BJ27" i="4"/>
  <c r="BJ35" i="4"/>
  <c r="BJ43" i="4"/>
  <c r="BJ51" i="4"/>
  <c r="BJ59" i="4"/>
  <c r="BJ57" i="4"/>
  <c r="BJ50" i="4"/>
  <c r="BJ12" i="4"/>
  <c r="BJ20" i="4"/>
  <c r="BJ28" i="4"/>
  <c r="BJ36" i="4"/>
  <c r="BJ44" i="4"/>
  <c r="BJ52" i="4"/>
  <c r="BJ60" i="4"/>
  <c r="BJ49" i="4"/>
  <c r="BJ26" i="4"/>
  <c r="BJ13" i="4"/>
  <c r="BJ21" i="4"/>
  <c r="BJ29" i="4"/>
  <c r="BJ37" i="4"/>
  <c r="BJ45" i="4"/>
  <c r="BJ53" i="4"/>
  <c r="BJ61" i="4"/>
  <c r="BJ25" i="4"/>
  <c r="BJ18" i="4"/>
  <c r="BJ14" i="4"/>
  <c r="BJ22" i="4"/>
  <c r="BJ30" i="4"/>
  <c r="BJ38" i="4"/>
  <c r="BJ46" i="4"/>
  <c r="BJ54" i="4"/>
  <c r="BJ17" i="4"/>
  <c r="BJ34" i="4"/>
  <c r="BJ15" i="4"/>
  <c r="BJ23" i="4"/>
  <c r="BJ31" i="4"/>
  <c r="BJ39" i="4"/>
  <c r="BJ47" i="4"/>
  <c r="BJ55" i="4"/>
  <c r="BJ33" i="4"/>
  <c r="BJ58" i="4"/>
  <c r="BJ16" i="4"/>
  <c r="BJ24" i="4"/>
  <c r="BJ32" i="4"/>
  <c r="BJ40" i="4"/>
  <c r="BJ48" i="4"/>
  <c r="BJ56" i="4"/>
  <c r="BJ42" i="4"/>
  <c r="BJ41" i="4"/>
  <c r="BE11" i="4"/>
  <c r="BE19" i="4"/>
  <c r="BE27" i="4"/>
  <c r="BE35" i="4"/>
  <c r="BE43" i="4"/>
  <c r="BE51" i="4"/>
  <c r="BE59" i="4"/>
  <c r="BE33" i="4"/>
  <c r="BE50" i="4"/>
  <c r="BE12" i="4"/>
  <c r="BE20" i="4"/>
  <c r="BE28" i="4"/>
  <c r="BE36" i="4"/>
  <c r="BE44" i="4"/>
  <c r="BE52" i="4"/>
  <c r="BE60" i="4"/>
  <c r="BE17" i="4"/>
  <c r="BE49" i="4"/>
  <c r="BE26" i="4"/>
  <c r="BE13" i="4"/>
  <c r="BE21" i="4"/>
  <c r="BE29" i="4"/>
  <c r="BE37" i="4"/>
  <c r="BE45" i="4"/>
  <c r="BE53" i="4"/>
  <c r="BE61" i="4"/>
  <c r="BE25" i="4"/>
  <c r="BE42" i="4"/>
  <c r="BE14" i="4"/>
  <c r="BE22" i="4"/>
  <c r="BE30" i="4"/>
  <c r="BE38" i="4"/>
  <c r="BE46" i="4"/>
  <c r="BE54" i="4"/>
  <c r="BE57" i="4"/>
  <c r="BE58" i="4"/>
  <c r="BE15" i="4"/>
  <c r="BE23" i="4"/>
  <c r="BE31" i="4"/>
  <c r="BE39" i="4"/>
  <c r="BE47" i="4"/>
  <c r="BE55" i="4"/>
  <c r="BE18" i="4"/>
  <c r="BE16" i="4"/>
  <c r="BE24" i="4"/>
  <c r="BE32" i="4"/>
  <c r="BE40" i="4"/>
  <c r="BE48" i="4"/>
  <c r="BE56" i="4"/>
  <c r="BE41" i="4"/>
  <c r="BE34" i="4"/>
  <c r="AZ11" i="4"/>
  <c r="AZ19" i="4"/>
  <c r="AZ27" i="4"/>
  <c r="AZ35" i="4"/>
  <c r="AZ43" i="4"/>
  <c r="AZ51" i="4"/>
  <c r="AZ59" i="4"/>
  <c r="AZ34" i="4"/>
  <c r="AZ12" i="4"/>
  <c r="AZ20" i="4"/>
  <c r="AZ28" i="4"/>
  <c r="AZ36" i="4"/>
  <c r="AZ44" i="4"/>
  <c r="AZ52" i="4"/>
  <c r="AZ60" i="4"/>
  <c r="AZ13" i="4"/>
  <c r="AZ21" i="4"/>
  <c r="AZ29" i="4"/>
  <c r="AZ37" i="4"/>
  <c r="AZ45" i="4"/>
  <c r="AZ53" i="4"/>
  <c r="AZ61" i="4"/>
  <c r="AZ58" i="4"/>
  <c r="AZ14" i="4"/>
  <c r="AZ22" i="4"/>
  <c r="AZ30" i="4"/>
  <c r="AZ38" i="4"/>
  <c r="AZ46" i="4"/>
  <c r="AZ54" i="4"/>
  <c r="AZ50" i="4"/>
  <c r="AZ15" i="4"/>
  <c r="AZ23" i="4"/>
  <c r="AZ31" i="4"/>
  <c r="AZ39" i="4"/>
  <c r="AZ47" i="4"/>
  <c r="AZ55" i="4"/>
  <c r="AZ49" i="4"/>
  <c r="AZ42" i="4"/>
  <c r="AZ16" i="4"/>
  <c r="AZ24" i="4"/>
  <c r="AZ32" i="4"/>
  <c r="AZ40" i="4"/>
  <c r="AZ48" i="4"/>
  <c r="AZ56" i="4"/>
  <c r="AZ26" i="4"/>
  <c r="AZ17" i="4"/>
  <c r="AZ25" i="4"/>
  <c r="AZ33" i="4"/>
  <c r="AZ41" i="4"/>
  <c r="AZ57" i="4"/>
  <c r="AZ18" i="4"/>
  <c r="AN11" i="4"/>
  <c r="AN19" i="4"/>
  <c r="AN27" i="4"/>
  <c r="AN35" i="4"/>
  <c r="AN43" i="4"/>
  <c r="AN51" i="4"/>
  <c r="AN59" i="4"/>
  <c r="AN17" i="4"/>
  <c r="AN42" i="4"/>
  <c r="AN12" i="4"/>
  <c r="AN20" i="4"/>
  <c r="AN28" i="4"/>
  <c r="AN36" i="4"/>
  <c r="AN44" i="4"/>
  <c r="AN52" i="4"/>
  <c r="AN60" i="4"/>
  <c r="AN56" i="4"/>
  <c r="AN57" i="4"/>
  <c r="AN26" i="4"/>
  <c r="AN13" i="4"/>
  <c r="AN21" i="4"/>
  <c r="AN29" i="4"/>
  <c r="AN37" i="4"/>
  <c r="AN45" i="4"/>
  <c r="AN53" i="4"/>
  <c r="AN61" i="4"/>
  <c r="AN41" i="4"/>
  <c r="AN18" i="4"/>
  <c r="AN14" i="4"/>
  <c r="AN22" i="4"/>
  <c r="AN30" i="4"/>
  <c r="AN38" i="4"/>
  <c r="AN46" i="4"/>
  <c r="AN54" i="4"/>
  <c r="AN25" i="4"/>
  <c r="AN58" i="4"/>
  <c r="AN15" i="4"/>
  <c r="AN23" i="4"/>
  <c r="AN31" i="4"/>
  <c r="AN39" i="4"/>
  <c r="AN47" i="4"/>
  <c r="AN55" i="4"/>
  <c r="AN33" i="4"/>
  <c r="AN50" i="4"/>
  <c r="AN16" i="4"/>
  <c r="AN24" i="4"/>
  <c r="AN32" i="4"/>
  <c r="AN40" i="4"/>
  <c r="AN48" i="4"/>
  <c r="AN49" i="4"/>
  <c r="AN34" i="4"/>
  <c r="AV11" i="4"/>
  <c r="AV19" i="4"/>
  <c r="AV27" i="4"/>
  <c r="AV35" i="4"/>
  <c r="AV43" i="4"/>
  <c r="AV51" i="4"/>
  <c r="AV59" i="4"/>
  <c r="AV55" i="4"/>
  <c r="AV16" i="4"/>
  <c r="AV48" i="4"/>
  <c r="AV12" i="4"/>
  <c r="AV20" i="4"/>
  <c r="AV28" i="4"/>
  <c r="AV36" i="4"/>
  <c r="AV44" i="4"/>
  <c r="AV52" i="4"/>
  <c r="AV60" i="4"/>
  <c r="AV14" i="4"/>
  <c r="AV30" i="4"/>
  <c r="AV46" i="4"/>
  <c r="AV54" i="4"/>
  <c r="AV23" i="4"/>
  <c r="AV39" i="4"/>
  <c r="AV24" i="4"/>
  <c r="AV40" i="4"/>
  <c r="AV13" i="4"/>
  <c r="AV21" i="4"/>
  <c r="AV29" i="4"/>
  <c r="AV37" i="4"/>
  <c r="AV45" i="4"/>
  <c r="AV53" i="4"/>
  <c r="AV61" i="4"/>
  <c r="AV22" i="4"/>
  <c r="AV38" i="4"/>
  <c r="AV15" i="4"/>
  <c r="AV31" i="4"/>
  <c r="AV47" i="4"/>
  <c r="AV32" i="4"/>
  <c r="AV56" i="4"/>
  <c r="AV17" i="4"/>
  <c r="AV25" i="4"/>
  <c r="AV33" i="4"/>
  <c r="AV41" i="4"/>
  <c r="AV49" i="4"/>
  <c r="AV57" i="4"/>
  <c r="AV18" i="4"/>
  <c r="AV26" i="4"/>
  <c r="AV34" i="4"/>
  <c r="AV42" i="4"/>
  <c r="AV50" i="4"/>
  <c r="AV58" i="4"/>
  <c r="BW11" i="4"/>
  <c r="AS11" i="4"/>
  <c r="AS12" i="4"/>
  <c r="AS13" i="4"/>
  <c r="Y2" i="4"/>
  <c r="Z8" i="4" s="1"/>
  <c r="Z9" i="4" s="1"/>
  <c r="AA112" i="4" s="1"/>
  <c r="AR8" i="4"/>
  <c r="AD16" i="4"/>
  <c r="AD24" i="4"/>
  <c r="AD32" i="4"/>
  <c r="AD40" i="4"/>
  <c r="AD48" i="4"/>
  <c r="AD56" i="4"/>
  <c r="AD13" i="4"/>
  <c r="AD53" i="4"/>
  <c r="AD17" i="4"/>
  <c r="AD25" i="4"/>
  <c r="AD33" i="4"/>
  <c r="AD41" i="4"/>
  <c r="AD49" i="4"/>
  <c r="AD57" i="4"/>
  <c r="AD37" i="4"/>
  <c r="AD18" i="4"/>
  <c r="AD26" i="4"/>
  <c r="AD34" i="4"/>
  <c r="AD42" i="4"/>
  <c r="AD50" i="4"/>
  <c r="AD58" i="4"/>
  <c r="AD29" i="4"/>
  <c r="AD11" i="4"/>
  <c r="AD19" i="4"/>
  <c r="AD27" i="4"/>
  <c r="AD35" i="4"/>
  <c r="AD43" i="4"/>
  <c r="AD51" i="4"/>
  <c r="AD59" i="4"/>
  <c r="AD45" i="4"/>
  <c r="AD55" i="4"/>
  <c r="AD12" i="4"/>
  <c r="AD20" i="4"/>
  <c r="AD28" i="4"/>
  <c r="AD36" i="4"/>
  <c r="AD44" i="4"/>
  <c r="AD52" i="4"/>
  <c r="AD60" i="4"/>
  <c r="AD21" i="4"/>
  <c r="AD61" i="4"/>
  <c r="AD14" i="4"/>
  <c r="AD22" i="4"/>
  <c r="AD30" i="4"/>
  <c r="AD38" i="4"/>
  <c r="AD46" i="4"/>
  <c r="AD54" i="4"/>
  <c r="AD15" i="4"/>
  <c r="AD23" i="4"/>
  <c r="AD31" i="4"/>
  <c r="AD39" i="4"/>
  <c r="AD47" i="4"/>
  <c r="AH11" i="4"/>
  <c r="AL11" i="4" s="1"/>
  <c r="AH19" i="4"/>
  <c r="AH27" i="4"/>
  <c r="AH35" i="4"/>
  <c r="AH43" i="4"/>
  <c r="AH51" i="4"/>
  <c r="AH59" i="4"/>
  <c r="AH40" i="4"/>
  <c r="AH12" i="4"/>
  <c r="AH20" i="4"/>
  <c r="AH28" i="4"/>
  <c r="AH36" i="4"/>
  <c r="AH44" i="4"/>
  <c r="AH52" i="4"/>
  <c r="AH60" i="4"/>
  <c r="AH16" i="4"/>
  <c r="AH13" i="4"/>
  <c r="AH21" i="4"/>
  <c r="AH29" i="4"/>
  <c r="AH37" i="4"/>
  <c r="AH45" i="4"/>
  <c r="AH53" i="4"/>
  <c r="AH61" i="4"/>
  <c r="AH48" i="4"/>
  <c r="AH42" i="4"/>
  <c r="AH14" i="4"/>
  <c r="AH22" i="4"/>
  <c r="AH30" i="4"/>
  <c r="AH38" i="4"/>
  <c r="AH46" i="4"/>
  <c r="AH54" i="4"/>
  <c r="AH32" i="4"/>
  <c r="AH56" i="4"/>
  <c r="AH58" i="4"/>
  <c r="AH15" i="4"/>
  <c r="AH23" i="4"/>
  <c r="AH31" i="4"/>
  <c r="AH39" i="4"/>
  <c r="AH47" i="4"/>
  <c r="AH55" i="4"/>
  <c r="AH24" i="4"/>
  <c r="AH50" i="4"/>
  <c r="AH17" i="4"/>
  <c r="AH25" i="4"/>
  <c r="AH33" i="4"/>
  <c r="AH41" i="4"/>
  <c r="AH49" i="4"/>
  <c r="AH57" i="4"/>
  <c r="AH18" i="4"/>
  <c r="AH26" i="4"/>
  <c r="AH34" i="4"/>
  <c r="AF11" i="4"/>
  <c r="AE11" i="4"/>
  <c r="AE19" i="4"/>
  <c r="AE27" i="4"/>
  <c r="AE35" i="4"/>
  <c r="AE43" i="4"/>
  <c r="AE51" i="4"/>
  <c r="AE59" i="4"/>
  <c r="AE34" i="4"/>
  <c r="AE12" i="4"/>
  <c r="AE20" i="4"/>
  <c r="AE28" i="4"/>
  <c r="AE36" i="4"/>
  <c r="AE44" i="4"/>
  <c r="AE52" i="4"/>
  <c r="AE60" i="4"/>
  <c r="AE58" i="4"/>
  <c r="AE13" i="4"/>
  <c r="AE21" i="4"/>
  <c r="AE29" i="4"/>
  <c r="AE37" i="4"/>
  <c r="AE45" i="4"/>
  <c r="AE53" i="4"/>
  <c r="AE61" i="4"/>
  <c r="AE42" i="4"/>
  <c r="AE14" i="4"/>
  <c r="AE22" i="4"/>
  <c r="AE30" i="4"/>
  <c r="AE38" i="4"/>
  <c r="AE46" i="4"/>
  <c r="AE54" i="4"/>
  <c r="AE50" i="4"/>
  <c r="AE15" i="4"/>
  <c r="AE23" i="4"/>
  <c r="AE31" i="4"/>
  <c r="AE39" i="4"/>
  <c r="AE47" i="4"/>
  <c r="AE55" i="4"/>
  <c r="AE18" i="4"/>
  <c r="AE16" i="4"/>
  <c r="AE24" i="4"/>
  <c r="AE32" i="4"/>
  <c r="AE40" i="4"/>
  <c r="AE48" i="4"/>
  <c r="AE56" i="4"/>
  <c r="AE26" i="4"/>
  <c r="AE17" i="4"/>
  <c r="AE25" i="4"/>
  <c r="AE33" i="4"/>
  <c r="AE41" i="4"/>
  <c r="AE49" i="4"/>
  <c r="AE57" i="4"/>
  <c r="W11" i="4"/>
  <c r="W19" i="4"/>
  <c r="W27" i="4"/>
  <c r="W35" i="4"/>
  <c r="W43" i="4"/>
  <c r="W51" i="4"/>
  <c r="W59" i="4"/>
  <c r="W56" i="4"/>
  <c r="W57" i="4"/>
  <c r="W26" i="4"/>
  <c r="W12" i="4"/>
  <c r="W20" i="4"/>
  <c r="W28" i="4"/>
  <c r="W36" i="4"/>
  <c r="W44" i="4"/>
  <c r="W52" i="4"/>
  <c r="W60" i="4"/>
  <c r="W32" i="4"/>
  <c r="W18" i="4"/>
  <c r="W13" i="4"/>
  <c r="W21" i="4"/>
  <c r="W29" i="4"/>
  <c r="W37" i="4"/>
  <c r="W45" i="4"/>
  <c r="W53" i="4"/>
  <c r="W61" i="4"/>
  <c r="W41" i="4"/>
  <c r="W14" i="4"/>
  <c r="W22" i="4"/>
  <c r="W30" i="4"/>
  <c r="W38" i="4"/>
  <c r="W46" i="4"/>
  <c r="W54" i="4"/>
  <c r="W40" i="4"/>
  <c r="W58" i="4"/>
  <c r="W15" i="4"/>
  <c r="W23" i="4"/>
  <c r="W31" i="4"/>
  <c r="W39" i="4"/>
  <c r="W47" i="4"/>
  <c r="W55" i="4"/>
  <c r="W49" i="4"/>
  <c r="W50" i="4"/>
  <c r="W16" i="4"/>
  <c r="W24" i="4"/>
  <c r="W48" i="4"/>
  <c r="W34" i="4"/>
  <c r="W17" i="4"/>
  <c r="W25" i="4"/>
  <c r="W33" i="4"/>
  <c r="W42" i="4"/>
  <c r="AC11" i="4"/>
  <c r="AC19" i="4"/>
  <c r="AC27" i="4"/>
  <c r="AC35" i="4"/>
  <c r="AC43" i="4"/>
  <c r="AC51" i="4"/>
  <c r="AC59" i="4"/>
  <c r="AC16" i="4"/>
  <c r="AC41" i="4"/>
  <c r="AC58" i="4"/>
  <c r="AC12" i="4"/>
  <c r="AC20" i="4"/>
  <c r="AC28" i="4"/>
  <c r="AC36" i="4"/>
  <c r="AC44" i="4"/>
  <c r="AC52" i="4"/>
  <c r="AC60" i="4"/>
  <c r="AC55" i="4"/>
  <c r="AC32" i="4"/>
  <c r="AC56" i="4"/>
  <c r="AC33" i="4"/>
  <c r="AC34" i="4"/>
  <c r="AC13" i="4"/>
  <c r="AC21" i="4"/>
  <c r="AC29" i="4"/>
  <c r="AC37" i="4"/>
  <c r="AC45" i="4"/>
  <c r="AC53" i="4"/>
  <c r="AC61" i="4"/>
  <c r="AC24" i="4"/>
  <c r="AC48" i="4"/>
  <c r="AC25" i="4"/>
  <c r="AC57" i="4"/>
  <c r="AC42" i="4"/>
  <c r="AC14" i="4"/>
  <c r="AC22" i="4"/>
  <c r="AC30" i="4"/>
  <c r="AC38" i="4"/>
  <c r="AC46" i="4"/>
  <c r="AC54" i="4"/>
  <c r="AC40" i="4"/>
  <c r="AC17" i="4"/>
  <c r="AC49" i="4"/>
  <c r="AC26" i="4"/>
  <c r="AC15" i="4"/>
  <c r="AC23" i="4"/>
  <c r="AC31" i="4"/>
  <c r="AC39" i="4"/>
  <c r="AC47" i="4"/>
  <c r="AC18" i="4"/>
  <c r="AC50" i="4"/>
  <c r="AB11" i="4"/>
  <c r="AY11" i="4" s="1"/>
  <c r="AB19" i="4"/>
  <c r="AB27" i="4"/>
  <c r="AB35" i="4"/>
  <c r="AB43" i="4"/>
  <c r="AB51" i="4"/>
  <c r="AB59" i="4"/>
  <c r="AB32" i="4"/>
  <c r="AB56" i="4"/>
  <c r="AB25" i="4"/>
  <c r="AB58" i="4"/>
  <c r="AB12" i="4"/>
  <c r="AY12" i="4" s="1"/>
  <c r="AB20" i="4"/>
  <c r="AB28" i="4"/>
  <c r="AB36" i="4"/>
  <c r="AB44" i="4"/>
  <c r="AB52" i="4"/>
  <c r="AB60" i="4"/>
  <c r="AB17" i="4"/>
  <c r="AB34" i="4"/>
  <c r="AB13" i="4"/>
  <c r="AY13" i="4" s="1"/>
  <c r="AB21" i="4"/>
  <c r="AB29" i="4"/>
  <c r="AB37" i="4"/>
  <c r="AB45" i="4"/>
  <c r="AB53" i="4"/>
  <c r="AB61" i="4"/>
  <c r="AB33" i="4"/>
  <c r="AB18" i="4"/>
  <c r="AB14" i="4"/>
  <c r="AY14" i="4" s="1"/>
  <c r="AB22" i="4"/>
  <c r="AB30" i="4"/>
  <c r="AB38" i="4"/>
  <c r="AB46" i="4"/>
  <c r="AB54" i="4"/>
  <c r="AB40" i="4"/>
  <c r="AB57" i="4"/>
  <c r="AB50" i="4"/>
  <c r="AB15" i="4"/>
  <c r="AY15" i="4" s="1"/>
  <c r="AB23" i="4"/>
  <c r="AB31" i="4"/>
  <c r="AB39" i="4"/>
  <c r="AB47" i="4"/>
  <c r="AB55" i="4"/>
  <c r="AB24" i="4"/>
  <c r="AB48" i="4"/>
  <c r="AB49" i="4"/>
  <c r="AB26" i="4"/>
  <c r="AB16" i="4"/>
  <c r="AY16" i="4" s="1"/>
  <c r="AB41" i="4"/>
  <c r="AB42" i="4"/>
  <c r="BM11" i="4"/>
  <c r="BM12" i="4"/>
  <c r="BM13" i="4"/>
  <c r="BM18" i="4"/>
  <c r="BM14" i="4"/>
  <c r="BM15" i="4"/>
  <c r="BM16" i="4"/>
  <c r="BM17" i="4"/>
  <c r="BG11" i="4"/>
  <c r="BI11" i="4" s="1"/>
  <c r="CN8" i="4"/>
  <c r="BV8" i="4"/>
  <c r="BV9" i="4" s="1"/>
  <c r="EB18" i="4"/>
  <c r="AA110" i="4" l="1"/>
  <c r="AA111" i="4"/>
  <c r="L51" i="70"/>
  <c r="J52" i="70"/>
  <c r="AA108" i="4"/>
  <c r="AA109" i="4"/>
  <c r="AA106" i="4"/>
  <c r="AA107" i="4"/>
  <c r="AA104" i="4"/>
  <c r="AA105" i="4"/>
  <c r="AA102" i="4"/>
  <c r="AA103" i="4"/>
  <c r="H11" i="63"/>
  <c r="D4" i="63" s="1"/>
  <c r="E4" i="63" s="1"/>
  <c r="M4" i="63"/>
  <c r="H28" i="63"/>
  <c r="B18" i="63"/>
  <c r="I18" i="63" s="1"/>
  <c r="AA100" i="4"/>
  <c r="AA101" i="4"/>
  <c r="BH11" i="4"/>
  <c r="AA98" i="4"/>
  <c r="AA99" i="4"/>
  <c r="AA96" i="4"/>
  <c r="AA97" i="4"/>
  <c r="AA94" i="4"/>
  <c r="AA95" i="4"/>
  <c r="AA92" i="4"/>
  <c r="AA93" i="4"/>
  <c r="DO20" i="4"/>
  <c r="AA90" i="4"/>
  <c r="AA91" i="4"/>
  <c r="BV11" i="4"/>
  <c r="BX11" i="4"/>
  <c r="AT11" i="4"/>
  <c r="BL60" i="4"/>
  <c r="BM60" i="4" s="1"/>
  <c r="BL17" i="4"/>
  <c r="BN17" i="4" s="1"/>
  <c r="BL18" i="4"/>
  <c r="BN18" i="4" s="1"/>
  <c r="BL54" i="4"/>
  <c r="BM54" i="4" s="1"/>
  <c r="BL53" i="4"/>
  <c r="BM53" i="4" s="1"/>
  <c r="BL52" i="4"/>
  <c r="BM52" i="4" s="1"/>
  <c r="BL51" i="4"/>
  <c r="BM51" i="4" s="1"/>
  <c r="BL25" i="4"/>
  <c r="BM25" i="4" s="1"/>
  <c r="BL26" i="4"/>
  <c r="BM26" i="4" s="1"/>
  <c r="BL55" i="4"/>
  <c r="BM55" i="4" s="1"/>
  <c r="BL46" i="4"/>
  <c r="BM46" i="4" s="1"/>
  <c r="BL45" i="4"/>
  <c r="BM45" i="4" s="1"/>
  <c r="BL44" i="4"/>
  <c r="BM44" i="4" s="1"/>
  <c r="BL43" i="4"/>
  <c r="BM43" i="4" s="1"/>
  <c r="BL56" i="4"/>
  <c r="BM56" i="4" s="1"/>
  <c r="BL47" i="4"/>
  <c r="BM47" i="4" s="1"/>
  <c r="BL38" i="4"/>
  <c r="BM38" i="4" s="1"/>
  <c r="BL37" i="4"/>
  <c r="BM37" i="4" s="1"/>
  <c r="BL36" i="4"/>
  <c r="BM36" i="4" s="1"/>
  <c r="BL35" i="4"/>
  <c r="BM35" i="4" s="1"/>
  <c r="BL16" i="4"/>
  <c r="BN16" i="4"/>
  <c r="BL57" i="4"/>
  <c r="BM57" i="4" s="1"/>
  <c r="BL48" i="4"/>
  <c r="BM48" i="4" s="1"/>
  <c r="BL39" i="4"/>
  <c r="BM39" i="4" s="1"/>
  <c r="BL30" i="4"/>
  <c r="BM30" i="4" s="1"/>
  <c r="BL29" i="4"/>
  <c r="BM29" i="4" s="1"/>
  <c r="BL28" i="4"/>
  <c r="BM28" i="4" s="1"/>
  <c r="BL27" i="4"/>
  <c r="BM27" i="4" s="1"/>
  <c r="BL59" i="4"/>
  <c r="BM59" i="4" s="1"/>
  <c r="BL49" i="4"/>
  <c r="BM49" i="4" s="1"/>
  <c r="BL40" i="4"/>
  <c r="BM40" i="4" s="1"/>
  <c r="BL31" i="4"/>
  <c r="BM31" i="4" s="1"/>
  <c r="BL22" i="4"/>
  <c r="BM22" i="4" s="1"/>
  <c r="BL21" i="4"/>
  <c r="BM21" i="4" s="1"/>
  <c r="BL20" i="4"/>
  <c r="BM20" i="4" s="1"/>
  <c r="BL19" i="4"/>
  <c r="BM19" i="4" s="1"/>
  <c r="BL50" i="4"/>
  <c r="BM50" i="4" s="1"/>
  <c r="BL41" i="4"/>
  <c r="BM41" i="4" s="1"/>
  <c r="BL32" i="4"/>
  <c r="BM32" i="4" s="1"/>
  <c r="BL23" i="4"/>
  <c r="BM23" i="4" s="1"/>
  <c r="BL14" i="4"/>
  <c r="BN14" i="4"/>
  <c r="BL13" i="4"/>
  <c r="BN13" i="4"/>
  <c r="BL12" i="4"/>
  <c r="BN12" i="4"/>
  <c r="BL11" i="4"/>
  <c r="BN11" i="4"/>
  <c r="BL61" i="4"/>
  <c r="BM61" i="4" s="1"/>
  <c r="BL33" i="4"/>
  <c r="BM33" i="4" s="1"/>
  <c r="BL24" i="4"/>
  <c r="BM24" i="4" s="1"/>
  <c r="BL15" i="4"/>
  <c r="BN15" i="4"/>
  <c r="BL42" i="4"/>
  <c r="BM42" i="4" s="1"/>
  <c r="BL58" i="4"/>
  <c r="BM58" i="4" s="1"/>
  <c r="BL34" i="4"/>
  <c r="BM34" i="4" s="1"/>
  <c r="AA12" i="4"/>
  <c r="AA20" i="4"/>
  <c r="AA28" i="4"/>
  <c r="AA36" i="4"/>
  <c r="AA44" i="4"/>
  <c r="AA52" i="4"/>
  <c r="AA60" i="4"/>
  <c r="AA68" i="4"/>
  <c r="AA76" i="4"/>
  <c r="AA84" i="4"/>
  <c r="AA26" i="4"/>
  <c r="AA74" i="4"/>
  <c r="AA13" i="4"/>
  <c r="AA21" i="4"/>
  <c r="AA29" i="4"/>
  <c r="AA37" i="4"/>
  <c r="AA45" i="4"/>
  <c r="AA53" i="4"/>
  <c r="AA61" i="4"/>
  <c r="AA69" i="4"/>
  <c r="AA77" i="4"/>
  <c r="AA85" i="4"/>
  <c r="AA34" i="4"/>
  <c r="AA14" i="4"/>
  <c r="AA22" i="4"/>
  <c r="AA30" i="4"/>
  <c r="AA38" i="4"/>
  <c r="AA46" i="4"/>
  <c r="AA54" i="4"/>
  <c r="AA62" i="4"/>
  <c r="AA70" i="4"/>
  <c r="AA78" i="4"/>
  <c r="AA86" i="4"/>
  <c r="AA58" i="4"/>
  <c r="AA15" i="4"/>
  <c r="AA23" i="4"/>
  <c r="AA31" i="4"/>
  <c r="AA39" i="4"/>
  <c r="AA47" i="4"/>
  <c r="AA55" i="4"/>
  <c r="AA63" i="4"/>
  <c r="AA71" i="4"/>
  <c r="AA79" i="4"/>
  <c r="AA87" i="4"/>
  <c r="AA18" i="4"/>
  <c r="AA66" i="4"/>
  <c r="AA16" i="4"/>
  <c r="AA24" i="4"/>
  <c r="AA32" i="4"/>
  <c r="AA40" i="4"/>
  <c r="AA48" i="4"/>
  <c r="AA56" i="4"/>
  <c r="AA64" i="4"/>
  <c r="AA72" i="4"/>
  <c r="AA80" i="4"/>
  <c r="AA88" i="4"/>
  <c r="AA42" i="4"/>
  <c r="AA82" i="4"/>
  <c r="AA17" i="4"/>
  <c r="AA25" i="4"/>
  <c r="AA33" i="4"/>
  <c r="AA41" i="4"/>
  <c r="AA49" i="4"/>
  <c r="AA57" i="4"/>
  <c r="AA65" i="4"/>
  <c r="AA73" i="4"/>
  <c r="AA81" i="4"/>
  <c r="AA89" i="4"/>
  <c r="AA50" i="4"/>
  <c r="AA27" i="4"/>
  <c r="AA35" i="4"/>
  <c r="AA43" i="4"/>
  <c r="AA83" i="4"/>
  <c r="AA51" i="4"/>
  <c r="AA59" i="4"/>
  <c r="AA75" i="4"/>
  <c r="AA19" i="4"/>
  <c r="AA67" i="4"/>
  <c r="AA11" i="4"/>
  <c r="DN20" i="4"/>
  <c r="CA8" i="4"/>
  <c r="DT18" i="4"/>
  <c r="X9" i="4"/>
  <c r="Y112" i="4" s="1"/>
  <c r="FI20" i="4"/>
  <c r="FI21" i="4"/>
  <c r="FI22" i="4"/>
  <c r="FI19" i="4"/>
  <c r="EC19" i="4"/>
  <c r="EC21" i="4"/>
  <c r="DZ18" i="4"/>
  <c r="EC20" i="4"/>
  <c r="EC18" i="4"/>
  <c r="Y110" i="4" l="1"/>
  <c r="Y111" i="4"/>
  <c r="L52" i="70"/>
  <c r="J53" i="70"/>
  <c r="Y108" i="4"/>
  <c r="Y109" i="4"/>
  <c r="Y106" i="4"/>
  <c r="Y107" i="4"/>
  <c r="Y104" i="4"/>
  <c r="Y105" i="4"/>
  <c r="G18" i="63"/>
  <c r="H18" i="63" s="1"/>
  <c r="L18" i="63" s="1"/>
  <c r="Y102" i="4"/>
  <c r="Y103" i="4"/>
  <c r="D18" i="63"/>
  <c r="E18" i="63" s="1"/>
  <c r="M18" i="63" s="1"/>
  <c r="C18" i="63"/>
  <c r="J18" i="63" s="1"/>
  <c r="Y100" i="4"/>
  <c r="Y101" i="4"/>
  <c r="BN19" i="4"/>
  <c r="Y98" i="4"/>
  <c r="Y99" i="4"/>
  <c r="Y96" i="4"/>
  <c r="Y97" i="4"/>
  <c r="Y94" i="4"/>
  <c r="Y95" i="4"/>
  <c r="CD52" i="4"/>
  <c r="AA4" i="4"/>
  <c r="Y92" i="4"/>
  <c r="Y93" i="4"/>
  <c r="EH21" i="4"/>
  <c r="CD33" i="4"/>
  <c r="CD40" i="4"/>
  <c r="CD28" i="4"/>
  <c r="CD47" i="4"/>
  <c r="CD16" i="4"/>
  <c r="CB11" i="4"/>
  <c r="CD38" i="4"/>
  <c r="CD34" i="4"/>
  <c r="CD22" i="4"/>
  <c r="CD14" i="4"/>
  <c r="CD55" i="4"/>
  <c r="CD11" i="4"/>
  <c r="CD20" i="4"/>
  <c r="CD49" i="4"/>
  <c r="CD61" i="4"/>
  <c r="CD57" i="4"/>
  <c r="CD44" i="4"/>
  <c r="CD26" i="4"/>
  <c r="CD53" i="4"/>
  <c r="CD24" i="4"/>
  <c r="CD46" i="4"/>
  <c r="CD42" i="4"/>
  <c r="CD56" i="4"/>
  <c r="CD19" i="4"/>
  <c r="CD60" i="4"/>
  <c r="CD59" i="4"/>
  <c r="CD23" i="4"/>
  <c r="CD32" i="4"/>
  <c r="CD12" i="4"/>
  <c r="CD35" i="4"/>
  <c r="CD21" i="4"/>
  <c r="CD45" i="4"/>
  <c r="AG57" i="4"/>
  <c r="CA57" i="4" s="1"/>
  <c r="CB57" i="4" s="1"/>
  <c r="CD13" i="4"/>
  <c r="CD43" i="4"/>
  <c r="CD48" i="4"/>
  <c r="CD27" i="4"/>
  <c r="CD58" i="4"/>
  <c r="CD51" i="4"/>
  <c r="CD30" i="4"/>
  <c r="CD25" i="4"/>
  <c r="CD41" i="4"/>
  <c r="CD37" i="4"/>
  <c r="CD50" i="4"/>
  <c r="CD54" i="4"/>
  <c r="CD17" i="4"/>
  <c r="CD29" i="4"/>
  <c r="CD36" i="4"/>
  <c r="CD39" i="4"/>
  <c r="CD31" i="4"/>
  <c r="CD18" i="4"/>
  <c r="CD15" i="4"/>
  <c r="Y90" i="4"/>
  <c r="Y91" i="4"/>
  <c r="AG50" i="4"/>
  <c r="CA50" i="4" s="1"/>
  <c r="CB50" i="4" s="1"/>
  <c r="AG51" i="4"/>
  <c r="CA51" i="4" s="1"/>
  <c r="CB51" i="4" s="1"/>
  <c r="AG53" i="4"/>
  <c r="CA53" i="4" s="1"/>
  <c r="CB53" i="4" s="1"/>
  <c r="AG58" i="4"/>
  <c r="CA58" i="4" s="1"/>
  <c r="CB58" i="4" s="1"/>
  <c r="Y13" i="4"/>
  <c r="Y21" i="4"/>
  <c r="Y29" i="4"/>
  <c r="Y37" i="4"/>
  <c r="Y45" i="4"/>
  <c r="Y53" i="4"/>
  <c r="Y61" i="4"/>
  <c r="Y69" i="4"/>
  <c r="Y77" i="4"/>
  <c r="Y85" i="4"/>
  <c r="Y27" i="4"/>
  <c r="Y59" i="4"/>
  <c r="Y14" i="4"/>
  <c r="Y22" i="4"/>
  <c r="Y30" i="4"/>
  <c r="Y38" i="4"/>
  <c r="Y46" i="4"/>
  <c r="Y54" i="4"/>
  <c r="Y62" i="4"/>
  <c r="Y70" i="4"/>
  <c r="Y78" i="4"/>
  <c r="Y86" i="4"/>
  <c r="Y35" i="4"/>
  <c r="Y83" i="4"/>
  <c r="Y15" i="4"/>
  <c r="Y23" i="4"/>
  <c r="Y31" i="4"/>
  <c r="Y39" i="4"/>
  <c r="Y47" i="4"/>
  <c r="Y55" i="4"/>
  <c r="Y63" i="4"/>
  <c r="Y71" i="4"/>
  <c r="Y79" i="4"/>
  <c r="Y87" i="4"/>
  <c r="Y43" i="4"/>
  <c r="Y16" i="4"/>
  <c r="Y24" i="4"/>
  <c r="Y32" i="4"/>
  <c r="Y40" i="4"/>
  <c r="Y48" i="4"/>
  <c r="Y56" i="4"/>
  <c r="Y64" i="4"/>
  <c r="Y72" i="4"/>
  <c r="Y80" i="4"/>
  <c r="Y88" i="4"/>
  <c r="Y51" i="4"/>
  <c r="Y17" i="4"/>
  <c r="Y25" i="4"/>
  <c r="Y33" i="4"/>
  <c r="Y41" i="4"/>
  <c r="Y49" i="4"/>
  <c r="Y57" i="4"/>
  <c r="Y65" i="4"/>
  <c r="Y73" i="4"/>
  <c r="Y81" i="4"/>
  <c r="Y89" i="4"/>
  <c r="Y19" i="4"/>
  <c r="Y75" i="4"/>
  <c r="Y18" i="4"/>
  <c r="Y26" i="4"/>
  <c r="Y34" i="4"/>
  <c r="Y42" i="4"/>
  <c r="Y50" i="4"/>
  <c r="Y58" i="4"/>
  <c r="Y66" i="4"/>
  <c r="Y74" i="4"/>
  <c r="Y82" i="4"/>
  <c r="Y11" i="4"/>
  <c r="Y67" i="4"/>
  <c r="Y20" i="4"/>
  <c r="Y84" i="4"/>
  <c r="Y28" i="4"/>
  <c r="Y36" i="4"/>
  <c r="Y44" i="4"/>
  <c r="Y12" i="4"/>
  <c r="Y52" i="4"/>
  <c r="Y60" i="4"/>
  <c r="Y68" i="4"/>
  <c r="Y76" i="4"/>
  <c r="AG59" i="4"/>
  <c r="CA59" i="4" s="1"/>
  <c r="CB59" i="4" s="1"/>
  <c r="AG60" i="4"/>
  <c r="CA60" i="4" s="1"/>
  <c r="CB60" i="4" s="1"/>
  <c r="AG52" i="4"/>
  <c r="CA52" i="4" s="1"/>
  <c r="CB52" i="4" s="1"/>
  <c r="AG55" i="4"/>
  <c r="CA55" i="4" s="1"/>
  <c r="CB55" i="4" s="1"/>
  <c r="AG54" i="4"/>
  <c r="CA54" i="4" s="1"/>
  <c r="CB54" i="4" s="1"/>
  <c r="AG61" i="4"/>
  <c r="CA61" i="4" s="1"/>
  <c r="CB61" i="4" s="1"/>
  <c r="AG13" i="4"/>
  <c r="AG56" i="4"/>
  <c r="AG47" i="4"/>
  <c r="AG21" i="4"/>
  <c r="AG33" i="4"/>
  <c r="AG49" i="4"/>
  <c r="AG20" i="4"/>
  <c r="AG48" i="4"/>
  <c r="AG39" i="4"/>
  <c r="AG14" i="4"/>
  <c r="AG36" i="4"/>
  <c r="AG17" i="4"/>
  <c r="AG46" i="4"/>
  <c r="AG26" i="4"/>
  <c r="AG45" i="4"/>
  <c r="AG22" i="4"/>
  <c r="AG35" i="4"/>
  <c r="AG16" i="4"/>
  <c r="AG31" i="4"/>
  <c r="AG41" i="4"/>
  <c r="AG34" i="4"/>
  <c r="AG38" i="4"/>
  <c r="AG12" i="4"/>
  <c r="AG24" i="4"/>
  <c r="AG11" i="4"/>
  <c r="AG27" i="4"/>
  <c r="AG42" i="4"/>
  <c r="AG37" i="4"/>
  <c r="AG28" i="4"/>
  <c r="AG23" i="4"/>
  <c r="AG44" i="4"/>
  <c r="AG25" i="4"/>
  <c r="AG15" i="4"/>
  <c r="AG40" i="4"/>
  <c r="AG18" i="4"/>
  <c r="AG30" i="4"/>
  <c r="AG43" i="4"/>
  <c r="AG32" i="4"/>
  <c r="AG29" i="4"/>
  <c r="AG19" i="4"/>
  <c r="CA9" i="4"/>
  <c r="BW3" i="4"/>
  <c r="EK20" i="4" a="1"/>
  <c r="EK20" i="4" s="1"/>
  <c r="EI16" i="4"/>
  <c r="EF21" i="4"/>
  <c r="J54" i="70" l="1"/>
  <c r="L54" i="70" s="1"/>
  <c r="L53" i="70"/>
  <c r="W6" i="4"/>
  <c r="X6" i="4" s="1"/>
  <c r="EJ21" i="4"/>
  <c r="EX21" i="4" s="1"/>
  <c r="CC57" i="4"/>
  <c r="CC50" i="4"/>
  <c r="CC58" i="4"/>
  <c r="CC53" i="4"/>
  <c r="CC60" i="4"/>
  <c r="CC51" i="4"/>
  <c r="CC52" i="4"/>
  <c r="CC59" i="4"/>
  <c r="CC61" i="4"/>
  <c r="CC55" i="4"/>
  <c r="CC54" i="4"/>
  <c r="CA32" i="4"/>
  <c r="CB32" i="4" s="1"/>
  <c r="CA23" i="4"/>
  <c r="CB23" i="4" s="1"/>
  <c r="CA38" i="4"/>
  <c r="CB38" i="4" s="1"/>
  <c r="CA26" i="4"/>
  <c r="CB26" i="4" s="1"/>
  <c r="CA49" i="4"/>
  <c r="CB49" i="4" s="1"/>
  <c r="CA20" i="4"/>
  <c r="CB20" i="4" s="1"/>
  <c r="CA43" i="4"/>
  <c r="CC43" i="4" s="1"/>
  <c r="CA28" i="4"/>
  <c r="CB28" i="4" s="1"/>
  <c r="CA34" i="4"/>
  <c r="CB34" i="4" s="1"/>
  <c r="CA46" i="4"/>
  <c r="CB46" i="4" s="1"/>
  <c r="CA33" i="4"/>
  <c r="CB33" i="4" s="1"/>
  <c r="CA45" i="4"/>
  <c r="CB45" i="4" s="1"/>
  <c r="CA30" i="4"/>
  <c r="CB30" i="4" s="1"/>
  <c r="CA37" i="4"/>
  <c r="CB37" i="4" s="1"/>
  <c r="CA41" i="4"/>
  <c r="CB41" i="4" s="1"/>
  <c r="CA17" i="4"/>
  <c r="CC17" i="4" s="1"/>
  <c r="CA21" i="4"/>
  <c r="CB21" i="4" s="1"/>
  <c r="CA29" i="4"/>
  <c r="CB29" i="4" s="1"/>
  <c r="CA18" i="4"/>
  <c r="CB18" i="4" s="1"/>
  <c r="CA42" i="4"/>
  <c r="CB42" i="4" s="1"/>
  <c r="CA31" i="4"/>
  <c r="CB31" i="4" s="1"/>
  <c r="CA36" i="4"/>
  <c r="CB36" i="4" s="1"/>
  <c r="CA47" i="4"/>
  <c r="CB47" i="4" s="1"/>
  <c r="CA12" i="4"/>
  <c r="CB12" i="4" s="1"/>
  <c r="CA40" i="4"/>
  <c r="CB40" i="4" s="1"/>
  <c r="CA27" i="4"/>
  <c r="CB27" i="4" s="1"/>
  <c r="CA16" i="4"/>
  <c r="CB16" i="4" s="1"/>
  <c r="CA14" i="4"/>
  <c r="CC14" i="4" s="1"/>
  <c r="CA56" i="4"/>
  <c r="CB56" i="4" s="1"/>
  <c r="CA15" i="4"/>
  <c r="CB15" i="4" s="1"/>
  <c r="CA11" i="4"/>
  <c r="CC11" i="4"/>
  <c r="CA35" i="4"/>
  <c r="CB35" i="4" s="1"/>
  <c r="CA39" i="4"/>
  <c r="CB39" i="4" s="1"/>
  <c r="CA13" i="4"/>
  <c r="CB13" i="4" s="1"/>
  <c r="CA44" i="4"/>
  <c r="CB44" i="4" s="1"/>
  <c r="CA25" i="4"/>
  <c r="CB25" i="4" s="1"/>
  <c r="CA24" i="4"/>
  <c r="CB24" i="4" s="1"/>
  <c r="CA22" i="4"/>
  <c r="CB22" i="4" s="1"/>
  <c r="CA48" i="4"/>
  <c r="CB48" i="4" s="1"/>
  <c r="CA19" i="4"/>
  <c r="CC19" i="4" s="1"/>
  <c r="ES18" i="4"/>
  <c r="CB14" i="4" l="1"/>
  <c r="CB17" i="4"/>
  <c r="CC48" i="4"/>
  <c r="CC45" i="4"/>
  <c r="CC22" i="4"/>
  <c r="CC12" i="4"/>
  <c r="CC28" i="4"/>
  <c r="CC26" i="4"/>
  <c r="CC24" i="4"/>
  <c r="CB43" i="4"/>
  <c r="CC25" i="4"/>
  <c r="CC35" i="4"/>
  <c r="CC42" i="4"/>
  <c r="CC44" i="4"/>
  <c r="CC16" i="4"/>
  <c r="CC47" i="4"/>
  <c r="CC18" i="4"/>
  <c r="CC41" i="4"/>
  <c r="CC33" i="4"/>
  <c r="CC38" i="4"/>
  <c r="CC13" i="4"/>
  <c r="CC15" i="4"/>
  <c r="CC27" i="4"/>
  <c r="CC36" i="4"/>
  <c r="CC29" i="4"/>
  <c r="CC37" i="4"/>
  <c r="CC46" i="4"/>
  <c r="CC20" i="4"/>
  <c r="CC23" i="4"/>
  <c r="CC39" i="4"/>
  <c r="CC56" i="4"/>
  <c r="CC40" i="4"/>
  <c r="CC31" i="4"/>
  <c r="CC21" i="4"/>
  <c r="CC30" i="4"/>
  <c r="CC34" i="4"/>
  <c r="CC49" i="4"/>
  <c r="CC32" i="4"/>
  <c r="CB19" i="4"/>
  <c r="ET18" i="4"/>
  <c r="BZ11" i="4"/>
  <c r="BZ19" i="4"/>
  <c r="BZ27" i="4"/>
  <c r="BZ35" i="4"/>
  <c r="BZ43" i="4"/>
  <c r="BZ51" i="4"/>
  <c r="BZ59" i="4"/>
  <c r="BZ42" i="4"/>
  <c r="BZ12" i="4"/>
  <c r="BZ20" i="4"/>
  <c r="BZ28" i="4"/>
  <c r="BZ36" i="4"/>
  <c r="BZ44" i="4"/>
  <c r="BZ52" i="4"/>
  <c r="BZ60" i="4"/>
  <c r="BZ26" i="4"/>
  <c r="BZ13" i="4"/>
  <c r="BZ21" i="4"/>
  <c r="BZ29" i="4"/>
  <c r="BZ37" i="4"/>
  <c r="BZ45" i="4"/>
  <c r="BZ53" i="4"/>
  <c r="BZ61" i="4"/>
  <c r="BZ34" i="4"/>
  <c r="BZ14" i="4"/>
  <c r="BZ22" i="4"/>
  <c r="BZ30" i="4"/>
  <c r="BZ38" i="4"/>
  <c r="BZ46" i="4"/>
  <c r="BZ54" i="4"/>
  <c r="BZ58" i="4"/>
  <c r="BZ15" i="4"/>
  <c r="BZ23" i="4"/>
  <c r="BZ31" i="4"/>
  <c r="BZ39" i="4"/>
  <c r="BZ47" i="4"/>
  <c r="BZ55" i="4"/>
  <c r="BZ50" i="4"/>
  <c r="BZ16" i="4"/>
  <c r="BZ24" i="4"/>
  <c r="BZ32" i="4"/>
  <c r="BZ40" i="4"/>
  <c r="BZ48" i="4"/>
  <c r="BZ56" i="4"/>
  <c r="BZ17" i="4"/>
  <c r="BZ25" i="4"/>
  <c r="BZ33" i="4"/>
  <c r="BZ41" i="4"/>
  <c r="BZ49" i="4"/>
  <c r="BZ57" i="4"/>
  <c r="BZ18" i="4"/>
  <c r="AX11" i="4"/>
  <c r="AX12" i="4"/>
  <c r="AX13" i="4"/>
  <c r="AX14" i="4"/>
  <c r="AX15" i="4"/>
  <c r="AX16" i="4"/>
  <c r="AX17" i="4"/>
  <c r="AX18" i="4"/>
  <c r="AR11" i="4"/>
  <c r="AP11" i="4"/>
  <c r="CQ11" i="4" s="1"/>
  <c r="AP12" i="4"/>
  <c r="AP13" i="4"/>
  <c r="AR13" i="4" s="1"/>
  <c r="AT13" i="4" s="1"/>
  <c r="AP14" i="4"/>
  <c r="AR14" i="4" s="1"/>
  <c r="AP15" i="4"/>
  <c r="AP16" i="4"/>
  <c r="AP17" i="4"/>
  <c r="AP18" i="4"/>
  <c r="AP19" i="4"/>
  <c r="AP20" i="4"/>
  <c r="AP21" i="4"/>
  <c r="AP22" i="4"/>
  <c r="AO5" i="4" s="1"/>
  <c r="AP23" i="4"/>
  <c r="AP24" i="4"/>
  <c r="AP25" i="4"/>
  <c r="AP26" i="4"/>
  <c r="AP27" i="4"/>
  <c r="AP28" i="4"/>
  <c r="AP29" i="4"/>
  <c r="AP30" i="4"/>
  <c r="AP31" i="4"/>
  <c r="AP32" i="4"/>
  <c r="AP33" i="4"/>
  <c r="AP34" i="4"/>
  <c r="AP35" i="4"/>
  <c r="AP36" i="4"/>
  <c r="AP37" i="4"/>
  <c r="AP38" i="4"/>
  <c r="AP39" i="4"/>
  <c r="AP40" i="4"/>
  <c r="AP41" i="4"/>
  <c r="AP42" i="4"/>
  <c r="AP43" i="4"/>
  <c r="AP44" i="4"/>
  <c r="AP45" i="4"/>
  <c r="AP46" i="4"/>
  <c r="AP47" i="4"/>
  <c r="AP48" i="4"/>
  <c r="AP49" i="4"/>
  <c r="AP50" i="4"/>
  <c r="AP51" i="4"/>
  <c r="AP52" i="4"/>
  <c r="AP53" i="4"/>
  <c r="AP54" i="4"/>
  <c r="AP55" i="4"/>
  <c r="AP56" i="4"/>
  <c r="AP57" i="4"/>
  <c r="AP58" i="4"/>
  <c r="AP59" i="4"/>
  <c r="AP60" i="4"/>
  <c r="AP61" i="4"/>
  <c r="AR12" i="4" l="1"/>
  <c r="AT12" i="4" s="1"/>
  <c r="AS14" i="4"/>
  <c r="AT14" i="4"/>
  <c r="BL8" i="4"/>
  <c r="BL9" i="4" s="1"/>
  <c r="BG8" i="4"/>
  <c r="BG9" i="4" s="1"/>
  <c r="BQ8" i="4"/>
  <c r="EB17" i="4"/>
  <c r="EB16" i="4"/>
  <c r="DW16" i="4"/>
  <c r="DT17" i="4"/>
  <c r="DT16" i="4"/>
  <c r="S9" i="4"/>
  <c r="T112" i="4" s="1"/>
  <c r="DZ16" i="4"/>
  <c r="EC17" i="4"/>
  <c r="DZ17" i="4"/>
  <c r="EC16" i="4"/>
  <c r="T110" i="4" l="1"/>
  <c r="T111" i="4"/>
  <c r="T108" i="4"/>
  <c r="T109" i="4"/>
  <c r="T106" i="4"/>
  <c r="T107" i="4"/>
  <c r="T104" i="4"/>
  <c r="T105" i="4"/>
  <c r="T102" i="4"/>
  <c r="T103" i="4"/>
  <c r="T100" i="4"/>
  <c r="T101" i="4"/>
  <c r="T98" i="4"/>
  <c r="T99" i="4"/>
  <c r="T96" i="4"/>
  <c r="T97" i="4"/>
  <c r="T94" i="4"/>
  <c r="T95" i="4"/>
  <c r="T92" i="4"/>
  <c r="T93" i="4"/>
  <c r="BG39" i="4"/>
  <c r="BG21" i="4"/>
  <c r="BG38" i="4"/>
  <c r="BG29" i="4"/>
  <c r="BG16" i="4"/>
  <c r="BG30" i="4"/>
  <c r="BG34" i="4"/>
  <c r="BG15" i="4"/>
  <c r="BG12" i="4"/>
  <c r="BG37" i="4"/>
  <c r="BG24" i="4"/>
  <c r="BG23" i="4"/>
  <c r="BG20" i="4"/>
  <c r="BG32" i="4"/>
  <c r="BG19" i="4"/>
  <c r="BG28" i="4"/>
  <c r="BG26" i="4"/>
  <c r="BG17" i="4"/>
  <c r="BG22" i="4"/>
  <c r="BG27" i="4"/>
  <c r="BG36" i="4"/>
  <c r="BG14" i="4"/>
  <c r="BG25" i="4"/>
  <c r="BG33" i="4"/>
  <c r="BG18" i="4"/>
  <c r="BG35" i="4"/>
  <c r="BG31" i="4"/>
  <c r="BG13" i="4"/>
  <c r="T90" i="4"/>
  <c r="T91" i="4"/>
  <c r="BN47" i="4"/>
  <c r="BN45" i="4"/>
  <c r="BN36" i="4"/>
  <c r="BN49" i="4"/>
  <c r="BN61" i="4"/>
  <c r="BN53" i="4"/>
  <c r="BN57" i="4"/>
  <c r="BN27" i="4"/>
  <c r="BN34" i="4"/>
  <c r="BN56" i="4"/>
  <c r="BN29" i="4"/>
  <c r="BN50" i="4"/>
  <c r="BN60" i="4"/>
  <c r="BN24" i="4"/>
  <c r="BN46" i="4"/>
  <c r="BN22" i="4"/>
  <c r="BN31" i="4"/>
  <c r="BN38" i="4"/>
  <c r="BN54" i="4"/>
  <c r="BN23" i="4"/>
  <c r="BN32" i="4"/>
  <c r="BN51" i="4"/>
  <c r="BN37" i="4"/>
  <c r="BN59" i="4"/>
  <c r="BN25" i="4"/>
  <c r="BN20" i="4"/>
  <c r="BN58" i="4"/>
  <c r="BN43" i="4"/>
  <c r="BN30" i="4"/>
  <c r="BN40" i="4"/>
  <c r="BN33" i="4"/>
  <c r="BN55" i="4"/>
  <c r="BN35" i="4"/>
  <c r="BN28" i="4"/>
  <c r="BN41" i="4"/>
  <c r="BN52" i="4"/>
  <c r="BN44" i="4"/>
  <c r="BN39" i="4"/>
  <c r="BN48" i="4"/>
  <c r="BN21" i="4"/>
  <c r="BN42" i="4"/>
  <c r="BN26" i="4"/>
  <c r="T25" i="4"/>
  <c r="T33" i="4"/>
  <c r="T41" i="4"/>
  <c r="T49" i="4"/>
  <c r="T57" i="4"/>
  <c r="T65" i="4"/>
  <c r="T73" i="4"/>
  <c r="T81" i="4"/>
  <c r="T89" i="4"/>
  <c r="T23" i="4"/>
  <c r="T71" i="4"/>
  <c r="T26" i="4"/>
  <c r="T34" i="4"/>
  <c r="T42" i="4"/>
  <c r="T50" i="4"/>
  <c r="T58" i="4"/>
  <c r="T66" i="4"/>
  <c r="T74" i="4"/>
  <c r="T82" i="4"/>
  <c r="T55" i="4"/>
  <c r="T19" i="4"/>
  <c r="T27" i="4"/>
  <c r="T35" i="4"/>
  <c r="T43" i="4"/>
  <c r="T51" i="4"/>
  <c r="T59" i="4"/>
  <c r="T67" i="4"/>
  <c r="T75" i="4"/>
  <c r="T83" i="4"/>
  <c r="T63" i="4"/>
  <c r="T20" i="4"/>
  <c r="T28" i="4"/>
  <c r="T36" i="4"/>
  <c r="T44" i="4"/>
  <c r="T52" i="4"/>
  <c r="T60" i="4"/>
  <c r="T68" i="4"/>
  <c r="T76" i="4"/>
  <c r="T84" i="4"/>
  <c r="T39" i="4"/>
  <c r="T87" i="4"/>
  <c r="T21" i="4"/>
  <c r="T29" i="4"/>
  <c r="T37" i="4"/>
  <c r="T45" i="4"/>
  <c r="T53" i="4"/>
  <c r="T61" i="4"/>
  <c r="T69" i="4"/>
  <c r="T77" i="4"/>
  <c r="T85" i="4"/>
  <c r="T31" i="4"/>
  <c r="T79" i="4"/>
  <c r="T22" i="4"/>
  <c r="T30" i="4"/>
  <c r="T38" i="4"/>
  <c r="T46" i="4"/>
  <c r="T54" i="4"/>
  <c r="T62" i="4"/>
  <c r="T70" i="4"/>
  <c r="T78" i="4"/>
  <c r="T86" i="4"/>
  <c r="T47" i="4"/>
  <c r="T80" i="4"/>
  <c r="T24" i="4"/>
  <c r="T88" i="4"/>
  <c r="T32" i="4"/>
  <c r="T72" i="4"/>
  <c r="T40" i="4"/>
  <c r="T48" i="4"/>
  <c r="T64" i="4"/>
  <c r="T56" i="4"/>
  <c r="BG54" i="4"/>
  <c r="BI54" i="4" s="1"/>
  <c r="BG44" i="4"/>
  <c r="BI44" i="4" s="1"/>
  <c r="BG45" i="4"/>
  <c r="BI45" i="4" s="1"/>
  <c r="BG58" i="4"/>
  <c r="BI58" i="4" s="1"/>
  <c r="BG52" i="4"/>
  <c r="BI52" i="4" s="1"/>
  <c r="BG53" i="4"/>
  <c r="BI53" i="4" s="1"/>
  <c r="BG55" i="4"/>
  <c r="BI55" i="4" s="1"/>
  <c r="BG41" i="4"/>
  <c r="BI41" i="4" s="1"/>
  <c r="BG60" i="4"/>
  <c r="BI60" i="4" s="1"/>
  <c r="BG50" i="4"/>
  <c r="BI50" i="4" s="1"/>
  <c r="BG61" i="4"/>
  <c r="BI61" i="4" s="1"/>
  <c r="BG40" i="4"/>
  <c r="BI40" i="4" s="1"/>
  <c r="BG42" i="4"/>
  <c r="BI42" i="4" s="1"/>
  <c r="BG57" i="4"/>
  <c r="BI57" i="4" s="1"/>
  <c r="BG43" i="4"/>
  <c r="BI43" i="4" s="1"/>
  <c r="BG48" i="4"/>
  <c r="BI48" i="4" s="1"/>
  <c r="BG46" i="4"/>
  <c r="BI46" i="4" s="1"/>
  <c r="BG51" i="4"/>
  <c r="BI51" i="4" s="1"/>
  <c r="BG47" i="4"/>
  <c r="BI47" i="4" s="1"/>
  <c r="BG56" i="4"/>
  <c r="BI56" i="4" s="1"/>
  <c r="BG49" i="4"/>
  <c r="BI49" i="4" s="1"/>
  <c r="BG59" i="4"/>
  <c r="BI59" i="4" s="1"/>
  <c r="AW15" i="4"/>
  <c r="AW14" i="4"/>
  <c r="AW13" i="4"/>
  <c r="AW12" i="4"/>
  <c r="AW16" i="4"/>
  <c r="AW18" i="4"/>
  <c r="AY18" i="4" s="1"/>
  <c r="AW17" i="4"/>
  <c r="AY17" i="4" s="1"/>
  <c r="V130" i="4"/>
  <c r="X130" i="4"/>
  <c r="BH33" i="4" l="1"/>
  <c r="BI33" i="4"/>
  <c r="BI28" i="4"/>
  <c r="BH28" i="4"/>
  <c r="BH15" i="4"/>
  <c r="BI15" i="4"/>
  <c r="BH25" i="4"/>
  <c r="BI25" i="4"/>
  <c r="BI19" i="4"/>
  <c r="BH19" i="4"/>
  <c r="BI34" i="4"/>
  <c r="BH34" i="4"/>
  <c r="BH14" i="4"/>
  <c r="BI14" i="4"/>
  <c r="BI32" i="4"/>
  <c r="BH32" i="4"/>
  <c r="BI30" i="4"/>
  <c r="BH30" i="4"/>
  <c r="BI36" i="4"/>
  <c r="BH36" i="4"/>
  <c r="BH20" i="4"/>
  <c r="BI20" i="4"/>
  <c r="BH16" i="4"/>
  <c r="BI16" i="4"/>
  <c r="BI13" i="4"/>
  <c r="BH13" i="4"/>
  <c r="BI27" i="4"/>
  <c r="BH27" i="4"/>
  <c r="BH23" i="4"/>
  <c r="BI23" i="4"/>
  <c r="BI29" i="4"/>
  <c r="BH29" i="4"/>
  <c r="BH31" i="4"/>
  <c r="BI31" i="4"/>
  <c r="BI22" i="4"/>
  <c r="BH22" i="4"/>
  <c r="BI24" i="4"/>
  <c r="BH24" i="4"/>
  <c r="BI38" i="4"/>
  <c r="BH38" i="4"/>
  <c r="BH35" i="4"/>
  <c r="BI35" i="4"/>
  <c r="BI17" i="4"/>
  <c r="BH17" i="4"/>
  <c r="BH37" i="4"/>
  <c r="BI37" i="4"/>
  <c r="BH21" i="4"/>
  <c r="BI21" i="4"/>
  <c r="BH18" i="4"/>
  <c r="BI18" i="4"/>
  <c r="BI26" i="4"/>
  <c r="BH26" i="4"/>
  <c r="BH12" i="4"/>
  <c r="BI12" i="4"/>
  <c r="BI39" i="4"/>
  <c r="BH39" i="4"/>
  <c r="ES16" i="4"/>
  <c r="ES17" i="4"/>
  <c r="BH46" i="4"/>
  <c r="BH59" i="4"/>
  <c r="BH51" i="4"/>
  <c r="BH52" i="4"/>
  <c r="BH49" i="4"/>
  <c r="BH56" i="4"/>
  <c r="BH45" i="4"/>
  <c r="BH40" i="4"/>
  <c r="BH54" i="4"/>
  <c r="BH47" i="4"/>
  <c r="BH41" i="4"/>
  <c r="BH60" i="4"/>
  <c r="BH48" i="4"/>
  <c r="BH43" i="4"/>
  <c r="BH53" i="4"/>
  <c r="BH58" i="4"/>
  <c r="BH44" i="4"/>
  <c r="BH42" i="4"/>
  <c r="BH57" i="4"/>
  <c r="BH61" i="4"/>
  <c r="BH55" i="4"/>
  <c r="BH50" i="4"/>
  <c r="EK18" i="4"/>
  <c r="EK17" i="4"/>
  <c r="EK16" i="4"/>
  <c r="BQ9" i="4"/>
  <c r="BB8" i="4"/>
  <c r="BB9" i="4" s="1"/>
  <c r="BK11" i="4" l="1"/>
  <c r="BK33" i="4"/>
  <c r="BK26" i="4"/>
  <c r="BK56" i="4"/>
  <c r="BK39" i="4"/>
  <c r="BK53" i="4"/>
  <c r="BK12" i="4"/>
  <c r="BK27" i="4"/>
  <c r="BK47" i="4"/>
  <c r="BK35" i="4"/>
  <c r="BK25" i="4"/>
  <c r="BK48" i="4"/>
  <c r="BK31" i="4"/>
  <c r="BK45" i="4"/>
  <c r="BK38" i="4"/>
  <c r="BK19" i="4"/>
  <c r="BK30" i="4"/>
  <c r="BK17" i="4"/>
  <c r="BK40" i="4"/>
  <c r="BK23" i="4"/>
  <c r="BK37" i="4"/>
  <c r="BK14" i="4"/>
  <c r="BK60" i="4"/>
  <c r="BK50" i="4"/>
  <c r="BK32" i="4"/>
  <c r="BK15" i="4"/>
  <c r="BK29" i="4"/>
  <c r="BK52" i="4"/>
  <c r="BK54" i="4"/>
  <c r="BK34" i="4"/>
  <c r="BK24" i="4"/>
  <c r="BK21" i="4"/>
  <c r="BK44" i="4"/>
  <c r="BK22" i="4"/>
  <c r="BK59" i="4"/>
  <c r="BK61" i="4"/>
  <c r="BK18" i="4"/>
  <c r="BK57" i="4"/>
  <c r="BK16" i="4"/>
  <c r="BK13" i="4"/>
  <c r="BK36" i="4"/>
  <c r="BK51" i="4"/>
  <c r="BK42" i="4"/>
  <c r="BK49" i="4"/>
  <c r="BK58" i="4"/>
  <c r="BK55" i="4"/>
  <c r="BK46" i="4"/>
  <c r="BK28" i="4"/>
  <c r="BK43" i="4"/>
  <c r="BK41" i="4"/>
  <c r="BK20" i="4"/>
  <c r="DW11" i="4"/>
  <c r="AI9" i="4"/>
  <c r="DT11" i="4"/>
  <c r="FW169" i="4"/>
  <c r="FZ169" i="4"/>
  <c r="GA169" i="4"/>
  <c r="GC169" i="4"/>
  <c r="DZ11" i="4"/>
  <c r="EC11" i="4"/>
  <c r="AJ112" i="4" l="1"/>
  <c r="AJ113" i="4"/>
  <c r="AJ110" i="4"/>
  <c r="AJ111" i="4"/>
  <c r="AJ108" i="4"/>
  <c r="AJ109" i="4"/>
  <c r="AJ106" i="4"/>
  <c r="AJ107" i="4"/>
  <c r="AJ122" i="4"/>
  <c r="AJ121" i="4"/>
  <c r="AJ123" i="4"/>
  <c r="AJ124" i="4"/>
  <c r="AJ104" i="4"/>
  <c r="AJ105" i="4"/>
  <c r="AJ102" i="4"/>
  <c r="AJ103" i="4"/>
  <c r="AJ100" i="4"/>
  <c r="AJ101" i="4"/>
  <c r="AJ98" i="4"/>
  <c r="AJ99" i="4"/>
  <c r="AJ97" i="4"/>
  <c r="AJ96" i="4"/>
  <c r="AJ94" i="4"/>
  <c r="AJ95" i="4"/>
  <c r="AJ92" i="4"/>
  <c r="AJ93" i="4"/>
  <c r="AJ90" i="4"/>
  <c r="AJ91" i="4"/>
  <c r="AJ53" i="4"/>
  <c r="AJ52" i="4"/>
  <c r="AJ66" i="4"/>
  <c r="AJ17" i="4"/>
  <c r="AJ80" i="4"/>
  <c r="AJ61" i="4"/>
  <c r="AJ65" i="4"/>
  <c r="AJ31" i="4"/>
  <c r="AJ50" i="4"/>
  <c r="AJ38" i="4"/>
  <c r="AJ89" i="4"/>
  <c r="AJ29" i="4"/>
  <c r="AJ44" i="4"/>
  <c r="AJ26" i="4"/>
  <c r="AJ88" i="4"/>
  <c r="AJ56" i="4"/>
  <c r="AJ75" i="4"/>
  <c r="AJ64" i="4"/>
  <c r="AJ23" i="4"/>
  <c r="AJ81" i="4"/>
  <c r="AJ30" i="4"/>
  <c r="AJ25" i="4"/>
  <c r="AJ39" i="4"/>
  <c r="AJ21" i="4"/>
  <c r="AJ36" i="4"/>
  <c r="AJ73" i="4"/>
  <c r="AJ37" i="4"/>
  <c r="AJ48" i="4"/>
  <c r="AJ43" i="4"/>
  <c r="AJ79" i="4"/>
  <c r="AJ14" i="4"/>
  <c r="AJ72" i="4"/>
  <c r="AJ22" i="4"/>
  <c r="AJ77" i="4"/>
  <c r="AJ46" i="4"/>
  <c r="AJ84" i="4"/>
  <c r="AJ28" i="4"/>
  <c r="AJ57" i="4"/>
  <c r="AJ67" i="4"/>
  <c r="AJ40" i="4"/>
  <c r="AJ19" i="4"/>
  <c r="AJ71" i="4"/>
  <c r="AJ86" i="4"/>
  <c r="AJ78" i="4"/>
  <c r="AJ85" i="4"/>
  <c r="AJ68" i="4"/>
  <c r="AJ33" i="4"/>
  <c r="AJ16" i="4"/>
  <c r="AJ18" i="4"/>
  <c r="AJ54" i="4"/>
  <c r="AJ60" i="4"/>
  <c r="AJ87" i="4"/>
  <c r="AJ15" i="4"/>
  <c r="AJ20" i="4"/>
  <c r="AJ49" i="4"/>
  <c r="AJ35" i="4"/>
  <c r="AJ32" i="4"/>
  <c r="AJ74" i="4"/>
  <c r="AJ63" i="4"/>
  <c r="AJ69" i="4"/>
  <c r="AJ70" i="4"/>
  <c r="AJ51" i="4"/>
  <c r="AJ58" i="4"/>
  <c r="AJ47" i="4"/>
  <c r="AJ59" i="4"/>
  <c r="AJ76" i="4"/>
  <c r="AJ45" i="4"/>
  <c r="AJ41" i="4"/>
  <c r="AJ82" i="4"/>
  <c r="AJ24" i="4"/>
  <c r="AJ42" i="4"/>
  <c r="AJ55" i="4"/>
  <c r="AJ83" i="4"/>
  <c r="AJ62" i="4"/>
  <c r="AJ34" i="4"/>
  <c r="AJ27" i="4"/>
  <c r="AJ117" i="4"/>
  <c r="AJ115" i="4"/>
  <c r="AJ116" i="4"/>
  <c r="FK12" i="4"/>
  <c r="FK11" i="4"/>
  <c r="FJ11" i="4"/>
  <c r="FJ12" i="4" s="1"/>
  <c r="O9" i="4"/>
  <c r="P112" i="4" s="1"/>
  <c r="M9" i="4"/>
  <c r="N112" i="4" s="1"/>
  <c r="E9" i="4"/>
  <c r="L3" i="4"/>
  <c r="CN112" i="4" l="1"/>
  <c r="L113" i="4"/>
  <c r="CN111" i="4"/>
  <c r="L112" i="4"/>
  <c r="N110" i="4"/>
  <c r="N111" i="4"/>
  <c r="P110" i="4"/>
  <c r="P111" i="4"/>
  <c r="CN109" i="4"/>
  <c r="CN110" i="4"/>
  <c r="L111" i="4"/>
  <c r="P108" i="4"/>
  <c r="P109" i="4"/>
  <c r="N108" i="4"/>
  <c r="N109" i="4"/>
  <c r="CN108" i="4"/>
  <c r="L110" i="4"/>
  <c r="L109" i="4"/>
  <c r="CN107" i="4"/>
  <c r="L108" i="4"/>
  <c r="N106" i="4"/>
  <c r="N107" i="4"/>
  <c r="P106" i="4"/>
  <c r="P107" i="4"/>
  <c r="CN106" i="4"/>
  <c r="L107" i="4"/>
  <c r="N104" i="4"/>
  <c r="N105" i="4"/>
  <c r="P104" i="4"/>
  <c r="P105" i="4"/>
  <c r="CN105" i="4"/>
  <c r="L106" i="4"/>
  <c r="CN104" i="4"/>
  <c r="L105" i="4"/>
  <c r="N102" i="4"/>
  <c r="N103" i="4"/>
  <c r="P102" i="4"/>
  <c r="P103" i="4"/>
  <c r="CN103" i="4"/>
  <c r="L104" i="4"/>
  <c r="CN102" i="4"/>
  <c r="L103" i="4"/>
  <c r="P100" i="4"/>
  <c r="P101" i="4"/>
  <c r="V100" i="4"/>
  <c r="V101" i="4"/>
  <c r="CN101" i="4"/>
  <c r="L102" i="4"/>
  <c r="N100" i="4"/>
  <c r="N101" i="4"/>
  <c r="L101" i="4"/>
  <c r="CN99" i="4"/>
  <c r="CN100" i="4"/>
  <c r="E7" i="4"/>
  <c r="L100" i="4"/>
  <c r="N19" i="4"/>
  <c r="N27" i="4"/>
  <c r="N35" i="4"/>
  <c r="N43" i="4"/>
  <c r="N51" i="4"/>
  <c r="N59" i="4"/>
  <c r="N67" i="4"/>
  <c r="N75" i="4"/>
  <c r="N83" i="4"/>
  <c r="N91" i="4"/>
  <c r="N99" i="4"/>
  <c r="N40" i="4"/>
  <c r="N64" i="4"/>
  <c r="N66" i="4"/>
  <c r="N20" i="4"/>
  <c r="N28" i="4"/>
  <c r="N36" i="4"/>
  <c r="N44" i="4"/>
  <c r="N52" i="4"/>
  <c r="N60" i="4"/>
  <c r="N68" i="4"/>
  <c r="N76" i="4"/>
  <c r="N84" i="4"/>
  <c r="N92" i="4"/>
  <c r="N32" i="4"/>
  <c r="N72" i="4"/>
  <c r="N74" i="4"/>
  <c r="N21" i="4"/>
  <c r="N29" i="4"/>
  <c r="N37" i="4"/>
  <c r="N45" i="4"/>
  <c r="N53" i="4"/>
  <c r="N61" i="4"/>
  <c r="N69" i="4"/>
  <c r="N77" i="4"/>
  <c r="N85" i="4"/>
  <c r="N93" i="4"/>
  <c r="N48" i="4"/>
  <c r="N88" i="4"/>
  <c r="N50" i="4"/>
  <c r="N22" i="4"/>
  <c r="N30" i="4"/>
  <c r="N38" i="4"/>
  <c r="N46" i="4"/>
  <c r="N54" i="4"/>
  <c r="N62" i="4"/>
  <c r="N70" i="4"/>
  <c r="N78" i="4"/>
  <c r="N86" i="4"/>
  <c r="N94" i="4"/>
  <c r="N24" i="4"/>
  <c r="N80" i="4"/>
  <c r="N82" i="4"/>
  <c r="N23" i="4"/>
  <c r="N31" i="4"/>
  <c r="N39" i="4"/>
  <c r="N47" i="4"/>
  <c r="N55" i="4"/>
  <c r="N63" i="4"/>
  <c r="N71" i="4"/>
  <c r="N79" i="4"/>
  <c r="N87" i="4"/>
  <c r="N95" i="4"/>
  <c r="N56" i="4"/>
  <c r="N96" i="4"/>
  <c r="N58" i="4"/>
  <c r="N98" i="4"/>
  <c r="N25" i="4"/>
  <c r="N33" i="4"/>
  <c r="N41" i="4"/>
  <c r="N49" i="4"/>
  <c r="N57" i="4"/>
  <c r="N65" i="4"/>
  <c r="N73" i="4"/>
  <c r="N81" i="4"/>
  <c r="N89" i="4"/>
  <c r="N97" i="4"/>
  <c r="N26" i="4"/>
  <c r="N34" i="4"/>
  <c r="N42" i="4"/>
  <c r="N90" i="4"/>
  <c r="P98" i="4"/>
  <c r="P99" i="4"/>
  <c r="V98" i="4"/>
  <c r="V99" i="4"/>
  <c r="CN98" i="4"/>
  <c r="L99" i="4"/>
  <c r="P96" i="4"/>
  <c r="P97" i="4"/>
  <c r="CN97" i="4"/>
  <c r="L98" i="4"/>
  <c r="V96" i="4"/>
  <c r="V97" i="4"/>
  <c r="L97" i="4"/>
  <c r="CN96" i="4"/>
  <c r="CN95" i="4"/>
  <c r="L96" i="4"/>
  <c r="P94" i="4"/>
  <c r="P95" i="4"/>
  <c r="V94" i="4"/>
  <c r="V95" i="4"/>
  <c r="EF7" i="4"/>
  <c r="EF8" i="4"/>
  <c r="L95" i="4"/>
  <c r="CN94" i="4"/>
  <c r="V92" i="4"/>
  <c r="V93" i="4"/>
  <c r="P92" i="4"/>
  <c r="P93" i="4"/>
  <c r="CN93" i="4"/>
  <c r="L94" i="4"/>
  <c r="CN92" i="4"/>
  <c r="L93" i="4"/>
  <c r="CN91" i="4"/>
  <c r="L92" i="4"/>
  <c r="P90" i="4"/>
  <c r="P91" i="4"/>
  <c r="V90" i="4"/>
  <c r="V91" i="4"/>
  <c r="CN90" i="4"/>
  <c r="L91" i="4"/>
  <c r="L74" i="4"/>
  <c r="L80" i="4"/>
  <c r="L16" i="4"/>
  <c r="L87" i="4"/>
  <c r="L23" i="4"/>
  <c r="L61" i="4"/>
  <c r="L70" i="4"/>
  <c r="L44" i="4"/>
  <c r="L62" i="4"/>
  <c r="L43" i="4"/>
  <c r="L56" i="4"/>
  <c r="L63" i="4"/>
  <c r="L84" i="4"/>
  <c r="L19" i="4"/>
  <c r="L77" i="4"/>
  <c r="L25" i="4"/>
  <c r="L52" i="4"/>
  <c r="L42" i="4"/>
  <c r="L72" i="4"/>
  <c r="L82" i="4"/>
  <c r="L79" i="4"/>
  <c r="L15" i="4"/>
  <c r="L53" i="4"/>
  <c r="L46" i="4"/>
  <c r="L36" i="4"/>
  <c r="L38" i="4"/>
  <c r="L35" i="4"/>
  <c r="L26" i="4"/>
  <c r="L37" i="4"/>
  <c r="L83" i="4"/>
  <c r="L39" i="4"/>
  <c r="L59" i="4"/>
  <c r="L69" i="4"/>
  <c r="L89" i="4"/>
  <c r="L64" i="4"/>
  <c r="L50" i="4"/>
  <c r="L71" i="4"/>
  <c r="L78" i="4"/>
  <c r="L45" i="4"/>
  <c r="L22" i="4"/>
  <c r="L28" i="4"/>
  <c r="L30" i="4"/>
  <c r="L27" i="4"/>
  <c r="L73" i="4"/>
  <c r="L54" i="4"/>
  <c r="L20" i="4"/>
  <c r="L32" i="4"/>
  <c r="L60" i="4"/>
  <c r="L24" i="4"/>
  <c r="L51" i="4"/>
  <c r="L49" i="4"/>
  <c r="L48" i="4"/>
  <c r="L81" i="4"/>
  <c r="L55" i="4"/>
  <c r="L14" i="4"/>
  <c r="L29" i="4"/>
  <c r="L76" i="4"/>
  <c r="L90" i="4"/>
  <c r="L75" i="4"/>
  <c r="L18" i="4"/>
  <c r="L31" i="4"/>
  <c r="L86" i="4"/>
  <c r="L33" i="4"/>
  <c r="L40" i="4"/>
  <c r="L57" i="4"/>
  <c r="L47" i="4"/>
  <c r="L85" i="4"/>
  <c r="L21" i="4"/>
  <c r="L68" i="4"/>
  <c r="L58" i="4"/>
  <c r="L67" i="4"/>
  <c r="L65" i="4"/>
  <c r="L17" i="4"/>
  <c r="L41" i="4"/>
  <c r="L66" i="4"/>
  <c r="L88" i="4"/>
  <c r="L34" i="4"/>
  <c r="V15" i="4"/>
  <c r="V23" i="4"/>
  <c r="V31" i="4"/>
  <c r="V39" i="4"/>
  <c r="V47" i="4"/>
  <c r="V55" i="4"/>
  <c r="V63" i="4"/>
  <c r="V71" i="4"/>
  <c r="V79" i="4"/>
  <c r="V87" i="4"/>
  <c r="V37" i="4"/>
  <c r="V85" i="4"/>
  <c r="V16" i="4"/>
  <c r="V24" i="4"/>
  <c r="V32" i="4"/>
  <c r="V40" i="4"/>
  <c r="V48" i="4"/>
  <c r="V56" i="4"/>
  <c r="V64" i="4"/>
  <c r="V72" i="4"/>
  <c r="V80" i="4"/>
  <c r="V88" i="4"/>
  <c r="V21" i="4"/>
  <c r="V69" i="4"/>
  <c r="V17" i="4"/>
  <c r="V25" i="4"/>
  <c r="V33" i="4"/>
  <c r="V41" i="4"/>
  <c r="V49" i="4"/>
  <c r="V57" i="4"/>
  <c r="V65" i="4"/>
  <c r="V73" i="4"/>
  <c r="V81" i="4"/>
  <c r="V89" i="4"/>
  <c r="V29" i="4"/>
  <c r="V77" i="4"/>
  <c r="V18" i="4"/>
  <c r="V26" i="4"/>
  <c r="V34" i="4"/>
  <c r="V42" i="4"/>
  <c r="V50" i="4"/>
  <c r="V58" i="4"/>
  <c r="V66" i="4"/>
  <c r="V74" i="4"/>
  <c r="V82" i="4"/>
  <c r="V45" i="4"/>
  <c r="V11" i="4"/>
  <c r="V19" i="4"/>
  <c r="V27" i="4"/>
  <c r="V35" i="4"/>
  <c r="V43" i="4"/>
  <c r="V51" i="4"/>
  <c r="V59" i="4"/>
  <c r="V67" i="4"/>
  <c r="V75" i="4"/>
  <c r="V83" i="4"/>
  <c r="V53" i="4"/>
  <c r="V12" i="4"/>
  <c r="V20" i="4"/>
  <c r="V28" i="4"/>
  <c r="V36" i="4"/>
  <c r="V44" i="4"/>
  <c r="V52" i="4"/>
  <c r="V60" i="4"/>
  <c r="V68" i="4"/>
  <c r="V76" i="4"/>
  <c r="V84" i="4"/>
  <c r="V13" i="4"/>
  <c r="V61" i="4"/>
  <c r="V14" i="4"/>
  <c r="V78" i="4"/>
  <c r="V22" i="4"/>
  <c r="V86" i="4"/>
  <c r="V70" i="4"/>
  <c r="V30" i="4"/>
  <c r="V62" i="4"/>
  <c r="V38" i="4"/>
  <c r="V46" i="4"/>
  <c r="V54" i="4"/>
  <c r="CN59" i="4"/>
  <c r="CP59" i="4" s="1"/>
  <c r="CN67" i="4"/>
  <c r="CN75" i="4"/>
  <c r="CN83" i="4"/>
  <c r="CN60" i="4"/>
  <c r="CP60" i="4" s="1"/>
  <c r="CN68" i="4"/>
  <c r="CN76" i="4"/>
  <c r="CN84" i="4"/>
  <c r="CN81" i="4"/>
  <c r="CN61" i="4"/>
  <c r="CP61" i="4" s="1"/>
  <c r="CN69" i="4"/>
  <c r="CN77" i="4"/>
  <c r="CN85" i="4"/>
  <c r="CN57" i="4"/>
  <c r="CP57" i="4" s="1"/>
  <c r="CN73" i="4"/>
  <c r="CN54" i="4"/>
  <c r="CN62" i="4"/>
  <c r="CN70" i="4"/>
  <c r="CN78" i="4"/>
  <c r="CN86" i="4"/>
  <c r="CN89" i="4"/>
  <c r="CN55" i="4"/>
  <c r="CP55" i="4" s="1"/>
  <c r="CN63" i="4"/>
  <c r="CN71" i="4"/>
  <c r="CN79" i="4"/>
  <c r="CN87" i="4"/>
  <c r="CN56" i="4"/>
  <c r="CP56" i="4" s="1"/>
  <c r="CN64" i="4"/>
  <c r="CN72" i="4"/>
  <c r="CN80" i="4"/>
  <c r="CN88" i="4"/>
  <c r="CN65" i="4"/>
  <c r="CN9" i="4"/>
  <c r="CN58" i="4"/>
  <c r="CP58" i="4" s="1"/>
  <c r="CN66" i="4"/>
  <c r="CN82" i="4"/>
  <c r="CN74" i="4"/>
  <c r="P13" i="4"/>
  <c r="P21" i="4"/>
  <c r="P29" i="4"/>
  <c r="P37" i="4"/>
  <c r="P45" i="4"/>
  <c r="P53" i="4"/>
  <c r="P61" i="4"/>
  <c r="P69" i="4"/>
  <c r="P77" i="4"/>
  <c r="P85" i="4"/>
  <c r="P27" i="4"/>
  <c r="P14" i="4"/>
  <c r="P22" i="4"/>
  <c r="P30" i="4"/>
  <c r="P38" i="4"/>
  <c r="P46" i="4"/>
  <c r="P54" i="4"/>
  <c r="P62" i="4"/>
  <c r="P70" i="4"/>
  <c r="P78" i="4"/>
  <c r="P86" i="4"/>
  <c r="P43" i="4"/>
  <c r="P15" i="4"/>
  <c r="P23" i="4"/>
  <c r="P31" i="4"/>
  <c r="P39" i="4"/>
  <c r="P47" i="4"/>
  <c r="P55" i="4"/>
  <c r="P63" i="4"/>
  <c r="P71" i="4"/>
  <c r="P79" i="4"/>
  <c r="P87" i="4"/>
  <c r="P11" i="4"/>
  <c r="P16" i="4"/>
  <c r="P24" i="4"/>
  <c r="P32" i="4"/>
  <c r="P40" i="4"/>
  <c r="P48" i="4"/>
  <c r="P56" i="4"/>
  <c r="P64" i="4"/>
  <c r="P72" i="4"/>
  <c r="P80" i="4"/>
  <c r="P88" i="4"/>
  <c r="P51" i="4"/>
  <c r="P17" i="4"/>
  <c r="P25" i="4"/>
  <c r="P33" i="4"/>
  <c r="P41" i="4"/>
  <c r="P49" i="4"/>
  <c r="P57" i="4"/>
  <c r="P65" i="4"/>
  <c r="P73" i="4"/>
  <c r="P81" i="4"/>
  <c r="P89" i="4"/>
  <c r="P35" i="4"/>
  <c r="P18" i="4"/>
  <c r="P26" i="4"/>
  <c r="P34" i="4"/>
  <c r="P42" i="4"/>
  <c r="P50" i="4"/>
  <c r="P58" i="4"/>
  <c r="P66" i="4"/>
  <c r="P74" i="4"/>
  <c r="P82" i="4"/>
  <c r="P19" i="4"/>
  <c r="P20" i="4"/>
  <c r="P68" i="4"/>
  <c r="P28" i="4"/>
  <c r="P75" i="4"/>
  <c r="P36" i="4"/>
  <c r="P76" i="4"/>
  <c r="P44" i="4"/>
  <c r="P83" i="4"/>
  <c r="P60" i="4"/>
  <c r="P12" i="4"/>
  <c r="P52" i="4"/>
  <c r="P84" i="4"/>
  <c r="P59" i="4"/>
  <c r="P67" i="4"/>
  <c r="K3" i="4"/>
  <c r="D11" i="63" l="1"/>
  <c r="D28" i="63"/>
  <c r="T2" i="4"/>
  <c r="ER7" i="4"/>
  <c r="ER6" i="4"/>
  <c r="AW9" i="4"/>
  <c r="AR9" i="4"/>
  <c r="I6" i="4" l="1"/>
  <c r="F6" i="4"/>
  <c r="E25" i="63" s="1"/>
  <c r="D6" i="4"/>
  <c r="E26" i="63" s="1"/>
  <c r="E6" i="4"/>
  <c r="K6" i="4"/>
  <c r="H6" i="4"/>
  <c r="J6" i="4"/>
  <c r="G6" i="4"/>
  <c r="EM4" i="4"/>
  <c r="ES15" i="4"/>
  <c r="ES13" i="4"/>
  <c r="EK13" i="4"/>
  <c r="EK15" i="4"/>
  <c r="EK14" i="4"/>
  <c r="CK56" i="4"/>
  <c r="CL55" i="4"/>
  <c r="EB15" i="4"/>
  <c r="EB14" i="4"/>
  <c r="EB13" i="4"/>
  <c r="E12" i="63" l="1"/>
  <c r="E29" i="63"/>
  <c r="E7" i="63"/>
  <c r="E22" i="63"/>
  <c r="E8" i="63"/>
  <c r="E23" i="63"/>
  <c r="E11" i="63"/>
  <c r="E28" i="63"/>
  <c r="E10" i="63"/>
  <c r="E27" i="63"/>
  <c r="E9" i="63"/>
  <c r="E24" i="63"/>
  <c r="BA15" i="4"/>
  <c r="BA23" i="4"/>
  <c r="BA31" i="4"/>
  <c r="BA39" i="4"/>
  <c r="BA47" i="4"/>
  <c r="BA55" i="4"/>
  <c r="BA22" i="4"/>
  <c r="BA16" i="4"/>
  <c r="BA24" i="4"/>
  <c r="BA32" i="4"/>
  <c r="BA40" i="4"/>
  <c r="BA48" i="4"/>
  <c r="BA56" i="4"/>
  <c r="BA54" i="4"/>
  <c r="BA17" i="4"/>
  <c r="BA25" i="4"/>
  <c r="BA33" i="4"/>
  <c r="BA41" i="4"/>
  <c r="BA49" i="4"/>
  <c r="BA57" i="4"/>
  <c r="BA30" i="4"/>
  <c r="BA18" i="4"/>
  <c r="BA26" i="4"/>
  <c r="BA34" i="4"/>
  <c r="BA42" i="4"/>
  <c r="BA50" i="4"/>
  <c r="BA58" i="4"/>
  <c r="BA11" i="4"/>
  <c r="BA19" i="4"/>
  <c r="BA27" i="4"/>
  <c r="BA35" i="4"/>
  <c r="BA43" i="4"/>
  <c r="BA51" i="4"/>
  <c r="BA59" i="4"/>
  <c r="BA14" i="4"/>
  <c r="BA12" i="4"/>
  <c r="BA20" i="4"/>
  <c r="BA28" i="4"/>
  <c r="BA36" i="4"/>
  <c r="BA44" i="4"/>
  <c r="BA52" i="4"/>
  <c r="BA60" i="4"/>
  <c r="BA46" i="4"/>
  <c r="BA13" i="4"/>
  <c r="BA21" i="4"/>
  <c r="BA29" i="4"/>
  <c r="BA37" i="4"/>
  <c r="BA45" i="4"/>
  <c r="BA53" i="4"/>
  <c r="BA61" i="4"/>
  <c r="BA38" i="4"/>
  <c r="ET13" i="4"/>
  <c r="CK57" i="4"/>
  <c r="CL56" i="4"/>
  <c r="DT12" i="4"/>
  <c r="DZ12" i="4"/>
  <c r="EC12" i="4"/>
  <c r="CK58" i="4" l="1"/>
  <c r="CL57" i="4"/>
  <c r="BR113" i="4"/>
  <c r="BR114" i="4"/>
  <c r="BR118" i="4"/>
  <c r="BR119" i="4"/>
  <c r="BR120" i="4"/>
  <c r="CK59" i="4" l="1"/>
  <c r="CL58" i="4"/>
  <c r="DW15" i="4"/>
  <c r="DT15" i="4"/>
  <c r="K23" i="16"/>
  <c r="H13" i="16"/>
  <c r="H12" i="16"/>
  <c r="H11" i="16"/>
  <c r="H10" i="16"/>
  <c r="H9" i="16"/>
  <c r="H8" i="16"/>
  <c r="H7" i="16"/>
  <c r="H6" i="16"/>
  <c r="H5" i="16"/>
  <c r="G5" i="16"/>
  <c r="DZ15" i="4"/>
  <c r="EC15" i="4"/>
  <c r="BQ20" i="4" l="1"/>
  <c r="BS20" i="4" s="1"/>
  <c r="BQ15" i="4"/>
  <c r="BS15" i="4" s="1"/>
  <c r="BQ16" i="4"/>
  <c r="BS16" i="4" s="1"/>
  <c r="BQ30" i="4"/>
  <c r="BS30" i="4" s="1"/>
  <c r="BQ51" i="4"/>
  <c r="BS51" i="4" s="1"/>
  <c r="BQ35" i="4"/>
  <c r="BS35" i="4" s="1"/>
  <c r="BQ49" i="4"/>
  <c r="BS49" i="4" s="1"/>
  <c r="BQ12" i="4"/>
  <c r="BS12" i="4" s="1"/>
  <c r="BQ50" i="4"/>
  <c r="BS50" i="4" s="1"/>
  <c r="BQ26" i="4"/>
  <c r="BS26" i="4" s="1"/>
  <c r="BQ21" i="4"/>
  <c r="BS21" i="4" s="1"/>
  <c r="BQ25" i="4"/>
  <c r="BS25" i="4" s="1"/>
  <c r="BQ24" i="4"/>
  <c r="BS24" i="4" s="1"/>
  <c r="BQ58" i="4"/>
  <c r="BS58" i="4" s="1"/>
  <c r="BQ42" i="4"/>
  <c r="BS42" i="4" s="1"/>
  <c r="BQ22" i="4"/>
  <c r="BS22" i="4" s="1"/>
  <c r="BQ14" i="4"/>
  <c r="BS14" i="4" s="1"/>
  <c r="BQ19" i="4"/>
  <c r="BS19" i="4" s="1"/>
  <c r="BQ44" i="4"/>
  <c r="BS44" i="4" s="1"/>
  <c r="BQ17" i="4"/>
  <c r="BS17" i="4" s="1"/>
  <c r="BQ55" i="4"/>
  <c r="BS55" i="4" s="1"/>
  <c r="BQ57" i="4"/>
  <c r="BS57" i="4" s="1"/>
  <c r="BQ31" i="4"/>
  <c r="BS31" i="4" s="1"/>
  <c r="BQ13" i="4"/>
  <c r="BS13" i="4" s="1"/>
  <c r="BQ41" i="4"/>
  <c r="BS41" i="4" s="1"/>
  <c r="BQ54" i="4"/>
  <c r="BS54" i="4" s="1"/>
  <c r="BQ45" i="4"/>
  <c r="BS45" i="4" s="1"/>
  <c r="BQ43" i="4"/>
  <c r="BS43" i="4" s="1"/>
  <c r="BQ46" i="4"/>
  <c r="BS46" i="4" s="1"/>
  <c r="BQ40" i="4"/>
  <c r="BS40" i="4" s="1"/>
  <c r="BQ29" i="4"/>
  <c r="BS29" i="4" s="1"/>
  <c r="BQ11" i="4"/>
  <c r="BS11" i="4" s="1"/>
  <c r="BQ48" i="4"/>
  <c r="BS48" i="4" s="1"/>
  <c r="BQ47" i="4"/>
  <c r="BS47" i="4" s="1"/>
  <c r="BQ23" i="4"/>
  <c r="BS23" i="4" s="1"/>
  <c r="BQ32" i="4"/>
  <c r="BS32" i="4" s="1"/>
  <c r="BQ28" i="4"/>
  <c r="BS28" i="4" s="1"/>
  <c r="BQ39" i="4"/>
  <c r="BS39" i="4" s="1"/>
  <c r="BQ52" i="4"/>
  <c r="BS52" i="4" s="1"/>
  <c r="BQ34" i="4"/>
  <c r="BS34" i="4" s="1"/>
  <c r="BQ18" i="4"/>
  <c r="BS18" i="4" s="1"/>
  <c r="BQ56" i="4"/>
  <c r="BS56" i="4" s="1"/>
  <c r="BQ38" i="4"/>
  <c r="BS38" i="4" s="1"/>
  <c r="BQ53" i="4"/>
  <c r="BS53" i="4" s="1"/>
  <c r="BQ37" i="4"/>
  <c r="BS37" i="4" s="1"/>
  <c r="BQ27" i="4"/>
  <c r="BS27" i="4" s="1"/>
  <c r="BQ33" i="4"/>
  <c r="BS33" i="4" s="1"/>
  <c r="BQ59" i="4"/>
  <c r="BS59" i="4" s="1"/>
  <c r="BQ36" i="4"/>
  <c r="BS36" i="4" s="1"/>
  <c r="CK60" i="4"/>
  <c r="CL59" i="4"/>
  <c r="I11" i="16"/>
  <c r="CK61" i="4" l="1"/>
  <c r="CL60" i="4"/>
  <c r="BR28" i="4"/>
  <c r="BR19" i="4"/>
  <c r="BR36" i="4"/>
  <c r="BR37" i="4"/>
  <c r="BR38" i="4"/>
  <c r="BR31" i="4"/>
  <c r="BR40" i="4"/>
  <c r="BR41" i="4"/>
  <c r="BR23" i="4"/>
  <c r="BR44" i="4"/>
  <c r="BR46" i="4"/>
  <c r="BR52" i="4"/>
  <c r="BR53" i="4"/>
  <c r="BR42" i="4"/>
  <c r="BR54" i="4"/>
  <c r="BR34" i="4"/>
  <c r="BR47" i="4"/>
  <c r="BR18" i="4"/>
  <c r="BR56" i="4"/>
  <c r="BR50" i="4"/>
  <c r="BR57" i="4"/>
  <c r="BR27" i="4"/>
  <c r="BR29" i="4"/>
  <c r="BR26" i="4"/>
  <c r="BR43" i="4"/>
  <c r="BR51" i="4"/>
  <c r="BR58" i="4"/>
  <c r="BR55" i="4"/>
  <c r="BR32" i="4"/>
  <c r="BR39" i="4"/>
  <c r="BR59" i="4"/>
  <c r="BR35" i="4"/>
  <c r="BR49" i="4"/>
  <c r="BR12" i="4"/>
  <c r="BR13" i="4"/>
  <c r="BR14" i="4"/>
  <c r="BR16" i="4"/>
  <c r="BR17" i="4"/>
  <c r="BR30" i="4"/>
  <c r="BR33" i="4"/>
  <c r="BR45" i="4"/>
  <c r="BR48" i="4"/>
  <c r="BR20" i="4"/>
  <c r="BR21" i="4"/>
  <c r="BR22" i="4"/>
  <c r="BR15" i="4"/>
  <c r="BR24" i="4"/>
  <c r="BR25" i="4"/>
  <c r="BR11" i="4"/>
  <c r="CL61" i="4" l="1"/>
  <c r="FA11" i="4" l="1"/>
  <c r="EB11" i="4"/>
  <c r="DT14" i="4"/>
  <c r="DW14" i="4"/>
  <c r="EC14" i="4"/>
  <c r="DZ14" i="4"/>
  <c r="BB58" i="4" l="1"/>
  <c r="BB23" i="4"/>
  <c r="BB37" i="4"/>
  <c r="BB40" i="4"/>
  <c r="BB52" i="4"/>
  <c r="BB13" i="4"/>
  <c r="BB46" i="4"/>
  <c r="BB28" i="4"/>
  <c r="BB16" i="4"/>
  <c r="BB12" i="4"/>
  <c r="BB30" i="4"/>
  <c r="BB48" i="4"/>
  <c r="BB60" i="4"/>
  <c r="BB24" i="4"/>
  <c r="BB36" i="4"/>
  <c r="BB47" i="4"/>
  <c r="BB51" i="4"/>
  <c r="BB61" i="4"/>
  <c r="BB31" i="4"/>
  <c r="BB11" i="4"/>
  <c r="BB21" i="4"/>
  <c r="BB55" i="4"/>
  <c r="BB42" i="4"/>
  <c r="BB35" i="4"/>
  <c r="BB45" i="4"/>
  <c r="BB15" i="4"/>
  <c r="BB14" i="4"/>
  <c r="BB18" i="4"/>
  <c r="BB41" i="4"/>
  <c r="BB59" i="4"/>
  <c r="BB17" i="4"/>
  <c r="BB54" i="4"/>
  <c r="BB20" i="4"/>
  <c r="BB38" i="4"/>
  <c r="BB25" i="4"/>
  <c r="BB19" i="4"/>
  <c r="BB44" i="4"/>
  <c r="BB34" i="4"/>
  <c r="BB49" i="4"/>
  <c r="BB56" i="4"/>
  <c r="BB22" i="4"/>
  <c r="BB26" i="4"/>
  <c r="BB29" i="4"/>
  <c r="BB33" i="4"/>
  <c r="BB50" i="4"/>
  <c r="BB27" i="4"/>
  <c r="BB39" i="4"/>
  <c r="BB43" i="4"/>
  <c r="BB53" i="4"/>
  <c r="BB57" i="4"/>
  <c r="BB32" i="4"/>
  <c r="BC11" i="4" l="1"/>
  <c r="BD11" i="4"/>
  <c r="BC35" i="4"/>
  <c r="BD35" i="4"/>
  <c r="BC49" i="4"/>
  <c r="BD49" i="4"/>
  <c r="BC27" i="4"/>
  <c r="BD27" i="4"/>
  <c r="BC34" i="4"/>
  <c r="BD34" i="4"/>
  <c r="BC59" i="4"/>
  <c r="BD59" i="4"/>
  <c r="BC55" i="4"/>
  <c r="BD55" i="4"/>
  <c r="BC24" i="4"/>
  <c r="BD24" i="4"/>
  <c r="BC13" i="4"/>
  <c r="BD13" i="4"/>
  <c r="BC43" i="4"/>
  <c r="BD43" i="4"/>
  <c r="BC42" i="4"/>
  <c r="BD42" i="4"/>
  <c r="BC50" i="4"/>
  <c r="BD50" i="4"/>
  <c r="BC44" i="4"/>
  <c r="BD44" i="4"/>
  <c r="BC41" i="4"/>
  <c r="BD41" i="4"/>
  <c r="BC21" i="4"/>
  <c r="BD21" i="4"/>
  <c r="BC60" i="4"/>
  <c r="BD60" i="4"/>
  <c r="BC52" i="4"/>
  <c r="BD52" i="4"/>
  <c r="BC56" i="4"/>
  <c r="BD56" i="4"/>
  <c r="BC17" i="4"/>
  <c r="BD17" i="4"/>
  <c r="BC33" i="4"/>
  <c r="BD33" i="4"/>
  <c r="BC19" i="4"/>
  <c r="BD19" i="4"/>
  <c r="BC18" i="4"/>
  <c r="BD18" i="4"/>
  <c r="BC48" i="4"/>
  <c r="BD48" i="4"/>
  <c r="BC40" i="4"/>
  <c r="BD40" i="4"/>
  <c r="BC47" i="4"/>
  <c r="BD47" i="4"/>
  <c r="BC46" i="4"/>
  <c r="BD46" i="4"/>
  <c r="BC32" i="4"/>
  <c r="BD32" i="4"/>
  <c r="BC29" i="4"/>
  <c r="BD29" i="4"/>
  <c r="BC25" i="4"/>
  <c r="BD25" i="4"/>
  <c r="BC14" i="4"/>
  <c r="BD14" i="4"/>
  <c r="BC31" i="4"/>
  <c r="BD31" i="4"/>
  <c r="BC30" i="4"/>
  <c r="BD30" i="4"/>
  <c r="BC37" i="4"/>
  <c r="BD37" i="4"/>
  <c r="BC54" i="4"/>
  <c r="BD54" i="4"/>
  <c r="BC39" i="4"/>
  <c r="BD39" i="4"/>
  <c r="BC57" i="4"/>
  <c r="BD57" i="4"/>
  <c r="BC26" i="4"/>
  <c r="BD26" i="4"/>
  <c r="BC38" i="4"/>
  <c r="BD38" i="4"/>
  <c r="BC15" i="4"/>
  <c r="BD15" i="4"/>
  <c r="BC61" i="4"/>
  <c r="BD61" i="4"/>
  <c r="BC12" i="4"/>
  <c r="BD12" i="4"/>
  <c r="BC23" i="4"/>
  <c r="BD23" i="4"/>
  <c r="BC28" i="4"/>
  <c r="BD28" i="4"/>
  <c r="BC36" i="4"/>
  <c r="BD36" i="4"/>
  <c r="BC53" i="4"/>
  <c r="BD53" i="4"/>
  <c r="BC22" i="4"/>
  <c r="BD22" i="4"/>
  <c r="BC20" i="4"/>
  <c r="BD20" i="4"/>
  <c r="BC45" i="4"/>
  <c r="BD45" i="4"/>
  <c r="BC51" i="4"/>
  <c r="BD51" i="4"/>
  <c r="BC16" i="4"/>
  <c r="BD16" i="4"/>
  <c r="BC58" i="4"/>
  <c r="BD58" i="4"/>
  <c r="CI12" i="4"/>
  <c r="CI13" i="4"/>
  <c r="CI14" i="4"/>
  <c r="CI15" i="4"/>
  <c r="CI16" i="4"/>
  <c r="CI17" i="4"/>
  <c r="CI18" i="4"/>
  <c r="CI19" i="4"/>
  <c r="CI20" i="4"/>
  <c r="CI21" i="4"/>
  <c r="CI22" i="4"/>
  <c r="CI23" i="4"/>
  <c r="CI24" i="4"/>
  <c r="CI25" i="4"/>
  <c r="CI26" i="4"/>
  <c r="CI27" i="4"/>
  <c r="CI28" i="4"/>
  <c r="CI29" i="4"/>
  <c r="CI30" i="4"/>
  <c r="CI31" i="4"/>
  <c r="CI32" i="4"/>
  <c r="CI33" i="4"/>
  <c r="CI34" i="4"/>
  <c r="CI35" i="4"/>
  <c r="CI36" i="4"/>
  <c r="CI37" i="4"/>
  <c r="CI38" i="4"/>
  <c r="CI39" i="4"/>
  <c r="CI40" i="4"/>
  <c r="CI41" i="4"/>
  <c r="CI42" i="4"/>
  <c r="CI43" i="4"/>
  <c r="CI44" i="4"/>
  <c r="CI45" i="4"/>
  <c r="CI46" i="4"/>
  <c r="CI47" i="4"/>
  <c r="CI48" i="4"/>
  <c r="CI49" i="4"/>
  <c r="CI50" i="4"/>
  <c r="CI51" i="4"/>
  <c r="CI52" i="4"/>
  <c r="CI53" i="4"/>
  <c r="CI54" i="4"/>
  <c r="DW13" i="4"/>
  <c r="DW12" i="4"/>
  <c r="DT13" i="4"/>
  <c r="EC13" i="4"/>
  <c r="DZ13" i="4"/>
  <c r="AW42" i="4" l="1"/>
  <c r="AY42" i="4" s="1"/>
  <c r="AR15" i="4"/>
  <c r="AR50" i="4"/>
  <c r="AR19" i="4"/>
  <c r="AR27" i="4"/>
  <c r="AR35" i="4"/>
  <c r="AR43" i="4"/>
  <c r="AR44" i="4"/>
  <c r="AR41" i="4"/>
  <c r="AR16" i="4"/>
  <c r="AR30" i="4"/>
  <c r="AR36" i="4"/>
  <c r="AR33" i="4"/>
  <c r="AR47" i="4"/>
  <c r="AR22" i="4"/>
  <c r="AR28" i="4"/>
  <c r="AR25" i="4"/>
  <c r="AR39" i="4"/>
  <c r="AR45" i="4"/>
  <c r="AR20" i="4"/>
  <c r="AR17" i="4"/>
  <c r="AR31" i="4"/>
  <c r="AR37" i="4"/>
  <c r="AR42" i="4"/>
  <c r="AR48" i="4"/>
  <c r="AR23" i="4"/>
  <c r="AR29" i="4"/>
  <c r="AR34" i="4"/>
  <c r="AR40" i="4"/>
  <c r="AR21" i="4"/>
  <c r="AR26" i="4"/>
  <c r="AR32" i="4"/>
  <c r="AR46" i="4"/>
  <c r="AR18" i="4"/>
  <c r="AR24" i="4"/>
  <c r="AR38" i="4"/>
  <c r="AW26" i="4"/>
  <c r="AY26" i="4" s="1"/>
  <c r="AW34" i="4"/>
  <c r="AY34" i="4" s="1"/>
  <c r="AW19" i="4"/>
  <c r="AY19" i="4" s="1"/>
  <c r="AW27" i="4"/>
  <c r="AY27" i="4" s="1"/>
  <c r="AW35" i="4"/>
  <c r="AY35" i="4" s="1"/>
  <c r="AW20" i="4"/>
  <c r="AY20" i="4" s="1"/>
  <c r="AW28" i="4"/>
  <c r="AY28" i="4" s="1"/>
  <c r="AW36" i="4"/>
  <c r="AY36" i="4" s="1"/>
  <c r="AW21" i="4"/>
  <c r="AY21" i="4" s="1"/>
  <c r="AW29" i="4"/>
  <c r="AY29" i="4" s="1"/>
  <c r="AW37" i="4"/>
  <c r="AY37" i="4" s="1"/>
  <c r="AW22" i="4"/>
  <c r="AY22" i="4" s="1"/>
  <c r="AW30" i="4"/>
  <c r="AY30" i="4" s="1"/>
  <c r="AW38" i="4"/>
  <c r="AY38" i="4" s="1"/>
  <c r="AW23" i="4"/>
  <c r="AY23" i="4" s="1"/>
  <c r="AW31" i="4"/>
  <c r="AY31" i="4" s="1"/>
  <c r="AW39" i="4"/>
  <c r="AY39" i="4" s="1"/>
  <c r="AW24" i="4"/>
  <c r="AY24" i="4" s="1"/>
  <c r="AW32" i="4"/>
  <c r="AY32" i="4" s="1"/>
  <c r="AW25" i="4"/>
  <c r="AY25" i="4" s="1"/>
  <c r="AW33" i="4"/>
  <c r="AY33" i="4" s="1"/>
  <c r="AW11" i="4"/>
  <c r="AW47" i="4"/>
  <c r="AY47" i="4" s="1"/>
  <c r="AW55" i="4"/>
  <c r="AY55" i="4" s="1"/>
  <c r="AW40" i="4"/>
  <c r="AY40" i="4" s="1"/>
  <c r="AW48" i="4"/>
  <c r="AY48" i="4" s="1"/>
  <c r="AW56" i="4"/>
  <c r="AY56" i="4" s="1"/>
  <c r="AW41" i="4"/>
  <c r="AY41" i="4" s="1"/>
  <c r="AW49" i="4"/>
  <c r="AY49" i="4" s="1"/>
  <c r="AW57" i="4"/>
  <c r="AY57" i="4" s="1"/>
  <c r="AW50" i="4"/>
  <c r="AY50" i="4" s="1"/>
  <c r="AW58" i="4"/>
  <c r="AY58" i="4" s="1"/>
  <c r="AW43" i="4"/>
  <c r="AY43" i="4" s="1"/>
  <c r="AW51" i="4"/>
  <c r="AY51" i="4" s="1"/>
  <c r="AW59" i="4"/>
  <c r="AY59" i="4" s="1"/>
  <c r="AW44" i="4"/>
  <c r="AY44" i="4" s="1"/>
  <c r="AW52" i="4"/>
  <c r="AY52" i="4" s="1"/>
  <c r="AW60" i="4"/>
  <c r="AY60" i="4" s="1"/>
  <c r="AW45" i="4"/>
  <c r="AY45" i="4" s="1"/>
  <c r="AW53" i="4"/>
  <c r="AY53" i="4" s="1"/>
  <c r="AW61" i="4"/>
  <c r="AY61" i="4" s="1"/>
  <c r="AW46" i="4"/>
  <c r="AY46" i="4" s="1"/>
  <c r="AW54" i="4"/>
  <c r="AY54" i="4" s="1"/>
  <c r="AR51" i="4"/>
  <c r="AR52" i="4"/>
  <c r="AR60" i="4"/>
  <c r="AR53" i="4"/>
  <c r="AR61" i="4"/>
  <c r="AR54" i="4"/>
  <c r="AR55" i="4"/>
  <c r="AR56" i="4"/>
  <c r="AR49" i="4"/>
  <c r="AR57" i="4"/>
  <c r="AR58" i="4"/>
  <c r="AR59" i="4"/>
  <c r="AK60" i="4"/>
  <c r="AL60" i="4" s="1"/>
  <c r="AK61" i="4"/>
  <c r="AL61" i="4" s="1"/>
  <c r="AS51" i="4" l="1"/>
  <c r="AT51" i="4"/>
  <c r="AS37" i="4"/>
  <c r="AT37" i="4"/>
  <c r="AS22" i="4"/>
  <c r="AT22" i="4"/>
  <c r="AS43" i="4"/>
  <c r="AT43" i="4"/>
  <c r="AS55" i="4"/>
  <c r="AT55" i="4"/>
  <c r="AS21" i="4"/>
  <c r="AT21" i="4"/>
  <c r="AS31" i="4"/>
  <c r="AT31" i="4"/>
  <c r="AS47" i="4"/>
  <c r="AT47" i="4"/>
  <c r="AS35" i="4"/>
  <c r="AT35" i="4"/>
  <c r="AS49" i="4"/>
  <c r="AT49" i="4"/>
  <c r="AS54" i="4"/>
  <c r="AT54" i="4"/>
  <c r="AS40" i="4"/>
  <c r="AT40" i="4"/>
  <c r="AS17" i="4"/>
  <c r="AT17" i="4"/>
  <c r="AS33" i="4"/>
  <c r="AT33" i="4"/>
  <c r="AS27" i="4"/>
  <c r="AT27" i="4"/>
  <c r="AS42" i="4"/>
  <c r="AT42" i="4"/>
  <c r="AS44" i="4"/>
  <c r="AT44" i="4"/>
  <c r="AS26" i="4"/>
  <c r="AT26" i="4"/>
  <c r="AS61" i="4"/>
  <c r="AT61" i="4"/>
  <c r="AS38" i="4"/>
  <c r="AT38" i="4"/>
  <c r="AS19" i="4"/>
  <c r="AT19" i="4"/>
  <c r="AS53" i="4"/>
  <c r="AT53" i="4"/>
  <c r="AS24" i="4"/>
  <c r="AT24" i="4"/>
  <c r="AS29" i="4"/>
  <c r="AT29" i="4"/>
  <c r="AS45" i="4"/>
  <c r="AT45" i="4"/>
  <c r="AS30" i="4"/>
  <c r="AT30" i="4"/>
  <c r="AS50" i="4"/>
  <c r="AT50" i="4"/>
  <c r="AS32" i="4"/>
  <c r="AT32" i="4"/>
  <c r="AS20" i="4"/>
  <c r="AT20" i="4"/>
  <c r="AS59" i="4"/>
  <c r="AT59" i="4"/>
  <c r="AS58" i="4"/>
  <c r="AT58" i="4"/>
  <c r="AS60" i="4"/>
  <c r="AT60" i="4"/>
  <c r="AS18" i="4"/>
  <c r="AT18" i="4"/>
  <c r="AS23" i="4"/>
  <c r="AT23" i="4"/>
  <c r="AS39" i="4"/>
  <c r="AT39" i="4"/>
  <c r="AS16" i="4"/>
  <c r="AT16" i="4"/>
  <c r="AS15" i="4"/>
  <c r="AT15" i="4"/>
  <c r="AS28" i="4"/>
  <c r="AT28" i="4"/>
  <c r="AS56" i="4"/>
  <c r="AT56" i="4"/>
  <c r="AS34" i="4"/>
  <c r="AT34" i="4"/>
  <c r="AS36" i="4"/>
  <c r="AT36" i="4"/>
  <c r="AS57" i="4"/>
  <c r="AT57" i="4"/>
  <c r="AS52" i="4"/>
  <c r="AT52" i="4"/>
  <c r="AS46" i="4"/>
  <c r="AT46" i="4"/>
  <c r="AS48" i="4"/>
  <c r="AT48" i="4"/>
  <c r="AS25" i="4"/>
  <c r="AT25" i="4"/>
  <c r="AS41" i="4"/>
  <c r="AT41" i="4"/>
  <c r="AM61" i="4"/>
  <c r="AM60" i="4"/>
  <c r="FC11" i="4"/>
  <c r="AX43" i="4"/>
  <c r="AX31" i="4"/>
  <c r="AX36" i="4"/>
  <c r="AX23" i="4"/>
  <c r="AX28" i="4"/>
  <c r="AX38" i="4"/>
  <c r="AX20" i="4"/>
  <c r="AX33" i="4"/>
  <c r="AX30" i="4"/>
  <c r="AX35" i="4"/>
  <c r="AX25" i="4"/>
  <c r="AX22" i="4"/>
  <c r="AX27" i="4"/>
  <c r="AX32" i="4"/>
  <c r="AX37" i="4"/>
  <c r="AX19" i="4"/>
  <c r="AX24" i="4"/>
  <c r="AX29" i="4"/>
  <c r="AX34" i="4"/>
  <c r="AX39" i="4"/>
  <c r="AX21" i="4"/>
  <c r="AX26" i="4"/>
  <c r="AX58" i="4"/>
  <c r="AX54" i="4"/>
  <c r="AX50" i="4"/>
  <c r="AX46" i="4"/>
  <c r="AX61" i="4"/>
  <c r="AX42" i="4"/>
  <c r="AX57" i="4"/>
  <c r="AX53" i="4"/>
  <c r="AX49" i="4"/>
  <c r="AX45" i="4"/>
  <c r="AX60" i="4"/>
  <c r="AX41" i="4"/>
  <c r="AX56" i="4"/>
  <c r="AX52" i="4"/>
  <c r="AX48" i="4"/>
  <c r="AX44" i="4"/>
  <c r="AX59" i="4"/>
  <c r="AX40" i="4"/>
  <c r="AX55" i="4"/>
  <c r="AX51" i="4"/>
  <c r="AX47" i="4"/>
  <c r="EB12" i="4"/>
  <c r="AK23" i="4"/>
  <c r="AL23" i="4" s="1"/>
  <c r="AK24" i="4"/>
  <c r="AL24" i="4" s="1"/>
  <c r="AK25" i="4"/>
  <c r="AL25" i="4" s="1"/>
  <c r="AK26" i="4"/>
  <c r="AL26" i="4" s="1"/>
  <c r="AK27" i="4"/>
  <c r="AL27" i="4" s="1"/>
  <c r="AK28" i="4"/>
  <c r="AL28" i="4" s="1"/>
  <c r="AK29" i="4"/>
  <c r="AL29" i="4" s="1"/>
  <c r="AK30" i="4"/>
  <c r="AL30" i="4" s="1"/>
  <c r="AK31" i="4"/>
  <c r="AL31" i="4" s="1"/>
  <c r="AK32" i="4"/>
  <c r="AL32" i="4" s="1"/>
  <c r="AK33" i="4"/>
  <c r="AL33" i="4" s="1"/>
  <c r="AK34" i="4"/>
  <c r="AL34" i="4" s="1"/>
  <c r="AK35" i="4"/>
  <c r="AL35" i="4" s="1"/>
  <c r="AK36" i="4"/>
  <c r="AL36" i="4" s="1"/>
  <c r="AK37" i="4"/>
  <c r="AL37" i="4" s="1"/>
  <c r="AK38" i="4"/>
  <c r="AL38" i="4" s="1"/>
  <c r="AK39" i="4"/>
  <c r="AL39" i="4" s="1"/>
  <c r="AK40" i="4"/>
  <c r="AL40" i="4" s="1"/>
  <c r="AK41" i="4"/>
  <c r="AL41" i="4" s="1"/>
  <c r="AK42" i="4"/>
  <c r="AL42" i="4" s="1"/>
  <c r="AK43" i="4"/>
  <c r="AL43" i="4" s="1"/>
  <c r="AK44" i="4"/>
  <c r="AL44" i="4" s="1"/>
  <c r="AK45" i="4"/>
  <c r="AL45" i="4" s="1"/>
  <c r="AK46" i="4"/>
  <c r="AL46" i="4" s="1"/>
  <c r="AK47" i="4"/>
  <c r="AL47" i="4" s="1"/>
  <c r="AK48" i="4"/>
  <c r="AL48" i="4" s="1"/>
  <c r="AK49" i="4"/>
  <c r="AL49" i="4" s="1"/>
  <c r="AK50" i="4"/>
  <c r="AL50" i="4" s="1"/>
  <c r="AK51" i="4"/>
  <c r="AL51" i="4" s="1"/>
  <c r="AK52" i="4"/>
  <c r="AL52" i="4" s="1"/>
  <c r="AK53" i="4"/>
  <c r="AL53" i="4" s="1"/>
  <c r="AK54" i="4"/>
  <c r="AL54" i="4" s="1"/>
  <c r="AK55" i="4"/>
  <c r="AL55" i="4" s="1"/>
  <c r="AK56" i="4"/>
  <c r="AL56" i="4" s="1"/>
  <c r="AK57" i="4"/>
  <c r="AL57" i="4" s="1"/>
  <c r="AK58" i="4"/>
  <c r="AL58" i="4" s="1"/>
  <c r="AK59" i="4"/>
  <c r="AL59" i="4" s="1"/>
  <c r="AK15" i="4"/>
  <c r="AL15" i="4" s="1"/>
  <c r="AK16" i="4"/>
  <c r="AL16" i="4" s="1"/>
  <c r="AK17" i="4"/>
  <c r="AL17" i="4" s="1"/>
  <c r="AK18" i="4"/>
  <c r="AL18" i="4" s="1"/>
  <c r="AK19" i="4"/>
  <c r="AL19" i="4" s="1"/>
  <c r="AK20" i="4"/>
  <c r="AL20" i="4" s="1"/>
  <c r="AK21" i="4"/>
  <c r="AL21" i="4" s="1"/>
  <c r="AK22" i="4"/>
  <c r="AL22" i="4" s="1"/>
  <c r="AK14" i="4"/>
  <c r="AM14" i="4" l="1"/>
  <c r="AL14" i="4"/>
  <c r="AM31" i="4"/>
  <c r="AM54" i="4"/>
  <c r="AM16" i="4"/>
  <c r="AM53" i="4"/>
  <c r="AM45" i="4"/>
  <c r="AM37" i="4"/>
  <c r="AM29" i="4"/>
  <c r="AM39" i="4"/>
  <c r="AM17" i="4"/>
  <c r="AM15" i="4"/>
  <c r="AM36" i="4"/>
  <c r="AM28" i="4"/>
  <c r="AM18" i="4"/>
  <c r="AM46" i="4"/>
  <c r="AM51" i="4"/>
  <c r="AM43" i="4"/>
  <c r="AM35" i="4"/>
  <c r="AM27" i="4"/>
  <c r="AM47" i="4"/>
  <c r="AM38" i="4"/>
  <c r="AM22" i="4"/>
  <c r="AM21" i="4"/>
  <c r="AM58" i="4"/>
  <c r="AM50" i="4"/>
  <c r="AM42" i="4"/>
  <c r="AM34" i="4"/>
  <c r="AM26" i="4"/>
  <c r="AM23" i="4"/>
  <c r="AM30" i="4"/>
  <c r="AM52" i="4"/>
  <c r="AM59" i="4"/>
  <c r="AM57" i="4"/>
  <c r="AM41" i="4"/>
  <c r="AM55" i="4"/>
  <c r="AM44" i="4"/>
  <c r="AM20" i="4"/>
  <c r="AM49" i="4"/>
  <c r="AM33" i="4"/>
  <c r="AM25" i="4"/>
  <c r="AM19" i="4"/>
  <c r="AM56" i="4"/>
  <c r="AM48" i="4"/>
  <c r="AM40" i="4"/>
  <c r="AM32" i="4"/>
  <c r="AM24" i="4"/>
  <c r="ET17" i="4"/>
  <c r="BP11" i="4"/>
  <c r="BP19" i="4"/>
  <c r="BP27" i="4"/>
  <c r="BP35" i="4"/>
  <c r="BP43" i="4"/>
  <c r="BP51" i="4"/>
  <c r="BP59" i="4"/>
  <c r="BP57" i="4"/>
  <c r="BP26" i="4"/>
  <c r="BP12" i="4"/>
  <c r="BP20" i="4"/>
  <c r="BP28" i="4"/>
  <c r="BP36" i="4"/>
  <c r="BP44" i="4"/>
  <c r="BP52" i="4"/>
  <c r="BP60" i="4"/>
  <c r="BP41" i="4"/>
  <c r="BP13" i="4"/>
  <c r="BP21" i="4"/>
  <c r="BP29" i="4"/>
  <c r="BP37" i="4"/>
  <c r="BP45" i="4"/>
  <c r="BP53" i="4"/>
  <c r="BP61" i="4"/>
  <c r="BP49" i="4"/>
  <c r="BP34" i="4"/>
  <c r="BP14" i="4"/>
  <c r="BP22" i="4"/>
  <c r="BP30" i="4"/>
  <c r="BP38" i="4"/>
  <c r="BP46" i="4"/>
  <c r="BP54" i="4"/>
  <c r="BP25" i="4"/>
  <c r="BP18" i="4"/>
  <c r="BP58" i="4"/>
  <c r="BP15" i="4"/>
  <c r="BP23" i="4"/>
  <c r="BP31" i="4"/>
  <c r="BP39" i="4"/>
  <c r="BP47" i="4"/>
  <c r="BP55" i="4"/>
  <c r="BP33" i="4"/>
  <c r="BP50" i="4"/>
  <c r="BP16" i="4"/>
  <c r="BP24" i="4"/>
  <c r="BP32" i="4"/>
  <c r="BP40" i="4"/>
  <c r="BP48" i="4"/>
  <c r="BP56" i="4"/>
  <c r="BP17" i="4"/>
  <c r="BP42" i="4"/>
  <c r="EK11" i="4"/>
  <c r="EK12" i="4"/>
  <c r="AK12" i="4"/>
  <c r="AL12" i="4" s="1"/>
  <c r="AK11" i="4"/>
  <c r="AK13" i="4"/>
  <c r="AL13" i="4" s="1"/>
  <c r="EN7" i="4" l="1"/>
  <c r="EN6" i="4"/>
  <c r="ET16" i="4" l="1"/>
  <c r="ET15" i="4" l="1"/>
  <c r="BU11" i="4"/>
  <c r="BU19" i="4"/>
  <c r="BU27" i="4"/>
  <c r="BU35" i="4"/>
  <c r="BU43" i="4"/>
  <c r="BU51" i="4"/>
  <c r="BU59" i="4"/>
  <c r="BU12" i="4"/>
  <c r="BU20" i="4"/>
  <c r="BU28" i="4"/>
  <c r="BU36" i="4"/>
  <c r="BU44" i="4"/>
  <c r="BU52" i="4"/>
  <c r="BU60" i="4"/>
  <c r="BU41" i="4"/>
  <c r="BU13" i="4"/>
  <c r="BU21" i="4"/>
  <c r="BU29" i="4"/>
  <c r="BU37" i="4"/>
  <c r="BU45" i="4"/>
  <c r="BU53" i="4"/>
  <c r="BU61" i="4"/>
  <c r="BU57" i="4"/>
  <c r="BU14" i="4"/>
  <c r="BU22" i="4"/>
  <c r="BU30" i="4"/>
  <c r="BU38" i="4"/>
  <c r="BU46" i="4"/>
  <c r="BU54" i="4"/>
  <c r="BU33" i="4"/>
  <c r="BU15" i="4"/>
  <c r="BU23" i="4"/>
  <c r="BU31" i="4"/>
  <c r="BU39" i="4"/>
  <c r="BU47" i="4"/>
  <c r="BU55" i="4"/>
  <c r="BU25" i="4"/>
  <c r="BU16" i="4"/>
  <c r="BU24" i="4"/>
  <c r="BU32" i="4"/>
  <c r="BU40" i="4"/>
  <c r="BU48" i="4"/>
  <c r="BU56" i="4"/>
  <c r="BU17" i="4"/>
  <c r="BU18" i="4"/>
  <c r="BU26" i="4"/>
  <c r="BU34" i="4"/>
  <c r="BU42" i="4"/>
  <c r="BU50" i="4"/>
  <c r="BU58" i="4"/>
  <c r="BU49" i="4"/>
  <c r="ER21" i="4" l="1"/>
  <c r="AF55" i="4" l="1"/>
  <c r="AF36" i="4"/>
  <c r="AF37" i="4"/>
  <c r="AF51" i="4"/>
  <c r="AF33" i="4"/>
  <c r="AF43" i="4"/>
  <c r="AF25" i="4"/>
  <c r="AF57" i="4"/>
  <c r="AF31" i="4"/>
  <c r="AF22" i="4"/>
  <c r="AF42" i="4"/>
  <c r="AF61" i="4"/>
  <c r="AF32" i="4"/>
  <c r="AF16" i="4"/>
  <c r="AF27" i="4"/>
  <c r="AF29" i="4"/>
  <c r="AF48" i="4"/>
  <c r="AF35" i="4"/>
  <c r="AF59" i="4"/>
  <c r="AF41" i="4"/>
  <c r="AF14" i="4"/>
  <c r="AF54" i="4"/>
  <c r="AF30" i="4"/>
  <c r="AF49" i="4"/>
  <c r="AF46" i="4"/>
  <c r="AF38" i="4"/>
  <c r="AF24" i="4"/>
  <c r="AF56" i="4"/>
  <c r="AF20" i="4"/>
  <c r="AF18" i="4"/>
  <c r="AF40" i="4"/>
  <c r="AF17" i="4"/>
  <c r="AF28" i="4"/>
  <c r="AF15" i="4"/>
  <c r="AF47" i="4"/>
  <c r="AF45" i="4"/>
  <c r="AF52" i="4"/>
  <c r="AF50" i="4"/>
  <c r="AF53" i="4"/>
  <c r="AF44" i="4"/>
  <c r="AF21" i="4"/>
  <c r="AF13" i="4"/>
  <c r="AF60" i="4"/>
  <c r="AF34" i="4"/>
  <c r="AF39" i="4"/>
  <c r="AF23" i="4"/>
  <c r="AF58" i="4"/>
  <c r="AF26" i="4"/>
  <c r="AF19" i="4"/>
  <c r="AF12" i="4"/>
  <c r="BV12" i="4" l="1"/>
  <c r="BV26" i="4"/>
  <c r="BV39" i="4"/>
  <c r="BW39" i="4" s="1"/>
  <c r="BV34" i="4"/>
  <c r="BW34" i="4" s="1"/>
  <c r="BV60" i="4"/>
  <c r="BW60" i="4" s="1"/>
  <c r="BV13" i="4"/>
  <c r="BV21" i="4"/>
  <c r="BV44" i="4"/>
  <c r="BX44" i="4" s="1"/>
  <c r="BV50" i="4"/>
  <c r="BW50" i="4" s="1"/>
  <c r="BV45" i="4"/>
  <c r="BW45" i="4" s="1"/>
  <c r="BV15" i="4"/>
  <c r="BV40" i="4"/>
  <c r="BW40" i="4" s="1"/>
  <c r="BV18" i="4"/>
  <c r="BV20" i="4"/>
  <c r="BV56" i="4"/>
  <c r="BW56" i="4" s="1"/>
  <c r="BV24" i="4"/>
  <c r="BV38" i="4"/>
  <c r="BW38" i="4" s="1"/>
  <c r="BV46" i="4"/>
  <c r="BW46" i="4" s="1"/>
  <c r="BV49" i="4"/>
  <c r="BW49" i="4" s="1"/>
  <c r="BV30" i="4"/>
  <c r="BW30" i="4" s="1"/>
  <c r="BV14" i="4"/>
  <c r="BV59" i="4"/>
  <c r="BW59" i="4" s="1"/>
  <c r="BV48" i="4"/>
  <c r="BW48" i="4" s="1"/>
  <c r="BV27" i="4"/>
  <c r="BW27" i="4" s="1"/>
  <c r="BV16" i="4"/>
  <c r="BV32" i="4"/>
  <c r="BW32" i="4" s="1"/>
  <c r="BV61" i="4"/>
  <c r="BX61" i="4" s="1"/>
  <c r="BV42" i="4"/>
  <c r="BW42" i="4" s="1"/>
  <c r="BV31" i="4"/>
  <c r="BW31" i="4" s="1"/>
  <c r="BV25" i="4"/>
  <c r="BV43" i="4"/>
  <c r="BW43" i="4" s="1"/>
  <c r="BV33" i="4"/>
  <c r="BW33" i="4" s="1"/>
  <c r="BV51" i="4"/>
  <c r="BW51" i="4" s="1"/>
  <c r="BV37" i="4"/>
  <c r="BW37" i="4" s="1"/>
  <c r="BV36" i="4"/>
  <c r="BW36" i="4" s="1"/>
  <c r="BV55" i="4"/>
  <c r="BW55" i="4" s="1"/>
  <c r="BV35" i="4"/>
  <c r="BW35" i="4" s="1"/>
  <c r="BV19" i="4"/>
  <c r="BV23" i="4"/>
  <c r="BV47" i="4"/>
  <c r="BW47" i="4" s="1"/>
  <c r="BV22" i="4"/>
  <c r="BV52" i="4"/>
  <c r="BW52" i="4" s="1"/>
  <c r="BV41" i="4"/>
  <c r="BW41" i="4" s="1"/>
  <c r="BV57" i="4"/>
  <c r="BW57" i="4" s="1"/>
  <c r="BV58" i="4"/>
  <c r="BW58" i="4" s="1"/>
  <c r="BV53" i="4"/>
  <c r="BW53" i="4" s="1"/>
  <c r="BV28" i="4"/>
  <c r="BW28" i="4" s="1"/>
  <c r="BV54" i="4"/>
  <c r="BW54" i="4" s="1"/>
  <c r="BV17" i="4"/>
  <c r="BV29" i="4"/>
  <c r="BW29" i="4" s="1"/>
  <c r="BX24" i="4" l="1"/>
  <c r="BW24" i="4"/>
  <c r="BX23" i="4"/>
  <c r="BW23" i="4"/>
  <c r="BX21" i="4"/>
  <c r="BW21" i="4"/>
  <c r="BX19" i="4"/>
  <c r="BW19" i="4"/>
  <c r="BX25" i="4"/>
  <c r="BW25" i="4"/>
  <c r="BX20" i="4"/>
  <c r="BW20" i="4"/>
  <c r="BX13" i="4"/>
  <c r="BW13" i="4"/>
  <c r="BX14" i="4"/>
  <c r="BW14" i="4"/>
  <c r="BX18" i="4"/>
  <c r="BW18" i="4"/>
  <c r="BX15" i="4"/>
  <c r="BW15" i="4"/>
  <c r="BX26" i="4"/>
  <c r="BW26" i="4"/>
  <c r="BX17" i="4"/>
  <c r="BW17" i="4"/>
  <c r="BX22" i="4"/>
  <c r="BW22" i="4"/>
  <c r="BX16" i="4"/>
  <c r="BW16" i="4"/>
  <c r="BX12" i="4"/>
  <c r="BW12" i="4"/>
  <c r="BX27" i="4"/>
  <c r="BX28" i="4"/>
  <c r="BX29" i="4"/>
  <c r="BW44" i="4"/>
  <c r="BW61" i="4"/>
  <c r="BX33" i="4"/>
  <c r="BX32" i="4"/>
  <c r="BX40" i="4"/>
  <c r="BX50" i="4"/>
  <c r="BX30" i="4"/>
  <c r="BX47" i="4"/>
  <c r="BX41" i="4"/>
  <c r="BX51" i="4"/>
  <c r="BX31" i="4"/>
  <c r="BX38" i="4"/>
  <c r="BX45" i="4"/>
  <c r="BX39" i="4"/>
  <c r="BX53" i="4"/>
  <c r="BX35" i="4"/>
  <c r="BX52" i="4"/>
  <c r="BX55" i="4"/>
  <c r="BX36" i="4"/>
  <c r="BX43" i="4"/>
  <c r="BX49" i="4"/>
  <c r="BX56" i="4"/>
  <c r="BX60" i="4"/>
  <c r="BX54" i="4"/>
  <c r="BX37" i="4"/>
  <c r="BX42" i="4"/>
  <c r="BX48" i="4"/>
  <c r="BX59" i="4"/>
  <c r="BX46" i="4"/>
  <c r="BX34" i="4"/>
  <c r="BX58" i="4"/>
  <c r="BX57" i="4"/>
  <c r="G2" i="4" l="1"/>
  <c r="FL12" i="4"/>
  <c r="D3" i="4"/>
  <c r="F2" i="4" l="1"/>
  <c r="BQ60" i="4" l="1"/>
  <c r="BS60" i="4" s="1"/>
  <c r="BQ61" i="4"/>
  <c r="BR61" i="4" s="1"/>
  <c r="BS61" i="4" l="1"/>
  <c r="BR60" i="4"/>
  <c r="ES19" i="4"/>
  <c r="ET19" i="4" s="1"/>
  <c r="EN13" i="4"/>
  <c r="CP89" i="4" l="1"/>
  <c r="CP106" i="4"/>
  <c r="CK106" i="4"/>
  <c r="CL106" i="4" s="1"/>
  <c r="CK102" i="4"/>
  <c r="CL102" i="4" s="1"/>
  <c r="CP102" i="4"/>
  <c r="CK113" i="4"/>
  <c r="CP113" i="4"/>
  <c r="CP95" i="4"/>
  <c r="CP66" i="4"/>
  <c r="CP110" i="4"/>
  <c r="CK110" i="4"/>
  <c r="CL110" i="4" s="1"/>
  <c r="CK107" i="4"/>
  <c r="CL107" i="4" s="1"/>
  <c r="CP107" i="4"/>
  <c r="CP73" i="4"/>
  <c r="CK108" i="4"/>
  <c r="CL108" i="4" s="1"/>
  <c r="CP108" i="4"/>
  <c r="CP111" i="4"/>
  <c r="CK111" i="4"/>
  <c r="CL111" i="4" s="1"/>
  <c r="CP98" i="4"/>
  <c r="CK98" i="4"/>
  <c r="CL98" i="4" s="1"/>
  <c r="CP63" i="4"/>
  <c r="CP69" i="4"/>
  <c r="CP97" i="4"/>
  <c r="CP114" i="4"/>
  <c r="CK114" i="4"/>
  <c r="CP82" i="4"/>
  <c r="CP105" i="4"/>
  <c r="CK105" i="4"/>
  <c r="CL105" i="4" s="1"/>
  <c r="CK69" i="4"/>
  <c r="CL69" i="4" s="1"/>
  <c r="CP76" i="4"/>
  <c r="CP70" i="4"/>
  <c r="CK103" i="4"/>
  <c r="CL103" i="4" s="1"/>
  <c r="CP103" i="4"/>
  <c r="CP75" i="4"/>
  <c r="CP90" i="4"/>
  <c r="CP77" i="4"/>
  <c r="CK99" i="4"/>
  <c r="CL99" i="4" s="1"/>
  <c r="CP99" i="4"/>
  <c r="CP112" i="4"/>
  <c r="CK112" i="4"/>
  <c r="CL112" i="4" s="1"/>
  <c r="CP83" i="4"/>
  <c r="CP86" i="4"/>
  <c r="CP64" i="4"/>
  <c r="CP81" i="4"/>
  <c r="CK64" i="4"/>
  <c r="CL64" i="4" s="1"/>
  <c r="CP80" i="4"/>
  <c r="CP74" i="4"/>
  <c r="CK101" i="4"/>
  <c r="CL101" i="4" s="1"/>
  <c r="CP101" i="4"/>
  <c r="CP85" i="4"/>
  <c r="CK83" i="4"/>
  <c r="CL83" i="4" s="1"/>
  <c r="CK97" i="4"/>
  <c r="CL97" i="4" s="1"/>
  <c r="CK63" i="4"/>
  <c r="CL63" i="4" s="1"/>
  <c r="CP68" i="4"/>
  <c r="CB2" i="4" a="1"/>
  <c r="CC3" i="4" s="1"/>
  <c r="BZ5" i="4"/>
  <c r="CP71" i="4"/>
  <c r="CK70" i="4"/>
  <c r="CL70" i="4" s="1"/>
  <c r="CK109" i="4"/>
  <c r="CL109" i="4" s="1"/>
  <c r="CP109" i="4"/>
  <c r="CP87" i="4"/>
  <c r="CK85" i="4"/>
  <c r="CL85" i="4" s="1"/>
  <c r="CP67" i="4"/>
  <c r="CK95" i="4"/>
  <c r="CL95" i="4" s="1"/>
  <c r="CK68" i="4"/>
  <c r="CL68" i="4" s="1"/>
  <c r="CP100" i="4"/>
  <c r="CK100" i="4"/>
  <c r="CL100" i="4" s="1"/>
  <c r="CK77" i="4"/>
  <c r="CL77" i="4" s="1"/>
  <c r="CP88" i="4"/>
  <c r="CK87" i="4"/>
  <c r="CL87" i="4" s="1"/>
  <c r="CP93" i="4"/>
  <c r="CP94" i="4"/>
  <c r="CP92" i="4"/>
  <c r="CK92" i="4"/>
  <c r="CL92" i="4" s="1"/>
  <c r="CK82" i="4"/>
  <c r="CL82" i="4" s="1"/>
  <c r="CP104" i="4"/>
  <c r="CK104" i="4"/>
  <c r="CL104" i="4" s="1"/>
  <c r="CP79" i="4"/>
  <c r="CK79" i="4"/>
  <c r="CL79" i="4" s="1"/>
  <c r="CP78" i="4"/>
  <c r="CK94" i="4"/>
  <c r="CL94" i="4" s="1"/>
  <c r="CP91" i="4"/>
  <c r="CP72" i="4"/>
  <c r="CK91" i="4"/>
  <c r="CL91" i="4" s="1"/>
  <c r="CP96" i="4"/>
  <c r="CK76" i="4"/>
  <c r="CL76" i="4" s="1"/>
  <c r="CP84" i="4"/>
  <c r="CK75" i="4"/>
  <c r="CL75" i="4" s="1"/>
  <c r="CK78" i="4"/>
  <c r="CL78" i="4" s="1"/>
  <c r="CK72" i="4"/>
  <c r="CL72" i="4" s="1"/>
  <c r="CK96" i="4"/>
  <c r="CL96" i="4" s="1"/>
  <c r="CK67" i="4"/>
  <c r="CL67" i="4" s="1"/>
  <c r="CK73" i="4"/>
  <c r="CL73" i="4" s="1"/>
  <c r="CK86" i="4"/>
  <c r="CL86" i="4" s="1"/>
  <c r="CK89" i="4"/>
  <c r="CL89" i="4" s="1"/>
  <c r="CK93" i="4"/>
  <c r="CL93" i="4" s="1"/>
  <c r="CK66" i="4"/>
  <c r="CL66" i="4" s="1"/>
  <c r="CP65" i="4"/>
  <c r="CK80" i="4"/>
  <c r="CL80" i="4" s="1"/>
  <c r="CK90" i="4"/>
  <c r="CL90" i="4" s="1"/>
  <c r="CK74" i="4"/>
  <c r="CL74" i="4" s="1"/>
  <c r="CK62" i="4"/>
  <c r="CL62" i="4" s="1"/>
  <c r="CK84" i="4"/>
  <c r="CL84" i="4" s="1"/>
  <c r="CK88" i="4"/>
  <c r="CL88" i="4" s="1"/>
  <c r="CK65" i="4"/>
  <c r="CL65" i="4" s="1"/>
  <c r="CP62" i="4"/>
  <c r="CK71" i="4"/>
  <c r="CL71" i="4" s="1"/>
  <c r="CK81" i="4"/>
  <c r="CL81" i="4" s="1"/>
  <c r="DU19" i="4" l="1"/>
  <c r="CC6" i="4"/>
  <c r="CC4" i="4"/>
  <c r="CC5" i="4"/>
  <c r="CC2" i="4"/>
  <c r="CB6" i="4"/>
  <c r="CB4" i="4"/>
  <c r="CB2" i="4"/>
  <c r="CB3" i="4"/>
  <c r="CB5" i="4"/>
  <c r="CO89" i="4" l="1"/>
  <c r="CE3" i="4"/>
  <c r="CO57" i="4"/>
  <c r="CO95" i="4"/>
  <c r="CO108" i="4"/>
  <c r="CO106" i="4"/>
  <c r="CO56" i="4"/>
  <c r="CO63" i="4"/>
  <c r="CO55" i="4"/>
  <c r="CO111" i="4"/>
  <c r="CO61" i="4"/>
  <c r="CO58" i="4"/>
  <c r="CO66" i="4"/>
  <c r="CO69" i="4"/>
  <c r="CO82" i="4"/>
  <c r="CF2" i="4"/>
  <c r="CE4" i="4"/>
  <c r="CO107" i="4"/>
  <c r="CO60" i="4"/>
  <c r="CD6" i="4"/>
  <c r="CO73" i="4"/>
  <c r="CF4" i="4"/>
  <c r="CE2" i="4"/>
  <c r="CO102" i="4"/>
  <c r="CO110" i="4"/>
  <c r="CO98" i="4"/>
  <c r="CO59" i="4"/>
  <c r="CO113" i="4"/>
  <c r="CF3" i="4"/>
  <c r="CO77" i="4"/>
  <c r="CO101" i="4"/>
  <c r="CO83" i="4"/>
  <c r="CO74" i="4"/>
  <c r="CO85" i="4"/>
  <c r="CO62" i="4"/>
  <c r="CO105" i="4"/>
  <c r="CO99" i="4"/>
  <c r="CO86" i="4"/>
  <c r="CO81" i="4"/>
  <c r="CO97" i="4"/>
  <c r="CO76" i="4"/>
  <c r="CO70" i="4"/>
  <c r="CO75" i="4"/>
  <c r="CO112" i="4"/>
  <c r="CO87" i="4"/>
  <c r="CO114" i="4"/>
  <c r="CO90" i="4"/>
  <c r="CO64" i="4"/>
  <c r="CO71" i="4"/>
  <c r="CO92" i="4"/>
  <c r="CO78" i="4"/>
  <c r="CO96" i="4"/>
  <c r="CO93" i="4"/>
  <c r="CO103" i="4"/>
  <c r="CO100" i="4"/>
  <c r="CO88" i="4"/>
  <c r="CO79" i="4"/>
  <c r="CO94" i="4"/>
  <c r="CO91" i="4"/>
  <c r="CO109" i="4"/>
  <c r="CO80" i="4"/>
  <c r="CO67" i="4"/>
  <c r="CO84" i="4"/>
  <c r="CO68" i="4"/>
  <c r="CO104" i="4"/>
  <c r="CO72" i="4"/>
  <c r="CO65" i="4"/>
  <c r="CP9" i="4"/>
  <c r="ER19" i="4"/>
  <c r="BP62" i="4" l="1"/>
  <c r="BA62" i="4"/>
  <c r="DG62" i="4"/>
  <c r="AZ62" i="4"/>
  <c r="BY62" i="4"/>
  <c r="BJ62" i="4"/>
  <c r="AD62" i="4"/>
  <c r="BK62" i="4"/>
  <c r="BZ62" i="4"/>
  <c r="BU62" i="4"/>
  <c r="AV62" i="4"/>
  <c r="AB62" i="4"/>
  <c r="AW62" i="4" s="1"/>
  <c r="AX62" i="4" s="1"/>
  <c r="AN62" i="4"/>
  <c r="DC62" i="4"/>
  <c r="DD62" i="4" s="1"/>
  <c r="DE62" i="4" s="1"/>
  <c r="BE62" i="4"/>
  <c r="CD62" i="4"/>
  <c r="BT62" i="4"/>
  <c r="BO62" i="4"/>
  <c r="AC62" i="4"/>
  <c r="BB62" i="4" s="1"/>
  <c r="BD62" i="4" s="1"/>
  <c r="CU62" i="4"/>
  <c r="CV62" i="4" s="1"/>
  <c r="CW62" i="4" s="1"/>
  <c r="CY62" i="4"/>
  <c r="AN64" i="4"/>
  <c r="DC64" i="4"/>
  <c r="DD64" i="4" s="1"/>
  <c r="DE64" i="4" s="1"/>
  <c r="CU64" i="4"/>
  <c r="CV64" i="4" s="1"/>
  <c r="CW64" i="4" s="1"/>
  <c r="BA64" i="4"/>
  <c r="CM64" i="4"/>
  <c r="AC64" i="4"/>
  <c r="BB64" i="4" s="1"/>
  <c r="BC64" i="4" s="1"/>
  <c r="FF8" i="4"/>
  <c r="BG64" i="4"/>
  <c r="BH64" i="4" s="1"/>
  <c r="BT64" i="4"/>
  <c r="CD64" i="4"/>
  <c r="AB64" i="4"/>
  <c r="EL13" i="4"/>
  <c r="BY64" i="4"/>
  <c r="BE64" i="4"/>
  <c r="BP64" i="4"/>
  <c r="CY64" i="4"/>
  <c r="BU64" i="4"/>
  <c r="AZ64" i="4"/>
  <c r="DG64" i="4"/>
  <c r="BK64" i="4"/>
  <c r="AV64" i="4"/>
  <c r="BO64" i="4"/>
  <c r="BJ64" i="4"/>
  <c r="AD64" i="4"/>
  <c r="BZ64" i="4"/>
  <c r="BY72" i="4"/>
  <c r="DG72" i="4"/>
  <c r="BA72" i="4"/>
  <c r="CU72" i="4"/>
  <c r="CV72" i="4" s="1"/>
  <c r="CW72" i="4" s="1"/>
  <c r="CY72" i="4"/>
  <c r="AN72" i="4"/>
  <c r="BZ72" i="4"/>
  <c r="CD72" i="4"/>
  <c r="AB72" i="4"/>
  <c r="AD72" i="4"/>
  <c r="BJ72" i="4"/>
  <c r="AZ72" i="4"/>
  <c r="BG72" i="4"/>
  <c r="BI72" i="4" s="1"/>
  <c r="AV72" i="4"/>
  <c r="BE72" i="4"/>
  <c r="BP72" i="4"/>
  <c r="DC72" i="4"/>
  <c r="BK72" i="4"/>
  <c r="CM72" i="4"/>
  <c r="BO72" i="4"/>
  <c r="BU72" i="4"/>
  <c r="BT72" i="4"/>
  <c r="AC72" i="4"/>
  <c r="BB72" i="4" s="1"/>
  <c r="BC72" i="4" s="1"/>
  <c r="BO80" i="4"/>
  <c r="BZ80" i="4"/>
  <c r="AD80" i="4"/>
  <c r="BJ80" i="4"/>
  <c r="AB80" i="4"/>
  <c r="AW80" i="4" s="1"/>
  <c r="DG80" i="4"/>
  <c r="BE80" i="4"/>
  <c r="AV80" i="4"/>
  <c r="BK80" i="4"/>
  <c r="BG80" i="4"/>
  <c r="BH80" i="4" s="1"/>
  <c r="BY80" i="4"/>
  <c r="AC80" i="4"/>
  <c r="BP80" i="4"/>
  <c r="EL17" i="4"/>
  <c r="BU80" i="4"/>
  <c r="AN80" i="4"/>
  <c r="CU80" i="4"/>
  <c r="CY80" i="4"/>
  <c r="DC80" i="4"/>
  <c r="DD80" i="4" s="1"/>
  <c r="DE80" i="4" s="1"/>
  <c r="BT80" i="4"/>
  <c r="CD80" i="4"/>
  <c r="BA80" i="4"/>
  <c r="AZ80" i="4"/>
  <c r="CM80" i="4"/>
  <c r="AC88" i="4"/>
  <c r="BB88" i="4" s="1"/>
  <c r="BC88" i="4" s="1"/>
  <c r="BJ88" i="4"/>
  <c r="DG88" i="4"/>
  <c r="CM88" i="4"/>
  <c r="BP88" i="4"/>
  <c r="EN18" i="4"/>
  <c r="AB88" i="4"/>
  <c r="AW88" i="4" s="1"/>
  <c r="AY88" i="4" s="1"/>
  <c r="BA88" i="4"/>
  <c r="BU88" i="4"/>
  <c r="AZ88" i="4"/>
  <c r="BO88" i="4"/>
  <c r="BY88" i="4"/>
  <c r="BG88" i="4"/>
  <c r="BH88" i="4" s="1"/>
  <c r="AD88" i="4"/>
  <c r="BZ88" i="4"/>
  <c r="BT88" i="4"/>
  <c r="CU88" i="4"/>
  <c r="CV88" i="4" s="1"/>
  <c r="AN88" i="4"/>
  <c r="BK88" i="4"/>
  <c r="CY88" i="4"/>
  <c r="AV88" i="4"/>
  <c r="BE88" i="4"/>
  <c r="DC88" i="4"/>
  <c r="CD88" i="4"/>
  <c r="CU96" i="4"/>
  <c r="CV96" i="4" s="1"/>
  <c r="CW96" i="4" s="1"/>
  <c r="CY96" i="4"/>
  <c r="BK96" i="4"/>
  <c r="BP96" i="4"/>
  <c r="DC96" i="4"/>
  <c r="DD96" i="4" s="1"/>
  <c r="DE96" i="4" s="1"/>
  <c r="CM96" i="4"/>
  <c r="AZ96" i="4"/>
  <c r="AN96" i="4"/>
  <c r="AB96" i="4"/>
  <c r="AW96" i="4" s="1"/>
  <c r="AX96" i="4" s="1"/>
  <c r="AC96" i="4"/>
  <c r="CD96" i="4"/>
  <c r="AD96" i="4"/>
  <c r="BY96" i="4"/>
  <c r="BU96" i="4"/>
  <c r="BJ96" i="4"/>
  <c r="BT96" i="4"/>
  <c r="BO96" i="4"/>
  <c r="BG96" i="4"/>
  <c r="BI96" i="4" s="1"/>
  <c r="BZ96" i="4"/>
  <c r="BA96" i="4"/>
  <c r="BE96" i="4"/>
  <c r="DG96" i="4"/>
  <c r="AV96" i="4"/>
  <c r="BT104" i="4"/>
  <c r="AZ104" i="4"/>
  <c r="BJ104" i="4"/>
  <c r="DC104" i="4"/>
  <c r="DD104" i="4" s="1"/>
  <c r="DF104" i="4" s="1"/>
  <c r="BP104" i="4"/>
  <c r="AD104" i="4"/>
  <c r="BU104" i="4"/>
  <c r="BY104" i="4"/>
  <c r="BZ104" i="4"/>
  <c r="BG104" i="4"/>
  <c r="BI104" i="4" s="1"/>
  <c r="CU104" i="4"/>
  <c r="CV104" i="4" s="1"/>
  <c r="CW104" i="4" s="1"/>
  <c r="CM104" i="4"/>
  <c r="AC104" i="4"/>
  <c r="BB104" i="4" s="1"/>
  <c r="BD104" i="4" s="1"/>
  <c r="BO104" i="4"/>
  <c r="AB104" i="4"/>
  <c r="BE104" i="4"/>
  <c r="AN104" i="4"/>
  <c r="CY104" i="4"/>
  <c r="BK104" i="4"/>
  <c r="BA104" i="4"/>
  <c r="AV104" i="4"/>
  <c r="DG104" i="4"/>
  <c r="CD104" i="4"/>
  <c r="DG79" i="4"/>
  <c r="BE79" i="4"/>
  <c r="CY79" i="4"/>
  <c r="AZ79" i="4"/>
  <c r="BG79" i="4"/>
  <c r="BP79" i="4"/>
  <c r="AD79" i="4"/>
  <c r="BT79" i="4"/>
  <c r="BA79" i="4"/>
  <c r="CM79" i="4"/>
  <c r="BU79" i="4"/>
  <c r="AV79" i="4"/>
  <c r="DC79" i="4"/>
  <c r="BO79" i="4"/>
  <c r="AC79" i="4"/>
  <c r="BB79" i="4" s="1"/>
  <c r="BC79" i="4" s="1"/>
  <c r="AN79" i="4"/>
  <c r="CU79" i="4"/>
  <c r="CV79" i="4" s="1"/>
  <c r="CX79" i="4" s="1"/>
  <c r="BZ79" i="4"/>
  <c r="BK79" i="4"/>
  <c r="CD79" i="4"/>
  <c r="BJ79" i="4"/>
  <c r="BY79" i="4"/>
  <c r="AB79" i="4"/>
  <c r="AW79" i="4" s="1"/>
  <c r="AX79" i="4" s="1"/>
  <c r="AD65" i="4"/>
  <c r="AC65" i="4"/>
  <c r="BB65" i="4" s="1"/>
  <c r="BC65" i="4" s="1"/>
  <c r="CU65" i="4"/>
  <c r="CV65" i="4" s="1"/>
  <c r="CW65" i="4" s="1"/>
  <c r="BT65" i="4"/>
  <c r="BU65" i="4"/>
  <c r="BG65" i="4"/>
  <c r="CD65" i="4"/>
  <c r="AZ65" i="4"/>
  <c r="BK65" i="4"/>
  <c r="BO65" i="4"/>
  <c r="AN65" i="4"/>
  <c r="BJ65" i="4"/>
  <c r="AV65" i="4"/>
  <c r="AB65" i="4"/>
  <c r="AW65" i="4" s="1"/>
  <c r="AX65" i="4" s="1"/>
  <c r="CY65" i="4"/>
  <c r="CM65" i="4"/>
  <c r="BA65" i="4"/>
  <c r="BZ65" i="4"/>
  <c r="DG65" i="4"/>
  <c r="BE65" i="4"/>
  <c r="BY65" i="4"/>
  <c r="EL22" i="4"/>
  <c r="DC65" i="4"/>
  <c r="DD65" i="4" s="1"/>
  <c r="DE65" i="4" s="1"/>
  <c r="BP65" i="4"/>
  <c r="EN20" i="4"/>
  <c r="AZ73" i="4"/>
  <c r="DG73" i="4"/>
  <c r="AD73" i="4"/>
  <c r="CM73" i="4"/>
  <c r="BG73" i="4"/>
  <c r="BI73" i="4" s="1"/>
  <c r="CU73" i="4"/>
  <c r="CV73" i="4" s="1"/>
  <c r="CW73" i="4" s="1"/>
  <c r="AC73" i="4"/>
  <c r="BB73" i="4" s="1"/>
  <c r="BC73" i="4" s="1"/>
  <c r="BT73" i="4"/>
  <c r="CD73" i="4"/>
  <c r="BO73" i="4"/>
  <c r="BY73" i="4"/>
  <c r="CY73" i="4"/>
  <c r="DC73" i="4"/>
  <c r="BZ73" i="4"/>
  <c r="BA73" i="4"/>
  <c r="BK73" i="4"/>
  <c r="AN73" i="4"/>
  <c r="AV73" i="4"/>
  <c r="BE73" i="4"/>
  <c r="AB73" i="4"/>
  <c r="AW73" i="4" s="1"/>
  <c r="AX73" i="4" s="1"/>
  <c r="BJ73" i="4"/>
  <c r="BP73" i="4"/>
  <c r="BU73" i="4"/>
  <c r="BT81" i="4"/>
  <c r="BU81" i="4"/>
  <c r="BO81" i="4"/>
  <c r="BA81" i="4"/>
  <c r="AD81" i="4"/>
  <c r="DG81" i="4"/>
  <c r="AN81" i="4"/>
  <c r="CU81" i="4"/>
  <c r="CV81" i="4" s="1"/>
  <c r="CX81" i="4" s="1"/>
  <c r="CD81" i="4"/>
  <c r="DC81" i="4"/>
  <c r="DD81" i="4" s="1"/>
  <c r="DE81" i="4" s="1"/>
  <c r="CM81" i="4"/>
  <c r="BP81" i="4"/>
  <c r="BJ81" i="4"/>
  <c r="AV81" i="4"/>
  <c r="AC81" i="4"/>
  <c r="BB81" i="4" s="1"/>
  <c r="BC81" i="4" s="1"/>
  <c r="BK81" i="4"/>
  <c r="BZ81" i="4"/>
  <c r="AZ81" i="4"/>
  <c r="BY81" i="4"/>
  <c r="AB81" i="4"/>
  <c r="CY81" i="4"/>
  <c r="BG81" i="4"/>
  <c r="BH81" i="4" s="1"/>
  <c r="BE81" i="4"/>
  <c r="AZ89" i="4"/>
  <c r="BJ89" i="4"/>
  <c r="BP89" i="4"/>
  <c r="BY89" i="4"/>
  <c r="BO89" i="4"/>
  <c r="DG89" i="4"/>
  <c r="BK89" i="4"/>
  <c r="AD89" i="4"/>
  <c r="CY89" i="4"/>
  <c r="BG89" i="4"/>
  <c r="AV89" i="4"/>
  <c r="DC89" i="4"/>
  <c r="DD89" i="4" s="1"/>
  <c r="DE89" i="4" s="1"/>
  <c r="BE89" i="4"/>
  <c r="CU89" i="4"/>
  <c r="CV89" i="4" s="1"/>
  <c r="CW89" i="4" s="1"/>
  <c r="AC89" i="4"/>
  <c r="AB89" i="4"/>
  <c r="BZ89" i="4"/>
  <c r="BU89" i="4"/>
  <c r="BT89" i="4"/>
  <c r="AN89" i="4"/>
  <c r="CM89" i="4"/>
  <c r="CD89" i="4"/>
  <c r="BA89" i="4"/>
  <c r="CU97" i="4"/>
  <c r="CV97" i="4" s="1"/>
  <c r="CW97" i="4" s="1"/>
  <c r="DC97" i="4"/>
  <c r="DD97" i="4" s="1"/>
  <c r="BA97" i="4"/>
  <c r="AZ97" i="4"/>
  <c r="BT97" i="4"/>
  <c r="DG97" i="4"/>
  <c r="BY97" i="4"/>
  <c r="BG97" i="4"/>
  <c r="BH97" i="4" s="1"/>
  <c r="AD97" i="4"/>
  <c r="AN97" i="4"/>
  <c r="BK97" i="4"/>
  <c r="BZ97" i="4"/>
  <c r="AB97" i="4"/>
  <c r="BO97" i="4"/>
  <c r="BU97" i="4"/>
  <c r="CM97" i="4"/>
  <c r="AC97" i="4"/>
  <c r="BB97" i="4" s="1"/>
  <c r="BC97" i="4" s="1"/>
  <c r="BJ97" i="4"/>
  <c r="BE97" i="4"/>
  <c r="CD97" i="4"/>
  <c r="AV97" i="4"/>
  <c r="CY97" i="4"/>
  <c r="BP97" i="4"/>
  <c r="CY105" i="4"/>
  <c r="BU105" i="4"/>
  <c r="CU105" i="4"/>
  <c r="BT105" i="4"/>
  <c r="CD105" i="4"/>
  <c r="BO105" i="4"/>
  <c r="AD105" i="4"/>
  <c r="AV105" i="4"/>
  <c r="BA105" i="4"/>
  <c r="CM105" i="4"/>
  <c r="AB105" i="4"/>
  <c r="DG105" i="4"/>
  <c r="BE105" i="4"/>
  <c r="AC105" i="4"/>
  <c r="BP105" i="4"/>
  <c r="BK105" i="4"/>
  <c r="BG105" i="4"/>
  <c r="BI105" i="4" s="1"/>
  <c r="BZ105" i="4"/>
  <c r="BY105" i="4"/>
  <c r="AN105" i="4"/>
  <c r="AZ105" i="4"/>
  <c r="DC105" i="4"/>
  <c r="DD105" i="4" s="1"/>
  <c r="DF105" i="4" s="1"/>
  <c r="BJ105" i="4"/>
  <c r="DC87" i="4"/>
  <c r="DD87" i="4" s="1"/>
  <c r="DE87" i="4" s="1"/>
  <c r="BO87" i="4"/>
  <c r="AC87" i="4"/>
  <c r="BB87" i="4" s="1"/>
  <c r="CY87" i="4"/>
  <c r="BG87" i="4"/>
  <c r="BH87" i="4" s="1"/>
  <c r="DG87" i="4"/>
  <c r="BK87" i="4"/>
  <c r="BZ87" i="4"/>
  <c r="BP87" i="4"/>
  <c r="CU87" i="4"/>
  <c r="CV87" i="4" s="1"/>
  <c r="CW87" i="4" s="1"/>
  <c r="CD87" i="4"/>
  <c r="AN87" i="4"/>
  <c r="BA87" i="4"/>
  <c r="BE87" i="4"/>
  <c r="BJ87" i="4"/>
  <c r="AD87" i="4"/>
  <c r="BU87" i="4"/>
  <c r="BT87" i="4"/>
  <c r="AV87" i="4"/>
  <c r="AB87" i="4"/>
  <c r="AW87" i="4" s="1"/>
  <c r="AX87" i="4" s="1"/>
  <c r="CM87" i="4"/>
  <c r="AZ87" i="4"/>
  <c r="BY87" i="4"/>
  <c r="BA66" i="4"/>
  <c r="CM66" i="4"/>
  <c r="BP66" i="4"/>
  <c r="AZ66" i="4"/>
  <c r="BO66" i="4"/>
  <c r="AN66" i="4"/>
  <c r="AV66" i="4"/>
  <c r="AC66" i="4"/>
  <c r="BJ66" i="4"/>
  <c r="BY66" i="4"/>
  <c r="DG66" i="4"/>
  <c r="DC66" i="4"/>
  <c r="DD66" i="4" s="1"/>
  <c r="BZ66" i="4"/>
  <c r="CY66" i="4"/>
  <c r="AD66" i="4"/>
  <c r="BE66" i="4"/>
  <c r="CD66" i="4"/>
  <c r="BT66" i="4"/>
  <c r="AB66" i="4"/>
  <c r="AW66" i="4" s="1"/>
  <c r="AX66" i="4" s="1"/>
  <c r="BG66" i="4"/>
  <c r="BH66" i="4" s="1"/>
  <c r="BU66" i="4"/>
  <c r="EN22" i="4"/>
  <c r="BK66" i="4"/>
  <c r="CU66" i="4"/>
  <c r="CV66" i="4" s="1"/>
  <c r="CW66" i="4" s="1"/>
  <c r="BJ74" i="4"/>
  <c r="CD74" i="4"/>
  <c r="BG74" i="4"/>
  <c r="BI74" i="4" s="1"/>
  <c r="CY74" i="4"/>
  <c r="BU74" i="4"/>
  <c r="AN74" i="4"/>
  <c r="AV74" i="4"/>
  <c r="AB74" i="4"/>
  <c r="AW74" i="4" s="1"/>
  <c r="AX74" i="4" s="1"/>
  <c r="BP74" i="4"/>
  <c r="BT74" i="4"/>
  <c r="BA74" i="4"/>
  <c r="BY74" i="4"/>
  <c r="BZ74" i="4"/>
  <c r="CU74" i="4"/>
  <c r="CV74" i="4" s="1"/>
  <c r="CW74" i="4" s="1"/>
  <c r="AZ74" i="4"/>
  <c r="CM74" i="4"/>
  <c r="DG74" i="4"/>
  <c r="BE74" i="4"/>
  <c r="BK74" i="4"/>
  <c r="AC74" i="4"/>
  <c r="BO74" i="4"/>
  <c r="DC74" i="4"/>
  <c r="DD74" i="4" s="1"/>
  <c r="DE74" i="4" s="1"/>
  <c r="AD74" i="4"/>
  <c r="BT82" i="4"/>
  <c r="CD82" i="4"/>
  <c r="CU82" i="4"/>
  <c r="AD82" i="4"/>
  <c r="BZ82" i="4"/>
  <c r="AB82" i="4"/>
  <c r="AW82" i="4" s="1"/>
  <c r="AX82" i="4" s="1"/>
  <c r="AC82" i="4"/>
  <c r="BB82" i="4" s="1"/>
  <c r="AV82" i="4"/>
  <c r="EL23" i="4"/>
  <c r="BY82" i="4"/>
  <c r="BU82" i="4"/>
  <c r="CM82" i="4"/>
  <c r="BO82" i="4"/>
  <c r="BA82" i="4"/>
  <c r="DG82" i="4"/>
  <c r="CY82" i="4"/>
  <c r="BG82" i="4"/>
  <c r="BP82" i="4"/>
  <c r="BE82" i="4"/>
  <c r="BJ82" i="4"/>
  <c r="AZ82" i="4"/>
  <c r="BK82" i="4"/>
  <c r="AN82" i="4"/>
  <c r="DC82" i="4"/>
  <c r="CM90" i="4"/>
  <c r="AZ90" i="4"/>
  <c r="BU90" i="4"/>
  <c r="BP90" i="4"/>
  <c r="BZ90" i="4"/>
  <c r="DG90" i="4"/>
  <c r="BG90" i="4"/>
  <c r="CY90" i="4"/>
  <c r="BE90" i="4"/>
  <c r="CU90" i="4"/>
  <c r="CV90" i="4" s="1"/>
  <c r="CW90" i="4" s="1"/>
  <c r="BA90" i="4"/>
  <c r="DC90" i="4"/>
  <c r="BK90" i="4"/>
  <c r="BJ90" i="4"/>
  <c r="AV90" i="4"/>
  <c r="BO90" i="4"/>
  <c r="AN90" i="4"/>
  <c r="AD90" i="4"/>
  <c r="BY90" i="4"/>
  <c r="AC90" i="4"/>
  <c r="CD90" i="4"/>
  <c r="BT90" i="4"/>
  <c r="AB90" i="4"/>
  <c r="AW90" i="4" s="1"/>
  <c r="CY98" i="4"/>
  <c r="AZ98" i="4"/>
  <c r="BY98" i="4"/>
  <c r="BU98" i="4"/>
  <c r="BK98" i="4"/>
  <c r="BO98" i="4"/>
  <c r="BG98" i="4"/>
  <c r="BJ98" i="4"/>
  <c r="BE98" i="4"/>
  <c r="CU98" i="4"/>
  <c r="CV98" i="4" s="1"/>
  <c r="CW98" i="4" s="1"/>
  <c r="DG98" i="4"/>
  <c r="AV98" i="4"/>
  <c r="BT98" i="4"/>
  <c r="BZ98" i="4"/>
  <c r="AN98" i="4"/>
  <c r="CD98" i="4"/>
  <c r="AD98" i="4"/>
  <c r="BA98" i="4"/>
  <c r="AB98" i="4"/>
  <c r="AW98" i="4" s="1"/>
  <c r="AC98" i="4"/>
  <c r="BB98" i="4" s="1"/>
  <c r="BC98" i="4" s="1"/>
  <c r="BP98" i="4"/>
  <c r="DC98" i="4"/>
  <c r="DD98" i="4" s="1"/>
  <c r="BK106" i="4"/>
  <c r="AV106" i="4"/>
  <c r="BA106" i="4"/>
  <c r="AN106" i="4"/>
  <c r="AD106" i="4"/>
  <c r="BP106" i="4"/>
  <c r="CU106" i="4"/>
  <c r="BT106" i="4"/>
  <c r="BO106" i="4"/>
  <c r="AZ106" i="4"/>
  <c r="CY106" i="4"/>
  <c r="AB106" i="4"/>
  <c r="BG106" i="4"/>
  <c r="BI106" i="4" s="1"/>
  <c r="BZ106" i="4"/>
  <c r="CD106" i="4"/>
  <c r="BJ106" i="4"/>
  <c r="CM106" i="4"/>
  <c r="DC106" i="4"/>
  <c r="DD106" i="4" s="1"/>
  <c r="DF106" i="4" s="1"/>
  <c r="DG106" i="4"/>
  <c r="BY106" i="4"/>
  <c r="BE106" i="4"/>
  <c r="AC106" i="4"/>
  <c r="BB106" i="4" s="1"/>
  <c r="BD106" i="4" s="1"/>
  <c r="BU106" i="4"/>
  <c r="BU67" i="4"/>
  <c r="CU67" i="4"/>
  <c r="CV67" i="4" s="1"/>
  <c r="AD67" i="4"/>
  <c r="CD67" i="4"/>
  <c r="BA67" i="4"/>
  <c r="BP67" i="4"/>
  <c r="DC67" i="4"/>
  <c r="DD67" i="4" s="1"/>
  <c r="DE67" i="4" s="1"/>
  <c r="CY67" i="4"/>
  <c r="BY67" i="4"/>
  <c r="BJ67" i="4"/>
  <c r="AZ67" i="4"/>
  <c r="DG67" i="4"/>
  <c r="BK67" i="4"/>
  <c r="AC67" i="4"/>
  <c r="AN67" i="4"/>
  <c r="AV67" i="4"/>
  <c r="BE67" i="4"/>
  <c r="BZ67" i="4"/>
  <c r="BT67" i="4"/>
  <c r="BO67" i="4"/>
  <c r="BG67" i="4"/>
  <c r="BH67" i="4" s="1"/>
  <c r="CM67" i="4"/>
  <c r="AB67" i="4"/>
  <c r="BO75" i="4"/>
  <c r="BG75" i="4"/>
  <c r="BI75" i="4" s="1"/>
  <c r="BJ75" i="4"/>
  <c r="DC75" i="4"/>
  <c r="DD75" i="4" s="1"/>
  <c r="AD75" i="4"/>
  <c r="BU75" i="4"/>
  <c r="BY75" i="4"/>
  <c r="BE75" i="4"/>
  <c r="CY75" i="4"/>
  <c r="CU75" i="4"/>
  <c r="CV75" i="4" s="1"/>
  <c r="CX75" i="4" s="1"/>
  <c r="AN75" i="4"/>
  <c r="BA75" i="4"/>
  <c r="BT75" i="4"/>
  <c r="CM75" i="4"/>
  <c r="BP75" i="4"/>
  <c r="BZ75" i="4"/>
  <c r="CD75" i="4"/>
  <c r="EL20" i="4"/>
  <c r="DG75" i="4"/>
  <c r="AV75" i="4"/>
  <c r="AZ75" i="4"/>
  <c r="AB75" i="4"/>
  <c r="AW75" i="4" s="1"/>
  <c r="AC75" i="4"/>
  <c r="BB75" i="4" s="1"/>
  <c r="BC75" i="4" s="1"/>
  <c r="BK75" i="4"/>
  <c r="BJ83" i="4"/>
  <c r="CY83" i="4"/>
  <c r="BK83" i="4"/>
  <c r="CU83" i="4"/>
  <c r="BY83" i="4"/>
  <c r="BZ83" i="4"/>
  <c r="BE83" i="4"/>
  <c r="DG83" i="4"/>
  <c r="BA83" i="4"/>
  <c r="BO83" i="4"/>
  <c r="AZ83" i="4"/>
  <c r="CD83" i="4"/>
  <c r="DC83" i="4"/>
  <c r="DD83" i="4" s="1"/>
  <c r="DE83" i="4" s="1"/>
  <c r="AC83" i="4"/>
  <c r="BB83" i="4" s="1"/>
  <c r="BD83" i="4" s="1"/>
  <c r="AB83" i="4"/>
  <c r="AW83" i="4" s="1"/>
  <c r="AX83" i="4" s="1"/>
  <c r="CM83" i="4"/>
  <c r="AV83" i="4"/>
  <c r="BG83" i="4"/>
  <c r="BT83" i="4"/>
  <c r="BU83" i="4"/>
  <c r="AD83" i="4"/>
  <c r="EN16" i="4"/>
  <c r="BP83" i="4"/>
  <c r="AN83" i="4"/>
  <c r="CU91" i="4"/>
  <c r="CV91" i="4" s="1"/>
  <c r="CW91" i="4" s="1"/>
  <c r="BG91" i="4"/>
  <c r="BI91" i="4" s="1"/>
  <c r="BO91" i="4"/>
  <c r="BU91" i="4"/>
  <c r="AZ91" i="4"/>
  <c r="BT91" i="4"/>
  <c r="BK91" i="4"/>
  <c r="AB91" i="4"/>
  <c r="AW91" i="4" s="1"/>
  <c r="AX91" i="4" s="1"/>
  <c r="AN91" i="4"/>
  <c r="BA91" i="4"/>
  <c r="BZ91" i="4"/>
  <c r="BP91" i="4"/>
  <c r="CY91" i="4"/>
  <c r="AD91" i="4"/>
  <c r="AC91" i="4"/>
  <c r="DC91" i="4"/>
  <c r="DD91" i="4" s="1"/>
  <c r="DE91" i="4" s="1"/>
  <c r="EL18" i="4"/>
  <c r="CD91" i="4"/>
  <c r="BJ91" i="4"/>
  <c r="BY91" i="4"/>
  <c r="DG91" i="4"/>
  <c r="AV91" i="4"/>
  <c r="CM91" i="4"/>
  <c r="BE91" i="4"/>
  <c r="DG99" i="4"/>
  <c r="BU99" i="4"/>
  <c r="AD99" i="4"/>
  <c r="AC99" i="4"/>
  <c r="BB99" i="4" s="1"/>
  <c r="BK99" i="4"/>
  <c r="BE99" i="4"/>
  <c r="BP99" i="4"/>
  <c r="CY99" i="4"/>
  <c r="AN99" i="4"/>
  <c r="CU99" i="4"/>
  <c r="CV99" i="4" s="1"/>
  <c r="CX99" i="4" s="1"/>
  <c r="BG99" i="4"/>
  <c r="BI99" i="4" s="1"/>
  <c r="AV99" i="4"/>
  <c r="DC99" i="4"/>
  <c r="DD99" i="4" s="1"/>
  <c r="BJ99" i="4"/>
  <c r="AB99" i="4"/>
  <c r="BO99" i="4"/>
  <c r="CD99" i="4"/>
  <c r="BA99" i="4"/>
  <c r="AZ99" i="4"/>
  <c r="BY99" i="4"/>
  <c r="BT99" i="4"/>
  <c r="BZ99" i="4"/>
  <c r="CU63" i="4"/>
  <c r="CV63" i="4" s="1"/>
  <c r="CX63" i="4" s="1"/>
  <c r="DC63" i="4"/>
  <c r="BY63" i="4"/>
  <c r="CY63" i="4"/>
  <c r="BJ63" i="4"/>
  <c r="AZ63" i="4"/>
  <c r="BU63" i="4"/>
  <c r="BP63" i="4"/>
  <c r="AN63" i="4"/>
  <c r="BK63" i="4"/>
  <c r="ES21" i="4"/>
  <c r="BG63" i="4"/>
  <c r="BI63" i="4" s="1"/>
  <c r="AD63" i="4"/>
  <c r="AV63" i="4"/>
  <c r="BA63" i="4"/>
  <c r="CM63" i="4"/>
  <c r="BO63" i="4"/>
  <c r="BE63" i="4"/>
  <c r="CD63" i="4"/>
  <c r="AB63" i="4"/>
  <c r="AW63" i="4" s="1"/>
  <c r="AX63" i="4" s="1"/>
  <c r="BZ63" i="4"/>
  <c r="DG63" i="4"/>
  <c r="AC63" i="4"/>
  <c r="BB63" i="4" s="1"/>
  <c r="BC63" i="4" s="1"/>
  <c r="BT63" i="4"/>
  <c r="BJ95" i="4"/>
  <c r="BT95" i="4"/>
  <c r="BO95" i="4"/>
  <c r="BY95" i="4"/>
  <c r="CU95" i="4"/>
  <c r="AB95" i="4"/>
  <c r="AW95" i="4" s="1"/>
  <c r="AX95" i="4" s="1"/>
  <c r="DC95" i="4"/>
  <c r="DD95" i="4" s="1"/>
  <c r="DF95" i="4" s="1"/>
  <c r="BG95" i="4"/>
  <c r="BH95" i="4" s="1"/>
  <c r="AC95" i="4"/>
  <c r="AZ95" i="4"/>
  <c r="BZ95" i="4"/>
  <c r="CD95" i="4"/>
  <c r="BU95" i="4"/>
  <c r="DG95" i="4"/>
  <c r="BE95" i="4"/>
  <c r="BP95" i="4"/>
  <c r="AV95" i="4"/>
  <c r="AN95" i="4"/>
  <c r="CM95" i="4"/>
  <c r="BA95" i="4"/>
  <c r="AD95" i="4"/>
  <c r="BK95" i="4"/>
  <c r="CY95" i="4"/>
  <c r="BY68" i="4"/>
  <c r="BT68" i="4"/>
  <c r="CD68" i="4"/>
  <c r="BA68" i="4"/>
  <c r="AB68" i="4"/>
  <c r="AW68" i="4" s="1"/>
  <c r="AX68" i="4" s="1"/>
  <c r="AZ68" i="4"/>
  <c r="BJ68" i="4"/>
  <c r="BU68" i="4"/>
  <c r="BK68" i="4"/>
  <c r="BE68" i="4"/>
  <c r="DG68" i="4"/>
  <c r="CM68" i="4"/>
  <c r="AD68" i="4"/>
  <c r="BO68" i="4"/>
  <c r="DC68" i="4"/>
  <c r="DD68" i="4" s="1"/>
  <c r="DE68" i="4" s="1"/>
  <c r="BZ68" i="4"/>
  <c r="CU68" i="4"/>
  <c r="CV68" i="4" s="1"/>
  <c r="BG68" i="4"/>
  <c r="BH68" i="4" s="1"/>
  <c r="AN68" i="4"/>
  <c r="AV68" i="4"/>
  <c r="BP68" i="4"/>
  <c r="CY68" i="4"/>
  <c r="AC68" i="4"/>
  <c r="BB68" i="4" s="1"/>
  <c r="BC68" i="4" s="1"/>
  <c r="BJ76" i="4"/>
  <c r="AZ76" i="4"/>
  <c r="AV76" i="4"/>
  <c r="CM76" i="4"/>
  <c r="AC76" i="4"/>
  <c r="BB76" i="4" s="1"/>
  <c r="BD76" i="4" s="1"/>
  <c r="BU76" i="4"/>
  <c r="BA76" i="4"/>
  <c r="CU76" i="4"/>
  <c r="CV76" i="4" s="1"/>
  <c r="CW76" i="4" s="1"/>
  <c r="AN76" i="4"/>
  <c r="BT76" i="4"/>
  <c r="BE76" i="4"/>
  <c r="CY76" i="4"/>
  <c r="DC76" i="4"/>
  <c r="DD76" i="4" s="1"/>
  <c r="DE76" i="4" s="1"/>
  <c r="AB76" i="4"/>
  <c r="AW76" i="4" s="1"/>
  <c r="AX76" i="4" s="1"/>
  <c r="EN14" i="4"/>
  <c r="BG76" i="4"/>
  <c r="BH76" i="4" s="1"/>
  <c r="BP76" i="4"/>
  <c r="BO76" i="4"/>
  <c r="CD76" i="4"/>
  <c r="BK76" i="4"/>
  <c r="BY76" i="4"/>
  <c r="BZ76" i="4"/>
  <c r="DG76" i="4"/>
  <c r="AD76" i="4"/>
  <c r="AZ84" i="4"/>
  <c r="BT84" i="4"/>
  <c r="CD84" i="4"/>
  <c r="CU84" i="4"/>
  <c r="CV84" i="4" s="1"/>
  <c r="CW84" i="4" s="1"/>
  <c r="AV84" i="4"/>
  <c r="CY84" i="4"/>
  <c r="BZ84" i="4"/>
  <c r="BJ84" i="4"/>
  <c r="BG84" i="4"/>
  <c r="BK84" i="4"/>
  <c r="BY84" i="4"/>
  <c r="BP84" i="4"/>
  <c r="BE84" i="4"/>
  <c r="DG84" i="4"/>
  <c r="AN84" i="4"/>
  <c r="BO84" i="4"/>
  <c r="DC84" i="4"/>
  <c r="DD84" i="4" s="1"/>
  <c r="DE84" i="4" s="1"/>
  <c r="CM84" i="4"/>
  <c r="BA84" i="4"/>
  <c r="AB84" i="4"/>
  <c r="AW84" i="4" s="1"/>
  <c r="AY84" i="4" s="1"/>
  <c r="AD84" i="4"/>
  <c r="AC84" i="4"/>
  <c r="BU84" i="4"/>
  <c r="AN92" i="4"/>
  <c r="BO92" i="4"/>
  <c r="AV92" i="4"/>
  <c r="CU92" i="4"/>
  <c r="CV92" i="4" s="1"/>
  <c r="CW92" i="4" s="1"/>
  <c r="DC92" i="4"/>
  <c r="DD92" i="4" s="1"/>
  <c r="BU92" i="4"/>
  <c r="BZ92" i="4"/>
  <c r="BA92" i="4"/>
  <c r="CM92" i="4"/>
  <c r="BJ92" i="4"/>
  <c r="CD92" i="4"/>
  <c r="AC92" i="4"/>
  <c r="BB92" i="4" s="1"/>
  <c r="BC92" i="4" s="1"/>
  <c r="BG92" i="4"/>
  <c r="BH92" i="4" s="1"/>
  <c r="BE92" i="4"/>
  <c r="BT92" i="4"/>
  <c r="BP92" i="4"/>
  <c r="AB92" i="4"/>
  <c r="AW92" i="4" s="1"/>
  <c r="AX92" i="4" s="1"/>
  <c r="AD92" i="4"/>
  <c r="BY92" i="4"/>
  <c r="AZ92" i="4"/>
  <c r="DG92" i="4"/>
  <c r="BK92" i="4"/>
  <c r="CY92" i="4"/>
  <c r="DC100" i="4"/>
  <c r="DD100" i="4" s="1"/>
  <c r="DE100" i="4" s="1"/>
  <c r="BO100" i="4"/>
  <c r="AD100" i="4"/>
  <c r="AB100" i="4"/>
  <c r="BA100" i="4"/>
  <c r="BJ100" i="4"/>
  <c r="CM100" i="4"/>
  <c r="BT100" i="4"/>
  <c r="BE100" i="4"/>
  <c r="AC100" i="4"/>
  <c r="BY100" i="4"/>
  <c r="CU100" i="4"/>
  <c r="CV100" i="4" s="1"/>
  <c r="CW100" i="4" s="1"/>
  <c r="CD100" i="4"/>
  <c r="BG100" i="4"/>
  <c r="BI100" i="4" s="1"/>
  <c r="BK100" i="4"/>
  <c r="AV100" i="4"/>
  <c r="AN100" i="4"/>
  <c r="DG100" i="4"/>
  <c r="AZ100" i="4"/>
  <c r="CY100" i="4"/>
  <c r="BU100" i="4"/>
  <c r="BZ100" i="4"/>
  <c r="BP100" i="4"/>
  <c r="AC71" i="4"/>
  <c r="BB71" i="4" s="1"/>
  <c r="BT71" i="4"/>
  <c r="CD71" i="4"/>
  <c r="BA71" i="4"/>
  <c r="AN71" i="4"/>
  <c r="BJ71" i="4"/>
  <c r="DG71" i="4"/>
  <c r="BG71" i="4"/>
  <c r="CU71" i="4"/>
  <c r="CY71" i="4"/>
  <c r="BY71" i="4"/>
  <c r="BP71" i="4"/>
  <c r="AD71" i="4"/>
  <c r="AZ71" i="4"/>
  <c r="BU71" i="4"/>
  <c r="AV71" i="4"/>
  <c r="BZ71" i="4"/>
  <c r="EL15" i="4"/>
  <c r="AB71" i="4"/>
  <c r="AW71" i="4" s="1"/>
  <c r="AY71" i="4" s="1"/>
  <c r="EN15" i="4"/>
  <c r="BE71" i="4"/>
  <c r="BO71" i="4"/>
  <c r="BK71" i="4"/>
  <c r="DC71" i="4"/>
  <c r="DD71" i="4" s="1"/>
  <c r="CM71" i="4"/>
  <c r="CD103" i="4"/>
  <c r="DG103" i="4"/>
  <c r="AV103" i="4"/>
  <c r="DC103" i="4"/>
  <c r="DD103" i="4" s="1"/>
  <c r="DF103" i="4" s="1"/>
  <c r="CU103" i="4"/>
  <c r="BO103" i="4"/>
  <c r="BP103" i="4"/>
  <c r="AZ103" i="4"/>
  <c r="BG103" i="4"/>
  <c r="BI103" i="4" s="1"/>
  <c r="BT103" i="4"/>
  <c r="AC103" i="4"/>
  <c r="BB103" i="4" s="1"/>
  <c r="BD103" i="4" s="1"/>
  <c r="BE103" i="4"/>
  <c r="CY103" i="4"/>
  <c r="BJ103" i="4"/>
  <c r="BZ103" i="4"/>
  <c r="AN103" i="4"/>
  <c r="BU103" i="4"/>
  <c r="AD103" i="4"/>
  <c r="AB103" i="4"/>
  <c r="AW103" i="4" s="1"/>
  <c r="AY103" i="4" s="1"/>
  <c r="BA103" i="4"/>
  <c r="CM103" i="4"/>
  <c r="BK103" i="4"/>
  <c r="BY103" i="4"/>
  <c r="CY69" i="4"/>
  <c r="CU69" i="4"/>
  <c r="DC69" i="4"/>
  <c r="DD69" i="4" s="1"/>
  <c r="BY69" i="4"/>
  <c r="BZ69" i="4"/>
  <c r="BE69" i="4"/>
  <c r="AV69" i="4"/>
  <c r="BU69" i="4"/>
  <c r="BJ69" i="4"/>
  <c r="BP69" i="4"/>
  <c r="CD69" i="4"/>
  <c r="AN69" i="4"/>
  <c r="BO69" i="4"/>
  <c r="CM69" i="4"/>
  <c r="DG69" i="4"/>
  <c r="BT69" i="4"/>
  <c r="AD69" i="4"/>
  <c r="AZ69" i="4"/>
  <c r="AB69" i="4"/>
  <c r="AW69" i="4" s="1"/>
  <c r="AY69" i="4" s="1"/>
  <c r="BK69" i="4"/>
  <c r="AC69" i="4"/>
  <c r="BG69" i="4"/>
  <c r="BI69" i="4" s="1"/>
  <c r="BA69" i="4"/>
  <c r="BZ77" i="4"/>
  <c r="AV77" i="4"/>
  <c r="EL14" i="4"/>
  <c r="DG77" i="4"/>
  <c r="BG77" i="4"/>
  <c r="BH77" i="4" s="1"/>
  <c r="AZ77" i="4"/>
  <c r="AC77" i="4"/>
  <c r="CM77" i="4"/>
  <c r="CD77" i="4"/>
  <c r="BA77" i="4"/>
  <c r="BE77" i="4"/>
  <c r="BT77" i="4"/>
  <c r="CU77" i="4"/>
  <c r="CV77" i="4" s="1"/>
  <c r="CW77" i="4" s="1"/>
  <c r="DC77" i="4"/>
  <c r="BY77" i="4"/>
  <c r="AN77" i="4"/>
  <c r="BJ77" i="4"/>
  <c r="AD77" i="4"/>
  <c r="BP77" i="4"/>
  <c r="AB77" i="4"/>
  <c r="AW77" i="4" s="1"/>
  <c r="AX77" i="4" s="1"/>
  <c r="BU77" i="4"/>
  <c r="CY77" i="4"/>
  <c r="BK77" i="4"/>
  <c r="BO77" i="4"/>
  <c r="DG85" i="4"/>
  <c r="AD85" i="4"/>
  <c r="AN85" i="4"/>
  <c r="AB85" i="4"/>
  <c r="AW85" i="4" s="1"/>
  <c r="AX85" i="4" s="1"/>
  <c r="BZ85" i="4"/>
  <c r="CY85" i="4"/>
  <c r="DC85" i="4"/>
  <c r="DD85" i="4" s="1"/>
  <c r="DE85" i="4" s="1"/>
  <c r="BA85" i="4"/>
  <c r="BP85" i="4"/>
  <c r="BG85" i="4"/>
  <c r="BI85" i="4" s="1"/>
  <c r="BJ85" i="4"/>
  <c r="BO85" i="4"/>
  <c r="BU85" i="4"/>
  <c r="BT85" i="4"/>
  <c r="BK85" i="4"/>
  <c r="AZ85" i="4"/>
  <c r="AC85" i="4"/>
  <c r="BB85" i="4" s="1"/>
  <c r="BY85" i="4"/>
  <c r="AV85" i="4"/>
  <c r="BE85" i="4"/>
  <c r="CD85" i="4"/>
  <c r="CU85" i="4"/>
  <c r="CM85" i="4"/>
  <c r="BG93" i="4"/>
  <c r="BH93" i="4" s="1"/>
  <c r="AN93" i="4"/>
  <c r="BU93" i="4"/>
  <c r="DC93" i="4"/>
  <c r="AC93" i="4"/>
  <c r="BB93" i="4" s="1"/>
  <c r="BT93" i="4"/>
  <c r="CY93" i="4"/>
  <c r="AD93" i="4"/>
  <c r="CD93" i="4"/>
  <c r="CU93" i="4"/>
  <c r="CV93" i="4" s="1"/>
  <c r="AZ93" i="4"/>
  <c r="BK93" i="4"/>
  <c r="DG93" i="4"/>
  <c r="CM93" i="4"/>
  <c r="BJ93" i="4"/>
  <c r="BA93" i="4"/>
  <c r="AV93" i="4"/>
  <c r="BZ93" i="4"/>
  <c r="BP93" i="4"/>
  <c r="BO93" i="4"/>
  <c r="AB93" i="4"/>
  <c r="AW93" i="4" s="1"/>
  <c r="AX93" i="4" s="1"/>
  <c r="BY93" i="4"/>
  <c r="BE93" i="4"/>
  <c r="BY101" i="4"/>
  <c r="BA101" i="4"/>
  <c r="BG101" i="4"/>
  <c r="BI101" i="4" s="1"/>
  <c r="BU101" i="4"/>
  <c r="AV101" i="4"/>
  <c r="AC101" i="4"/>
  <c r="BK101" i="4"/>
  <c r="BP101" i="4"/>
  <c r="AZ101" i="4"/>
  <c r="CM101" i="4"/>
  <c r="BJ101" i="4"/>
  <c r="AB101" i="4"/>
  <c r="CU101" i="4"/>
  <c r="CV101" i="4" s="1"/>
  <c r="CW101" i="4" s="1"/>
  <c r="BE101" i="4"/>
  <c r="DC101" i="4"/>
  <c r="AD101" i="4"/>
  <c r="CD101" i="4"/>
  <c r="DG101" i="4"/>
  <c r="BT101" i="4"/>
  <c r="CY101" i="4"/>
  <c r="BO101" i="4"/>
  <c r="BZ101" i="4"/>
  <c r="BE70" i="4"/>
  <c r="AZ70" i="4"/>
  <c r="AB70" i="4"/>
  <c r="CY70" i="4"/>
  <c r="DG70" i="4"/>
  <c r="AC70" i="4"/>
  <c r="AN70" i="4"/>
  <c r="BZ70" i="4"/>
  <c r="BU70" i="4"/>
  <c r="BP70" i="4"/>
  <c r="BG70" i="4"/>
  <c r="BH70" i="4" s="1"/>
  <c r="CD70" i="4"/>
  <c r="CU70" i="4"/>
  <c r="CV70" i="4" s="1"/>
  <c r="CW70" i="4" s="1"/>
  <c r="BY70" i="4"/>
  <c r="BJ70" i="4"/>
  <c r="BK70" i="4"/>
  <c r="AV70" i="4"/>
  <c r="CM70" i="4"/>
  <c r="AD70" i="4"/>
  <c r="BO70" i="4"/>
  <c r="DC70" i="4"/>
  <c r="DD70" i="4" s="1"/>
  <c r="DE70" i="4" s="1"/>
  <c r="BA70" i="4"/>
  <c r="BT70" i="4"/>
  <c r="AN78" i="4"/>
  <c r="AC78" i="4"/>
  <c r="BB78" i="4" s="1"/>
  <c r="BC78" i="4" s="1"/>
  <c r="DG78" i="4"/>
  <c r="AB78" i="4"/>
  <c r="AW78" i="4" s="1"/>
  <c r="AY78" i="4" s="1"/>
  <c r="BT78" i="4"/>
  <c r="BO78" i="4"/>
  <c r="BU78" i="4"/>
  <c r="BK78" i="4"/>
  <c r="BZ78" i="4"/>
  <c r="EL16" i="4"/>
  <c r="EN17" i="4"/>
  <c r="DC78" i="4"/>
  <c r="DD78" i="4" s="1"/>
  <c r="DF78" i="4" s="1"/>
  <c r="BY78" i="4"/>
  <c r="BG78" i="4"/>
  <c r="BI78" i="4" s="1"/>
  <c r="BA78" i="4"/>
  <c r="AZ78" i="4"/>
  <c r="BJ78" i="4"/>
  <c r="AV78" i="4"/>
  <c r="CU78" i="4"/>
  <c r="CV78" i="4" s="1"/>
  <c r="CW78" i="4" s="1"/>
  <c r="CM78" i="4"/>
  <c r="CD78" i="4"/>
  <c r="BP78" i="4"/>
  <c r="CY78" i="4"/>
  <c r="BE78" i="4"/>
  <c r="AD78" i="4"/>
  <c r="AN86" i="4"/>
  <c r="BO86" i="4"/>
  <c r="BK86" i="4"/>
  <c r="BG86" i="4"/>
  <c r="BH86" i="4" s="1"/>
  <c r="AC86" i="4"/>
  <c r="CD86" i="4"/>
  <c r="DC86" i="4"/>
  <c r="DD86" i="4" s="1"/>
  <c r="BT86" i="4"/>
  <c r="DG86" i="4"/>
  <c r="CY86" i="4"/>
  <c r="BP86" i="4"/>
  <c r="BE86" i="4"/>
  <c r="BZ86" i="4"/>
  <c r="CM86" i="4"/>
  <c r="AV86" i="4"/>
  <c r="BU86" i="4"/>
  <c r="AZ86" i="4"/>
  <c r="AB86" i="4"/>
  <c r="AW86" i="4" s="1"/>
  <c r="BY86" i="4"/>
  <c r="AD86" i="4"/>
  <c r="CU86" i="4"/>
  <c r="BA86" i="4"/>
  <c r="BJ86" i="4"/>
  <c r="CY94" i="4"/>
  <c r="BP94" i="4"/>
  <c r="AC94" i="4"/>
  <c r="BB94" i="4" s="1"/>
  <c r="BC94" i="4" s="1"/>
  <c r="BE94" i="4"/>
  <c r="AN94" i="4"/>
  <c r="DG94" i="4"/>
  <c r="AZ94" i="4"/>
  <c r="AB94" i="4"/>
  <c r="AW94" i="4" s="1"/>
  <c r="EN23" i="4"/>
  <c r="CM94" i="4"/>
  <c r="CU94" i="4"/>
  <c r="BT94" i="4"/>
  <c r="BA94" i="4"/>
  <c r="BJ94" i="4"/>
  <c r="BG94" i="4"/>
  <c r="BI94" i="4" s="1"/>
  <c r="BY94" i="4"/>
  <c r="BK94" i="4"/>
  <c r="CD94" i="4"/>
  <c r="BZ94" i="4"/>
  <c r="AV94" i="4"/>
  <c r="BO94" i="4"/>
  <c r="AD94" i="4"/>
  <c r="DC94" i="4"/>
  <c r="DD94" i="4" s="1"/>
  <c r="BU94" i="4"/>
  <c r="CU102" i="4"/>
  <c r="BE102" i="4"/>
  <c r="BY102" i="4"/>
  <c r="CD102" i="4"/>
  <c r="AZ102" i="4"/>
  <c r="BU102" i="4"/>
  <c r="BK102" i="4"/>
  <c r="AD102" i="4"/>
  <c r="CY102" i="4"/>
  <c r="BO102" i="4"/>
  <c r="BP102" i="4"/>
  <c r="BT102" i="4"/>
  <c r="BJ102" i="4"/>
  <c r="CM102" i="4"/>
  <c r="AB102" i="4"/>
  <c r="AN102" i="4"/>
  <c r="AC102" i="4"/>
  <c r="BB102" i="4" s="1"/>
  <c r="BD102" i="4" s="1"/>
  <c r="BA102" i="4"/>
  <c r="DC102" i="4"/>
  <c r="BZ102" i="4"/>
  <c r="BG102" i="4"/>
  <c r="BI102" i="4" s="1"/>
  <c r="DG102" i="4"/>
  <c r="AV102" i="4"/>
  <c r="ES12" i="4"/>
  <c r="ES22" i="4"/>
  <c r="ES11" i="4"/>
  <c r="ES14" i="4"/>
  <c r="ES23" i="4"/>
  <c r="ES20" i="4"/>
  <c r="AH87" i="4"/>
  <c r="AG103" i="4"/>
  <c r="AF63" i="4"/>
  <c r="BV63" i="4" s="1"/>
  <c r="BW63" i="4" s="1"/>
  <c r="AH71" i="4"/>
  <c r="AK71" i="4" s="1"/>
  <c r="AM71" i="4" s="1"/>
  <c r="AF82" i="4"/>
  <c r="BV82" i="4" s="1"/>
  <c r="BW82" i="4" s="1"/>
  <c r="AH78" i="4"/>
  <c r="AH102" i="4"/>
  <c r="AK102" i="4" s="1"/>
  <c r="AL102" i="4" s="1"/>
  <c r="AF91" i="4"/>
  <c r="AF70" i="4"/>
  <c r="BV70" i="4" s="1"/>
  <c r="BW70" i="4" s="1"/>
  <c r="AH85" i="4"/>
  <c r="AH105" i="4"/>
  <c r="AK105" i="4" s="1"/>
  <c r="AL105" i="4" s="1"/>
  <c r="AF78" i="4"/>
  <c r="BV78" i="4" s="1"/>
  <c r="BW78" i="4" s="1"/>
  <c r="AH91" i="4"/>
  <c r="AG73" i="4"/>
  <c r="CA73" i="4" s="1"/>
  <c r="CB73" i="4" s="1"/>
  <c r="AF97" i="4"/>
  <c r="AH80" i="4"/>
  <c r="AP89" i="4"/>
  <c r="AR89" i="4" s="1"/>
  <c r="AS89" i="4" s="1"/>
  <c r="AE77" i="4"/>
  <c r="BL77" i="4" s="1"/>
  <c r="BM77" i="4" s="1"/>
  <c r="AG62" i="4"/>
  <c r="CA62" i="4" s="1"/>
  <c r="CB62" i="4" s="1"/>
  <c r="AE86" i="4"/>
  <c r="BL86" i="4" s="1"/>
  <c r="BM86" i="4" s="1"/>
  <c r="AF83" i="4"/>
  <c r="AH76" i="4"/>
  <c r="AK76" i="4" s="1"/>
  <c r="AM76" i="4" s="1"/>
  <c r="AG64" i="4"/>
  <c r="CA64" i="4" s="1"/>
  <c r="CB64" i="4" s="1"/>
  <c r="AG91" i="4"/>
  <c r="CA91" i="4" s="1"/>
  <c r="CB91" i="4" s="1"/>
  <c r="AH97" i="4"/>
  <c r="AK97" i="4" s="1"/>
  <c r="AM97" i="4" s="1"/>
  <c r="AG90" i="4"/>
  <c r="CA90" i="4" s="1"/>
  <c r="CB90" i="4" s="1"/>
  <c r="AP87" i="4"/>
  <c r="AR87" i="4" s="1"/>
  <c r="AS87" i="4" s="1"/>
  <c r="AG67" i="4"/>
  <c r="CA67" i="4" s="1"/>
  <c r="CB67" i="4" s="1"/>
  <c r="AH93" i="4"/>
  <c r="AK93" i="4" s="1"/>
  <c r="AM93" i="4" s="1"/>
  <c r="AH79" i="4"/>
  <c r="AK79" i="4" s="1"/>
  <c r="AM79" i="4" s="1"/>
  <c r="AH82" i="4"/>
  <c r="AK82" i="4" s="1"/>
  <c r="AF69" i="4"/>
  <c r="BV69" i="4" s="1"/>
  <c r="BW69" i="4" s="1"/>
  <c r="AF105" i="4"/>
  <c r="BV105" i="4" s="1"/>
  <c r="BW105" i="4" s="1"/>
  <c r="AH84" i="4"/>
  <c r="AH73" i="4"/>
  <c r="AK73" i="4" s="1"/>
  <c r="AM73" i="4" s="1"/>
  <c r="AF74" i="4"/>
  <c r="BV74" i="4" s="1"/>
  <c r="BW74" i="4" s="1"/>
  <c r="AH104" i="4"/>
  <c r="AK104" i="4" s="1"/>
  <c r="AL104" i="4" s="1"/>
  <c r="AF84" i="4"/>
  <c r="AG70" i="4"/>
  <c r="CA70" i="4" s="1"/>
  <c r="CB70" i="4" s="1"/>
  <c r="AH69" i="4"/>
  <c r="AK69" i="4" s="1"/>
  <c r="AM69" i="4" s="1"/>
  <c r="W94" i="4"/>
  <c r="BQ94" i="4" s="1"/>
  <c r="AF94" i="4"/>
  <c r="BV94" i="4" s="1"/>
  <c r="BW94" i="4" s="1"/>
  <c r="AF101" i="4"/>
  <c r="BV101" i="4" s="1"/>
  <c r="BW101" i="4" s="1"/>
  <c r="AH90" i="4"/>
  <c r="AK90" i="4" s="1"/>
  <c r="AM90" i="4" s="1"/>
  <c r="AH96" i="4"/>
  <c r="AF85" i="4"/>
  <c r="AH89" i="4"/>
  <c r="AK89" i="4" s="1"/>
  <c r="AM89" i="4" s="1"/>
  <c r="AP91" i="4"/>
  <c r="AR91" i="4" s="1"/>
  <c r="AS91" i="4" s="1"/>
  <c r="AF87" i="4"/>
  <c r="BV87" i="4" s="1"/>
  <c r="BW87" i="4" s="1"/>
  <c r="AF104" i="4"/>
  <c r="BV104" i="4" s="1"/>
  <c r="BW104" i="4" s="1"/>
  <c r="AH68" i="4"/>
  <c r="AK68" i="4" s="1"/>
  <c r="AM68" i="4" s="1"/>
  <c r="AG71" i="4"/>
  <c r="AH83" i="4"/>
  <c r="AK83" i="4" s="1"/>
  <c r="AM83" i="4" s="1"/>
  <c r="AF66" i="4"/>
  <c r="BV66" i="4" s="1"/>
  <c r="BW66" i="4" s="1"/>
  <c r="AH99" i="4"/>
  <c r="AK99" i="4" s="1"/>
  <c r="AM99" i="4" s="1"/>
  <c r="AP101" i="4"/>
  <c r="AR101" i="4" s="1"/>
  <c r="AS101" i="4" s="1"/>
  <c r="AF89" i="4"/>
  <c r="BV89" i="4" s="1"/>
  <c r="BW89" i="4" s="1"/>
  <c r="AH86" i="4"/>
  <c r="AK86" i="4" s="1"/>
  <c r="AM86" i="4" s="1"/>
  <c r="AH64" i="4"/>
  <c r="AK64" i="4" s="1"/>
  <c r="AM64" i="4" s="1"/>
  <c r="AF71" i="4"/>
  <c r="BV71" i="4" s="1"/>
  <c r="BW71" i="4" s="1"/>
  <c r="AF65" i="4"/>
  <c r="BV65" i="4" s="1"/>
  <c r="BW65" i="4" s="1"/>
  <c r="AG65" i="4"/>
  <c r="CA65" i="4" s="1"/>
  <c r="CB65" i="4" s="1"/>
  <c r="AH74" i="4"/>
  <c r="AF93" i="4"/>
  <c r="BV93" i="4" s="1"/>
  <c r="BW93" i="4" s="1"/>
  <c r="AF67" i="4"/>
  <c r="BV67" i="4" s="1"/>
  <c r="BW67" i="4" s="1"/>
  <c r="AF99" i="4"/>
  <c r="BV99" i="4" s="1"/>
  <c r="BW99" i="4" s="1"/>
  <c r="AF88" i="4"/>
  <c r="BV88" i="4" s="1"/>
  <c r="BW88" i="4" s="1"/>
  <c r="AH100" i="4"/>
  <c r="AK100" i="4" s="1"/>
  <c r="AM100" i="4" s="1"/>
  <c r="AE105" i="4"/>
  <c r="AH66" i="4"/>
  <c r="AP92" i="4"/>
  <c r="AR92" i="4" s="1"/>
  <c r="AS92" i="4" s="1"/>
  <c r="AF90" i="4"/>
  <c r="BV90" i="4" s="1"/>
  <c r="BW90" i="4" s="1"/>
  <c r="AF95" i="4"/>
  <c r="BV95" i="4" s="1"/>
  <c r="BW95" i="4" s="1"/>
  <c r="AF103" i="4"/>
  <c r="BV103" i="4" s="1"/>
  <c r="BW103" i="4" s="1"/>
  <c r="AF64" i="4"/>
  <c r="W83" i="4"/>
  <c r="BQ83" i="4" s="1"/>
  <c r="BR83" i="4" s="1"/>
  <c r="AG88" i="4"/>
  <c r="CA88" i="4" s="1"/>
  <c r="CB88" i="4" s="1"/>
  <c r="AF79" i="4"/>
  <c r="BV79" i="4" s="1"/>
  <c r="BW79" i="4" s="1"/>
  <c r="AP95" i="4"/>
  <c r="AR95" i="4" s="1"/>
  <c r="AS95" i="4" s="1"/>
  <c r="AP63" i="4"/>
  <c r="AR63" i="4" s="1"/>
  <c r="AS63" i="4" s="1"/>
  <c r="AG76" i="4"/>
  <c r="CA76" i="4" s="1"/>
  <c r="CB76" i="4" s="1"/>
  <c r="AH95" i="4"/>
  <c r="W73" i="4"/>
  <c r="BQ73" i="4" s="1"/>
  <c r="BR73" i="4" s="1"/>
  <c r="BG62" i="4"/>
  <c r="AE67" i="4"/>
  <c r="BL67" i="4" s="1"/>
  <c r="BM67" i="4" s="1"/>
  <c r="AE75" i="4"/>
  <c r="BL75" i="4" s="1"/>
  <c r="BM75" i="4" s="1"/>
  <c r="AP62" i="4"/>
  <c r="AR62" i="4" s="1"/>
  <c r="AS62" i="4" s="1"/>
  <c r="AE76" i="4"/>
  <c r="BL76" i="4" s="1"/>
  <c r="BM76" i="4" s="1"/>
  <c r="W63" i="4"/>
  <c r="BQ63" i="4" s="1"/>
  <c r="W68" i="4"/>
  <c r="BQ68" i="4" s="1"/>
  <c r="AG79" i="4"/>
  <c r="CA79" i="4" s="1"/>
  <c r="CB79" i="4" s="1"/>
  <c r="AP102" i="4"/>
  <c r="AR102" i="4" s="1"/>
  <c r="AS102" i="4" s="1"/>
  <c r="AF68" i="4"/>
  <c r="BV68" i="4" s="1"/>
  <c r="AF76" i="4"/>
  <c r="BV76" i="4" s="1"/>
  <c r="BW76" i="4" s="1"/>
  <c r="AH101" i="4"/>
  <c r="AH77" i="4"/>
  <c r="AK77" i="4" s="1"/>
  <c r="AM77" i="4" s="1"/>
  <c r="AF77" i="4"/>
  <c r="BV77" i="4" s="1"/>
  <c r="AP97" i="4"/>
  <c r="AR97" i="4" s="1"/>
  <c r="AS97" i="4" s="1"/>
  <c r="AF86" i="4"/>
  <c r="BV86" i="4" s="1"/>
  <c r="BW86" i="4" s="1"/>
  <c r="AH65" i="4"/>
  <c r="AH94" i="4"/>
  <c r="AF106" i="4"/>
  <c r="BV106" i="4" s="1"/>
  <c r="BW106" i="4" s="1"/>
  <c r="AE103" i="4"/>
  <c r="BL103" i="4" s="1"/>
  <c r="BM103" i="4" s="1"/>
  <c r="AH70" i="4"/>
  <c r="AK70" i="4" s="1"/>
  <c r="AM70" i="4" s="1"/>
  <c r="AP76" i="4"/>
  <c r="AR76" i="4" s="1"/>
  <c r="AS76" i="4" s="1"/>
  <c r="AP68" i="4"/>
  <c r="AR68" i="4" s="1"/>
  <c r="AS68" i="4" s="1"/>
  <c r="AP82" i="4"/>
  <c r="AR82" i="4" s="1"/>
  <c r="AS82" i="4" s="1"/>
  <c r="AP103" i="4"/>
  <c r="AR103" i="4" s="1"/>
  <c r="AS103" i="4" s="1"/>
  <c r="AH106" i="4"/>
  <c r="AE63" i="4"/>
  <c r="BL63" i="4" s="1"/>
  <c r="BM63" i="4" s="1"/>
  <c r="AG104" i="4"/>
  <c r="CA104" i="4" s="1"/>
  <c r="CB104" i="4" s="1"/>
  <c r="W84" i="4"/>
  <c r="BQ84" i="4" s="1"/>
  <c r="AF98" i="4"/>
  <c r="BV98" i="4" s="1"/>
  <c r="BW98" i="4" s="1"/>
  <c r="AE79" i="4"/>
  <c r="BL79" i="4" s="1"/>
  <c r="BM79" i="4" s="1"/>
  <c r="AH103" i="4"/>
  <c r="AK103" i="4" s="1"/>
  <c r="AL103" i="4" s="1"/>
  <c r="AH88" i="4"/>
  <c r="AE96" i="4"/>
  <c r="BL96" i="4" s="1"/>
  <c r="BM96" i="4" s="1"/>
  <c r="AF72" i="4"/>
  <c r="BV72" i="4" s="1"/>
  <c r="AP75" i="4"/>
  <c r="AR75" i="4" s="1"/>
  <c r="AS75" i="4" s="1"/>
  <c r="AE81" i="4"/>
  <c r="BL81" i="4" s="1"/>
  <c r="BM81" i="4" s="1"/>
  <c r="AG99" i="4"/>
  <c r="CA99" i="4" s="1"/>
  <c r="CB99" i="4" s="1"/>
  <c r="W65" i="4"/>
  <c r="BQ65" i="4" s="1"/>
  <c r="BS65" i="4" s="1"/>
  <c r="AE90" i="4"/>
  <c r="BL90" i="4" s="1"/>
  <c r="BM90" i="4" s="1"/>
  <c r="AG81" i="4"/>
  <c r="CA81" i="4" s="1"/>
  <c r="CB81" i="4" s="1"/>
  <c r="W102" i="4"/>
  <c r="BQ102" i="4" s="1"/>
  <c r="AG95" i="4"/>
  <c r="CA95" i="4" s="1"/>
  <c r="CB95" i="4" s="1"/>
  <c r="W92" i="4"/>
  <c r="BQ92" i="4" s="1"/>
  <c r="AP105" i="4"/>
  <c r="AR105" i="4" s="1"/>
  <c r="AS105" i="4" s="1"/>
  <c r="AG84" i="4"/>
  <c r="CA84" i="4" s="1"/>
  <c r="CB84" i="4" s="1"/>
  <c r="AP80" i="4"/>
  <c r="AR80" i="4" s="1"/>
  <c r="AS80" i="4" s="1"/>
  <c r="AG72" i="4"/>
  <c r="CA72" i="4" s="1"/>
  <c r="CB72" i="4" s="1"/>
  <c r="AE62" i="4"/>
  <c r="W77" i="4"/>
  <c r="BQ77" i="4" s="1"/>
  <c r="W93" i="4"/>
  <c r="BQ93" i="4" s="1"/>
  <c r="AH81" i="4"/>
  <c r="AH92" i="4"/>
  <c r="AG82" i="4"/>
  <c r="CA82" i="4" s="1"/>
  <c r="AH62" i="4"/>
  <c r="AE82" i="4"/>
  <c r="BL82" i="4" s="1"/>
  <c r="BM82" i="4" s="1"/>
  <c r="W85" i="4"/>
  <c r="BQ85" i="4" s="1"/>
  <c r="AP81" i="4"/>
  <c r="AR81" i="4" s="1"/>
  <c r="AS81" i="4" s="1"/>
  <c r="AG85" i="4"/>
  <c r="CA85" i="4" s="1"/>
  <c r="CB85" i="4" s="1"/>
  <c r="W70" i="4"/>
  <c r="BQ70" i="4" s="1"/>
  <c r="BS70" i="4" s="1"/>
  <c r="AG83" i="4"/>
  <c r="CA83" i="4" s="1"/>
  <c r="CB83" i="4" s="1"/>
  <c r="W98" i="4"/>
  <c r="BQ98" i="4" s="1"/>
  <c r="AE87" i="4"/>
  <c r="BL87" i="4" s="1"/>
  <c r="BM87" i="4" s="1"/>
  <c r="AE93" i="4"/>
  <c r="BL93" i="4" s="1"/>
  <c r="BM93" i="4" s="1"/>
  <c r="AG89" i="4"/>
  <c r="CA89" i="4" s="1"/>
  <c r="CB89" i="4" s="1"/>
  <c r="AE70" i="4"/>
  <c r="BL70" i="4" s="1"/>
  <c r="BM70" i="4" s="1"/>
  <c r="AP67" i="4"/>
  <c r="AR67" i="4" s="1"/>
  <c r="AS67" i="4" s="1"/>
  <c r="W100" i="4"/>
  <c r="BQ100" i="4" s="1"/>
  <c r="AG105" i="4"/>
  <c r="CA105" i="4" s="1"/>
  <c r="CB105" i="4" s="1"/>
  <c r="W66" i="4"/>
  <c r="BQ66" i="4" s="1"/>
  <c r="AE74" i="4"/>
  <c r="BL74" i="4" s="1"/>
  <c r="BM74" i="4" s="1"/>
  <c r="W99" i="4"/>
  <c r="BQ99" i="4" s="1"/>
  <c r="BR99" i="4" s="1"/>
  <c r="W82" i="4"/>
  <c r="BQ82" i="4" s="1"/>
  <c r="BS82" i="4" s="1"/>
  <c r="AP73" i="4"/>
  <c r="AR73" i="4" s="1"/>
  <c r="AS73" i="4" s="1"/>
  <c r="AE65" i="4"/>
  <c r="BL65" i="4" s="1"/>
  <c r="BM65" i="4" s="1"/>
  <c r="AH98" i="4"/>
  <c r="W87" i="4"/>
  <c r="BQ87" i="4" s="1"/>
  <c r="BR87" i="4" s="1"/>
  <c r="AP66" i="4"/>
  <c r="AR66" i="4" s="1"/>
  <c r="AS66" i="4" s="1"/>
  <c r="AG87" i="4"/>
  <c r="CA87" i="4" s="1"/>
  <c r="CB87" i="4" s="1"/>
  <c r="AG74" i="4"/>
  <c r="CA74" i="4" s="1"/>
  <c r="CB74" i="4" s="1"/>
  <c r="AF102" i="4"/>
  <c r="BV102" i="4" s="1"/>
  <c r="BX102" i="4" s="1"/>
  <c r="AP100" i="4"/>
  <c r="AR100" i="4" s="1"/>
  <c r="AS100" i="4" s="1"/>
  <c r="AP72" i="4"/>
  <c r="AR72" i="4" s="1"/>
  <c r="AS72" i="4" s="1"/>
  <c r="AP99" i="4"/>
  <c r="AR99" i="4" s="1"/>
  <c r="AS99" i="4" s="1"/>
  <c r="AG96" i="4"/>
  <c r="CA96" i="4" s="1"/>
  <c r="CB96" i="4" s="1"/>
  <c r="AE73" i="4"/>
  <c r="BL73" i="4" s="1"/>
  <c r="BM73" i="4" s="1"/>
  <c r="AP106" i="4"/>
  <c r="AR106" i="4" s="1"/>
  <c r="AS106" i="4" s="1"/>
  <c r="AG63" i="4"/>
  <c r="CA63" i="4" s="1"/>
  <c r="CB63" i="4" s="1"/>
  <c r="AE97" i="4"/>
  <c r="BL97" i="4" s="1"/>
  <c r="BM97" i="4" s="1"/>
  <c r="AG102" i="4"/>
  <c r="CA102" i="4" s="1"/>
  <c r="CB102" i="4" s="1"/>
  <c r="AP64" i="4"/>
  <c r="AR64" i="4" s="1"/>
  <c r="AS64" i="4" s="1"/>
  <c r="W72" i="4"/>
  <c r="BQ72" i="4" s="1"/>
  <c r="AE71" i="4"/>
  <c r="BL71" i="4" s="1"/>
  <c r="BM71" i="4" s="1"/>
  <c r="AP96" i="4"/>
  <c r="AR96" i="4" s="1"/>
  <c r="AS96" i="4" s="1"/>
  <c r="AE91" i="4"/>
  <c r="BL91" i="4" s="1"/>
  <c r="BM91" i="4" s="1"/>
  <c r="AP74" i="4"/>
  <c r="AR74" i="4" s="1"/>
  <c r="AS74" i="4" s="1"/>
  <c r="AE83" i="4"/>
  <c r="BL83" i="4" s="1"/>
  <c r="BM83" i="4" s="1"/>
  <c r="AG80" i="4"/>
  <c r="CA80" i="4" s="1"/>
  <c r="CB80" i="4" s="1"/>
  <c r="AP77" i="4"/>
  <c r="AR77" i="4" s="1"/>
  <c r="AS77" i="4" s="1"/>
  <c r="AP93" i="4"/>
  <c r="AR93" i="4" s="1"/>
  <c r="AS93" i="4" s="1"/>
  <c r="AG98" i="4"/>
  <c r="CA98" i="4" s="1"/>
  <c r="CB98" i="4" s="1"/>
  <c r="AE68" i="4"/>
  <c r="BL68" i="4" s="1"/>
  <c r="BM68" i="4" s="1"/>
  <c r="AP107" i="4"/>
  <c r="AP85" i="4"/>
  <c r="AR85" i="4" s="1"/>
  <c r="AS85" i="4" s="1"/>
  <c r="AE78" i="4"/>
  <c r="BL78" i="4" s="1"/>
  <c r="BM78" i="4" s="1"/>
  <c r="AH63" i="4"/>
  <c r="AE89" i="4"/>
  <c r="BL89" i="4" s="1"/>
  <c r="BM89" i="4" s="1"/>
  <c r="AP90" i="4"/>
  <c r="AR90" i="4" s="1"/>
  <c r="AS90" i="4" s="1"/>
  <c r="AF80" i="4"/>
  <c r="BV80" i="4" s="1"/>
  <c r="BW80" i="4" s="1"/>
  <c r="W97" i="4"/>
  <c r="BQ97" i="4" s="1"/>
  <c r="AP88" i="4"/>
  <c r="AR88" i="4" s="1"/>
  <c r="AS88" i="4" s="1"/>
  <c r="W64" i="4"/>
  <c r="BQ64" i="4" s="1"/>
  <c r="AF96" i="4"/>
  <c r="AH75" i="4"/>
  <c r="AF92" i="4"/>
  <c r="BV92" i="4" s="1"/>
  <c r="BW92" i="4" s="1"/>
  <c r="W79" i="4"/>
  <c r="BQ79" i="4" s="1"/>
  <c r="AH72" i="4"/>
  <c r="AK72" i="4" s="1"/>
  <c r="AM72" i="4" s="1"/>
  <c r="W67" i="4"/>
  <c r="BQ67" i="4" s="1"/>
  <c r="AG77" i="4"/>
  <c r="CA77" i="4" s="1"/>
  <c r="CB77" i="4" s="1"/>
  <c r="AE99" i="4"/>
  <c r="BL99" i="4" s="1"/>
  <c r="BM99" i="4" s="1"/>
  <c r="W76" i="4"/>
  <c r="BQ76" i="4" s="1"/>
  <c r="BR76" i="4" s="1"/>
  <c r="AG106" i="4"/>
  <c r="CA106" i="4" s="1"/>
  <c r="CB106" i="4" s="1"/>
  <c r="CM62" i="4"/>
  <c r="AP86" i="4"/>
  <c r="AR86" i="4" s="1"/>
  <c r="AS86" i="4" s="1"/>
  <c r="AE101" i="4"/>
  <c r="BL101" i="4" s="1"/>
  <c r="BM101" i="4" s="1"/>
  <c r="AG78" i="4"/>
  <c r="CA78" i="4" s="1"/>
  <c r="CB78" i="4" s="1"/>
  <c r="W81" i="4"/>
  <c r="BQ81" i="4" s="1"/>
  <c r="BR81" i="4" s="1"/>
  <c r="AE69" i="4"/>
  <c r="BL69" i="4" s="1"/>
  <c r="BM69" i="4" s="1"/>
  <c r="AE64" i="4"/>
  <c r="BL64" i="4" s="1"/>
  <c r="BM64" i="4" s="1"/>
  <c r="AE106" i="4"/>
  <c r="BL106" i="4" s="1"/>
  <c r="BN106" i="4" s="1"/>
  <c r="AP104" i="4"/>
  <c r="AP83" i="4"/>
  <c r="AR83" i="4" s="1"/>
  <c r="AS83" i="4" s="1"/>
  <c r="W90" i="4"/>
  <c r="BQ90" i="4" s="1"/>
  <c r="W75" i="4"/>
  <c r="BQ75" i="4" s="1"/>
  <c r="BR75" i="4" s="1"/>
  <c r="AF73" i="4"/>
  <c r="BV73" i="4" s="1"/>
  <c r="BW73" i="4" s="1"/>
  <c r="AP71" i="4"/>
  <c r="AR71" i="4" s="1"/>
  <c r="AS71" i="4" s="1"/>
  <c r="AF81" i="4"/>
  <c r="AF100" i="4"/>
  <c r="AG100" i="4"/>
  <c r="CA100" i="4" s="1"/>
  <c r="CB100" i="4" s="1"/>
  <c r="AF75" i="4"/>
  <c r="BV75" i="4" s="1"/>
  <c r="BW75" i="4" s="1"/>
  <c r="AP79" i="4"/>
  <c r="AR79" i="4" s="1"/>
  <c r="AS79" i="4" s="1"/>
  <c r="AE100" i="4"/>
  <c r="BL100" i="4" s="1"/>
  <c r="BM100" i="4" s="1"/>
  <c r="AP78" i="4"/>
  <c r="AR78" i="4" s="1"/>
  <c r="AS78" i="4" s="1"/>
  <c r="AH67" i="4"/>
  <c r="AG69" i="4"/>
  <c r="CA69" i="4" s="1"/>
  <c r="CB69" i="4" s="1"/>
  <c r="AE94" i="4"/>
  <c r="BL94" i="4" s="1"/>
  <c r="BM94" i="4" s="1"/>
  <c r="AF62" i="4"/>
  <c r="AE66" i="4"/>
  <c r="BL66" i="4" s="1"/>
  <c r="BM66" i="4" s="1"/>
  <c r="AG94" i="4"/>
  <c r="CA94" i="4" s="1"/>
  <c r="CB94" i="4" s="1"/>
  <c r="W71" i="4"/>
  <c r="BQ71" i="4" s="1"/>
  <c r="AG86" i="4"/>
  <c r="CA86" i="4" s="1"/>
  <c r="CB86" i="4" s="1"/>
  <c r="W86" i="4"/>
  <c r="BQ86" i="4" s="1"/>
  <c r="AP69" i="4"/>
  <c r="AR69" i="4" s="1"/>
  <c r="AS69" i="4" s="1"/>
  <c r="W80" i="4"/>
  <c r="BQ80" i="4" s="1"/>
  <c r="AE84" i="4"/>
  <c r="BL84" i="4" s="1"/>
  <c r="BM84" i="4" s="1"/>
  <c r="AE104" i="4"/>
  <c r="BL104" i="4" s="1"/>
  <c r="BM104" i="4" s="1"/>
  <c r="W104" i="4"/>
  <c r="BQ104" i="4" s="1"/>
  <c r="AE92" i="4"/>
  <c r="AE80" i="4"/>
  <c r="BL80" i="4" s="1"/>
  <c r="BM80" i="4" s="1"/>
  <c r="AP65" i="4"/>
  <c r="AR65" i="4" s="1"/>
  <c r="AS65" i="4" s="1"/>
  <c r="AG75" i="4"/>
  <c r="AE102" i="4"/>
  <c r="BL102" i="4" s="1"/>
  <c r="BN102" i="4" s="1"/>
  <c r="W88" i="4"/>
  <c r="BQ88" i="4" s="1"/>
  <c r="BR88" i="4" s="1"/>
  <c r="W106" i="4"/>
  <c r="BQ106" i="4" s="1"/>
  <c r="AE88" i="4"/>
  <c r="BL88" i="4" s="1"/>
  <c r="BM88" i="4" s="1"/>
  <c r="AP94" i="4"/>
  <c r="AR94" i="4" s="1"/>
  <c r="AS94" i="4" s="1"/>
  <c r="W78" i="4"/>
  <c r="BQ78" i="4" s="1"/>
  <c r="BR78" i="4" s="1"/>
  <c r="AG101" i="4"/>
  <c r="CA101" i="4" s="1"/>
  <c r="CB101" i="4" s="1"/>
  <c r="AG92" i="4"/>
  <c r="CA92" i="4" s="1"/>
  <c r="CB92" i="4" s="1"/>
  <c r="AG66" i="4"/>
  <c r="CA66" i="4" s="1"/>
  <c r="CB66" i="4" s="1"/>
  <c r="W96" i="4"/>
  <c r="BQ96" i="4" s="1"/>
  <c r="W89" i="4"/>
  <c r="BQ89" i="4" s="1"/>
  <c r="BS89" i="4" s="1"/>
  <c r="AP84" i="4"/>
  <c r="AR84" i="4" s="1"/>
  <c r="AS84" i="4" s="1"/>
  <c r="AP70" i="4"/>
  <c r="AE85" i="4"/>
  <c r="BL85" i="4" s="1"/>
  <c r="BM85" i="4" s="1"/>
  <c r="AP98" i="4"/>
  <c r="AR98" i="4" s="1"/>
  <c r="AS98" i="4" s="1"/>
  <c r="W105" i="4"/>
  <c r="BQ105" i="4" s="1"/>
  <c r="W69" i="4"/>
  <c r="BQ69" i="4" s="1"/>
  <c r="W91" i="4"/>
  <c r="BQ91" i="4" s="1"/>
  <c r="W62" i="4"/>
  <c r="BQ62" i="4" s="1"/>
  <c r="AG93" i="4"/>
  <c r="CA93" i="4" s="1"/>
  <c r="CB93" i="4" s="1"/>
  <c r="W103" i="4"/>
  <c r="BQ103" i="4" s="1"/>
  <c r="W74" i="4"/>
  <c r="BQ74" i="4" s="1"/>
  <c r="AE98" i="4"/>
  <c r="BL98" i="4" s="1"/>
  <c r="BM98" i="4" s="1"/>
  <c r="AE95" i="4"/>
  <c r="BL95" i="4" s="1"/>
  <c r="BM95" i="4" s="1"/>
  <c r="AE72" i="4"/>
  <c r="BL72" i="4" s="1"/>
  <c r="BM72" i="4" s="1"/>
  <c r="AG97" i="4"/>
  <c r="CA97" i="4" s="1"/>
  <c r="CB97" i="4" s="1"/>
  <c r="AG68" i="4"/>
  <c r="CA68" i="4" s="1"/>
  <c r="CB68" i="4" s="1"/>
  <c r="W95" i="4"/>
  <c r="BQ95" i="4" s="1"/>
  <c r="W101" i="4"/>
  <c r="BQ101" i="4" s="1"/>
  <c r="AG107" i="4"/>
  <c r="BH106" i="4" l="1"/>
  <c r="DE106" i="4"/>
  <c r="BS106" i="4"/>
  <c r="BR106" i="4"/>
  <c r="BM106" i="4"/>
  <c r="BC106" i="4"/>
  <c r="BS105" i="4"/>
  <c r="BR105" i="4"/>
  <c r="BH105" i="4"/>
  <c r="DE105" i="4"/>
  <c r="BF98" i="4"/>
  <c r="CZ59" i="4"/>
  <c r="AU38" i="4"/>
  <c r="CE102" i="4"/>
  <c r="DH42" i="4"/>
  <c r="AM105" i="4"/>
  <c r="BH104" i="4"/>
  <c r="DE104" i="4"/>
  <c r="BC104" i="4"/>
  <c r="BS104" i="4"/>
  <c r="BR104" i="4"/>
  <c r="AM104" i="4"/>
  <c r="BH103" i="4"/>
  <c r="AX103" i="4"/>
  <c r="BC103" i="4"/>
  <c r="BS103" i="4"/>
  <c r="BR103" i="4"/>
  <c r="DE103" i="4"/>
  <c r="AM103" i="4"/>
  <c r="BH102" i="4"/>
  <c r="BS102" i="4"/>
  <c r="BR102" i="4"/>
  <c r="BW102" i="4"/>
  <c r="BC102" i="4"/>
  <c r="BM102" i="4"/>
  <c r="AM102" i="4"/>
  <c r="BH101" i="4"/>
  <c r="BS101" i="4"/>
  <c r="BR101" i="4"/>
  <c r="AO84" i="4"/>
  <c r="BH100" i="4"/>
  <c r="BS100" i="4"/>
  <c r="BR100" i="4"/>
  <c r="DF83" i="4"/>
  <c r="BX63" i="4"/>
  <c r="CC100" i="4"/>
  <c r="CC76" i="4"/>
  <c r="CC90" i="4"/>
  <c r="CC92" i="4"/>
  <c r="CC66" i="4"/>
  <c r="CC65" i="4"/>
  <c r="BI93" i="4"/>
  <c r="BX87" i="4"/>
  <c r="BV64" i="4"/>
  <c r="BW64" i="4" s="1"/>
  <c r="CC68" i="4"/>
  <c r="CC81" i="4"/>
  <c r="BX95" i="4"/>
  <c r="CC93" i="4"/>
  <c r="CB82" i="4"/>
  <c r="CC85" i="4"/>
  <c r="BI95" i="4"/>
  <c r="CZ26" i="4"/>
  <c r="BF26" i="4"/>
  <c r="BF41" i="4"/>
  <c r="CZ32" i="4"/>
  <c r="BF43" i="4"/>
  <c r="AO52" i="4"/>
  <c r="BW77" i="4"/>
  <c r="BX77" i="4"/>
  <c r="CC80" i="4"/>
  <c r="CC99" i="4"/>
  <c r="BX76" i="4"/>
  <c r="BX90" i="4"/>
  <c r="CC67" i="4"/>
  <c r="CC64" i="4"/>
  <c r="BF34" i="4"/>
  <c r="CZ33" i="4"/>
  <c r="CC102" i="4"/>
  <c r="BX79" i="4"/>
  <c r="CC70" i="4"/>
  <c r="BX105" i="4"/>
  <c r="CC73" i="4"/>
  <c r="CC97" i="4"/>
  <c r="CC69" i="4"/>
  <c r="CC98" i="4"/>
  <c r="CC63" i="4"/>
  <c r="CC86" i="4"/>
  <c r="CC106" i="4"/>
  <c r="CC82" i="4"/>
  <c r="CC88" i="4"/>
  <c r="BX66" i="4"/>
  <c r="BX94" i="4"/>
  <c r="DH53" i="4"/>
  <c r="AO12" i="4"/>
  <c r="CC74" i="4"/>
  <c r="CC84" i="4"/>
  <c r="BX106" i="4"/>
  <c r="BF45" i="4"/>
  <c r="BF44" i="4"/>
  <c r="CZ11" i="4"/>
  <c r="CZ35" i="4"/>
  <c r="CZ34" i="4"/>
  <c r="CZ40" i="4"/>
  <c r="CZ44" i="4"/>
  <c r="CZ15" i="4"/>
  <c r="CZ14" i="4"/>
  <c r="CZ28" i="4"/>
  <c r="BF12" i="4"/>
  <c r="BF27" i="4"/>
  <c r="CZ58" i="4"/>
  <c r="CZ49" i="4"/>
  <c r="CZ46" i="4"/>
  <c r="DH28" i="4"/>
  <c r="BF53" i="4"/>
  <c r="BF28" i="4"/>
  <c r="CZ17" i="4"/>
  <c r="CZ19" i="4"/>
  <c r="CZ43" i="4"/>
  <c r="CZ102" i="4"/>
  <c r="BF13" i="4"/>
  <c r="CZ61" i="4"/>
  <c r="CZ31" i="4"/>
  <c r="CZ36" i="4"/>
  <c r="DH34" i="4"/>
  <c r="BF21" i="4"/>
  <c r="AO47" i="4"/>
  <c r="CZ51" i="4"/>
  <c r="CZ38" i="4"/>
  <c r="CZ48" i="4"/>
  <c r="BI86" i="4"/>
  <c r="CE13" i="4"/>
  <c r="AO49" i="4"/>
  <c r="CE58" i="4"/>
  <c r="DH27" i="4"/>
  <c r="AO13" i="4"/>
  <c r="CE35" i="4"/>
  <c r="CE48" i="4"/>
  <c r="DH15" i="4"/>
  <c r="DH45" i="4"/>
  <c r="DH16" i="4"/>
  <c r="AO42" i="4"/>
  <c r="AO51" i="4"/>
  <c r="AO59" i="4"/>
  <c r="AO14" i="4"/>
  <c r="AU52" i="4"/>
  <c r="AO86" i="4"/>
  <c r="CE20" i="4"/>
  <c r="AO27" i="4"/>
  <c r="CE56" i="4"/>
  <c r="CE43" i="4"/>
  <c r="DH30" i="4"/>
  <c r="DH39" i="4"/>
  <c r="DH58" i="4"/>
  <c r="AO61" i="4"/>
  <c r="AO40" i="4"/>
  <c r="AO29" i="4"/>
  <c r="AU24" i="4"/>
  <c r="DH94" i="4"/>
  <c r="CE23" i="4"/>
  <c r="DH22" i="4"/>
  <c r="DH38" i="4"/>
  <c r="AO19" i="4"/>
  <c r="CE59" i="4"/>
  <c r="CE36" i="4"/>
  <c r="DH40" i="4"/>
  <c r="DH60" i="4"/>
  <c r="BF14" i="4"/>
  <c r="BF15" i="4"/>
  <c r="AO41" i="4"/>
  <c r="AO21" i="4"/>
  <c r="AO32" i="4"/>
  <c r="CZ18" i="4"/>
  <c r="CZ25" i="4"/>
  <c r="CZ42" i="4"/>
  <c r="CZ41" i="4"/>
  <c r="AU50" i="4"/>
  <c r="AO76" i="4"/>
  <c r="CE34" i="4"/>
  <c r="CE15" i="4"/>
  <c r="DH46" i="4"/>
  <c r="DH18" i="4"/>
  <c r="BF51" i="4"/>
  <c r="BF17" i="4"/>
  <c r="BF49" i="4"/>
  <c r="AO56" i="4"/>
  <c r="AO30" i="4"/>
  <c r="AO17" i="4"/>
  <c r="CZ29" i="4"/>
  <c r="CZ45" i="4"/>
  <c r="CZ54" i="4"/>
  <c r="CZ37" i="4"/>
  <c r="CZ13" i="4"/>
  <c r="AU61" i="4"/>
  <c r="DH24" i="4"/>
  <c r="AO50" i="4"/>
  <c r="CE57" i="4"/>
  <c r="DH41" i="4"/>
  <c r="AO33" i="4"/>
  <c r="CE29" i="4"/>
  <c r="CE42" i="4"/>
  <c r="DH21" i="4"/>
  <c r="BF59" i="4"/>
  <c r="BF40" i="4"/>
  <c r="BF11" i="4"/>
  <c r="AO23" i="4"/>
  <c r="AO57" i="4"/>
  <c r="ET21" i="4"/>
  <c r="CZ16" i="4"/>
  <c r="CZ53" i="4"/>
  <c r="CZ39" i="4"/>
  <c r="CZ12" i="4"/>
  <c r="AT101" i="4"/>
  <c r="AY76" i="4"/>
  <c r="BN82" i="4"/>
  <c r="BI97" i="4"/>
  <c r="BC62" i="4"/>
  <c r="AT95" i="4"/>
  <c r="AT67" i="4"/>
  <c r="AT63" i="4"/>
  <c r="AT92" i="4"/>
  <c r="BN72" i="4"/>
  <c r="BI67" i="4"/>
  <c r="BH72" i="4"/>
  <c r="BI77" i="4"/>
  <c r="DE78" i="4"/>
  <c r="CV106" i="4"/>
  <c r="BH85" i="4"/>
  <c r="AT106" i="4"/>
  <c r="BD63" i="4"/>
  <c r="DF68" i="4"/>
  <c r="CX76" i="4"/>
  <c r="BN63" i="4"/>
  <c r="BD72" i="4"/>
  <c r="DF94" i="4"/>
  <c r="DE94" i="4"/>
  <c r="BD99" i="4"/>
  <c r="BC99" i="4"/>
  <c r="BN87" i="4"/>
  <c r="AK65" i="4"/>
  <c r="AM65" i="4" s="1"/>
  <c r="AT89" i="4"/>
  <c r="CW63" i="4"/>
  <c r="BL62" i="4"/>
  <c r="BM62" i="4" s="1"/>
  <c r="CV102" i="4"/>
  <c r="AW102" i="4"/>
  <c r="BH94" i="4"/>
  <c r="AY63" i="4"/>
  <c r="BD75" i="4"/>
  <c r="BN80" i="4"/>
  <c r="AT75" i="4"/>
  <c r="BN97" i="4"/>
  <c r="AT103" i="4"/>
  <c r="AK96" i="4"/>
  <c r="AM96" i="4" s="1"/>
  <c r="CX101" i="4"/>
  <c r="BB95" i="4"/>
  <c r="BC95" i="4" s="1"/>
  <c r="BI66" i="4"/>
  <c r="CX89" i="4"/>
  <c r="AY91" i="4"/>
  <c r="DF70" i="4"/>
  <c r="BD68" i="4"/>
  <c r="BB105" i="4"/>
  <c r="AY66" i="4"/>
  <c r="AW72" i="4"/>
  <c r="AX72" i="4" s="1"/>
  <c r="AK67" i="4"/>
  <c r="AM67" i="4" s="1"/>
  <c r="AX78" i="4"/>
  <c r="DF99" i="4"/>
  <c r="DE99" i="4"/>
  <c r="BC87" i="4"/>
  <c r="BD87" i="4"/>
  <c r="BR91" i="4"/>
  <c r="BS91" i="4"/>
  <c r="BS94" i="4"/>
  <c r="BR94" i="4"/>
  <c r="AX80" i="4"/>
  <c r="AY80" i="4"/>
  <c r="AX75" i="4"/>
  <c r="AY75" i="4"/>
  <c r="BS77" i="4"/>
  <c r="BR77" i="4"/>
  <c r="BR68" i="4"/>
  <c r="BS68" i="4"/>
  <c r="DE97" i="4"/>
  <c r="DF97" i="4"/>
  <c r="BR89" i="4"/>
  <c r="BN91" i="4"/>
  <c r="AK92" i="4"/>
  <c r="AM92" i="4" s="1"/>
  <c r="AK94" i="4"/>
  <c r="AM94" i="4" s="1"/>
  <c r="AK95" i="4"/>
  <c r="AM95" i="4" s="1"/>
  <c r="AY93" i="4"/>
  <c r="DF85" i="4"/>
  <c r="BD81" i="4"/>
  <c r="BH73" i="4"/>
  <c r="AY79" i="4"/>
  <c r="AL71" i="4"/>
  <c r="BC76" i="4"/>
  <c r="AT66" i="4"/>
  <c r="BI88" i="4"/>
  <c r="AK63" i="4"/>
  <c r="AM63" i="4" s="1"/>
  <c r="BN94" i="4"/>
  <c r="BN67" i="4"/>
  <c r="AK84" i="4"/>
  <c r="AM84" i="4" s="1"/>
  <c r="CV86" i="4"/>
  <c r="CW86" i="4" s="1"/>
  <c r="BH63" i="4"/>
  <c r="CW99" i="4"/>
  <c r="BH91" i="4"/>
  <c r="DF91" i="4"/>
  <c r="AY83" i="4"/>
  <c r="AY82" i="4"/>
  <c r="BI87" i="4"/>
  <c r="CX73" i="4"/>
  <c r="BH96" i="4"/>
  <c r="AY96" i="4"/>
  <c r="CX96" i="4"/>
  <c r="DD72" i="4"/>
  <c r="DE72" i="4" s="1"/>
  <c r="BD64" i="4"/>
  <c r="AL64" i="4"/>
  <c r="AL99" i="4"/>
  <c r="AL76" i="4"/>
  <c r="AX69" i="4"/>
  <c r="BC83" i="4"/>
  <c r="AW67" i="4"/>
  <c r="AX67" i="4" s="1"/>
  <c r="BD98" i="4"/>
  <c r="AL72" i="4"/>
  <c r="AY95" i="4"/>
  <c r="CX87" i="4"/>
  <c r="BN104" i="4"/>
  <c r="BN69" i="4"/>
  <c r="BN89" i="4"/>
  <c r="BN68" i="4"/>
  <c r="BN71" i="4"/>
  <c r="BN93" i="4"/>
  <c r="BN103" i="4"/>
  <c r="AW101" i="4"/>
  <c r="DD101" i="4"/>
  <c r="DF100" i="4"/>
  <c r="BI68" i="4"/>
  <c r="DD90" i="4"/>
  <c r="DE90" i="4" s="1"/>
  <c r="CX66" i="4"/>
  <c r="BD88" i="4"/>
  <c r="CX64" i="4"/>
  <c r="BH75" i="4"/>
  <c r="CX97" i="4"/>
  <c r="CX72" i="4"/>
  <c r="BN83" i="4"/>
  <c r="BN96" i="4"/>
  <c r="AL100" i="4"/>
  <c r="DD102" i="4"/>
  <c r="CX78" i="4"/>
  <c r="BI76" i="4"/>
  <c r="BH74" i="4"/>
  <c r="BD79" i="4"/>
  <c r="DF96" i="4"/>
  <c r="BR72" i="4"/>
  <c r="BS72" i="4"/>
  <c r="BR79" i="4"/>
  <c r="BS79" i="4"/>
  <c r="BR98" i="4"/>
  <c r="BS98" i="4"/>
  <c r="BR85" i="4"/>
  <c r="BS85" i="4"/>
  <c r="BW68" i="4"/>
  <c r="BX68" i="4"/>
  <c r="BS90" i="4"/>
  <c r="BR90" i="4"/>
  <c r="BR63" i="4"/>
  <c r="BS63" i="4"/>
  <c r="CA75" i="4"/>
  <c r="CB75" i="4" s="1"/>
  <c r="BR71" i="4"/>
  <c r="BS71" i="4"/>
  <c r="AR104" i="4"/>
  <c r="BP108" i="4"/>
  <c r="AO108" i="4"/>
  <c r="CY108" i="4"/>
  <c r="DH108" i="4"/>
  <c r="BA108" i="4"/>
  <c r="BZ108" i="4"/>
  <c r="CD108" i="4"/>
  <c r="AB108" i="4"/>
  <c r="AW108" i="4" s="1"/>
  <c r="AY108" i="4" s="1"/>
  <c r="BU108" i="4"/>
  <c r="BE108" i="4"/>
  <c r="DC108" i="4"/>
  <c r="DD108" i="4" s="1"/>
  <c r="DE108" i="4" s="1"/>
  <c r="BY108" i="4"/>
  <c r="BT108" i="4"/>
  <c r="DG108" i="4"/>
  <c r="AN108" i="4"/>
  <c r="AV108" i="4"/>
  <c r="CM108" i="4"/>
  <c r="CE108" i="4"/>
  <c r="BK108" i="4"/>
  <c r="AU108" i="4"/>
  <c r="BF108" i="4"/>
  <c r="CU108" i="4"/>
  <c r="CV108" i="4" s="1"/>
  <c r="CW108" i="4" s="1"/>
  <c r="AZ108" i="4"/>
  <c r="BO108" i="4"/>
  <c r="BJ108" i="4"/>
  <c r="CZ108" i="4"/>
  <c r="AD108" i="4"/>
  <c r="AC108" i="4"/>
  <c r="BG108" i="4"/>
  <c r="BI108" i="4" s="1"/>
  <c r="AH108" i="4"/>
  <c r="AG108" i="4"/>
  <c r="CA108" i="4" s="1"/>
  <c r="CB108" i="4" s="1"/>
  <c r="AE108" i="4"/>
  <c r="BL108" i="4" s="1"/>
  <c r="BM108" i="4" s="1"/>
  <c r="AF108" i="4"/>
  <c r="W108" i="4"/>
  <c r="BQ108" i="4" s="1"/>
  <c r="AP108" i="4"/>
  <c r="BR96" i="4"/>
  <c r="BS96" i="4"/>
  <c r="BS80" i="4"/>
  <c r="BR80" i="4"/>
  <c r="BS86" i="4"/>
  <c r="BR86" i="4"/>
  <c r="BR95" i="4"/>
  <c r="BS95" i="4"/>
  <c r="BR74" i="4"/>
  <c r="BS74" i="4"/>
  <c r="AR70" i="4"/>
  <c r="AS70" i="4" s="1"/>
  <c r="BL92" i="4"/>
  <c r="BM92" i="4" s="1"/>
  <c r="BR67" i="4"/>
  <c r="BS67" i="4"/>
  <c r="BR66" i="4"/>
  <c r="BS66" i="4"/>
  <c r="BR69" i="4"/>
  <c r="BS69" i="4"/>
  <c r="BS92" i="4"/>
  <c r="BR92" i="4"/>
  <c r="BR62" i="4"/>
  <c r="BS62" i="4"/>
  <c r="BS64" i="4"/>
  <c r="BR64" i="4"/>
  <c r="BS93" i="4"/>
  <c r="BR93" i="4"/>
  <c r="BW72" i="4"/>
  <c r="BX72" i="4"/>
  <c r="BV62" i="4"/>
  <c r="BV100" i="4"/>
  <c r="BR84" i="4"/>
  <c r="BS84" i="4"/>
  <c r="BX92" i="4"/>
  <c r="BR97" i="4"/>
  <c r="BS97" i="4"/>
  <c r="AT62" i="4"/>
  <c r="BR65" i="4"/>
  <c r="BS87" i="4"/>
  <c r="BX86" i="4"/>
  <c r="BS88" i="4"/>
  <c r="BS81" i="4"/>
  <c r="BX67" i="4"/>
  <c r="BX65" i="4"/>
  <c r="BS73" i="4"/>
  <c r="AT83" i="4"/>
  <c r="AT80" i="4"/>
  <c r="AK80" i="4"/>
  <c r="BB101" i="4"/>
  <c r="BP107" i="4"/>
  <c r="BJ107" i="4"/>
  <c r="BF107" i="4"/>
  <c r="CM107" i="4"/>
  <c r="BZ107" i="4"/>
  <c r="AU107" i="4"/>
  <c r="BT107" i="4"/>
  <c r="AN107" i="4"/>
  <c r="CD107" i="4"/>
  <c r="BE107" i="4"/>
  <c r="BG107" i="4"/>
  <c r="BI107" i="4" s="1"/>
  <c r="CU107" i="4"/>
  <c r="CV107" i="4" s="1"/>
  <c r="CW107" i="4" s="1"/>
  <c r="DH107" i="4"/>
  <c r="AC107" i="4"/>
  <c r="BB107" i="4" s="1"/>
  <c r="BD107" i="4" s="1"/>
  <c r="CA107" i="4"/>
  <c r="CC107" i="4" s="1"/>
  <c r="BU107" i="4"/>
  <c r="CY107" i="4"/>
  <c r="BO107" i="4"/>
  <c r="BY107" i="4"/>
  <c r="AO107" i="4"/>
  <c r="CZ107" i="4"/>
  <c r="AZ107" i="4"/>
  <c r="BA107" i="4"/>
  <c r="DC107" i="4"/>
  <c r="DD107" i="4" s="1"/>
  <c r="DE107" i="4" s="1"/>
  <c r="AD107" i="4"/>
  <c r="AV107" i="4"/>
  <c r="AB107" i="4"/>
  <c r="AW107" i="4" s="1"/>
  <c r="AX107" i="4" s="1"/>
  <c r="CE107" i="4"/>
  <c r="BK107" i="4"/>
  <c r="DG107" i="4"/>
  <c r="AR107" i="4"/>
  <c r="AS107" i="4" s="1"/>
  <c r="AF107" i="4"/>
  <c r="AH107" i="4"/>
  <c r="BN95" i="4"/>
  <c r="CC101" i="4"/>
  <c r="BS78" i="4"/>
  <c r="BN88" i="4"/>
  <c r="CC94" i="4"/>
  <c r="BX75" i="4"/>
  <c r="BV81" i="4"/>
  <c r="BW81" i="4" s="1"/>
  <c r="BX73" i="4"/>
  <c r="CC78" i="4"/>
  <c r="AT72" i="4"/>
  <c r="AK75" i="4"/>
  <c r="AM75" i="4" s="1"/>
  <c r="BN73" i="4"/>
  <c r="BN70" i="4"/>
  <c r="AK62" i="4"/>
  <c r="BN79" i="4"/>
  <c r="AT94" i="4"/>
  <c r="BN76" i="4"/>
  <c r="BX103" i="4"/>
  <c r="BX93" i="4"/>
  <c r="AT64" i="4"/>
  <c r="BX89" i="4"/>
  <c r="AL83" i="4"/>
  <c r="AT68" i="4"/>
  <c r="AL68" i="4"/>
  <c r="AL89" i="4"/>
  <c r="BS83" i="4"/>
  <c r="BS75" i="4"/>
  <c r="BH62" i="4"/>
  <c r="W107" i="4"/>
  <c r="BQ107" i="4" s="1"/>
  <c r="AT81" i="4"/>
  <c r="BX88" i="4"/>
  <c r="CA71" i="4"/>
  <c r="BR82" i="4"/>
  <c r="AT78" i="4"/>
  <c r="AW100" i="4"/>
  <c r="AT77" i="4"/>
  <c r="CC62" i="4"/>
  <c r="BN98" i="4"/>
  <c r="BN84" i="4"/>
  <c r="BN66" i="4"/>
  <c r="BN100" i="4"/>
  <c r="BN101" i="4"/>
  <c r="BN99" i="4"/>
  <c r="CC77" i="4"/>
  <c r="BN78" i="4"/>
  <c r="CC96" i="4"/>
  <c r="BN74" i="4"/>
  <c r="CC105" i="4"/>
  <c r="CC89" i="4"/>
  <c r="CC83" i="4"/>
  <c r="AK81" i="4"/>
  <c r="AM81" i="4" s="1"/>
  <c r="BN90" i="4"/>
  <c r="AT88" i="4"/>
  <c r="BX98" i="4"/>
  <c r="AK101" i="4"/>
  <c r="AM101" i="4" s="1"/>
  <c r="BX99" i="4"/>
  <c r="BN77" i="4"/>
  <c r="BX70" i="4"/>
  <c r="BX82" i="4"/>
  <c r="AX94" i="4"/>
  <c r="AY94" i="4"/>
  <c r="BN85" i="4"/>
  <c r="BV96" i="4"/>
  <c r="BW96" i="4" s="1"/>
  <c r="BX80" i="4"/>
  <c r="BS76" i="4"/>
  <c r="BN81" i="4"/>
  <c r="AK88" i="4"/>
  <c r="AL70" i="4"/>
  <c r="AT65" i="4"/>
  <c r="BN75" i="4"/>
  <c r="BL105" i="4"/>
  <c r="BX104" i="4"/>
  <c r="CA103" i="4"/>
  <c r="AT74" i="4"/>
  <c r="AT98" i="4"/>
  <c r="BI62" i="4"/>
  <c r="BS99" i="4"/>
  <c r="BV85" i="4"/>
  <c r="BW85" i="4" s="1"/>
  <c r="AE107" i="4"/>
  <c r="AM82" i="4"/>
  <c r="AL82" i="4"/>
  <c r="BV83" i="4"/>
  <c r="BW83" i="4" s="1"/>
  <c r="AT91" i="4"/>
  <c r="AK91" i="4"/>
  <c r="BN64" i="4"/>
  <c r="CC87" i="4"/>
  <c r="AK98" i="4"/>
  <c r="BN65" i="4"/>
  <c r="CC72" i="4"/>
  <c r="CC95" i="4"/>
  <c r="CC104" i="4"/>
  <c r="AK106" i="4"/>
  <c r="AL77" i="4"/>
  <c r="CC79" i="4"/>
  <c r="BR70" i="4"/>
  <c r="AK66" i="4"/>
  <c r="AM66" i="4" s="1"/>
  <c r="AT100" i="4"/>
  <c r="AK74" i="4"/>
  <c r="AM74" i="4" s="1"/>
  <c r="BX71" i="4"/>
  <c r="AT86" i="4"/>
  <c r="AL86" i="4"/>
  <c r="BX101" i="4"/>
  <c r="AT73" i="4"/>
  <c r="BX69" i="4"/>
  <c r="AT79" i="4"/>
  <c r="AL97" i="4"/>
  <c r="CE27" i="4"/>
  <c r="CE47" i="4"/>
  <c r="CE18" i="4"/>
  <c r="CE37" i="4"/>
  <c r="CE33" i="4"/>
  <c r="CE50" i="4"/>
  <c r="DH64" i="4"/>
  <c r="DH88" i="4"/>
  <c r="DH81" i="4"/>
  <c r="DH89" i="4"/>
  <c r="DH65" i="4"/>
  <c r="DH62" i="4"/>
  <c r="DH79" i="4"/>
  <c r="DH66" i="4"/>
  <c r="DH104" i="4"/>
  <c r="DH73" i="4"/>
  <c r="DH96" i="4"/>
  <c r="DH72" i="4"/>
  <c r="DH82" i="4"/>
  <c r="DH90" i="4"/>
  <c r="DH105" i="4"/>
  <c r="DH75" i="4"/>
  <c r="DH80" i="4"/>
  <c r="DH83" i="4"/>
  <c r="DH76" i="4"/>
  <c r="DH87" i="4"/>
  <c r="DH98" i="4"/>
  <c r="DH106" i="4"/>
  <c r="DH91" i="4"/>
  <c r="DH92" i="4"/>
  <c r="DH101" i="4"/>
  <c r="DH78" i="4"/>
  <c r="DH97" i="4"/>
  <c r="DH67" i="4"/>
  <c r="DH99" i="4"/>
  <c r="DH85" i="4"/>
  <c r="DH74" i="4"/>
  <c r="DH95" i="4"/>
  <c r="DH84" i="4"/>
  <c r="DH71" i="4"/>
  <c r="DH69" i="4"/>
  <c r="DH63" i="4"/>
  <c r="DH68" i="4"/>
  <c r="DH102" i="4"/>
  <c r="DH93" i="4"/>
  <c r="DH103" i="4"/>
  <c r="DH86" i="4"/>
  <c r="DH100" i="4"/>
  <c r="DH25" i="4"/>
  <c r="DH48" i="4"/>
  <c r="DH36" i="4"/>
  <c r="DH49" i="4"/>
  <c r="DH31" i="4"/>
  <c r="DH20" i="4"/>
  <c r="BF58" i="4"/>
  <c r="BF48" i="4"/>
  <c r="BF33" i="4"/>
  <c r="BF25" i="4"/>
  <c r="BF38" i="4"/>
  <c r="BF55" i="4"/>
  <c r="BF19" i="4"/>
  <c r="AU47" i="4"/>
  <c r="DE86" i="4"/>
  <c r="DF86" i="4"/>
  <c r="BC85" i="4"/>
  <c r="BD85" i="4"/>
  <c r="DE75" i="4"/>
  <c r="DF75" i="4"/>
  <c r="AT99" i="4"/>
  <c r="AL73" i="4"/>
  <c r="AT84" i="4"/>
  <c r="AL79" i="4"/>
  <c r="AT97" i="4"/>
  <c r="BN86" i="4"/>
  <c r="BV97" i="4"/>
  <c r="BW97" i="4" s="1"/>
  <c r="BX78" i="4"/>
  <c r="BV91" i="4"/>
  <c r="BW91" i="4" s="1"/>
  <c r="AK78" i="4"/>
  <c r="CE51" i="4"/>
  <c r="CE45" i="4"/>
  <c r="CE38" i="4"/>
  <c r="CE53" i="4"/>
  <c r="AU79" i="4"/>
  <c r="AU65" i="4"/>
  <c r="AU62" i="4"/>
  <c r="AU72" i="4"/>
  <c r="AU81" i="4"/>
  <c r="AU104" i="4"/>
  <c r="AU64" i="4"/>
  <c r="AU80" i="4"/>
  <c r="AU74" i="4"/>
  <c r="AU96" i="4"/>
  <c r="AU89" i="4"/>
  <c r="AU87" i="4"/>
  <c r="AU90" i="4"/>
  <c r="AU91" i="4"/>
  <c r="AU63" i="4"/>
  <c r="AU75" i="4"/>
  <c r="AU88" i="4"/>
  <c r="AU105" i="4"/>
  <c r="AU106" i="4"/>
  <c r="AU76" i="4"/>
  <c r="AU82" i="4"/>
  <c r="AU97" i="4"/>
  <c r="AU98" i="4"/>
  <c r="AU93" i="4"/>
  <c r="AU84" i="4"/>
  <c r="AU100" i="4"/>
  <c r="AU73" i="4"/>
  <c r="AU95" i="4"/>
  <c r="AU103" i="4"/>
  <c r="AU99" i="4"/>
  <c r="AU92" i="4"/>
  <c r="AU71" i="4"/>
  <c r="AU77" i="4"/>
  <c r="AU85" i="4"/>
  <c r="AU70" i="4"/>
  <c r="AU83" i="4"/>
  <c r="AU68" i="4"/>
  <c r="AU78" i="4"/>
  <c r="AU86" i="4"/>
  <c r="AU94" i="4"/>
  <c r="AU41" i="4"/>
  <c r="AU21" i="4"/>
  <c r="ET12" i="4"/>
  <c r="AU15" i="4"/>
  <c r="AU40" i="4"/>
  <c r="AU11" i="4"/>
  <c r="AU69" i="4"/>
  <c r="AU16" i="4"/>
  <c r="AU37" i="4"/>
  <c r="AU57" i="4"/>
  <c r="AU39" i="4"/>
  <c r="AU25" i="4"/>
  <c r="AU27" i="4"/>
  <c r="AU13" i="4"/>
  <c r="AU102" i="4"/>
  <c r="AU22" i="4"/>
  <c r="AU58" i="4"/>
  <c r="AU49" i="4"/>
  <c r="AU29" i="4"/>
  <c r="AU12" i="4"/>
  <c r="AU36" i="4"/>
  <c r="AU45" i="4"/>
  <c r="AU66" i="4"/>
  <c r="AU67" i="4"/>
  <c r="AU101" i="4"/>
  <c r="AU18" i="4"/>
  <c r="AU14" i="4"/>
  <c r="AU34" i="4"/>
  <c r="AU53" i="4"/>
  <c r="AU43" i="4"/>
  <c r="AU42" i="4"/>
  <c r="AU48" i="4"/>
  <c r="AU46" i="4"/>
  <c r="AU35" i="4"/>
  <c r="AU59" i="4"/>
  <c r="AU19" i="4"/>
  <c r="AU33" i="4"/>
  <c r="AU60" i="4"/>
  <c r="AU30" i="4"/>
  <c r="AU17" i="4"/>
  <c r="AU23" i="4"/>
  <c r="AT85" i="4"/>
  <c r="AT87" i="4"/>
  <c r="CE17" i="4"/>
  <c r="CE49" i="4"/>
  <c r="CE25" i="4"/>
  <c r="CE28" i="4"/>
  <c r="CE60" i="4"/>
  <c r="CE31" i="4"/>
  <c r="DH33" i="4"/>
  <c r="DH57" i="4"/>
  <c r="DH13" i="4"/>
  <c r="DH56" i="4"/>
  <c r="DH35" i="4"/>
  <c r="DH54" i="4"/>
  <c r="DH59" i="4"/>
  <c r="BF50" i="4"/>
  <c r="ET14" i="4"/>
  <c r="BF35" i="4"/>
  <c r="BF56" i="4"/>
  <c r="BF47" i="4"/>
  <c r="BF61" i="4"/>
  <c r="AU44" i="4"/>
  <c r="AU26" i="4"/>
  <c r="AU20" i="4"/>
  <c r="CE94" i="4"/>
  <c r="AX86" i="4"/>
  <c r="AY86" i="4"/>
  <c r="DH70" i="4"/>
  <c r="DD77" i="4"/>
  <c r="DE77" i="4" s="1"/>
  <c r="BB91" i="4"/>
  <c r="BC91" i="4" s="1"/>
  <c r="BV84" i="4"/>
  <c r="BW84" i="4" s="1"/>
  <c r="BX74" i="4"/>
  <c r="AT93" i="4"/>
  <c r="CC91" i="4"/>
  <c r="AT76" i="4"/>
  <c r="AK85" i="4"/>
  <c r="AM85" i="4" s="1"/>
  <c r="AK87" i="4"/>
  <c r="CE41" i="4"/>
  <c r="CE14" i="4"/>
  <c r="CE24" i="4"/>
  <c r="CE21" i="4"/>
  <c r="CE11" i="4"/>
  <c r="CE30" i="4"/>
  <c r="CE16" i="4"/>
  <c r="DH29" i="4"/>
  <c r="DH44" i="4"/>
  <c r="DH11" i="4"/>
  <c r="DH32" i="4"/>
  <c r="DH19" i="4"/>
  <c r="DH50" i="4"/>
  <c r="DH43" i="4"/>
  <c r="BF57" i="4"/>
  <c r="BF36" i="4"/>
  <c r="BF30" i="4"/>
  <c r="BF54" i="4"/>
  <c r="BF20" i="4"/>
  <c r="BF16" i="4"/>
  <c r="AU55" i="4"/>
  <c r="AU32" i="4"/>
  <c r="AU56" i="4"/>
  <c r="AT90" i="4"/>
  <c r="AT69" i="4"/>
  <c r="AL93" i="4"/>
  <c r="CE87" i="4"/>
  <c r="CE62" i="4"/>
  <c r="CE64" i="4"/>
  <c r="CE72" i="4"/>
  <c r="CE88" i="4"/>
  <c r="CE73" i="4"/>
  <c r="CE80" i="4"/>
  <c r="CE65" i="4"/>
  <c r="CE104" i="4"/>
  <c r="CE81" i="4"/>
  <c r="CE89" i="4"/>
  <c r="CE82" i="4"/>
  <c r="CE90" i="4"/>
  <c r="CE106" i="4"/>
  <c r="CE75" i="4"/>
  <c r="CE63" i="4"/>
  <c r="CE76" i="4"/>
  <c r="CE98" i="4"/>
  <c r="CE99" i="4"/>
  <c r="CE105" i="4"/>
  <c r="CE67" i="4"/>
  <c r="CE96" i="4"/>
  <c r="CE83" i="4"/>
  <c r="CE84" i="4"/>
  <c r="CE103" i="4"/>
  <c r="CE77" i="4"/>
  <c r="CE85" i="4"/>
  <c r="CE100" i="4"/>
  <c r="CE69" i="4"/>
  <c r="CE93" i="4"/>
  <c r="CE79" i="4"/>
  <c r="CE66" i="4"/>
  <c r="CE68" i="4"/>
  <c r="CE70" i="4"/>
  <c r="CE97" i="4"/>
  <c r="CE101" i="4"/>
  <c r="CE86" i="4"/>
  <c r="CE91" i="4"/>
  <c r="CE95" i="4"/>
  <c r="CE71" i="4"/>
  <c r="CE92" i="4"/>
  <c r="CE74" i="4"/>
  <c r="CE78" i="4"/>
  <c r="CE39" i="4"/>
  <c r="CE26" i="4"/>
  <c r="CE19" i="4"/>
  <c r="CE44" i="4"/>
  <c r="CE55" i="4"/>
  <c r="CE61" i="4"/>
  <c r="DH51" i="4"/>
  <c r="DH26" i="4"/>
  <c r="DH61" i="4"/>
  <c r="DH52" i="4"/>
  <c r="DH23" i="4"/>
  <c r="DH17" i="4"/>
  <c r="BF37" i="4"/>
  <c r="BF29" i="4"/>
  <c r="BF24" i="4"/>
  <c r="BF22" i="4"/>
  <c r="BF46" i="4"/>
  <c r="BF39" i="4"/>
  <c r="BF42" i="4"/>
  <c r="AU54" i="4"/>
  <c r="AU51" i="4"/>
  <c r="CV82" i="4"/>
  <c r="CW82" i="4" s="1"/>
  <c r="AT96" i="4"/>
  <c r="AL90" i="4"/>
  <c r="AL69" i="4"/>
  <c r="AT82" i="4"/>
  <c r="AT105" i="4"/>
  <c r="AT102" i="4"/>
  <c r="AT71" i="4"/>
  <c r="CE52" i="4"/>
  <c r="CE54" i="4"/>
  <c r="CE12" i="4"/>
  <c r="CE40" i="4"/>
  <c r="CE46" i="4"/>
  <c r="CE22" i="4"/>
  <c r="CE32" i="4"/>
  <c r="DH47" i="4"/>
  <c r="DH55" i="4"/>
  <c r="DH14" i="4"/>
  <c r="DH12" i="4"/>
  <c r="DH37" i="4"/>
  <c r="ET23" i="4"/>
  <c r="BF73" i="4"/>
  <c r="BF81" i="4"/>
  <c r="BF79" i="4"/>
  <c r="BF66" i="4"/>
  <c r="BF105" i="4"/>
  <c r="BF80" i="4"/>
  <c r="BF88" i="4"/>
  <c r="BF89" i="4"/>
  <c r="BF74" i="4"/>
  <c r="BF72" i="4"/>
  <c r="BF104" i="4"/>
  <c r="BF62" i="4"/>
  <c r="BF96" i="4"/>
  <c r="BF76" i="4"/>
  <c r="BF67" i="4"/>
  <c r="BF87" i="4"/>
  <c r="BF84" i="4"/>
  <c r="BF90" i="4"/>
  <c r="BF83" i="4"/>
  <c r="BF65" i="4"/>
  <c r="BF85" i="4"/>
  <c r="BF78" i="4"/>
  <c r="BF91" i="4"/>
  <c r="BF99" i="4"/>
  <c r="BF63" i="4"/>
  <c r="BF71" i="4"/>
  <c r="BF69" i="4"/>
  <c r="BF77" i="4"/>
  <c r="BF97" i="4"/>
  <c r="BF103" i="4"/>
  <c r="BF95" i="4"/>
  <c r="BF68" i="4"/>
  <c r="BF101" i="4"/>
  <c r="BF64" i="4"/>
  <c r="BF106" i="4"/>
  <c r="BF100" i="4"/>
  <c r="BF92" i="4"/>
  <c r="BF82" i="4"/>
  <c r="BF86" i="4"/>
  <c r="BF94" i="4"/>
  <c r="BF93" i="4"/>
  <c r="BF102" i="4"/>
  <c r="BF75" i="4"/>
  <c r="BF70" i="4"/>
  <c r="BF31" i="4"/>
  <c r="BF60" i="4"/>
  <c r="BF32" i="4"/>
  <c r="BF18" i="4"/>
  <c r="BF23" i="4"/>
  <c r="BF52" i="4"/>
  <c r="AU31" i="4"/>
  <c r="AU28" i="4"/>
  <c r="BD94" i="4"/>
  <c r="AW70" i="4"/>
  <c r="AX70" i="4" s="1"/>
  <c r="DH77" i="4"/>
  <c r="CV71" i="4"/>
  <c r="CW71" i="4" s="1"/>
  <c r="AO78" i="4"/>
  <c r="AO77" i="4"/>
  <c r="BI71" i="4"/>
  <c r="BH71" i="4"/>
  <c r="AO58" i="4"/>
  <c r="ET20" i="4"/>
  <c r="AO37" i="4"/>
  <c r="AO54" i="4"/>
  <c r="AO44" i="4"/>
  <c r="AO11" i="4"/>
  <c r="AO39" i="4"/>
  <c r="CZ72" i="4"/>
  <c r="CZ104" i="4"/>
  <c r="CZ89" i="4"/>
  <c r="CZ79" i="4"/>
  <c r="CZ65" i="4"/>
  <c r="CZ105" i="4"/>
  <c r="CZ98" i="4"/>
  <c r="CZ63" i="4"/>
  <c r="CZ68" i="4"/>
  <c r="CZ62" i="4"/>
  <c r="CZ96" i="4"/>
  <c r="CZ90" i="4"/>
  <c r="CZ91" i="4"/>
  <c r="CZ73" i="4"/>
  <c r="CZ81" i="4"/>
  <c r="CZ97" i="4"/>
  <c r="CZ74" i="4"/>
  <c r="CZ67" i="4"/>
  <c r="CZ80" i="4"/>
  <c r="CZ82" i="4"/>
  <c r="CZ106" i="4"/>
  <c r="CZ99" i="4"/>
  <c r="CZ76" i="4"/>
  <c r="CZ64" i="4"/>
  <c r="CZ87" i="4"/>
  <c r="CZ66" i="4"/>
  <c r="CZ83" i="4"/>
  <c r="CZ77" i="4"/>
  <c r="CZ101" i="4"/>
  <c r="CZ78" i="4"/>
  <c r="CZ88" i="4"/>
  <c r="CZ95" i="4"/>
  <c r="CZ84" i="4"/>
  <c r="CZ75" i="4"/>
  <c r="CZ92" i="4"/>
  <c r="CZ71" i="4"/>
  <c r="CZ103" i="4"/>
  <c r="CZ85" i="4"/>
  <c r="CZ70" i="4"/>
  <c r="CZ100" i="4"/>
  <c r="CZ47" i="4"/>
  <c r="CZ57" i="4"/>
  <c r="CZ24" i="4"/>
  <c r="CZ56" i="4"/>
  <c r="CZ60" i="4"/>
  <c r="CZ52" i="4"/>
  <c r="CV94" i="4"/>
  <c r="CW94" i="4" s="1"/>
  <c r="BB86" i="4"/>
  <c r="BC86" i="4" s="1"/>
  <c r="CX70" i="4"/>
  <c r="BI70" i="4"/>
  <c r="CX77" i="4"/>
  <c r="BB69" i="4"/>
  <c r="BC69" i="4" s="1"/>
  <c r="DE69" i="4"/>
  <c r="DF69" i="4"/>
  <c r="AY92" i="4"/>
  <c r="DD63" i="4"/>
  <c r="DF63" i="4" s="1"/>
  <c r="BI83" i="4"/>
  <c r="BH83" i="4"/>
  <c r="CV103" i="4"/>
  <c r="BD92" i="4"/>
  <c r="AO92" i="4"/>
  <c r="CW67" i="4"/>
  <c r="CX67" i="4"/>
  <c r="AO18" i="4"/>
  <c r="AO26" i="4"/>
  <c r="AO28" i="4"/>
  <c r="AO46" i="4"/>
  <c r="ET22" i="4"/>
  <c r="AO31" i="4"/>
  <c r="AO35" i="4"/>
  <c r="CZ22" i="4"/>
  <c r="AO102" i="4"/>
  <c r="BH78" i="4"/>
  <c r="BB70" i="4"/>
  <c r="BC70" i="4" s="1"/>
  <c r="AO93" i="4"/>
  <c r="AO103" i="4"/>
  <c r="BC71" i="4"/>
  <c r="BD71" i="4"/>
  <c r="CX68" i="4"/>
  <c r="CW68" i="4"/>
  <c r="BB66" i="4"/>
  <c r="BD66" i="4" s="1"/>
  <c r="AO72" i="4"/>
  <c r="AO65" i="4"/>
  <c r="AO81" i="4"/>
  <c r="AO96" i="4"/>
  <c r="AO87" i="4"/>
  <c r="AO62" i="4"/>
  <c r="AO80" i="4"/>
  <c r="AO66" i="4"/>
  <c r="AO88" i="4"/>
  <c r="AO104" i="4"/>
  <c r="AO97" i="4"/>
  <c r="AO64" i="4"/>
  <c r="AO79" i="4"/>
  <c r="AO105" i="4"/>
  <c r="AO90" i="4"/>
  <c r="AO99" i="4"/>
  <c r="AO82" i="4"/>
  <c r="AO63" i="4"/>
  <c r="AO89" i="4"/>
  <c r="AO68" i="4"/>
  <c r="AO106" i="4"/>
  <c r="AO67" i="4"/>
  <c r="AO75" i="4"/>
  <c r="AO70" i="4"/>
  <c r="AO74" i="4"/>
  <c r="AO69" i="4"/>
  <c r="AO91" i="4"/>
  <c r="AO71" i="4"/>
  <c r="AO95" i="4"/>
  <c r="AO100" i="4"/>
  <c r="AO85" i="4"/>
  <c r="AO73" i="4"/>
  <c r="AO98" i="4"/>
  <c r="AO83" i="4"/>
  <c r="AO34" i="4"/>
  <c r="AO20" i="4"/>
  <c r="AO15" i="4"/>
  <c r="AO53" i="4"/>
  <c r="AO43" i="4"/>
  <c r="AO36" i="4"/>
  <c r="CZ23" i="4"/>
  <c r="AO101" i="4"/>
  <c r="CZ93" i="4"/>
  <c r="CX93" i="4"/>
  <c r="CW93" i="4"/>
  <c r="CZ69" i="4"/>
  <c r="BB100" i="4"/>
  <c r="CX92" i="4"/>
  <c r="CX84" i="4"/>
  <c r="AW81" i="4"/>
  <c r="AX81" i="4" s="1"/>
  <c r="AO45" i="4"/>
  <c r="AO48" i="4"/>
  <c r="AO24" i="4"/>
  <c r="AO55" i="4"/>
  <c r="ET11" i="4"/>
  <c r="AO60" i="4"/>
  <c r="AO38" i="4"/>
  <c r="CZ20" i="4"/>
  <c r="CZ55" i="4"/>
  <c r="CZ27" i="4"/>
  <c r="CZ50" i="4"/>
  <c r="CZ30" i="4"/>
  <c r="CZ21" i="4"/>
  <c r="CZ94" i="4"/>
  <c r="CZ86" i="4"/>
  <c r="BD78" i="4"/>
  <c r="DF92" i="4"/>
  <c r="DE92" i="4"/>
  <c r="BB84" i="4"/>
  <c r="BC84" i="4" s="1"/>
  <c r="BH84" i="4"/>
  <c r="BI84" i="4"/>
  <c r="AW106" i="4"/>
  <c r="AY90" i="4"/>
  <c r="AX90" i="4"/>
  <c r="AO16" i="4"/>
  <c r="AO25" i="4"/>
  <c r="AO22" i="4"/>
  <c r="AO94" i="4"/>
  <c r="BD93" i="4"/>
  <c r="BC93" i="4"/>
  <c r="DF71" i="4"/>
  <c r="DE71" i="4"/>
  <c r="BI98" i="4"/>
  <c r="BH98" i="4"/>
  <c r="CV105" i="4"/>
  <c r="AY85" i="4"/>
  <c r="CV85" i="4"/>
  <c r="CW85" i="4" s="1"/>
  <c r="BB77" i="4"/>
  <c r="BC77" i="4" s="1"/>
  <c r="AX71" i="4"/>
  <c r="BI92" i="4"/>
  <c r="AX84" i="4"/>
  <c r="DF76" i="4"/>
  <c r="AW99" i="4"/>
  <c r="AX99" i="4" s="1"/>
  <c r="DF67" i="4"/>
  <c r="DF98" i="4"/>
  <c r="DE98" i="4"/>
  <c r="DF81" i="4"/>
  <c r="CV80" i="4"/>
  <c r="CW80" i="4" s="1"/>
  <c r="CV69" i="4"/>
  <c r="CX69" i="4" s="1"/>
  <c r="CX100" i="4"/>
  <c r="AY68" i="4"/>
  <c r="DE95" i="4"/>
  <c r="BB74" i="4"/>
  <c r="BC74" i="4" s="1"/>
  <c r="DD93" i="4"/>
  <c r="DE93" i="4" s="1"/>
  <c r="AY77" i="4"/>
  <c r="CV83" i="4"/>
  <c r="CW83" i="4" s="1"/>
  <c r="BB90" i="4"/>
  <c r="BC90" i="4" s="1"/>
  <c r="DD79" i="4"/>
  <c r="DE79" i="4" s="1"/>
  <c r="BH69" i="4"/>
  <c r="BH99" i="4"/>
  <c r="CX98" i="4"/>
  <c r="AY87" i="4"/>
  <c r="CV95" i="4"/>
  <c r="CW95" i="4" s="1"/>
  <c r="CW75" i="4"/>
  <c r="BB67" i="4"/>
  <c r="BC67" i="4" s="1"/>
  <c r="AX98" i="4"/>
  <c r="AY98" i="4"/>
  <c r="BH90" i="4"/>
  <c r="BI90" i="4"/>
  <c r="DD82" i="4"/>
  <c r="DE82" i="4" s="1"/>
  <c r="BD82" i="4"/>
  <c r="BC82" i="4"/>
  <c r="BI65" i="4"/>
  <c r="BH65" i="4"/>
  <c r="DF84" i="4"/>
  <c r="BH82" i="4"/>
  <c r="BI82" i="4"/>
  <c r="CX74" i="4"/>
  <c r="DE66" i="4"/>
  <c r="DF66" i="4"/>
  <c r="CX62" i="4"/>
  <c r="AW97" i="4"/>
  <c r="AX97" i="4" s="1"/>
  <c r="CX90" i="4"/>
  <c r="AW105" i="4"/>
  <c r="DF89" i="4"/>
  <c r="AW104" i="4"/>
  <c r="CX104" i="4"/>
  <c r="AY62" i="4"/>
  <c r="AY74" i="4"/>
  <c r="DF74" i="4"/>
  <c r="BD65" i="4"/>
  <c r="BB96" i="4"/>
  <c r="BC96" i="4" s="1"/>
  <c r="CX91" i="4"/>
  <c r="AW89" i="4"/>
  <c r="AX89" i="4" s="1"/>
  <c r="BI89" i="4"/>
  <c r="BH89" i="4"/>
  <c r="AY65" i="4"/>
  <c r="DF65" i="4"/>
  <c r="BH79" i="4"/>
  <c r="BI79" i="4"/>
  <c r="DD88" i="4"/>
  <c r="DE88" i="4" s="1"/>
  <c r="DF80" i="4"/>
  <c r="DF64" i="4"/>
  <c r="DF87" i="4"/>
  <c r="BB89" i="4"/>
  <c r="BC89" i="4" s="1"/>
  <c r="CW79" i="4"/>
  <c r="CX88" i="4"/>
  <c r="CW88" i="4"/>
  <c r="BB80" i="4"/>
  <c r="BC80" i="4" s="1"/>
  <c r="DF62" i="4"/>
  <c r="CW81" i="4"/>
  <c r="DD73" i="4"/>
  <c r="DE73" i="4" s="1"/>
  <c r="BD73" i="4"/>
  <c r="CX65" i="4"/>
  <c r="AX88" i="4"/>
  <c r="BI64" i="4"/>
  <c r="BD97" i="4"/>
  <c r="BI81" i="4"/>
  <c r="AY73" i="4"/>
  <c r="BI80" i="4"/>
  <c r="AW64" i="4"/>
  <c r="CB107" i="4" l="1"/>
  <c r="AX108" i="4"/>
  <c r="BS108" i="4"/>
  <c r="BR108" i="4"/>
  <c r="BH108" i="4"/>
  <c r="BS107" i="4"/>
  <c r="BR107" i="4"/>
  <c r="BC107" i="4"/>
  <c r="BH107" i="4"/>
  <c r="CX106" i="4"/>
  <c r="CW106" i="4"/>
  <c r="AY106" i="4"/>
  <c r="AX106" i="4"/>
  <c r="AL106" i="4"/>
  <c r="AM106" i="4"/>
  <c r="CX105" i="4"/>
  <c r="CW105" i="4"/>
  <c r="BN105" i="4"/>
  <c r="BM105" i="4"/>
  <c r="AY105" i="4"/>
  <c r="AX105" i="4"/>
  <c r="BD105" i="4"/>
  <c r="BC105" i="4"/>
  <c r="AY104" i="4"/>
  <c r="AX104" i="4"/>
  <c r="CC103" i="4"/>
  <c r="CB103" i="4"/>
  <c r="CX103" i="4"/>
  <c r="CW103" i="4"/>
  <c r="AT104" i="4"/>
  <c r="AS104" i="4"/>
  <c r="AY102" i="4"/>
  <c r="AX102" i="4"/>
  <c r="CX102" i="4"/>
  <c r="CW102" i="4"/>
  <c r="DF102" i="4"/>
  <c r="DE102" i="4"/>
  <c r="AY101" i="4"/>
  <c r="AX101" i="4"/>
  <c r="BD101" i="4"/>
  <c r="BC101" i="4"/>
  <c r="DF101" i="4"/>
  <c r="DE101" i="4"/>
  <c r="AL101" i="4"/>
  <c r="BX100" i="4"/>
  <c r="BW100" i="4"/>
  <c r="BD100" i="4"/>
  <c r="BC100" i="4"/>
  <c r="AY100" i="4"/>
  <c r="AX100" i="4"/>
  <c r="AL63" i="4"/>
  <c r="CC75" i="4"/>
  <c r="BX64" i="4"/>
  <c r="BX84" i="4"/>
  <c r="AL95" i="4"/>
  <c r="BX97" i="4"/>
  <c r="BX91" i="4"/>
  <c r="DF79" i="4"/>
  <c r="AL67" i="4"/>
  <c r="AL75" i="4"/>
  <c r="AY72" i="4"/>
  <c r="CX82" i="4"/>
  <c r="BD84" i="4"/>
  <c r="AL74" i="4"/>
  <c r="BD86" i="4"/>
  <c r="AL92" i="4"/>
  <c r="BN62" i="4"/>
  <c r="AL65" i="4"/>
  <c r="BD67" i="4"/>
  <c r="AL96" i="4"/>
  <c r="BD95" i="4"/>
  <c r="BD80" i="4"/>
  <c r="AY89" i="4"/>
  <c r="AY81" i="4"/>
  <c r="DF77" i="4"/>
  <c r="CX108" i="4"/>
  <c r="AL84" i="4"/>
  <c r="DF72" i="4"/>
  <c r="DF108" i="4"/>
  <c r="DF82" i="4"/>
  <c r="BD90" i="4"/>
  <c r="DF107" i="4"/>
  <c r="CX86" i="4"/>
  <c r="AY67" i="4"/>
  <c r="AL94" i="4"/>
  <c r="AY107" i="4"/>
  <c r="AT70" i="4"/>
  <c r="DF90" i="4"/>
  <c r="BD96" i="4"/>
  <c r="AM98" i="4"/>
  <c r="AL98" i="4"/>
  <c r="CX85" i="4"/>
  <c r="AM88" i="4"/>
  <c r="AL88" i="4"/>
  <c r="AK107" i="4"/>
  <c r="BX96" i="4"/>
  <c r="AR108" i="4"/>
  <c r="CB71" i="4"/>
  <c r="DF73" i="4"/>
  <c r="BD74" i="4"/>
  <c r="BD69" i="4"/>
  <c r="DF93" i="4"/>
  <c r="AL62" i="4"/>
  <c r="AM62" i="4"/>
  <c r="BL107" i="4"/>
  <c r="AL66" i="4"/>
  <c r="BE109" i="4"/>
  <c r="AZ109" i="4"/>
  <c r="BY109" i="4"/>
  <c r="AV109" i="4"/>
  <c r="DH109" i="4"/>
  <c r="BO109" i="4"/>
  <c r="BP109" i="4"/>
  <c r="AU109" i="4"/>
  <c r="DG109" i="4"/>
  <c r="BK109" i="4"/>
  <c r="AD109" i="4"/>
  <c r="AO109" i="4"/>
  <c r="BA109" i="4"/>
  <c r="CU109" i="4"/>
  <c r="CV109" i="4" s="1"/>
  <c r="CW109" i="4" s="1"/>
  <c r="CY109" i="4"/>
  <c r="BF109" i="4"/>
  <c r="AN109" i="4"/>
  <c r="CM109" i="4"/>
  <c r="BJ109" i="4"/>
  <c r="AC109" i="4"/>
  <c r="BB109" i="4" s="1"/>
  <c r="BC109" i="4" s="1"/>
  <c r="BU109" i="4"/>
  <c r="DC109" i="4"/>
  <c r="DD109" i="4" s="1"/>
  <c r="DE109" i="4" s="1"/>
  <c r="CE109" i="4"/>
  <c r="AB109" i="4"/>
  <c r="AW109" i="4" s="1"/>
  <c r="AX109" i="4" s="1"/>
  <c r="CZ109" i="4"/>
  <c r="AH109" i="4"/>
  <c r="BZ109" i="4"/>
  <c r="CD109" i="4"/>
  <c r="AP109" i="4"/>
  <c r="W109" i="4"/>
  <c r="BQ109" i="4" s="1"/>
  <c r="AE109" i="4"/>
  <c r="BL109" i="4" s="1"/>
  <c r="BM109" i="4" s="1"/>
  <c r="AF109" i="4"/>
  <c r="AG109" i="4"/>
  <c r="BT109" i="4"/>
  <c r="BG109" i="4"/>
  <c r="BI109" i="4" s="1"/>
  <c r="AL81" i="4"/>
  <c r="DF88" i="4"/>
  <c r="CX95" i="4"/>
  <c r="CX71" i="4"/>
  <c r="AM78" i="4"/>
  <c r="AL78" i="4"/>
  <c r="AM91" i="4"/>
  <c r="AL91" i="4"/>
  <c r="BX85" i="4"/>
  <c r="AL85" i="4"/>
  <c r="CC108" i="4"/>
  <c r="BC66" i="4"/>
  <c r="BD91" i="4"/>
  <c r="BV107" i="4"/>
  <c r="AM80" i="4"/>
  <c r="AL80" i="4"/>
  <c r="BV108" i="4"/>
  <c r="BW108" i="4" s="1"/>
  <c r="BB108" i="4"/>
  <c r="AX64" i="4"/>
  <c r="DE63" i="4"/>
  <c r="CX94" i="4"/>
  <c r="AM87" i="4"/>
  <c r="AL87" i="4"/>
  <c r="BD70" i="4"/>
  <c r="AT107" i="4"/>
  <c r="BW62" i="4"/>
  <c r="BX81" i="4"/>
  <c r="AK108" i="4"/>
  <c r="AM108" i="4" s="1"/>
  <c r="AY64" i="4"/>
  <c r="BD89" i="4"/>
  <c r="AY97" i="4"/>
  <c r="CX83" i="4"/>
  <c r="CW69" i="4"/>
  <c r="AY99" i="4"/>
  <c r="AY70" i="4"/>
  <c r="CX107" i="4"/>
  <c r="BX62" i="4"/>
  <c r="BN92" i="4"/>
  <c r="BN108" i="4"/>
  <c r="CX80" i="4"/>
  <c r="BD77" i="4"/>
  <c r="BX83" i="4"/>
  <c r="CC71" i="4"/>
  <c r="BS109" i="4" l="1"/>
  <c r="BR109" i="4"/>
  <c r="BH109" i="4"/>
  <c r="BD108" i="4"/>
  <c r="BC108" i="4"/>
  <c r="AT108" i="4"/>
  <c r="AS108" i="4"/>
  <c r="BN107" i="4"/>
  <c r="BM107" i="4"/>
  <c r="BX107" i="4"/>
  <c r="BW107" i="4"/>
  <c r="AL107" i="4"/>
  <c r="AM107" i="4"/>
  <c r="BD109" i="4"/>
  <c r="DF109" i="4"/>
  <c r="AL108" i="4"/>
  <c r="BX108" i="4"/>
  <c r="AY109" i="4"/>
  <c r="BV109" i="4"/>
  <c r="BW109" i="4" s="1"/>
  <c r="AR109" i="4"/>
  <c r="BN109" i="4"/>
  <c r="AK109" i="4"/>
  <c r="AM109" i="4" s="1"/>
  <c r="CA109" i="4"/>
  <c r="CB109" i="4" s="1"/>
  <c r="CX109" i="4"/>
  <c r="BU110" i="4"/>
  <c r="BO110" i="4"/>
  <c r="AU110" i="4"/>
  <c r="BT110" i="4"/>
  <c r="BK110" i="4"/>
  <c r="CU110" i="4"/>
  <c r="CV110" i="4" s="1"/>
  <c r="CW110" i="4" s="1"/>
  <c r="AB110" i="4"/>
  <c r="AW110" i="4" s="1"/>
  <c r="AX110" i="4" s="1"/>
  <c r="BA110" i="4"/>
  <c r="AN110" i="4"/>
  <c r="CM110" i="4"/>
  <c r="BJ110" i="4"/>
  <c r="DG110" i="4"/>
  <c r="CY110" i="4"/>
  <c r="BE110" i="4"/>
  <c r="CE110" i="4"/>
  <c r="AD110" i="4"/>
  <c r="BP110" i="4"/>
  <c r="CZ110" i="4"/>
  <c r="BY110" i="4"/>
  <c r="AZ110" i="4"/>
  <c r="CD110" i="4"/>
  <c r="BG110" i="4"/>
  <c r="BI110" i="4" s="1"/>
  <c r="AO110" i="4"/>
  <c r="DC110" i="4"/>
  <c r="AC110" i="4"/>
  <c r="BF110" i="4"/>
  <c r="AG110" i="4"/>
  <c r="AP110" i="4"/>
  <c r="AE110" i="4"/>
  <c r="BL110" i="4" s="1"/>
  <c r="BM110" i="4" s="1"/>
  <c r="AF110" i="4"/>
  <c r="AV110" i="4"/>
  <c r="BZ110" i="4"/>
  <c r="DH110" i="4"/>
  <c r="W110" i="4"/>
  <c r="BQ110" i="4" s="1"/>
  <c r="AH110" i="4"/>
  <c r="BS110" i="4" l="1"/>
  <c r="BR110" i="4"/>
  <c r="BH110" i="4"/>
  <c r="AT109" i="4"/>
  <c r="AS109" i="4"/>
  <c r="AR110" i="4"/>
  <c r="CX110" i="4"/>
  <c r="BV110" i="4"/>
  <c r="BN110" i="4"/>
  <c r="BB110" i="4"/>
  <c r="BC110" i="4" s="1"/>
  <c r="AY110" i="4"/>
  <c r="DD110" i="4"/>
  <c r="AK110" i="4"/>
  <c r="BK111" i="4"/>
  <c r="BO111" i="4"/>
  <c r="CU111" i="4"/>
  <c r="CY111" i="4"/>
  <c r="AN111" i="4"/>
  <c r="DG111" i="4"/>
  <c r="AO111" i="4"/>
  <c r="BY111" i="4"/>
  <c r="AD111" i="4"/>
  <c r="CD111" i="4"/>
  <c r="BJ111" i="4"/>
  <c r="BF111" i="4"/>
  <c r="AU111" i="4"/>
  <c r="BE111" i="4"/>
  <c r="AC111" i="4"/>
  <c r="BB111" i="4" s="1"/>
  <c r="BD111" i="4" s="1"/>
  <c r="DC111" i="4"/>
  <c r="DD111" i="4" s="1"/>
  <c r="DF111" i="4" s="1"/>
  <c r="BG111" i="4"/>
  <c r="BI111" i="4" s="1"/>
  <c r="AV111" i="4"/>
  <c r="BT111" i="4"/>
  <c r="BZ111" i="4"/>
  <c r="BA111" i="4"/>
  <c r="AZ111" i="4"/>
  <c r="CE111" i="4"/>
  <c r="CZ111" i="4"/>
  <c r="BU111" i="4"/>
  <c r="AB111" i="4"/>
  <c r="AW111" i="4" s="1"/>
  <c r="AX111" i="4" s="1"/>
  <c r="CM111" i="4"/>
  <c r="BP111" i="4"/>
  <c r="DH111" i="4"/>
  <c r="AH111" i="4"/>
  <c r="AE111" i="4"/>
  <c r="BL111" i="4" s="1"/>
  <c r="BM111" i="4" s="1"/>
  <c r="AF111" i="4"/>
  <c r="AP111" i="4"/>
  <c r="W111" i="4"/>
  <c r="BQ111" i="4" s="1"/>
  <c r="AG111" i="4"/>
  <c r="BX109" i="4"/>
  <c r="CC109" i="4"/>
  <c r="CA110" i="4"/>
  <c r="AL109" i="4"/>
  <c r="BH111" i="4" l="1"/>
  <c r="BS111" i="4"/>
  <c r="BR111" i="4"/>
  <c r="BC111" i="4"/>
  <c r="DE111" i="4"/>
  <c r="CC110" i="4"/>
  <c r="CB110" i="4"/>
  <c r="DF110" i="4"/>
  <c r="DE110" i="4"/>
  <c r="BX110" i="4"/>
  <c r="BW110" i="4"/>
  <c r="AL110" i="4"/>
  <c r="AM110" i="4"/>
  <c r="AT110" i="4"/>
  <c r="AS110" i="4"/>
  <c r="CV111" i="4"/>
  <c r="BV111" i="4"/>
  <c r="AB112" i="4"/>
  <c r="AW112" i="4" s="1"/>
  <c r="AY112" i="4" s="1"/>
  <c r="BT112" i="4"/>
  <c r="AD112" i="4"/>
  <c r="CU112" i="4"/>
  <c r="CV112" i="4" s="1"/>
  <c r="CW112" i="4" s="1"/>
  <c r="BJ112" i="4"/>
  <c r="BO112" i="4"/>
  <c r="DG112" i="4"/>
  <c r="CE112" i="4"/>
  <c r="DH112" i="4"/>
  <c r="CZ112" i="4"/>
  <c r="CM112" i="4"/>
  <c r="BK112" i="4"/>
  <c r="AO112" i="4"/>
  <c r="AZ112" i="4"/>
  <c r="CY112" i="4"/>
  <c r="BG112" i="4"/>
  <c r="BI112" i="4" s="1"/>
  <c r="BZ112" i="4"/>
  <c r="BE112" i="4"/>
  <c r="BU112" i="4"/>
  <c r="BP112" i="4"/>
  <c r="CD112" i="4"/>
  <c r="DC112" i="4"/>
  <c r="DD112" i="4" s="1"/>
  <c r="DF112" i="4" s="1"/>
  <c r="BY112" i="4"/>
  <c r="AN112" i="4"/>
  <c r="AC112" i="4"/>
  <c r="BB112" i="4" s="1"/>
  <c r="BC112" i="4" s="1"/>
  <c r="AV112" i="4"/>
  <c r="BF112" i="4"/>
  <c r="BA112" i="4"/>
  <c r="AU112" i="4"/>
  <c r="AE112" i="4"/>
  <c r="BL112" i="4" s="1"/>
  <c r="BM112" i="4" s="1"/>
  <c r="AG112" i="4"/>
  <c r="CA112" i="4" s="1"/>
  <c r="CB112" i="4" s="1"/>
  <c r="AP112" i="4"/>
  <c r="AH112" i="4"/>
  <c r="AF112" i="4"/>
  <c r="W112" i="4"/>
  <c r="BQ112" i="4" s="1"/>
  <c r="AR111" i="4"/>
  <c r="BN111" i="4"/>
  <c r="AK111" i="4"/>
  <c r="AY111" i="4"/>
  <c r="BD110" i="4"/>
  <c r="CA111" i="4"/>
  <c r="AX112" i="4" l="1"/>
  <c r="BS112" i="4"/>
  <c r="BR112" i="4"/>
  <c r="DU15" i="4" s="1"/>
  <c r="DE112" i="4"/>
  <c r="BH112" i="4"/>
  <c r="CC111" i="4"/>
  <c r="CB111" i="4"/>
  <c r="CX111" i="4"/>
  <c r="CW111" i="4"/>
  <c r="BX111" i="4"/>
  <c r="BW111" i="4"/>
  <c r="AL111" i="4"/>
  <c r="AM111" i="4"/>
  <c r="AT111" i="4"/>
  <c r="AS111" i="4"/>
  <c r="BD112" i="4"/>
  <c r="CX112" i="4"/>
  <c r="AO113" i="4"/>
  <c r="AN113" i="4"/>
  <c r="BU113" i="4"/>
  <c r="AC113" i="4"/>
  <c r="BB113" i="4" s="1"/>
  <c r="BD113" i="4" s="1"/>
  <c r="AU113" i="4"/>
  <c r="BT113" i="4"/>
  <c r="BC113" i="4"/>
  <c r="BW113" i="4"/>
  <c r="AX113" i="4"/>
  <c r="DE113" i="4"/>
  <c r="CY113" i="4"/>
  <c r="AB113" i="4"/>
  <c r="AW113" i="4" s="1"/>
  <c r="AY113" i="4" s="1"/>
  <c r="BG113" i="4"/>
  <c r="BI113" i="4" s="1"/>
  <c r="CM113" i="4"/>
  <c r="BA113" i="4"/>
  <c r="DG113" i="4"/>
  <c r="BF113" i="4"/>
  <c r="CU113" i="4"/>
  <c r="CV113" i="4" s="1"/>
  <c r="CW113" i="4"/>
  <c r="CB113" i="4"/>
  <c r="CE113" i="4"/>
  <c r="BH113" i="4"/>
  <c r="AV113" i="4"/>
  <c r="CD113" i="4"/>
  <c r="BJ113" i="4"/>
  <c r="BM113" i="4"/>
  <c r="BO113" i="4"/>
  <c r="BK113" i="4"/>
  <c r="AD113" i="4"/>
  <c r="BY113" i="4"/>
  <c r="BZ113" i="4"/>
  <c r="DH113" i="4"/>
  <c r="AZ113" i="4"/>
  <c r="CZ113" i="4"/>
  <c r="DC113" i="4"/>
  <c r="DD113" i="4" s="1"/>
  <c r="BP113" i="4"/>
  <c r="BE113" i="4"/>
  <c r="AH113" i="4"/>
  <c r="AP113" i="4"/>
  <c r="AG113" i="4"/>
  <c r="CA113" i="4" s="1"/>
  <c r="AF113" i="4"/>
  <c r="W113" i="4"/>
  <c r="BQ113" i="4" s="1"/>
  <c r="BS113" i="4" s="1"/>
  <c r="AE113" i="4"/>
  <c r="AM114" i="4"/>
  <c r="BV112" i="4"/>
  <c r="AR112" i="4"/>
  <c r="BN112" i="4"/>
  <c r="AK112" i="4"/>
  <c r="CC112" i="4"/>
  <c r="ER15" i="4" l="1"/>
  <c r="BX112" i="4"/>
  <c r="BW112" i="4"/>
  <c r="AL112" i="4"/>
  <c r="AM112" i="4"/>
  <c r="AT112" i="4"/>
  <c r="AS112" i="4"/>
  <c r="AK113" i="4"/>
  <c r="DC114" i="4"/>
  <c r="DD114" i="4" s="1"/>
  <c r="DF114" i="4" s="1"/>
  <c r="BZ114" i="4"/>
  <c r="CR114" i="4"/>
  <c r="BU114" i="4"/>
  <c r="AB114" i="4"/>
  <c r="AW114" i="4" s="1"/>
  <c r="BY114" i="4"/>
  <c r="BO114" i="4"/>
  <c r="BJ114" i="4"/>
  <c r="CY114" i="4"/>
  <c r="BP114" i="4"/>
  <c r="BW114" i="4"/>
  <c r="AD114" i="4"/>
  <c r="CB114" i="4"/>
  <c r="BC114" i="4"/>
  <c r="BM114" i="4"/>
  <c r="BK114" i="4"/>
  <c r="AU114" i="4"/>
  <c r="BA114" i="4"/>
  <c r="AN114" i="4"/>
  <c r="CD114" i="4"/>
  <c r="DH114" i="4"/>
  <c r="AX114" i="4"/>
  <c r="BE114" i="4"/>
  <c r="AS114" i="4"/>
  <c r="CE114" i="4"/>
  <c r="CZ114" i="4"/>
  <c r="AZ114" i="4"/>
  <c r="DG114" i="4"/>
  <c r="BT114" i="4"/>
  <c r="CW114" i="4"/>
  <c r="DE114" i="4"/>
  <c r="AC114" i="4"/>
  <c r="BB114" i="4" s="1"/>
  <c r="CM114" i="4"/>
  <c r="AO114" i="4"/>
  <c r="BH114" i="4"/>
  <c r="BG114" i="4"/>
  <c r="BI114" i="4" s="1"/>
  <c r="AV114" i="4"/>
  <c r="CU114" i="4"/>
  <c r="CV114" i="4" s="1"/>
  <c r="BF114" i="4"/>
  <c r="AH114" i="4"/>
  <c r="AF114" i="4"/>
  <c r="W114" i="4"/>
  <c r="BQ114" i="4" s="1"/>
  <c r="BS114" i="4" s="1"/>
  <c r="AE114" i="4"/>
  <c r="BL114" i="4" s="1"/>
  <c r="AP114" i="4"/>
  <c r="AG114" i="4"/>
  <c r="CA114" i="4" s="1"/>
  <c r="CX113" i="4"/>
  <c r="DF113" i="4"/>
  <c r="AR113" i="4"/>
  <c r="BV113" i="4"/>
  <c r="BX113" i="4" s="1"/>
  <c r="BL113" i="4"/>
  <c r="BN113" i="4" s="1"/>
  <c r="CC113" i="4"/>
  <c r="AL113" i="4" l="1"/>
  <c r="AM113" i="4"/>
  <c r="AT113" i="4"/>
  <c r="AS113" i="4"/>
  <c r="W115" i="4"/>
  <c r="BQ115" i="4" s="1"/>
  <c r="BS115" i="4" s="1"/>
  <c r="AM115" i="4"/>
  <c r="CX114" i="4"/>
  <c r="AY114" i="4"/>
  <c r="BN114" i="4"/>
  <c r="BV114" i="4"/>
  <c r="BX114" i="4" s="1"/>
  <c r="AK114" i="4"/>
  <c r="AL114" i="4" s="1"/>
  <c r="BD114" i="4"/>
  <c r="CC114" i="4"/>
  <c r="BO115" i="4"/>
  <c r="BZ115" i="4"/>
  <c r="AN115" i="4"/>
  <c r="BA115" i="4"/>
  <c r="AD115" i="4"/>
  <c r="BH115" i="4"/>
  <c r="CZ115" i="4"/>
  <c r="BG115" i="4"/>
  <c r="BI115" i="4" s="1"/>
  <c r="AZ115" i="4"/>
  <c r="AU115" i="4"/>
  <c r="CR115" i="4"/>
  <c r="CW115" i="4"/>
  <c r="CY115" i="4"/>
  <c r="CM115" i="4"/>
  <c r="AX115" i="4"/>
  <c r="BT115" i="4"/>
  <c r="BK115" i="4"/>
  <c r="CU115" i="4"/>
  <c r="CV115" i="4" s="1"/>
  <c r="BF115" i="4"/>
  <c r="AO115" i="4"/>
  <c r="CB115" i="4"/>
  <c r="BP115" i="4"/>
  <c r="BU115" i="4"/>
  <c r="BE115" i="4"/>
  <c r="CD115" i="4"/>
  <c r="BW115" i="4"/>
  <c r="DE115" i="4"/>
  <c r="BM115" i="4"/>
  <c r="AC115" i="4"/>
  <c r="BB115" i="4" s="1"/>
  <c r="CE115" i="4"/>
  <c r="AV115" i="4"/>
  <c r="DH115" i="4"/>
  <c r="BY115" i="4"/>
  <c r="AP115" i="4"/>
  <c r="BJ115" i="4"/>
  <c r="BC115" i="4"/>
  <c r="AH115" i="4"/>
  <c r="AB115" i="4"/>
  <c r="AW115" i="4" s="1"/>
  <c r="AS115" i="4"/>
  <c r="DG115" i="4"/>
  <c r="DC115" i="4"/>
  <c r="DD115" i="4" s="1"/>
  <c r="AF115" i="4"/>
  <c r="AG115" i="4"/>
  <c r="CA115" i="4" s="1"/>
  <c r="AE115" i="4"/>
  <c r="AR114" i="4"/>
  <c r="AT114" i="4" s="1"/>
  <c r="W116" i="4" l="1"/>
  <c r="BQ116" i="4" s="1"/>
  <c r="BS116" i="4" s="1"/>
  <c r="AM116" i="4"/>
  <c r="AR115" i="4"/>
  <c r="AT115" i="4" s="1"/>
  <c r="AY115" i="4"/>
  <c r="CX115" i="4"/>
  <c r="BO116" i="4"/>
  <c r="BK116" i="4"/>
  <c r="CY116" i="4"/>
  <c r="BZ116" i="4"/>
  <c r="AO116" i="4"/>
  <c r="BT116" i="4"/>
  <c r="CD116" i="4"/>
  <c r="CZ116" i="4"/>
  <c r="BP116" i="4"/>
  <c r="DC116" i="4"/>
  <c r="DD116" i="4" s="1"/>
  <c r="DF116" i="4" s="1"/>
  <c r="CU116" i="4"/>
  <c r="DG116" i="4"/>
  <c r="AD116" i="4"/>
  <c r="BM116" i="4"/>
  <c r="BW116" i="4"/>
  <c r="CB116" i="4"/>
  <c r="BC116" i="4"/>
  <c r="AB116" i="4"/>
  <c r="AS116" i="4"/>
  <c r="BA116" i="4"/>
  <c r="CM116" i="4"/>
  <c r="DH116" i="4"/>
  <c r="DE116" i="4"/>
  <c r="AZ116" i="4"/>
  <c r="AC116" i="4"/>
  <c r="BB116" i="4" s="1"/>
  <c r="BD116" i="4" s="1"/>
  <c r="AH116" i="4"/>
  <c r="CE116" i="4"/>
  <c r="BH116" i="4"/>
  <c r="AV116" i="4"/>
  <c r="AN116" i="4"/>
  <c r="AU116" i="4"/>
  <c r="BY116" i="4"/>
  <c r="B117" i="4"/>
  <c r="BJ116" i="4"/>
  <c r="BF116" i="4"/>
  <c r="CR116" i="4"/>
  <c r="AP116" i="4"/>
  <c r="CW116" i="4"/>
  <c r="BE116" i="4"/>
  <c r="AF116" i="4"/>
  <c r="AE116" i="4"/>
  <c r="BG116" i="4"/>
  <c r="BI116" i="4" s="1"/>
  <c r="AX116" i="4"/>
  <c r="BU116" i="4"/>
  <c r="AG116" i="4"/>
  <c r="CA116" i="4" s="1"/>
  <c r="DF115" i="4"/>
  <c r="CC115" i="4"/>
  <c r="BV115" i="4"/>
  <c r="BX115" i="4" s="1"/>
  <c r="AK115" i="4"/>
  <c r="AL115" i="4" s="1"/>
  <c r="BD115" i="4"/>
  <c r="BL115" i="4"/>
  <c r="BN115" i="4" s="1"/>
  <c r="W117" i="4" l="1"/>
  <c r="BQ117" i="4" s="1"/>
  <c r="BS117" i="4" s="1"/>
  <c r="AM117" i="4"/>
  <c r="AK116" i="4"/>
  <c r="AL116" i="4" s="1"/>
  <c r="CV116" i="4"/>
  <c r="CX116" i="4" s="1"/>
  <c r="BL116" i="4"/>
  <c r="BN116" i="4" s="1"/>
  <c r="AR116" i="4"/>
  <c r="AT116" i="4" s="1"/>
  <c r="BV116" i="4"/>
  <c r="BX116" i="4" s="1"/>
  <c r="CR117" i="4"/>
  <c r="DC117" i="4"/>
  <c r="DD117" i="4" s="1"/>
  <c r="DF117" i="4" s="1"/>
  <c r="BC117" i="4"/>
  <c r="BO117" i="4"/>
  <c r="DG117" i="4"/>
  <c r="BA117" i="4"/>
  <c r="CZ117" i="4"/>
  <c r="BT117" i="4"/>
  <c r="AX117" i="4"/>
  <c r="DH117" i="4"/>
  <c r="BK117" i="4"/>
  <c r="AF117" i="4"/>
  <c r="BG117" i="4"/>
  <c r="BI117" i="4" s="1"/>
  <c r="BM117" i="4"/>
  <c r="BZ117" i="4"/>
  <c r="CB117" i="4"/>
  <c r="DE117" i="4"/>
  <c r="AN117" i="4"/>
  <c r="AS117" i="4"/>
  <c r="AB117" i="4"/>
  <c r="AW117" i="4" s="1"/>
  <c r="AY117" i="4" s="1"/>
  <c r="BJ117" i="4"/>
  <c r="AV117" i="4"/>
  <c r="CD117" i="4"/>
  <c r="AD117" i="4"/>
  <c r="CU117" i="4"/>
  <c r="CV117" i="4" s="1"/>
  <c r="CX117" i="4" s="1"/>
  <c r="AU117" i="4"/>
  <c r="BE117" i="4"/>
  <c r="BH117" i="4"/>
  <c r="BU117" i="4"/>
  <c r="AZ117" i="4"/>
  <c r="AP117" i="4"/>
  <c r="AE117" i="4"/>
  <c r="B118" i="4"/>
  <c r="BW117" i="4"/>
  <c r="AC117" i="4"/>
  <c r="AH117" i="4"/>
  <c r="CM117" i="4"/>
  <c r="AG117" i="4"/>
  <c r="CA117" i="4" s="1"/>
  <c r="CW117" i="4"/>
  <c r="CE117" i="4"/>
  <c r="BP117" i="4"/>
  <c r="BY117" i="4"/>
  <c r="AO117" i="4"/>
  <c r="BF117" i="4"/>
  <c r="CY117" i="4"/>
  <c r="CC116" i="4"/>
  <c r="AW116" i="4"/>
  <c r="AY116" i="4" s="1"/>
  <c r="W118" i="4" l="1"/>
  <c r="BQ118" i="4" s="1"/>
  <c r="BS118" i="4" s="1"/>
  <c r="AM118" i="4"/>
  <c r="AK117" i="4"/>
  <c r="AL117" i="4" s="1"/>
  <c r="BW118" i="4"/>
  <c r="CM118" i="4"/>
  <c r="BH118" i="4"/>
  <c r="AB118" i="4"/>
  <c r="AW118" i="4" s="1"/>
  <c r="AY118" i="4" s="1"/>
  <c r="AU118" i="4"/>
  <c r="DC118" i="4"/>
  <c r="CR118" i="4"/>
  <c r="BZ118" i="4"/>
  <c r="AD118" i="4"/>
  <c r="BA118" i="4"/>
  <c r="CY118" i="4"/>
  <c r="BM118" i="4"/>
  <c r="AS118" i="4"/>
  <c r="AN118" i="4"/>
  <c r="AG118" i="4"/>
  <c r="CA118" i="4" s="1"/>
  <c r="BC118" i="4"/>
  <c r="BU118" i="4"/>
  <c r="AZ118" i="4"/>
  <c r="BJ118" i="4"/>
  <c r="AV118" i="4"/>
  <c r="DH118" i="4"/>
  <c r="AX118" i="4"/>
  <c r="AC118" i="4"/>
  <c r="BB118" i="4" s="1"/>
  <c r="CU118" i="4"/>
  <c r="CV118" i="4" s="1"/>
  <c r="CZ118" i="4"/>
  <c r="BF118" i="4"/>
  <c r="CW118" i="4"/>
  <c r="DG118" i="4"/>
  <c r="CE118" i="4"/>
  <c r="B119" i="4"/>
  <c r="CJ118" i="4"/>
  <c r="BG118" i="4"/>
  <c r="BI118" i="4" s="1"/>
  <c r="CD118" i="4"/>
  <c r="AO118" i="4"/>
  <c r="AP118" i="4"/>
  <c r="BT118" i="4"/>
  <c r="BK118" i="4"/>
  <c r="AE118" i="4"/>
  <c r="BL118" i="4" s="1"/>
  <c r="BE118" i="4"/>
  <c r="BY118" i="4"/>
  <c r="BO118" i="4"/>
  <c r="BP118" i="4"/>
  <c r="CB118" i="4"/>
  <c r="DE118" i="4"/>
  <c r="AH118" i="4"/>
  <c r="AF118" i="4"/>
  <c r="BB117" i="4"/>
  <c r="BD117" i="4" s="1"/>
  <c r="BV117" i="4"/>
  <c r="BX117" i="4" s="1"/>
  <c r="AR117" i="4"/>
  <c r="AT117" i="4" s="1"/>
  <c r="CC117" i="4"/>
  <c r="BL117" i="4"/>
  <c r="BN117" i="4" s="1"/>
  <c r="W119" i="4" l="1"/>
  <c r="BQ119" i="4" s="1"/>
  <c r="BS119" i="4" s="1"/>
  <c r="AM119" i="4"/>
  <c r="AK118" i="4"/>
  <c r="AL118" i="4" s="1"/>
  <c r="DD118" i="4"/>
  <c r="DF118" i="4" s="1"/>
  <c r="BD118" i="4"/>
  <c r="BV118" i="4"/>
  <c r="BX118" i="4" s="1"/>
  <c r="BN118" i="4"/>
  <c r="CP118" i="4"/>
  <c r="CO118" i="4"/>
  <c r="CK118" i="4"/>
  <c r="AO119" i="4"/>
  <c r="CY119" i="4"/>
  <c r="AN119" i="4"/>
  <c r="AS119" i="4"/>
  <c r="AC119" i="4"/>
  <c r="BB119" i="4" s="1"/>
  <c r="BD119" i="4" s="1"/>
  <c r="BF119" i="4"/>
  <c r="AX119" i="4"/>
  <c r="CD119" i="4"/>
  <c r="CB119" i="4"/>
  <c r="BA119" i="4"/>
  <c r="BP119" i="4"/>
  <c r="BT119" i="4"/>
  <c r="BE119" i="4"/>
  <c r="BJ119" i="4"/>
  <c r="AZ119" i="4"/>
  <c r="CM119" i="4"/>
  <c r="BG119" i="4"/>
  <c r="BI119" i="4" s="1"/>
  <c r="BZ119" i="4"/>
  <c r="AV119" i="4"/>
  <c r="BH119" i="4"/>
  <c r="DG119" i="4"/>
  <c r="BY119" i="4"/>
  <c r="DC119" i="4"/>
  <c r="DD119" i="4" s="1"/>
  <c r="DF119" i="4" s="1"/>
  <c r="DE119" i="4"/>
  <c r="BM119" i="4"/>
  <c r="BU119" i="4"/>
  <c r="CW119" i="4"/>
  <c r="CE119" i="4"/>
  <c r="CZ119" i="4"/>
  <c r="BK119" i="4"/>
  <c r="BW119" i="4"/>
  <c r="AU119" i="4"/>
  <c r="CJ119" i="4"/>
  <c r="AF119" i="4"/>
  <c r="AB119" i="4"/>
  <c r="AW119" i="4" s="1"/>
  <c r="CR119" i="4"/>
  <c r="DH119" i="4"/>
  <c r="AG119" i="4"/>
  <c r="CA119" i="4" s="1"/>
  <c r="AP119" i="4"/>
  <c r="BC119" i="4"/>
  <c r="BO119" i="4"/>
  <c r="AH119" i="4"/>
  <c r="AE119" i="4"/>
  <c r="BL119" i="4" s="1"/>
  <c r="AD119" i="4"/>
  <c r="CU119" i="4"/>
  <c r="CV119" i="4" s="1"/>
  <c r="CX119" i="4" s="1"/>
  <c r="B120" i="4"/>
  <c r="AR118" i="4"/>
  <c r="AT118" i="4" s="1"/>
  <c r="CC118" i="4"/>
  <c r="CX118" i="4"/>
  <c r="B121" i="4" l="1"/>
  <c r="W120" i="4"/>
  <c r="BQ120" i="4" s="1"/>
  <c r="AM120" i="4"/>
  <c r="AK119" i="4"/>
  <c r="AL119" i="4" s="1"/>
  <c r="AO2" i="4"/>
  <c r="FB12" i="4"/>
  <c r="DV5" i="4"/>
  <c r="ED11" i="4"/>
  <c r="W5" i="4"/>
  <c r="X5" i="4" s="1"/>
  <c r="L5" i="4"/>
  <c r="FA12" i="4"/>
  <c r="DV6" i="4"/>
  <c r="GJ2" i="4" a="1"/>
  <c r="GM2" i="4" a="1"/>
  <c r="GS2" i="4" a="1"/>
  <c r="Q2" i="4"/>
  <c r="FD12" i="4" a="1"/>
  <c r="FD12" i="4" s="1"/>
  <c r="FC12" i="4"/>
  <c r="ED12" i="4"/>
  <c r="AQ2" i="4" a="1"/>
  <c r="CC119" i="4"/>
  <c r="AY119" i="4"/>
  <c r="AN120" i="4"/>
  <c r="CB120" i="4"/>
  <c r="AO120" i="4"/>
  <c r="DG120" i="4"/>
  <c r="CE120" i="4"/>
  <c r="AV120" i="4"/>
  <c r="BU120" i="4"/>
  <c r="BO120" i="4"/>
  <c r="BC120" i="4"/>
  <c r="AZ120" i="4"/>
  <c r="BP120" i="4"/>
  <c r="DE120" i="4"/>
  <c r="DH120" i="4"/>
  <c r="AC120" i="4"/>
  <c r="BB120" i="4" s="1"/>
  <c r="DC120" i="4"/>
  <c r="DD120" i="4" s="1"/>
  <c r="AS120" i="4"/>
  <c r="BJ120" i="4"/>
  <c r="BK120" i="4"/>
  <c r="CR120" i="4"/>
  <c r="BW120" i="4"/>
  <c r="BT120" i="4"/>
  <c r="CY120" i="4"/>
  <c r="AU120" i="4"/>
  <c r="AX120" i="4"/>
  <c r="CM120" i="4"/>
  <c r="BH120" i="4"/>
  <c r="CJ120" i="4"/>
  <c r="BF120" i="4"/>
  <c r="CU120" i="4"/>
  <c r="CV120" i="4" s="1"/>
  <c r="AP120" i="4"/>
  <c r="CW120" i="4"/>
  <c r="AD120" i="4"/>
  <c r="AB120" i="4"/>
  <c r="AW120" i="4" s="1"/>
  <c r="BE120" i="4"/>
  <c r="AH120" i="4"/>
  <c r="BY120" i="4"/>
  <c r="CD120" i="4"/>
  <c r="BM120" i="4"/>
  <c r="BG120" i="4"/>
  <c r="CZ120" i="4"/>
  <c r="AG120" i="4"/>
  <c r="BA120" i="4"/>
  <c r="AF120" i="4"/>
  <c r="BZ120" i="4"/>
  <c r="AE120" i="4"/>
  <c r="N2" i="4"/>
  <c r="W4" i="4"/>
  <c r="X4" i="4" s="1"/>
  <c r="BN119" i="4"/>
  <c r="CK119" i="4"/>
  <c r="CP119" i="4"/>
  <c r="CO119" i="4"/>
  <c r="AR119" i="4"/>
  <c r="AT119" i="4" s="1"/>
  <c r="BV119" i="4"/>
  <c r="BX119" i="4" s="1"/>
  <c r="B122" i="4" l="1"/>
  <c r="CM121" i="4"/>
  <c r="AD121" i="4"/>
  <c r="CY121" i="4"/>
  <c r="CU121" i="4"/>
  <c r="CV121" i="4" s="1"/>
  <c r="CX121" i="4" s="1"/>
  <c r="CW121" i="4"/>
  <c r="DG121" i="4"/>
  <c r="DC121" i="4"/>
  <c r="DD121" i="4" s="1"/>
  <c r="DF121" i="4" s="1"/>
  <c r="DE121" i="4"/>
  <c r="AS121" i="4"/>
  <c r="W121" i="4"/>
  <c r="BQ121" i="4" s="1"/>
  <c r="BS121" i="4" s="1"/>
  <c r="CR121" i="4"/>
  <c r="BO121" i="4"/>
  <c r="AV121" i="4"/>
  <c r="AE121" i="4"/>
  <c r="BL121" i="4" s="1"/>
  <c r="BN121" i="4" s="1"/>
  <c r="AP121" i="4"/>
  <c r="AR121" i="4" s="1"/>
  <c r="BM121" i="4"/>
  <c r="BT121" i="4"/>
  <c r="BJ121" i="4"/>
  <c r="BH121" i="4"/>
  <c r="BY121" i="4"/>
  <c r="AZ121" i="4"/>
  <c r="AF121" i="4"/>
  <c r="BV121" i="4" s="1"/>
  <c r="BX121" i="4" s="1"/>
  <c r="AX121" i="4"/>
  <c r="AN121" i="4"/>
  <c r="AH121" i="4"/>
  <c r="AB121" i="4"/>
  <c r="AW121" i="4" s="1"/>
  <c r="AY121" i="4" s="1"/>
  <c r="AC121" i="4"/>
  <c r="BB121" i="4" s="1"/>
  <c r="BD121" i="4" s="1"/>
  <c r="BC121" i="4"/>
  <c r="BW121" i="4"/>
  <c r="BE121" i="4"/>
  <c r="CD121" i="4"/>
  <c r="CB121" i="4"/>
  <c r="AG121" i="4"/>
  <c r="CA121" i="4" s="1"/>
  <c r="CC121" i="4" s="1"/>
  <c r="BZ121" i="4"/>
  <c r="BG121" i="4"/>
  <c r="BI121" i="4" s="1"/>
  <c r="BP121" i="4"/>
  <c r="BK121" i="4"/>
  <c r="AM121" i="4"/>
  <c r="BA121" i="4"/>
  <c r="BU121" i="4"/>
  <c r="CE121" i="4"/>
  <c r="DH121" i="4"/>
  <c r="AU121" i="4"/>
  <c r="BF121" i="4"/>
  <c r="CZ121" i="4"/>
  <c r="AO121" i="4"/>
  <c r="AK120" i="4"/>
  <c r="AL120" i="4" s="1"/>
  <c r="V7" i="4"/>
  <c r="EO4" i="4"/>
  <c r="EO13" i="4"/>
  <c r="EO16" i="4"/>
  <c r="EO15" i="4"/>
  <c r="EO14" i="4"/>
  <c r="GT3" i="4"/>
  <c r="GS2" i="4"/>
  <c r="GT4" i="4"/>
  <c r="GS4" i="4"/>
  <c r="GT5" i="4"/>
  <c r="GT6" i="4"/>
  <c r="GT2" i="4"/>
  <c r="GS3" i="4"/>
  <c r="GS5" i="4"/>
  <c r="GS6" i="4"/>
  <c r="GN2" i="4"/>
  <c r="GM5" i="4"/>
  <c r="GN6" i="4"/>
  <c r="GN3" i="4"/>
  <c r="GM6" i="4"/>
  <c r="GM4" i="4"/>
  <c r="GN5" i="4"/>
  <c r="GM3" i="4"/>
  <c r="GM2" i="4"/>
  <c r="GQ2" i="4" s="1"/>
  <c r="GN4" i="4"/>
  <c r="GJ4" i="4"/>
  <c r="GK2" i="4"/>
  <c r="GJ6" i="4"/>
  <c r="GJ5" i="4"/>
  <c r="GK6" i="4"/>
  <c r="GJ3" i="4"/>
  <c r="GK5" i="4"/>
  <c r="GK4" i="4"/>
  <c r="GK3" i="4"/>
  <c r="GJ2" i="4"/>
  <c r="AR5" i="4"/>
  <c r="AR3" i="4"/>
  <c r="AQ6" i="4"/>
  <c r="AR6" i="4"/>
  <c r="AQ5" i="4"/>
  <c r="AQ2" i="4"/>
  <c r="AR4" i="4"/>
  <c r="AQ4" i="4"/>
  <c r="AQ3" i="4"/>
  <c r="AR2" i="4"/>
  <c r="BD120" i="4"/>
  <c r="AY120" i="4"/>
  <c r="AR120" i="4"/>
  <c r="AT120" i="4" s="1"/>
  <c r="DF120" i="4"/>
  <c r="BV120" i="4"/>
  <c r="BS120" i="4"/>
  <c r="CP120" i="4"/>
  <c r="CP8" i="4" s="1"/>
  <c r="CK120" i="4"/>
  <c r="CO120" i="4"/>
  <c r="CA120" i="4"/>
  <c r="CX120" i="4"/>
  <c r="BL120" i="4"/>
  <c r="BI120" i="4"/>
  <c r="AT121" i="4" l="1"/>
  <c r="B123" i="4"/>
  <c r="CM122" i="4"/>
  <c r="AD122" i="4"/>
  <c r="CY122" i="4"/>
  <c r="CU122" i="4"/>
  <c r="CV122" i="4" s="1"/>
  <c r="CX122" i="4" s="1"/>
  <c r="CW122" i="4"/>
  <c r="DC122" i="4"/>
  <c r="DD122" i="4" s="1"/>
  <c r="DE122" i="4"/>
  <c r="DG122" i="4"/>
  <c r="W122" i="4"/>
  <c r="BQ122" i="4" s="1"/>
  <c r="BH122" i="4"/>
  <c r="BJ122" i="4"/>
  <c r="AS122" i="4"/>
  <c r="CR122" i="4"/>
  <c r="BO122" i="4"/>
  <c r="AP122" i="4"/>
  <c r="AR122" i="4" s="1"/>
  <c r="AE122" i="4"/>
  <c r="BL122" i="4" s="1"/>
  <c r="AV122" i="4"/>
  <c r="BM122" i="4"/>
  <c r="BT122" i="4"/>
  <c r="AH122" i="4"/>
  <c r="AN122" i="4"/>
  <c r="BW122" i="4"/>
  <c r="AC122" i="4"/>
  <c r="BB122" i="4" s="1"/>
  <c r="BY122" i="4"/>
  <c r="BC122" i="4"/>
  <c r="AF122" i="4"/>
  <c r="BV122" i="4" s="1"/>
  <c r="BX122" i="4" s="1"/>
  <c r="BE122" i="4"/>
  <c r="AB122" i="4"/>
  <c r="AW122" i="4" s="1"/>
  <c r="AY122" i="4" s="1"/>
  <c r="AZ122" i="4"/>
  <c r="AX122" i="4"/>
  <c r="AG122" i="4"/>
  <c r="CB122" i="4"/>
  <c r="CD122" i="4"/>
  <c r="BZ122" i="4"/>
  <c r="BG122" i="4"/>
  <c r="BI122" i="4" s="1"/>
  <c r="BP122" i="4"/>
  <c r="BK122" i="4"/>
  <c r="AM122" i="4"/>
  <c r="BA122" i="4"/>
  <c r="BU122" i="4"/>
  <c r="CZ122" i="4"/>
  <c r="AO122" i="4"/>
  <c r="AU122" i="4"/>
  <c r="CE122" i="4"/>
  <c r="BF122" i="4"/>
  <c r="DH122" i="4"/>
  <c r="AK121" i="4"/>
  <c r="AL121" i="4" s="1"/>
  <c r="CQ121" i="4"/>
  <c r="CQ12" i="4"/>
  <c r="CQ14" i="4"/>
  <c r="CR14" i="4" s="1"/>
  <c r="CQ60" i="4"/>
  <c r="CR60" i="4" s="1"/>
  <c r="CQ25" i="4"/>
  <c r="CR25" i="4" s="1"/>
  <c r="CQ46" i="4"/>
  <c r="CR46" i="4" s="1"/>
  <c r="CQ23" i="4"/>
  <c r="CR23" i="4" s="1"/>
  <c r="CQ21" i="4"/>
  <c r="CR21" i="4" s="1"/>
  <c r="CQ47" i="4"/>
  <c r="CR47" i="4" s="1"/>
  <c r="CQ85" i="4"/>
  <c r="CR85" i="4" s="1"/>
  <c r="CQ79" i="4"/>
  <c r="CR79" i="4" s="1"/>
  <c r="CQ102" i="4"/>
  <c r="CR102" i="4" s="1"/>
  <c r="CQ92" i="4"/>
  <c r="CR92" i="4" s="1"/>
  <c r="CQ96" i="4"/>
  <c r="CR96" i="4" s="1"/>
  <c r="CQ103" i="4"/>
  <c r="CR103" i="4" s="1"/>
  <c r="CQ34" i="4"/>
  <c r="CR34" i="4" s="1"/>
  <c r="CQ82" i="4"/>
  <c r="CR82" i="4" s="1"/>
  <c r="CQ16" i="4"/>
  <c r="CR16" i="4" s="1"/>
  <c r="CQ56" i="4"/>
  <c r="CR56" i="4" s="1"/>
  <c r="CQ77" i="4"/>
  <c r="CR77" i="4" s="1"/>
  <c r="CQ75" i="4"/>
  <c r="CR75" i="4" s="1"/>
  <c r="CQ13" i="4"/>
  <c r="CQ26" i="4"/>
  <c r="CR26" i="4" s="1"/>
  <c r="CQ29" i="4"/>
  <c r="CR29" i="4" s="1"/>
  <c r="CQ22" i="4"/>
  <c r="CR22" i="4" s="1"/>
  <c r="CQ33" i="4"/>
  <c r="CR33" i="4" s="1"/>
  <c r="CQ58" i="4"/>
  <c r="CR58" i="4" s="1"/>
  <c r="CQ20" i="4"/>
  <c r="CR20" i="4" s="1"/>
  <c r="CQ93" i="4"/>
  <c r="CR93" i="4" s="1"/>
  <c r="CQ89" i="4"/>
  <c r="CR89" i="4" s="1"/>
  <c r="CQ98" i="4"/>
  <c r="CR98" i="4" s="1"/>
  <c r="CQ90" i="4"/>
  <c r="CR90" i="4" s="1"/>
  <c r="CQ95" i="4"/>
  <c r="CR95" i="4" s="1"/>
  <c r="CQ99" i="4"/>
  <c r="CR99" i="4" s="1"/>
  <c r="CQ62" i="4"/>
  <c r="CR62" i="4" s="1"/>
  <c r="CQ69" i="4"/>
  <c r="CR69" i="4" s="1"/>
  <c r="CQ107" i="4"/>
  <c r="CR107" i="4" s="1"/>
  <c r="CQ108" i="4"/>
  <c r="CR108" i="4" s="1"/>
  <c r="CQ57" i="4"/>
  <c r="CR57" i="4" s="1"/>
  <c r="CQ40" i="4"/>
  <c r="CR40" i="4" s="1"/>
  <c r="CQ42" i="4"/>
  <c r="CR42" i="4" s="1"/>
  <c r="CQ32" i="4"/>
  <c r="CR32" i="4" s="1"/>
  <c r="CQ18" i="4"/>
  <c r="CR18" i="4" s="1"/>
  <c r="CQ38" i="4"/>
  <c r="CR38" i="4" s="1"/>
  <c r="CQ73" i="4"/>
  <c r="CR73" i="4" s="1"/>
  <c r="CQ78" i="4"/>
  <c r="CR78" i="4" s="1"/>
  <c r="CQ67" i="4"/>
  <c r="CR67" i="4" s="1"/>
  <c r="CQ91" i="4"/>
  <c r="CR91" i="4" s="1"/>
  <c r="CQ104" i="4"/>
  <c r="CR104" i="4" s="1"/>
  <c r="CQ15" i="4"/>
  <c r="CR15" i="4" s="1"/>
  <c r="CQ63" i="4"/>
  <c r="CR63" i="4" s="1"/>
  <c r="CQ59" i="4"/>
  <c r="CR59" i="4" s="1"/>
  <c r="CQ48" i="4"/>
  <c r="CR48" i="4" s="1"/>
  <c r="CQ105" i="4"/>
  <c r="CR105" i="4" s="1"/>
  <c r="CQ109" i="4"/>
  <c r="CR109" i="4" s="1"/>
  <c r="CQ39" i="4"/>
  <c r="CR39" i="4" s="1"/>
  <c r="CQ49" i="4"/>
  <c r="CR49" i="4" s="1"/>
  <c r="CQ54" i="4"/>
  <c r="CR54" i="4" s="1"/>
  <c r="CQ41" i="4"/>
  <c r="CR41" i="4" s="1"/>
  <c r="CQ17" i="4"/>
  <c r="CR17" i="4" s="1"/>
  <c r="CQ66" i="4"/>
  <c r="CR66" i="4" s="1"/>
  <c r="CQ65" i="4"/>
  <c r="CR65" i="4" s="1"/>
  <c r="CQ100" i="4"/>
  <c r="CR100" i="4" s="1"/>
  <c r="CQ86" i="4"/>
  <c r="CR86" i="4" s="1"/>
  <c r="CQ68" i="4"/>
  <c r="CR68" i="4" s="1"/>
  <c r="CQ80" i="4"/>
  <c r="CR80" i="4" s="1"/>
  <c r="CQ28" i="4"/>
  <c r="CR28" i="4" s="1"/>
  <c r="CQ19" i="4"/>
  <c r="CR19" i="4" s="1"/>
  <c r="CQ31" i="4"/>
  <c r="CR31" i="4" s="1"/>
  <c r="CQ36" i="4"/>
  <c r="CR36" i="4" s="1"/>
  <c r="CQ70" i="4"/>
  <c r="CR70" i="4" s="1"/>
  <c r="CQ83" i="4"/>
  <c r="CR83" i="4" s="1"/>
  <c r="CQ35" i="4"/>
  <c r="CR35" i="4" s="1"/>
  <c r="CQ30" i="4"/>
  <c r="CR30" i="4" s="1"/>
  <c r="CQ74" i="4"/>
  <c r="CR74" i="4" s="1"/>
  <c r="CQ27" i="4"/>
  <c r="CR27" i="4" s="1"/>
  <c r="CQ45" i="4"/>
  <c r="CR45" i="4" s="1"/>
  <c r="CQ24" i="4"/>
  <c r="CR24" i="4" s="1"/>
  <c r="CQ51" i="4"/>
  <c r="CR51" i="4" s="1"/>
  <c r="CQ55" i="4"/>
  <c r="CR55" i="4" s="1"/>
  <c r="CQ43" i="4"/>
  <c r="CR43" i="4" s="1"/>
  <c r="CQ97" i="4"/>
  <c r="CR97" i="4" s="1"/>
  <c r="CQ76" i="4"/>
  <c r="CR76" i="4" s="1"/>
  <c r="CQ106" i="4"/>
  <c r="CR106" i="4" s="1"/>
  <c r="CQ81" i="4"/>
  <c r="CR81" i="4" s="1"/>
  <c r="CQ87" i="4"/>
  <c r="CR87" i="4" s="1"/>
  <c r="CQ101" i="4"/>
  <c r="CR101" i="4" s="1"/>
  <c r="CQ50" i="4"/>
  <c r="CR50" i="4" s="1"/>
  <c r="CQ44" i="4"/>
  <c r="CR44" i="4" s="1"/>
  <c r="CQ61" i="4"/>
  <c r="CR61" i="4" s="1"/>
  <c r="CQ37" i="4"/>
  <c r="CR37" i="4" s="1"/>
  <c r="CQ53" i="4"/>
  <c r="CR53" i="4" s="1"/>
  <c r="CQ52" i="4"/>
  <c r="CR52" i="4" s="1"/>
  <c r="CQ88" i="4"/>
  <c r="CR88" i="4" s="1"/>
  <c r="CQ64" i="4"/>
  <c r="CR64" i="4" s="1"/>
  <c r="CQ94" i="4"/>
  <c r="CR94" i="4" s="1"/>
  <c r="CQ71" i="4"/>
  <c r="CR71" i="4" s="1"/>
  <c r="CQ84" i="4"/>
  <c r="CR84" i="4" s="1"/>
  <c r="CQ72" i="4"/>
  <c r="CR72" i="4" s="1"/>
  <c r="CQ110" i="4"/>
  <c r="CR110" i="4" s="1"/>
  <c r="CQ111" i="4"/>
  <c r="CR111" i="4" s="1"/>
  <c r="CQ112" i="4"/>
  <c r="CR112" i="4" s="1"/>
  <c r="CQ113" i="4"/>
  <c r="CR113" i="4" s="1"/>
  <c r="CQ114" i="4"/>
  <c r="CQ115" i="4"/>
  <c r="CQ116" i="4"/>
  <c r="CQ117" i="4"/>
  <c r="CQ118" i="4"/>
  <c r="CQ119" i="4"/>
  <c r="CQ120" i="4"/>
  <c r="GP2" i="4"/>
  <c r="GR2" i="4"/>
  <c r="CC120" i="4"/>
  <c r="BN120" i="4"/>
  <c r="BX120" i="4"/>
  <c r="AT122" i="4" l="1"/>
  <c r="CQ122" i="4"/>
  <c r="DF122" i="4"/>
  <c r="BN122" i="4"/>
  <c r="BD122" i="4"/>
  <c r="CM123" i="4"/>
  <c r="B124" i="4"/>
  <c r="EU12" i="4" s="1"/>
  <c r="AD123" i="4"/>
  <c r="CY123" i="4"/>
  <c r="CW123" i="4"/>
  <c r="CU123" i="4"/>
  <c r="CV123" i="4" s="1"/>
  <c r="DG123" i="4"/>
  <c r="DC123" i="4"/>
  <c r="DD123" i="4" s="1"/>
  <c r="DF123" i="4" s="1"/>
  <c r="DE123" i="4"/>
  <c r="BT123" i="4"/>
  <c r="AP123" i="4"/>
  <c r="CQ123" i="4" s="1"/>
  <c r="W123" i="4"/>
  <c r="BQ123" i="4" s="1"/>
  <c r="BS123" i="4" s="1"/>
  <c r="BH123" i="4"/>
  <c r="AV123" i="4"/>
  <c r="BJ123" i="4"/>
  <c r="BO123" i="4"/>
  <c r="AE123" i="4"/>
  <c r="BL123" i="4" s="1"/>
  <c r="BN123" i="4" s="1"/>
  <c r="BM123" i="4"/>
  <c r="CR123" i="4"/>
  <c r="AS123" i="4"/>
  <c r="AB123" i="4"/>
  <c r="AW123" i="4" s="1"/>
  <c r="AF123" i="4"/>
  <c r="BV123" i="4" s="1"/>
  <c r="AZ123" i="4"/>
  <c r="AC123" i="4"/>
  <c r="BB123" i="4" s="1"/>
  <c r="BD123" i="4" s="1"/>
  <c r="BY123" i="4"/>
  <c r="AX123" i="4"/>
  <c r="BC123" i="4"/>
  <c r="BE123" i="4"/>
  <c r="AH123" i="4"/>
  <c r="AK123" i="4" s="1"/>
  <c r="AL123" i="4" s="1"/>
  <c r="AN123" i="4"/>
  <c r="BW123" i="4"/>
  <c r="AM123" i="4"/>
  <c r="AG123" i="4"/>
  <c r="CA123" i="4" s="1"/>
  <c r="CC123" i="4" s="1"/>
  <c r="CD123" i="4"/>
  <c r="CB123" i="4"/>
  <c r="BZ123" i="4"/>
  <c r="BG123" i="4"/>
  <c r="BP123" i="4"/>
  <c r="BK123" i="4"/>
  <c r="BA123" i="4"/>
  <c r="BU123" i="4"/>
  <c r="BF123" i="4"/>
  <c r="DH123" i="4"/>
  <c r="AO123" i="4"/>
  <c r="CZ123" i="4"/>
  <c r="AU123" i="4"/>
  <c r="CE123" i="4"/>
  <c r="ED19" i="4" a="1"/>
  <c r="ED19" i="4" s="1"/>
  <c r="EU19" i="4" s="1"/>
  <c r="ED23" i="4" a="1"/>
  <c r="ED23" i="4" s="1"/>
  <c r="EU23" i="4" s="1"/>
  <c r="BS122" i="4"/>
  <c r="CA122" i="4"/>
  <c r="CC122" i="4" s="1"/>
  <c r="AK122" i="4"/>
  <c r="AL122" i="4" s="1"/>
  <c r="EU11" i="4" l="1"/>
  <c r="CX123" i="4"/>
  <c r="CM124" i="4"/>
  <c r="AD124" i="4"/>
  <c r="CW124" i="4"/>
  <c r="CU124" i="4"/>
  <c r="CV124" i="4" s="1"/>
  <c r="EA22" i="4" s="1"/>
  <c r="CY124" i="4"/>
  <c r="DE124" i="4"/>
  <c r="DU23" i="4" s="1"/>
  <c r="E2" i="4" s="1"/>
  <c r="DC124" i="4"/>
  <c r="DD124" i="4" s="1"/>
  <c r="EA23" i="4" s="1" a="1"/>
  <c r="EA23" i="4" s="1"/>
  <c r="DG124" i="4"/>
  <c r="BM124" i="4"/>
  <c r="BT124" i="4"/>
  <c r="DV15" i="4" s="1"/>
  <c r="BH124" i="4"/>
  <c r="W124" i="4"/>
  <c r="BQ124" i="4" s="1"/>
  <c r="BS124" i="4" s="1"/>
  <c r="BJ124" i="4"/>
  <c r="AS124" i="4"/>
  <c r="DU12" i="4" s="1"/>
  <c r="AE124" i="4"/>
  <c r="BL124" i="4" s="1"/>
  <c r="CR124" i="4"/>
  <c r="AU8" i="4" s="1"/>
  <c r="AS6" i="4" s="1"/>
  <c r="BO124" i="4"/>
  <c r="AV124" i="4"/>
  <c r="AP124" i="4"/>
  <c r="CQ124" i="4" s="1"/>
  <c r="BC124" i="4"/>
  <c r="AX124" i="4"/>
  <c r="FX169" i="4" s="1"/>
  <c r="BE124" i="4"/>
  <c r="BW124" i="4"/>
  <c r="AC124" i="4"/>
  <c r="BB124" i="4" s="1"/>
  <c r="BD124" i="4" s="1"/>
  <c r="BY124" i="4"/>
  <c r="AF124" i="4"/>
  <c r="BV124" i="4" s="1"/>
  <c r="BX124" i="4" s="1"/>
  <c r="AM124" i="4"/>
  <c r="DU11" i="4" s="1"/>
  <c r="AH124" i="4"/>
  <c r="AK124" i="4" s="1"/>
  <c r="AL124" i="4" s="1"/>
  <c r="AB124" i="4"/>
  <c r="AW124" i="4" s="1"/>
  <c r="AY124" i="4" s="1"/>
  <c r="AN124" i="4"/>
  <c r="AZ124" i="4"/>
  <c r="CB124" i="4"/>
  <c r="DU20" i="4" s="1"/>
  <c r="CD124" i="4"/>
  <c r="AG124" i="4"/>
  <c r="BZ124" i="4"/>
  <c r="BG124" i="4"/>
  <c r="BI124" i="4" s="1"/>
  <c r="BP124" i="4"/>
  <c r="BK124" i="4"/>
  <c r="BA124" i="4"/>
  <c r="BU124" i="4"/>
  <c r="AU124" i="4"/>
  <c r="AO124" i="4"/>
  <c r="CE124" i="4"/>
  <c r="BF124" i="4"/>
  <c r="DH124" i="4"/>
  <c r="CZ124" i="4"/>
  <c r="DY14" i="4" a="1"/>
  <c r="DY14" i="4" s="1"/>
  <c r="EQ14" i="4" s="1"/>
  <c r="EE19" i="4" a="1"/>
  <c r="EE19" i="4" s="1"/>
  <c r="EE16" i="4" a="1"/>
  <c r="EE16" i="4" s="1"/>
  <c r="Q3" i="4"/>
  <c r="T3" i="4"/>
  <c r="ED17" i="4" a="1"/>
  <c r="ED17" i="4" s="1"/>
  <c r="EU17" i="4" s="1"/>
  <c r="ED14" i="4" a="1"/>
  <c r="ED14" i="4" s="1"/>
  <c r="EU14" i="4" s="1"/>
  <c r="ED20" i="4" a="1"/>
  <c r="ED20" i="4" s="1"/>
  <c r="EU20" i="4" s="1"/>
  <c r="EE17" i="4" a="1"/>
  <c r="EE17" i="4" s="1"/>
  <c r="DY16" i="4" a="1"/>
  <c r="DY16" i="4" s="1"/>
  <c r="EQ16" i="4" s="1"/>
  <c r="EE18" i="4" a="1"/>
  <c r="EE18" i="4" s="1"/>
  <c r="DY12" i="4" a="1"/>
  <c r="DY12" i="4" s="1"/>
  <c r="DY13" i="4" a="1"/>
  <c r="DY13" i="4" s="1"/>
  <c r="EE20" i="4" a="1"/>
  <c r="EE20" i="4" s="1"/>
  <c r="ED13" i="4" a="1"/>
  <c r="ED13" i="4" s="1"/>
  <c r="EE22" i="4" a="1"/>
  <c r="EE22" i="4" s="1"/>
  <c r="EE13" i="4" a="1"/>
  <c r="EE13" i="4" s="1"/>
  <c r="DY22" i="4"/>
  <c r="N3" i="4"/>
  <c r="DY15" i="4" a="1"/>
  <c r="DY15" i="4" s="1"/>
  <c r="EQ15" i="4" s="1"/>
  <c r="DY23" i="4" a="1"/>
  <c r="DY23" i="4" s="1"/>
  <c r="EQ23" i="4" s="1"/>
  <c r="ED18" i="4" a="1"/>
  <c r="ED18" i="4" s="1"/>
  <c r="EU18" i="4" s="1"/>
  <c r="ED22" i="4" a="1"/>
  <c r="ED22" i="4" s="1"/>
  <c r="EU22" i="4" s="1"/>
  <c r="DY17" i="4" a="1"/>
  <c r="DY17" i="4" s="1"/>
  <c r="EQ17" i="4" s="1"/>
  <c r="DY20" i="4" a="1"/>
  <c r="DY20" i="4" s="1"/>
  <c r="EQ20" i="4" s="1"/>
  <c r="EE11" i="4" a="1"/>
  <c r="EE11" i="4" s="1"/>
  <c r="EE15" i="4" a="1"/>
  <c r="EE15" i="4" s="1"/>
  <c r="DY18" i="4" a="1"/>
  <c r="DY18" i="4" s="1"/>
  <c r="EQ18" i="4" s="1"/>
  <c r="DY19" i="4" a="1"/>
  <c r="DY19" i="4" s="1"/>
  <c r="EQ19" i="4" s="1"/>
  <c r="ED16" i="4" a="1"/>
  <c r="ED16" i="4" s="1"/>
  <c r="ED15" i="4" a="1"/>
  <c r="ED15" i="4" s="1"/>
  <c r="EU15" i="4" s="1"/>
  <c r="DY11" i="4" a="1"/>
  <c r="DY11" i="4" s="1"/>
  <c r="GB169" i="4" a="1"/>
  <c r="GB169" i="4" s="1"/>
  <c r="EE14" i="4" a="1"/>
  <c r="EE14" i="4" s="1"/>
  <c r="EE12" i="4" a="1"/>
  <c r="EE12" i="4" s="1"/>
  <c r="AY123" i="4"/>
  <c r="BI123" i="4"/>
  <c r="BX123" i="4"/>
  <c r="DV19" i="4"/>
  <c r="AR123" i="4"/>
  <c r="C4" i="63"/>
  <c r="ER20" i="4" l="1"/>
  <c r="ER11" i="4"/>
  <c r="DV11" i="4"/>
  <c r="EH11" i="4" s="1"/>
  <c r="EA15" i="4"/>
  <c r="DV12" i="4"/>
  <c r="EH12" i="4" s="1"/>
  <c r="DV16" i="4"/>
  <c r="EH16" i="4" s="1"/>
  <c r="DV24" i="4"/>
  <c r="DV14" i="4"/>
  <c r="EH14" i="4" s="1"/>
  <c r="DU13" i="4"/>
  <c r="EA16" i="4"/>
  <c r="BG6" i="4"/>
  <c r="BG5" i="4"/>
  <c r="DV13" i="4"/>
  <c r="EH13" i="4" s="1"/>
  <c r="AH2" i="4"/>
  <c r="BN124" i="4"/>
  <c r="EA17" i="4"/>
  <c r="ER12" i="4"/>
  <c r="AU9" i="4"/>
  <c r="AS7" i="4"/>
  <c r="CA124" i="4"/>
  <c r="EA20" i="4" s="1"/>
  <c r="EU16" i="4"/>
  <c r="EU13" i="4"/>
  <c r="ED25" i="4"/>
  <c r="EI6" i="4" s="1"/>
  <c r="ED26" i="4"/>
  <c r="DV17" i="4"/>
  <c r="DU17" i="4"/>
  <c r="DV22" i="4"/>
  <c r="DU14" i="4"/>
  <c r="EH19" i="4"/>
  <c r="EA13" i="4"/>
  <c r="DV18" i="4"/>
  <c r="DU18" i="4"/>
  <c r="DF124" i="4"/>
  <c r="DV23" i="4"/>
  <c r="EQ13" i="4"/>
  <c r="EO23" i="4"/>
  <c r="EO22" i="4"/>
  <c r="EO20" i="4"/>
  <c r="T4" i="4"/>
  <c r="U4" i="4" s="1"/>
  <c r="T5" i="4"/>
  <c r="U5" i="4" s="1"/>
  <c r="T6" i="4"/>
  <c r="U6" i="4" s="1"/>
  <c r="EM23" i="4"/>
  <c r="EM16" i="4"/>
  <c r="EM14" i="4"/>
  <c r="EM17" i="4"/>
  <c r="EM20" i="4"/>
  <c r="EM22" i="4"/>
  <c r="EM15" i="4"/>
  <c r="EM18" i="4"/>
  <c r="EQ12" i="4"/>
  <c r="EM13" i="4"/>
  <c r="Q4" i="4"/>
  <c r="R4" i="4" s="1"/>
  <c r="Q5" i="4"/>
  <c r="R5" i="4" s="1"/>
  <c r="Q6" i="4"/>
  <c r="R6" i="4" s="1"/>
  <c r="P7" i="4" s="1"/>
  <c r="EA11" i="4"/>
  <c r="EO18" i="4"/>
  <c r="EO17" i="4"/>
  <c r="EP11" i="4" s="1"/>
  <c r="EQ11" i="4"/>
  <c r="N4" i="4"/>
  <c r="O4" i="4" s="1"/>
  <c r="N6" i="4"/>
  <c r="O6" i="4" s="1"/>
  <c r="N5" i="4"/>
  <c r="O5" i="4" s="1"/>
  <c r="ER23" i="4"/>
  <c r="EA14" i="4"/>
  <c r="AT123" i="4"/>
  <c r="EH15" i="4"/>
  <c r="EA18" i="4" a="1"/>
  <c r="EA18" i="4" s="1"/>
  <c r="EQ22" i="4"/>
  <c r="AR124" i="4"/>
  <c r="AT124" i="4" s="1"/>
  <c r="CX124" i="4"/>
  <c r="DV20" i="4"/>
  <c r="DU16" i="4" a="1"/>
  <c r="DU16" i="4" s="1"/>
  <c r="DU22" i="4"/>
  <c r="C3" i="63"/>
  <c r="EF11" i="4"/>
  <c r="EF13" i="4"/>
  <c r="EF24" i="4"/>
  <c r="EF15" i="4"/>
  <c r="EF16" i="4"/>
  <c r="EF19" i="4"/>
  <c r="ER22" i="4" l="1"/>
  <c r="ER18" i="4"/>
  <c r="ER17" i="4"/>
  <c r="ER16" i="4"/>
  <c r="ER14" i="4"/>
  <c r="ER13" i="4"/>
  <c r="EA12" i="4"/>
  <c r="M7" i="4"/>
  <c r="ER8" i="4"/>
  <c r="S7" i="4"/>
  <c r="EJ13" i="4"/>
  <c r="EX13" i="4" s="1"/>
  <c r="EJ11" i="4"/>
  <c r="EX11" i="4" s="1"/>
  <c r="EJ15" i="4"/>
  <c r="EX15" i="4" s="1"/>
  <c r="EJ16" i="4"/>
  <c r="EX16" i="4" s="1"/>
  <c r="EJ19" i="4"/>
  <c r="EX19" i="4" s="1"/>
  <c r="ER9" i="4"/>
  <c r="EH20" i="4"/>
  <c r="EH17" i="4"/>
  <c r="EH22" i="4"/>
  <c r="EH18" i="4"/>
  <c r="CD7" i="4"/>
  <c r="CC124" i="4"/>
  <c r="EH23" i="4"/>
  <c r="EP12" i="4"/>
  <c r="EP14" i="4" s="1"/>
  <c r="EF14" i="4"/>
  <c r="EF23" i="4"/>
  <c r="EF20" i="4"/>
  <c r="EF17" i="4"/>
  <c r="EF22" i="4"/>
  <c r="EF18" i="4"/>
  <c r="EF12" i="4"/>
  <c r="EJ14" i="4" l="1"/>
  <c r="EX14" i="4" s="1"/>
  <c r="EJ12" i="4"/>
  <c r="EX12" i="4" s="1"/>
  <c r="EJ18" i="4"/>
  <c r="EX18" i="4" s="1"/>
  <c r="EJ17" i="4"/>
  <c r="EX17" i="4" s="1"/>
  <c r="EJ23" i="4"/>
  <c r="EX23" i="4" s="1"/>
  <c r="EJ20" i="4"/>
  <c r="EX20" i="4" s="1"/>
  <c r="EJ22" i="4"/>
  <c r="EX22" i="4" s="1"/>
  <c r="EX26" i="4" l="1" a="1"/>
  <c r="EX26" i="4" s="1"/>
</calcChain>
</file>

<file path=xl/comments1.xml><?xml version="1.0" encoding="utf-8"?>
<comments xmlns="http://schemas.openxmlformats.org/spreadsheetml/2006/main">
  <authors>
    <author>Kevin1</author>
  </authors>
  <commentList>
    <comment ref="J1" authorId="0" shapeId="0">
      <text>
        <r>
          <rPr>
            <b/>
            <sz val="9"/>
            <color indexed="81"/>
            <rFont val="Tahoma"/>
            <family val="2"/>
          </rPr>
          <t>Kevin1:</t>
        </r>
        <r>
          <rPr>
            <sz val="9"/>
            <color indexed="81"/>
            <rFont val="Tahoma"/>
            <family val="2"/>
          </rPr>
          <t xml:space="preserve">
Value of 1 will divide the cases by population, in logisitic output and case column. Might Best to be 0 maybe when Solver run</t>
        </r>
      </text>
    </comment>
    <comment ref="W2" authorId="0" shapeId="0">
      <text>
        <r>
          <rPr>
            <b/>
            <sz val="9"/>
            <color indexed="81"/>
            <rFont val="Tahoma"/>
            <family val="2"/>
          </rPr>
          <t>Kevin1:</t>
        </r>
        <r>
          <rPr>
            <sz val="9"/>
            <color indexed="81"/>
            <rFont val="Tahoma"/>
            <family val="2"/>
          </rPr>
          <t xml:space="preserve">
If this goes to zero, check that the Vic column in TST is extended to last row.</t>
        </r>
      </text>
    </comment>
    <comment ref="Z10" authorId="0" shapeId="0">
      <text>
        <r>
          <rPr>
            <b/>
            <sz val="9"/>
            <color indexed="81"/>
            <rFont val="Tahoma"/>
            <family val="2"/>
          </rPr>
          <t>Kevin1: Switch to any country or state/province</t>
        </r>
        <r>
          <rPr>
            <sz val="9"/>
            <color indexed="81"/>
            <rFont val="Tahoma"/>
            <family val="2"/>
          </rPr>
          <t xml:space="preserve">
</t>
        </r>
      </text>
    </comment>
    <comment ref="CF10" authorId="0" shapeId="0">
      <text>
        <r>
          <rPr>
            <b/>
            <sz val="9"/>
            <color indexed="81"/>
            <rFont val="Tahoma"/>
            <family val="2"/>
          </rPr>
          <t>Kevin1:</t>
        </r>
        <r>
          <rPr>
            <sz val="9"/>
            <color indexed="81"/>
            <rFont val="Tahoma"/>
            <family val="2"/>
          </rPr>
          <t xml:space="preserve">
Tested and excluded, does not include confirmed cases tests, nor their subsequent tests
</t>
        </r>
      </text>
    </comment>
    <comment ref="CJ10" authorId="0" shapeId="0">
      <text>
        <r>
          <rPr>
            <b/>
            <sz val="9"/>
            <color indexed="81"/>
            <rFont val="Tahoma"/>
            <family val="2"/>
          </rPr>
          <t>Kevin1:</t>
        </r>
        <r>
          <rPr>
            <sz val="9"/>
            <color indexed="81"/>
            <rFont val="Tahoma"/>
            <family val="2"/>
          </rPr>
          <t xml:space="preserve">
From 19/4, the LOGEST fn was failing, and the dates below row 63 (day 8)  here were not being calculated correctly by the formula, even though in other cells the formula worked. So adjusted to a simpler formula from row 8 down
</t>
        </r>
      </text>
    </comment>
    <comment ref="DU10" authorId="0" shapeId="0">
      <text>
        <r>
          <rPr>
            <b/>
            <sz val="9"/>
            <color indexed="81"/>
            <rFont val="Tahoma"/>
            <family val="2"/>
          </rPr>
          <t>Kevin1:</t>
        </r>
        <r>
          <rPr>
            <sz val="9"/>
            <color indexed="81"/>
            <rFont val="Tahoma"/>
            <family val="2"/>
          </rPr>
          <t xml:space="preserve">
</t>
        </r>
        <r>
          <rPr>
            <sz val="12"/>
            <color indexed="81"/>
            <rFont val="Tahoma"/>
            <family val="2"/>
          </rPr>
          <t>Use Mean  Sq Error as the target for Solver to minimize (simpler to calculate than R2). Would be nice to rename Mean Sq Err as Mean Err Sq, as that is what it really is. But too hard to fix all the defined names and chart series uses of it.</t>
        </r>
      </text>
    </comment>
    <comment ref="DV10" authorId="0" shapeId="0">
      <text>
        <r>
          <rPr>
            <b/>
            <sz val="9"/>
            <color indexed="81"/>
            <rFont val="Tahoma"/>
            <family val="2"/>
          </rPr>
          <t>Kevin1:</t>
        </r>
        <r>
          <rPr>
            <sz val="9"/>
            <color indexed="81"/>
            <rFont val="Tahoma"/>
            <family val="2"/>
          </rPr>
          <t xml:space="preserve">
</t>
        </r>
        <r>
          <rPr>
            <sz val="14"/>
            <color indexed="81"/>
            <rFont val="Tahoma"/>
            <family val="2"/>
          </rPr>
          <t xml:space="preserve">To stop auto-filling of formula down the column, turn the formula in last row into a text by prefacing with an apostrophe ', edit the other rows one at a time, then remove the apostrophe on the last row
</t>
        </r>
      </text>
    </comment>
    <comment ref="EO10" authorId="0" shapeId="0">
      <text>
        <r>
          <rPr>
            <b/>
            <sz val="9"/>
            <color indexed="81"/>
            <rFont val="Tahoma"/>
            <family val="2"/>
          </rPr>
          <t>Kevin1:</t>
        </r>
        <r>
          <rPr>
            <sz val="9"/>
            <color indexed="81"/>
            <rFont val="Tahoma"/>
            <family val="2"/>
          </rPr>
          <t xml:space="preserve">
This stopped working because the AtDate formula and LastDate formuas deliver a value that cuts and paste vlaues like a date, but gives a zero in any formula referring to the cell
</t>
        </r>
      </text>
    </comment>
    <comment ref="ED26" authorId="0" shapeId="0">
      <text>
        <r>
          <rPr>
            <b/>
            <sz val="9"/>
            <color indexed="81"/>
            <rFont val="Tahoma"/>
            <family val="2"/>
          </rPr>
          <t>Kevin1:</t>
        </r>
        <r>
          <rPr>
            <sz val="9"/>
            <color indexed="81"/>
            <rFont val="Tahoma"/>
            <family val="2"/>
          </rPr>
          <t xml:space="preserve">
Min Date, exclu Tests and US (US withdrawn from WHO, so maybe no data soon) 15/4/20
</t>
        </r>
      </text>
    </comment>
  </commentList>
</comments>
</file>

<file path=xl/comments2.xml><?xml version="1.0" encoding="utf-8"?>
<comments xmlns="http://schemas.openxmlformats.org/spreadsheetml/2006/main">
  <authors>
    <author>Kevin1</author>
  </authors>
  <commentList>
    <comment ref="E1" authorId="0" shapeId="0">
      <text>
        <r>
          <rPr>
            <b/>
            <sz val="9"/>
            <color indexed="81"/>
            <rFont val="Tahoma"/>
            <family val="2"/>
          </rPr>
          <t>Kevin1:</t>
        </r>
        <r>
          <rPr>
            <sz val="9"/>
            <color indexed="81"/>
            <rFont val="Tahoma"/>
            <family val="2"/>
          </rPr>
          <t xml:space="preserve">
These were expected form in the myData headings
</t>
        </r>
      </text>
    </comment>
    <comment ref="F1" authorId="0" shapeId="0">
      <text>
        <r>
          <rPr>
            <b/>
            <sz val="9"/>
            <color indexed="81"/>
            <rFont val="Tahoma"/>
            <family val="2"/>
          </rPr>
          <t>Kevin1:</t>
        </r>
        <r>
          <rPr>
            <sz val="9"/>
            <color indexed="81"/>
            <rFont val="Tahoma"/>
            <family val="2"/>
          </rPr>
          <t xml:space="preserve">
This are names as per JH WHO data
</t>
        </r>
      </text>
    </comment>
    <comment ref="K1" authorId="0" shapeId="0">
      <text>
        <r>
          <rPr>
            <b/>
            <sz val="9"/>
            <color indexed="81"/>
            <rFont val="Tahoma"/>
            <family val="2"/>
          </rPr>
          <t>Kevin1:</t>
        </r>
        <r>
          <rPr>
            <sz val="9"/>
            <color indexed="81"/>
            <rFont val="Tahoma"/>
            <family val="2"/>
          </rPr>
          <t xml:space="preserve">
Names in JH data, or specials like Tests, Generic
</t>
        </r>
      </text>
    </comment>
    <comment ref="L1" authorId="0" shapeId="0">
      <text>
        <r>
          <rPr>
            <b/>
            <sz val="9"/>
            <color indexed="81"/>
            <rFont val="Tahoma"/>
            <family val="2"/>
          </rPr>
          <t>Kevin1:</t>
        </r>
        <r>
          <rPr>
            <sz val="9"/>
            <color indexed="81"/>
            <rFont val="Tahoma"/>
            <family val="2"/>
          </rPr>
          <t xml:space="preserve">
Names in myData table headings</t>
        </r>
      </text>
    </comment>
    <comment ref="R1" authorId="0" shapeId="0">
      <text>
        <r>
          <rPr>
            <b/>
            <sz val="9"/>
            <color indexed="81"/>
            <rFont val="Tahoma"/>
            <family val="2"/>
          </rPr>
          <t>Kevin1:</t>
        </r>
        <r>
          <rPr>
            <sz val="9"/>
            <color indexed="81"/>
            <rFont val="Tahoma"/>
            <family val="2"/>
          </rPr>
          <t xml:space="preserve">
This is the first date to load into myData</t>
        </r>
      </text>
    </comment>
    <comment ref="W1" authorId="0" shapeId="0">
      <text>
        <r>
          <rPr>
            <b/>
            <sz val="9"/>
            <color indexed="81"/>
            <rFont val="Tahoma"/>
            <family val="2"/>
          </rPr>
          <t>Kevin1:</t>
        </r>
        <r>
          <rPr>
            <sz val="9"/>
            <color indexed="81"/>
            <rFont val="Tahoma"/>
            <family val="2"/>
          </rPr>
          <t xml:space="preserve">
This is the date before 1st case
ie first zero in column
</t>
        </r>
      </text>
    </comment>
    <comment ref="AD2" authorId="0" shapeId="0">
      <text>
        <r>
          <rPr>
            <b/>
            <sz val="9"/>
            <color indexed="81"/>
            <rFont val="Tahoma"/>
            <family val="2"/>
          </rPr>
          <t>Kevin1:</t>
        </r>
        <r>
          <rPr>
            <sz val="9"/>
            <color indexed="81"/>
            <rFont val="Tahoma"/>
            <family val="2"/>
          </rPr>
          <t xml:space="preserve">
Adjusts the start of logistic fit to LastnDays before current date if value is not 1</t>
        </r>
      </text>
    </comment>
    <comment ref="AD4" authorId="0" shapeId="0">
      <text>
        <r>
          <rPr>
            <b/>
            <sz val="9"/>
            <color indexed="81"/>
            <rFont val="Tahoma"/>
            <family val="2"/>
          </rPr>
          <t>Kevin1:</t>
        </r>
        <r>
          <rPr>
            <sz val="9"/>
            <color indexed="81"/>
            <rFont val="Tahoma"/>
            <family val="2"/>
          </rPr>
          <t xml:space="preserve">
This stops the logistic fit calc at 0 or more days back from latest data, so you can assess fit at a previous date</t>
        </r>
      </text>
    </comment>
  </commentList>
</comments>
</file>

<file path=xl/sharedStrings.xml><?xml version="1.0" encoding="utf-8"?>
<sst xmlns="http://schemas.openxmlformats.org/spreadsheetml/2006/main" count="11947" uniqueCount="3803">
  <si>
    <t>Province/State</t>
  </si>
  <si>
    <t>Country/Region</t>
  </si>
  <si>
    <t>Lat</t>
  </si>
  <si>
    <t>Long</t>
  </si>
  <si>
    <t>Anhui</t>
  </si>
  <si>
    <t>Beijing</t>
  </si>
  <si>
    <t>Chongqing</t>
  </si>
  <si>
    <t>Fujian</t>
  </si>
  <si>
    <t>Gansu</t>
  </si>
  <si>
    <t>Guangdong</t>
  </si>
  <si>
    <t>Guangxi</t>
  </si>
  <si>
    <t>Guizhou</t>
  </si>
  <si>
    <t>Hainan</t>
  </si>
  <si>
    <t>Hebei</t>
  </si>
  <si>
    <t>Heilongjiang</t>
  </si>
  <si>
    <t>Henan</t>
  </si>
  <si>
    <t>Hubei</t>
  </si>
  <si>
    <t>Hunan</t>
  </si>
  <si>
    <t>Inner Mongolia</t>
  </si>
  <si>
    <t>Jiangsu</t>
  </si>
  <si>
    <t>Jiangxi</t>
  </si>
  <si>
    <t>Jilin</t>
  </si>
  <si>
    <t>Liaoning</t>
  </si>
  <si>
    <t>Ningxia</t>
  </si>
  <si>
    <t>Qinghai</t>
  </si>
  <si>
    <t>Shaanxi</t>
  </si>
  <si>
    <t>Shandong</t>
  </si>
  <si>
    <t>Shanghai</t>
  </si>
  <si>
    <t>Shanxi</t>
  </si>
  <si>
    <t>Sichuan</t>
  </si>
  <si>
    <t>Tianjin</t>
  </si>
  <si>
    <t>Tibet</t>
  </si>
  <si>
    <t>Xinjiang</t>
  </si>
  <si>
    <t>Yunnan</t>
  </si>
  <si>
    <t>Zhejiang</t>
  </si>
  <si>
    <t>Thailand</t>
  </si>
  <si>
    <t>Japan</t>
  </si>
  <si>
    <t>US</t>
  </si>
  <si>
    <t>Macau</t>
  </si>
  <si>
    <t>Hong Kong</t>
  </si>
  <si>
    <t>Singapore</t>
  </si>
  <si>
    <t>Vietnam</t>
  </si>
  <si>
    <t>France</t>
  </si>
  <si>
    <t>Nepal</t>
  </si>
  <si>
    <t>Malaysia</t>
  </si>
  <si>
    <t>British Columbia</t>
  </si>
  <si>
    <t>Canada</t>
  </si>
  <si>
    <t>New South Wales</t>
  </si>
  <si>
    <t>Australia</t>
  </si>
  <si>
    <t>Victoria</t>
  </si>
  <si>
    <t>Queensland</t>
  </si>
  <si>
    <t>Cambodia</t>
  </si>
  <si>
    <t>Sri Lanka</t>
  </si>
  <si>
    <t>Germany</t>
  </si>
  <si>
    <t>Finland</t>
  </si>
  <si>
    <t>United Arab Emirates</t>
  </si>
  <si>
    <t>Philippines</t>
  </si>
  <si>
    <t>India</t>
  </si>
  <si>
    <t>Italy</t>
  </si>
  <si>
    <t>Russia</t>
  </si>
  <si>
    <t>Sweden</t>
  </si>
  <si>
    <t>Spain</t>
  </si>
  <si>
    <t>South Australia</t>
  </si>
  <si>
    <t>Belgium</t>
  </si>
  <si>
    <t>Egypt</t>
  </si>
  <si>
    <t>Iran</t>
  </si>
  <si>
    <t>From Diamond Princess</t>
  </si>
  <si>
    <t>Lebanon</t>
  </si>
  <si>
    <t>Iraq</t>
  </si>
  <si>
    <t>Oman</t>
  </si>
  <si>
    <t>Afghanistan</t>
  </si>
  <si>
    <t>Bahrain</t>
  </si>
  <si>
    <t>Kuwait</t>
  </si>
  <si>
    <t>Algeria</t>
  </si>
  <si>
    <t>Croatia</t>
  </si>
  <si>
    <t>Switzerland</t>
  </si>
  <si>
    <t>Austria</t>
  </si>
  <si>
    <t>Israel</t>
  </si>
  <si>
    <t>Pakistan</t>
  </si>
  <si>
    <t>Brazil</t>
  </si>
  <si>
    <t>Georgia</t>
  </si>
  <si>
    <t>Greece</t>
  </si>
  <si>
    <t>North Macedonia</t>
  </si>
  <si>
    <t>Norway</t>
  </si>
  <si>
    <t>Romania</t>
  </si>
  <si>
    <t>Denmark</t>
  </si>
  <si>
    <t>Estonia</t>
  </si>
  <si>
    <t>Netherlands</t>
  </si>
  <si>
    <t>San Marino</t>
  </si>
  <si>
    <t>Belarus</t>
  </si>
  <si>
    <t>Iceland</t>
  </si>
  <si>
    <t>Lithuania</t>
  </si>
  <si>
    <t>Mexico</t>
  </si>
  <si>
    <t>New Zealand</t>
  </si>
  <si>
    <t>Nigeria</t>
  </si>
  <si>
    <t>Western Australia</t>
  </si>
  <si>
    <t>Luxembourg</t>
  </si>
  <si>
    <t>Monaco</t>
  </si>
  <si>
    <t>Qatar</t>
  </si>
  <si>
    <t>Ecuador</t>
  </si>
  <si>
    <t>Azerbaijan</t>
  </si>
  <si>
    <t>Armenia</t>
  </si>
  <si>
    <t>Dominican Republic</t>
  </si>
  <si>
    <t>Indonesia</t>
  </si>
  <si>
    <t>Portugal</t>
  </si>
  <si>
    <t>Andorra</t>
  </si>
  <si>
    <t>Tasmania</t>
  </si>
  <si>
    <t>Latvia</t>
  </si>
  <si>
    <t>Morocco</t>
  </si>
  <si>
    <t>Saudi Arabia</t>
  </si>
  <si>
    <t>Senegal</t>
  </si>
  <si>
    <t>Argentina</t>
  </si>
  <si>
    <t>Chile</t>
  </si>
  <si>
    <t>Jordan</t>
  </si>
  <si>
    <t>Ukraine</t>
  </si>
  <si>
    <t>Saint Barthelemy</t>
  </si>
  <si>
    <t>Hungary</t>
  </si>
  <si>
    <t>Northern Territory</t>
  </si>
  <si>
    <t>Faroe Islands</t>
  </si>
  <si>
    <t>Liechtenstein</t>
  </si>
  <si>
    <t>Poland</t>
  </si>
  <si>
    <t>Tunisia</t>
  </si>
  <si>
    <t>Bosnia and Herzegovina</t>
  </si>
  <si>
    <t>Slovenia</t>
  </si>
  <si>
    <t>South Africa</t>
  </si>
  <si>
    <t>Bhutan</t>
  </si>
  <si>
    <t>Cameroon</t>
  </si>
  <si>
    <t>Colombia</t>
  </si>
  <si>
    <t>Costa Rica</t>
  </si>
  <si>
    <t>Peru</t>
  </si>
  <si>
    <t>Serbia</t>
  </si>
  <si>
    <t>Slovakia</t>
  </si>
  <si>
    <t>Togo</t>
  </si>
  <si>
    <t>French Guiana</t>
  </si>
  <si>
    <t>Malta</t>
  </si>
  <si>
    <t>Martinique</t>
  </si>
  <si>
    <t>Bulgaria</t>
  </si>
  <si>
    <t>Maldives</t>
  </si>
  <si>
    <t>Bangladesh</t>
  </si>
  <si>
    <t>Moldova</t>
  </si>
  <si>
    <t>Paraguay</t>
  </si>
  <si>
    <t>Ontario</t>
  </si>
  <si>
    <t>Alberta</t>
  </si>
  <si>
    <t>Quebec</t>
  </si>
  <si>
    <t>Albania</t>
  </si>
  <si>
    <t>Cyprus</t>
  </si>
  <si>
    <t>Brunei</t>
  </si>
  <si>
    <t>Diamond Princess</t>
  </si>
  <si>
    <t>Grand Princess</t>
  </si>
  <si>
    <t>Burkina Faso</t>
  </si>
  <si>
    <t>Holy See</t>
  </si>
  <si>
    <t>Mongolia</t>
  </si>
  <si>
    <t>Panama</t>
  </si>
  <si>
    <t>NSW</t>
  </si>
  <si>
    <t>Date</t>
  </si>
  <si>
    <t>Day 0</t>
  </si>
  <si>
    <t>b</t>
  </si>
  <si>
    <t>d</t>
  </si>
  <si>
    <t>Po</t>
  </si>
  <si>
    <r>
      <t>Asymptote</t>
    </r>
    <r>
      <rPr>
        <sz val="10"/>
        <rFont val="Symbol"/>
        <family val="1"/>
        <charset val="2"/>
      </rPr>
      <t xml:space="preserve"> b/d</t>
    </r>
  </si>
  <si>
    <t>Mean Sq Err</t>
  </si>
  <si>
    <t>(beta/Po)-delta</t>
  </si>
  <si>
    <t>delta*1000</t>
  </si>
  <si>
    <t>Days# Italy</t>
  </si>
  <si>
    <t>Day # NSW</t>
  </si>
  <si>
    <t>NSW LogiP(t)</t>
  </si>
  <si>
    <t>NSW Sq Err</t>
  </si>
  <si>
    <t>Asymptote b/d</t>
  </si>
  <si>
    <t>Day# Aust</t>
  </si>
  <si>
    <t>australia data day by day</t>
  </si>
  <si>
    <t>https://www.health.gov.au/news/health-alerts/novel-coronavirus-2019-ncov-health-alert#current-status</t>
  </si>
  <si>
    <t>P(t) = b / {d+[( b/Po - d ) ]* exp(-b*t)}</t>
  </si>
  <si>
    <t>Points</t>
  </si>
  <si>
    <t>Last Date</t>
  </si>
  <si>
    <t>Italy LogiP(t)</t>
  </si>
  <si>
    <t>Italy Sq Err</t>
  </si>
  <si>
    <t>China</t>
  </si>
  <si>
    <t>Czechia</t>
  </si>
  <si>
    <t>Bolivia</t>
  </si>
  <si>
    <t>St Martin</t>
  </si>
  <si>
    <t>Honduras</t>
  </si>
  <si>
    <t>New Brunswick</t>
  </si>
  <si>
    <t>Congo (Kinshasa)</t>
  </si>
  <si>
    <t>Cote d'Ivoire</t>
  </si>
  <si>
    <t>Jamaica</t>
  </si>
  <si>
    <t>Reunion</t>
  </si>
  <si>
    <t>Turkey</t>
  </si>
  <si>
    <t>AtDate</t>
  </si>
  <si>
    <t>NSW Under Investigation'</t>
  </si>
  <si>
    <t>NSW statistics, including test count and under investigation</t>
  </si>
  <si>
    <t>https://www.health.nsw.gov.au/news/Pages/20200312_00.aspx</t>
  </si>
  <si>
    <t xml:space="preserve">Increase NSW Tests/Day </t>
  </si>
  <si>
    <t>IncreasNSW Investig</t>
  </si>
  <si>
    <t>Korea South</t>
  </si>
  <si>
    <t>Cuba</t>
  </si>
  <si>
    <t>Guyana</t>
  </si>
  <si>
    <t>Australian Capital Territory</t>
  </si>
  <si>
    <t>Kazakhstan</t>
  </si>
  <si>
    <t>French Polynesia</t>
  </si>
  <si>
    <t>Guadeloupe</t>
  </si>
  <si>
    <t>Manitoba</t>
  </si>
  <si>
    <t>Saskatchewan</t>
  </si>
  <si>
    <t>Ethiopia</t>
  </si>
  <si>
    <t>Sudan</t>
  </si>
  <si>
    <t>Guinea</t>
  </si>
  <si>
    <t>Aruba</t>
  </si>
  <si>
    <t>Kenya</t>
  </si>
  <si>
    <t>Antigua and Barbuda</t>
  </si>
  <si>
    <t>USA</t>
  </si>
  <si>
    <t>US LogiP(t)</t>
  </si>
  <si>
    <t>US Sq Err</t>
  </si>
  <si>
    <t>Days# US</t>
  </si>
  <si>
    <t>SOLVER SOLUTION  APPLIES CONSTRAINTS VIA beta, delta, Po, so must update formulas when changing country row in E25:K25</t>
  </si>
  <si>
    <t>Asymptote</t>
  </si>
  <si>
    <t>32.9 k</t>
  </si>
  <si>
    <t>23.7 M</t>
  </si>
  <si>
    <t>Preview</t>
  </si>
  <si>
    <t>Sheet (and graph link)</t>
  </si>
  <si>
    <t>Chart Title</t>
  </si>
  <si>
    <t>Chart Series</t>
  </si>
  <si>
    <t>NSW Confirmed Cases</t>
  </si>
  <si>
    <t>Logistic Prediction</t>
  </si>
  <si>
    <t>COVID19 NSW Cases</t>
  </si>
  <si>
    <t>NSW Confirmed Cases, Logistic Prediction</t>
  </si>
  <si>
    <t>Chart Index Chart 1</t>
  </si>
  <si>
    <t>OCAL HEALTH DISTRICTS </t>
  </si>
  <si>
    <t>OCCUPANC Y  </t>
  </si>
  <si>
    <t>ACUTE   </t>
  </si>
  <si>
    <t>ACUTE  </t>
  </si>
  <si>
    <t>NON-ADMITTED </t>
  </si>
  <si>
    <t>EMERGENCY </t>
  </si>
  <si>
    <t>                                                  R ATE   </t>
  </si>
  <si>
    <t>B E D  DAY S </t>
  </si>
  <si>
    <t>6 </t>
  </si>
  <si>
    <t>OVERNIGHT BED </t>
  </si>
  <si>
    <t>PATIENT SERVICE </t>
  </si>
  <si>
    <t>DEP T.  </t>
  </si>
  <si>
    <t>                                                 JUNE 18 </t>
  </si>
  <si>
    <t>DAY S </t>
  </si>
  <si>
    <t>EVENTS </t>
  </si>
  <si>
    <t>7 </t>
  </si>
  <si>
    <t>ATTENDANCES </t>
  </si>
  <si>
    <t>8 </t>
  </si>
  <si>
    <t>Justice and Forensic Mental Health Network </t>
  </si>
  <si>
    <t>n/a </t>
  </si>
  <si>
    <t>12,299 </t>
  </si>
  <si>
    <t>11,707 </t>
  </si>
  <si>
    <t>2,040,917 </t>
  </si>
  <si>
    <t>Sydney Children’s Hospitals Network </t>
  </si>
  <si>
    <t>94.2% </t>
  </si>
  <si>
    <t>175,539 </t>
  </si>
  <si>
    <t>152,810 </t>
  </si>
  <si>
    <t>440,545 </t>
  </si>
  <si>
    <t>95,658 </t>
  </si>
  <si>
    <t>South Western Sydney Local Health District </t>
  </si>
  <si>
    <t>98.5% </t>
  </si>
  <si>
    <t>656,898 </t>
  </si>
  <si>
    <t>548,960 </t>
  </si>
  <si>
    <t>1,129,620 </t>
  </si>
  <si>
    <t>284,379 </t>
  </si>
  <si>
    <t>South Eastern Sydney Local Health District </t>
  </si>
  <si>
    <t>95.5% </t>
  </si>
  <si>
    <t>483,112 </t>
  </si>
  <si>
    <t>412,339 </t>
  </si>
  <si>
    <t>1,278,989 </t>
  </si>
  <si>
    <t>2 2 7, 8 45 </t>
  </si>
  <si>
    <t>Illawarra Shoalhaven Local Health District </t>
  </si>
  <si>
    <t>96.1% </t>
  </si>
  <si>
    <t>260,883 </t>
  </si>
  <si>
    <t>224,031 </t>
  </si>
  <si>
    <t>653 , 474 </t>
  </si>
  <si>
    <t>159,718 </t>
  </si>
  <si>
    <t>Western Sydney Local Health District </t>
  </si>
  <si>
    <t>99.1% </t>
  </si>
  <si>
    <t>491,034 </t>
  </si>
  <si>
    <t>406,780 </t>
  </si>
  <si>
    <t>1,360,101 </t>
  </si>
  <si>
    <t>192,506 </t>
  </si>
  <si>
    <t>Nepean Blue Mountains Local Health District </t>
  </si>
  <si>
    <t>92.8% </t>
  </si>
  <si>
    <t>247,743 </t>
  </si>
  <si>
    <t>215,678 </t>
  </si>
  <si>
    <t>649,155 </t>
  </si>
  <si>
    <t>1 2 7, 6 8 4 </t>
  </si>
  <si>
    <t>Northern Sydney Local Health District </t>
  </si>
  <si>
    <t>93.8% </t>
  </si>
  <si>
    <t>508,146 </t>
  </si>
  <si>
    <t>4 47, 4 9 4 </t>
  </si>
  <si>
    <t>1,066,542 </t>
  </si>
  <si>
    <t>218,260 </t>
  </si>
  <si>
    <t>St Vincent’s Health Network </t>
  </si>
  <si>
    <t>89.2% </t>
  </si>
  <si>
    <t>1 7 7, 9 1 2  </t>
  </si>
  <si>
    <t>153,957 </t>
  </si>
  <si>
    <t>351,219 </t>
  </si>
  <si>
    <t>48,395 </t>
  </si>
  <si>
    <t>Sydney Local Health District </t>
  </si>
  <si>
    <t>88.3% </t>
  </si>
  <si>
    <t>521,053 </t>
  </si>
  <si>
    <t>441,924 </t>
  </si>
  <si>
    <t>1,316,622 </t>
  </si>
  <si>
    <t>164,421 </t>
  </si>
  <si>
    <t>Central Coast Local Health District </t>
  </si>
  <si>
    <t>92.5% </t>
  </si>
  <si>
    <t>249,244 </t>
  </si>
  <si>
    <t>209,940 </t>
  </si>
  <si>
    <t>6 5 7, 9 6 4 </t>
  </si>
  <si>
    <t>136,105 </t>
  </si>
  <si>
    <t>Hunter New England Local Health District </t>
  </si>
  <si>
    <t>76.0% </t>
  </si>
  <si>
    <t>633,096 </t>
  </si>
  <si>
    <t>539,904 </t>
  </si>
  <si>
    <t>2,119,776 </t>
  </si>
  <si>
    <t>418,963 </t>
  </si>
  <si>
    <t>Northern NSW Local Health District </t>
  </si>
  <si>
    <t>271,064 </t>
  </si>
  <si>
    <t>223,514 </t>
  </si>
  <si>
    <t>5 47, 5 3 9 </t>
  </si>
  <si>
    <t>206,851 </t>
  </si>
  <si>
    <t>Mid North Coast Local Health District </t>
  </si>
  <si>
    <t>94.8% </t>
  </si>
  <si>
    <t>264,339 </t>
  </si>
  <si>
    <t>226,375 </t>
  </si>
  <si>
    <t>552,832 </t>
  </si>
  <si>
    <t>126,363 </t>
  </si>
  <si>
    <t>Southern NSW Local Health District </t>
  </si>
  <si>
    <t>80.4% </t>
  </si>
  <si>
    <t>1 07, 0 6 5  </t>
  </si>
  <si>
    <t>83,172 </t>
  </si>
  <si>
    <t>320,525 </t>
  </si>
  <si>
    <t>112,768 </t>
  </si>
  <si>
    <t>Murrumbidgee Local Health District </t>
  </si>
  <si>
    <t>83.1% </t>
  </si>
  <si>
    <t>164,365 </t>
  </si>
  <si>
    <t>135,711 </t>
  </si>
  <si>
    <t>431,703 </t>
  </si>
  <si>
    <t>1 47, 9 6 4 </t>
  </si>
  <si>
    <t>Western NSW Local Health District </t>
  </si>
  <si>
    <t>80.7% </t>
  </si>
  <si>
    <t>213,434 </t>
  </si>
  <si>
    <t>180,063 </t>
  </si>
  <si>
    <t>675,082 </t>
  </si>
  <si>
    <t>1 8 7,1 1 3 </t>
  </si>
  <si>
    <t>Beds</t>
  </si>
  <si>
    <t>Far West Local Health District </t>
  </si>
  <si>
    <t>46.7% </t>
  </si>
  <si>
    <t>22,329 </t>
  </si>
  <si>
    <t>1 7, 9 1 9 </t>
  </si>
  <si>
    <t>108,848 </t>
  </si>
  <si>
    <t>25,715 </t>
  </si>
  <si>
    <t>TOTAL NSW </t>
  </si>
  <si>
    <t>90.2% </t>
  </si>
  <si>
    <t>5,459,555 </t>
  </si>
  <si>
    <t>4,632,278 </t>
  </si>
  <si>
    <t>15,701,453 </t>
  </si>
  <si>
    <t>Days# China</t>
  </si>
  <si>
    <t>Uruguay</t>
  </si>
  <si>
    <t>Ghana</t>
  </si>
  <si>
    <t>Namibia</t>
  </si>
  <si>
    <t>Seychelles</t>
  </si>
  <si>
    <t>Trinidad and Tobago</t>
  </si>
  <si>
    <t>Venezuela</t>
  </si>
  <si>
    <t>Curacao</t>
  </si>
  <si>
    <t>Eswatini</t>
  </si>
  <si>
    <t>Gabon</t>
  </si>
  <si>
    <t>Guatemala</t>
  </si>
  <si>
    <t>Mauritania</t>
  </si>
  <si>
    <t>Rwanda</t>
  </si>
  <si>
    <t>Saint Lucia</t>
  </si>
  <si>
    <t>Saint Vincent and the Grenadines</t>
  </si>
  <si>
    <t>Suriname</t>
  </si>
  <si>
    <t>China LogiP(t)</t>
  </si>
  <si>
    <t>China Sq Err</t>
  </si>
  <si>
    <t>beta</t>
  </si>
  <si>
    <t>betaChina</t>
  </si>
  <si>
    <t>betaItaly</t>
  </si>
  <si>
    <t>betaNSW</t>
  </si>
  <si>
    <t>betaPodelta</t>
  </si>
  <si>
    <t>betaPodeltaChina</t>
  </si>
  <si>
    <t>betaPodeltaItaly</t>
  </si>
  <si>
    <t>betaPodeltaNSW</t>
  </si>
  <si>
    <t>betaPodeltaUS</t>
  </si>
  <si>
    <t>betaUS</t>
  </si>
  <si>
    <t>ChinaCases</t>
  </si>
  <si>
    <t>ChinaDates</t>
  </si>
  <si>
    <t>ChinaLogi</t>
  </si>
  <si>
    <t>delta</t>
  </si>
  <si>
    <t>deltaChina</t>
  </si>
  <si>
    <t>deltaItaly</t>
  </si>
  <si>
    <t>deltaNSW</t>
  </si>
  <si>
    <t>deltaUS</t>
  </si>
  <si>
    <t>ItalyCases</t>
  </si>
  <si>
    <t>ItalyDates</t>
  </si>
  <si>
    <t>ItalyLogi</t>
  </si>
  <si>
    <t>ItalyLogiDates</t>
  </si>
  <si>
    <t>msqChina</t>
  </si>
  <si>
    <t>msqItaly</t>
  </si>
  <si>
    <t>msqNSW</t>
  </si>
  <si>
    <t>msqUS</t>
  </si>
  <si>
    <t>NSWCases</t>
  </si>
  <si>
    <t>NSWDates</t>
  </si>
  <si>
    <t>NSWLogi</t>
  </si>
  <si>
    <t>NSWLogiDates</t>
  </si>
  <si>
    <t>PoChina</t>
  </si>
  <si>
    <t>PoItaly</t>
  </si>
  <si>
    <t>PoNSW</t>
  </si>
  <si>
    <t>PoUS</t>
  </si>
  <si>
    <t>USCases</t>
  </si>
  <si>
    <t>USDates</t>
  </si>
  <si>
    <t>USDays</t>
  </si>
  <si>
    <t>USLogi</t>
  </si>
  <si>
    <t>USLogiDates</t>
  </si>
  <si>
    <t>myData</t>
  </si>
  <si>
    <t>myData!beta</t>
  </si>
  <si>
    <t>=myData!$A$2</t>
  </si>
  <si>
    <t>myData!betaChina</t>
  </si>
  <si>
    <t>myData!betaItaly</t>
  </si>
  <si>
    <t>myData!betaNSW</t>
  </si>
  <si>
    <t>myData!betaPodelta</t>
  </si>
  <si>
    <t>=myData!$F$2</t>
  </si>
  <si>
    <t>myData!betaPodeltaChina</t>
  </si>
  <si>
    <t>myData!betaPodeltaItaly</t>
  </si>
  <si>
    <t>myData!betaPodeltaNSW</t>
  </si>
  <si>
    <t>myData!betaPodeltaUS</t>
  </si>
  <si>
    <t>myData!betaUS</t>
  </si>
  <si>
    <t>myData!ChinaCases</t>
  </si>
  <si>
    <t>myData!ChinaDates</t>
  </si>
  <si>
    <t>myData!ChinaLogi</t>
  </si>
  <si>
    <t>myData!delta</t>
  </si>
  <si>
    <t>=myData!$B$2</t>
  </si>
  <si>
    <t>myData!deltaChina</t>
  </si>
  <si>
    <t>myData!deltaItaly</t>
  </si>
  <si>
    <t>myData!deltaNSW</t>
  </si>
  <si>
    <t>myData!deltaUS</t>
  </si>
  <si>
    <t>myData!ItalyCases</t>
  </si>
  <si>
    <t>myData!ItalyDates</t>
  </si>
  <si>
    <t>myData!ItalyLogi</t>
  </si>
  <si>
    <t>myData!ItalyLogiDates</t>
  </si>
  <si>
    <t>myData!msqChina</t>
  </si>
  <si>
    <t>myData!msqItaly</t>
  </si>
  <si>
    <t>myData!msqNSW</t>
  </si>
  <si>
    <t>myData!msqUS</t>
  </si>
  <si>
    <t>myData!NSWCases</t>
  </si>
  <si>
    <t>myData!NSWDates</t>
  </si>
  <si>
    <t>myData!NSWLogi</t>
  </si>
  <si>
    <t>myData!NSWLogiDates</t>
  </si>
  <si>
    <t>myData!Po</t>
  </si>
  <si>
    <t>=myData!$C$2</t>
  </si>
  <si>
    <t>myData!PoChina</t>
  </si>
  <si>
    <t>myData!PoItaly</t>
  </si>
  <si>
    <t>myData!PoNSW</t>
  </si>
  <si>
    <t>myData!PoUS</t>
  </si>
  <si>
    <t>myData!USCases</t>
  </si>
  <si>
    <t>myData!USDates</t>
  </si>
  <si>
    <t>myData!USDays</t>
  </si>
  <si>
    <t>myData!USLogi</t>
  </si>
  <si>
    <t>myData!USLogiDates</t>
  </si>
  <si>
    <t>36.4 k</t>
  </si>
  <si>
    <t xml:space="preserve">698  </t>
  </si>
  <si>
    <t xml:space="preserve">542  </t>
  </si>
  <si>
    <t>149 k</t>
  </si>
  <si>
    <t>10.0 k</t>
  </si>
  <si>
    <t>Parameter List</t>
  </si>
  <si>
    <t>ChartLabel</t>
  </si>
  <si>
    <t>Logistic Eqn</t>
  </si>
  <si>
    <t>Message</t>
  </si>
  <si>
    <t>Solver found a solution. All constraints and optimality conditions are satisfied.</t>
  </si>
  <si>
    <t>Solver has converged to the current solution. All constraints are satisfied.</t>
  </si>
  <si>
    <t>Solver cannot improve the current solution. All constraints are satisfied.</t>
  </si>
  <si>
    <t>Stop chosen when the maximum iteration limit was reached.</t>
  </si>
  <si>
    <t>The Objective Cell values do not converge.</t>
  </si>
  <si>
    <t>Solver could not find a feasible solution.</t>
  </si>
  <si>
    <t>Solver stopped at user's request.</t>
  </si>
  <si>
    <t>The linearity conditions required by this LP Solver are not satisfied.</t>
  </si>
  <si>
    <t>The problem is too large for Solver to handle.</t>
  </si>
  <si>
    <t>Solver encountered an error value in a target or constraint cell.</t>
  </si>
  <si>
    <t>Stop chosen when the maximum time limit was reached.</t>
  </si>
  <si>
    <t>There is not enough memory available to solve the problem.</t>
  </si>
  <si>
    <t>Error in model. Please verify that all cells and constraints are valid.</t>
  </si>
  <si>
    <t>Solver found an integer solution within tolerance. All constraints are satisfied.</t>
  </si>
  <si>
    <t>Stop chosen when the maximum number of feasible [integer] solutions was reached.</t>
  </si>
  <si>
    <t>Stop chosen when the maximum number of feasible [integer] subproblems was reached.</t>
  </si>
  <si>
    <t>Solver converged in probability to a global solution.</t>
  </si>
  <si>
    <t>All variables must have both upper and lower bounds.</t>
  </si>
  <si>
    <t>Variable bounds conflict in binary or all different constraint.</t>
  </si>
  <si>
    <t>Lower and upper bounds on variables allow no feasible solution.</t>
  </si>
  <si>
    <t>Value</t>
  </si>
  <si>
    <t>Country</t>
  </si>
  <si>
    <t>Newfoundland and Labrador</t>
  </si>
  <si>
    <t>Prince Edward Island</t>
  </si>
  <si>
    <t>Central African Republic</t>
  </si>
  <si>
    <t>Congo (Brazzaville)</t>
  </si>
  <si>
    <t>Equatorial Guinea</t>
  </si>
  <si>
    <t>Mayotte</t>
  </si>
  <si>
    <t>Uzbekistan</t>
  </si>
  <si>
    <t>MaxCases</t>
  </si>
  <si>
    <t>SeriesLabel</t>
  </si>
  <si>
    <t>Sort Order</t>
  </si>
  <si>
    <t>SERIES("NSW Confirmed Cases",myData!NSWDates,myData!NSWCases,1)</t>
  </si>
  <si>
    <t>SERIES("Logistic Prediction",myData!NSWLogiDates,myData!NSWLogi,2)</t>
  </si>
  <si>
    <t>NSW Test Logi</t>
  </si>
  <si>
    <t>NSW Test Sq Err</t>
  </si>
  <si>
    <t>NSW Test Day Number</t>
  </si>
  <si>
    <t>Population</t>
  </si>
  <si>
    <t>Apply Population Scaling</t>
  </si>
  <si>
    <t>Population Divisor</t>
  </si>
  <si>
    <t>NSW Cases per Capita</t>
  </si>
  <si>
    <t>Italy Cases per Capita</t>
  </si>
  <si>
    <t>Use Count</t>
  </si>
  <si>
    <t>myData!Asymptote</t>
  </si>
  <si>
    <t>=myData!$D$2</t>
  </si>
  <si>
    <t>=myData!$AC$2</t>
  </si>
  <si>
    <t>ChinaLogiDates</t>
  </si>
  <si>
    <t>myData!ChinaLogiDates</t>
  </si>
  <si>
    <t>ChinaSeries</t>
  </si>
  <si>
    <t>myData!ChinaSeries</t>
  </si>
  <si>
    <t>Countries</t>
  </si>
  <si>
    <t>ItalySeries</t>
  </si>
  <si>
    <t>myData!ItalySeries</t>
  </si>
  <si>
    <t>mySolverPar</t>
  </si>
  <si>
    <t>myData!mySolverPar</t>
  </si>
  <si>
    <t>=myData!$A$2:$E$2</t>
  </si>
  <si>
    <t>NSWSeries</t>
  </si>
  <si>
    <t>myData!NSWSeries</t>
  </si>
  <si>
    <t>PopScaling</t>
  </si>
  <si>
    <t>myData!PopScaling</t>
  </si>
  <si>
    <t>=myData!$J$2</t>
  </si>
  <si>
    <t>SolverMsg</t>
  </si>
  <si>
    <t>=solvMsgs!$A$1:$B$21</t>
  </si>
  <si>
    <t>USSeries</t>
  </si>
  <si>
    <t>myData!USSeries</t>
  </si>
  <si>
    <t>WS Scope</t>
  </si>
  <si>
    <t>Name</t>
  </si>
  <si>
    <t>WorkSheet Names</t>
  </si>
  <si>
    <t>RefersTo</t>
  </si>
  <si>
    <t>RefersToLocal</t>
  </si>
  <si>
    <t>China Cases Per Capita</t>
  </si>
  <si>
    <t>US Cases Per Capita</t>
  </si>
  <si>
    <t>Italy LogiP(t) Per Capita</t>
  </si>
  <si>
    <t>China LogiP(t) Per Capita</t>
  </si>
  <si>
    <t>Nsw LogiP(t) Per Capita</t>
  </si>
  <si>
    <t>US LogiP(t) Per Capita</t>
  </si>
  <si>
    <t>PerPerson</t>
  </si>
  <si>
    <t>Asymp PerP</t>
  </si>
  <si>
    <t>NSW population</t>
  </si>
  <si>
    <t>NSW population (norm)</t>
  </si>
  <si>
    <t>1.91 G</t>
  </si>
  <si>
    <t>2.36 G</t>
  </si>
  <si>
    <t>b=0.191, d=1.00E-10, P0=.0101 Limit=2.36 G</t>
  </si>
  <si>
    <t>NSW Limit 2.36 G</t>
  </si>
  <si>
    <t>42.7 k</t>
  </si>
  <si>
    <t>7.06 k</t>
  </si>
  <si>
    <t>b=0.262, d=6.14E-06, P0=.4409 Limit=7.06 k</t>
  </si>
  <si>
    <t>Italy Limit 7.06 k</t>
  </si>
  <si>
    <t>7.93 k</t>
  </si>
  <si>
    <t xml:space="preserve">241  </t>
  </si>
  <si>
    <t xml:space="preserve">b=0.361, d=4.56E-05, P0=.0293 Limit=241  </t>
  </si>
  <si>
    <t xml:space="preserve">USA Limit 241  </t>
  </si>
  <si>
    <t xml:space="preserve">562  </t>
  </si>
  <si>
    <t xml:space="preserve">China Limit 562  </t>
  </si>
  <si>
    <t>Notes</t>
  </si>
  <si>
    <t xml:space="preserve"> - Prediction without last day</t>
  </si>
  <si>
    <t>1.90 G</t>
  </si>
  <si>
    <t>b=0.19, d=1.00E-10, P0=.0101 Limit=1.90 G</t>
  </si>
  <si>
    <t>NSW Limit 1.90 G</t>
  </si>
  <si>
    <t>COVID19 NSW P(t) = b / {d+[( b/Po - d ) ]* exp(-b*t)}
b=0.19, d=1.00E-10, P0=.0101 Limit=1.90 G
 16-Mar</t>
  </si>
  <si>
    <t>Day0</t>
  </si>
  <si>
    <t>History of Fits Table</t>
  </si>
  <si>
    <t>Tests</t>
  </si>
  <si>
    <t>Au</t>
  </si>
  <si>
    <t>Au Cases Per Capita</t>
  </si>
  <si>
    <t>Au LogiP(t)</t>
  </si>
  <si>
    <t>AU Sq Err</t>
  </si>
  <si>
    <t>Au LogiP(t) Per Capita</t>
  </si>
  <si>
    <t>1.98 G</t>
  </si>
  <si>
    <t>782 M</t>
  </si>
  <si>
    <t>b=0.198, d=1.00E-10, P0=.0152 Limit=782 M</t>
  </si>
  <si>
    <t>Australia Limit 782 M</t>
  </si>
  <si>
    <t>COVID19 Australia P(t) = b / {d+[( b/Po - d ) ]* exp(-b*t)}
b=0.198, d=1.00E-10, P0=.0152 Limit=782 M
 18-Mar, Cases per 10 M population</t>
  </si>
  <si>
    <t>2.02 G</t>
  </si>
  <si>
    <t>2.50 G</t>
  </si>
  <si>
    <t>b=0.202, d=1.00E-10, P0=.0058 Limit=2.50 G</t>
  </si>
  <si>
    <t>NSW Limit 2.50 G</t>
  </si>
  <si>
    <t>COVID19 NSW P(t) = b / {d+[( b/Po - d ) ]* exp(-b*t)}
b=0.202, d=1.00E-10, P0=.0058 Limit=2.50 G
 18-Mar, Cases per 10 M population</t>
  </si>
  <si>
    <t>44.8 k</t>
  </si>
  <si>
    <t>7.41 k</t>
  </si>
  <si>
    <t>b=0.262, d=5.84E-06, P0=.441 Limit=7.41 k</t>
  </si>
  <si>
    <t>Italy Limit 7.41 k</t>
  </si>
  <si>
    <t>COVID19 Italy P(t) = b / {d+[( b/Po - d ) ]* exp(-b*t)}
b=0.262, d=5.84E-06, P0=.441 Limit=7.41 k
 17-Mar, Cases per 10 M population</t>
  </si>
  <si>
    <t>2.77 G</t>
  </si>
  <si>
    <t>84.1 M</t>
  </si>
  <si>
    <t>b=0.277, d=1.00E-10, P0=.2947 Limit=84.1 M</t>
  </si>
  <si>
    <t>USA Limit 84.1 M</t>
  </si>
  <si>
    <t>COVID19 USA P(t) = b / {d+[( b/Po - d ) ]* exp(-b*t)}
b=0.277, d=1.00E-10, P0=.2947 Limit=84.1 M
 17-Mar, Cases per 10 M population
 - Prediction without last day</t>
  </si>
  <si>
    <t>Date of NSW Case Match</t>
  </si>
  <si>
    <t>Days NSW is Behind</t>
  </si>
  <si>
    <t>Days AU is Behind</t>
  </si>
  <si>
    <t>Max Cases Per Capita</t>
  </si>
  <si>
    <t>COVID19 Australia 
b=0.198, d=1.00E-10, P0=.0152 Limit=782 M
 19-Mar, Cases per 10 M population</t>
  </si>
  <si>
    <t>At Thu 19-Mar Australia 251 cases per 10M was 18 days behind Italy, 0 days behind USA &amp; 40 days behind China</t>
  </si>
  <si>
    <t>COVID19 NSW 
b=0.202, d=1.00E-10, P0=.0058 Limit=2.50 G
 19-Mar, Cases per 10 M population</t>
  </si>
  <si>
    <t>At Thu 19-Mar Australia 380 cases per 10M was 16 days behind Italy, 2 days ahead of USA &amp; 35 days behind China</t>
  </si>
  <si>
    <t>COVID19 Italy 
b=0.262, d=5.84E-06, P0=.441 Limit=7.41 k
 18-Mar, Cases per 10 M population</t>
  </si>
  <si>
    <t>2.99 M</t>
  </si>
  <si>
    <t>90.8 k</t>
  </si>
  <si>
    <t>b=0.27, d=9.02E-08, P0=.2896 Limit=90.8 k</t>
  </si>
  <si>
    <t>USA Limit 90.8 k</t>
  </si>
  <si>
    <t>COVID19 USA 
b=0.27, d=9.02E-08, P0=.2896 Limit=90.8 k
 18-Mar, Cases per 10 M population
 - Prediction without last day</t>
  </si>
  <si>
    <t>XY Data for Plotting Population Limit</t>
  </si>
  <si>
    <t>United Kingdom</t>
  </si>
  <si>
    <t>AuCases</t>
  </si>
  <si>
    <t>myData!AuCases</t>
  </si>
  <si>
    <t>AuDates</t>
  </si>
  <si>
    <t>myData!AuDates</t>
  </si>
  <si>
    <t>AuLogi</t>
  </si>
  <si>
    <t>myData!AuLogi</t>
  </si>
  <si>
    <t>AuLogiDates</t>
  </si>
  <si>
    <t>myData!AuLogiDates</t>
  </si>
  <si>
    <t>AuMaxCasespc</t>
  </si>
  <si>
    <t>myData!AuMaxCasespc</t>
  </si>
  <si>
    <t>AuPop</t>
  </si>
  <si>
    <t>myData!AuPop</t>
  </si>
  <si>
    <t>AuSeries</t>
  </si>
  <si>
    <t>myData!AuSeries</t>
  </si>
  <si>
    <t>betaAu</t>
  </si>
  <si>
    <t>myData!betaAu</t>
  </si>
  <si>
    <t>betaPodeltaAu</t>
  </si>
  <si>
    <t>myData!betaPodeltaAu</t>
  </si>
  <si>
    <t>betaTests</t>
  </si>
  <si>
    <t>myData!betaTests</t>
  </si>
  <si>
    <t>ChinaPop</t>
  </si>
  <si>
    <t>myData!ChinaPop</t>
  </si>
  <si>
    <t>deltaAu</t>
  </si>
  <si>
    <t>myData!deltaAu</t>
  </si>
  <si>
    <t>deltaTests</t>
  </si>
  <si>
    <t>myData!deltaTests</t>
  </si>
  <si>
    <t>ItalyPop</t>
  </si>
  <si>
    <t>myData!ItalyPop</t>
  </si>
  <si>
    <t>MaxAusCases</t>
  </si>
  <si>
    <t>myData!MaxAusCases</t>
  </si>
  <si>
    <t>MaxNSWCases</t>
  </si>
  <si>
    <t>myData!MaxNSWCases</t>
  </si>
  <si>
    <t>msqAu</t>
  </si>
  <si>
    <t>myData!msqAu</t>
  </si>
  <si>
    <t>msqTests</t>
  </si>
  <si>
    <t>myData!msqTests</t>
  </si>
  <si>
    <t>NSWMaxCasespc</t>
  </si>
  <si>
    <t>myData!NSWMaxCasespc</t>
  </si>
  <si>
    <t>NSWpop</t>
  </si>
  <si>
    <t>myData!NSWpop</t>
  </si>
  <si>
    <t>myData!PerPerson</t>
  </si>
  <si>
    <t>PerPersonLabel</t>
  </si>
  <si>
    <t>PoAu</t>
  </si>
  <si>
    <t>myData!PoAu</t>
  </si>
  <si>
    <t>PoTests</t>
  </si>
  <si>
    <t>myData!PoTests</t>
  </si>
  <si>
    <t>USpop</t>
  </si>
  <si>
    <t>myData!USpop</t>
  </si>
  <si>
    <t>UK</t>
  </si>
  <si>
    <t>Ireland</t>
  </si>
  <si>
    <t>Nova Scotia</t>
  </si>
  <si>
    <t>Benin</t>
  </si>
  <si>
    <t>Greenland</t>
  </si>
  <si>
    <t>Liberia</t>
  </si>
  <si>
    <t>Somalia</t>
  </si>
  <si>
    <t>Tanzania</t>
  </si>
  <si>
    <t>Barbados</t>
  </si>
  <si>
    <t>Montenegro</t>
  </si>
  <si>
    <t>Kyrgyzstan</t>
  </si>
  <si>
    <t>Mauritius</t>
  </si>
  <si>
    <t>Zambia</t>
  </si>
  <si>
    <t>Djibouti</t>
  </si>
  <si>
    <t>Minimum Date</t>
  </si>
  <si>
    <t>JHName</t>
  </si>
  <si>
    <t>Inviidual States</t>
  </si>
  <si>
    <t>Days# UK</t>
  </si>
  <si>
    <t>SKorea Cases Per Capita</t>
  </si>
  <si>
    <t>Skorea</t>
  </si>
  <si>
    <t>SKorea</t>
  </si>
  <si>
    <t>Days# Skorea</t>
  </si>
  <si>
    <t>SKorea LogiP(t)</t>
  </si>
  <si>
    <t>Skorea Sq Err</t>
  </si>
  <si>
    <t>Skorea LogiP(t) Per Capita</t>
  </si>
  <si>
    <t>UK LogiP(t)</t>
  </si>
  <si>
    <t>UK Sq Err</t>
  </si>
  <si>
    <t>UK LogiP(t) Per Capita</t>
  </si>
  <si>
    <t xml:space="preserve">log fit from 19th Feb </t>
  </si>
  <si>
    <t>203 k</t>
  </si>
  <si>
    <t>80.2 k</t>
  </si>
  <si>
    <t>b=0.203, d=1.00E-06, P0=.0119 Limit=80.2 k</t>
  </si>
  <si>
    <t>Australia Limit 80.2 k</t>
  </si>
  <si>
    <t>COVID19 Australia 
b=0.203, d=1.00E-06, P0=.0119 Limit=80.2 k
 20-Mar, Cases per 10 M population</t>
  </si>
  <si>
    <t>At Fri 20-Mar Australia 345 cases per 10M was 17 days behind Italy, 1 days behind USA &amp; 36 days behind China</t>
  </si>
  <si>
    <t>19.8 M</t>
  </si>
  <si>
    <t>24.6 M</t>
  </si>
  <si>
    <t>b=0.198, d=1.00E-08, P0=.0069 Limit=24.6 M</t>
  </si>
  <si>
    <t>NSW Limit 24.6 M</t>
  </si>
  <si>
    <t>COVID19 NSW 
b=0.198, d=1.00E-08, P0=.0069 Limit=24.6 M
 20-Mar, Cases per 10 M population</t>
  </si>
  <si>
    <t>At Fri 20-Mar NSW 473 cases per 10M was 16 days behind Italy, 0 days ahead of USA &amp; 34 days behind China</t>
  </si>
  <si>
    <t>47.3 k</t>
  </si>
  <si>
    <t>7.82 k</t>
  </si>
  <si>
    <t>b=0.261, d=5.53E-06, P0=.4412 Limit=7.82 k</t>
  </si>
  <si>
    <t>Italy Limit 7.82 k</t>
  </si>
  <si>
    <t>COVID19 Italy 
b=0.261, d=5.53E-06, P0=.4412 Limit=7.82 k
 19-Mar, Cases per 10 M population</t>
  </si>
  <si>
    <t>117 k</t>
  </si>
  <si>
    <t>3.56 k</t>
  </si>
  <si>
    <t>b=0.27, d=2.30E-06, P0=.2896 Limit=3.56 k</t>
  </si>
  <si>
    <t>USA Limit 3.56 k</t>
  </si>
  <si>
    <t>COVID19 USA 
b=0.27, d=2.30E-06, P0=.2896 Limit=3.56 k
 19-Mar, Cases per 10 M population
 - Prediction without last day</t>
  </si>
  <si>
    <t>8.22 k</t>
  </si>
  <si>
    <t>1.60 k</t>
  </si>
  <si>
    <t>b=0.335, d=4.07E-05, P0=161.5015 Limit=1.60 k</t>
  </si>
  <si>
    <t>Skorea Limit 1.60 k fr 19th Feb</t>
  </si>
  <si>
    <t xml:space="preserve">COVID19 Skorea 
b=0.335, d=4.07E-05, P0=161.5015 Limit=1.60 k
 20-Mar, Cases per 10 M population
log fit from 19th Feb </t>
  </si>
  <si>
    <t>241 k</t>
  </si>
  <si>
    <t>36.3 k</t>
  </si>
  <si>
    <t>b=0.241, d=1.00E-06, P0=.0241 Limit=36.3 k</t>
  </si>
  <si>
    <t>UK Limit 36.3 k</t>
  </si>
  <si>
    <t xml:space="preserve">COVID19 UK 
b=0.241, d=1.00E-06, P0=.0241 Limit=36.3 k
 20-Mar, Cases per 10 M population
</t>
  </si>
  <si>
    <t>HISTORICAL RUNS -- COPY PASTE VALUES FROM RUN PARAMETERS RANGE TO LAST ROW HERE, THEN SORT.</t>
  </si>
  <si>
    <t>Place</t>
  </si>
  <si>
    <t xml:space="preserve">Date Start Log Fit </t>
  </si>
  <si>
    <t>RunTime</t>
  </si>
  <si>
    <t>Logistic Start2</t>
  </si>
  <si>
    <t>Start Logistic</t>
  </si>
  <si>
    <t>55.4 k</t>
  </si>
  <si>
    <t>9.17 k</t>
  </si>
  <si>
    <t>b=0.26, d=4.70E-06, P0=.442 Limit=9.17 k</t>
  </si>
  <si>
    <t>Italy Limit 9.17 k</t>
  </si>
  <si>
    <t>Channel Islands</t>
  </si>
  <si>
    <t>Gibraltar</t>
  </si>
  <si>
    <t>Cayman Islands</t>
  </si>
  <si>
    <t>Montserrat</t>
  </si>
  <si>
    <t>New Caledonia</t>
  </si>
  <si>
    <t>Bermuda</t>
  </si>
  <si>
    <t>Chad</t>
  </si>
  <si>
    <t>El Salvador</t>
  </si>
  <si>
    <t>Fiji</t>
  </si>
  <si>
    <t>Nicaragua</t>
  </si>
  <si>
    <t>Madagascar</t>
  </si>
  <si>
    <t>Haiti</t>
  </si>
  <si>
    <t>Angola</t>
  </si>
  <si>
    <t>Cabo Verde</t>
  </si>
  <si>
    <t>Sint Maarten</t>
  </si>
  <si>
    <t>Niger</t>
  </si>
  <si>
    <t>Papua New Guinea</t>
  </si>
  <si>
    <t>Isle of Man</t>
  </si>
  <si>
    <t>Zimbabwe</t>
  </si>
  <si>
    <t>At Sat 21-Mar Australia 421 cases per 10M was 17 days behind Italy, 1 days behind USA &amp; 36 days behind China, 22 days behind South Korea, 1 days behind UK</t>
  </si>
  <si>
    <t>At Sat 21-Mar NSW 540 cases per 10M was 16 days behind Italy, 1 days behind USA &amp; 25 days behind China, 21 days behind South Korea, 1 days behind UK</t>
  </si>
  <si>
    <t xml:space="preserve">b=0.222, d=2.74E-06, P0=1537.6493 Limit=562  </t>
  </si>
  <si>
    <t>81.0 k</t>
  </si>
  <si>
    <t>8.32 k</t>
  </si>
  <si>
    <t>1.62 k</t>
  </si>
  <si>
    <t>b=0.326, d=3.91E-05, P0=174.6165 Limit=1.62 k</t>
  </si>
  <si>
    <t>Skorea Limit 1.62 k fr 19th Feb</t>
  </si>
  <si>
    <t>231 M</t>
  </si>
  <si>
    <t>34.7 M</t>
  </si>
  <si>
    <t>b=0.231, d=1.00E-09, P0=.0381 Limit=34.7 M</t>
  </si>
  <si>
    <t>UK Limit 34.7 M</t>
  </si>
  <si>
    <t>2.72 k</t>
  </si>
  <si>
    <t>3.37 k</t>
  </si>
  <si>
    <t>b=0.209, d=7.68E-05, P0=.0043 Limit=3.37 k</t>
  </si>
  <si>
    <t>NSW Limit 3.37 k</t>
  </si>
  <si>
    <t>COVID19 NSW P(t) = b / {d+[( b/Po - d ) ]* exp(-b*t)}
b=0.209, d=7.68E-05, P0=.0043 Limit=3.37 k
 21-Mar, Cases per 10 M population</t>
  </si>
  <si>
    <t xml:space="preserve">COVID19 UK P(t) = b / {d+[( b/Po - d ) ]* exp(-b*t)}
b=0.231, d=1.00E-09, P0=.0381 Limit=34.7 M
 20-Mar, Cases per 10 M population
</t>
  </si>
  <si>
    <t>206 M</t>
  </si>
  <si>
    <t>81.4 M</t>
  </si>
  <si>
    <t>b=0.206, d=1.00E-09, P0=.0102 Limit=81.4 M</t>
  </si>
  <si>
    <t>Australia Limit 81.4 M</t>
  </si>
  <si>
    <t>COVID19 Australia P(t) = b / {d+[( b/Po - d ) ]* exp(-b*t)}
b=0.206, d=1.00E-09, P0=.0102 Limit=81.4 M
 21-Mar, Cases per 10 M population</t>
  </si>
  <si>
    <t>COVID19 Italy P(t) = b / {d+[( b/Po - d ) ]* exp(-b*t)}
b=0.26, d=4.70E-06, P0=.442 Limit=9.17 k
 20-Mar, Cases per 10 M population</t>
  </si>
  <si>
    <t>348 M</t>
  </si>
  <si>
    <t>10.6 M</t>
  </si>
  <si>
    <t>b=0.348, d=1.00E-09, P0=.0171 Limit=10.6 M</t>
  </si>
  <si>
    <t>USA Limit 10.6 M</t>
  </si>
  <si>
    <t>COVID19 USA P(t) = b / {d+[( b/Po - d ) ]* exp(-b*t)}
b=0.348, d=1.00E-09, P0=.0171 Limit=10.6 M
 20-Mar, Cases per 10 M population
 - Prediction without last day</t>
  </si>
  <si>
    <t xml:space="preserve">COVID19 Skorea P(t) = b / {d+[( b/Po - d ) ]* exp(-b*t)}
b=0.326, d=3.91E-05, P0=174.6165 Limit=1.62 k
 20-Mar, Cases per 10 M population
log fit from 19th Feb </t>
  </si>
  <si>
    <t>At Sat 21-Mar Australia 423 cases per 10M was 18 days behind Italy, 2 days behind USA &amp; 37 days behind China, 23 days behind South Korea, 2 days behind UK</t>
  </si>
  <si>
    <t>207 M</t>
  </si>
  <si>
    <t>81.6 M</t>
  </si>
  <si>
    <t>b=0.207, d=1.00E-09, P0=.0099 Limit=81.6 M</t>
  </si>
  <si>
    <t>Australia Limit 81.6 M</t>
  </si>
  <si>
    <t>COVID19 Australia P(t) = b / {d+[( b/Po - d ) ]* exp(-b*t)}
b=0.207, d=1.00E-09, P0=.0099 Limit=81.6 M
 21-Mar, Cases per 10 M population</t>
  </si>
  <si>
    <t>60.6 k</t>
  </si>
  <si>
    <t>b=0.259, d=4.28E-06, P0=.4422 Limit=10.0 k</t>
  </si>
  <si>
    <t>Italy Limit 10.0 k</t>
  </si>
  <si>
    <t>COVID19 Italy P(t) = b / {d+[( b/Po - d ) ]* exp(-b*t)}
b=0.259, d=4.28E-06, P0=.4422 Limit=10.0 k
 21-Mar, Cases per 10 M population</t>
  </si>
  <si>
    <t>385 k</t>
  </si>
  <si>
    <t>11.7 k</t>
  </si>
  <si>
    <t>b=0.348, d=9.04E-07, P0=.0171 Limit=11.7 k</t>
  </si>
  <si>
    <t>USA Limit 11.7 k</t>
  </si>
  <si>
    <t>COVID19 USA P(t) = b / {d+[( b/Po - d ) ]* exp(-b*t)}
b=0.348, d=9.04E-07, P0=.0171 Limit=11.7 k
 21-Mar, Cases per 10 M population
 - Prediction without last day</t>
  </si>
  <si>
    <t xml:space="preserve">COVID19 China P(t) = b / {d+[( b/Po - d ) ]* exp(-b*t)}
b=0.222, d=2.74E-06, P0=1537.6493 Limit=562  
 21-Mar, Cases per 10 M population
</t>
  </si>
  <si>
    <t>8.38 k</t>
  </si>
  <si>
    <t>1.63 k</t>
  </si>
  <si>
    <t>b=0.321, d=3.83E-05, P0=182.7881 Limit=1.63 k</t>
  </si>
  <si>
    <t>Skorea Limit 1.63 k fr 19th Feb</t>
  </si>
  <si>
    <t xml:space="preserve">COVID19 Skorea P(t) = b / {d+[( b/Po - d ) ]* exp(-b*t)}
b=0.321, d=3.83E-05, P0=182.7881 Limit=1.63 k
 21-Mar, Cases per 10 M population
log fit from 19th Feb </t>
  </si>
  <si>
    <t>236 M</t>
  </si>
  <si>
    <t>35.4 M</t>
  </si>
  <si>
    <t>b=0.236, d=1.00E-09, P0=.0303 Limit=35.4 M</t>
  </si>
  <si>
    <t>UK Limit 35.4 M</t>
  </si>
  <si>
    <t xml:space="preserve">COVID19 UK P(t) = b / {d+[( b/Po - d ) ]* exp(-b*t)}
b=0.236, d=1.00E-09, P0=.0303 Limit=35.4 M
 21-Mar, Cases per 10 M population
</t>
  </si>
  <si>
    <t>Eritrea</t>
  </si>
  <si>
    <t>Uganda</t>
  </si>
  <si>
    <t>At Sun 22-Mar Australia 500 cases per 10M was 18 days behind Italy, 2 days behind USA &amp; 34 days behind China, 22 days behind South Korea, 2 days behind UK</t>
  </si>
  <si>
    <t>64.3 k</t>
  </si>
  <si>
    <t>25.3 k</t>
  </si>
  <si>
    <t>b=0.207, d=3.22E-06, P0=.0099 Limit=25.3 k</t>
  </si>
  <si>
    <t>Australia Limit 25.3 k</t>
  </si>
  <si>
    <t>COVID19 Australia P(t) = b / {d+[( b/Po - d ) ]* exp(-b*t)}
b=0.207, d=3.22E-06, P0=.0099 Limit=25.3 k
 22-Mar, Cases per 10 M population</t>
  </si>
  <si>
    <t>At Sun 22-Mar NSW 660 cases per 10M was 16 days behind Italy, 1 days behind USA &amp; 0 days behind China, 21 days behind South Korea, 1 days behind UK</t>
  </si>
  <si>
    <t>3.26 k</t>
  </si>
  <si>
    <t>4.04 k</t>
  </si>
  <si>
    <t>b=0.207, d=6.34E-05, P0=.0048 Limit=4.04 k</t>
  </si>
  <si>
    <t>NSW Limit 4.04 k</t>
  </si>
  <si>
    <t>COVID19 NSW P(t) = b / {d+[( b/Po - d ) ]* exp(-b*t)}
b=0.207, d=6.34E-05, P0=.0048 Limit=4.04 k
 22-Mar, Cases per 10 M population</t>
  </si>
  <si>
    <t>3.37 G</t>
  </si>
  <si>
    <t>102 M</t>
  </si>
  <si>
    <t>b=0.337, d=1.00E-10, P0=.0255 Limit=102 M</t>
  </si>
  <si>
    <t>USA Limit 102 M</t>
  </si>
  <si>
    <t>COVID19 USA P(t) = b / {d+[( b/Po - d ) ]* exp(-b*t)}
b=0.337, d=1.00E-10, P0=.0255 Limit=102 M
 21-Mar, Cases per 10 M population
 - Prediction without last day</t>
  </si>
  <si>
    <t>35.5 M</t>
  </si>
  <si>
    <t>b=0.236, d=1.00E-09, P0=.0297 Limit=35.5 M</t>
  </si>
  <si>
    <t>UK Limit 35.5 M</t>
  </si>
  <si>
    <t xml:space="preserve">COVID19 UK P(t) = b / {d+[( b/Po - d ) ]* exp(-b*t)}
b=0.236, d=1.00E-09, P0=.0297 Limit=35.5 M
 21-Mar, Cases per 10 M population
</t>
  </si>
  <si>
    <t>Limit Cases</t>
  </si>
  <si>
    <t>At Sun 22-Mar Australia 532 cases per 10M was 17 days behind Italy, 2 days behind USA &amp; 29 days behind China, 22 days behind South Korea, 2 days behind UK</t>
  </si>
  <si>
    <t>2.10 G</t>
  </si>
  <si>
    <t>828 M</t>
  </si>
  <si>
    <t xml:space="preserve">b=0.21, d=1.00E-10, P0=.008 Limit=828 M=&gt;2.10 G cases </t>
  </si>
  <si>
    <t>Australia Limit 828 M</t>
  </si>
  <si>
    <t>COVID19 Australia P(t) = b / {d+[( b/Po - d ) ]* exp(-b*t)}
b=0.21, d=1.00E-10, P0=.008 Limit=828 M=&gt;2.10 G cases 
 22-Mar, Cases per 10 M population</t>
  </si>
  <si>
    <t xml:space="preserve">b=0.207, d=6.34E-05, P0=.005 Limit=4.04 k=&gt;3.26 k cases </t>
  </si>
  <si>
    <t>COVID19 NSW P(t) = b / {d+[( b/Po - d ) ]* exp(-b*t)}
b=0.207, d=6.34E-05, P0=.005 Limit=4.04 k=&gt;3.26 k cases 
 22-Mar, Cases per 10 M population</t>
  </si>
  <si>
    <t xml:space="preserve">b=0.259, d=4.28E-06, P0=.442 Limit=10.0 k=&gt;60.6 k cases </t>
  </si>
  <si>
    <t>COVID19 Italy P(t) = b / {d+[( b/Po - d ) ]* exp(-b*t)}
b=0.259, d=4.28E-06, P0=.442 Limit=10.0 k=&gt;60.6 k cases 
 21-Mar, Cases per 10 M population</t>
  </si>
  <si>
    <t xml:space="preserve">b=0.337, d=1.00E-10, P0=.025 Limit=102 M=&gt;3.37 G cases </t>
  </si>
  <si>
    <t>COVID19 USA P(t) = b / {d+[( b/Po - d ) ]* exp(-b*t)}
b=0.337, d=1.00E-10, P0=.025 Limit=102 M=&gt;3.37 G cases 
 21-Mar, Cases per 10 M population</t>
  </si>
  <si>
    <t>164 k</t>
  </si>
  <si>
    <t>4.97 k</t>
  </si>
  <si>
    <t xml:space="preserve">b=0.337, d=2.06E-06, P0=.025 Limit=4.97 k=&gt;164 k cases </t>
  </si>
  <si>
    <t>USA Limit 4.97 k</t>
  </si>
  <si>
    <t>COVID19 USA P(t) = b / {d+[( b/Po - d ) ]* exp(-b*t)}
b=0.337, d=2.06E-06, P0=.025 Limit=4.97 k=&gt;164 k cases 
 21-Mar, Cases per 10 M population</t>
  </si>
  <si>
    <t xml:space="preserve">563  </t>
  </si>
  <si>
    <t xml:space="preserve">b=0.222, d=2.74E-06, P0=1537.649 Limit=563  =&gt;81.0 k cases </t>
  </si>
  <si>
    <t xml:space="preserve">China Limit 563  </t>
  </si>
  <si>
    <t>COVID19 China P(t) = b / {d+[( b/Po - d ) ]* exp(-b*t)}
b=0.222, d=2.74E-06, P0=1537.649 Limit=563  =&gt;81.0 k cases 
 22-Mar, Cases per 10 M population</t>
  </si>
  <si>
    <t xml:space="preserve">, log fit from 19th Feb </t>
  </si>
  <si>
    <t>8.44 k</t>
  </si>
  <si>
    <t>1.64 k</t>
  </si>
  <si>
    <t xml:space="preserve">b=0.315, d=3.74E-05, P0=191.459 Limit=1.64 k=&gt;8.44 k cases , log fit from 19th Feb </t>
  </si>
  <si>
    <t>Skorea Limit 1.64 k fr 19th Feb</t>
  </si>
  <si>
    <t>COVID19 Skorea P(t) = b / {d+[( b/Po - d ) ]* exp(-b*t)}
b=0.315, d=3.74E-05, P0=191.459 Limit=1.64 k=&gt;8.44 k cases , log fit from 19th Feb 
 22-Mar, Cases per 10 M population</t>
  </si>
  <si>
    <t xml:space="preserve">b=0.236, d=1.00E-09, P0=.03 Limit=35.5 M=&gt;236 M cases </t>
  </si>
  <si>
    <t>COVID19 UK P(t) = b / {d+[( b/Po - d ) ]* exp(-b*t)}
b=0.236, d=1.00E-09, P0=.03 Limit=35.5 M=&gt;236 M cases 
 21-Mar, Cases per 10 M population</t>
  </si>
  <si>
    <t>At Sun 22-Mar Australia 534 cases per 10M was 17 days behind Italy, 2 days behind USA &amp; 29 days behind China, 22 days behind South Korea, 2 days behind UK</t>
  </si>
  <si>
    <t>829 M</t>
  </si>
  <si>
    <t xml:space="preserve">b=0.21, d=1.00E-10, P0=.008 Limit=829 M=&gt;2.10 G cases </t>
  </si>
  <si>
    <t>Australia Limit 829 M</t>
  </si>
  <si>
    <t>COVID19 Australia P(t) = b / {d+[( b/Po - d ) ]* exp(-b*t)}
b=0.21, d=1.00E-10, P0=.008 Limit=829 M=&gt;2.10 G cases 
 22-Mar, Cases per 10 M population</t>
  </si>
  <si>
    <t>NSW Logest</t>
  </si>
  <si>
    <t>betaPodeltaSKorea</t>
  </si>
  <si>
    <t>myData!betaPodeltaSKorea</t>
  </si>
  <si>
    <t>betaPodeltaUK</t>
  </si>
  <si>
    <t>myData!betaPodeltaUK</t>
  </si>
  <si>
    <t>betaSKorea</t>
  </si>
  <si>
    <t>myData!betaSKorea</t>
  </si>
  <si>
    <t>betaUK</t>
  </si>
  <si>
    <t>myData!betaUK</t>
  </si>
  <si>
    <t>deltaconstraint</t>
  </si>
  <si>
    <t>myData!deltaconstraint</t>
  </si>
  <si>
    <t>=myData!$B$3</t>
  </si>
  <si>
    <t>deltaSKorea</t>
  </si>
  <si>
    <t>myData!deltaSKorea</t>
  </si>
  <si>
    <t>deltaUK</t>
  </si>
  <si>
    <t>myData!deltaUK</t>
  </si>
  <si>
    <t>HisTableBL</t>
  </si>
  <si>
    <t>myData!HisTableBL</t>
  </si>
  <si>
    <t>HisTableTL</t>
  </si>
  <si>
    <t>myData!HisTableTL</t>
  </si>
  <si>
    <t>ItalyStart</t>
  </si>
  <si>
    <t>myData!ItalyStart</t>
  </si>
  <si>
    <t>LogestBNSW</t>
  </si>
  <si>
    <t>myData!LogestBNSW</t>
  </si>
  <si>
    <t>LogEstMNSW</t>
  </si>
  <si>
    <t>myData!LogEstMNSW</t>
  </si>
  <si>
    <t>LogFormula</t>
  </si>
  <si>
    <t>myData!LogFormula</t>
  </si>
  <si>
    <t>msqSKorea</t>
  </si>
  <si>
    <t>myData!msqSKorea</t>
  </si>
  <si>
    <t>msqUK</t>
  </si>
  <si>
    <t>myData!msqUK</t>
  </si>
  <si>
    <t>=myData!$L$2</t>
  </si>
  <si>
    <t>=myData!$L$3</t>
  </si>
  <si>
    <t>PoSKorea</t>
  </si>
  <si>
    <t>myData!PoSKorea</t>
  </si>
  <si>
    <t>PoUK</t>
  </si>
  <si>
    <t>myData!PoUK</t>
  </si>
  <si>
    <t>RunRange</t>
  </si>
  <si>
    <t>myData!RunRange</t>
  </si>
  <si>
    <t>RunTableTL</t>
  </si>
  <si>
    <t>myData!RunTableTL</t>
  </si>
  <si>
    <t>RunTableTR</t>
  </si>
  <si>
    <t>myData!RunTableTR</t>
  </si>
  <si>
    <t>RunTimeAu</t>
  </si>
  <si>
    <t>myData!RunTimeAu</t>
  </si>
  <si>
    <t>SKoreaCases</t>
  </si>
  <si>
    <t>myData!SKoreaCases</t>
  </si>
  <si>
    <t>SKoreaDates</t>
  </si>
  <si>
    <t>myData!SKoreaDates</t>
  </si>
  <si>
    <t>SKoreaLogi</t>
  </si>
  <si>
    <t>myData!SKoreaLogi</t>
  </si>
  <si>
    <t>SKoreaLogiDates</t>
  </si>
  <si>
    <t>myData!SKoreaLogiDates</t>
  </si>
  <si>
    <t>SKoreaPop</t>
  </si>
  <si>
    <t>myData!SKoreaPop</t>
  </si>
  <si>
    <t>SKoreaSeries</t>
  </si>
  <si>
    <t>myData!SKoreaSeries</t>
  </si>
  <si>
    <t>SKoreaStart</t>
  </si>
  <si>
    <t>myData!SKoreaStart</t>
  </si>
  <si>
    <t>StartDt2Au</t>
  </si>
  <si>
    <t>myData!StartDt2Au</t>
  </si>
  <si>
    <t>StartDt2China</t>
  </si>
  <si>
    <t>myData!StartDt2China</t>
  </si>
  <si>
    <t>StartDt2Italy</t>
  </si>
  <si>
    <t>myData!StartDt2Italy</t>
  </si>
  <si>
    <t>StartDt2NSW</t>
  </si>
  <si>
    <t>myData!StartDt2NSW</t>
  </si>
  <si>
    <t>StartDt2Tests</t>
  </si>
  <si>
    <t>myData!StartDt2Tests</t>
  </si>
  <si>
    <t>StartDt2UK</t>
  </si>
  <si>
    <t>myData!StartDt2UK</t>
  </si>
  <si>
    <t>StartDt2US</t>
  </si>
  <si>
    <t>myData!StartDt2US</t>
  </si>
  <si>
    <t>TitleAll</t>
  </si>
  <si>
    <t>myData!TitleAll</t>
  </si>
  <si>
    <t>TitleAllSK</t>
  </si>
  <si>
    <t>myData!TitleAllSK</t>
  </si>
  <si>
    <t>UKCases</t>
  </si>
  <si>
    <t>myData!UKCases</t>
  </si>
  <si>
    <t>UKDates</t>
  </si>
  <si>
    <t>myData!UKDates</t>
  </si>
  <si>
    <t>UKLogi</t>
  </si>
  <si>
    <t>myData!UKLogi</t>
  </si>
  <si>
    <t>UKLogiDates</t>
  </si>
  <si>
    <t>myData!UKLogiDates</t>
  </si>
  <si>
    <t>UKPop</t>
  </si>
  <si>
    <t>myData!UKPop</t>
  </si>
  <si>
    <t>UKSeries</t>
  </si>
  <si>
    <t>myData!UKSeries</t>
  </si>
  <si>
    <t>UKStart</t>
  </si>
  <si>
    <t>myData!UKStart</t>
  </si>
  <si>
    <t>Chart Titles</t>
  </si>
  <si>
    <t>Chinese New Year</t>
  </si>
  <si>
    <t>Vert Val</t>
  </si>
  <si>
    <t>At Mon 23-Mar Australia 638 cases per 10M was 16 days behind Italy, 1 days behind USA &amp; 1 days behind China, 21 days behind South Korea, 1 days behind UK</t>
  </si>
  <si>
    <t>165 k</t>
  </si>
  <si>
    <t>65.0 k</t>
  </si>
  <si>
    <t xml:space="preserve">b=0.21, d=1.27E-06, P0=.008 Limit=65.0 k=&gt;165 k cases </t>
  </si>
  <si>
    <t>Australia Limit 65.0 k</t>
  </si>
  <si>
    <t>COVID19 Australia P(t) = b / {d+[( b/Po - d ) ]* exp(-b*t)}
b=0.21, d=1.27E-06, P0=.008 Limit=65.0 k=&gt;165 k cases 
 23-Mar, Cases per 10 M population</t>
  </si>
  <si>
    <t>At Mon 23-Mar NSW 828 cases per 10M was 16 days behind Italy, 0 days ahead of USA &amp; -1 days behind China, 21 days behind South Korea, 0 days behind UK</t>
  </si>
  <si>
    <t>249 k</t>
  </si>
  <si>
    <t>309 k</t>
  </si>
  <si>
    <t xml:space="preserve">b=0.193, d=7.74E-07, P0=.009 Limit=309 k=&gt;249 k cases </t>
  </si>
  <si>
    <t>NSW Limit 309 k</t>
  </si>
  <si>
    <t>COVID19 NSW P(t) = b / {d+[( b/Po - d ) ]* exp(-b*t)}
b=0.193, d=7.74E-07, P0=.009 Limit=309 k=&gt;249 k cases 
 23-Mar, Cases per 10 M population</t>
  </si>
  <si>
    <t>COVID19 China P(t) = b / {d+[( b/Po - d ) ]* exp(-b*t)}
b=0.222, d=2.74E-06, P0=1537.649 Limit=563  =&gt;81.0 k cases 
 21-Mar, Cases per 10 M population</t>
  </si>
  <si>
    <t xml:space="preserve">b=0.32, d=3.83E-05, P0=182.8 Limit=1.63 k=&gt;8.38 k cases , log fit from 19th Feb </t>
  </si>
  <si>
    <t>COVID19 Skorea P(t) = b / {d+[( b/Po - d ) ]* exp(-b*t)}
b=0.32, d=3.83E-05, P0=182.8 Limit=1.63 k=&gt;8.38 k cases , log fit from 19th Feb 
 21-Mar, Cases per 10 M population</t>
  </si>
  <si>
    <t>23.6 G</t>
  </si>
  <si>
    <t>3.55 G</t>
  </si>
  <si>
    <t xml:space="preserve">b=0.236, d=1.00E-11, P0=.03 Limit=3.55 G=&gt;23.6 G cases </t>
  </si>
  <si>
    <t>UK Limit 3.55 G</t>
  </si>
  <si>
    <t>COVID19 UK P(t) = b / {d+[( b/Po - d ) ]* exp(-b*t)}
b=0.236, d=1.00E-11, P0=.03 Limit=3.55 G=&gt;23.6 G cases 
 21-Mar, Cases per 10 M population</t>
  </si>
  <si>
    <t>Dominica</t>
  </si>
  <si>
    <t>Grenada</t>
  </si>
  <si>
    <t>Mozambique</t>
  </si>
  <si>
    <t>Syria</t>
  </si>
  <si>
    <t>Timor-Leste</t>
  </si>
  <si>
    <t>Singapore LogiP(t)</t>
  </si>
  <si>
    <t>Singapore Sq Err</t>
  </si>
  <si>
    <t>Singapore LogiP(t) Per Capita</t>
  </si>
  <si>
    <t>Singapore Cases Per Capita</t>
  </si>
  <si>
    <t>Day# Singapore</t>
  </si>
  <si>
    <t>At Mon 23-Mar Australia 646 cases per 10M was 17 days behind Italy, 2 days behind USA &amp; 0 days behind China, 22 days behind South Korea, 2 days behind UK</t>
  </si>
  <si>
    <t>209 G</t>
  </si>
  <si>
    <t>82.6 G</t>
  </si>
  <si>
    <t xml:space="preserve">b=0.209, d=1.00E-12, P0=.009 Limit=82.6 G=&gt;209 G cases </t>
  </si>
  <si>
    <t>Australia Limit 82.6 G</t>
  </si>
  <si>
    <t>COVID19 Australia P(t) = b / {d+[( b/Po - d ) ]* exp(-b*t)}
b=0.209, d=1.00E-12, P0=.009 Limit=82.6 G=&gt;209 G cases 
 23-Mar, Cases per 10 M population</t>
  </si>
  <si>
    <t>At Mon 23-Mar NSW 828 cases per 10M was 16 days behind Italy, 1 days behind USA &amp; -1 days behind China, 21 days behind South Korea, 1 days behind UK</t>
  </si>
  <si>
    <t>250 k</t>
  </si>
  <si>
    <t>310 k</t>
  </si>
  <si>
    <t xml:space="preserve">b=0.193, d=7.71E-07, P0=.009 Limit=310 k=&gt;250 k cases </t>
  </si>
  <si>
    <t>NSW Limit 310 k</t>
  </si>
  <si>
    <t>COVID19 NSW P(t) = b / {d+[( b/Po - d ) ]* exp(-b*t)}
b=0.193, d=7.71E-07, P0=.009 Limit=310 k=&gt;250 k cases 
 23-Mar, Cases per 10 M population</t>
  </si>
  <si>
    <t>65.4 k</t>
  </si>
  <si>
    <t>10.8 k</t>
  </si>
  <si>
    <t xml:space="preserve">b=0.259, d=3.95E-06, P0=.442 Limit=10.8 k=&gt;65.4 k cases </t>
  </si>
  <si>
    <t>Italy Limit 10.8 k</t>
  </si>
  <si>
    <t>COVID19 Italy P(t) = b / {d+[( b/Po - d ) ]* exp(-b*t)}
b=0.259, d=3.95E-06, P0=.442 Limit=10.8 k=&gt;65.4 k cases 
 22-Mar, Cases per 10 M population</t>
  </si>
  <si>
    <t>At Mon 23-Mar Australia 646 cases per 10M was 17 days behind Italy, 2 days behind USA &amp; 0 days behind China, 22 days behind South Korea, 2 days behind UK
At Mon 23-Mar NSW 828 cases per 10M was 16 days behind Italy, 1 days behind USA &amp; -1 days behind China, 21 days behind South Korea, 1 days behind UK</t>
  </si>
  <si>
    <t>605 k</t>
  </si>
  <si>
    <t>18.4 k</t>
  </si>
  <si>
    <t xml:space="preserve">b=0.337, d=5.57E-07, P0=.025 Limit=18.4 k=&gt;605 k cases </t>
  </si>
  <si>
    <t>USA Limit 18.4 k</t>
  </si>
  <si>
    <t>COVID19 USA P(t) = b / {d+[( b/Po - d ) ]* exp(-b*t)}
b=0.337, d=5.57E-07, P0=.025 Limit=18.4 k=&gt;605 k cases 
 22-Mar, Cases per 10 M population</t>
  </si>
  <si>
    <t>111 k</t>
  </si>
  <si>
    <t>16.7 k</t>
  </si>
  <si>
    <t xml:space="preserve">b=0.236, d=2.13E-06, P0=.03 Limit=16.7 k=&gt;111 k cases </t>
  </si>
  <si>
    <t>UK Limit 16.7 k</t>
  </si>
  <si>
    <t>COVID19 UK P(t) = b / {d+[( b/Po - d ) ]* exp(-b*t)}
b=0.236, d=2.13E-06, P0=.03 Limit=16.7 k=&gt;111 k cases 
 22-Mar, Cases per 10 M population</t>
  </si>
  <si>
    <t>At Mon 23-Mar Australia 647 cases per 10M was 17 days behind Italy, 2 days behind USA &amp; 0 days behind China, 22 days behind South Korea, 2 days behind UK</t>
  </si>
  <si>
    <t>At Mon 23-Mar Australia 675 cases per 10M was 17 days behind Italy, 2 days behind USA &amp; 0 days behind China, 22 days behind South Korea, 2 days behind UK</t>
  </si>
  <si>
    <t>215 G</t>
  </si>
  <si>
    <t>At Mon 23-Mar NSW 871 cases per 10M was 16 days behind Italy, 1 days behind USA &amp; -1 days behind China, 20 days behind South Korea, 0 days behind UK</t>
  </si>
  <si>
    <t>198 G</t>
  </si>
  <si>
    <t>245 G</t>
  </si>
  <si>
    <t xml:space="preserve">b=0.198, d=1.00E-12, P0=.007 Limit=245 G=&gt;198 G cases </t>
  </si>
  <si>
    <t>NSW Limit 245 G</t>
  </si>
  <si>
    <t>COVID19 NSW P(t) = b / {d+[( b/Po - d ) ]* exp(-b*t)}
b=0.198, d=1.00E-12, P0=.007 Limit=245 G=&gt;198 G cases 
 23-Mar, Cases per 10 M population</t>
  </si>
  <si>
    <t>At Mon 23-Mar Australia 675 cases per 10M was 17 days behind Italy, 2 days behind USA &amp; 0 days behind China, 22 days behind South Korea, 2 days behind UK
At Mon 23-Mar NSW 871 cases per 10M was 16 days behind Italy, 1 days behind USA &amp; -1 days behind China, 20 days behind South Korea, 0 days behind UK</t>
  </si>
  <si>
    <t>162 k</t>
  </si>
  <si>
    <t>4.92 k</t>
  </si>
  <si>
    <t xml:space="preserve">b=0.337, d=2.08E-06, P0=.025 Limit=4.92 k=&gt;162 k cases </t>
  </si>
  <si>
    <t>USA Limit 4.92 k</t>
  </si>
  <si>
    <t>COVID19 USA P(t) = b / {d+[( b/Po - d ) ]* exp(-b*t)}
b=0.337, d=2.08E-06, P0=.025 Limit=4.92 k=&gt;162 k cases 
 22-Mar, Cases per 10 M population</t>
  </si>
  <si>
    <t>COVID19 China P(t) = b / {d+[( b/Po - d ) ]* exp(-b*t)}
b=0.222, d=2.74E-06, P0=1537.649 Limit=563  =&gt;81.0 k cases 
 23-Mar, Cases per 10 M population</t>
  </si>
  <si>
    <t>8.49 k</t>
  </si>
  <si>
    <t>1.65 k</t>
  </si>
  <si>
    <t xml:space="preserve">b=0.31, d=3.65E-05, P0=200.102 Limit=1.65 k=&gt;8.49 k cases , log fit from 19th Feb </t>
  </si>
  <si>
    <t>Skorea Limit 1.65 k fr 19th Feb</t>
  </si>
  <si>
    <t>COVID19 Skorea P(t) = b / {d+[( b/Po - d ) ]* exp(-b*t)}
b=0.31, d=3.65E-05, P0=200.102 Limit=1.65 k=&gt;8.49 k cases , log fit from 19th Feb 
 23-Mar, Cases per 10 M population</t>
  </si>
  <si>
    <t xml:space="preserve">b=0.315, d=3.74E-05, P0=191.48 Limit=1.64 k=&gt;8.44 k cases , log fit from 19th Feb </t>
  </si>
  <si>
    <t>COVID19 Skorea P(t) = b / {d+[( b/Po - d ) ]* exp(-b*t)}
b=0.315, d=3.74E-05, P0=191.48 Limit=1.64 k=&gt;8.44 k cases , log fit from 19th Feb 
 22-Mar, Cases per 10 M population</t>
  </si>
  <si>
    <t>At Mon 23-Mar Australia 677 cases per 10M was 17 days behind Italy, 2 days behind USA &amp; 0 days behind China, 22 days behind South Korea, 2 days behind UK</t>
  </si>
  <si>
    <t>84.8 G</t>
  </si>
  <si>
    <t xml:space="preserve">b=0.215, d=1.00E-12, P0=.006 Limit=84.8 G=&gt;215 G cases </t>
  </si>
  <si>
    <t>Australia Limit 84.8 G</t>
  </si>
  <si>
    <t>COVID19 Australia P(t) = b / {d+[( b/Po - d ) ]* exp(-b*t)}
b=0.215, d=1.00E-12, P0=.006 Limit=84.8 G=&gt;215 G cases 
 23-Mar, Cases per 10 M population</t>
  </si>
  <si>
    <t>At Tue 24-Mar NSW 1012 cases per 10M was 16 days behind Italy, 0 days ahead of USA &amp; -2 days behind China, 20 days behind South Korea, -1 days behind UK</t>
  </si>
  <si>
    <t>137 k</t>
  </si>
  <si>
    <t>169 k</t>
  </si>
  <si>
    <t xml:space="preserve">b=0.198, d=1.45E-06, P0=.007 Limit=169 k=&gt;137 k cases </t>
  </si>
  <si>
    <t>NSW Limit 169 k</t>
  </si>
  <si>
    <t>COVID19 NSW P(t) = b / {d+[( b/Po - d ) ]* exp(-b*t)}
b=0.198, d=1.45E-06, P0=.007 Limit=169 k=&gt;137 k cases 
 24-Mar, Cases per 10 M population</t>
  </si>
  <si>
    <t>At Tue 24-Mar Australia 744 cases per 10M was 17 days behind Italy, 2 days behind USA &amp; 0 days behind China, 21 days behind South Korea, 2 days behind UK</t>
  </si>
  <si>
    <t>15.2 k</t>
  </si>
  <si>
    <t>5.98 k</t>
  </si>
  <si>
    <t xml:space="preserve">b=0.216, d=1.43E-05, P0=.006 Limit=5.98 k=&gt;15.2 k cases </t>
  </si>
  <si>
    <t>Australia Limit 5.98 k</t>
  </si>
  <si>
    <t>COVID19 Australia P(t) = b / {d+[( b/Po - d ) ]* exp(-b*t)}
b=0.216, d=1.43E-05, P0=.006 Limit=5.98 k=&gt;15.2 k cases 
 24-Mar, Cases per 10 M population</t>
  </si>
  <si>
    <t>9.61 k</t>
  </si>
  <si>
    <t>3.79 k</t>
  </si>
  <si>
    <t xml:space="preserve">b=0.227, d=2.36E-05, P0=.004 Limit=3.79 k=&gt;9.61 k cases </t>
  </si>
  <si>
    <t>Australia Limit 3.79 k</t>
  </si>
  <si>
    <t>COVID19 Australia P(t) = b / {d+[( b/Po - d ) ]* exp(-b*t)}
b=0.227, d=2.36E-05, P0=.004 Limit=3.79 k=&gt;9.61 k cases 
 24-Mar, Cases per 10 M population</t>
  </si>
  <si>
    <t>At Tue 24-Mar Australia 744 cases per 10M was 17 days behind Italy, 2 days behind USA &amp; 0 days behind China, 21 days behind South Korea, 2 days behind UK
At Tue 24-Mar NSW 1012 cases per 10M was 16 days behind Italy, 0 days ahead of USA &amp; -2 days behind China, 20 days behind South Korea, -1 days behind UK</t>
  </si>
  <si>
    <t>606 k</t>
  </si>
  <si>
    <t xml:space="preserve">b=0.337, d=5.57E-07, P0=.025 Limit=18.4 k=&gt;606 k cases </t>
  </si>
  <si>
    <t>COVID19 USA P(t) = b / {d+[( b/Po - d ) ]* exp(-b*t)}
b=0.337, d=5.57E-07, P0=.025 Limit=18.4 k=&gt;606 k cases 
 22-Mar, Cases per 10 M population</t>
  </si>
  <si>
    <t>Day# Generic</t>
  </si>
  <si>
    <t>Generic Cases Per Capita</t>
  </si>
  <si>
    <t>GenState</t>
  </si>
  <si>
    <t>GenCountry</t>
  </si>
  <si>
    <t>Generic</t>
  </si>
  <si>
    <t>State</t>
  </si>
  <si>
    <t>GenName</t>
  </si>
  <si>
    <t>GenStart</t>
  </si>
  <si>
    <t>Generic LogiP(t)</t>
  </si>
  <si>
    <t>Generic Sq Err</t>
  </si>
  <si>
    <t>Generic LogiP(t) Per Capita</t>
  </si>
  <si>
    <t>CtryAbbrev</t>
  </si>
  <si>
    <t>betaGeneric</t>
  </si>
  <si>
    <t>myData!betaGeneric</t>
  </si>
  <si>
    <t>betaPodeltaGeneric</t>
  </si>
  <si>
    <t>myData!betaPodeltaGeneric</t>
  </si>
  <si>
    <t>betaPodeltaSingapore</t>
  </si>
  <si>
    <t>myData!betaPodeltaSingapore</t>
  </si>
  <si>
    <t>betaPodeltaTests</t>
  </si>
  <si>
    <t>myData!betaPodeltaTests</t>
  </si>
  <si>
    <t>betaSingapore</t>
  </si>
  <si>
    <t>myData!betaSingapore</t>
  </si>
  <si>
    <t>deltaGeneric</t>
  </si>
  <si>
    <t>myData!deltaGeneric</t>
  </si>
  <si>
    <t>deltaSingapore</t>
  </si>
  <si>
    <t>myData!deltaSingapore</t>
  </si>
  <si>
    <t>myData!GenCountry</t>
  </si>
  <si>
    <t>GenericPop</t>
  </si>
  <si>
    <t>myData!GenericPop</t>
  </si>
  <si>
    <t>myData!GenName</t>
  </si>
  <si>
    <t>=myData!$AA$2</t>
  </si>
  <si>
    <t>myData!GenStart</t>
  </si>
  <si>
    <t>=myData!$AB$2</t>
  </si>
  <si>
    <t>myData!GenState</t>
  </si>
  <si>
    <t>=myData!$Z$2</t>
  </si>
  <si>
    <t>msqGeneric</t>
  </si>
  <si>
    <t>myData!msqGeneric</t>
  </si>
  <si>
    <t>msqSingapore</t>
  </si>
  <si>
    <t>myData!msqSingapore</t>
  </si>
  <si>
    <t>PoGeneric</t>
  </si>
  <si>
    <t>myData!PoGeneric</t>
  </si>
  <si>
    <t>PoSingapore</t>
  </si>
  <si>
    <t>myData!PoSingapore</t>
  </si>
  <si>
    <t>SingaporeCases</t>
  </si>
  <si>
    <t>myData!SingaporeCases</t>
  </si>
  <si>
    <t>SingaporeDates</t>
  </si>
  <si>
    <t>myData!SingaporeDates</t>
  </si>
  <si>
    <t>SingaporeLogi</t>
  </si>
  <si>
    <t>myData!SingaporeLogi</t>
  </si>
  <si>
    <t>SingaporeLogiDates</t>
  </si>
  <si>
    <t>myData!SingaporeLogiDates</t>
  </si>
  <si>
    <t>SingaporePop</t>
  </si>
  <si>
    <t>myData!SingaporePop</t>
  </si>
  <si>
    <t>SingaporeSeries</t>
  </si>
  <si>
    <t>myData!SingaporeSeries</t>
  </si>
  <si>
    <t>SingaporeStart</t>
  </si>
  <si>
    <t>myData!SingaporeStart</t>
  </si>
  <si>
    <t>StartDt2Singapore</t>
  </si>
  <si>
    <t>myData!StartDt2Singapore</t>
  </si>
  <si>
    <t>TestsPop</t>
  </si>
  <si>
    <t>myData!TestsPop</t>
  </si>
  <si>
    <t>TitleCases</t>
  </si>
  <si>
    <t>myData!TitleCases</t>
  </si>
  <si>
    <t>SumStates</t>
  </si>
  <si>
    <t>MinLoadingDate</t>
  </si>
  <si>
    <t>GenMatch</t>
  </si>
  <si>
    <t>Bahamas</t>
  </si>
  <si>
    <t>Gambia</t>
  </si>
  <si>
    <t>Belize</t>
  </si>
  <si>
    <t>Recovered</t>
  </si>
  <si>
    <t>Laos</t>
  </si>
  <si>
    <t>Libya</t>
  </si>
  <si>
    <t>NSW Test Per Capita</t>
  </si>
  <si>
    <t>NSW Cases Logest</t>
  </si>
  <si>
    <t>SortOrder</t>
  </si>
  <si>
    <t>At Wed 25-Mar NSW 1274 cases per 10M was 16 days behind Italy, 2 days behind USA &amp; -3 days behind China, 19 days behind South Korea, 0 days behind UK</t>
  </si>
  <si>
    <t>At Wed 25-Mar Australia 956 cases per 10M was 18 days behind Italy, 3 days behind USA &amp; -3 days behind China, 22 days behind South Korea, 2 days behind UK</t>
  </si>
  <si>
    <t>9.57 k</t>
  </si>
  <si>
    <t>3.77 k</t>
  </si>
  <si>
    <t xml:space="preserve">b=0.239, d=2.50E-05, P0=.002 Limit=3.77 k=&gt;9.57 k cases </t>
  </si>
  <si>
    <t>Australia Limit 3.77 k</t>
  </si>
  <si>
    <t>COVID19 Australia P(t) = b / {d+[( b/Po - d ) ]* exp(-b*t)}
b=0.239, d=2.50E-05, P0=.002 Limit=3.77 k=&gt;9.57 k cases 
 25-Mar, Cases per 10 M population</t>
  </si>
  <si>
    <t>72.2 k</t>
  </si>
  <si>
    <t>11.9 k</t>
  </si>
  <si>
    <t xml:space="preserve">b=0.258, d=3.58E-06, P0=.442 Limit=11.9 k=&gt;72.2 k cases </t>
  </si>
  <si>
    <t>Italy Limit 11.9 k</t>
  </si>
  <si>
    <t>COVID19 Italy P(t) = b / {d+[( b/Po - d ) ]* exp(-b*t)}
b=0.258, d=3.58E-06, P0=.442 Limit=11.9 k=&gt;72.2 k cases 
 24-Mar, Cases per 10 M population</t>
  </si>
  <si>
    <t>8.61 k</t>
  </si>
  <si>
    <t>1.67 k</t>
  </si>
  <si>
    <t xml:space="preserve">b=0.3, d=3.49E-05, P0=219.422 Limit=1.67 k=&gt;8.61 k cases , log fit from 19th Feb </t>
  </si>
  <si>
    <t>Skorea Limit 1.67 k fr 19th Feb</t>
  </si>
  <si>
    <t>COVID19 Skorea P(t) = b / {d+[( b/Po - d ) ]* exp(-b*t)}
b=0.3, d=3.49E-05, P0=219.422 Limit=1.67 k=&gt;8.61 k cases , log fit from 19th Feb 
 25-Mar, Cases per 10 M population</t>
  </si>
  <si>
    <t>64.5 k</t>
  </si>
  <si>
    <t>9.71 k</t>
  </si>
  <si>
    <t xml:space="preserve">b=0.236, d=3.66E-06, P0=.03 Limit=9.71 k=&gt;64.5 k cases </t>
  </si>
  <si>
    <t>UK Limit 9.71 k</t>
  </si>
  <si>
    <t>COVID19 UK P(t) = b / {d+[( b/Po - d ) ]* exp(-b*t)}
b=0.236, d=3.66E-06, P0=.03 Limit=9.71 k=&gt;64.5 k cases 
 24-Mar, Cases per 10 M population</t>
  </si>
  <si>
    <t>At Wed 25-Mar Australia 958 cases per 10M was 18 days behind Italy, 3 days behind USA &amp; -3 days behind China, 22 days behind South Korea, 2 days behind UK</t>
  </si>
  <si>
    <t>9.70 k</t>
  </si>
  <si>
    <t>3.83 k</t>
  </si>
  <si>
    <t xml:space="preserve">b=0.239, d=2.47E-05, P0=.002 Limit=3.83 k=&gt;9.70 k cases </t>
  </si>
  <si>
    <t>Australia Limit 3.83 k</t>
  </si>
  <si>
    <t>COVID19 Australia P(t) = b / {d+[( b/Po - d ) ]* exp(-b*t)}
b=0.239, d=2.47E-05, P0=.002 Limit=3.83 k=&gt;9.70 k cases 
 25-Mar, Cases per 10 M population</t>
  </si>
  <si>
    <t>200 G</t>
  </si>
  <si>
    <t>247 G</t>
  </si>
  <si>
    <t xml:space="preserve">b=0.2, d=1.00E-12, P0=.006 Limit=247 G=&gt;200 G cases </t>
  </si>
  <si>
    <t>NSW Limit 247 G</t>
  </si>
  <si>
    <t>COVID19 NSW P(t) = b / {d+[( b/Po - d ) ]* exp(-b*t)}
b=0.2, d=1.00E-12, P0=.006 Limit=247 G=&gt;200 G cases 
 25-Mar, Cases per 10 M population</t>
  </si>
  <si>
    <t>At Wed 25-Mar Australia 958 cases per 10M was 18 days behind Italy, 3 days behind USA &amp; -2 days behind China, 22 days behind South Korea, 2 days behind UK</t>
  </si>
  <si>
    <t>13.7 k</t>
  </si>
  <si>
    <t>5.41 k</t>
  </si>
  <si>
    <t xml:space="preserve">b=0.23, d=1.68E-05, P0=.003 Limit=5.41 k=&gt;13.7 k cases </t>
  </si>
  <si>
    <t>Australia Limit 5.41 k</t>
  </si>
  <si>
    <t>COVID19 Australia P(t) = b / {d+[( b/Po - d ) ]* exp(-b*t)}
b=0.23, d=1.68E-05, P0=.003 Limit=5.41 k=&gt;13.7 k cases 
 25-Mar, Cases per 10 M population</t>
  </si>
  <si>
    <t>SummaryWords</t>
  </si>
  <si>
    <t>GrowthInNextWeek</t>
  </si>
  <si>
    <t>At Wed 25-Mar Australia 958 cases per 10M was 18 days behind Italy, 3 days behind USA &amp; -2 days behind China, 22 days behind South Korea, 2 days behind UK
At Wed 25-Mar NSW 1274 cases per 10M was 16 days behind Italy, 2 days behind USA &amp; -3 days behind China, 19 days behind South Korea, 0 days behind UK</t>
  </si>
  <si>
    <t>187 k</t>
  </si>
  <si>
    <t>5.69 k</t>
  </si>
  <si>
    <t xml:space="preserve">b=0.277, d=1.48E-06, P0=.002 Limit=5.69 k=&gt;187 k cases </t>
  </si>
  <si>
    <t>USA Limit 5.69 k</t>
  </si>
  <si>
    <t>COVID19 USA P(t) = b / {d+[( b/Po - d ) ]* exp(-b*t)}
b=0.277, d=1.48E-06, P0=.002 Limit=5.69 k=&gt;187 k cases 
 24-Mar, Cases per 10 M population</t>
  </si>
  <si>
    <t>76.1 k</t>
  </si>
  <si>
    <t>12.6 k</t>
  </si>
  <si>
    <t xml:space="preserve">b=0.258, d=3.39E-06, P0=.442 Limit=12.6 k=&gt;76.1 k cases </t>
  </si>
  <si>
    <t>Italy Limit 12.6 k</t>
  </si>
  <si>
    <t>COVID19 Italy P(t) = b / {d+[( b/Po - d ) ]* exp(-b*t)}
b=0.258, d=3.39E-06, P0=.442 Limit=12.6 k=&gt;76.1 k cases 
 25-Mar, Cases per 10 M population</t>
  </si>
  <si>
    <t>USA GDP 2019</t>
  </si>
  <si>
    <t>$21,427,100 million</t>
  </si>
  <si>
    <t>GDP</t>
  </si>
  <si>
    <t>Bailout</t>
  </si>
  <si>
    <t>At Thu 26-Mar Australia 1055 cases per 10M was 18 days behind Italy, 3 days behind USA &amp; -4 days behind China, 22 days behind South Korea, 2 days behind UK</t>
  </si>
  <si>
    <t>6.25 k</t>
  </si>
  <si>
    <t>2.46 k</t>
  </si>
  <si>
    <t xml:space="preserve">b=0.253, d=4.04E-05, P0=.001 Limit=2.46 k=&gt;6.25 k cases </t>
  </si>
  <si>
    <t>Australia Limit 2.46 k</t>
  </si>
  <si>
    <t>COVID19 Australia P(t) = b / {d+[( b/Po - d ) ]* exp(-b*t)}
b=0.253, d=4.04E-05, P0=.001 Limit=2.46 k=&gt;6.25 k cases 
 26-Mar, Cases per 10 M population</t>
  </si>
  <si>
    <t>At Thu 26-Mar NSW 1509 cases per 10M was 17 days behind Italy, 2 days behind USA &amp; -4 days behind China, 15 days behind South Korea, -1 days behind UK</t>
  </si>
  <si>
    <t>MSQ per MaxCasesPerCapita</t>
  </si>
  <si>
    <t>Tests LogEst M</t>
  </si>
  <si>
    <t>B</t>
  </si>
  <si>
    <t>y=BxM^x</t>
  </si>
  <si>
    <t>NSW Test LOGEST</t>
  </si>
  <si>
    <t>y=BxExp(Ln(M))</t>
  </si>
  <si>
    <t>x</t>
  </si>
  <si>
    <t>Test LOGEST Sq Err</t>
  </si>
  <si>
    <t>Tests Logest Mean Sq Err</t>
  </si>
  <si>
    <t>At Thu 26-Mar Australia 1106 cases per 10M was 18 days behind Italy, 3 days behind USA &amp; -4 days behind China, 21 days behind South Korea, 2 days behind UK</t>
  </si>
  <si>
    <t>7.04 k</t>
  </si>
  <si>
    <t>2.77 k</t>
  </si>
  <si>
    <t xml:space="preserve">b=0.252, d=3.58E-05, P0=.001 Limit=2.77 k=&gt;7.04 k cases </t>
  </si>
  <si>
    <t>Australia Limit 2.77 k</t>
  </si>
  <si>
    <t>COVID19 Australia P(t) = b / {d+[( b/Po - d ) ]* exp(-b*t)}
b=0.252, d=3.58E-05, P0=.001 Limit=2.77 k=&gt;7.04 k cases 
 26-Mar, Cases per 10 M population</t>
  </si>
  <si>
    <t>9.60 k</t>
  </si>
  <si>
    <t xml:space="preserve">b=0.209, d=2.17E-05, P0=.004 Limit=11.9 k=&gt;9.60 k cases </t>
  </si>
  <si>
    <t>NSW Limit 11.9 k</t>
  </si>
  <si>
    <t>COVID19 NSW P(t) = b / {d+[( b/Po - d ) ]* exp(-b*t)}
b=0.209, d=2.17E-05, P0=.004 Limit=11.9 k=&gt;9.60 k cases 
 26-Mar, Cases per 10 M population</t>
  </si>
  <si>
    <t>COVID19 USA P(t) = b / {d+[( b/Po - d ) ]* exp(-b*t)}
b=0.277, d=1.48E-06, P0=.002 Limit=5.69 k=&gt;187 k cases 
 25-Mar, Cases per 10 M population</t>
  </si>
  <si>
    <t>At Thu 26-Mar Australia 1106 cases per 10M was 18 days behind Italy, 3 days behind USA &amp; -4 days behind China, 21 days behind South Korea, 2 days behind UK
At Thu 26-Mar NSW 1509 cases per 10M was 17 days behind Italy, 2 days behind USA &amp; -4 days behind China, 15 days behind South Korea, -1 days behind UK</t>
  </si>
  <si>
    <t>COVID19 China P(t) = b / {d+[( b/Po - d ) ]* exp(-b*t)}
b=0.222, d=2.74E-06, P0=1537.649 Limit=563  =&gt;81.0 k cases 
 25-Mar, Cases per 10 M population</t>
  </si>
  <si>
    <t>22.0 k</t>
  </si>
  <si>
    <t>3.32 k</t>
  </si>
  <si>
    <t xml:space="preserve">b=0.237, d=1.08E-05, P0=.032 Limit=3.32 k=&gt;22.0 k cases </t>
  </si>
  <si>
    <t>UK Limit 3.32 k</t>
  </si>
  <si>
    <t>COVID19 UK P(t) = b / {d+[( b/Po - d ) ]* exp(-b*t)}
b=0.237, d=1.08E-05, P0=.032 Limit=3.32 k=&gt;22.0 k cases 
 25-Mar, Cases per 10 M population</t>
  </si>
  <si>
    <t>West Bank and Gaza</t>
  </si>
  <si>
    <t>Guinea-Bissau</t>
  </si>
  <si>
    <t>Mali</t>
  </si>
  <si>
    <t>Saint Kitts and Nevis</t>
  </si>
  <si>
    <t>Northwest Territories</t>
  </si>
  <si>
    <t>Yukon</t>
  </si>
  <si>
    <t>Kosovo</t>
  </si>
  <si>
    <t>Skorea Limit 1.70 k fr 19th Feb</t>
  </si>
  <si>
    <t>LogistStartSave</t>
  </si>
  <si>
    <t>Logistic Start Method</t>
  </si>
  <si>
    <t>Parameter</t>
  </si>
  <si>
    <t>Last n Days</t>
  </si>
  <si>
    <t>Days Back Limit</t>
  </si>
  <si>
    <t>="COVID19  NSW Tests" &amp;LogFormula&amp;CHAR(10)&amp;CT19&amp;CHAR(10)&amp;TEXT(CR19," dd-mmm")</t>
  </si>
  <si>
    <t>COVID19  NSW TestsP(t) = b / {d+[( b/Po - d ) ]* exp(-b*t)}
b=0.202, d=1.88E-06, P0=3093.029 Limit = =&gt;108 k cases 
 (Fit: Fri 06-Mar - Fri 27-Mar)</t>
  </si>
  <si>
    <t>At Fri 27-Mar NSW 1739 cases per 10M was 16 days behind Italy, 2 days behind USA &amp; -5 days behind China, 5 days behind South Korea, 1 days behind UK</t>
  </si>
  <si>
    <t>At Fri 27-Mar Australia 1249 cases per 10M was 18 days behind Italy, 4 days behind USA &amp; -5 days behind China, 21 days behind South Korea, 2 days behind UK</t>
  </si>
  <si>
    <t>AuStart</t>
  </si>
  <si>
    <t>myData!AuStart</t>
  </si>
  <si>
    <t>ChinaStart</t>
  </si>
  <si>
    <t>myData!ChinaStart</t>
  </si>
  <si>
    <t>DaysBack</t>
  </si>
  <si>
    <t>solvMsgs</t>
  </si>
  <si>
    <t>solvMsgs!DaysBack</t>
  </si>
  <si>
    <t>GenericCases</t>
  </si>
  <si>
    <t>myData!GenericCases</t>
  </si>
  <si>
    <t>GenericDates</t>
  </si>
  <si>
    <t>myData!GenericDates</t>
  </si>
  <si>
    <t>GenericLogiDates</t>
  </si>
  <si>
    <t>myData!GenericLogiDates</t>
  </si>
  <si>
    <t>myData!GenMatch</t>
  </si>
  <si>
    <t>=OFFSET(myData!HisTableTL,COUNTA(myData!HisTableCol1All)-1,0,1,1)</t>
  </si>
  <si>
    <t>HisTableCol1</t>
  </si>
  <si>
    <t>myData!HisTableCol1</t>
  </si>
  <si>
    <t>=OFFSET(myData!HisTableTL,1,0,COUNTA(myData!HisTableCol1All)-1,1)</t>
  </si>
  <si>
    <t>HisTableCol1All</t>
  </si>
  <si>
    <t>myData!HisTableCol1All</t>
  </si>
  <si>
    <t>HisTableItalyDates</t>
  </si>
  <si>
    <t>myData!HisTableItalyDates</t>
  </si>
  <si>
    <t>HisTableItalyLimit</t>
  </si>
  <si>
    <t>myData!HisTableItalyLimit</t>
  </si>
  <si>
    <t>HisTableNSWDates</t>
  </si>
  <si>
    <t>myData!HisTableNSWDates</t>
  </si>
  <si>
    <t>HisTableNSWLimit</t>
  </si>
  <si>
    <t>myData!HisTableNSWLimit</t>
  </si>
  <si>
    <t>LastNDays</t>
  </si>
  <si>
    <t>solvMsgs!LastNDays</t>
  </si>
  <si>
    <t>nswstart</t>
  </si>
  <si>
    <t>myData!nswstart</t>
  </si>
  <si>
    <t>StartDt2Generic</t>
  </si>
  <si>
    <t>myData!StartDt2Generic</t>
  </si>
  <si>
    <t>StartMethod</t>
  </si>
  <si>
    <t>solvMsgs!StartMethod</t>
  </si>
  <si>
    <t>tableGeneric</t>
  </si>
  <si>
    <t>myData!tableGeneric</t>
  </si>
  <si>
    <t>TestsCases</t>
  </si>
  <si>
    <t>myData!TestsCases</t>
  </si>
  <si>
    <t>=OFFSET(tblData[[#Headers],[Tests]],MATCH(0,tblData[Tests],0)+1,0,COUNT(tblData[Tests])-1,1)</t>
  </si>
  <si>
    <t>TestsDates</t>
  </si>
  <si>
    <t>myData!TestsDates</t>
  </si>
  <si>
    <t>TestsDayNo</t>
  </si>
  <si>
    <t>myData!TestsDayNo</t>
  </si>
  <si>
    <t>TestsLOGEST</t>
  </si>
  <si>
    <t>myData!TestsLOGEST</t>
  </si>
  <si>
    <t>TestsLogestB</t>
  </si>
  <si>
    <t>myData!TestsLogestB</t>
  </si>
  <si>
    <t>TestsLogestDayNo</t>
  </si>
  <si>
    <t>myData!TestsLogestDayNo</t>
  </si>
  <si>
    <t>TestsLogestLabel</t>
  </si>
  <si>
    <t>myData!TestsLogestLabel</t>
  </si>
  <si>
    <t>TestsLogestM</t>
  </si>
  <si>
    <t>myData!TestsLogestM</t>
  </si>
  <si>
    <t>TestsLogestMsq</t>
  </si>
  <si>
    <t>myData!TestsLogestMsq</t>
  </si>
  <si>
    <t>TestsLogi</t>
  </si>
  <si>
    <t>myData!TestsLogi</t>
  </si>
  <si>
    <t>TestsLogiDates</t>
  </si>
  <si>
    <t>myData!TestsLogiDates</t>
  </si>
  <si>
    <t>TestsStart</t>
  </si>
  <si>
    <t>myData!TestsStart</t>
  </si>
  <si>
    <t>=OFFSET(tblData[[#Headers],[US Cases Per Capita]],MATCH(1,tblData[US],0),0,COUNT(tblData[US]),1)</t>
  </si>
  <si>
    <t>=OFFSET(tblData[[#Headers],[Days'# US]],MATCH(1,tblData[US],0)+1,0,COUNTA(tblData[US])-1,1)</t>
  </si>
  <si>
    <t>USStart</t>
  </si>
  <si>
    <t>myData!USStart</t>
  </si>
  <si>
    <t>4.69 k</t>
  </si>
  <si>
    <t>5.81 k</t>
  </si>
  <si>
    <t xml:space="preserve">b=0.225, d=4.79E-05, P0=85.614 Limit=5.81 k=&gt;4.69 k cases </t>
  </si>
  <si>
    <t>NSW Limit 5.81 k</t>
  </si>
  <si>
    <t>COVID19 NSW P(t) = b / {d+[( b/Po - d ) ]* exp(-b*t)}
b=0.225, d=4.79E-05, P0=85.614 Limit=5.81 k=&gt;4.69 k cases 
 (Fit: Fri 13-Mar - Fri 27-Mar), Cases per 10 M population</t>
  </si>
  <si>
    <t>5.21 k</t>
  </si>
  <si>
    <t>6.45 k</t>
  </si>
  <si>
    <t xml:space="preserve">b=0.22, d=4.22E-05, P0=19.271 Limit=6.45 k=&gt;5.21 k cases </t>
  </si>
  <si>
    <t>NSW Limit 6.45 k</t>
  </si>
  <si>
    <t>COVID19 NSW P(t) = b / {d+[( b/Po - d ) ]* exp(-b*t)}
b=0.22, d=4.22E-05, P0=19.271 Limit=6.45 k=&gt;5.21 k cases 
 (Fit: Fri 06-Mar - Fri 27-Mar), Cases per 10 M population</t>
  </si>
  <si>
    <t>190 G</t>
  </si>
  <si>
    <t>235 G</t>
  </si>
  <si>
    <t xml:space="preserve">b=0.19, d=1.00E-12, P0=.011 Limit=235 G=&gt;190 G cases </t>
  </si>
  <si>
    <t>NSW Limit 235 G</t>
  </si>
  <si>
    <t>COVID19 NSW P(t) = b / {d+[( b/Po - d ) ]* exp(-b*t)}
b=0.19, d=1.00E-12, P0=.011 Limit=235 G=&gt;190 G cases 
 (Fit: Sat 25-Jan - Fri 27-Mar), Cases per 10 M population</t>
  </si>
  <si>
    <t>188 G</t>
  </si>
  <si>
    <t>74.1 G</t>
  </si>
  <si>
    <t xml:space="preserve">b=0.188, d=1.00E-12, P0=.029 Limit=74.1 G=&gt;188 G cases </t>
  </si>
  <si>
    <t>Australia Limit 74.1 G</t>
  </si>
  <si>
    <t>COVID19 Australia P(t) = b / {d+[( b/Po - d ) ]* exp(-b*t)}
b=0.188, d=1.00E-12, P0=.029 Limit=74.1 G=&gt;188 G cases 
 (Fit: Sat 25-Jan - Fri 27-Mar), Cases per 10 M population</t>
  </si>
  <si>
    <t>Burma</t>
  </si>
  <si>
    <t>8.72 k</t>
  </si>
  <si>
    <t>1.70 k</t>
  </si>
  <si>
    <t>At Sat 28-Mar NSW 2001 cases per 10M was 17 days behind Italy, 2 days behind USA &amp; -6 days behind China, 0 days behind South Korea, 1 days behind UK</t>
  </si>
  <si>
    <t>319 k</t>
  </si>
  <si>
    <t>9.69 k</t>
  </si>
  <si>
    <t xml:space="preserve">b=0.285, d=8.94E-07, P0=.001 Limit=9.69 k=&gt;319 k cases </t>
  </si>
  <si>
    <t>USA Limit 9.69 k</t>
  </si>
  <si>
    <t>COVID19 USA P(t) = b / {d+[( b/Po - d ) ]* exp(-b*t)}
b=0.285, d=8.94E-07, P0=.001 Limit=9.69 k=&gt;319 k cases 
 (Fit: Tue 21-Jan - Fri 27-Mar), Cases per 10 M population</t>
  </si>
  <si>
    <t>48.7 k</t>
  </si>
  <si>
    <t>8.33 k</t>
  </si>
  <si>
    <t>Hubei Limit 8.33 k</t>
  </si>
  <si>
    <t>GetTrueBlank</t>
  </si>
  <si>
    <t>Formula with condition</t>
  </si>
  <si>
    <t>ISBLANK test</t>
  </si>
  <si>
    <t>79.3 G</t>
  </si>
  <si>
    <t>136 G</t>
  </si>
  <si>
    <t xml:space="preserve">b=0.079, d=1.00E-12, P0=4.359 Limit=136 G=&gt;47.5 G cases </t>
  </si>
  <si>
    <t>Singapore Limit 136 G</t>
  </si>
  <si>
    <t>COVID19 Singapore P(t) = b / {d+[( b/Po - d ) ]* exp(-b*t)}
b=0.079, d=1.00E-12, P0=4.359 Limit=136 G=&gt;47.5 G cases 
 (Fit: Thu 23-Jan - Fri 27-Mar), Cases per 10 M population</t>
  </si>
  <si>
    <t>At Sat 28-Mar Australia 1435 cases per 10M was 19 days behind Italy, 4 days behind USA &amp; -6 days behind China, 19 days behind South Korea, 3 days behind UK</t>
  </si>
  <si>
    <t>21.3 k</t>
  </si>
  <si>
    <t>8.39 k</t>
  </si>
  <si>
    <t xml:space="preserve">b=0.19, d=8.92E-06, P0=.029 Limit=8.39 k=&gt;21.3 k cases </t>
  </si>
  <si>
    <t>Australia Limit 8.39 k</t>
  </si>
  <si>
    <t>COVID19 Australia P(t) = b / {d+[( b/Po - d ) ]* exp(-b*t)}
b=0.19, d=8.92E-06, P0=.029 Limit=8.39 k=&gt;21.3 k cases 
 (Fit: Sat 25-Jan - Sat 28-Mar), Cases per 10 M population</t>
  </si>
  <si>
    <t>4.51 k</t>
  </si>
  <si>
    <t>5.58 k</t>
  </si>
  <si>
    <t xml:space="preserve">b=0.224, d=4.96E-05, P0=.002 Limit=5.58 k=&gt;4.51 k cases </t>
  </si>
  <si>
    <t>NSW Limit 5.58 k</t>
  </si>
  <si>
    <t>COVID19 NSW P(t) = b / {d+[( b/Po - d ) ]* exp(-b*t)}
b=0.224, d=4.96E-05, P0=.002 Limit=5.58 k=&gt;4.51 k cases 
 (Fit: Sat 25-Jan - Sat 28-Mar), Cases per 10 M population</t>
  </si>
  <si>
    <t>80.5 k</t>
  </si>
  <si>
    <t>13.3 k</t>
  </si>
  <si>
    <t xml:space="preserve">b=0.258, d=3.21E-06, P0=.443 Limit=13.3 k=&gt;80.5 k cases </t>
  </si>
  <si>
    <t>Italy Limit 13.3 k</t>
  </si>
  <si>
    <t>COVID19 Italy P(t) = b / {d+[( b/Po - d ) ]* exp(-b*t)}
b=0.258, d=3.21E-06, P0=.443 Limit=13.3 k=&gt;80.5 k cases 
 (Fit: Sat 22-Feb - Fri 27-Mar), Cases per 10 M population</t>
  </si>
  <si>
    <t>At Sat 28-Mar Australia 1435 cases per 10M was 19 days behind Italy, 4 days behind USA &amp; -6 days behind China, 19 days behind South Korea, 3 days behind UK
At Sat 28-Mar NSW 2001 cases per 10M was 17 days behind Italy, 2 days behind USA &amp; -6 days behind China, 0 days behind South Korea, 1 days behind UK</t>
  </si>
  <si>
    <t>66.6 k</t>
  </si>
  <si>
    <t xml:space="preserve">463  </t>
  </si>
  <si>
    <t xml:space="preserve">b=0.948, d=1.42E-05, P0=.012 Limit=463  =&gt;66.6 k cases </t>
  </si>
  <si>
    <t xml:space="preserve">China Limit 463  </t>
  </si>
  <si>
    <t>COVID19 China P(t) = b / {d+[( b/Po - d ) ]* exp(-b*t)}
b=0.948, d=1.42E-05, P0=.012 Limit=463  =&gt;66.6 k cases 
 (Fit: Wed 22-Jan - Fri 27-Mar), Cases per 10 M population</t>
  </si>
  <si>
    <t xml:space="preserve">b=0.289, d=3.31E-05, P0=244.082 Limit=1.70 k=&gt;8.72 k cases , log fit from 19th Feb </t>
  </si>
  <si>
    <t>COVID19 Skorea P(t) = b / {d+[( b/Po - d ) ]* exp(-b*t)}
b=0.289, d=3.31E-05, P0=244.082 Limit=1.70 k=&gt;8.72 k cases , log fit from 19th Feb 
 (Fit: Wed 19-Feb - Fri 27-Mar), Cases per 10 M population</t>
  </si>
  <si>
    <t>93.5 k</t>
  </si>
  <si>
    <t>14.1 k</t>
  </si>
  <si>
    <t xml:space="preserve">b=0.214, d=2.28E-06, P0=.088 Limit=14.1 k=&gt;93.5 k cases </t>
  </si>
  <si>
    <t>UK Limit 14.1 k</t>
  </si>
  <si>
    <t>COVID19 UK P(t) = b / {d+[( b/Po - d ) ]* exp(-b*t)}
b=0.214, d=2.28E-06, P0=.088 Limit=14.1 k=&gt;93.5 k cases 
 (Fit: Thu 30-Jan - Fri 27-Mar), Cases per 10 M population</t>
  </si>
  <si>
    <t xml:space="preserve">b=9.292, d=1.91E-04, P0=48649.937 Limit=8.33 k=&gt;48.7 k cases </t>
  </si>
  <si>
    <t>COVID19 China Hubei P(t) = b / {d+[( b/Po - d ) ]* exp(-b*t)}
b=9.292, d=1.91E-04, P0=48649.937 Limit=8.33 k=&gt;48.7 k cases 
  (Fit: Wed 22-Jan - Fri 27-Mar), Cases per 10 M population</t>
  </si>
  <si>
    <t>37.4 k</t>
  </si>
  <si>
    <t>46.3 k</t>
  </si>
  <si>
    <t>b=7.897, d=2.11E-04, P0=.001 Limit = =&gt;37.4 k tests</t>
  </si>
  <si>
    <t>Tests Limit 46.3 k</t>
  </si>
  <si>
    <t>COVID19  NSW TestsP(t) = b / {d+[( b/Po - d ) ]* exp(-b*t)}
b=7.897, d=2.11E-04, P0=.001 Limit = =&gt;37.4 k tests
 (Fit: Fri 06-Mar - Sat 28-Mar)</t>
  </si>
  <si>
    <t>GenericLogi</t>
  </si>
  <si>
    <t>myData!GenericLogi</t>
  </si>
  <si>
    <t>StartDt2SKorea</t>
  </si>
  <si>
    <t>myData!StartDt2SKorea</t>
  </si>
  <si>
    <t>123 k</t>
  </si>
  <si>
    <t>152 k</t>
  </si>
  <si>
    <t>b=0.176, d=1.43E-06, P0=4312.319 Limit = =&gt;123 k tests</t>
  </si>
  <si>
    <t>Tests Limit 152 k</t>
  </si>
  <si>
    <t>COVID19  NSW TestsP(t) = b / {d+[( b/Po - d ) ]* exp(-b*t)}
b=0.176, d=1.43E-06, P0=4312.319 Limit = =&gt;123 k tests
 (Fit: Fri 06-Mar - Sat 28-Mar)</t>
  </si>
  <si>
    <t>DateOver100</t>
  </si>
  <si>
    <t>At Sun 29-Mar NSW 2217 cases per 10M was 16 days behind Italy, 3 days behind USA &amp; -7 days behind China, -1 days behind South Korea, 2 days behind UK</t>
  </si>
  <si>
    <t>3.71 k</t>
  </si>
  <si>
    <t>4.59 k</t>
  </si>
  <si>
    <t xml:space="preserve">b=0.233, d=6.28E-05, P0=.001 Limit=4.59 k=&gt;3.71 k cases </t>
  </si>
  <si>
    <t>NSW Limit 4.59 k</t>
  </si>
  <si>
    <t>COVID19 NSW P(t) = b / {d+[( b/Po - d ) ]* exp(-b*t)}
b=0.233, d=6.28E-05, P0=.001 Limit=4.59 k=&gt;3.71 k cases 
 (Fit: Sat 25-Jan - Sun 29-Mar), Cases per 10 M population</t>
  </si>
  <si>
    <t>124 k</t>
  </si>
  <si>
    <t>154 k</t>
  </si>
  <si>
    <t>b=0.176, d=1.42E-06, P0=4294.879 Limit = =&gt;124 k tests</t>
  </si>
  <si>
    <t>Tests Limit 154 k</t>
  </si>
  <si>
    <t>COVID19  NSW TestsP(t) = b / {d+[( b/Po - d ) ]* exp(-b*t)}
b=0.176, d=1.42E-06, P0=4294.879 Limit = =&gt;124 k tests
 (Fit: Fri 06-Mar - Sun 29-Mar)</t>
  </si>
  <si>
    <t>Anguilla</t>
  </si>
  <si>
    <t>British Virgin Islands</t>
  </si>
  <si>
    <t>Turks and Caicos Islands</t>
  </si>
  <si>
    <t>MS Zaandam</t>
  </si>
  <si>
    <t>At Sun 29-Mar Australia 1564 cases per 10M was 19 days behind Italy, 5 days behind USA &amp; -7 days behind China, 15 days behind South Korea, 3 days behind UK</t>
  </si>
  <si>
    <t>18.2 k</t>
  </si>
  <si>
    <t>7.16 k</t>
  </si>
  <si>
    <t xml:space="preserve">b=0.19, d=1.05E-05, P0=.029 Limit=7.16 k=&gt;18.2 k cases </t>
  </si>
  <si>
    <t>Australia Limit 7.16 k</t>
  </si>
  <si>
    <t>COVID19 Australia P(t) = b / {d+[( b/Po - d ) ]* exp(-b*t)}
b=0.19, d=1.05E-05, P0=.029 Limit=7.16 k=&gt;18.2 k cases 
 (Fit: Sat 25-Jan - Sun 29-Mar), Cases per 10 M population</t>
  </si>
  <si>
    <t>85.5 k</t>
  </si>
  <si>
    <t xml:space="preserve">b=0.258, d=3.01E-06, P0=.443 Limit=14.1 k=&gt;85.5 k cases </t>
  </si>
  <si>
    <t>Italy Limit 14.1 k</t>
  </si>
  <si>
    <t>COVID19 Italy P(t) = b / {d+[( b/Po - d ) ]* exp(-b*t)}
b=0.258, d=3.01E-06, P0=.443 Limit=14.1 k=&gt;85.5 k cases 
 (Fit: Sat 22-Feb - Sat 28-Mar), Cases per 10 M population</t>
  </si>
  <si>
    <t>At Sun 29-Mar Australia 1564 cases per 10M was 19 days behind Italy, 5 days behind USA &amp; -7 days behind China, 15 days behind South Korea, 3 days behind UK
At Sun 29-Mar NSW 2217 cases per 10M was 16 days behind Italy, 3 days behind USA &amp; -7 days behind China, -1 days behind South Korea, 2 days behind UK</t>
  </si>
  <si>
    <t>284 G</t>
  </si>
  <si>
    <t>8.62 G</t>
  </si>
  <si>
    <t xml:space="preserve">b=0.284, d=1.00E-12, P0=.001 Limit=8.62 G=&gt;284 G cases </t>
  </si>
  <si>
    <t>USA Limit 8.62 G</t>
  </si>
  <si>
    <t>COVID19 USA P(t) = b / {d+[( b/Po - d ) ]* exp(-b*t)}
b=0.284, d=1.00E-12, P0=.001 Limit=8.62 G=&gt;284 G cases 
 (Fit: Wed 22-Jan - Sat 28-Mar), Cases per 10 M population</t>
  </si>
  <si>
    <t>81.1 k</t>
  </si>
  <si>
    <t xml:space="preserve">564  </t>
  </si>
  <si>
    <t xml:space="preserve">b=0.221, d=2.72E-06, P0=1564.332 Limit=564  =&gt;81.1 k cases </t>
  </si>
  <si>
    <t xml:space="preserve">China Limit 564  </t>
  </si>
  <si>
    <t>COVID19 China P(t) = b / {d+[( b/Po - d ) ]* exp(-b*t)}
b=0.221, d=2.72E-06, P0=1564.332 Limit=564  =&gt;81.1 k cases 
 (Fit: Wed 22-Jan - Sat 28-Mar), Cases per 10 M population</t>
  </si>
  <si>
    <t>8.79 k</t>
  </si>
  <si>
    <t>1.71 k</t>
  </si>
  <si>
    <t xml:space="preserve">b=0.283, d=3.23E-05, P0=256.648 Limit=1.71 k=&gt;8.79 k cases , log fit from 19th Feb </t>
  </si>
  <si>
    <t>Skorea Limit 1.71 k fr 19th Feb</t>
  </si>
  <si>
    <t>COVID19 Skorea P(t) = b / {d+[( b/Po - d ) ]* exp(-b*t)}
b=0.283, d=3.23E-05, P0=256.648 Limit=1.71 k=&gt;8.79 k cases , log fit from 19th Feb 
 (Fit: Wed 19-Feb - Sat 28-Mar), Cases per 10 M population</t>
  </si>
  <si>
    <t>93.8 k</t>
  </si>
  <si>
    <t xml:space="preserve">b=0.214, d=2.28E-06, P0=.088 Limit=14.1 k=&gt;93.8 k cases </t>
  </si>
  <si>
    <t>COVID19 UK P(t) = b / {d+[( b/Po - d ) ]* exp(-b*t)}
b=0.214, d=2.28E-06, P0=.088 Limit=14.1 k=&gt;93.8 k cases 
 (Fit: Thu 30-Jan - Sat 28-Mar), Cases per 10 M population</t>
  </si>
  <si>
    <t>81.0 G</t>
  </si>
  <si>
    <t>138 G</t>
  </si>
  <si>
    <t xml:space="preserve">b=0.081, d=1.00E-12, P0=3.987 Limit=138 G=&gt;55.8 G cases </t>
  </si>
  <si>
    <t>Singapore Limit 138 G</t>
  </si>
  <si>
    <t>COVID19 Singapore P(t) = b / {d+[( b/Po - d ) ]* exp(-b*t)}
b=0.081, d=1.00E-12, P0=3.987 Limit=138 G=&gt;55.8 G cases 
 (Fit: Thu 23-Jan - Sat 28-Mar), Cases per 10 M population</t>
  </si>
  <si>
    <t>11.2 k</t>
  </si>
  <si>
    <t xml:space="preserve">b=0.922, d=1.41E-05, P0=.001 Limit=11.2 k=&gt;65.4 k cases </t>
  </si>
  <si>
    <t>Hubei Limit 11.2 k</t>
  </si>
  <si>
    <t>COVID19 China Hubei P(t) = b / {d+[( b/Po - d ) ]* exp(-b*t)}
b=0.922, d=1.41E-05, P0=.001 Limit=11.2 k=&gt;65.4 k cases 
  (Fit: Wed 22-Jan - Sat 28-Mar), Cases per 10 M population</t>
  </si>
  <si>
    <t>NZ</t>
  </si>
  <si>
    <t>196 G</t>
  </si>
  <si>
    <t>374 G</t>
  </si>
  <si>
    <t xml:space="preserve">b=0.196, d=1.00E-12, P0=.001 Limit=374 G=&gt;196 G cases </t>
  </si>
  <si>
    <t>New Zealand Limit 374 G</t>
  </si>
  <si>
    <t>COVID19 New Zealand  P(t) = b / {d+[( b/Po - d ) ]* exp(-b*t)}
b=0.196, d=1.00E-12, P0=.001 Limit=374 G=&gt;196 G cases 
  (Fit: Wed 22-Jan - Sat 28-Mar), Cases per 10 M population</t>
  </si>
  <si>
    <t>NSW Cases LogEst</t>
  </si>
  <si>
    <t>NSW LOGEST Sq Err</t>
  </si>
  <si>
    <t>Msq Logist</t>
  </si>
  <si>
    <t>NSW Logest Mean Sq Err</t>
  </si>
  <si>
    <t>NSWLogEst M</t>
  </si>
  <si>
    <t>At Sun 29-Mar Australia 1571 cases per 10M was 19 days behind Italy, 5 days behind USA &amp; -7 days behind China, 15 days behind South Korea, 3 days behind UK</t>
  </si>
  <si>
    <t>6.52 k</t>
  </si>
  <si>
    <t>2.57 k</t>
  </si>
  <si>
    <t xml:space="preserve">b=0.252, d=3.87E-05, P0=.001 Limit=2.57 k=&gt;6.52 k cases </t>
  </si>
  <si>
    <t>Australia Limit 2.57 k</t>
  </si>
  <si>
    <t>COVID19 Australia P(t) = b / {d+[( b/Po - d ) ]* exp(-b*t)}
b=0.252, d=3.87E-05, P0=.001 Limit=2.57 k=&gt;6.52 k cases 
 (Fit: Sat 25-Jan - Sun 29-Mar), Cases per 10 M population</t>
  </si>
  <si>
    <t>MinCases</t>
  </si>
  <si>
    <t>DayFrom100</t>
  </si>
  <si>
    <t>NSW100Days</t>
  </si>
  <si>
    <t>Italy100Days</t>
  </si>
  <si>
    <t>Cases Label</t>
  </si>
  <si>
    <t>AU100Days</t>
  </si>
  <si>
    <t>At Mon 30-Mar Australia 1665 cases per 10M was 20 days behind Italy, 5 days behind USA &amp; -8 days behind China, 11 days behind South Korea, 4 days behind UK</t>
  </si>
  <si>
    <t>6.27 k</t>
  </si>
  <si>
    <t>2.47 k</t>
  </si>
  <si>
    <t xml:space="preserve">b=0.253, d=4.03E-05, P0=.001 Limit=2.47 k=&gt;6.27 k cases </t>
  </si>
  <si>
    <t>Australia Limit 2.47 k</t>
  </si>
  <si>
    <t>COVID19 Australia P(t) = b / {d+[( b/Po - d ) ]* exp(-b*t)}
b=0.253, d=4.03E-05, P0=.001 Limit=2.47 k=&gt;6.27 k cases 
 (Fit: Sat 25-Jan - Mon 30-Mar), Cases per 10 M population</t>
  </si>
  <si>
    <t>SKorea100Days</t>
  </si>
  <si>
    <t>Botswana</t>
  </si>
  <si>
    <t>At Tue 31-Mar Australia 1780 cases per 10M was 20 days behind Italy, 6 days behind USA &amp; -9 days behind China, 5 days behind South Korea, 4 days behind UK</t>
  </si>
  <si>
    <t xml:space="preserve">b=0.253, d=4.05E-05, P0=.001, mse=37., Limit=2.46 k=&gt;6.25 k cases </t>
  </si>
  <si>
    <t>COVID19 Australia P(t) = b / {d+[( b/Po - d ) ]* exp(-b*t)}
b=0.253, d=4.05E-05, P0=.001, mse=37., Limit=2.46 k=&gt;6.25 k cases 
 (Fit: Sat 25-Jan - Tue 31-Mar), Cases per 10 M population</t>
  </si>
  <si>
    <t>At Tue 31-Mar NSW 2515 cases per 10M was 18 days behind Italy, 5 days behind USA &amp; -9 days behind China, -3 days behind South Korea, 3 days behind UK</t>
  </si>
  <si>
    <t>91.5 k</t>
  </si>
  <si>
    <t>15.1 k</t>
  </si>
  <si>
    <t xml:space="preserve">b=0.257, d=2.81E-06, P0=.443, mse=5055.1, Limit=15.1 k=&gt;91.5 k cases </t>
  </si>
  <si>
    <t>Italy Limit 15.1 k</t>
  </si>
  <si>
    <t>COVID19 Italy P(t) = b / {d+[( b/Po - d ) ]* exp(-b*t)}
b=0.257, d=2.81E-06, P0=.443, mse=5055.1, Limit=15.1 k=&gt;91.5 k cases 
 (Fit: Thu 30-Jan - Mon 30-Mar), Cases per 10 M population</t>
  </si>
  <si>
    <t>At Tue 31-Mar Australia 1780 cases per 10M was 20 days behind Italy, 6 days behind USA &amp; -9 days behind China, 5 days behind South Korea, 4 days behind UK
At Tue 31-Mar NSW 2515 cases per 10M was 18 days behind Italy, 5 days behind USA &amp; -9 days behind China, -3 days behind South Korea, 3 days behind UK</t>
  </si>
  <si>
    <t>633 k</t>
  </si>
  <si>
    <t>19.2 k</t>
  </si>
  <si>
    <t>USA Limit 19.2 k</t>
  </si>
  <si>
    <t>81.2 k</t>
  </si>
  <si>
    <t xml:space="preserve">b=0.221, d=2.72E-06, P0=1564.332, mse=1946.6, Limit=564  =&gt;81.2 k cases </t>
  </si>
  <si>
    <t>COVID19 China P(t) = b / {d+[( b/Po - d ) ]* exp(-b*t)}
b=0.221, d=2.72E-06, P0=1564.332, mse=1946.6, Limit=564  =&gt;81.2 k cases 
 (Fit: Wed 22-Jan - Tue 31-Mar), Cases per 10 M population</t>
  </si>
  <si>
    <t>8.97 k</t>
  </si>
  <si>
    <t>1.75 k</t>
  </si>
  <si>
    <t xml:space="preserve">b=0.267, d=2.98E-05, P0=299.319, mse=355.9, Limit=1.75 k=&gt;8.97 k cases , log fit from 19th Feb </t>
  </si>
  <si>
    <t>Skorea Limit 1.75 k</t>
  </si>
  <si>
    <t>COVID19 Skorea P(t) = b / {d+[( b/Po - d ) ]* exp(-b*t)}
b=0.267, d=2.98E-05, P0=299.319, mse=355.9, Limit=1.75 k=&gt;8.97 k cases , log fit from 19th Feb 
 (Fit: Wed 19-Feb - Tue 31-Mar), Cases per 10 M population</t>
  </si>
  <si>
    <t xml:space="preserve">b=0.214, d=2.28E-06, P0=.088, mse=270.3, Limit=14.1 k=&gt;93.8 k cases </t>
  </si>
  <si>
    <t>COVID19 UK P(t) = b / {d+[( b/Po - d ) ]* exp(-b*t)}
b=0.214, d=2.28E-06, P0=.088, mse=270.3, Limit=14.1 k=&gt;93.8 k cases 
 (Fit: Thu 30-Jan - Mon 30-Mar), Cases per 10 M population</t>
  </si>
  <si>
    <t>80.5 G</t>
  </si>
  <si>
    <t xml:space="preserve">b=0.08, d=1.00E-12, P0=4.099, mse=26.7, Limit=138 G=&gt;53.4 G cases </t>
  </si>
  <si>
    <t>COVID19 Singapore P(t) = b / {d+[( b/Po - d ) ]* exp(-b*t)}
b=0.08, d=1.00E-12, P0=4.099, mse=26.7, Limit=138 G=&gt;53.4 G cases 
 (Fit: Thu 23-Jan - Mon 30-Mar), Cases per 10 M population</t>
  </si>
  <si>
    <t>127 k</t>
  </si>
  <si>
    <t>157 k</t>
  </si>
  <si>
    <t xml:space="preserve">b=0.176, d=1.39E-06, P0=4294.861, mse=1730., Limit=157 k=&gt;97.9 k cases </t>
  </si>
  <si>
    <t>Tests Limit 157 k</t>
  </si>
  <si>
    <t>COVID19  NSW TestsP(t) = b / {d+[( b/Po - d ) ]* exp(-b*t)}
b=0.176, d=1.39E-06, P0=4294.861, mse=1730., Limit=157 k=&gt;97.9 k cases 
 (Fit: Fri 06-Mar - Mon 30-Mar)</t>
  </si>
  <si>
    <t xml:space="preserve">b=0.196, d=1.00E-12, P0=.001, mse=24.6, Limit=374 G=&gt;196 G cases </t>
  </si>
  <si>
    <t>COVID19 New Zealand  P(t) = b / {d+[( b/Po - d ) ]* exp(-b*t)}
b=0.196, d=1.00E-12, P0=.001, mse=24.6, Limit=374 G=&gt;196 G cases 
  (Fit: Wed 22-Jan - Mon 30-Mar), Cases per 10 M population</t>
  </si>
  <si>
    <t xml:space="preserve">b=0.176, d=1.39E-06, P0=4294.861, mse=1513.6, Limit=157 k=&gt;97.9 k cases </t>
  </si>
  <si>
    <t>COVID19  NSW TestsP(t) = b / {d+[( b/Po - d ) ]* exp(-b*t)}
b=0.176, d=1.39E-06, P0=4294.861, mse=1513.6, Limit=157 k=&gt;97.9 k cases 
 (Fit: Fri 06-Mar - Tue 31-Mar)</t>
  </si>
  <si>
    <t>23.7 k</t>
  </si>
  <si>
    <t>45.3 k</t>
  </si>
  <si>
    <t xml:space="preserve">b=0.195, d=8.25E-06, P0=.001, mse=26.7, Limit=45.3 k=&gt;23.7 k cases </t>
  </si>
  <si>
    <t>New Zealand Limit 45.3 k</t>
  </si>
  <si>
    <t>COVID19 New Zealand  P(t) = b / {d+[( b/Po - d ) ]* exp(-b*t)}
b=0.195, d=8.25E-06, P0=.001, mse=26.7, Limit=45.3 k=&gt;23.7 k cases 
  (Fit: Wed 22-Jan - Tue 31-Mar), Cases per 10 M population</t>
  </si>
  <si>
    <t>At Tue 31-Mar Australia 1798 cases per 10M was 20 days behind Italy, 6 days behind USA &amp; -9 days behind China, 4 days behind South Korea, 4 days behind UK</t>
  </si>
  <si>
    <t>6.31 k</t>
  </si>
  <si>
    <t>2.49 k</t>
  </si>
  <si>
    <t xml:space="preserve">b=0.253, d=4.01E-05, P0=.001, mse=34.4, Limit=2.49 k=&gt;6.31 k cases </t>
  </si>
  <si>
    <t>Australia Limit 2.49 k</t>
  </si>
  <si>
    <t>COVID19 Australia P(t) = b / {d+[( b/Po - d ) ]* exp(-b*t)}
b=0.253, d=4.01E-05, P0=.001, mse=34.4, Limit=2.49 k=&gt;6.31 k cases 
 (Fit: Sat 25-Jan - Tue 31-Mar), Cases per 10 M population</t>
  </si>
  <si>
    <t>At Mon 30-Mar NSW 2374 cases per 10M was 17 days behind Italy, 4 days behind USA &amp; -8 days behind China, -2 days behind South Korea, 2 days behind UK</t>
  </si>
  <si>
    <t xml:space="preserve">b=0.233, d=6.28E-05, P0=.001, mse=16.1, Limit=4.59 k=&gt;3.71 k cases </t>
  </si>
  <si>
    <t>COVID19 NSW P(t) = b / {d+[( b/Po - d ) ]* exp(-b*t)}
b=0.233, d=6.28E-05, P0=.001, mse=16.1, Limit=4.59 k=&gt;3.71 k cases 
 (Fit: Sat 25-Jan - Mon 30-Mar), Cases per 10 M population</t>
  </si>
  <si>
    <t>Burundi</t>
  </si>
  <si>
    <t>Sierra Leone</t>
  </si>
  <si>
    <t>US100Days</t>
  </si>
  <si>
    <t>UK100Days</t>
  </si>
  <si>
    <t>China100Days</t>
  </si>
  <si>
    <t>Singapore100Days</t>
  </si>
  <si>
    <t>Generic100Days</t>
  </si>
  <si>
    <t>4.38 k</t>
  </si>
  <si>
    <t>5.42 k</t>
  </si>
  <si>
    <t xml:space="preserve">b=0.198, d=4.52E-05, P0=.009, mse=32.5, Limit=5.42 k=&gt;4.38 k cases </t>
  </si>
  <si>
    <t>NSW Limit 5.42 k</t>
  </si>
  <si>
    <t>COVID19 NSW P(t) = b / {d+[( b/Po - d ) ]* exp(-b*t)}
b=0.198, d=4.52E-05, P0=.009, mse=32.5, Limit=5.42 k=&gt;4.38 k cases 
 (Fit: Sat 25-Jan - Tue 31-Mar), Cases per 10 M population</t>
  </si>
  <si>
    <t>6.19 k</t>
  </si>
  <si>
    <t>2.44 k</t>
  </si>
  <si>
    <t xml:space="preserve">b=0.253, d=4.09E-05, P0=.001, mse=34.8, Limit=2.44 k=&gt;6.19 k cases </t>
  </si>
  <si>
    <t>Australia Limit 2.44 k</t>
  </si>
  <si>
    <t>COVID19 Australia P(t) = b / {d+[( b/Po - d ) ]* exp(-b*t)}
b=0.253, d=4.09E-05, P0=.001, mse=34.8, Limit=2.44 k=&gt;6.19 k cases 
 (Fit: Sat 25-Jan - Sat 21-Nov), Cases per 10 M population</t>
  </si>
  <si>
    <t>At Wed 01-Apr NSW 2700 cases per 10M was 19 days behind Italy, 5 days behind USA &amp; -10 days behind China, -4 days behind South Korea, 3 days behind UK</t>
  </si>
  <si>
    <t>3.05 k</t>
  </si>
  <si>
    <t>3.78 k</t>
  </si>
  <si>
    <t xml:space="preserve">b=0.238, d=7.78E-05, P0=.001, mse=22.1, Limit=3.78 k=&gt;3.05 k cases </t>
  </si>
  <si>
    <t>NSW Limit 3.78 k</t>
  </si>
  <si>
    <t>COVID19 NSW P(t) = b / {d+[( b/Po - d ) ]* exp(-b*t)}
b=0.238, d=7.78E-05, P0=.001, mse=22.1, Limit=3.78 k=&gt;3.05 k cases 
 (Fit: Sat 25-Jan - Wed 01-Apr), Cases per 10 M population</t>
  </si>
  <si>
    <t>91.6 k</t>
  </si>
  <si>
    <t xml:space="preserve">b=0.257, d=2.81E-06, P0=.443, mse=5471.1, Limit=15.1 k=&gt;91.6 k cases </t>
  </si>
  <si>
    <t>COVID19 Italy P(t) = b / {d+[( b/Po - d ) ]* exp(-b*t)}
b=0.257, d=2.81E-06, P0=.443, mse=5471.1, Limit=15.1 k=&gt;91.6 k cases 
 (Fit: Thu 30-Jan - Tue 31-Mar), Cases per 10 M population</t>
  </si>
  <si>
    <t xml:space="preserve">b=0.221, d=2.72E-06, P0=1564.332, mse=1946.9, Limit=564  =&gt;81.2 k cases </t>
  </si>
  <si>
    <t>COVID19 China P(t) = b / {d+[( b/Po - d ) ]* exp(-b*t)}
b=0.221, d=2.72E-06, P0=1564.332, mse=1946.9, Limit=564  =&gt;81.2 k cases 
 (Fit: Wed 22-Jan - Tue 31-Mar), Cases per 10 M population</t>
  </si>
  <si>
    <t>74.6 k</t>
  </si>
  <si>
    <t xml:space="preserve">b=0.214, d=2.87E-06, P0=.088, mse=212.7, Limit=11.2 k=&gt;74.6 k cases </t>
  </si>
  <si>
    <t>UK Limit 11.2 k</t>
  </si>
  <si>
    <t>COVID19 UK P(t) = b / {d+[( b/Po - d ) ]* exp(-b*t)}
b=0.214, d=2.87E-06, P0=.088, mse=212.7, Limit=11.2 k=&gt;74.6 k cases 
 (Fit: Thu 30-Jan - Tue 31-Mar), Cases per 10 M population</t>
  </si>
  <si>
    <t>134 k</t>
  </si>
  <si>
    <t>230 k</t>
  </si>
  <si>
    <t xml:space="preserve">b=0.08, d=5.99E-07, P0=4.099, mse=27.1, Limit=230 k=&gt;134 k cases </t>
  </si>
  <si>
    <t>Singapore Limit 230 k</t>
  </si>
  <si>
    <t>COVID19 Singapore P(t) = b / {d+[( b/Po - d ) ]* exp(-b*t)}
b=0.08, d=5.99E-07, P0=4.099, mse=27.1, Limit=230 k=&gt;134 k cases 
 (Fit: Thu 23-Jan - Tue 31-Mar), Cases per 10 M population</t>
  </si>
  <si>
    <t xml:space="preserve">b=0.176, d=1.39E-06, P0=4294.861, mse=1515.9, Limit=157 k=&gt;103 k cases </t>
  </si>
  <si>
    <t>COVID19  NSW TestsP(t) = b / {d+[( b/Po - d ) ]* exp(-b*t)}
b=0.176, d=1.39E-06, P0=4294.861, mse=1515.9, Limit=157 k=&gt;103 k cases 
 (Fit: Fri 06-Mar - Wed 01-Apr)</t>
  </si>
  <si>
    <t>7.20 k</t>
  </si>
  <si>
    <t xml:space="preserve">b=0.197, d=5.22E-05, P0=.001, mse=29.7, Limit=7.20 k=&gt;3.77 k cases </t>
  </si>
  <si>
    <t>New Zealand Limit 7.20 k</t>
  </si>
  <si>
    <t>COVID19 New Zealand  P(t) = b / {d+[( b/Po - d ) ]* exp(-b*t)}
b=0.197, d=5.22E-05, P0=.001, mse=29.7, Limit=7.20 k=&gt;3.77 k cases 
  (Fit: Wed 22-Jan - Wed 01-Apr), Cases per 10 M population</t>
  </si>
  <si>
    <t xml:space="preserve">b=0.08, d=5.99E-07, P0=4.099, mse=26.8, Limit=230 k=&gt;134 k cases </t>
  </si>
  <si>
    <t>COVID19 Singapore P(t) = b / {d+[( b/Po - d ) ]* exp(-b*t)}
b=0.08, d=5.99E-07, P0=4.099, mse=26.8, Limit=230 k=&gt;134 k cases 
 (Fit: Sat 22-Feb - Tue 31-Mar), Cases per 10 M population</t>
  </si>
  <si>
    <t xml:space="preserve">b=0.08, d=5.99E-07, P0=4.099, mse=28.6, Limit=230 k=&gt;134 k cases </t>
  </si>
  <si>
    <t>COVID19 Singapore P(t) = b / {d+[( b/Po - d ) ]* exp(-b*t)}
b=0.08, d=5.99E-07, P0=4.099, mse=28.6, Limit=230 k=&gt;134 k cases 
 (Fit: Sun 08-Mar - Tue 31-Mar), Cases per 10 M population</t>
  </si>
  <si>
    <t>79.6 G</t>
  </si>
  <si>
    <t xml:space="preserve">b=0.08, d=1.00E-12, P0=4.294, mse=30.7, Limit=136 G=&gt;49.0 G cases </t>
  </si>
  <si>
    <t>COVID19 Singapore P(t) = b / {d+[( b/Po - d ) ]* exp(-b*t)}
b=0.08, d=1.00E-12, P0=4.294, mse=30.7, Limit=136 G=&gt;49.0 G cases 
 (Fit: Mon 10-Feb - Tue 31-Mar), Cases per 10 M population</t>
  </si>
  <si>
    <t>At Thu 02-Apr NSW 2844 cases per 10M was 20 days behind Italy, 6 days behind USA &amp; -11 days behind China, -5 days behind South Korea, 4 days behind UK</t>
  </si>
  <si>
    <t>3.00 k</t>
  </si>
  <si>
    <t xml:space="preserve">b=0.238, d=7.93E-05, P0=.001, mse=22.6, Limit=3.71 k=&gt;3.00 k cases </t>
  </si>
  <si>
    <t>NSW Limit 3.71 k</t>
  </si>
  <si>
    <t>COVID19 NSW P(t) = b / {d+[( b/Po - d ) ]* exp(-b*t)}
b=0.238, d=7.93E-05, P0=.001, mse=22.6, Limit=3.71 k=&gt;3.00 k cases 
 (Fit: Sat 25-Jan - Thu 02-Apr), Cases per 10 M population</t>
  </si>
  <si>
    <t xml:space="preserve">b=0.176, d=1.38E-06, P0=4294.861, mse=1594., Limit=157 k=&gt;108 k cases </t>
  </si>
  <si>
    <t>COVID19  NSW TestsP(t) = b / {d+[( b/Po - d ) ]* exp(-b*t)}
b=0.176, d=1.38E-06, P0=4294.861, mse=1594., Limit=157 k=&gt;108 k cases 
 (Fit: Fri 06-Mar - Thu 02-Apr)</t>
  </si>
  <si>
    <t>NSW Mean Devn Sq</t>
  </si>
  <si>
    <t>R2</t>
  </si>
  <si>
    <t>AU Mean Devn Sq</t>
  </si>
  <si>
    <t>Italy Mean Devn Sq</t>
  </si>
  <si>
    <t>US Mean Devn Sq</t>
  </si>
  <si>
    <t>China Mean Devn Sq</t>
  </si>
  <si>
    <t>UK Mean Devn Sq</t>
  </si>
  <si>
    <t>Skorea Mean Devn Sq</t>
  </si>
  <si>
    <t>Generic Mean Devn Sq</t>
  </si>
  <si>
    <t>NSW Tests Mean Devn Sq</t>
  </si>
  <si>
    <t>Singapore Mean Devn Sq</t>
  </si>
  <si>
    <t xml:space="preserve">b=0.176, d=1.38E-06, P0=4294.861, r2=997.6E-3, Limit=157 k=&gt;108 k cases </t>
  </si>
  <si>
    <t>6.18 k</t>
  </si>
  <si>
    <t xml:space="preserve">b=0.253, d=4.10E-05, P0=.001, r2=999.4E-3, Limit=2.44 k=&gt;6.18 k cases </t>
  </si>
  <si>
    <t>COVID19 Australia P(t) = b / {d+[( b/Po - d ) ]* exp(-b*t)}
b=0.253, d=4.10E-05, P0=.001, r2=999.4E-3, Limit=2.44 k=&gt;6.18 k cases 
 (Fit: Sat 25-Jan - Sat 21-Nov), Cases per 10 M population</t>
  </si>
  <si>
    <t xml:space="preserve">b=0.238, d=7.93E-05, P0=.001, r2=998.6E-3, Limit=3.71 k=&gt;3.00 k cases </t>
  </si>
  <si>
    <t>COVID19 NSW P(t) = b / {d+[( b/Po - d ) ]* exp(-b*t)}
b=0.238, d=7.93E-05, P0=.001, r2=998.6E-3, Limit=3.71 k=&gt;3.00 k cases 
 (Fit: Sat 25-Jan - Thu 02-Apr), Cases per 10 M population</t>
  </si>
  <si>
    <t>97.3 k</t>
  </si>
  <si>
    <t>16.1 k</t>
  </si>
  <si>
    <t xml:space="preserve">b=0.257, d=2.64E-06, P0=.443, r2=968.E-3, Limit=16.1 k=&gt;97.3 k cases </t>
  </si>
  <si>
    <t>Italy Limit 16.1 k</t>
  </si>
  <si>
    <t>COVID19 Italy P(t) = b / {d+[( b/Po - d ) ]* exp(-b*t)}
b=0.257, d=2.64E-06, P0=.443, r2=968.E-3, Limit=16.1 k=&gt;97.3 k cases 
 (Fit: Thu 30-Jan - Wed 01-Apr), Cases per 10 M population</t>
  </si>
  <si>
    <t xml:space="preserve">b=0.221, d=2.72E-06, P0=1564.332, r2=995.4E-3, Limit=564  =&gt;81.2 k cases </t>
  </si>
  <si>
    <t>COVID19 China P(t) = b / {d+[( b/Po - d ) ]* exp(-b*t)}
b=0.221, d=2.72E-06, P0=1564.332, r2=995.4E-3, Limit=564  =&gt;81.2 k cases 
 (Fit: Wed 22-Jan - Wed 01-Apr), Cases per 10 M population</t>
  </si>
  <si>
    <t>9.04 k</t>
  </si>
  <si>
    <t>1.76 k</t>
  </si>
  <si>
    <t xml:space="preserve">b=0.261, d=2.89E-05, P0=315.481, r2=991.7E-3, Limit=1.76 k=&gt;9.04 k cases , log fit from 19th Feb </t>
  </si>
  <si>
    <t>Skorea Limit 1.76 k</t>
  </si>
  <si>
    <t>COVID19 Skorea P(t) = b / {d+[( b/Po - d ) ]* exp(-b*t)}
b=0.261, d=2.89E-05, P0=315.481, r2=991.7E-3, Limit=1.76 k=&gt;9.04 k cases , log fit from 19th Feb 
 (Fit: Wed 19-Feb - Wed 01-Apr), Cases per 10 M population</t>
  </si>
  <si>
    <t xml:space="preserve">b=0.214, d=2.87E-06, P0=.088, r2=999.E-3, Limit=11.2 k=&gt;74.6 k cases </t>
  </si>
  <si>
    <t>COVID19 UK P(t) = b / {d+[( b/Po - d ) ]* exp(-b*t)}
b=0.214, d=2.87E-06, P0=.088, r2=999.E-3, Limit=11.2 k=&gt;74.6 k cases 
 (Fit: Thu 30-Jan - Wed 01-Apr), Cases per 10 M population</t>
  </si>
  <si>
    <t>141 k</t>
  </si>
  <si>
    <t xml:space="preserve">b=0.08, d=5.66E-07, P0=4.294, r2=987.2E-3, Limit=241 k=&gt;141 k cases </t>
  </si>
  <si>
    <t>Singapore Limit 241 k</t>
  </si>
  <si>
    <t>COVID19 Singapore P(t) = b / {d+[( b/Po - d ) ]* exp(-b*t)}
b=0.08, d=5.66E-07, P0=4.294, r2=987.2E-3, Limit=241 k=&gt;141 k cases 
 (Fit: Mon 10-Feb - Wed 01-Apr), Cases per 10 M population</t>
  </si>
  <si>
    <t>COVID19  NSW TestsP(t) = b / {d+[( b/Po - d ) ]* exp(-b*t)}
b=0.176, d=1.38E-06, P0=4294.861, r2=997.6E-3, Limit=157 k=&gt;108 k cases 
 (Fit: Fri 06-Mar - Thu 02-Apr)</t>
  </si>
  <si>
    <t>3.55 k</t>
  </si>
  <si>
    <t>6.78 k</t>
  </si>
  <si>
    <t xml:space="preserve">b=0.197, d=5.55E-05, P0=.001, r2=979.4E-3, Limit=6.78 k=&gt;3.55 k cases </t>
  </si>
  <si>
    <t>New Zealand Limit 6.78 k</t>
  </si>
  <si>
    <t>COVID19 New Zealand  P(t) = b / {d+[( b/Po - d ) ]* exp(-b*t)}
b=0.197, d=5.55E-05, P0=.001, r2=979.4E-3, Limit=6.78 k=&gt;3.55 k cases 
  (Fit: Wed 22-Jan - Wed 01-Apr), Cases per 10 M population</t>
  </si>
  <si>
    <t>6.20 k</t>
  </si>
  <si>
    <t xml:space="preserve">b=0.253, d=4.08E-05, P0=.001, r2=999.4E-3, Limit=2.44 k=&gt;6.20 k cases </t>
  </si>
  <si>
    <t>COVID19 Australia P(t) = b / {d+[( b/Po - d ) ]* exp(-b*t)}
b=0.253, d=4.08E-05, P0=.001, r2=999.4E-3, Limit=2.44 k=&gt;6.20 k cases 
 (Fit: Sat 25-Jan - Sat 21-Nov), Cases per 10 M population</t>
  </si>
  <si>
    <t>Malawi</t>
  </si>
  <si>
    <t xml:space="preserve">b=0.257, d=2.64E-06, P0=.443, r2=966.6E-3, Limit=16.1 k=&gt;97.3 k cases </t>
  </si>
  <si>
    <t>COVID19 Italy P(t) = b / {d+[( b/Po - d ) ]* exp(-b*t)}
b=0.257, d=2.64E-06, P0=.443, r2=966.6E-3, Limit=16.1 k=&gt;97.3 k cases 
 (Fit: Thu 30-Jan - Thu 02-Apr), Cases per 10 M population</t>
  </si>
  <si>
    <t>128 k</t>
  </si>
  <si>
    <t>159 k</t>
  </si>
  <si>
    <t xml:space="preserve">b=0.176, d=1.37E-06, P0=4294.861, r2=997.6E-3, Limit=159 k=&gt;112 k cases </t>
  </si>
  <si>
    <t>Tests Limit 159 k</t>
  </si>
  <si>
    <t>COVID19  NSW TestsP(t) = b / {d+[( b/Po - d ) ]* exp(-b*t)}
b=0.176, d=1.37E-06, P0=4294.861, r2=997.6E-3, Limit=159 k=&gt;112 k cases 
 (Fit: Fri 06-Mar - Fri 03-Apr)</t>
  </si>
  <si>
    <t>="Test Logistic Growth Limit " &amp; TEXT(DD19,"##0.00E+0") &amp; " mse = " &amp; TEXT( msqTests,"#####")</t>
  </si>
  <si>
    <t xml:space="preserve">b=0.253, d=4.03E-05, P0=.001, r2=999.4E-3, Limit=2.47 k=&gt;6.27 k cases </t>
  </si>
  <si>
    <t>COVID19 Australia P(t) = b / {d+[( b/Po - d ) ]* exp(-b*t)}
b=0.253, d=4.03E-05, P0=.001, r2=999.4E-3, Limit=2.47 k=&gt;6.27 k cases 
 (Fit: Sat 25-Jan - Sat 21-Nov), Cases per 10 M population</t>
  </si>
  <si>
    <t>Singapore from 11-Feb</t>
  </si>
  <si>
    <t>Skorea from 22-Feb</t>
  </si>
  <si>
    <t>NSW from 11-Mar</t>
  </si>
  <si>
    <t>UK from 12-Mar</t>
  </si>
  <si>
    <t>Italy from 27-Feb</t>
  </si>
  <si>
    <t>USA from 14-Mar</t>
  </si>
  <si>
    <t>New Zealand from 14-Mar</t>
  </si>
  <si>
    <t>Errors or Zeroes</t>
  </si>
  <si>
    <t>Chart Name</t>
  </si>
  <si>
    <t>Series Name</t>
  </si>
  <si>
    <t>Series Formula</t>
  </si>
  <si>
    <t>, Log Scale: 0</t>
  </si>
  <si>
    <t>, Log Scale: 1</t>
  </si>
  <si>
    <t>At Fri 03-Apr NSW 2957 cases per 10M was 20 days behind Italy, 7 days behind USA &amp; -12 days behind China, -6 days behind South Korea, 5 days behind UK</t>
  </si>
  <si>
    <t>2.96 k</t>
  </si>
  <si>
    <t>3.66 k</t>
  </si>
  <si>
    <t xml:space="preserve">b=0.238, d=8.04E-05, P0=.001, r2=998.7E-3, Limit=3.66 k=&gt;2.96 k cases </t>
  </si>
  <si>
    <t>NSW Limit 3.66 k</t>
  </si>
  <si>
    <t>COVID19 NSW P(t) = b / {d+[( b/Po - d ) ]* exp(-b*t)}
b=0.238, d=8.04E-05, P0=.001, r2=998.7E-3, Limit=3.66 k=&gt;2.96 k cases 
 (Fit: Sat 25-Jan - Fri 03-Apr), Cases per 10 M population</t>
  </si>
  <si>
    <t>103 k</t>
  </si>
  <si>
    <t>17.0 k</t>
  </si>
  <si>
    <t xml:space="preserve">b=0.256, d=2.49E-06, P0=.443, r2=964.8E-3, Limit=17.0 k=&gt;103 k cases </t>
  </si>
  <si>
    <t>Italy Limit 17.0 k</t>
  </si>
  <si>
    <t>COVID19 Italy P(t) = b / {d+[( b/Po - d ) ]* exp(-b*t)}
b=0.256, d=2.49E-06, P0=.443, r2=964.8E-3, Limit=17.0 k=&gt;103 k cases 
 (Fit: Thu 30-Jan - Fri 03-Apr), Cases per 10 M population</t>
  </si>
  <si>
    <t xml:space="preserve">b=0.284, d=4.48E-07, P0=.001, r2=957.8E-3, Limit=19.2 k=&gt;633 k cases </t>
  </si>
  <si>
    <t>COVID19 USA P(t) = b / {d+[( b/Po - d ) ]* exp(-b*t)}
b=0.284, d=4.48E-07, P0=.001, r2=957.8E-3, Limit=19.2 k=&gt;633 k cases 
 (Fit: Wed 22-Jan - Fri 03-Apr), Cases per 10 M population</t>
  </si>
  <si>
    <t>81.3 k</t>
  </si>
  <si>
    <t xml:space="preserve">565  </t>
  </si>
  <si>
    <t xml:space="preserve">b=0.221, d=2.72E-06, P0=1564.332, r2=995.4E-3, Limit=565  =&gt;81.3 k cases </t>
  </si>
  <si>
    <t xml:space="preserve">China Limit 565  </t>
  </si>
  <si>
    <t>COVID19 China P(t) = b / {d+[( b/Po - d ) ]* exp(-b*t)}
b=0.221, d=2.72E-06, P0=1564.332, r2=995.4E-3, Limit=565  =&gt;81.3 k cases 
 (Fit: Wed 22-Jan - Fri 03-Apr), Cases per 10 M population</t>
  </si>
  <si>
    <t>1.78 k</t>
  </si>
  <si>
    <t xml:space="preserve">b=0.25, d=2.73E-05, P0=350.19, r2=989.8E-3, Limit=1.78 k=&gt;9.17 k cases , log fit from 19th Feb </t>
  </si>
  <si>
    <t>Skorea Limit 1.78 k</t>
  </si>
  <si>
    <t>COVID19 Skorea P(t) = b / {d+[( b/Po - d ) ]* exp(-b*t)}
b=0.25, d=2.73E-05, P0=350.19, r2=989.8E-3, Limit=1.78 k=&gt;9.17 k cases , log fit from 19th Feb 
 (Fit: Wed 19-Feb - Fri 03-Apr), Cases per 10 M population</t>
  </si>
  <si>
    <t>76.8 k</t>
  </si>
  <si>
    <t>11.6 k</t>
  </si>
  <si>
    <t xml:space="preserve">b=0.214, d=2.78E-06, P0=.088, r2=999.4E-3, Limit=11.6 k=&gt;76.8 k cases </t>
  </si>
  <si>
    <t>UK Limit 11.6 k</t>
  </si>
  <si>
    <t>COVID19 UK P(t) = b / {d+[( b/Po - d ) ]* exp(-b*t)}
b=0.214, d=2.78E-06, P0=.088, r2=999.4E-3, Limit=11.6 k=&gt;76.8 k cases 
 (Fit: Thu 30-Jan - Fri 03-Apr), Cases per 10 M population</t>
  </si>
  <si>
    <t>27.0 k</t>
  </si>
  <si>
    <t>46.1 k</t>
  </si>
  <si>
    <t xml:space="preserve">b=0.08, d=2.95E-06, P0=4.294, r2=989.E-3, Limit=46.1 k=&gt;27.0 k cases </t>
  </si>
  <si>
    <t>Singapore Limit 46.1 k</t>
  </si>
  <si>
    <t>COVID19 Singapore P(t) = b / {d+[( b/Po - d ) ]* exp(-b*t)}
b=0.08, d=2.95E-06, P0=4.294, r2=989.E-3, Limit=46.1 k=&gt;27.0 k cases 
 (Fit: Mon 10-Feb - Fri 03-Apr), Cases per 10 M population</t>
  </si>
  <si>
    <t>2.08 k</t>
  </si>
  <si>
    <t>3.98 k</t>
  </si>
  <si>
    <t xml:space="preserve">b=0.198, d=9.54E-05, P0=.001, r2=984.7E-3, Limit=3.98 k=&gt;2.08 k cases </t>
  </si>
  <si>
    <t>New Zealand Limit 3.98 k</t>
  </si>
  <si>
    <t>COVID19 New Zealand  P(t) = b / {d+[( b/Po - d ) ]* exp(-b*t)}
b=0.198, d=9.54E-05, P0=.001, r2=984.7E-3, Limit=3.98 k=&gt;2.08 k cases 
  (Fit: Thu 27-Feb - Fri 03-Apr), Cases per 10 M population</t>
  </si>
  <si>
    <t>6.21 k</t>
  </si>
  <si>
    <t>2.45 k</t>
  </si>
  <si>
    <t xml:space="preserve">b=0.253, d=4.07E-05, P0=.001, r2=999.5E-3, Limit=2.45 k=&gt;6.21 k cases </t>
  </si>
  <si>
    <t>Australia Limit 2.45 k</t>
  </si>
  <si>
    <t>COVID19 Australia P(t) = b / {d+[( b/Po - d ) ]* exp(-b*t)}
b=0.253, d=4.07E-05, P0=.001, r2=999.5E-3, Limit=2.45 k=&gt;6.21 k cases 
 (Fit: Sat 25-Jan - Fri 16-Oct), Cases per 10 M population</t>
  </si>
  <si>
    <t>At Sat 04-Apr Australia 2181 cases per 10M was 22 days behind Italy, 9 days behind USA, -13days behind China, -2 days behind South Korea, 8 days behind UK</t>
  </si>
  <si>
    <t>6.22 k</t>
  </si>
  <si>
    <t xml:space="preserve">b=0.253, d=4.07E-05, P0=.001, r2=999.5E-3, Limit=2.45 k=&gt;6.22 k cases </t>
  </si>
  <si>
    <t>COVID19 Australia P(t) = b / {d+[( b/Po - d ) ]* exp(-b*t)}
b=0.253, d=4.07E-05, P0=.001, r2=999.5E-3, Limit=2.45 k=&gt;6.22 k cases 
 (Fit: Sat 25-Jan - Sat 04-Apr), Cases per 10 M population</t>
  </si>
  <si>
    <t>At Sat 04-Apr NSW 3085 cases per 10M was 21 days behind Italy, 8 days behind USA &amp; -13 days behind China, -7 days behind South Korea, 5 days behind UK</t>
  </si>
  <si>
    <t>2.94 k</t>
  </si>
  <si>
    <t>3.64 k</t>
  </si>
  <si>
    <t xml:space="preserve">b=0.238, d=8.09E-05, P0=.001, r2=998.9E-3, Limit=3.64 k=&gt;2.94 k cases </t>
  </si>
  <si>
    <t>NSW Limit 3.64 k</t>
  </si>
  <si>
    <t>COVID19 NSW P(t) = b / {d+[( b/Po - d ) ]* exp(-b*t)}
b=0.238, d=8.09E-05, P0=.001, r2=998.9E-3, Limit=3.64 k=&gt;2.94 k cases 
 (Fit: Sat 25-Jan - Sat 04-Apr), Cases per 10 M population</t>
  </si>
  <si>
    <t>At Sat 04-Apr Australia 2181 cases per 10M was 22 days behind Italy, 9 days behind USA, -13days behind China, -2 days behind South Korea, 8 days behind UK
At Sat 04-Apr NSW 3085 cases per 10M was 21 days behind Italy, 8 days behind USA &amp; -13 days behind China, -7 days behind South Korea, 5 days behind UK</t>
  </si>
  <si>
    <t>129 k</t>
  </si>
  <si>
    <t xml:space="preserve">b=0.176, d=1.37E-06, P0=4294.861, r2=997.6E-3, Limit=159 k=&gt;115 k cases </t>
  </si>
  <si>
    <t>COVID19  NSW TestsP(t) = b / {d+[( b/Po - d ) ]* exp(-b*t)}
b=0.176, d=1.37E-06, P0=4294.861, r2=997.6E-3, Limit=159 k=&gt;115 k cases 
 (Fit: Fri 06-Mar - Sat 04-Apr)</t>
  </si>
  <si>
    <t>AU100Cases</t>
  </si>
  <si>
    <t>myData!AU100Cases</t>
  </si>
  <si>
    <t>=myData!AuCases OFFSET(tblData[Au Cases Per Capita],MATCH(solvMsgs!MinCases,tblData[Au Cases Per Capita],1),0,COUNT(tblData[Au]),1)</t>
  </si>
  <si>
    <t>Au100Dates</t>
  </si>
  <si>
    <t>myData!Au100Dates</t>
  </si>
  <si>
    <t>=tblData[AU100Days] OFFSET(tblData[AU100Days],MATCH(solvMsgs!MinCases,tblData[Au Cases Per Capita],1),0,COUNT(tblData[Au],0),1)</t>
  </si>
  <si>
    <t>Au100dt</t>
  </si>
  <si>
    <t>myData!Au100dt</t>
  </si>
  <si>
    <t>Au100Logi</t>
  </si>
  <si>
    <t>myData!Au100Logi</t>
  </si>
  <si>
    <t>=myData!AuLogi OFFSET(tblData[Au LogiP(t) Per Capita],MATCH(solvMsgs!MinCases,tblData[Au Cases Per Capita],1),0,COUNT(tblData[Au])-1,1)</t>
  </si>
  <si>
    <t>Au100LogiDates</t>
  </si>
  <si>
    <t>myData!Au100LogiDates</t>
  </si>
  <si>
    <t>=tblData[AU100Days] OFFSET(tblData[[#Headers],[AU100Days]],MATCH(solvMsgs!MinCases,tblData[Au Cases Per Capita],1)+1,0,COUNT(tblData[Au LogiP(t) Per Capita]),1)</t>
  </si>
  <si>
    <t>AuLabel</t>
  </si>
  <si>
    <t>myData!AuLabel</t>
  </si>
  <si>
    <t>=myData!$DU$11</t>
  </si>
  <si>
    <t>=myData!$DR$11</t>
  </si>
  <si>
    <t>China100dt</t>
  </si>
  <si>
    <t>myData!China100dt</t>
  </si>
  <si>
    <t>ChinaLabel</t>
  </si>
  <si>
    <t>myData!ChinaLabel</t>
  </si>
  <si>
    <t>=myData!$DR$15</t>
  </si>
  <si>
    <t>Days100</t>
  </si>
  <si>
    <t>solvMsgs!Days100</t>
  </si>
  <si>
    <t>Generic100Cases</t>
  </si>
  <si>
    <t>myData!Generic100Cases</t>
  </si>
  <si>
    <t>Generic100Dates</t>
  </si>
  <si>
    <t>myData!Generic100Dates</t>
  </si>
  <si>
    <t>Generic100dt</t>
  </si>
  <si>
    <t>myData!Generic100dt</t>
  </si>
  <si>
    <t>Generic100Logi</t>
  </si>
  <si>
    <t>myData!Generic100Logi</t>
  </si>
  <si>
    <t>Generic100LogiDates</t>
  </si>
  <si>
    <t>myData!Generic100LogiDates</t>
  </si>
  <si>
    <t>GenericLabel</t>
  </si>
  <si>
    <t>myData!GenericLabel</t>
  </si>
  <si>
    <t>GenericSeries</t>
  </si>
  <si>
    <t>myData!GenericSeries</t>
  </si>
  <si>
    <t>=myData!$DR$20</t>
  </si>
  <si>
    <t>GenericStart</t>
  </si>
  <si>
    <t>myData!GenericStart</t>
  </si>
  <si>
    <t>=OFFSET(myData!$A$10,0,MATCH("History Of Fits Table",myData!$10:$10,0)-1,1,1)</t>
  </si>
  <si>
    <t>Italy100Cases</t>
  </si>
  <si>
    <t>myData!Italy100Cases</t>
  </si>
  <si>
    <t>Italy100Dates</t>
  </si>
  <si>
    <t>myData!Italy100Dates</t>
  </si>
  <si>
    <t>Italy100dt</t>
  </si>
  <si>
    <t>myData!Italy100dt</t>
  </si>
  <si>
    <t>Italy100Logi</t>
  </si>
  <si>
    <t>myData!Italy100Logi</t>
  </si>
  <si>
    <t>Italy100LogiDates</t>
  </si>
  <si>
    <t>myData!Italy100LogiDates</t>
  </si>
  <si>
    <t>ItalyLabel</t>
  </si>
  <si>
    <t>myData!ItalyLabel</t>
  </si>
  <si>
    <t>=myData!$DR$13</t>
  </si>
  <si>
    <t>solvMsgs!MinCases</t>
  </si>
  <si>
    <t>NSW100Cases</t>
  </si>
  <si>
    <t>myData!NSW100Cases</t>
  </si>
  <si>
    <t>=myData!NSWCases OFFSET(tblData[NSW Cases per Capita],MATCH(solvMsgs!MinCases,tblData[NSW Cases per Capita],1),0,COUNT(tblData[NSW]),1)</t>
  </si>
  <si>
    <t>NSW100Dates</t>
  </si>
  <si>
    <t>myData!NSW100Dates</t>
  </si>
  <si>
    <t>NSW100dt</t>
  </si>
  <si>
    <t>myData!NSW100dt</t>
  </si>
  <si>
    <t>NSW100Logi</t>
  </si>
  <si>
    <t>myData!NSW100Logi</t>
  </si>
  <si>
    <t>=myData!NSWLogi OFFSET(tblData[Nsw LogiP(t) Per Capita],MATCH(solvMsgs!MinCases,tblData[NSW Cases per Capita],1),0,COUNT(tblData[NSW])-1,1)</t>
  </si>
  <si>
    <t>NSW100LogiDates</t>
  </si>
  <si>
    <t>myData!NSW100LogiDates</t>
  </si>
  <si>
    <t>=tblData[NSW100Days] OFFSET(tblData[[#Headers],[NSW100Days]],MATCH(solvMsgs!MinCases,tblData[NSW Cases per Capita],1)+1,0,COUNT(tblData[Nsw LogiP(t) Per Capita]),1)</t>
  </si>
  <si>
    <t>NSWDayNo</t>
  </si>
  <si>
    <t>myData!NSWDayNo</t>
  </si>
  <si>
    <t>=OFFSET(tblData[[#Headers],[Day '# NSW]],MATCH(0,tblData[NSW],0)+1,0,COUNT(tblData[NSW])-1,1)</t>
  </si>
  <si>
    <t>NSWLabel</t>
  </si>
  <si>
    <t>myData!NSWLabel</t>
  </si>
  <si>
    <t>NSWLogest</t>
  </si>
  <si>
    <t>myData!NSWLogest</t>
  </si>
  <si>
    <t>NSWLogestB</t>
  </si>
  <si>
    <t>myData!NSWLogestB</t>
  </si>
  <si>
    <t>=myData!$AR$2</t>
  </si>
  <si>
    <t>NSWLogestLabel</t>
  </si>
  <si>
    <t>myData!NSWLogestLabel</t>
  </si>
  <si>
    <t>=myData!$AS$6</t>
  </si>
  <si>
    <t>NSWLogestM</t>
  </si>
  <si>
    <t>myData!NSWLogestM</t>
  </si>
  <si>
    <t>=myData!$AQ$2</t>
  </si>
  <si>
    <t>NSWLogestmsq</t>
  </si>
  <si>
    <t>myData!NSWLogestmsq</t>
  </si>
  <si>
    <t>=myData!$AU$8</t>
  </si>
  <si>
    <t>NSWLogestR2</t>
  </si>
  <si>
    <t>myData!NSWLogestR2</t>
  </si>
  <si>
    <t>=myData!$AQ$4</t>
  </si>
  <si>
    <t>=myData!$DU$12</t>
  </si>
  <si>
    <t>=myData!$DR$12</t>
  </si>
  <si>
    <t>=OFFSET(myData!RunTableTL,0,0,COUNTA(myData!$CH:$CH),COLUMN(myData!RunTableTR)-COLUMN(myData!RunTableTL)+1)</t>
  </si>
  <si>
    <t>Singapore100Cases</t>
  </si>
  <si>
    <t>myData!Singapore100Cases</t>
  </si>
  <si>
    <t>=myData!SingaporeCases OFFSET(tblData[Singapore Cases Per Capita],MATCH(solvMsgs!MinCases,tblData[Singapore Cases Per Capita],1),0,COUNT(tblData[Singapore]),1)</t>
  </si>
  <si>
    <t>Singapore100Dates</t>
  </si>
  <si>
    <t>myData!Singapore100Dates</t>
  </si>
  <si>
    <t>Singapore100dt</t>
  </si>
  <si>
    <t>myData!Singapore100dt</t>
  </si>
  <si>
    <t>Singapore100Logi</t>
  </si>
  <si>
    <t>myData!Singapore100Logi</t>
  </si>
  <si>
    <t>=myData!SingaporeLogi OFFSET(tblData[Singapore LogiP(t) Per Capita],MATCH(solvMsgs!MinCases,tblData[Singapore Cases Per Capita],1),0,COUNT(tblData[Singapore])-1,1)</t>
  </si>
  <si>
    <t>Singapore100LogiDates</t>
  </si>
  <si>
    <t>myData!Singapore100LogiDates</t>
  </si>
  <si>
    <t>=tblData[Singapore100Days] OFFSET(tblData[[#Headers],[Singapore100Days]],MATCH(solvMsgs!MinCases,tblData[Singapore Cases Per Capita],1)+1,0,COUNT(tblData[Singapore LogiP(t) Per Capita]),1)</t>
  </si>
  <si>
    <t>SingaporeLabel</t>
  </si>
  <si>
    <t>myData!SingaporeLabel</t>
  </si>
  <si>
    <t>=myData!$DR$18</t>
  </si>
  <si>
    <t>SKorea100Cases</t>
  </si>
  <si>
    <t>myData!SKorea100Cases</t>
  </si>
  <si>
    <t>=myData!SKoreaCases OFFSET(tblData[SKorea Cases Per Capita],MATCH(solvMsgs!MinCases,tblData[SKorea Cases Per Capita],1),0,COUNT(tblData[SKorea]),1)</t>
  </si>
  <si>
    <t>SKorea100Dates</t>
  </si>
  <si>
    <t>myData!SKorea100Dates</t>
  </si>
  <si>
    <t>SKorea100dt</t>
  </si>
  <si>
    <t>myData!SKorea100dt</t>
  </si>
  <si>
    <t>SKorea100Logi</t>
  </si>
  <si>
    <t>myData!SKorea100Logi</t>
  </si>
  <si>
    <t>=myData!SKoreaLogi OFFSET(tblData[Skorea LogiP(t) Per Capita],MATCH(solvMsgs!MinCases,tblData[SKorea Cases Per Capita],1),0,COUNT(tblData[SKorea])-1,1)</t>
  </si>
  <si>
    <t>SKorea100LogiDates</t>
  </si>
  <si>
    <t>myData!SKorea100LogiDates</t>
  </si>
  <si>
    <t>=tblData[SKorea100Days] OFFSET(tblData[[#Headers],[SKorea100Days]],MATCH(solvMsgs!MinCases,tblData[SKorea Cases Per Capita],1)+1,0,COUNT(tblData[Skorea LogiP(t) Per Capita]),1)</t>
  </si>
  <si>
    <t>SKoreaLabel</t>
  </si>
  <si>
    <t>myData!SKoreaLabel</t>
  </si>
  <si>
    <t>=myData!$DR$16</t>
  </si>
  <si>
    <t>=myData!$Z$1:$AC$2</t>
  </si>
  <si>
    <t>TestsLabel</t>
  </si>
  <si>
    <t>myData!TestsLabel</t>
  </si>
  <si>
    <t>=myData!$CC$2</t>
  </si>
  <si>
    <t>=myData!$CD$6</t>
  </si>
  <si>
    <t>=myData!$CB$2</t>
  </si>
  <si>
    <t>=myData!$CP$8</t>
  </si>
  <si>
    <t>=myData!$CN$8</t>
  </si>
  <si>
    <t>UK100Cases</t>
  </si>
  <si>
    <t>myData!UK100Cases</t>
  </si>
  <si>
    <t>=myData!UKCases OFFSET(tblData[UK Cases Per Capita],MATCH(solvMsgs!MinCases,tblData[UK Cases Per Capita],1),0,COUNT(tblData[UK]),1)</t>
  </si>
  <si>
    <t>UK100Dates</t>
  </si>
  <si>
    <t>myData!UK100Dates</t>
  </si>
  <si>
    <t>UK100dt</t>
  </si>
  <si>
    <t>myData!UK100dt</t>
  </si>
  <si>
    <t>UK100Logi</t>
  </si>
  <si>
    <t>myData!UK100Logi</t>
  </si>
  <si>
    <t>=myData!UKLogi OFFSET(tblData[UK LogiP(t) Per Capita],MATCH(solvMsgs!MinCases,tblData[UK Cases Per Capita],1),0,COUNT(tblData[UK]),1)</t>
  </si>
  <si>
    <t>UK100LogiDates</t>
  </si>
  <si>
    <t>myData!UK100LogiDates</t>
  </si>
  <si>
    <t>=tblData[UK100Days] OFFSET(tblData[[#Headers],[UK100Days]],MATCH(solvMsgs!MinCases,tblData[UK Cases Per Capita],1)+1,0,COUNT(tblData[UK LogiP(t) Per Capita]),1)</t>
  </si>
  <si>
    <t>UKLabel</t>
  </si>
  <si>
    <t>myData!UKLabel</t>
  </si>
  <si>
    <t>=myData!$DR$17</t>
  </si>
  <si>
    <t>US100Cases</t>
  </si>
  <si>
    <t>myData!US100Cases</t>
  </si>
  <si>
    <t>=myData!USCases OFFSET(tblData[US Cases Per Capita],MATCH(solvMsgs!MinCases,tblData[US Cases Per Capita],1),0,COUNT(tblData[US]),1)</t>
  </si>
  <si>
    <t>US100Dates</t>
  </si>
  <si>
    <t>myData!US100Dates</t>
  </si>
  <si>
    <t>US100dt</t>
  </si>
  <si>
    <t>myData!US100dt</t>
  </si>
  <si>
    <t>US100Logi</t>
  </si>
  <si>
    <t>myData!US100Logi</t>
  </si>
  <si>
    <t>US100LogiDates</t>
  </si>
  <si>
    <t>myData!US100LogiDates</t>
  </si>
  <si>
    <t>USLabel</t>
  </si>
  <si>
    <t>myData!USLabel</t>
  </si>
  <si>
    <t>=myData!$DR$14</t>
  </si>
  <si>
    <t>=EVALUATE("Delete_UDF("&amp;CELL("address",TrueBlank!A1)&amp;")")</t>
  </si>
  <si>
    <t>Predict Tomorrow</t>
  </si>
  <si>
    <t>At Sat 04-Apr Australia 2181 cases per 10M was 23 days behind Italy, 10 days behind USA, -14days behind China, -3 days behind South Korea, 9 days behind UK</t>
  </si>
  <si>
    <t>At Sun 05-Apr NSW 3193 cases per 10M was 22 days behind Italy, 8 days behind USA &amp; -14 days behind China, -8 days behind South Korea, 6 days behind UK</t>
  </si>
  <si>
    <t>3.63 k</t>
  </si>
  <si>
    <t xml:space="preserve">b=0.238, d=8.11E-05, P0=.001, r2=999.E-3, Limit=3.63 k=&gt;2.94 k cases </t>
  </si>
  <si>
    <t>NSW Limit 3.63 k</t>
  </si>
  <si>
    <t>COVID19 NSW P(t) = b / {d+[( b/Po - d ) ]* exp(-b*t)}
b=0.238, d=8.11E-05, P0=.001, r2=999.E-3, Limit=3.63 k=&gt;2.94 k cases 
 (Fit: Sat 25-Jan - Sun 05-Apr), Cases per 10 M population</t>
  </si>
  <si>
    <t xml:space="preserve">b=0.256, d=2.49E-06, P0=.443, r2=962.9E-3, Limit=17.0 k=&gt;103 k cases </t>
  </si>
  <si>
    <t>COVID19 Italy P(t) = b / {d+[( b/Po - d ) ]* exp(-b*t)}
b=0.256, d=2.49E-06, P0=.443, r2=962.9E-3, Limit=17.0 k=&gt;103 k cases 
 (Fit: Thu 30-Jan - Sat 04-Apr), Cases per 10 M population</t>
  </si>
  <si>
    <t>At Sat 04-Apr Australia 2181 cases per 10M was 23 days behind Italy, 10 days behind USA, -14days behind China, -3 days behind South Korea, 9 days behind UK
At Sun 05-Apr NSW 3193 cases per 10M was 22 days behind Italy, 8 days behind USA &amp; -14 days behind China, -8 days behind South Korea, 6 days behind UK</t>
  </si>
  <si>
    <t xml:space="preserve">b=0.284, d=4.48E-07, P0=.001, r2=949.9E-3, Limit=19.2 k=&gt;633 k cases </t>
  </si>
  <si>
    <t>COVID19 USA P(t) = b / {d+[( b/Po - d ) ]* exp(-b*t)}
b=0.284, d=4.48E-07, P0=.001, r2=949.9E-3, Limit=19.2 k=&gt;633 k cases 
 (Fit: Wed 22-Jan - Sat 04-Apr), Cases per 10 M population</t>
  </si>
  <si>
    <t>COVID19 China P(t) = b / {d+[( b/Po - d ) ]* exp(-b*t)}
b=0.221, d=2.72E-06, P0=1564.332, r2=995.4E-3, Limit=565  =&gt;81.3 k cases 
 (Fit: Wed 22-Jan - Sat 04-Apr), Cases per 10 M population</t>
  </si>
  <si>
    <t>9.23 k</t>
  </si>
  <si>
    <t>1.80 k</t>
  </si>
  <si>
    <t xml:space="preserve">b=0.245, d=2.65E-05, P0=368.874, r2=988.9E-3, Limit=1.80 k=&gt;9.23 k cases , log fit from 19th Feb </t>
  </si>
  <si>
    <t>Skorea Limit 1.80 k</t>
  </si>
  <si>
    <t>COVID19 Skorea P(t) = b / {d+[( b/Po - d ) ]* exp(-b*t)}
b=0.245, d=2.65E-05, P0=368.874, r2=988.9E-3, Limit=1.80 k=&gt;9.23 k cases , log fit from 19th Feb 
 (Fit: Wed 19-Feb - Sat 04-Apr), Cases per 10 M population</t>
  </si>
  <si>
    <t xml:space="preserve">b=0.214, d=2.78E-06, P0=.088, r2=999.5E-3, Limit=11.6 k=&gt;76.8 k cases </t>
  </si>
  <si>
    <t>COVID19 UK P(t) = b / {d+[( b/Po - d ) ]* exp(-b*t)}
b=0.214, d=2.78E-06, P0=.088, r2=999.5E-3, Limit=11.6 k=&gt;76.8 k cases 
 (Fit: Thu 30-Jan - Sat 04-Apr), Cases per 10 M population</t>
  </si>
  <si>
    <t>22.7 k</t>
  </si>
  <si>
    <t>38.7 k</t>
  </si>
  <si>
    <t xml:space="preserve">b=0.08, d=3.51E-06, P0=4.294, r2=989.8E-3, Limit=38.7 k=&gt;22.7 k cases </t>
  </si>
  <si>
    <t>Singapore Limit 38.7 k</t>
  </si>
  <si>
    <t>COVID19 Singapore P(t) = b / {d+[( b/Po - d ) ]* exp(-b*t)}
b=0.08, d=3.51E-06, P0=4.294, r2=989.8E-3, Limit=38.7 k=&gt;22.7 k cases 
 (Fit: Mon 10-Feb - Sat 04-Apr), Cases per 10 M population</t>
  </si>
  <si>
    <t>1.90 k</t>
  </si>
  <si>
    <t xml:space="preserve">b=0.199, d=1.05E-04, P0=.001, r2=987.1E-3, Limit=3.63 k=&gt;1.90 k cases </t>
  </si>
  <si>
    <t>New Zealand Limit 3.63 k</t>
  </si>
  <si>
    <t>COVID19 New Zealand  P(t) = b / {d+[( b/Po - d ) ]* exp(-b*t)}
b=0.199, d=1.05E-04, P0=.001, r2=987.1E-3, Limit=3.63 k=&gt;1.90 k cases 
  (Fit: Thu 27-Feb - Sat 04-Apr), Cases per 10 M population</t>
  </si>
  <si>
    <t>Day</t>
  </si>
  <si>
    <t>Saint Pierre and Miquelon</t>
  </si>
  <si>
    <t>South Sudan</t>
  </si>
  <si>
    <t>Western Sahara</t>
  </si>
  <si>
    <t>At Mon 06-Apr Australia 2286 cases per 10M was 24 days behind Italy, 11 days behind USA, -15days behind China, -4 days behind South Korea, 9 days behind UK</t>
  </si>
  <si>
    <t>6.24 k</t>
  </si>
  <si>
    <t xml:space="preserve">b=0.253, d=4.05E-05, P0=.001, r2=999.6E-3, Limit=2.46 k=&gt;6.24 k cases </t>
  </si>
  <si>
    <t>Australia Limit 2.46 k r^2=99.96%</t>
  </si>
  <si>
    <t>COVID19 Australia P(t) = b / {d+[( b/Po - d ) ]* exp(-b*t)}
b=0.253, d=4.05E-05, P0=.001, r2=999.6E-3, Limit=2.46 k=&gt;6.24 k cases 
 (Fit: Sat 25-Jan - Mon 06-Apr), Cases per 10 M population</t>
  </si>
  <si>
    <t>At Mon 06-Apr NSW 3264 cases per 10M was 23 days behind Italy, 9 days behind USA &amp; -15 days behind China, -9 days behind South Korea, 7 days behind UK</t>
  </si>
  <si>
    <t>2.93 k</t>
  </si>
  <si>
    <t>3.62 k</t>
  </si>
  <si>
    <t xml:space="preserve">b=0.238, d=8.13E-05, P0=.001, r2=999.1E-3, Limit=3.62 k=&gt;2.93 k cases </t>
  </si>
  <si>
    <t>NSW Limit 3.62 k r^2=99.91%</t>
  </si>
  <si>
    <t>COVID19 NSW P(t) = b / {d+[( b/Po - d ) ]* exp(-b*t)}
b=0.238, d=8.13E-05, P0=.001, r2=999.1E-3, Limit=3.62 k=&gt;2.93 k cases 
 (Fit: Sat 25-Jan - Mon 06-Apr), Cases per 10 M population</t>
  </si>
  <si>
    <t>108 k</t>
  </si>
  <si>
    <t>17.9 k</t>
  </si>
  <si>
    <t xml:space="preserve">b=0.256, d=2.36E-06, P0=.443, r2=961.E-3, Limit=17.9 k=&gt;108 k cases </t>
  </si>
  <si>
    <t>Italy Limit 17.9 k r^2=96.10%</t>
  </si>
  <si>
    <t>COVID19 Italy P(t) = b / {d+[( b/Po - d ) ]* exp(-b*t)}
b=0.256, d=2.36E-06, P0=.443, r2=961.E-3, Limit=17.9 k=&gt;108 k cases 
 (Fit: Thu 30-Jan - Sun 05-Apr), Cases per 10 M population</t>
  </si>
  <si>
    <t>USA Limit 19.2 k r^2=94.18%</t>
  </si>
  <si>
    <t>At Mon 06-Apr Australia 2286 cases per 10M was 24 days behind Italy, 11 days behind USA, -15days behind China, -4 days behind South Korea, 9 days behind UK
At Mon 06-Apr NSW 3264 cases per 10M was 23 days behind Italy, 9 days behind USA &amp; -15 days behind China, -9 days behind South Korea, 7 days behind UK</t>
  </si>
  <si>
    <t xml:space="preserve">b=0.284, d=4.48E-07, P0=.001, r2=941.8E-3, Limit=19.2 k=&gt;633 k cases </t>
  </si>
  <si>
    <t>COVID19 USA P(t) = b / {d+[( b/Po - d ) ]* exp(-b*t)}
b=0.284, d=4.48E-07, P0=.001, r2=941.8E-3, Limit=19.2 k=&gt;633 k cases 
 (Fit: Wed 22-Jan - Sun 05-Apr), Cases per 10 M population</t>
  </si>
  <si>
    <t>China Limit 565   r^2=99.54%</t>
  </si>
  <si>
    <t>COVID19 China P(t) = b / {d+[( b/Po - d ) ]* exp(-b*t)}
b=0.221, d=2.72E-06, P0=1564.332, r2=995.4E-3, Limit=565  =&gt;81.3 k cases 
 (Fit: Wed 22-Jan - Sun 05-Apr), Cases per 10 M population</t>
  </si>
  <si>
    <t>9.30 k</t>
  </si>
  <si>
    <t>1.81 k</t>
  </si>
  <si>
    <t xml:space="preserve">b=0.24, d=2.58E-05, P0=388.311, r2=988.E-3, Limit=1.81 k=&gt;9.30 k cases , log fit from 19th Feb </t>
  </si>
  <si>
    <t>Skorea Limit 1.81 k r^2=98.80%</t>
  </si>
  <si>
    <t>COVID19 Skorea P(t) = b / {d+[( b/Po - d ) ]* exp(-b*t)}
b=0.24, d=2.58E-05, P0=388.311, r2=988.E-3, Limit=1.81 k=&gt;9.30 k cases , log fit from 19th Feb 
 (Fit: Wed 19-Feb - Sun 05-Apr), Cases per 10 M population</t>
  </si>
  <si>
    <t>79.1 k</t>
  </si>
  <si>
    <t xml:space="preserve">b=0.214, d=2.70E-06, P0=.088, r2=999.3E-3, Limit=11.9 k=&gt;79.1 k cases </t>
  </si>
  <si>
    <t>UK Limit 11.9 k r^2=99.93%</t>
  </si>
  <si>
    <t>COVID19 UK P(t) = b / {d+[( b/Po - d ) ]* exp(-b*t)}
b=0.214, d=2.70E-06, P0=.088, r2=999.3E-3, Limit=11.9 k=&gt;79.1 k cases 
 (Fit: Thu 30-Jan - Sun 05-Apr), Cases per 10 M population</t>
  </si>
  <si>
    <t>19.5 k</t>
  </si>
  <si>
    <t>33.4 k</t>
  </si>
  <si>
    <t xml:space="preserve">b=0.08, d=4.08E-06, P0=4.294, r2=991.2E-3, Limit=33.4 k=&gt;19.5 k cases </t>
  </si>
  <si>
    <t>Singapore Limit 33.4 k r^2=99.12%</t>
  </si>
  <si>
    <t>COVID19 Singapore P(t) = b / {d+[( b/Po - d ) ]* exp(-b*t)}
b=0.08, d=4.08E-06, P0=4.294, r2=991.2E-3, Limit=33.4 k=&gt;19.5 k cases 
 (Fit: Mon 10-Feb - Sun 05-Apr), Cases per 10 M population</t>
  </si>
  <si>
    <t>130 k</t>
  </si>
  <si>
    <t>160 k</t>
  </si>
  <si>
    <t xml:space="preserve">b=0.176, d=1.36E-06, P0=4294.861, r2=997.5E-3, Limit=160 k=&gt;119 k cases </t>
  </si>
  <si>
    <t>Tests Limit 160 k r^2=99.75%</t>
  </si>
  <si>
    <t>COVID19  NSW TestsP(t) = b / {d+[( b/Po - d ) ]* exp(-b*t)}
b=0.176, d=1.36E-06, P0=4294.861, r2=997.5E-3, Limit=160 k=&gt;119 k cases 
 (Fit: Fri 06-Mar - Sun 05-Apr)</t>
  </si>
  <si>
    <t>1.82 k</t>
  </si>
  <si>
    <t>3.48 k</t>
  </si>
  <si>
    <t xml:space="preserve">b=0.199, d=1.09E-04, P0=.001, r2=989.4E-3, Limit=3.48 k=&gt;1.82 k cases </t>
  </si>
  <si>
    <t>New Zealand Limit 3.48 k r^2=98.94%</t>
  </si>
  <si>
    <t>COVID19 New Zealand  P(t) = b / {d+[( b/Po - d ) ]* exp(-b*t)}
b=0.199, d=1.09E-04, P0=.001, r2=989.4E-3, Limit=3.48 k=&gt;1.82 k cases 
  (Fit: Thu 27-Feb - Sun 05-Apr), Cases per 10 M population</t>
  </si>
  <si>
    <t>NSWTests</t>
  </si>
  <si>
    <t>NSWConfirmedCases</t>
  </si>
  <si>
    <t>Unknown Locally</t>
  </si>
  <si>
    <t>Known Locally</t>
  </si>
  <si>
    <t>As At</t>
  </si>
  <si>
    <t>Sao Tome and Principe</t>
  </si>
  <si>
    <t>At Mon 06-Apr Australia 2287 cases per 10M was 25 days behind Italy, 12 days behind USA, -16days behind China, -5 days behind South Korea, 10 days behind UK</t>
  </si>
  <si>
    <t>Australia from 14-Mar</t>
  </si>
  <si>
    <t>NSW Limit 3.62 k r^2=99.92%</t>
  </si>
  <si>
    <t>At Tue 07-Apr NSW 3324 cases per 10M was 24 days behind Italy, 10 days behind USA &amp; -16 days behind China, -10 days behind South Korea, 8 days behind UK</t>
  </si>
  <si>
    <t>2.92 k</t>
  </si>
  <si>
    <t xml:space="preserve">b=0.238, d=8.15E-05, P0=.001, r2=999.2E-3, Limit=3.62 k=&gt;2.92 k cases </t>
  </si>
  <si>
    <t>COVID19 NSW P(t) = b / {d+[( b/Po - d ) ]* exp(-b*t)}
b=0.238, d=8.15E-05, P0=.001, r2=999.2E-3, Limit=3.62 k=&gt;2.92 k cases 
 (Fit: Sat 25-Jan - Tue 07-Apr), Cases per 10 M population</t>
  </si>
  <si>
    <t>Italy Limit 17.9 k r^2=95.92%</t>
  </si>
  <si>
    <t xml:space="preserve">b=0.256, d=2.36E-06, P0=.443, r2=959.2E-3, Limit=17.9 k=&gt;108 k cases </t>
  </si>
  <si>
    <t>COVID19 Italy P(t) = b / {d+[( b/Po - d ) ]* exp(-b*t)}
b=0.256, d=2.36E-06, P0=.443, r2=959.2E-3, Limit=17.9 k=&gt;108 k cases 
 (Fit: Thu 30-Jan - Mon 06-Apr), Cases per 10 M population</t>
  </si>
  <si>
    <t>USA Limit 19.2 k r^2=93.57%</t>
  </si>
  <si>
    <t>At Mon 06-Apr Australia 2287 cases per 10M was 25 days behind Italy, 12 days behind USA, -16days behind China, -5 days behind South Korea, 10 days behind UK
At Tue 07-Apr NSW 3324 cases per 10M was 24 days behind Italy, 10 days behind USA &amp; -16 days behind China, -10 days behind South Korea, 8 days behind UK</t>
  </si>
  <si>
    <t xml:space="preserve">b=0.284, d=4.48E-07, P0=.001, r2=935.7E-3, Limit=19.2 k=&gt;633 k cases </t>
  </si>
  <si>
    <t>COVID19 USA P(t) = b / {d+[( b/Po - d ) ]* exp(-b*t)}
b=0.284, d=4.48E-07, P0=.001, r2=935.7E-3, Limit=19.2 k=&gt;633 k cases 
 (Fit: Wed 22-Jan - Mon 06-Apr), Cases per 10 M population</t>
  </si>
  <si>
    <t>China from 22-Jan</t>
  </si>
  <si>
    <t>81.4 k</t>
  </si>
  <si>
    <t xml:space="preserve">b=0.221, d=2.71E-06, P0=1564.332, r2=995.4E-3, Limit=565  =&gt;81.4 k cases </t>
  </si>
  <si>
    <t>COVID19 China P(t) = b / {d+[( b/Po - d ) ]* exp(-b*t)}
b=0.221, d=2.71E-06, P0=1564.332, r2=995.4E-3, Limit=565  =&gt;81.4 k cases 
 (Fit: Wed 22-Jan - Mon 06-Apr), Cases per 10 M population</t>
  </si>
  <si>
    <t>9.36 k</t>
  </si>
  <si>
    <t xml:space="preserve">b=0.234, d=2.51E-05, P0=407.833, r2=987.1E-3, Limit=1.82 k=&gt;9.36 k cases , log fit from 19th Feb </t>
  </si>
  <si>
    <t>Skorea Limit 1.82 k r^2=98.71%</t>
  </si>
  <si>
    <t>COVID19 Skorea P(t) = b / {d+[( b/Po - d ) ]* exp(-b*t)}
b=0.234, d=2.51E-05, P0=407.833, r2=987.1E-3, Limit=1.82 k=&gt;9.36 k cases , log fit from 19th Feb 
 (Fit: Wed 19-Feb - Mon 06-Apr), Cases per 10 M population</t>
  </si>
  <si>
    <t>79.8 k</t>
  </si>
  <si>
    <t>12.0 k</t>
  </si>
  <si>
    <t xml:space="preserve">b=0.214, d=2.68E-06, P0=.088, r2=999.3E-3, Limit=12.0 k=&gt;79.8 k cases </t>
  </si>
  <si>
    <t>UK Limit 12.0 k r^2=99.93%</t>
  </si>
  <si>
    <t>COVID19 UK P(t) = b / {d+[( b/Po - d ) ]* exp(-b*t)}
b=0.214, d=2.68E-06, P0=.088, r2=999.3E-3, Limit=12.0 k=&gt;79.8 k cases 
 (Fit: Thu 30-Jan - Mon 06-Apr), Cases per 10 M population</t>
  </si>
  <si>
    <t>17.1 k</t>
  </si>
  <si>
    <t>29.3 k</t>
  </si>
  <si>
    <t xml:space="preserve">b=0.08, d=4.64E-06, P0=4.294, r2=992.1E-3, Limit=29.3 k=&gt;17.1 k cases </t>
  </si>
  <si>
    <t>Singapore Limit 29.3 k r^2=99.21%</t>
  </si>
  <si>
    <t>COVID19 Singapore P(t) = b / {d+[( b/Po - d ) ]* exp(-b*t)}
b=0.08, d=4.64E-06, P0=4.294, r2=992.1E-3, Limit=29.3 k=&gt;17.1 k cases 
 (Fit: Mon 10-Feb - Mon 06-Apr), Cases per 10 M population</t>
  </si>
  <si>
    <t>Tests from 06-Mar</t>
  </si>
  <si>
    <t>131 k</t>
  </si>
  <si>
    <t xml:space="preserve">b=0.176, d=1.35E-06, P0=4294.861, r2=997.1E-3, Limit=162 k=&gt;123 k cases </t>
  </si>
  <si>
    <t>Tests Limit 162 k r^2=99.71%</t>
  </si>
  <si>
    <t>COVID19  NSW TestsP(t) = b / {d+[( b/Po - d ) ]* exp(-b*t)}
b=0.176, d=1.35E-06, P0=4294.861, r2=997.1E-3, Limit=162 k=&gt;123 k cases 
 (Fit: Fri 06-Mar - Mon 06-Apr)</t>
  </si>
  <si>
    <t xml:space="preserve">b=0.199, d=1.13E-04, P0=.001, r2=991.E-3, Limit=3.37 k=&gt;1.76 k cases </t>
  </si>
  <si>
    <t>New Zealand Limit 3.37 k r^2=99.10%</t>
  </si>
  <si>
    <t>COVID19 New Zealand  P(t) = b / {d+[( b/Po - d ) ]* exp(-b*t)}
b=0.199, d=1.13E-04, P0=.001, r2=991.E-3, Limit=3.37 k=&gt;1.76 k cases 
  (Fit: Thu 27-Feb - Mon 06-Apr), Cases per 10 M population</t>
  </si>
  <si>
    <t>=</t>
  </si>
  <si>
    <t>Total Local</t>
  </si>
  <si>
    <t>Falkland Islands (Malvinas)</t>
  </si>
  <si>
    <t xml:space="preserve">b=0.2, d=1.17E-04, P0=.001, r2=992.2E-3, Limit=3.26 k=&gt;1.71 k cases </t>
  </si>
  <si>
    <t>New Zealand Limit 3.26 k r^2=99.22%</t>
  </si>
  <si>
    <t>COVID19 New Zealand  P(t) = b / {d+[( b/Po - d ) ]* exp(-b*t)}
b=0.2, d=1.17E-04, P0=.001, r2=992.2E-3, Limit=3.26 k=&gt;1.71 k cases 
  (Fit: Thu 27-Feb - Tue 07-Apr), Cases per 10 M population</t>
  </si>
  <si>
    <t>Ire</t>
  </si>
  <si>
    <t>Abbrv</t>
  </si>
  <si>
    <t>SG</t>
  </si>
  <si>
    <t>At Thu 09-Apr Australia 2407 cases per 10M was 27 days behind Italy, 14 days behind USA, -18days behind China, -7 days behind South Korea, 12 days behind UK</t>
  </si>
  <si>
    <t xml:space="preserve">b=0.253, d=4.03E-05, P0=.001, r2=999.7E-3, Limit=2.47 k=&gt;6.27 k cases </t>
  </si>
  <si>
    <t>Australia Limit 2.47 k r^2=99.97%</t>
  </si>
  <si>
    <t>COVID19 Australia P(t) = b / {d+[( b/Po - d ) ]* exp(-b*t)}
b=0.253, d=4.03E-05, P0=.001, r2=999.7E-3, Limit=2.47 k=&gt;6.27 k cases 
 (Fit: Sat 25-Jan - Thu 09-Apr), Cases per 10 M population</t>
  </si>
  <si>
    <t>At Thu 09-Apr NSW 3432 cases per 10M was 26 days behind Italy, 12 days behind USA &amp; -18 days behind China, -11 days behind South Korea, 9 days behind UK</t>
  </si>
  <si>
    <t>3.61 k</t>
  </si>
  <si>
    <t xml:space="preserve">b=0.238, d=8.16E-05, P0=.001, r2=999.3E-3, Limit=3.61 k=&gt;2.92 k cases </t>
  </si>
  <si>
    <t>NSW Limit 3.61 k r^2=99.93%</t>
  </si>
  <si>
    <t>COVID19 NSW P(t) = b / {d+[( b/Po - d ) ]* exp(-b*t)}
b=0.238, d=8.16E-05, P0=.001, r2=999.3E-3, Limit=3.61 k=&gt;2.92 k cases 
 (Fit: Sat 25-Jan - Thu 09-Apr), Cases per 10 M population</t>
  </si>
  <si>
    <t>115 k</t>
  </si>
  <si>
    <t>19.0 k</t>
  </si>
  <si>
    <t xml:space="preserve">b=0.255, d=2.22E-06, P0=.443, r2=955.4E-3, Limit=19.0 k=&gt;115 k cases </t>
  </si>
  <si>
    <t>Italy Limit 19.0 k r^2=95.54%</t>
  </si>
  <si>
    <t>COVID19 Italy P(t) = b / {d+[( b/Po - d ) ]* exp(-b*t)}
b=0.255, d=2.22E-06, P0=.443, r2=955.4E-3, Limit=19.0 k=&gt;115 k cases 
 (Fit: Thu 30-Jan - Wed 08-Apr), Cases per 10 M population</t>
  </si>
  <si>
    <t>USA Limit 19.2 k r^2=93.34%</t>
  </si>
  <si>
    <t>At Thu 09-Apr Australia 2407 cases per 10M was 27 days behind Italy, 14 days behind USA, -18days behind China, -7 days behind South Korea, 12 days behind UK
At Thu 09-Apr NSW 3432 cases per 10M was 26 days behind Italy, 12 days behind USA &amp; -18 days behind China, -11 days behind South Korea, 9 days behind UK</t>
  </si>
  <si>
    <t xml:space="preserve">b=0.284, d=4.48E-07, P0=.001, r2=933.4E-3, Limit=19.2 k=&gt;633 k cases </t>
  </si>
  <si>
    <t>COVID19 USA P(t) = b / {d+[( b/Po - d ) ]* exp(-b*t)}
b=0.284, d=4.48E-07, P0=.001, r2=933.4E-3, Limit=19.2 k=&gt;633 k cases 
 (Fit: Wed 22-Jan - Wed 08-Apr), Cases per 10 M population</t>
  </si>
  <si>
    <t>China from 01-Feb</t>
  </si>
  <si>
    <t xml:space="preserve">566  </t>
  </si>
  <si>
    <t xml:space="preserve">b=0.221, d=2.71E-06, P0=1564.332, r2=995.4E-3, Limit=566  =&gt;81.4 k cases </t>
  </si>
  <si>
    <t>China Limit 566   r^2=99.54%</t>
  </si>
  <si>
    <t>COVID19 China P(t) = b / {d+[( b/Po - d ) ]* exp(-b*t)}
b=0.221, d=2.71E-06, P0=1564.332, r2=995.4E-3, Limit=566  =&gt;81.4 k cases 
 (Fit: Wed 22-Jan - Wed 08-Apr), Cases per 10 M population</t>
  </si>
  <si>
    <t>9.47 k</t>
  </si>
  <si>
    <t>1.84 k</t>
  </si>
  <si>
    <t xml:space="preserve">b=0.225, d=2.37E-05, P0=447.215, r2=985.5E-3, Limit=1.84 k=&gt;9.47 k cases , log fit from 19th Feb </t>
  </si>
  <si>
    <t>Skorea Limit 1.84 k r^2=98.55%</t>
  </si>
  <si>
    <t>COVID19 Skorea P(t) = b / {d+[( b/Po - d ) ]* exp(-b*t)}
b=0.225, d=2.37E-05, P0=447.215, r2=985.5E-3, Limit=1.84 k=&gt;9.47 k cases , log fit from 19th Feb 
 (Fit: Wed 19-Feb - Wed 08-Apr), Cases per 10 M population</t>
  </si>
  <si>
    <t>81.9 k</t>
  </si>
  <si>
    <t>12.3 k</t>
  </si>
  <si>
    <t xml:space="preserve">b=0.214, d=2.61E-06, P0=.088, r2=999.2E-3, Limit=12.3 k=&gt;81.9 k cases </t>
  </si>
  <si>
    <t>UK Limit 12.3 k r^2=99.92%</t>
  </si>
  <si>
    <t>COVID19 UK P(t) = b / {d+[( b/Po - d ) ]* exp(-b*t)}
b=0.214, d=2.61E-06, P0=.088, r2=999.2E-3, Limit=12.3 k=&gt;81.9 k cases 
 (Fit: Thu 30-Jan - Wed 08-Apr), Cases per 10 M population</t>
  </si>
  <si>
    <t>15.3 k</t>
  </si>
  <si>
    <t>26.1 k</t>
  </si>
  <si>
    <t xml:space="preserve">b=0.08, d=5.21E-06, P0=4.294, r2=994.E-3, Limit=26.1 k=&gt;15.3 k cases </t>
  </si>
  <si>
    <t>Singapore Limit 26.1 k r^2=99.40%</t>
  </si>
  <si>
    <t>COVID19 Singapore P(t) = b / {d+[( b/Po - d ) ]* exp(-b*t)}
b=0.08, d=5.21E-06, P0=4.294, r2=994.E-3, Limit=26.1 k=&gt;15.3 k cases 
 (Fit: Mon 10-Feb - Wed 08-Apr), Cases per 10 M population</t>
  </si>
  <si>
    <t>133 k</t>
  </si>
  <si>
    <t xml:space="preserve">b=0.176, d=1.33E-06, P0=4294.861, r2=996.1E-3, Limit=164 k=&gt;130 k cases </t>
  </si>
  <si>
    <t>Tests Limit 164 k r^2=99.61%</t>
  </si>
  <si>
    <t>COVID19  NSW TestsP(t) = b / {d+[( b/Po - d ) ]* exp(-b*t)}
b=0.176, d=1.33E-06, P0=4294.861, r2=996.1E-3, Limit=164 k=&gt;130 k cases 
 (Fit: Fri 06-Mar - Wed 08-Apr)</t>
  </si>
  <si>
    <t>1.34 k</t>
  </si>
  <si>
    <t>2.56 k</t>
  </si>
  <si>
    <t>New Zealand Limit 2.56 k r^2=99.74%</t>
  </si>
  <si>
    <t xml:space="preserve">b=0.263, d=1.97E-04, P0=.275, r2=997.4E-3, Limit=2.56 k=&gt;1.34 k cases </t>
  </si>
  <si>
    <t>COVID19 New Zealand  P(t) = b / {d+[( b/Po - d ) ]* exp(-b*t)}
b=0.263, d=1.97E-04, P0=.275, r2=997.4E-3, Limit=2.56 k=&gt;1.34 k cases 
  (Fit: Sun 01-Mar - Wed 08-Apr), Cases per 10 M population</t>
  </si>
  <si>
    <t>NSW Unknown</t>
  </si>
  <si>
    <t>30/03/2020</t>
  </si>
  <si>
    <t>10</t>
  </si>
  <si>
    <t>0.2635</t>
  </si>
  <si>
    <t>1.968E-04</t>
  </si>
  <si>
    <t>274.68E-3</t>
  </si>
  <si>
    <t>Day # NSW Unknown</t>
  </si>
  <si>
    <t>NSW Unknown Sum Sq Err</t>
  </si>
  <si>
    <t>NSW Unknown Mean Devn Sq</t>
  </si>
  <si>
    <t>NSWUnknown</t>
  </si>
  <si>
    <t xml:space="preserve">b=0.264, d=1.97E-04, P0=.275, r2=-42.E+0, Limit=2.56 k=&gt;1.34 k cases </t>
  </si>
  <si>
    <t>NSW Unknown from 14-Mar</t>
  </si>
  <si>
    <t>DefinedNameStr</t>
  </si>
  <si>
    <t>NSW Unknown Logi P(t)</t>
  </si>
  <si>
    <t xml:space="preserve">b=0.217, d=1.78E-04, P0=592.884, r2=0.995, Limit=2.33 k=&gt;1.21 k cases </t>
  </si>
  <si>
    <t>=INDEX(tblNSWKnown[NSW Unknown Logi P(t)],MATCH(VALUE([AtDate])+7,tblNSWKnown[Date],0))</t>
  </si>
  <si>
    <t>Predict Extra Tomorrow</t>
  </si>
  <si>
    <t>=INDEX(tblData[NSW LogiP(t)],MATCH([@[Last Date]]+1,tblData[Date],0))-INDEX(tblData[NSW],MATCH([@[Last Date]],tblData[Date],0))</t>
  </si>
  <si>
    <t>At Tue 22-Sep Australia 2408 cases per 10M was 28 days behind Italy, 15 days behind USA, 172days behind China, 172 days behind South Korea, 13 days behind UK</t>
  </si>
  <si>
    <t>4.33 k</t>
  </si>
  <si>
    <t xml:space="preserve">b=0.263, d=6.08E-05, P0=.001, r2=0.7319, Limit=1.71 k=&gt;4.33 k cases </t>
  </si>
  <si>
    <t>Australia Limit 1.71 k r^2=73.19%</t>
  </si>
  <si>
    <t>COVID19 Australia P(t) = b / {d+[( b/Po - d ) ]* exp(-b*t)}
b=0.263, d=6.08E-05, P0=.001, r2=0.7319, Limit=1.71 k=&gt;4.33 k cases 
 (Fit: Sat 25-Jan - Tue 22-Sep), Cases per 10 M population</t>
  </si>
  <si>
    <t>At Fri 10-Apr NSW 3493 cases per 10M was 27 days behind Italy, 13 days behind USA &amp; 172 days behind China, 172 days behind South Korea, 10 days behind UK</t>
  </si>
  <si>
    <t xml:space="preserve">b=0.238, d=8.15E-05, P0=.001, r2=0.9994, Limit=3.62 k=&gt;2.92 k cases </t>
  </si>
  <si>
    <t>NSW Limit 3.62 k r^2=99.94%</t>
  </si>
  <si>
    <t>COVID19 NSW P(t) = b / {d+[( b/Po - d ) ]* exp(-b*t)}
b=0.238, d=8.15E-05, P0=.001, r2=0.9994, Limit=3.62 k=&gt;2.92 k cases 
 (Fit: Sat 25-Jan - Fri 10-Apr), Cases per 10 M population</t>
  </si>
  <si>
    <t>Italy Limit 19.0 k r^2=95.35%</t>
  </si>
  <si>
    <t xml:space="preserve">b=0.255, d=2.22E-06, P0=.443, r2=0.9535, Limit=19.0 k=&gt;115 k cases </t>
  </si>
  <si>
    <t>COVID19 Italy P(t) = b / {d+[( b/Po - d ) ]* exp(-b*t)}
b=0.255, d=2.22E-06, P0=.443, r2=0.9535, Limit=19.0 k=&gt;115 k cases 
 (Fit: Thu 30-Jan - Thu 09-Apr), Cases per 10 M population</t>
  </si>
  <si>
    <t>USA Limit 19.2 k r^2=93.72%</t>
  </si>
  <si>
    <t>At Tue 22-Sep Australia 2408 cases per 10M was 28 days behind Italy, 15 days behind USA, 172days behind China, 172 days behind South Korea, 13 days behind UK
At Fri 10-Apr NSW 3493 cases per 10M was 27 days behind Italy, 13 days behind USA &amp; 172 days behind China, 172 days behind South Korea, 10 days behind UK</t>
  </si>
  <si>
    <t xml:space="preserve">b=0.284, d=4.48E-07, P0=.001, r2=0.9372, Limit=19.2 k=&gt;633 k cases </t>
  </si>
  <si>
    <t>COVID19 USA P(t) = b / {d+[( b/Po - d ) ]* exp(-b*t)}
b=0.284, d=4.48E-07, P0=.001, r2=0.9372, Limit=19.2 k=&gt;633 k cases 
 (Fit: Wed 22-Jan - Thu 09-Apr), Cases per 10 M population</t>
  </si>
  <si>
    <t xml:space="preserve">b=0.221, d=2.71E-06, P0=1564.332, r2=0.9954, Limit=566  =&gt;81.4 k cases </t>
  </si>
  <si>
    <t>COVID19 China P(t) = b / {d+[( b/Po - d ) ]* exp(-b*t)}
b=0.221, d=2.71E-06, P0=1564.332, r2=0.9954, Limit=566  =&gt;81.4 k cases 
 (Fit: Wed 22-Jan - Thu 09-Apr), Cases per 10 M population</t>
  </si>
  <si>
    <t>9.53 k</t>
  </si>
  <si>
    <t>1.85 k</t>
  </si>
  <si>
    <t xml:space="preserve">b=0.22, d=2.31E-05, P0=466.963, r2=0.9848, Limit=1.85 k=&gt;9.53 k cases , log fit from 19th Feb </t>
  </si>
  <si>
    <t>SKorea Limit 1.85 k r^2=98.48%</t>
  </si>
  <si>
    <t>COVID19 SKorea P(t) = b / {d+[( b/Po - d ) ]* exp(-b*t)}
b=0.22, d=2.31E-05, P0=466.963, r2=0.9848, Limit=1.85 k=&gt;9.53 k cases , log fit from 19th Feb 
 (Fit: Wed 19-Feb - Thu 09-Apr), Cases per 10 M population</t>
  </si>
  <si>
    <t>SKorea from 22-Feb</t>
  </si>
  <si>
    <t>82.9 k</t>
  </si>
  <si>
    <t>12.5 k</t>
  </si>
  <si>
    <t xml:space="preserve">b=0.214, d=2.58E-06, P0=.088, r2=0.999, Limit=12.5 k=&gt;82.9 k cases </t>
  </si>
  <si>
    <t>UK Limit 12.5 k r^2=99.90%</t>
  </si>
  <si>
    <t>COVID19 UK P(t) = b / {d+[( b/Po - d ) ]* exp(-b*t)}
b=0.214, d=2.58E-06, P0=.088, r2=0.999, Limit=12.5 k=&gt;82.9 k cases 
 (Fit: Thu 30-Jan - Thu 09-Apr), Cases per 10 M population</t>
  </si>
  <si>
    <t>32.5 k</t>
  </si>
  <si>
    <t xml:space="preserve">b=0.08, d=4.19E-06, P0=4.294, r2=0.9935, Limit=32.5 k=&gt;19.0 k cases </t>
  </si>
  <si>
    <t>Singapore Limit 32.5 k r^2=99.35%</t>
  </si>
  <si>
    <t>COVID19 Singapore P(t) = b / {d+[( b/Po - d ) ]* exp(-b*t)}
b=0.08, d=4.19E-06, P0=4.294, r2=0.9935, Limit=32.5 k=&gt;19.0 k cases 
 (Fit: Mon 10-Feb - Thu 09-Apr), Cases per 10 M population</t>
  </si>
  <si>
    <t xml:space="preserve">b=0.176, d=1.33E-06, P0=4294.861, r2=0.9961, Limit=164 k=&gt;130 k cases </t>
  </si>
  <si>
    <t>COVID19  NSW TestsP(t) = b / {d+[( b/Po - d ) ]* exp(-b*t)}
b=0.176, d=1.33E-06, P0=4294.861, r2=0.9961, Limit=164 k=&gt;130 k cases 
 (Fit: Fri 06-Mar - Wed 08-Apr)</t>
  </si>
  <si>
    <t>1.35 k</t>
  </si>
  <si>
    <t>2.59 k</t>
  </si>
  <si>
    <t xml:space="preserve">b=0.261, d=1.92E-04, P0=.296, r2=0.9977, Limit=2.59 k=&gt;1.35 k cases </t>
  </si>
  <si>
    <t>New Zealand Limit 2.59 k r^2=99.77%</t>
  </si>
  <si>
    <t>COVID19 New Zealand  P(t) = b / {d+[( b/Po - d ) ]* exp(-b*t)}
b=0.261, d=1.92E-04, P0=.296, r2=0.9977, Limit=2.59 k=&gt;1.35 k cases 
  (Fit: Sun 01-Mar - Thu 09-Apr), Cases per 10 M population</t>
  </si>
  <si>
    <t>1.22 k</t>
  </si>
  <si>
    <t>2.33 k</t>
  </si>
  <si>
    <t xml:space="preserve">b=0.217, d=1.78E-04, P0=.296, r2=0.9946, Limit=2.33 k=&gt;1.21 k cases </t>
  </si>
  <si>
    <t>NSW Unknown Limit 2.33 k r^2=99.46%</t>
  </si>
  <si>
    <t>COVID19 NSW Unknown P(t) = b / {d+[( b/Po - d ) ]* exp(-b*t)}
b=0.217, d=1.78E-04, P0=.296, r2=0.9946, Limit=2.33 k=&gt;1.21 k cases 
 (Fit: Mon 30-Mar - Thu 09-Apr)</t>
  </si>
  <si>
    <t>1.19 k</t>
  </si>
  <si>
    <t>2.27 k</t>
  </si>
  <si>
    <t xml:space="preserve">b=0.237, d=1.99E-04, P0=583.575, r2=0.9951, Limit=2.27 k=&gt;1.18 k cases </t>
  </si>
  <si>
    <t>NSWUnknown Limit 2.27 k r^2=99.51%</t>
  </si>
  <si>
    <t>NSWUnknown from 14-Mar</t>
  </si>
  <si>
    <t>1.20 k</t>
  </si>
  <si>
    <t>2.29 k</t>
  </si>
  <si>
    <t xml:space="preserve">b=0.231, d=1.93E-04, P0=585.594, r2=0.9958, Limit=2.29 k=&gt;1.19 k cases </t>
  </si>
  <si>
    <t>NSWUnknown Limit 2.29 k r^2=99.58%</t>
  </si>
  <si>
    <t>COVID19 NSWUnknown P(t) = b / {d+[( b/Po - d ) ]* exp(-b*t)}
b=0.231, d=1.93E-04, P0=585.594, r2=0.9958, Limit=2.29 k=&gt;1.19 k cases 
 (Fit: Mon 30-Mar - Fri 10-Apr)</t>
  </si>
  <si>
    <t>Taiwan</t>
  </si>
  <si>
    <t>Taiwan from 14-Mar</t>
  </si>
  <si>
    <t xml:space="preserve">439  </t>
  </si>
  <si>
    <t xml:space="preserve">185  </t>
  </si>
  <si>
    <t xml:space="preserve">b=0.145, d=3.30E-04, P0=.048, r2=0.9829, Limit=185  =&gt;439   cases </t>
  </si>
  <si>
    <t>Taiwan Limit 185   r^2=98.29%</t>
  </si>
  <si>
    <t>COVID19 Taiwan  P(t) = b / {d+[( b/Po - d ) ]* exp(-b*t)}
b=0.145, d=3.30E-04, P0=.048, r2=0.9829, Limit=185  =&gt;439   cases 
  (Fit: Wed 22-Jan - Thu 09-Apr), Cases per 10 M population</t>
  </si>
  <si>
    <t>betaNSWUnknown</t>
  </si>
  <si>
    <t>myData!betaNSWUnknown</t>
  </si>
  <si>
    <t>betaPodeltaNSWUnknown</t>
  </si>
  <si>
    <t>myData!betaPodeltaNSWUnknown</t>
  </si>
  <si>
    <t>China100Cases</t>
  </si>
  <si>
    <t>myData!China100Cases</t>
  </si>
  <si>
    <t>=myData!ChinaCases OFFSET(tblData[China Cases Per Capita],MATCH(solvMsgs!MinCases,tblData[China Cases Per Capita],1),0,COUNT(tblData[China])-1,1)</t>
  </si>
  <si>
    <t>China100Dates</t>
  </si>
  <si>
    <t>myData!China100Dates</t>
  </si>
  <si>
    <t>=tblData[China100Days] OFFSET(tblData[China100Days],MATCH(solvMsgs!MinCases,tblData[China Cases Per Capita],1),0,COUNTIF(tblData[China Cases Per Capita],"&gt;="&amp;solvMsgs!MinCases),1)</t>
  </si>
  <si>
    <t>=OFFSET(tblData[[#Headers],[China Cases Per Capita]],1,0,COUNTIF(tblData[China],"&gt;0"),1)</t>
  </si>
  <si>
    <t>deltaNSWUnknown</t>
  </si>
  <si>
    <t>myData!deltaNSWUnknown</t>
  </si>
  <si>
    <t>=myData!GenericCases OFFSET(tblData[Generic Cases Per Capita],MATCH(solvMsgs!MinCases,tblData[Generic Cases Per Capita],1),0,COUNT(tblData[Generic])-1,1)</t>
  </si>
  <si>
    <t>=tblData[Generic100Days] OFFSET(tblData[Generic100Days],MATCH(solvMsgs!MinCases,tblData[Generic Cases Per Capita],1),0,COUNTIF(tblData[Generic Cases Per Capita],"&gt;="&amp;solvMsgs!MinCases),1)</t>
  </si>
  <si>
    <t>=myData!$Y$2</t>
  </si>
  <si>
    <t>=OFFSET(myData!HisTableTL,MATCH("Italy",myData!HisTableCol1,0),13,MATCH("USA",myData!HisTableCol1,0)-MATCH("Italy",myData!HisTableCol1,0),1)</t>
  </si>
  <si>
    <t>=OFFSET(myData!HisTableItalyDates,0,-5)</t>
  </si>
  <si>
    <t>=OFFSET(myData!HisTableTL,MATCH("NSW",myData!HisTableCol1,0),13,MATCH("Italy",myData!HisTableCol1,0)-MATCH("NSW",myData!HisTableCol1,0),1)</t>
  </si>
  <si>
    <t>=OFFSET(myData!HisTableNSWDates,0,-5)</t>
  </si>
  <si>
    <t>msqNSWUnknown</t>
  </si>
  <si>
    <t>myData!msqNSWUnknown</t>
  </si>
  <si>
    <t>NSWBadCompare</t>
  </si>
  <si>
    <t>myData!NSWBadCompare</t>
  </si>
  <si>
    <t>=myData!$P$7</t>
  </si>
  <si>
    <t>NSWKnLcl</t>
  </si>
  <si>
    <t>myData!NSWKnLcl</t>
  </si>
  <si>
    <t>=OFFSET(tblNSWKnown[[#Headers],[Known Locally]],MATCH(myData!StartDt2NSWUnknown,tblNSWKnown[Date],0)+1,0,COUNTIF(tblNSWKnown[Total Local],"&gt;0"),1)</t>
  </si>
  <si>
    <t>NSWKnLclBl</t>
  </si>
  <si>
    <t>myData!NSWKnLclBl</t>
  </si>
  <si>
    <t>=ROWS(tblNSWKnown[Known Locally])-COUNT(tblNSWKnown[Known Locally])</t>
  </si>
  <si>
    <t>NSWKnLclDt</t>
  </si>
  <si>
    <t>myData!NSWKnLclDt</t>
  </si>
  <si>
    <t>=OFFSET(tblNSWKnown[[#Headers],[Date]],MATCH(myData!StartDt2NSWUnknown,tblNSWKnown[Date],0)+1,0,COUNTIF(tblNSWKnown[Total Local],"&gt;0"),1)</t>
  </si>
  <si>
    <t>NSWTtlLcl</t>
  </si>
  <si>
    <t>myData!NSWTtlLcl</t>
  </si>
  <si>
    <t>=OFFSET(tblNSWKnown[[#Headers],[Total Local]],MATCH(myData!StartDt2NSWUnknown,tblNSWKnown[Date],0)+1,0,COUNTIF(tblNSWKnown[Total Local],"&gt;0"),1)</t>
  </si>
  <si>
    <t>NSWTtlLclDt</t>
  </si>
  <si>
    <t>myData!NSWTtlLclDt</t>
  </si>
  <si>
    <t>=myData!NSWKnLclDt</t>
  </si>
  <si>
    <t>NSWTtlLclLogi</t>
  </si>
  <si>
    <t>myData!NSWTtlLclLogi</t>
  </si>
  <si>
    <t>=OFFSET(tblNSWKnown[[#Headers],[NSW Unknown Logi P(t)]],MATCH(myData!StartDt2NSWUnknown,tblNSWKnown[Date],0)+1,0,COUNTIF(tblNSWKnown[NSW Unknown Logi P(t)],"&gt;0"),1)</t>
  </si>
  <si>
    <t>NSWTtlLclLogiDt</t>
  </si>
  <si>
    <t>myData!NSWTtlLclLogiDt</t>
  </si>
  <si>
    <t>=OFFSET(tblNSWKnown[[#Headers],[Date]],MATCH(myData!StartDt2NSWUnknown,tblNSWKnown[Date],0)+1,0,COUNTIF(tblNSWKnown[NSW Unknown Logi P(t)],"&gt;0"),1)</t>
  </si>
  <si>
    <t>NSWUnKnLcl</t>
  </si>
  <si>
    <t>myData!NSWUnKnLcl</t>
  </si>
  <si>
    <t>=OFFSET(tblNSWKnown[[#Headers],[Unknown Locally]],MATCH(myData!StartDt2NSWUnknown,tblNSWKnown[Date],0)+1,0,COUNTIF(tblNSWKnown[Total Local],"&gt;0"),1)</t>
  </si>
  <si>
    <t>NSWUnKnLclDt</t>
  </si>
  <si>
    <t>myData!NSWUnKnLclDt</t>
  </si>
  <si>
    <t>NSWUnknownSeries</t>
  </si>
  <si>
    <t>myData!NSWUnknownSeries</t>
  </si>
  <si>
    <t>=myData!$DR$21</t>
  </si>
  <si>
    <t>=myData!$M$7</t>
  </si>
  <si>
    <t>PoNSWUnknown</t>
  </si>
  <si>
    <t>myData!PoNSWUnknown</t>
  </si>
  <si>
    <t>StartDt2NSWUnknown</t>
  </si>
  <si>
    <t>myData!StartDt2NSWUnknown</t>
  </si>
  <si>
    <t>USBadCompare</t>
  </si>
  <si>
    <t>myData!USBadCompare</t>
  </si>
  <si>
    <t>=myData!$S$7</t>
  </si>
  <si>
    <t>Yemen</t>
  </si>
  <si>
    <t>Taiwan Cases per Capita</t>
  </si>
  <si>
    <t>Days# Taiwan</t>
  </si>
  <si>
    <t>Taiwan LogiP(t)</t>
  </si>
  <si>
    <t>Taiwan Sq Err</t>
  </si>
  <si>
    <t>Taiwan LogiP(t) Per Capita</t>
  </si>
  <si>
    <t>Taiwan Mean Devn Sq</t>
  </si>
  <si>
    <t>Taiwan100Days</t>
  </si>
  <si>
    <t>Rows of countries to be included in the JH data update must be above the "Tests" row.</t>
  </si>
  <si>
    <t>At Sat 29-Aug Australia 2485 cases per 10M was 30 days behind Italy, 17 days behind USA, 146days behind China, 146 days behind South Korea, 15 days behind UK</t>
  </si>
  <si>
    <t>4.60 k</t>
  </si>
  <si>
    <t xml:space="preserve">b=0.262, d=5.68E-05, P0=.001, r2=0.7528, Limit=1.81 k=&gt;4.60 k cases </t>
  </si>
  <si>
    <t>Australia Limit 1.81 k r^2=75.28%</t>
  </si>
  <si>
    <t>COVID19 Australia P(t) = b / {d+[( b/Po - d ) ]* exp(-b*t)}
b=0.262, d=5.68E-05, P0=.001, r2=0.7528, Limit=1.81 k=&gt;4.60 k cases 
 (Fit: Sat 25-Jan - Sat 29-Aug), Cases per 10 M population</t>
  </si>
  <si>
    <t>NSW Limit 3.62 k r^2=99.95%</t>
  </si>
  <si>
    <t>At Sun 12-Apr NSW 3536 cases per 10M was 28 days behind Italy, 15 days behind USA &amp; -21 days behind China, -14 days behind South Korea, 12 days behind UK</t>
  </si>
  <si>
    <t xml:space="preserve">b=0.238, d=8.14E-05, P0=.001, r2=0.9995, Limit=3.62 k=&gt;2.93 k cases </t>
  </si>
  <si>
    <t>COVID19 NSW P(t) = b / {d+[( b/Po - d ) ]* exp(-b*t)}
b=0.238, d=8.14E-05, P0=.001, r2=0.9995, Limit=3.62 k=&gt;2.93 k cases 
 (Fit: Sat 25-Jan - Sun 12-Apr), Cases per 10 M population</t>
  </si>
  <si>
    <t>122 k</t>
  </si>
  <si>
    <t>20.2 k</t>
  </si>
  <si>
    <t xml:space="preserve">b=0.255, d=2.09E-06, P0=.443, r2=0.9488, Limit=20.2 k=&gt;122 k cases </t>
  </si>
  <si>
    <t>Italy Limit 20.2 k r^2=94.88%</t>
  </si>
  <si>
    <t>COVID19 Italy P(t) = b / {d+[( b/Po - d ) ]* exp(-b*t)}
b=0.255, d=2.09E-06, P0=.443, r2=0.9488, Limit=20.2 k=&gt;122 k cases 
 (Fit: Thu 30-Jan - Sat 11-Apr), Cases per 10 M population</t>
  </si>
  <si>
    <t>USA Limit 19.2 k r^2=94.98%</t>
  </si>
  <si>
    <t>At Sat 29-Aug Australia 2485 cases per 10M was 30 days behind Italy, 17 days behind USA, 146days behind China, 146 days behind South Korea, 15 days behind UK
At Sun 12-Apr NSW 3536 cases per 10M was 28 days behind Italy, 15 days behind USA &amp; -21 days behind China, -14 days behind South Korea, 12 days behind UK</t>
  </si>
  <si>
    <t xml:space="preserve">b=0.284, d=4.48E-07, P0=.001, r2=0.9498, Limit=19.2 k=&gt;633 k cases </t>
  </si>
  <si>
    <t>COVID19 USA P(t) = b / {d+[( b/Po - d ) ]* exp(-b*t)}
b=0.284, d=4.48E-07, P0=.001, r2=0.9498, Limit=19.2 k=&gt;633 k cases 
 (Fit: Wed 22-Jan - Sat 11-Apr), Cases per 10 M population</t>
  </si>
  <si>
    <t>81.5 k</t>
  </si>
  <si>
    <t xml:space="preserve">b=0.221, d=2.71E-06, P0=1564.332, r2=0.9954, Limit=566  =&gt;81.5 k cases </t>
  </si>
  <si>
    <t>COVID19 China P(t) = b / {d+[( b/Po - d ) ]* exp(-b*t)}
b=0.221, d=2.71E-06, P0=1564.332, r2=0.9954, Limit=566  =&gt;81.5 k cases 
 (Fit: Wed 22-Jan - Sat 11-Apr), Cases per 10 M population</t>
  </si>
  <si>
    <t>9.63 k</t>
  </si>
  <si>
    <t>1.87 k</t>
  </si>
  <si>
    <t xml:space="preserve">b=0.212, d=2.20E-05, P0=505.223, r2=0.9836, Limit=1.87 k=&gt;9.63 k cases , log fit from 19th Feb </t>
  </si>
  <si>
    <t>SKorea Limit 1.87 k r^2=98.36%</t>
  </si>
  <si>
    <t>COVID19 SKorea P(t) = b / {d+[( b/Po - d ) ]* exp(-b*t)}
b=0.212, d=2.20E-05, P0=505.223, r2=0.9836, Limit=1.87 k=&gt;9.63 k cases , log fit from 19th Feb 
 (Fit: Wed 19-Feb - Sat 11-Apr), Cases per 10 M population</t>
  </si>
  <si>
    <t>88.8 k</t>
  </si>
  <si>
    <t>13.4 k</t>
  </si>
  <si>
    <t xml:space="preserve">b=0.214, d=2.41E-06, P0=.088, r2=0.9956, Limit=13.4 k=&gt;88.8 k cases </t>
  </si>
  <si>
    <t>UK Limit 13.4 k r^2=99.56%</t>
  </si>
  <si>
    <t>COVID19 UK P(t) = b / {d+[( b/Po - d ) ]* exp(-b*t)}
b=0.214, d=2.41E-06, P0=.088, r2=0.9956, Limit=13.4 k=&gt;88.8 k cases 
 (Fit: Thu 30-Jan - Sat 11-Apr), Cases per 10 M population</t>
  </si>
  <si>
    <t>78.3 G</t>
  </si>
  <si>
    <t>134 G</t>
  </si>
  <si>
    <t xml:space="preserve">b=0.078, d=1.00E-12, P0=4.478, r2=0.9936, Limit=134 G=&gt;648 M cases </t>
  </si>
  <si>
    <t>Singapore Limit 134 G r^2=99.36%</t>
  </si>
  <si>
    <t>COVID19 Singapore P(t) = b / {d+[( b/Po - d ) ]* exp(-b*t)}
b=0.078, d=1.00E-12, P0=4.478, r2=0.9936, Limit=134 G=&gt;648 M cases 
 (Fit: Mon 10-Feb - Sat 11-Apr), Cases per 10 M population</t>
  </si>
  <si>
    <t xml:space="preserve">b=0.176, d=1.29E-06, P0=4294.861, r2=0.9932, Limit=169 k=&gt;139 k cases </t>
  </si>
  <si>
    <t>Tests Limit 169 k r^2=99.32%</t>
  </si>
  <si>
    <t>COVID19  NSW TestsP(t) = b / {d+[( b/Po - d ) ]* exp(-b*t)}
b=0.176, d=1.29E-06, P0=4294.861, r2=0.9932, Limit=169 k=&gt;139 k cases 
 (Fit: Fri 06-Mar - Sat 11-Apr)</t>
  </si>
  <si>
    <t xml:space="preserve">425  </t>
  </si>
  <si>
    <t xml:space="preserve">179  </t>
  </si>
  <si>
    <t xml:space="preserve">b=0.151, d=3.56E-04, P0=.034, r2=0.9846, Limit=179  =&gt;425   cases </t>
  </si>
  <si>
    <t>Taiwan Limit 179   r^2=98.46%</t>
  </si>
  <si>
    <t>COVID19 Taiwan  P(t) = b / {d+[( b/Po - d ) ]* exp(-b*t)}
b=0.151, d=3.56E-04, P0=.034, r2=0.9846, Limit=179  =&gt;425   cases 
  (Fit: Wed 22-Jan - Sat 11-Apr), Cases per 10 M population</t>
  </si>
  <si>
    <t>1.11 k</t>
  </si>
  <si>
    <t xml:space="preserve">468  </t>
  </si>
  <si>
    <t xml:space="preserve">b=0.294, d=2.64E-04, P0=561.961, r2=0.9813, Limit=468  =&gt;1.11 k cases </t>
  </si>
  <si>
    <t>NSWUnknown Limit 468   r^2=98.13%</t>
  </si>
  <si>
    <t>COVID19 NSWUnknown P(t) = b / {d+[( b/Po - d ) ]* exp(-b*t)}
b=0.294, d=2.64E-04, P0=561.961, r2=0.9813, Limit=468  =&gt;1.11 k cases 
 (Fit: Mon 30-Mar - Sun 12-Apr)</t>
  </si>
  <si>
    <t>4.52 k</t>
  </si>
  <si>
    <t xml:space="preserve">b=0.418, d=9.27E-05, P0=561.961, r2=0.7649, Limit=1.78 k=&gt;4.52 k cases </t>
  </si>
  <si>
    <t>Australia Limit 1.78 k r^2=76.49%</t>
  </si>
  <si>
    <t>COVID19 Australia P(t) = b / {d+[( b/Po - d ) ]* exp(-b*t)}
b=0.418, d=9.27E-05, P0=561.961, r2=0.7649, Limit=1.78 k=&gt;4.52 k cases 
 (Fit: Sat 25-Jan - Sat 29-Aug), Cases per 10 M population</t>
  </si>
  <si>
    <t>2.89 k</t>
  </si>
  <si>
    <t>3.58 k</t>
  </si>
  <si>
    <t xml:space="preserve">b=0.248, d=8.58E-05, P0=561.961, r2=0.9995, Limit=3.58 k=&gt;2.89 k cases </t>
  </si>
  <si>
    <t>NSW Limit 3.58 k r^2=99.95%</t>
  </si>
  <si>
    <t>COVID19 NSW P(t) = b / {d+[( b/Po - d ) ]* exp(-b*t)}
b=0.248, d=8.58E-05, P0=561.961, r2=0.9995, Limit=3.58 k=&gt;2.89 k cases 
 (Fit: Sat 25-Jan - Sun 12-Apr), Cases per 10 M population</t>
  </si>
  <si>
    <t xml:space="preserve">b=0.255, d=2.09E-06, P0=561.961, r2=0.9488, Limit=20.2 k=&gt;122 k cases </t>
  </si>
  <si>
    <t>COVID19 Italy P(t) = b / {d+[( b/Po - d ) ]* exp(-b*t)}
b=0.255, d=2.09E-06, P0=561.961, r2=0.9488, Limit=20.2 k=&gt;122 k cases 
 (Fit: Thu 30-Jan - Sat 11-Apr), Cases per 10 M population</t>
  </si>
  <si>
    <t xml:space="preserve">b=0.284, d=4.48E-07, P0=561.961, r2=0.9498, Limit=19.2 k=&gt;633 k cases </t>
  </si>
  <si>
    <t>COVID19 USA P(t) = b / {d+[( b/Po - d ) ]* exp(-b*t)}
b=0.284, d=4.48E-07, P0=561.961, r2=0.9498, Limit=19.2 k=&gt;633 k cases 
 (Fit: Wed 22-Jan - Sat 11-Apr), Cases per 10 M population</t>
  </si>
  <si>
    <t xml:space="preserve">b=0.221, d=2.71E-06, P0=561.961, r2=0.9954, Limit=566  =&gt;81.5 k cases </t>
  </si>
  <si>
    <t>COVID19 China P(t) = b / {d+[( b/Po - d ) ]* exp(-b*t)}
b=0.221, d=2.71E-06, P0=561.961, r2=0.9954, Limit=566  =&gt;81.5 k cases 
 (Fit: Wed 22-Jan - Sat 11-Apr), Cases per 10 M population</t>
  </si>
  <si>
    <t xml:space="preserve">b=0.212, d=2.20E-05, P0=561.961, r2=0.9836, Limit=1.87 k=&gt;9.63 k cases , log fit from 19th Feb </t>
  </si>
  <si>
    <t>COVID19 SKorea P(t) = b / {d+[( b/Po - d ) ]* exp(-b*t)}
b=0.212, d=2.20E-05, P0=561.961, r2=0.9836, Limit=1.87 k=&gt;9.63 k cases , log fit from 19th Feb 
 (Fit: Wed 19-Feb - Sat 11-Apr), Cases per 10 M population</t>
  </si>
  <si>
    <t xml:space="preserve">b=0.214, d=2.41E-06, P0=561.961, r2=0.9956, Limit=13.4 k=&gt;88.8 k cases </t>
  </si>
  <si>
    <t>COVID19 UK P(t) = b / {d+[( b/Po - d ) ]* exp(-b*t)}
b=0.214, d=2.41E-06, P0=561.961, r2=0.9956, Limit=13.4 k=&gt;88.8 k cases 
 (Fit: Thu 30-Jan - Sat 11-Apr), Cases per 10 M population</t>
  </si>
  <si>
    <t>-11.7 k</t>
  </si>
  <si>
    <t>-19.9 k</t>
  </si>
  <si>
    <t xml:space="preserve">b=0.075, d=-6.40E-06, P0=561.961, r2=0.994, Limit=-19.9 k=&gt;38.8 k cases </t>
  </si>
  <si>
    <t>Singapore Limit -19.9 k r^2=99.40%</t>
  </si>
  <si>
    <t>COVID19 Singapore P(t) = b / {d+[( b/Po - d ) ]* exp(-b*t)}
b=0.075, d=-6.40E-06, P0=561.961, r2=0.994, Limit=-19.9 k=&gt;38.8 k cases 
 (Fit: Mon 10-Feb - Sat 11-Apr), Cases per 10 M population</t>
  </si>
  <si>
    <t xml:space="preserve">b=0.176, d=1.29E-06, P0=561.961, r2=0.9932, Limit=169 k=&gt;139 k cases </t>
  </si>
  <si>
    <t>COVID19  NSW TestsP(t) = b / {d+[( b/Po - d ) ]* exp(-b*t)}
b=0.176, d=1.29E-06, P0=561.961, r2=0.9932, Limit=169 k=&gt;139 k cases 
 (Fit: Fri 06-Mar - Sat 11-Apr)</t>
  </si>
  <si>
    <t xml:space="preserve">b=0.151, d=3.56E-04, P0=561.961, r2=0.9846, Limit=179  =&gt;425   cases </t>
  </si>
  <si>
    <t>COVID19 Taiwan  P(t) = b / {d+[( b/Po - d ) ]* exp(-b*t)}
b=0.151, d=3.56E-04, P0=561.961, r2=0.9846, Limit=179  =&gt;425   cases 
  (Fit: Wed 22-Jan - Sat 11-Apr), Cases per 10 M population</t>
  </si>
  <si>
    <t xml:space="preserve">b=0.294, d=2.64E-04, P0=561.973, r2=0.9813, Limit=468  =&gt;1.11 k cases </t>
  </si>
  <si>
    <t>COVID19 NSWUnknown P(t) = b / {d+[( b/Po - d ) ]* exp(-b*t)}
b=0.294, d=2.64E-04, P0=561.973, r2=0.9813, Limit=468  =&gt;1.11 k cases 
 (Fit: Mon 30-Mar - Sun 12-Apr)</t>
  </si>
  <si>
    <t xml:space="preserve">504  </t>
  </si>
  <si>
    <t xml:space="preserve">861  </t>
  </si>
  <si>
    <t xml:space="preserve">b=0.069, d=1.38E-04, P0=483.163, r2=0.0314, Limit=861  =&gt;504   cases </t>
  </si>
  <si>
    <t>Singapore Limit 861   r^2=3.14%</t>
  </si>
  <si>
    <t>COVID19 Singapore P(t) = b / {d+[( b/Po - d ) ]* exp(-b*t)}
b=0.069, d=1.38E-04, P0=483.163, r2=0.0314, Limit=861  =&gt;504   cases 
 (Fit: Mon 10-Feb - Sat 11-Apr), Cases per 10 M population</t>
  </si>
  <si>
    <t>78.4 G</t>
  </si>
  <si>
    <t xml:space="preserve">b=0.078, d=1.00E-12, P0=4.458, r2=0.9936, Limit=134 G=&gt;655 M cases </t>
  </si>
  <si>
    <t>COVID19 Singapore P(t) = b / {d+[( b/Po - d ) ]* exp(-b*t)}
b=0.078, d=1.00E-12, P0=4.458, r2=0.9936, Limit=134 G=&gt;655 M cases 
 (Fit: Mon 10-Feb - Sat 11-Apr), Cases per 10 M population</t>
  </si>
  <si>
    <t xml:space="preserve">70.3  </t>
  </si>
  <si>
    <t xml:space="preserve">b=0.151, d=3.56E-04, P0=.034, r2=0.9995, Limit=70.3  =&gt;425   cases </t>
  </si>
  <si>
    <t>Taiwan Limit 70.3   r^2=99.95%</t>
  </si>
  <si>
    <t>COVID19 Taiwan P(t) = b / {d+[( b/Po - d ) ]* exp(-b*t)}
b=0.151, d=3.56E-04, P0=.034, r2=0.9995, Limit=70.3  =&gt;425   cases 
 (Fit: Wed 22-Jan - Sat 11-Apr), Cases per 10 M population</t>
  </si>
  <si>
    <t>South Korea</t>
  </si>
  <si>
    <t>NZ Cases per Capita</t>
  </si>
  <si>
    <t>Days# NZ</t>
  </si>
  <si>
    <t>NZ LogiP(t)</t>
  </si>
  <si>
    <t>NZ Sq Err</t>
  </si>
  <si>
    <t>NZ LogiP(t) Per Capita</t>
  </si>
  <si>
    <t>NZ Mean Devn Sq</t>
  </si>
  <si>
    <t>NZ100Days</t>
  </si>
  <si>
    <t>At Sat 29-Aug Australia 2494 cases per 10M was 31 days behind Italy, 18 days behind USA, 145days behind China, 145 days behind South Korea, 16 days behind UK</t>
  </si>
  <si>
    <t>4.72 k</t>
  </si>
  <si>
    <t>1.86 k</t>
  </si>
  <si>
    <t xml:space="preserve">b=0.261, d=5.53E-05, P0=.001, r2=0.7621, Limit=1.86 k=&gt;4.72 k cases </t>
  </si>
  <si>
    <t>Australia Limit 1.86 k r^2=76.21%</t>
  </si>
  <si>
    <t>COVID19 Australia P(t) = b / {d+[( b/Po - d ) ]* exp(-b*t)}
b=0.261, d=5.53E-05, P0=.001, r2=0.7621, Limit=1.86 k=&gt;4.72 k cases 
 (Fit: Sat 25-Jan - Sat 29-Aug), Cases per 10 M population</t>
  </si>
  <si>
    <t>At Mon 13-Apr NSW 3543 cases per 10M was 29 days behind Italy, 16 days behind USA &amp; -22 days behind China, -15 days behind South Korea, 13 days behind UK</t>
  </si>
  <si>
    <t xml:space="preserve">b=0.238, d=8.14E-05, P0=.001, r2=0.9995, Limit=3.62 k=&gt;2.92 k cases </t>
  </si>
  <si>
    <t>COVID19 NSW P(t) = b / {d+[( b/Po - d ) ]* exp(-b*t)}
b=0.238, d=8.14E-05, P0=.001, r2=0.9995, Limit=3.62 k=&gt;2.92 k cases 
 (Fit: Sat 25-Jan - Mon 13-Apr), Cases per 10 M population</t>
  </si>
  <si>
    <t>Italy Limit 20.2 k r^2=94.63%</t>
  </si>
  <si>
    <t xml:space="preserve">b=0.255, d=2.09E-06, P0=.443, r2=0.9463, Limit=20.2 k=&gt;122 k cases </t>
  </si>
  <si>
    <t>COVID19 Italy P(t) = b / {d+[( b/Po - d ) ]* exp(-b*t)}
b=0.255, d=2.09E-06, P0=.443, r2=0.9463, Limit=20.2 k=&gt;122 k cases 
 (Fit: Thu 30-Jan - Sun 12-Apr), Cases per 10 M population</t>
  </si>
  <si>
    <t>USA Limit 19.2 k r^2=95.62%</t>
  </si>
  <si>
    <t>At Sat 29-Aug Australia 2494 cases per 10M was 31 days behind Italy, 18 days behind USA, 145days behind China, 145 days behind South Korea, 16 days behind UK
At Mon 13-Apr NSW 3543 cases per 10M was 29 days behind Italy, 16 days behind USA &amp; -22 days behind China, -15 days behind South Korea, 13 days behind UK</t>
  </si>
  <si>
    <t xml:space="preserve">b=0.284, d=4.48E-07, P0=.001, r2=0.9562, Limit=19.2 k=&gt;633 k cases </t>
  </si>
  <si>
    <t>COVID19 USA P(t) = b / {d+[( b/Po - d ) ]* exp(-b*t)}
b=0.284, d=4.48E-07, P0=.001, r2=0.9562, Limit=19.2 k=&gt;633 k cases 
 (Fit: Wed 22-Jan - Sun 12-Apr), Cases per 10 M population</t>
  </si>
  <si>
    <t>COVID19 China P(t) = b / {d+[( b/Po - d ) ]* exp(-b*t)}
b=0.221, d=2.71E-06, P0=1564.332, r2=0.9954, Limit=566  =&gt;81.5 k cases 
 (Fit: Wed 22-Jan - Sun 12-Apr), Cases per 10 M population</t>
  </si>
  <si>
    <t>South Korea from 22-Feb</t>
  </si>
  <si>
    <t>9.68 k</t>
  </si>
  <si>
    <t>1.88 k</t>
  </si>
  <si>
    <t xml:space="preserve">b=0.209, d=2.15E-05, P0=524.082, r2=0.9831, Limit=1.88 k=&gt;9.68 k cases , log fit from 19th Feb </t>
  </si>
  <si>
    <t>South Korea Limit 1.88 k r^2=98.31%</t>
  </si>
  <si>
    <t>COVID19 South Korea P(t) = b / {d+[( b/Po - d ) ]* exp(-b*t)}
b=0.209, d=2.15E-05, P0=524.082, r2=0.9831, Limit=1.88 k=&gt;9.68 k cases , log fit from 19th Feb 
 (Fit: Wed 19-Feb - Sun 12-Apr), Cases per 10 M population</t>
  </si>
  <si>
    <t>United Kingdom from 12-Mar</t>
  </si>
  <si>
    <t>91.8 k</t>
  </si>
  <si>
    <t>13.8 k</t>
  </si>
  <si>
    <t xml:space="preserve">b=0.214, d=2.33E-06, P0=.088, r2=0.9943, Limit=13.8 k=&gt;91.8 k cases </t>
  </si>
  <si>
    <t>United Kingdom Limit 13.8 k r^2=99.43%</t>
  </si>
  <si>
    <t>COVID19 United Kingdom P(t) = b / {d+[( b/Po - d ) ]* exp(-b*t)}
b=0.214, d=2.33E-06, P0=.088, r2=0.9943, Limit=13.8 k=&gt;91.8 k cases 
 (Fit: Thu 30-Jan - Sun 12-Apr), Cases per 10 M population</t>
  </si>
  <si>
    <t>80.0 G</t>
  </si>
  <si>
    <t>137 G</t>
  </si>
  <si>
    <t xml:space="preserve">b=0.08, d=1.00E-12, P0=4.004, r2=0.9939, Limit=137 G=&gt;860 M cases </t>
  </si>
  <si>
    <t>Singapore Limit 137 G r^2=99.39%</t>
  </si>
  <si>
    <t>COVID19 Singapore P(t) = b / {d+[( b/Po - d ) ]* exp(-b*t)}
b=0.08, d=1.00E-12, P0=4.004, r2=0.9939, Limit=137 G=&gt;860 M cases 
 (Fit: Mon 10-Feb - Sun 12-Apr), Cases per 10 M population</t>
  </si>
  <si>
    <t>170 k</t>
  </si>
  <si>
    <t xml:space="preserve">b=0.176, d=1.28E-06, P0=4294.861, r2=0.9925, Limit=170 k=&gt;142 k cases </t>
  </si>
  <si>
    <t>Tests Limit 170 k r^2=99.25%</t>
  </si>
  <si>
    <t>COVID19  NSW TestsP(t) = b / {d+[( b/Po - d ) ]* exp(-b*t)}
b=0.176, d=1.28E-06, P0=4294.861, r2=0.9925, Limit=170 k=&gt;142 k cases 
 (Fit: Fri 06-Mar - Sun 12-Apr)</t>
  </si>
  <si>
    <t xml:space="preserve">464  </t>
  </si>
  <si>
    <t xml:space="preserve">b=0.305, d=2.76E-04, P0=557.816, r2=0.9809, Limit=464  =&gt;1.11 k cases </t>
  </si>
  <si>
    <t>NSWUnknown Limit 464   r^2=98.09%</t>
  </si>
  <si>
    <t>COVID19 NSWUnknown P(t) = b / {d+[( b/Po - d ) ]* exp(-b*t)}
b=0.305, d=2.76E-04, P0=557.816, r2=0.9809, Limit=464  =&gt;1.11 k cases 
 (Fit: Mon 30-Mar - Mon 13-Apr)</t>
  </si>
  <si>
    <t xml:space="preserve">421  </t>
  </si>
  <si>
    <t xml:space="preserve">69.6  </t>
  </si>
  <si>
    <t xml:space="preserve">b=0.154, d=3.65E-04, P0=.03, r2=0.9853, Limit=69.6  =&gt;421   cases </t>
  </si>
  <si>
    <t>Taiwan Limit 69.6   r^2=98.53%</t>
  </si>
  <si>
    <t>COVID19 Taiwan P(t) = b / {d+[( b/Po - d ) ]* exp(-b*t)}
b=0.154, d=3.65E-04, P0=.03, r2=0.9853, Limit=69.6  =&gt;421   cases 
 (Fit: Wed 22-Jan - Sun 12-Apr), Cases per 10 M population</t>
  </si>
  <si>
    <t>233 k</t>
  </si>
  <si>
    <t>New Zealand from 21-Mar</t>
  </si>
  <si>
    <t>1.39 k</t>
  </si>
  <si>
    <t xml:space="preserve">b=0.253, d=1.82E-04, P0=.363, r2=0.9983, Limit=233 k=&gt;1.39 k cases </t>
  </si>
  <si>
    <t>Italy Limit 20.2 k r^2=99.83%</t>
  </si>
  <si>
    <t>COVID19 Italy P(t) = b / {d+[( b/Po - d ) ]* exp(-b*t)}
b=0.255, d=2.09E-06, P0=.363, r2=0.9463, Limit=20.2 k=&gt;122 k cases 
 (Fit: Thu 30-Jan - Sat 00-Jan), Cases per 10 M population</t>
  </si>
  <si>
    <t>COVID19 New Zealand P(t) = b / {d+[( b/Po - d ) ]* exp(-b*t)}
b=0.253, d=1.82E-04, P0=.363, r2=0.9983, Limit=233 k=&gt;1.39 k cases 
 (Fit: Thu 27-Feb - Sun 12-Apr), Cases per 10 M population</t>
  </si>
  <si>
    <t>At Thu 30-Jul Australia 2510 cases per 10M was 31 days behind Italy, 18 days behind USA, -22days behind China, -10 days behind South Korea, 16 days behind UK</t>
  </si>
  <si>
    <t>4.83 k</t>
  </si>
  <si>
    <t>1.91 k</t>
  </si>
  <si>
    <t xml:space="preserve">b=0.26, d=5.39E-05, P0=.001, r2=0.7708, Limit=1.91 k=&gt;4.83 k cases </t>
  </si>
  <si>
    <t>Australia Limit 1.91 k r^2=77.08%</t>
  </si>
  <si>
    <t>COVID19 Australia P(t) = b / {d+[( b/Po - d ) ]* exp(-b*t)}
b=0.26, d=5.39E-05, P0=.001, r2=0.7708, Limit=1.91 k=&gt;4.83 k cases 
 (Fit: Sat 25-Jan - Thu 30-Jul), Cases per 10 M population</t>
  </si>
  <si>
    <t>At Thu 30-Jul Australia 2510 cases per 10M was 31 days behind Italy, 18 days behind USA, -22days behind China, -10 days behind South Korea, 16 days behind UK
At Mon 13-Apr NSW 3543 cases per 10M was 29 days behind Italy, 16 days behind USA &amp; -22 days behind China, -15 days behind South Korea, 13 days behind UK</t>
  </si>
  <si>
    <t xml:space="preserve">b=0.08, d=1.00E-12, P0=4.004, r2=0.9939, Limit=137 G=&gt;78.8 M cases </t>
  </si>
  <si>
    <t>COVID19 Singapore P(t) = b / {d+[( b/Po - d ) ]* exp(-b*t)}
b=0.08, d=1.00E-12, P0=4.004, r2=0.9939, Limit=137 G=&gt;78.8 M cases 
 (Fit: Mon 10-Feb - Sun 12-Apr), Cases per 10 M population</t>
  </si>
  <si>
    <t>Ireland from 14-Mar</t>
  </si>
  <si>
    <t>22.2 k</t>
  </si>
  <si>
    <t>45.4 k</t>
  </si>
  <si>
    <t xml:space="preserve">b=0.129, d=5.81E-06, P0=61.27, r2=0.9925, Limit=45.4 k=&gt;22.2 k cases </t>
  </si>
  <si>
    <t>Ireland Limit 45.4 k r^2=99.25%</t>
  </si>
  <si>
    <t>COVID19 Ireland  P(t) = b / {d+[( b/Po - d ) ]* exp(-b*t)}
b=0.129, d=5.81E-06, P0=61.27, r2=0.9925, Limit=45.4 k=&gt;22.2 k cases 
  (Fit: Sat 29-Feb - Sun 12-Apr), Cases per 10 M population</t>
  </si>
  <si>
    <t>2.26 k</t>
  </si>
  <si>
    <t>NSWUnknown Limit 2.26 k r^2=98.09%</t>
  </si>
  <si>
    <t xml:space="preserve">b=0.305, d=2.76E-04, P0=557.844, r2=0.9809, Limit=2.26 k=&gt;1.11 k cases </t>
  </si>
  <si>
    <t>COVID19 NSWUnknown P(t) = b / {d+[( b/Po - d ) ]* exp(-b*t)}
b=0.305, d=2.76E-04, P0=557.844, r2=0.9809, Limit=2.26 k=&gt;1.11 k cases 
 (Fit: Mon 30-Mar - Mon 13-Apr)</t>
  </si>
  <si>
    <t>NZ from 21-Mar</t>
  </si>
  <si>
    <t>Date of AUS Case Match</t>
  </si>
  <si>
    <t>OldStart</t>
  </si>
  <si>
    <t>At Mon 13-Apr Australia 2510 cases per 10M was 141 days behind Italy, 127 days behind USA, -131days behind China, -119 days behind South Korea, 125 days behind UK</t>
  </si>
  <si>
    <t>Australia from 15-Mar</t>
  </si>
  <si>
    <t>COVID19 Australia P(t) = b / {d+[( b/Po - d ) ]* exp(-b*t)}
b=0.26, d=5.39E-05, P0=.001, r2=0.7708, Limit=1.91 k=&gt;4.83 k cases 
 (Fit: Sat 25-Jan - Mon 13-Apr), Cases per 10 M population</t>
  </si>
  <si>
    <t>NSW from 13-Mar</t>
  </si>
  <si>
    <t>At Mon 13-Apr Australia 2510 cases per 10M was 141 days behind Italy, 127 days behind USA, -131days behind China, -119 days behind South Korea, 125 days behind UK
At Mon 13-Apr NSW 3543 cases per 10M was 29 days behind Italy, 16 days behind USA &amp; -22 days behind China, -15 days behind South Korea, 13 days behind UK</t>
  </si>
  <si>
    <t>USA from 15-Mar</t>
  </si>
  <si>
    <t>China from 02-Feb</t>
  </si>
  <si>
    <t>South Korea from 23-Feb</t>
  </si>
  <si>
    <t>9.65 k</t>
  </si>
  <si>
    <t xml:space="preserve">b=0.217, d=2.24E-05, P0=1.16, r2=0.9894, Limit=1.88 k=&gt;9.65 k cases , log fit from 19th Feb </t>
  </si>
  <si>
    <t>South Korea Limit 1.88 k r^2=98.94%</t>
  </si>
  <si>
    <t>COVID19 South Korea P(t) = b / {d+[( b/Po - d ) ]* exp(-b*t)}
b=0.217, d=2.24E-05, P0=1.16, r2=0.9894, Limit=1.88 k=&gt;9.65 k cases , log fit from 19th Feb 
 (Fit: Wed 22-Jan - Sun 12-Apr), Cases per 10 M population</t>
  </si>
  <si>
    <t>Singapore from 14-Feb</t>
  </si>
  <si>
    <t>COVID19 Tests P(t) = b / {d+[( b/Po - d ) ]* exp(-b*t)}
b=0.176, d=1.28E-06, P0=4294.861, r2=0.9925, Limit=170 k=&gt;142 k cases 
 (Fit: Fri 06-Mar - Sun 12-Apr), Cases per 10 M population</t>
  </si>
  <si>
    <t>Ireland from 15-Mar</t>
  </si>
  <si>
    <t>22.3 k</t>
  </si>
  <si>
    <t xml:space="preserve">b=0.129, d=5.81E-06, P0=61.27, r2=0.9925, Limit=45.4 k=&gt;22.3 k cases </t>
  </si>
  <si>
    <t>COVID19 Ireland P(t) = b / {d+[( b/Po - d ) ]* exp(-b*t)}
b=0.129, d=5.81E-06, P0=61.27, r2=0.9925, Limit=45.4 k=&gt;22.3 k cases 
 (Fit: Sat 29-Feb - Sun 12-Apr), Cases per 10 M population</t>
  </si>
  <si>
    <t>NSWUnknown from 15-Mar</t>
  </si>
  <si>
    <t>COVID19 NSWUnknown P(t) = b / {d+[( b/Po - d ) ]* exp(-b*t)}
b=0.305, d=2.76E-04, P0=557.844, r2=0.9809, Limit=2.26 k=&gt;1.11 k cases 
 (Fit: Mon 30-Mar - Mon 13-Apr), Cases per 10 M population</t>
  </si>
  <si>
    <t>Taiwan from 15-Mar</t>
  </si>
  <si>
    <t>2.66 k</t>
  </si>
  <si>
    <t>New Zealand Limit 2.66 k r^2=99.83%</t>
  </si>
  <si>
    <t>NZ from 22-Mar</t>
  </si>
  <si>
    <t xml:space="preserve">b=0.253, d=1.82E-04, P0=.363, r2=0.9983, Limit=2.66 k=&gt;1.39 k cases </t>
  </si>
  <si>
    <t>COVID19 New Zealand P(t) = b / {d+[( b/Po - d ) ]* exp(-b*t)}
b=0.253, d=1.82E-04, P0=.363, r2=0.9983, Limit=2.66 k=&gt;1.39 k cases 
 (Fit: Thu 27-Feb - Sun 12-Apr), Cases per 10 M population</t>
  </si>
  <si>
    <t>At Tue 14-Apr NSW 3552 cases per 10M was 30 days behind Italy, 17 days behind USA &amp; -23 days behind China, -16 days behind South Korea, 14 days behind UK</t>
  </si>
  <si>
    <t xml:space="preserve">b=0.238, d=8.15E-05, P0=.001, r2=0.9995, Limit=3.62 k=&gt;2.92 k cases </t>
  </si>
  <si>
    <t>COVID19 NSW P(t) = b / {d+[( b/Po - d ) ]* exp(-b*t)}
b=0.238, d=8.15E-05, P0=.001, r2=0.9995, Limit=3.62 k=&gt;2.92 k cases 
 (Fit: Sat 25-Jan - Tue 14-Apr), Cases per 10 M population</t>
  </si>
  <si>
    <t>At Tue 14-Apr Australia 2523 cases per 10M was 141 days behind Italy, 127 days behind USA, -131days behind China, -119 days behind South Korea, 125 days behind UK</t>
  </si>
  <si>
    <t>4.93 k</t>
  </si>
  <si>
    <t>1.95 k</t>
  </si>
  <si>
    <t xml:space="preserve">b=0.26, d=5.27E-05, P0=.001, r2=0.7788, Limit=1.95 k=&gt;4.93 k cases </t>
  </si>
  <si>
    <t>Australia Limit 1.95 k r^2=77.88%</t>
  </si>
  <si>
    <t>COVID19 Australia P(t) = b / {d+[( b/Po - d ) ]* exp(-b*t)}
b=0.26, d=5.27E-05, P0=.001, r2=0.7788, Limit=1.95 k=&gt;4.93 k cases 
 (Fit: Sat 25-Jan - Tue 14-Apr), Cases per 10 M population</t>
  </si>
  <si>
    <t>COVID19 Australia P(t) = b / {d+[( b/Po - d ) ]* exp(-b*t)}
b=0.26, d=5.27E-05, P0=.001, r2=0.7788, Limit=1.95 k=&gt;4.93 k cases 
 (Fit: Sat 25-Jan - Tue 14-Apr) since 100 , Cases per 10 M population</t>
  </si>
  <si>
    <t>ChartTitleDates</t>
  </si>
  <si>
    <t>COVID19 Australia P(t) = b / {d+[( b/Po - d ) ]* exp(-b*t)}
b=0.26, d=5.27E-05, P0=.001, r2=0.7788, Limit=1.95 k=&gt;4.93 k cases 
 (Fit: Sat 25-Jan - Tue 14-Apr) , Cases per 10 M population</t>
  </si>
  <si>
    <t>MinLastDateNoUS</t>
  </si>
  <si>
    <t>Mindate</t>
  </si>
  <si>
    <t>Axis Title</t>
  </si>
  <si>
    <t>HorizontalDays</t>
  </si>
  <si>
    <t>VertLog</t>
  </si>
  <si>
    <t>VertLin</t>
  </si>
  <si>
    <t>FullState</t>
  </si>
  <si>
    <t>Days100 Sweden</t>
  </si>
  <si>
    <t>At Fri 17-Apr Australia 2569 cases per 10M was 141 days behind Italy, 126 days behind USA, -131days behind China, -119 days behind South Korea, 125 days behind UK</t>
  </si>
  <si>
    <t>5.19 k</t>
  </si>
  <si>
    <t>2.05 k</t>
  </si>
  <si>
    <t xml:space="preserve">b=0.259, d=4.98E-05, P0=.001, r2=0.7996, Limit=2.05 k=&gt;5.19 k cases </t>
  </si>
  <si>
    <t>Australia Limit 2.05 k r^2=79.96%</t>
  </si>
  <si>
    <t>COVID19 Australia P(t) = b / {d+[( b/Po - d ) ]* exp(-b*t)}
b=0.259, d=4.98E-05, P0=.001, r2=0.7996, Limit=2.05 k=&gt;5.19 k cases 
 (Fit: Sat 25-Jan - Fri 17-Apr)</t>
  </si>
  <si>
    <t>NSW Limit 3.62 k r^2=99.96%</t>
  </si>
  <si>
    <t>At Fri 17-Apr NSW 3621 cases per 10M was 33 days behind Italy, 20 days behind USA &amp; -26 days behind China, -19 days behind South Korea, 17 days behind UK</t>
  </si>
  <si>
    <t xml:space="preserve">b=0.238, d=8.14E-05, P0=.001, r2=0.9996, Limit=3.62 k=&gt;2.93 k cases </t>
  </si>
  <si>
    <t>COVID19 NSW P(t) = b / {d+[( b/Po - d ) ]* exp(-b*t)}
b=0.238, d=8.14E-05, P0=.001, r2=0.9996, Limit=3.62 k=&gt;2.93 k cases 
 (Fit: Sat 25-Jan - Fri 17-Apr)</t>
  </si>
  <si>
    <t>132 k</t>
  </si>
  <si>
    <t>21.9 k</t>
  </si>
  <si>
    <t xml:space="preserve">b=0.255, d=1.92E-06, P0=.443, r2=0.9364, Limit=21.9 k=&gt;132 k cases </t>
  </si>
  <si>
    <t>Italy Limit 21.9 k r^2=93.64%</t>
  </si>
  <si>
    <t>COVID19 Italy P(t) = b / {d+[( b/Po - d ) ]* exp(-b*t)}
b=0.255, d=1.92E-06, P0=.443, r2=0.9364, Limit=21.9 k=&gt;132 k cases 
 (Fit: Thu 30-Jan - Thu 16-Apr)</t>
  </si>
  <si>
    <t>USA Limit 19.2 k r^2=97.33%</t>
  </si>
  <si>
    <t>At Fri 17-Apr Australia 2569 cases per 10M was 141 days behind Italy, 126 days behind USA, -131days behind China, -119 days behind South Korea, 125 days behind UK
At Fri 17-Apr NSW 3621 cases per 10M was 33 days behind Italy, 20 days behind USA &amp; -26 days behind China, -19 days behind South Korea, 17 days behind UK</t>
  </si>
  <si>
    <t xml:space="preserve">b=0.284, d=4.48E-07, P0=.001, r2=0.9733, Limit=19.2 k=&gt;633 k cases </t>
  </si>
  <si>
    <t>COVID19 USA P(t) = b / {d+[( b/Po - d ) ]* exp(-b*t)}
b=0.284, d=4.48E-07, P0=.001, r2=0.9733, Limit=19.2 k=&gt;633 k cases 
 (Fit: Wed 22-Jan - Thu 16-Apr)</t>
  </si>
  <si>
    <t>81.7 k</t>
  </si>
  <si>
    <t xml:space="preserve">567  </t>
  </si>
  <si>
    <t xml:space="preserve">b=0.221, d=2.70E-06, P0=1564.332, r2=0.9953, Limit=567  =&gt;81.7 k cases </t>
  </si>
  <si>
    <t>China Limit 567   r^2=99.53%</t>
  </si>
  <si>
    <t>COVID19 China P(t) = b / {d+[( b/Po - d ) ]* exp(-b*t)}
b=0.221, d=2.70E-06, P0=1564.332, r2=0.9953, Limit=567  =&gt;81.7 k cases 
 (Fit: Wed 22-Jan - Thu 16-Apr)</t>
  </si>
  <si>
    <t>9.82 k</t>
  </si>
  <si>
    <t xml:space="preserve">b=0.204, d=2.08E-05, P0=1.833, r2=0.9885, Limit=1.91 k=&gt;9.82 k cases , log fit from 19th Feb </t>
  </si>
  <si>
    <t>South Korea Limit 1.91 k r^2=98.85%</t>
  </si>
  <si>
    <t>COVID19 South Korea P(t) = b / {d+[( b/Po - d ) ]* exp(-b*t)}
b=0.204, d=2.08E-05, P0=1.833, r2=0.9885, Limit=1.91 k=&gt;9.82 k cases , log fit from 19th Feb 
 (Fit: Wed 22-Jan - Thu 16-Apr)</t>
  </si>
  <si>
    <t>101 k</t>
  </si>
  <si>
    <t xml:space="preserve">b=0.214, d=2.11E-06, P0=.088, r2=0.9899, Limit=15.2 k=&gt;101 k cases </t>
  </si>
  <si>
    <t>United Kingdom Limit 15.2 k r^2=98.99%</t>
  </si>
  <si>
    <t>COVID19 United Kingdom P(t) = b / {d+[( b/Po - d ) ]* exp(-b*t)}
b=0.214, d=2.11E-06, P0=.088, r2=0.9899, Limit=15.2 k=&gt;101 k cases 
 (Fit: Thu 30-Jan - Thu 16-Apr)</t>
  </si>
  <si>
    <t>94.8 G</t>
  </si>
  <si>
    <t>162 G</t>
  </si>
  <si>
    <t xml:space="preserve">b=0.095, d=1.00E-12, P0=1.381, r2=0.9882, Limit=162 G=&gt;605 M cases </t>
  </si>
  <si>
    <t>Singapore Limit 162 G r^2=98.82%</t>
  </si>
  <si>
    <t>COVID19 Singapore P(t) = b / {d+[( b/Po - d ) ]* exp(-b*t)}
b=0.095, d=1.00E-12, P0=1.381, r2=0.9882, Limit=162 G=&gt;605 M cases 
 (Fit: Mon 10-Feb - Thu 16-Apr)</t>
  </si>
  <si>
    <t>140 k</t>
  </si>
  <si>
    <t>174 k</t>
  </si>
  <si>
    <t xml:space="preserve">b=0.176, d=1.26E-06, P0=4294.861, r2=0.9906, Limit=174 k=&gt;147 k cases </t>
  </si>
  <si>
    <t>Tests Limit 174 k r^2=99.06%</t>
  </si>
  <si>
    <t>COVID19 Tests P(t) = b / {d+[( b/Po - d ) ]* exp(-b*t)}
b=0.176, d=1.26E-06, P0=4294.861, r2=0.9906, Limit=174 k=&gt;147 k cases 
 (Fit: Fri 06-Mar - Wed 15-Apr)</t>
  </si>
  <si>
    <t>25.4 k</t>
  </si>
  <si>
    <t>51.9 k</t>
  </si>
  <si>
    <t xml:space="preserve">b=0.129, d=5.09E-06, P0=61.269, r2=0.9944, Limit=51.9 k=&gt;25.4 k cases </t>
  </si>
  <si>
    <t>Ireland Limit 51.9 k r^2=99.44%</t>
  </si>
  <si>
    <t>COVID19 Ireland P(t) = b / {d+[( b/Po - d ) ]* exp(-b*t)}
b=0.129, d=5.09E-06, P0=61.269, r2=0.9944, Limit=51.9 k=&gt;25.4 k cases 
 (Fit: Sat 29-Feb - Thu 16-Apr)</t>
  </si>
  <si>
    <t>1.10 k</t>
  </si>
  <si>
    <t>2.25 k</t>
  </si>
  <si>
    <t xml:space="preserve">b=0.311, d=2.82E-04, P0=555.538, r2=0.9813, Limit=2.25 k=&gt;1.10 k cases </t>
  </si>
  <si>
    <t>NSWUnknown Limit 2.25 k r^2=98.13%</t>
  </si>
  <si>
    <t>COVID19 NSWUnknown P(t) = b / {d+[( b/Po - d ) ]* exp(-b*t)}
b=0.311, d=2.82E-04, P0=555.538, r2=0.9813, Limit=2.25 k=&gt;1.10 k cases 
 (Fit: Mon 30-Mar - Tue 14-Apr)</t>
  </si>
  <si>
    <t xml:space="preserve">413  </t>
  </si>
  <si>
    <t xml:space="preserve">68.2  </t>
  </si>
  <si>
    <t xml:space="preserve">b=0.159, d=3.85E-04, P0=.022, r2=0.9878, Limit=68.2  =&gt;413   cases </t>
  </si>
  <si>
    <t>Taiwan Limit 68.2   r^2=98.78%</t>
  </si>
  <si>
    <t>COVID19 Taiwan P(t) = b / {d+[( b/Po - d ) ]* exp(-b*t)}
b=0.159, d=3.85E-04, P0=.022, r2=0.9878, Limit=68.2  =&gt;413   cases 
 (Fit: Wed 22-Jan - Thu 16-Apr)</t>
  </si>
  <si>
    <t>1.41 k</t>
  </si>
  <si>
    <t>2.70 k</t>
  </si>
  <si>
    <t xml:space="preserve">b=0.248, d=1.75E-04, P0=.42, r2=0.9987, Limit=2.70 k=&gt;1.41 k cases </t>
  </si>
  <si>
    <t>New Zealand Limit 2.70 k r^2=99.87%</t>
  </si>
  <si>
    <t>COVID19 New Zealand P(t) = b / {d+[( b/Po - d ) ]* exp(-b*t)}
b=0.248, d=1.75E-04, P0=.42, r2=0.9987, Limit=2.70 k=&gt;1.41 k cases 
 (Fit: Thu 27-Feb - Thu 16-Apr)</t>
  </si>
  <si>
    <t>Days100 Spain</t>
  </si>
  <si>
    <t>Over100Row</t>
  </si>
  <si>
    <t>Days100 Iran</t>
  </si>
  <si>
    <t>At Fri 17-Apr Australia 2573 cases per 10M was 141 days behind Italy, 126 days behind USA, -131days behind China, -119 days behind South Korea, 125 days behind UK</t>
  </si>
  <si>
    <t>At Fri 17-Apr Australia 2573 cases per 10M was 141 days behind Italy, 126 days behind USA, -131days behind China, -119 days behind South Korea, 125 days behind UK
At Fri 17-Apr NSW 3621 cases per 10M was 33 days behind Italy, 20 days behind USA &amp; -26 days behind China, -19 days behind South Korea, 17 days behind UK</t>
  </si>
  <si>
    <t xml:space="preserve">b=0.205, d=2.08E-05, P0=1.833, r2=0.9885, Limit=1.91 k=&gt;9.82 k cases , log fit from 19th Feb </t>
  </si>
  <si>
    <t>COVID19 South Korea P(t) = b / {d+[( b/Po - d ) ]* exp(-b*t)}
b=0.205, d=2.08E-05, P0=1.833, r2=0.9885, Limit=1.91 k=&gt;9.82 k cases , log fit from 19th Feb 
 (Fit: Wed 22-Jan - Thu 16-Apr)</t>
  </si>
  <si>
    <t>175 k</t>
  </si>
  <si>
    <t xml:space="preserve">b=0.176, d=1.25E-06, P0=4294.861, r2=0.9891, Limit=175 k=&gt;152 k cases </t>
  </si>
  <si>
    <t>Tests Limit 175 k r^2=98.91%</t>
  </si>
  <si>
    <t>COVID19 Tests P(t) = b / {d+[( b/Po - d ) ]* exp(-b*t)}
b=0.176, d=1.25E-06, P0=4294.861, r2=0.9891, Limit=175 k=&gt;152 k cases 
 (Fit: Fri 06-Mar - Thu 16-Apr)</t>
  </si>
  <si>
    <t xml:space="preserve">b=0.303, d=2.74E-04, P0=559.026, r2=0.9818, Limit=2.26 k=&gt;1.11 k cases </t>
  </si>
  <si>
    <t>NSWUnknown Limit 2.26 k r^2=98.18%</t>
  </si>
  <si>
    <t>COVID19 NSWUnknown P(t) = b / {d+[( b/Po - d ) ]* exp(-b*t)}
b=0.303, d=2.74E-04, P0=559.026, r2=0.9818, Limit=2.26 k=&gt;1.11 k cases 
 (Fit: Mon 30-Mar - Fri 17-Apr)</t>
  </si>
  <si>
    <t>Vic</t>
  </si>
  <si>
    <t>&lt;END&gt;</t>
  </si>
  <si>
    <t>Days100 Victoria</t>
  </si>
  <si>
    <t>Victoria - Australia</t>
  </si>
  <si>
    <t xml:space="preserve"> - Iran</t>
  </si>
  <si>
    <t xml:space="preserve"> - Sweden</t>
  </si>
  <si>
    <t>SolveAll</t>
  </si>
  <si>
    <t>LoadMyData</t>
  </si>
  <si>
    <t>=myData!$ES$11</t>
  </si>
  <si>
    <t>=myData!$ET$11</t>
  </si>
  <si>
    <t>=myData!$EK$11</t>
  </si>
  <si>
    <t>=myData!$AI$8</t>
  </si>
  <si>
    <t>AuPopScale</t>
  </si>
  <si>
    <t>myData!AuPopScale</t>
  </si>
  <si>
    <t>=myData!$AI$9</t>
  </si>
  <si>
    <t>=myData!$EH$11</t>
  </si>
  <si>
    <t>=myData!$DN$11</t>
  </si>
  <si>
    <t>=myData!$DQ$11</t>
  </si>
  <si>
    <t>=myData!$DQ$15</t>
  </si>
  <si>
    <t>=myData!$DQ$20</t>
  </si>
  <si>
    <t>=myData!$DQ$13</t>
  </si>
  <si>
    <t>=myData!$DQ$12</t>
  </si>
  <si>
    <t>=myData!$DQ$21</t>
  </si>
  <si>
    <t>betaNZ</t>
  </si>
  <si>
    <t>myData!betaNZ</t>
  </si>
  <si>
    <t>=myData!$DQ$23</t>
  </si>
  <si>
    <t>=myData!$DW$11</t>
  </si>
  <si>
    <t>=myData!$DW$15</t>
  </si>
  <si>
    <t>=myData!$DW$20</t>
  </si>
  <si>
    <t>=myData!$DW$13</t>
  </si>
  <si>
    <t>=myData!$DW$12</t>
  </si>
  <si>
    <t>=myData!$DW$21</t>
  </si>
  <si>
    <t>betaPodeltaNZ</t>
  </si>
  <si>
    <t>myData!betaPodeltaNZ</t>
  </si>
  <si>
    <t>=myData!$DW$23</t>
  </si>
  <si>
    <t>=myData!$DW$18</t>
  </si>
  <si>
    <t>=myData!$DW$16</t>
  </si>
  <si>
    <t>betaPodeltaTaiwan</t>
  </si>
  <si>
    <t>myData!betaPodeltaTaiwan</t>
  </si>
  <si>
    <t>=myData!$DW$22</t>
  </si>
  <si>
    <t>=myData!$DW$19</t>
  </si>
  <si>
    <t>=myData!$DW$17</t>
  </si>
  <si>
    <t>=myData!$DW$14</t>
  </si>
  <si>
    <t>=myData!$DQ$18</t>
  </si>
  <si>
    <t>=myData!$DQ$16</t>
  </si>
  <si>
    <t>betaTaiwan</t>
  </si>
  <si>
    <t>myData!betaTaiwan</t>
  </si>
  <si>
    <t>=myData!$DQ$22</t>
  </si>
  <si>
    <t>=myData!$DQ$19</t>
  </si>
  <si>
    <t>=myData!$DQ$17</t>
  </si>
  <si>
    <t>=myData!$DQ$14</t>
  </si>
  <si>
    <t>=myData!$ES$15</t>
  </si>
  <si>
    <t>=myData!$ET$15</t>
  </si>
  <si>
    <t>=myData!$U$8</t>
  </si>
  <si>
    <t>ChinaPopscale</t>
  </si>
  <si>
    <t>myData!ChinaPopscale</t>
  </si>
  <si>
    <t>=myData!$U$9</t>
  </si>
  <si>
    <t>=myData!$EH$15</t>
  </si>
  <si>
    <t>=myData!$DN$15</t>
  </si>
  <si>
    <t>=solvMsgs!$E$1:$G$11</t>
  </si>
  <si>
    <t>=solvMsgs!$AA$2:$AA$60</t>
  </si>
  <si>
    <t>=OFFSET(solvMsgs!$AD$1,1,0,COUNTA(solvMsgs!$AA:$AA)-1,1)</t>
  </si>
  <si>
    <t>=solvMsgs!$AB$4</t>
  </si>
  <si>
    <t>deltaNZ</t>
  </si>
  <si>
    <t>myData!deltaNZ</t>
  </si>
  <si>
    <t>=myData!$DR$23</t>
  </si>
  <si>
    <t>deltaTaiwan</t>
  </si>
  <si>
    <t>myData!deltaTaiwan</t>
  </si>
  <si>
    <t>=myData!$DR$22</t>
  </si>
  <si>
    <t>=myData!$DR$19</t>
  </si>
  <si>
    <t>=myData!$ES$20</t>
  </si>
  <si>
    <t>=myData!$ET$20</t>
  </si>
  <si>
    <t>=myData!$Z$8</t>
  </si>
  <si>
    <t>GenericPopscale</t>
  </si>
  <si>
    <t>myData!GenericPopscale</t>
  </si>
  <si>
    <t>=myData!$Z$9</t>
  </si>
  <si>
    <t>=myData!$EH$20</t>
  </si>
  <si>
    <t>=myData!$DN$20</t>
  </si>
  <si>
    <t>TST</t>
  </si>
  <si>
    <t>HeadRow</t>
  </si>
  <si>
    <t>TST!HeadRow</t>
  </si>
  <si>
    <t>HisTableTaiwanDates</t>
  </si>
  <si>
    <t>myData!HisTableTaiwanDates</t>
  </si>
  <si>
    <t>=OFFSET(myData!HisTableTL,MATCH("Taiwan",myData!HisTableCol1,0),13,MATCH("USA",myData!HisTableCol1,0)-MATCH("Taiwan",myData!HisTableCol1,0),1)</t>
  </si>
  <si>
    <t>HisTableTaiwanLimit</t>
  </si>
  <si>
    <t>myData!HisTableTaiwanLimit</t>
  </si>
  <si>
    <t>=OFFSET(myData!HisTableTaiwanDates,0,-5)</t>
  </si>
  <si>
    <t>Iran100Cases</t>
  </si>
  <si>
    <t>TST!Iran100Cases</t>
  </si>
  <si>
    <t>=TST!IranPCcases OFFSET(TST!IranCapita,MATCH(solvMsgs!MinCases,TST!IranPCcases,1)+1,0,COUNTA(TST!IranPCcases),1)</t>
  </si>
  <si>
    <t>Iran100Days</t>
  </si>
  <si>
    <t>TST!Iran100Days</t>
  </si>
  <si>
    <t>=OFFSET(TST!Iran100Cases,0,-1)</t>
  </si>
  <si>
    <t>Iran100dt</t>
  </si>
  <si>
    <t>TST!Iran100dt</t>
  </si>
  <si>
    <t>=INDEX(OFFSET(TST!$A:$A,10,0,COUNTA(TST!$A:$A),1),MATCH(solvMsgs!MinCases,TST!IranPCcases,1),1)</t>
  </si>
  <si>
    <t>IranCapita</t>
  </si>
  <si>
    <t>TST!IranCapita</t>
  </si>
  <si>
    <t>IranPCcases</t>
  </si>
  <si>
    <t>TST!IranPCcases</t>
  </si>
  <si>
    <t>=OFFSET(TST!IranCapita,1,0,TST!TSTDays+1,1)</t>
  </si>
  <si>
    <t>IranPopScale</t>
  </si>
  <si>
    <t>TST!IranPopScale</t>
  </si>
  <si>
    <t>IranSeriesLabel</t>
  </si>
  <si>
    <t>TST!IranSeriesLabel</t>
  </si>
  <si>
    <t>=myData!$ES$13</t>
  </si>
  <si>
    <t>=myData!$ET$13</t>
  </si>
  <si>
    <t>=myData!$M$8</t>
  </si>
  <si>
    <t>ItalyPopscale</t>
  </si>
  <si>
    <t>myData!ItalyPopscale</t>
  </si>
  <si>
    <t>=myData!$M$9</t>
  </si>
  <si>
    <t>=myData!$EH$13</t>
  </si>
  <si>
    <t>=myData!$DN$13</t>
  </si>
  <si>
    <t>Japan100Cases</t>
  </si>
  <si>
    <t>TST!Japan100Cases</t>
  </si>
  <si>
    <t>=TST!JapanPCcases OFFSET(TST!JapanCapita,MATCH(solvMsgs!MinCases,TST!JapanPCcases,1)+1,0,COUNTA(TST!JapanPCcases),1)</t>
  </si>
  <si>
    <t>Japan100Days</t>
  </si>
  <si>
    <t>TST!Japan100Days</t>
  </si>
  <si>
    <t>=OFFSET(TST!Japan100Cases,0,-1)</t>
  </si>
  <si>
    <t>Japan100dt</t>
  </si>
  <si>
    <t>TST!Japan100dt</t>
  </si>
  <si>
    <t>=INDEX(OFFSET(TST!$A:$A,10,0,COUNTA(TST!$A:$A),1),MATCH(solvMsgs!MinCases,TST!JapanPCcases,1),1)</t>
  </si>
  <si>
    <t>JapanCapita</t>
  </si>
  <si>
    <t>TST!JapanCapita</t>
  </si>
  <si>
    <t>JapanPCcases</t>
  </si>
  <si>
    <t>TST!JapanPCcases</t>
  </si>
  <si>
    <t>=OFFSET(TST!JapanCapita,1,0,TST!TSTDays+1,1)</t>
  </si>
  <si>
    <t>JapanPopScale</t>
  </si>
  <si>
    <t>TST!JapanPopScale</t>
  </si>
  <si>
    <t>JapanSeriesLabel</t>
  </si>
  <si>
    <t>TST!JapanSeriesLabel</t>
  </si>
  <si>
    <t>=solvMsgs!$AB$3</t>
  </si>
  <si>
    <t>lblHorizAxisDays</t>
  </si>
  <si>
    <t>myData!lblHorizAxisDays</t>
  </si>
  <si>
    <t>=myData!$EF$6</t>
  </si>
  <si>
    <t>lblVertLin</t>
  </si>
  <si>
    <t>myData!lblVertLin</t>
  </si>
  <si>
    <t>=myData!$EF$8</t>
  </si>
  <si>
    <t>lblVertLog</t>
  </si>
  <si>
    <t>myData!lblVertLog</t>
  </si>
  <si>
    <t>=myData!$EF$7</t>
  </si>
  <si>
    <t>=myData!$GM$2</t>
  </si>
  <si>
    <t>=myData!$EI$3</t>
  </si>
  <si>
    <t>=myData!$EB$11</t>
  </si>
  <si>
    <t>=myData!$EB$12</t>
  </si>
  <si>
    <t>=solvMsgs!$AB$6</t>
  </si>
  <si>
    <t>myData!MinLastDateNoUS</t>
  </si>
  <si>
    <t>=myData!$ED$25</t>
  </si>
  <si>
    <t>=myData!$DU$15</t>
  </si>
  <si>
    <t>=myData!$DU$20</t>
  </si>
  <si>
    <t>=myData!$DU$13</t>
  </si>
  <si>
    <t>=myData!$DU$21</t>
  </si>
  <si>
    <t>msqNZ</t>
  </si>
  <si>
    <t>myData!msqNZ</t>
  </si>
  <si>
    <t>=myData!$DU$23</t>
  </si>
  <si>
    <t>=myData!$DU$18</t>
  </si>
  <si>
    <t>=myData!$DU$16</t>
  </si>
  <si>
    <t>msqTaiwan</t>
  </si>
  <si>
    <t>myData!msqTaiwan</t>
  </si>
  <si>
    <t>=myData!$DU$22</t>
  </si>
  <si>
    <t>=myData!$DU$19</t>
  </si>
  <si>
    <t>=myData!$DU$17</t>
  </si>
  <si>
    <t>=myData!$DU$14</t>
  </si>
  <si>
    <t>=myData!$ES$12</t>
  </si>
  <si>
    <t>=myData!$ET$12</t>
  </si>
  <si>
    <t>=myData!$EK$12</t>
  </si>
  <si>
    <t>=myData!$E$8</t>
  </si>
  <si>
    <t>NSWpopscale</t>
  </si>
  <si>
    <t>myData!NSWpopscale</t>
  </si>
  <si>
    <t>=myData!$E$9</t>
  </si>
  <si>
    <t>=myData!$EH$12</t>
  </si>
  <si>
    <t>=myData!$DN$12</t>
  </si>
  <si>
    <t>=myData!$EH$21</t>
  </si>
  <si>
    <t>NZ100Cases</t>
  </si>
  <si>
    <t>myData!NZ100Cases</t>
  </si>
  <si>
    <t>NZ100Dates</t>
  </si>
  <si>
    <t>myData!NZ100Dates</t>
  </si>
  <si>
    <t>NZ100dt</t>
  </si>
  <si>
    <t>myData!NZ100dt</t>
  </si>
  <si>
    <t>=myData!$ES$23</t>
  </si>
  <si>
    <t>NZ100Logi</t>
  </si>
  <si>
    <t>myData!NZ100Logi</t>
  </si>
  <si>
    <t>NZ100LogiDates</t>
  </si>
  <si>
    <t>myData!NZ100LogiDates</t>
  </si>
  <si>
    <t>NZCases</t>
  </si>
  <si>
    <t>myData!NZCases</t>
  </si>
  <si>
    <t>NZDates</t>
  </si>
  <si>
    <t>myData!NZDates</t>
  </si>
  <si>
    <t>NZLabel</t>
  </si>
  <si>
    <t>myData!NZLabel</t>
  </si>
  <si>
    <t>=myData!$ET$23</t>
  </si>
  <si>
    <t>NZLogi</t>
  </si>
  <si>
    <t>myData!NZLogi</t>
  </si>
  <si>
    <t>NZLogiDates</t>
  </si>
  <si>
    <t>myData!NZLogiDates</t>
  </si>
  <si>
    <t>NZPop</t>
  </si>
  <si>
    <t>myData!NZPop</t>
  </si>
  <si>
    <t>=myData!$DA$8</t>
  </si>
  <si>
    <t>NZPopscale</t>
  </si>
  <si>
    <t>myData!NZPopscale</t>
  </si>
  <si>
    <t>=myData!$DA$9</t>
  </si>
  <si>
    <t>NZSeries</t>
  </si>
  <si>
    <t>myData!NZSeries</t>
  </si>
  <si>
    <t>=myData!$EH$23</t>
  </si>
  <si>
    <t>NZStart</t>
  </si>
  <si>
    <t>myData!NZStart</t>
  </si>
  <si>
    <t>=myData!$DN$23</t>
  </si>
  <si>
    <t>=myData!$DS$11</t>
  </si>
  <si>
    <t>=myData!$DS$15</t>
  </si>
  <si>
    <t>=myData!$DS$20</t>
  </si>
  <si>
    <t>=myData!$DS$13</t>
  </si>
  <si>
    <t>=myData!$DS$12</t>
  </si>
  <si>
    <t>=myData!$DS$21</t>
  </si>
  <si>
    <t>PoNZ</t>
  </si>
  <si>
    <t>myData!PoNZ</t>
  </si>
  <si>
    <t>=myData!$DS$23</t>
  </si>
  <si>
    <t>=myData!$DS$18</t>
  </si>
  <si>
    <t>=myData!$DS$16</t>
  </si>
  <si>
    <t>PoTaiwan</t>
  </si>
  <si>
    <t>myData!PoTaiwan</t>
  </si>
  <si>
    <t>=myData!$DS$22</t>
  </si>
  <si>
    <t>=myData!$DS$19</t>
  </si>
  <si>
    <t>=myData!$DS$17</t>
  </si>
  <si>
    <t>=myData!$DS$14</t>
  </si>
  <si>
    <t>=myData!$DL$10</t>
  </si>
  <si>
    <t>=myData!$EO$10</t>
  </si>
  <si>
    <t>=myData!$DM$11</t>
  </si>
  <si>
    <t>=myData!$ES$18</t>
  </si>
  <si>
    <t>=myData!$ET$18</t>
  </si>
  <si>
    <t>=myData!$X$8</t>
  </si>
  <si>
    <t>SingaporePopscale</t>
  </si>
  <si>
    <t>myData!SingaporePopscale</t>
  </si>
  <si>
    <t>=myData!$X$9</t>
  </si>
  <si>
    <t>=myData!$EH$18</t>
  </si>
  <si>
    <t>=myData!$DN$18</t>
  </si>
  <si>
    <t>=myData!$ES$16</t>
  </si>
  <si>
    <t>=myData!$ET$16</t>
  </si>
  <si>
    <t>=myData!$Q$8</t>
  </si>
  <si>
    <t>SKoreaPopscale</t>
  </si>
  <si>
    <t>myData!SKoreaPopscale</t>
  </si>
  <si>
    <t>=myData!$Q$9</t>
  </si>
  <si>
    <t>=myData!$EH$16</t>
  </si>
  <si>
    <t>=myData!$DN$16</t>
  </si>
  <si>
    <t>Spain100Cases</t>
  </si>
  <si>
    <t>TST!Spain100Cases</t>
  </si>
  <si>
    <t>=TST!SpainPCcases OFFSET(TST!SpainCapita,MATCH(solvMsgs!MinCases,TST!SpainPCcases,1)+1,0,COUNTA(TST!SpainPCcases),1)</t>
  </si>
  <si>
    <t>Spain100Days</t>
  </si>
  <si>
    <t>TST!Spain100Days</t>
  </si>
  <si>
    <t>=OFFSET(TST!Spain100Cases,0,-1)</t>
  </si>
  <si>
    <t>Spain100dt</t>
  </si>
  <si>
    <t>TST!Spain100dt</t>
  </si>
  <si>
    <t>=INDEX(OFFSET(TST!$A:$A,10,0,COUNTA(TST!$A:$A),1),MATCH(solvMsgs!MinCases,TST!SpainPCcases,1),1)</t>
  </si>
  <si>
    <t>SpainCapita</t>
  </si>
  <si>
    <t>TST!SpainCapita</t>
  </si>
  <si>
    <t>SpainPCcases</t>
  </si>
  <si>
    <t>TST!SpainPCcases</t>
  </si>
  <si>
    <t>=OFFSET(TST!SpainCapita,1,0,TST!TSTDays+1,1)</t>
  </si>
  <si>
    <t>SpainPopScale</t>
  </si>
  <si>
    <t>TST!SpainPopScale</t>
  </si>
  <si>
    <t>SpainSeriesLabel</t>
  </si>
  <si>
    <t>TST!SpainSeriesLabel</t>
  </si>
  <si>
    <t>=myData!$DO$11</t>
  </si>
  <si>
    <t>=myData!$DO$15</t>
  </si>
  <si>
    <t>=myData!$DO$20</t>
  </si>
  <si>
    <t>=myData!$DO$13</t>
  </si>
  <si>
    <t>=myData!$DO$12</t>
  </si>
  <si>
    <t>=myData!$DO$21</t>
  </si>
  <si>
    <t>StartDt2NZ</t>
  </si>
  <si>
    <t>myData!StartDt2NZ</t>
  </si>
  <si>
    <t>=myData!$DO$23</t>
  </si>
  <si>
    <t>=myData!$DO$18</t>
  </si>
  <si>
    <t>=myData!$DO$16</t>
  </si>
  <si>
    <t>StartDt2Taiwan</t>
  </si>
  <si>
    <t>myData!StartDt2Taiwan</t>
  </si>
  <si>
    <t>=myData!$DO$22</t>
  </si>
  <si>
    <t>=myData!$DO$19</t>
  </si>
  <si>
    <t>=myData!$DO$17</t>
  </si>
  <si>
    <t>=myData!$DO$14</t>
  </si>
  <si>
    <t>=solvMsgs!$AB$2</t>
  </si>
  <si>
    <t>Sweden100Cases</t>
  </si>
  <si>
    <t>TST!Sweden100Cases</t>
  </si>
  <si>
    <t>=TST!SwedenPCcases OFFSET(TST!SwedenCapita,MATCH(solvMsgs!MinCases,TST!SwedenPCcases,1)+1,0,COUNTA(TST!SwedenPCcases),1)</t>
  </si>
  <si>
    <t>Sweden100Days</t>
  </si>
  <si>
    <t>TST!Sweden100Days</t>
  </si>
  <si>
    <t>=OFFSET(TST!Sweden100Cases,0,-1)</t>
  </si>
  <si>
    <t>Sweden100dt</t>
  </si>
  <si>
    <t>TST!Sweden100dt</t>
  </si>
  <si>
    <t>=INDEX(OFFSET(TST!$A:$A,10,0,COUNTA(TST!$A:$A),1),MATCH(solvMsgs!MinCases,TST!SwedenPCcases,1),1)</t>
  </si>
  <si>
    <t>SwedenCapita</t>
  </si>
  <si>
    <t>TST!SwedenCapita</t>
  </si>
  <si>
    <t>SwedenPCcases</t>
  </si>
  <si>
    <t>TST!SwedenPCcases</t>
  </si>
  <si>
    <t>=OFFSET(TST!SwedenCapita,1,0,TST!TSTDays+1,1)</t>
  </si>
  <si>
    <t>SwedenPopScale</t>
  </si>
  <si>
    <t>TST!SwedenPopScale</t>
  </si>
  <si>
    <t>SwedenSeriesLabel</t>
  </si>
  <si>
    <t>TST!SwedenSeriesLabel</t>
  </si>
  <si>
    <t>Taiwan100Cases</t>
  </si>
  <si>
    <t>myData!Taiwan100Cases</t>
  </si>
  <si>
    <t>Taiwan100Dates</t>
  </si>
  <si>
    <t>myData!Taiwan100Dates</t>
  </si>
  <si>
    <t>Taiwan100dt</t>
  </si>
  <si>
    <t>myData!Taiwan100dt</t>
  </si>
  <si>
    <t>=myData!$ES$22</t>
  </si>
  <si>
    <t>Taiwan100Logi</t>
  </si>
  <si>
    <t>myData!Taiwan100Logi</t>
  </si>
  <si>
    <t>Taiwan100LogiDates</t>
  </si>
  <si>
    <t>myData!Taiwan100LogiDates</t>
  </si>
  <si>
    <t>TaiwanBadCompare</t>
  </si>
  <si>
    <t>myData!TaiwanBadCompare</t>
  </si>
  <si>
    <t>TaiwanCases</t>
  </si>
  <si>
    <t>myData!TaiwanCases</t>
  </si>
  <si>
    <t>TaiwanDates</t>
  </si>
  <si>
    <t>myData!TaiwanDates</t>
  </si>
  <si>
    <t>TaiwanLabel</t>
  </si>
  <si>
    <t>myData!TaiwanLabel</t>
  </si>
  <si>
    <t>=myData!$ET$22</t>
  </si>
  <si>
    <t>TaiwanLogi</t>
  </si>
  <si>
    <t>myData!TaiwanLogi</t>
  </si>
  <si>
    <t>TaiwanLogiDates</t>
  </si>
  <si>
    <t>myData!TaiwanLogiDates</t>
  </si>
  <si>
    <t>TaiwanPop</t>
  </si>
  <si>
    <t>myData!TaiwanPop</t>
  </si>
  <si>
    <t>=myData!$CS$8</t>
  </si>
  <si>
    <t>TaiwanPopscale</t>
  </si>
  <si>
    <t>myData!TaiwanPopscale</t>
  </si>
  <si>
    <t>=myData!$CS$9</t>
  </si>
  <si>
    <t>TaiwanSeries</t>
  </si>
  <si>
    <t>myData!TaiwanSeries</t>
  </si>
  <si>
    <t>=myData!$EH$22</t>
  </si>
  <si>
    <t>TaiwanStart</t>
  </si>
  <si>
    <t>myData!TaiwanStart</t>
  </si>
  <si>
    <t>=myData!$DN$22</t>
  </si>
  <si>
    <t>=myData!$ET$19</t>
  </si>
  <si>
    <t>TestsPopscale</t>
  </si>
  <si>
    <t>myData!TestsPopscale</t>
  </si>
  <si>
    <t>=myData!$CN$9</t>
  </si>
  <si>
    <t>=myData!$DN$19</t>
  </si>
  <si>
    <t>=myData!$ER$8</t>
  </si>
  <si>
    <t>=myData!$ER$9</t>
  </si>
  <si>
    <t>=myData!$EI$6</t>
  </si>
  <si>
    <t>TSTDays</t>
  </si>
  <si>
    <t>TST!TSTDays</t>
  </si>
  <si>
    <t>=COUNTA(OFFSET(TST!$A:$A,10,0,COUNTA(TST!$A:$A),1))</t>
  </si>
  <si>
    <t>=myData!$ES$17</t>
  </si>
  <si>
    <t>=myData!$ET$17</t>
  </si>
  <si>
    <t>=myData!$S$8</t>
  </si>
  <si>
    <t>UKPopscale</t>
  </si>
  <si>
    <t>myData!UKPopscale</t>
  </si>
  <si>
    <t>=myData!$S$9</t>
  </si>
  <si>
    <t>=myData!$EH$17</t>
  </si>
  <si>
    <t>=myData!$DN$17</t>
  </si>
  <si>
    <t>=myData!$ES$14</t>
  </si>
  <si>
    <t>=myData!$ET$14</t>
  </si>
  <si>
    <t>=myData!$O$8</t>
  </si>
  <si>
    <t>USPopscale</t>
  </si>
  <si>
    <t>myData!USPopscale</t>
  </si>
  <si>
    <t>=myData!$O$9</t>
  </si>
  <si>
    <t>=myData!$EH$14</t>
  </si>
  <si>
    <t>=myData!$DN$14</t>
  </si>
  <si>
    <t>Victoria100Cases</t>
  </si>
  <si>
    <t>TST!Victoria100Cases</t>
  </si>
  <si>
    <t>=TST!VictoriaPCcases OFFSET(TST!VictoriaCapita,MATCH(solvMsgs!MinCases,TST!VictoriaPCcases,1)+1,0,COUNTA(TST!VictoriaPCcases),1)</t>
  </si>
  <si>
    <t>Victoria100Days</t>
  </si>
  <si>
    <t>TST!Victoria100Days</t>
  </si>
  <si>
    <t>=OFFSET(TST!Victoria100Cases,0,-1)</t>
  </si>
  <si>
    <t>Victoria100dt</t>
  </si>
  <si>
    <t>TST!Victoria100dt</t>
  </si>
  <si>
    <t>=INDEX(OFFSET(TST!$A:$A,10,0,COUNTA(TST!$A:$A),1),MATCH(solvMsgs!MinCases,TST!VictoriaPCcases,1),1)</t>
  </si>
  <si>
    <t>VictoriaCapita</t>
  </si>
  <si>
    <t>TST!VictoriaCapita</t>
  </si>
  <si>
    <t>VictoriaPCcases</t>
  </si>
  <si>
    <t>TST!VictoriaPCcases</t>
  </si>
  <si>
    <t>=OFFSET(TST!VictoriaCapita,1,0,TST!TSTDays+1,1)</t>
  </si>
  <si>
    <t>VictoriaPopScale</t>
  </si>
  <si>
    <t>TST!VictoriaPopScale</t>
  </si>
  <si>
    <t>VictoriaSeriesLabel</t>
  </si>
  <si>
    <t>TST!VictoriaSeriesLabel</t>
  </si>
  <si>
    <t xml:space="preserve"> - Japan</t>
  </si>
  <si>
    <t>Days100 Japan</t>
  </si>
  <si>
    <t>At Sat 18-Apr Australia 2589 cases per 10M was 141 days behind Italy, 126 days behind USA, -131days behind China, -119 days behind South Korea, 125 days behind UK</t>
  </si>
  <si>
    <t>5.27 k</t>
  </si>
  <si>
    <t xml:space="preserve">b=0.258, d=4.91E-05, P0=.001, r2=0.8055, Limit=2.08 k=&gt;5.27 k cases </t>
  </si>
  <si>
    <t>Australia Limit 2.08 k r^2=80.55%</t>
  </si>
  <si>
    <t>COVID19 Australia P(t) = b / {d+[( b/Po - d ) ]* exp(-b*t)}
b=0.258, d=4.91E-05, P0=.001, r2=0.8055, Limit=2.08 k=&gt;5.27 k cases 
 (Fit: Sat 25-Jan - Sat 18-Apr)</t>
  </si>
  <si>
    <t>At Sat 18-Apr NSW 3634 cases per 10M was 34 days behind Italy, 21 days behind USA &amp; -27 days behind China, -20 days behind South Korea, 18 days behind UK</t>
  </si>
  <si>
    <t xml:space="preserve">b=0.238, d=8.13E-05, P0=.001, r2=0.9996, Limit=3.62 k=&gt;2.93 k cases </t>
  </si>
  <si>
    <t>COVID19 NSW P(t) = b / {d+[( b/Po - d ) ]* exp(-b*t)}
b=0.238, d=8.13E-05, P0=.001, r2=0.9996, Limit=3.62 k=&gt;2.93 k cases 
 (Fit: Sat 25-Jan - Sat 18-Apr)</t>
  </si>
  <si>
    <t>Italy Limit 21.9 k r^2=93.42%</t>
  </si>
  <si>
    <t xml:space="preserve">b=0.255, d=1.92E-06, P0=.443, r2=0.9342, Limit=21.9 k=&gt;132 k cases </t>
  </si>
  <si>
    <t>COVID19 Italy P(t) = b / {d+[( b/Po - d ) ]* exp(-b*t)}
b=0.255, d=1.92E-06, P0=.443, r2=0.9342, Limit=21.9 k=&gt;132 k cases 
 (Fit: Thu 30-Jan - Fri 17-Apr)</t>
  </si>
  <si>
    <t>USA Limit 19.2 k r^2=97.45%</t>
  </si>
  <si>
    <t>At Sat 18-Apr Australia 2589 cases per 10M was 141 days behind Italy, 126 days behind USA, -131days behind China, -119 days behind South Korea, 125 days behind UK
At Sat 18-Apr NSW 3634 cases per 10M was 34 days behind Italy, 21 days behind USA &amp; -27 days behind China, -20 days behind South Korea, 18 days behind UK</t>
  </si>
  <si>
    <t xml:space="preserve">b=0.284, d=4.48E-07, P0=.001, r2=0.9745, Limit=19.2 k=&gt;633 k cases </t>
  </si>
  <si>
    <t>COVID19 USA P(t) = b / {d+[( b/Po - d ) ]* exp(-b*t)}
b=0.284, d=4.48E-07, P0=.001, r2=0.9745, Limit=19.2 k=&gt;633 k cases 
 (Fit: Wed 22-Jan - Fri 17-Apr)</t>
  </si>
  <si>
    <t xml:space="preserve">568  </t>
  </si>
  <si>
    <t xml:space="preserve">b=0.221, d=2.70E-06, P0=1564.332, r2=0.9953, Limit=568  =&gt;81.7 k cases </t>
  </si>
  <si>
    <t>China Limit 568   r^2=99.53%</t>
  </si>
  <si>
    <t>COVID19 China P(t) = b / {d+[( b/Po - d ) ]* exp(-b*t)}
b=0.221, d=2.70E-06, P0=1564.332, r2=0.9953, Limit=568  =&gt;81.7 k cases 
 (Fit: Wed 22-Jan - Fri 17-Apr)</t>
  </si>
  <si>
    <t>9.85 k</t>
  </si>
  <si>
    <t>1.92 k</t>
  </si>
  <si>
    <t xml:space="preserve">b=0.202, d=2.05E-05, P0=2.021, r2=0.9884, Limit=1.92 k=&gt;9.85 k cases , log fit from 19th Feb </t>
  </si>
  <si>
    <t>South Korea Limit 1.92 k r^2=98.84%</t>
  </si>
  <si>
    <t>COVID19 South Korea P(t) = b / {d+[( b/Po - d ) ]* exp(-b*t)}
b=0.202, d=2.05E-05, P0=2.021, r2=0.9884, Limit=1.92 k=&gt;9.85 k cases , log fit from 19th Feb 
 (Fit: Wed 22-Jan - Fri 17-Apr)</t>
  </si>
  <si>
    <t>104 k</t>
  </si>
  <si>
    <t>15.7 k</t>
  </si>
  <si>
    <t xml:space="preserve">b=0.214, d=2.05E-06, P0=.088, r2=0.9884, Limit=15.7 k=&gt;104 k cases </t>
  </si>
  <si>
    <t>United Kingdom Limit 15.7 k r^2=98.84%</t>
  </si>
  <si>
    <t>COVID19 United Kingdom P(t) = b / {d+[( b/Po - d ) ]* exp(-b*t)}
b=0.214, d=2.05E-06, P0=.088, r2=0.9884, Limit=15.7 k=&gt;104 k cases 
 (Fit: Thu 30-Jan - Fri 17-Apr)</t>
  </si>
  <si>
    <t>100 G</t>
  </si>
  <si>
    <t>172 G</t>
  </si>
  <si>
    <t xml:space="preserve">b=0.1, d=1.00E-12, P0=.899, r2=0.987, Limit=172 G=&gt;1.29 G cases </t>
  </si>
  <si>
    <t>Singapore Limit 172 G r^2=98.70%</t>
  </si>
  <si>
    <t>COVID19 Singapore P(t) = b / {d+[( b/Po - d ) ]* exp(-b*t)}
b=0.1, d=1.00E-12, P0=.899, r2=0.987, Limit=172 G=&gt;1.29 G cases 
 (Fit: Mon 10-Feb - Fri 17-Apr)</t>
  </si>
  <si>
    <t>143 k</t>
  </si>
  <si>
    <t>176 k</t>
  </si>
  <si>
    <t xml:space="preserve">b=0.176, d=1.24E-06, P0=4294.861, r2=0.9867, Limit=176 k=&gt;158 k cases </t>
  </si>
  <si>
    <t>Tests Limit 176 k r^2=98.67%</t>
  </si>
  <si>
    <t>COVID19 Tests P(t) = b / {d+[( b/Po - d ) ]* exp(-b*t)}
b=0.176, d=1.24E-06, P0=4294.861, r2=0.9867, Limit=176 k=&gt;158 k cases 
 (Fit: Fri 06-Mar - Fri 17-Apr)</t>
  </si>
  <si>
    <t>Ireland Limit 51.9 k r^2=99.52%</t>
  </si>
  <si>
    <t xml:space="preserve">b=0.129, d=5.09E-06, P0=61.269, r2=0.9952, Limit=51.9 k=&gt;25.4 k cases </t>
  </si>
  <si>
    <t>COVID19 Ireland P(t) = b / {d+[( b/Po - d ) ]* exp(-b*t)}
b=0.129, d=5.09E-06, P0=61.269, r2=0.9952, Limit=51.9 k=&gt;25.4 k cases 
 (Fit: Sat 29-Feb - Fri 17-Apr)</t>
  </si>
  <si>
    <t xml:space="preserve">b=0.296, d=2.66E-04, P0=562.149, r2=0.982, Limit=2.27 k=&gt;1.11 k cases </t>
  </si>
  <si>
    <t>NSWUnknown Limit 2.27 k r^2=98.20%</t>
  </si>
  <si>
    <t>COVID19 NSWUnknown P(t) = b / {d+[( b/Po - d ) ]* exp(-b*t)}
b=0.296, d=2.66E-04, P0=562.149, r2=0.982, Limit=2.27 k=&gt;1.11 k cases 
 (Fit: Mon 30-Mar - Sat 18-Apr)</t>
  </si>
  <si>
    <t xml:space="preserve">411  </t>
  </si>
  <si>
    <t xml:space="preserve">68.0  </t>
  </si>
  <si>
    <t xml:space="preserve">b=0.16, d=3.89E-04, P0=.021, r2=0.9882, Limit=68.0  =&gt;411   cases </t>
  </si>
  <si>
    <t>Taiwan Limit 68.0   r^2=98.82%</t>
  </si>
  <si>
    <t>COVID19 Taiwan P(t) = b / {d+[( b/Po - d ) ]* exp(-b*t)}
b=0.16, d=3.89E-04, P0=.021, r2=0.9882, Limit=68.0  =&gt;411   cases 
 (Fit: Wed 22-Jan - Fri 17-Apr)</t>
  </si>
  <si>
    <t>1.42 k</t>
  </si>
  <si>
    <t>2.71 k</t>
  </si>
  <si>
    <t xml:space="preserve">b=0.246, d=1.74E-04, P0=.434, r2=0.9987, Limit=2.71 k=&gt;1.42 k cases </t>
  </si>
  <si>
    <t>New Zealand Limit 2.71 k r^2=99.87%</t>
  </si>
  <si>
    <t>COVID19 New Zealand P(t) = b / {d+[( b/Po - d ) ]* exp(-b*t)}
b=0.246, d=1.74E-04, P0=.434, r2=0.9987, Limit=2.71 k=&gt;1.42 k cases 
 (Fit: Thu 27-Feb - Fri 17-Apr)</t>
  </si>
  <si>
    <t>BES Islands</t>
  </si>
  <si>
    <t>American Samoa</t>
  </si>
  <si>
    <t>Guam</t>
  </si>
  <si>
    <t>Northern Mariana Islands</t>
  </si>
  <si>
    <t>Puerto Rico</t>
  </si>
  <si>
    <t>Virgin Islands</t>
  </si>
  <si>
    <t>Alabama</t>
  </si>
  <si>
    <t>Alaska</t>
  </si>
  <si>
    <t>Arizona</t>
  </si>
  <si>
    <t>Arkansas</t>
  </si>
  <si>
    <t>California</t>
  </si>
  <si>
    <t>Colorado</t>
  </si>
  <si>
    <t>Connecticut</t>
  </si>
  <si>
    <t>Delaware</t>
  </si>
  <si>
    <t>District of Columbia</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</si>
  <si>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</si>
  <si>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</si>
  <si>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</si>
  <si>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</si>
  <si>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</si>
  <si>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</si>
  <si>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</si>
  <si>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</si>
  <si>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</si>
  <si>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</si>
  <si>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</si>
  <si>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</si>
  <si>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</si>
  <si>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</si>
  <si>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</si>
  <si>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</si>
  <si>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</si>
  <si>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</si>
  <si>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</si>
  <si>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</si>
  <si>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</si>
  <si>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</si>
  <si>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</si>
  <si>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</si>
  <si>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</si>
  <si>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</si>
  <si>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</si>
  <si>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</si>
  <si>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</si>
  <si>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</si>
  <si>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</si>
  <si>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</si>
  <si>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</si>
  <si>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</si>
  <si>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</si>
  <si>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</si>
  <si>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</si>
  <si>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</si>
  <si>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</si>
  <si>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</si>
  <si>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</si>
  <si>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Qld</t>
  </si>
  <si>
    <t>Queensland - Australia</t>
  </si>
  <si>
    <t>Days100 Queensland</t>
  </si>
  <si>
    <t>Government</t>
  </si>
  <si>
    <t>Labor</t>
  </si>
  <si>
    <t>Liberal</t>
  </si>
  <si>
    <t>COVID19 Cases per 10m population</t>
  </si>
  <si>
    <t>% of Qld</t>
  </si>
  <si>
    <t>Tasmania - Australia</t>
  </si>
  <si>
    <t>Days100 Tasmania</t>
  </si>
  <si>
    <t>Tas</t>
  </si>
  <si>
    <t>=SUBSTITUTE([@ChartLabel]," since " &amp; solvMsgs!MinCases,"")</t>
  </si>
  <si>
    <t>ChartLabel2</t>
  </si>
  <si>
    <t>Dates</t>
  </si>
  <si>
    <t>=MaxDateInRange(tblData[Au])</t>
  </si>
  <si>
    <t>South Australia - Australia</t>
  </si>
  <si>
    <t>Western Australia - Australia</t>
  </si>
  <si>
    <t>offset</t>
  </si>
  <si>
    <t>Days100 Western Australia</t>
  </si>
  <si>
    <t>Days100 South Australia</t>
  </si>
  <si>
    <t>=LOGEST(myData!TestsCases,myData!TestsDayNo,TRUE,TRUE)</t>
  </si>
  <si>
    <t xml:space="preserve">Found 50 in 0 sheets </t>
  </si>
  <si>
    <t>myData; 50_x000D_</t>
  </si>
  <si>
    <t xml:space="preserve">Found 113 in 0 sheets </t>
  </si>
  <si>
    <t>myData; 113_x000D_</t>
  </si>
  <si>
    <t>=OFFSET(tblData[[#Headers],[Au Cases Per Capita]],MATCH(myData!StartDt2Au,tblData[Dates],0)+1,0,COUNTIF(tblData[Au],"&gt;0")+MATCH(0,tblData[Au],0)-MATCH(myData!StartDt2Au,tblData[Dates],0),1)</t>
  </si>
  <si>
    <t xml:space="preserve">Found 4 in 0 sheets </t>
  </si>
  <si>
    <t>myData; 2_x000D_</t>
  </si>
  <si>
    <t>=OFFSET(tblData[[#Headers],[Dates]],MATCH(myData!StartDt2Au,tblData[Dates],0)+1,0,COUNTIF(tblData[Au],"&gt;0"),1)</t>
  </si>
  <si>
    <t xml:space="preserve">Found 3 in 0 sheets </t>
  </si>
  <si>
    <t>myData; 1_x000D_</t>
  </si>
  <si>
    <t>=OFFSET(tblData[[#Headers],[Au LogiP(t) Per Capita]],1+MATCH(myData!StartDt2Au,tblData[Dates],0),0,COUNT(tblData[Au LogiP(t)]),1)</t>
  </si>
  <si>
    <t xml:space="preserve">Found 2 in 0 sheets </t>
  </si>
  <si>
    <t>Chart Index; 2_x000D_</t>
  </si>
  <si>
    <t>=OFFSET(tblData[[#Headers],[Dates]],MATCH(myData!StartDt2Au,tblData[Dates],0)+1,0,COUNT(tblData[Au LogiP(t)]),1)</t>
  </si>
  <si>
    <t xml:space="preserve">Found 20 in 0 sheets </t>
  </si>
  <si>
    <t>myData; 20_x000D_</t>
  </si>
  <si>
    <t xml:space="preserve">Found 222 in 0 sheets </t>
  </si>
  <si>
    <t>myData; 222_x000D_</t>
  </si>
  <si>
    <t xml:space="preserve">Found 220 in 0 sheets </t>
  </si>
  <si>
    <t>myData; 220_x000D_</t>
  </si>
  <si>
    <t xml:space="preserve">Found 110 in 0 sheets </t>
  </si>
  <si>
    <t>myData; 110_x000D_</t>
  </si>
  <si>
    <t xml:space="preserve">Found 1405 in 0 sheets </t>
  </si>
  <si>
    <t>myData; 1405_x000D_</t>
  </si>
  <si>
    <t xml:space="preserve">Found 112 in 0 sheets </t>
  </si>
  <si>
    <t>myData; 112_x000D_</t>
  </si>
  <si>
    <t xml:space="preserve">Found 114 in 0 sheets </t>
  </si>
  <si>
    <t>myData; 114_x000D_</t>
  </si>
  <si>
    <t xml:space="preserve">Found 166 in 0 sheets </t>
  </si>
  <si>
    <t>myData; 166_x000D_</t>
  </si>
  <si>
    <t xml:space="preserve">Found 54 in 0 sheets </t>
  </si>
  <si>
    <t>myData; 54_x000D_</t>
  </si>
  <si>
    <t xml:space="preserve">Found 1374 in 0 sheets </t>
  </si>
  <si>
    <t>myData; 1374_x000D_</t>
  </si>
  <si>
    <t xml:space="preserve">Found 111 in 0 sheets </t>
  </si>
  <si>
    <t>myData; 111_x000D_</t>
  </si>
  <si>
    <t xml:space="preserve">Found 163 in 0 sheets </t>
  </si>
  <si>
    <t>myData; 163_x000D_</t>
  </si>
  <si>
    <t xml:space="preserve">Found 53 in 0 sheets </t>
  </si>
  <si>
    <t>myData; 53_x000D_</t>
  </si>
  <si>
    <t xml:space="preserve">Found 1 in 0 sheets </t>
  </si>
  <si>
    <t>Chart Index; 1_x000D_</t>
  </si>
  <si>
    <t>=OFFSET(tblData[[#Headers],[Dates]],1,0,COUNTA(tblData[China]),1)</t>
  </si>
  <si>
    <t>=OFFSET(tblData[[#Headers],[China LogiP(t) Per Capita]],MATCH(myData!StartDt2China,tblData[Dates],0),0,COUNTA(tblData[China LogiP(t)]),1)</t>
  </si>
  <si>
    <t>=OFFSET(tblData[[#Headers],[Dates]],MATCH(myData!StartDt2China,tblData[Dates],0),0,COUNTA(tblData[China LogiP(t)]),1)</t>
  </si>
  <si>
    <t xml:space="preserve">Found 223 in 0 sheets </t>
  </si>
  <si>
    <t>myData; 223_x000D_</t>
  </si>
  <si>
    <t>solvMsgs; 1_x000D_</t>
  </si>
  <si>
    <t xml:space="preserve">Found 9 in 0 sheets </t>
  </si>
  <si>
    <t>TST; 9_x000D_</t>
  </si>
  <si>
    <t xml:space="preserve">Found 1410 in 0 sheets </t>
  </si>
  <si>
    <t>myData; 1410_x000D_</t>
  </si>
  <si>
    <t xml:space="preserve">Found 115 in 0 sheets </t>
  </si>
  <si>
    <t>myData; 115_x000D_</t>
  </si>
  <si>
    <t>Chart Index; 4_x000D_</t>
  </si>
  <si>
    <t>=myData!GenericLogi OFFSET(tblData[Generic LogiP(t) Per Capita],MATCH(solvMsgs!MinCases,tblData[Generic Cases Per Capita],1),0,COUNT(tblData[Dates]),1)</t>
  </si>
  <si>
    <t>=tblData[Generic100Days] OFFSET(tblData[[#Headers],[Generic100Days]],MATCH(solvMsgs!MinCases,tblData[Generic Cases Per Capita],1)+1,0,COUNT(tblData[Dates]),1)</t>
  </si>
  <si>
    <t>=OFFSET(tblData[[#Headers],[Generic Cases Per Capita]],MATCH(myData!StartDt2Generic,tblData[Dates],0)+0,0,COUNTIF(tblData[Generic],"&gt;0")+MATCH(MIN(tblData[Generic]),tblData[Generic],0)-MATCH(myData!StartDt2Generic,tblData[Dates],0)+1,1)</t>
  </si>
  <si>
    <t>=OFFSET(tblData[[#Headers],[Dates]],MATCH(MIN(tblData[Generic]),tblData[Generic],0)+1,0,COUNTIF(tblData[Generic],"&gt;0"),1)</t>
  </si>
  <si>
    <t>=OFFSET(tblData[[#Headers],[Generic LogiP(t) Per Capita]],1+MATCH(myData!StartDt2Generic,tblData[Dates],0),0,COUNT(tblData[Generic LogiP(t)]),1)</t>
  </si>
  <si>
    <t>=OFFSET(tblData[[#Headers],[Dates]],1+MATCH(myData!StartDt2Generic,tblData[Dates],0),0,COUNT(tblData[Generic LogiP(t)]),1)</t>
  </si>
  <si>
    <t>myData; 4_x000D_</t>
  </si>
  <si>
    <t>myData; 3_x000D_</t>
  </si>
  <si>
    <t xml:space="preserve">Found 7 in 0 sheets </t>
  </si>
  <si>
    <t>=TST!$A$5:$LK$5</t>
  </si>
  <si>
    <t xml:space="preserve">Found 711 in 0 sheets </t>
  </si>
  <si>
    <t>TST; 711_x000D_</t>
  </si>
  <si>
    <t>=myData!$FO:$FO</t>
  </si>
  <si>
    <t xml:space="preserve">Found 89 in 0 sheets </t>
  </si>
  <si>
    <t>TST; 89_x000D_</t>
  </si>
  <si>
    <t>=TST!$LS$9</t>
  </si>
  <si>
    <t>TST; 1_x000D_</t>
  </si>
  <si>
    <t>=TST!$LS$8</t>
  </si>
  <si>
    <t>=TST!$LS$4</t>
  </si>
  <si>
    <t>=myData!ItalyCases OFFSET(tblData[Italy Cases per Capita],MATCH(solvMsgs!MinCases,tblData[Italy Cases per Capita],1),0,COUNT(tblData[Dates]),1)</t>
  </si>
  <si>
    <t xml:space="preserve">Found 5 in 0 sheets </t>
  </si>
  <si>
    <t>=tblData[Italy100Days] OFFSET(tblData[Italy100Days],MATCH(solvMsgs!MinCases,tblData[Italy Cases per Capita],1),0,COUNT(tblData[Dates],0),1)</t>
  </si>
  <si>
    <t>=myData!ItalyLogi OFFSET(tblData[Italy LogiP(t) Per Capita],MATCH(solvMsgs!MinCases,tblData[Italy Cases per Capita],1),0,COUNT(tblData[Dates]),1)</t>
  </si>
  <si>
    <t>Chart Index; 3_x000D_</t>
  </si>
  <si>
    <t>=tblData[Italy100Days] OFFSET(tblData[Italy100Days],MATCH(solvMsgs!MinCases,tblData[Italy Cases per Capita],1),0,COUNT(tblData[Dates]),1)</t>
  </si>
  <si>
    <t>=OFFSET(tblData[[#Headers],[Italy Cases per Capita]],MATCH(myData!StartDt2Italy,tblData[Dates],0)+1,0,COUNTIF(tblData[Italy],"&gt;0")+MATCH(0,tblData[Italy],0)-MATCH(myData!StartDt2Italy,tblData[Dates],0),1)</t>
  </si>
  <si>
    <t>=OFFSET(tblData[[#Headers],[Dates]],MATCH(myData!StartDt2Italy,tblData[Dates],0)+1,0,COUNTIF(tblData[Italy],"&gt;0")+MATCH(0,tblData[Italy],0)-MATCH(myData!StartDt2Italy,tblData[Dates],0),1)</t>
  </si>
  <si>
    <t>=OFFSET(tblData[[#Headers],[Italy LogiP(t) Per Capita]],MATCH(myData!StartDt2Italy,tblData[Dates],0)+1,0,COUNTIF(tblData[Italy LogiP(t)],"&gt;0"),1)</t>
  </si>
  <si>
    <t>=OFFSET(tblData[[#Headers],[Dates]],MATCH(myData!StartDt2Italy,tblData[Dates],0)+1,0,COUNTIF(tblData[Italy LogiP(t)],"&gt;0"),1)</t>
  </si>
  <si>
    <t xml:space="preserve">Found 224 in 0 sheets </t>
  </si>
  <si>
    <t>myData; 224_x000D_</t>
  </si>
  <si>
    <t>=TST!$LU$9</t>
  </si>
  <si>
    <t>=TST!$LU$8</t>
  </si>
  <si>
    <t>=TST!$LU$4</t>
  </si>
  <si>
    <t xml:space="preserve">Found 22 in 0 sheets </t>
  </si>
  <si>
    <t>solvMsgs; 22_x000D_</t>
  </si>
  <si>
    <t>=myData!$GN$2</t>
  </si>
  <si>
    <t xml:space="preserve">Found 14 in 0 sheets </t>
  </si>
  <si>
    <t>myData; 14_x000D_</t>
  </si>
  <si>
    <t xml:space="preserve">Found 34 in 0 sheets </t>
  </si>
  <si>
    <t>myData; 33_x000D_</t>
  </si>
  <si>
    <t xml:space="preserve">Found 8 in 0 sheets </t>
  </si>
  <si>
    <t>=tblData[NSW100Days] OFFSET(tblData[NSW100Days],MATCH(solvMsgs!MinCases,tblData[NSW Cases per Capita],1),0,COUNT(tblData[Dates],0),1)</t>
  </si>
  <si>
    <t>=OFFSET(tblData[[#Headers],[NSW Cases per Capita]],MATCH(myData!StartDt2NSW,tblData[Dates],0)+1,0,COUNTIF(tblData[NSW],"&gt;0")+MATCH(0,tblData[NSW],0)-MATCH(myData!StartDt2NSW,tblData[Dates],0),1)</t>
  </si>
  <si>
    <t>myData; 47_x000D_</t>
  </si>
  <si>
    <t>=OFFSET(tblData[[#Headers],[Dates]],MATCH(myData!StartDt2NSW,tblData[Dates],0)+1,0,COUNTIF(tblData[NSW],"&gt;0"),1)</t>
  </si>
  <si>
    <t>myData; 31_x000D_</t>
  </si>
  <si>
    <t xml:space="preserve">Found 12 in 0 sheets </t>
  </si>
  <si>
    <t>myData; 12_x000D_</t>
  </si>
  <si>
    <t>=OFFSET(tblData[[#Headers],[NSW Cases LogEst]],MATCH(0,tblData[NSW],0)+1,0,COUNTA(tblData[Dates])-MATCH(0,tblData[NSW],0),1)</t>
  </si>
  <si>
    <t>=OFFSET(tblData[[#Headers],[Nsw LogiP(t) Per Capita]],MATCH(myData!StartDt2NSW,tblData[Dates],0)+1,0,COUNT(tblData[NSW LogiP(t)]),1)</t>
  </si>
  <si>
    <t>=OFFSET(tblData[[#Headers],[Dates]],MATCH(myData!StartDt2NSW,tblData[Dates],0)+1,0,COUNT(tblData[Nsw LogiP(t) Per Capita]),1)</t>
  </si>
  <si>
    <t xml:space="preserve">Found 557 in 0 sheets </t>
  </si>
  <si>
    <t>myData; 557_x000D_</t>
  </si>
  <si>
    <t>StateCompare</t>
  </si>
  <si>
    <t>StateCompare!NSWpop</t>
  </si>
  <si>
    <t>=StateCompare!$A$9</t>
  </si>
  <si>
    <t xml:space="preserve">Found 551 in 0 sheets </t>
  </si>
  <si>
    <t>myData; 551_x000D_</t>
  </si>
  <si>
    <t>StateCompare!NSWpopscale</t>
  </si>
  <si>
    <t>=StateCompare!$A$10</t>
  </si>
  <si>
    <t>Chart Index; 5_x000D_</t>
  </si>
  <si>
    <t>=myData!NZCases OFFSET(tblData[NZ Cases per Capita],MATCH(solvMsgs!MinCases,tblData[NZ Cases per Capita],1),0,COUNT(tblData[Dates]),1)</t>
  </si>
  <si>
    <t>=tblData[NZ100Days] OFFSET(tblData[NZ100Days],MATCH(solvMsgs!MinCases,tblData[NZ Cases per Capita],1),0,COUNT(tblData[Dates],0),1)</t>
  </si>
  <si>
    <t>=myData!NZLogi OFFSET(tblData[NZ LogiP(t) Per Capita],MATCH(solvMsgs!MinCases,tblData[NZ Cases per Capita],1),0,COUNT(tblData[Dates]),1)</t>
  </si>
  <si>
    <t>=tblData[NZ100Days] OFFSET(tblData[NZ100Days],MATCH(solvMsgs!MinCases,tblData[NZ Cases per Capita],1),0,COUNT(tblData[Dates]),1)</t>
  </si>
  <si>
    <t>=OFFSET(tblData[[#Headers],[NZ Cases per Capita]],MATCH(myData!StartDt2NZ,tblData[Dates],0)+1,0,COUNTIF(tblData[NZ],"&gt;0")+MATCH(0,tblData[NZ],0)-MATCH(myData!StartDt2NZ,tblData[Dates],0),1)</t>
  </si>
  <si>
    <t>=OFFSET(tblData[[#Headers],[Dates]],MATCH(myData!StartDt2NZ,tblData[Dates],0)+1,0,COUNTIF(tblData[NZ],"&gt;0")+MATCH(0,tblData[NZ],0)-MATCH(myData!StartDt2NZ,tblData[Dates],0),1)</t>
  </si>
  <si>
    <t>=OFFSET(tblData[[#Headers],[NZ LogiP(t) Per Capita]],MATCH(myData!StartDt2NZ,tblData[Dates],0)+1,0,COUNTIF(tblData[NZ LogiP(t)],"&gt;0"),1)</t>
  </si>
  <si>
    <t>=OFFSET(tblData[[#Headers],[Dates]],MATCH(myData!StartDt2NZ,tblData[Dates],0)+1,0,COUNTIF(tblData[NZ LogiP(t)],"&gt;0"),1)</t>
  </si>
  <si>
    <t xml:space="preserve">Found 46 in 0 sheets </t>
  </si>
  <si>
    <t>StateCompare!PerPerson</t>
  </si>
  <si>
    <t>=StateCompare!$I$3</t>
  </si>
  <si>
    <t>myData; 5_x000D_</t>
  </si>
  <si>
    <t xml:space="preserve">Found 5296 in 0 sheets </t>
  </si>
  <si>
    <t>time_series_19-covid-Confirmed; 4_x000D_</t>
  </si>
  <si>
    <t xml:space="preserve">Found 55 in 0 sheets </t>
  </si>
  <si>
    <t>myData; 55_x000D_</t>
  </si>
  <si>
    <t>StateCompare!PopScaling</t>
  </si>
  <si>
    <t>=StateCompare!$G$3</t>
  </si>
  <si>
    <t>Queensland100Cases</t>
  </si>
  <si>
    <t>TST!Queensland100Cases</t>
  </si>
  <si>
    <t>=TST!QueenslandPCcases OFFSET(TST!QueenslandCapita,MATCH(solvMsgs!MinCases,TST!QueenslandPCcases,1)+1,0,COUNTA(TST!QueenslandPCcases),1)</t>
  </si>
  <si>
    <t>Queensland100Days</t>
  </si>
  <si>
    <t>TST!Queensland100Days</t>
  </si>
  <si>
    <t>=OFFSET(TST!Queensland100Cases,0,-1)</t>
  </si>
  <si>
    <t>Queensland100dt</t>
  </si>
  <si>
    <t>TST!Queensland100dt</t>
  </si>
  <si>
    <t>=INDEX(OFFSET(TST!$A:$A,10,0,COUNTA(TST!$A:$A),1),MATCH(solvMsgs!MinCases,TST!QueenslandPCcases,1),1)</t>
  </si>
  <si>
    <t xml:space="preserve">Found 93 in 0 sheets </t>
  </si>
  <si>
    <t>TST; 93_x000D_</t>
  </si>
  <si>
    <t>QueenslandCapita</t>
  </si>
  <si>
    <t>TST!QueenslandCapita</t>
  </si>
  <si>
    <t>=TST!$LW$9</t>
  </si>
  <si>
    <t>QueenslandPCcases</t>
  </si>
  <si>
    <t>TST!QueenslandPCcases</t>
  </si>
  <si>
    <t>=OFFSET(TST!QueenslandCapita,1,0,TST!TSTDays+1,1)</t>
  </si>
  <si>
    <t>QueenslandPopScale</t>
  </si>
  <si>
    <t>TST!QueenslandPopScale</t>
  </si>
  <si>
    <t>=TST!$LW$8</t>
  </si>
  <si>
    <t>QueenslandSeriesLabel</t>
  </si>
  <si>
    <t>TST!QueenslandSeriesLabel</t>
  </si>
  <si>
    <t>=TST!$LW$4</t>
  </si>
  <si>
    <t>=tblData[Singapore100Days] OFFSET(tblData[Singapore100Days],MATCH(solvMsgs!MinCases,tblData[Singapore Cases Per Capita],1),0,COUNT(tblData[Dates],0),1)</t>
  </si>
  <si>
    <t>=OFFSET(tblData[[#Headers],[Singapore Cases Per Capita]],MATCH(myData!StartDt2Singapore,tblData[Dates],0)+1,0,COUNTIF(tblData[Singapore],"&gt;0")+MATCH(0,tblData[Singapore],0)-MATCH(myData!StartDt2Singapore,tblData[Dates],0),1)</t>
  </si>
  <si>
    <t>=OFFSET(tblData[[#Headers],[Dates]],MATCH(myData!StartDt2Singapore,tblData[Dates],0)+1,0,COUNTIF(tblData[Singapore],"&gt;0")+MATCH(0,tblData[Singapore],0)-MATCH(myData!StartDt2Singapore,tblData[Dates],0),1)</t>
  </si>
  <si>
    <t>=OFFSET(tblData[[#Headers],[Singapore LogiP(t) Per Capita]],MATCH(myData!StartDt2Singapore,tblData[Dates],0),0,COUNT(tblData[Singapore LogiP(t)]),1)</t>
  </si>
  <si>
    <t>=OFFSET(tblData[[#Headers],[Dates]],MATCH(myData!StartDt2Singapore,tblData[Dates],0),0,COUNT(tblData[Singapore LogiP(t) Per Capita]),1)</t>
  </si>
  <si>
    <t>=tblData[SKorea100Days] OFFSET(tblData[SKorea100Days],MATCH(solvMsgs!MinCases,tblData[SKorea Cases Per Capita],1),0,COUNT(tblData[Dates],0),1)</t>
  </si>
  <si>
    <t>=OFFSET(tblData[[#Headers],[SKorea Cases Per Capita]],MATCH(myData!StartDt2SKorea,tblData[Dates],0),0,COUNTIF(tblData[SKorea],"&gt;0")+MATCH(1,tblData[SKorea],0)-MATCH(myData!StartDt2SKorea,tblData[Dates],0),1)</t>
  </si>
  <si>
    <t>=OFFSET(tblData[[#Headers],[Dates]],MATCH(myData!StartDt2SKorea,tblData[Dates],0),0,COUNTIF(tblData[SKorea],"&gt;0")-MATCH(myData!StartDt2SKorea,tblData[Dates],0)+1,1)</t>
  </si>
  <si>
    <t>=OFFSET(tblData[[#Headers],[Skorea LogiP(t) Per Capita]],MATCH(myData!StartDt2SKorea,tblData[Dates],0)+1,0,COUNTIF(tblData[SKorea LogiP(t)],"&gt;0"),1)</t>
  </si>
  <si>
    <t>=OFFSET(tblData[[#Headers],[Dates]],MATCH(myData!StartDt2SKorea,tblData[Dates],0)+1,0,COUNTIF(tblData[SKorea LogiP(t)],"&gt;0"),1)</t>
  </si>
  <si>
    <t>SouthAustralia100Cases</t>
  </si>
  <si>
    <t>TST!SouthAustralia100Cases</t>
  </si>
  <si>
    <t>=TST!SouthAustraliaPCcases OFFSET(TST!SouthAustraliaCapita,MATCH(solvMsgs!MinCases,TST!SouthAustraliaPCcases,1)+1,0,COUNTA(TST!SouthAustraliaPCcases),1)</t>
  </si>
  <si>
    <t>SouthAustralia100Days</t>
  </si>
  <si>
    <t>TST!SouthAustralia100Days</t>
  </si>
  <si>
    <t>=OFFSET(TST!SouthAustralia100Cases,0,-1)</t>
  </si>
  <si>
    <t>SouthAustralia100dt</t>
  </si>
  <si>
    <t>TST!SouthAustralia100dt</t>
  </si>
  <si>
    <t>=INDEX(OFFSET(TST!$A:$A,10,0,COUNTA(TST!$A:$A),1),MATCH(solvMsgs!MinCases,TST!SouthAustraliaPCcases,1),1)</t>
  </si>
  <si>
    <t xml:space="preserve">Found 88 in 0 sheets </t>
  </si>
  <si>
    <t>TST; 88_x000D_</t>
  </si>
  <si>
    <t>SouthAustraliaCapita</t>
  </si>
  <si>
    <t>TST!SouthAustraliaCapita</t>
  </si>
  <si>
    <t>=TST!$MA$9</t>
  </si>
  <si>
    <t>SouthAustraliaPCcases</t>
  </si>
  <si>
    <t>TST!SouthAustraliaPCcases</t>
  </si>
  <si>
    <t>=OFFSET(TST!SouthAustraliaCapita,1,0,TST!TSTDays+1,1)</t>
  </si>
  <si>
    <t>SouthAustraliaPopScale</t>
  </si>
  <si>
    <t>TST!SouthAustraliaPopScale</t>
  </si>
  <si>
    <t>=TST!$MA$8</t>
  </si>
  <si>
    <t>SouthAustraliaSeriesLabel</t>
  </si>
  <si>
    <t>TST!SouthAustraliaSeriesLabel</t>
  </si>
  <si>
    <t>=TST!$MA$4</t>
  </si>
  <si>
    <t>=TST!$LO$9</t>
  </si>
  <si>
    <t>=TST!$LO$8</t>
  </si>
  <si>
    <t>=TST!$LO$4</t>
  </si>
  <si>
    <t xml:space="preserve">Found 330 in 0 sheets </t>
  </si>
  <si>
    <t>myData; 330_x000D_</t>
  </si>
  <si>
    <t xml:space="preserve">Found 550 in 0 sheets </t>
  </si>
  <si>
    <t>myData; 550_x000D_</t>
  </si>
  <si>
    <t xml:space="preserve">Found 660 in 0 sheets </t>
  </si>
  <si>
    <t>myData; 660_x000D_</t>
  </si>
  <si>
    <t xml:space="preserve">Found 440 in 0 sheets </t>
  </si>
  <si>
    <t>myData; 440_x000D_</t>
  </si>
  <si>
    <t xml:space="preserve">Found 108 in 0 sheets </t>
  </si>
  <si>
    <t>myData; 108_x000D_</t>
  </si>
  <si>
    <t xml:space="preserve">Found 21 in 0 sheets </t>
  </si>
  <si>
    <t>solvMsgs; 21_x000D_</t>
  </si>
  <si>
    <t>=TST!$LM$9</t>
  </si>
  <si>
    <t>=TST!$LM$8</t>
  </si>
  <si>
    <t>=TST!$LM$4</t>
  </si>
  <si>
    <t>=myData!TaiwanCases OFFSET(tblData[Taiwan Cases per Capita],MATCH(solvMsgs!MinCases,tblData[Taiwan Cases per Capita],1),0,COUNT(tblData[Dates]),1)</t>
  </si>
  <si>
    <t>=tblData[Taiwan100Days] OFFSET(tblData[Taiwan100Days],MATCH(solvMsgs!MinCases,tblData[Taiwan Cases per Capita],1),0,COUNT(tblData[Dates],0),1)</t>
  </si>
  <si>
    <t>=myData!TaiwanLogi OFFSET(tblData[Taiwan LogiP(t) Per Capita],MATCH(solvMsgs!MinCases,tblData[Taiwan Cases per Capita],1),0,COUNT(tblData[Dates]),1)</t>
  </si>
  <si>
    <t>=tblData[Taiwan100Days] OFFSET(tblData[Taiwan100Days],MATCH(solvMsgs!MinCases,tblData[Taiwan Cases per Capita],1),0,COUNT(tblData[Dates]),1)</t>
  </si>
  <si>
    <t>=OFFSET(tblData[[#Headers],[Taiwan Cases per Capita]],MATCH(myData!StartDt2Taiwan,tblData[Dates],0),0,COUNTIF(tblData[Taiwan],"&gt;0")+MATCH(1,tblData[Taiwan],0)-MATCH(myData!StartDt2Taiwan,tblData[Dates],0),1)</t>
  </si>
  <si>
    <t>=OFFSET(tblData[[#Headers],[Dates]],MATCH(myData!StartDt2Taiwan,tblData[Dates],0),0,COUNTIF(tblData[Taiwan],"&gt;0"),1)</t>
  </si>
  <si>
    <t>=OFFSET(tblData[[#Headers],[Taiwan LogiP(t) Per Capita]],MATCH(myData!StartDt2Taiwan,tblData[Dates],0)+1,0,COUNTIF(tblData[Taiwan LogiP(t)],"&gt;0"),1)</t>
  </si>
  <si>
    <t>=OFFSET(tblData[[#Headers],[Dates]],MATCH(myData!StartDt2Taiwan,tblData[Dates],0)+1,0,COUNTIF(tblData[Taiwan LogiP(t)],"&gt;0"),1)</t>
  </si>
  <si>
    <t xml:space="preserve">Found 221 in 0 sheets </t>
  </si>
  <si>
    <t>myData; 221_x000D_</t>
  </si>
  <si>
    <t>Tasmania100Cases</t>
  </si>
  <si>
    <t>TST!Tasmania100Cases</t>
  </si>
  <si>
    <t>=TST!TasmaniaPCcases OFFSET(TST!TasmaniaCapita,MATCH(solvMsgs!MinCases,TST!TasmaniaPCcases,1)+1,0,COUNTA(TST!TasmaniaPCcases),1)</t>
  </si>
  <si>
    <t>Tasmania100Days</t>
  </si>
  <si>
    <t>TST!Tasmania100Days</t>
  </si>
  <si>
    <t>=OFFSET(TST!Tasmania100Cases,0,-1)</t>
  </si>
  <si>
    <t>Tasmania100dt</t>
  </si>
  <si>
    <t>TST!Tasmania100dt</t>
  </si>
  <si>
    <t>=INDEX(OFFSET(TST!$A:$A,10,0,COUNTA(TST!$A:$A),1),MATCH(solvMsgs!MinCases,TST!TasmaniaPCcases,1),1)</t>
  </si>
  <si>
    <t>TasmaniaCapita</t>
  </si>
  <si>
    <t>TST!TasmaniaCapita</t>
  </si>
  <si>
    <t>=TST!$LY$9</t>
  </si>
  <si>
    <t>TasmaniaPCcases</t>
  </si>
  <si>
    <t>TST!TasmaniaPCcases</t>
  </si>
  <si>
    <t>=OFFSET(TST!TasmaniaCapita,1,0,TST!TSTDays+1,1)</t>
  </si>
  <si>
    <t>TasmaniaPopScale</t>
  </si>
  <si>
    <t>TST!TasmaniaPopScale</t>
  </si>
  <si>
    <t>=TST!$LY$8</t>
  </si>
  <si>
    <t>TasmaniaSeriesLabel</t>
  </si>
  <si>
    <t>TST!TasmaniaSeriesLabel</t>
  </si>
  <si>
    <t>=TST!$LY$4</t>
  </si>
  <si>
    <t>=OFFSET(tblData[[#Headers],[Dates]],MATCH(0,tblData[Tests],0)+1,0,COUNT(tblData[Tests])-1,1)</t>
  </si>
  <si>
    <t>=OFFSET(tblData[[#Headers],[NSW Test Day Number]],MATCH(0,tblData[Tests],0)+1,0,COUNTA(tblData[Tests])-1,1)</t>
  </si>
  <si>
    <t xml:space="preserve">Found 15 in 0 sheets </t>
  </si>
  <si>
    <t>myData; 15_x000D_</t>
  </si>
  <si>
    <t>=OFFSET(tblData[[#Headers],[NSW Test LOGEST]],MATCH(0,tblData[Tests],0)+1,0,COUNTA(tblData[Dates])-MATCH(0,tblData[Tests],0),1)</t>
  </si>
  <si>
    <t xml:space="preserve">Found 117 in 0 sheets </t>
  </si>
  <si>
    <t>myData; 117_x000D_</t>
  </si>
  <si>
    <t>=OFFSET(tblData[[#Headers],[NSW Test Day Number]],MATCH(0,tblData[Tests],0)+1,0,COUNTA(tblData[Dates])-MATCH(0,tblData[Tests],0),1)</t>
  </si>
  <si>
    <t>=OFFSET(tblData[[#Headers],[NSW Test Logi]],MATCH(0,tblData[Tests],0)+1,0,COUNTA(tblData[Dates])-MATCH(0,tblData[Tests],0),1)</t>
  </si>
  <si>
    <t>=OFFSET(tblData[[#Headers],[Dates]],MATCH(0,tblData[Tests],0)+1,0,COUNTA(tblData[Dates])-MATCH(0,tblData[Tests],0),1)</t>
  </si>
  <si>
    <t xml:space="preserve">Found 10 in 0 sheets </t>
  </si>
  <si>
    <t>myData; 10_x000D_</t>
  </si>
  <si>
    <t>=tblData[UK100Days] OFFSET(tblData[UK100Days],MATCH(solvMsgs!MinCases,tblData[UK Cases Per Capita],1),0,COUNT(tblData[Dates],0),1)</t>
  </si>
  <si>
    <t>=OFFSET(tblData[[#Headers],[UK Cases Per Capita]],MATCH(myData!StartDt2UK,tblData[Dates],0)+1,0,COUNTIF(tblData[UK],"&gt;0")+MATCH(0,tblData[UK],0)-MATCH(myData!StartDt2UK,tblData[Dates],0),1)</t>
  </si>
  <si>
    <t>=OFFSET(tblData[[#Headers],[Dates]],MATCH(myData!StartDt2UK,tblData[Dates],0)+1,0,COUNTIF(tblData[UK],"&gt;0")+MATCH(0,tblData[UK],0)-MATCH(myData!StartDt2UK,tblData[Dates],0),1)</t>
  </si>
  <si>
    <t>=OFFSET(tblData[[#Headers],[UK LogiP(t) Per Capita]],MATCH(myData!StartDt2UK,tblData[Dates],0)+1,0,COUNTIF(tblData[UK LogiP(t)],"&gt;0"),1)</t>
  </si>
  <si>
    <t>=OFFSET(tblData[[#Headers],[Dates]],MATCH(myData!StartDt2UK,tblData[Dates],0)+1,0,COUNTIF(tblData[UK LogiP(t)],"&gt;0"),1)</t>
  </si>
  <si>
    <t>=tblData[US100Days] OFFSET(tblData[US100Days],MATCH(solvMsgs!MinCases,tblData[US Cases Per Capita],1),0,COUNT(tblData[Dates],0),1)</t>
  </si>
  <si>
    <t>=myData!USLogi OFFSET(tblData[US LogiP(t) Per Capita],MATCH(solvMsgs!MinCases,tblData[US Cases Per Capita],1),0,COUNT(tblData[Dates]),1)</t>
  </si>
  <si>
    <t>=tblData[US100Days] OFFSET(tblData[US100Days],MATCH(solvMsgs!MinCases,tblData[US Cases Per Capita],1),0,COUNT(tblData[Dates]),1)</t>
  </si>
  <si>
    <t>=OFFSET(tblData[[#Headers],[Dates]],MATCH(1,tblData[US],0),0,COUNT(tblData[US]),1)</t>
  </si>
  <si>
    <t>=OFFSET(tblData[[#Headers],[US LogiP(t) Per Capita]],MATCH(myData!StartDt2US,tblData[Dates],0)+1,0,COUNTIF(tblData[US LogiP(t)],"&gt;0"),1)</t>
  </si>
  <si>
    <t>=OFFSET(tblData[[#Headers],[Dates]],MATCH(myData!StartDt2US,tblData[Dates],0)+1,0,COUNTIF(tblData[US LogiP(t)],"&gt;0"),1)</t>
  </si>
  <si>
    <t>VicBadCompare</t>
  </si>
  <si>
    <t>myData!VicBadCompare</t>
  </si>
  <si>
    <t>=myData!$V$7</t>
  </si>
  <si>
    <t>=TST!$LQ$9</t>
  </si>
  <si>
    <t>=TST!$LQ$8</t>
  </si>
  <si>
    <t>=TST!$LQ$4</t>
  </si>
  <si>
    <t>WesternAustralia100Cases</t>
  </si>
  <si>
    <t>TST!WesternAustralia100Cases</t>
  </si>
  <si>
    <t>=TST!WesternAustraliaPCcases OFFSET(TST!WesternAustraliaCapita,MATCH(solvMsgs!MinCases,TST!WesternAustraliaPCcases,1)+1,0,COUNTA(TST!WesternAustraliaPCcases),1)</t>
  </si>
  <si>
    <t>WesternAustralia100Days</t>
  </si>
  <si>
    <t>TST!WesternAustralia100Days</t>
  </si>
  <si>
    <t>=OFFSET(TST!WesternAustralia100Cases,0,-1)</t>
  </si>
  <si>
    <t>WesternAustralia100dt</t>
  </si>
  <si>
    <t>TST!WesternAustralia100dt</t>
  </si>
  <si>
    <t>=INDEX(OFFSET(TST!$A:$A,10,0,COUNTA(TST!$A:$A),1),MATCH(solvMsgs!MinCases,TST!WesternAustraliaPCcases,1),1)</t>
  </si>
  <si>
    <t>WesternAustraliaCapita</t>
  </si>
  <si>
    <t>TST!WesternAustraliaCapita</t>
  </si>
  <si>
    <t>=TST!$MC$9</t>
  </si>
  <si>
    <t>WesternAustraliaPCcases</t>
  </si>
  <si>
    <t>TST!WesternAustraliaPCcases</t>
  </si>
  <si>
    <t>=OFFSET(TST!WesternAustraliaCapita,1,0,TST!TSTDays+1,1)</t>
  </si>
  <si>
    <t>WesternAustraliaPopScale</t>
  </si>
  <si>
    <t>TST!WesternAustraliaPopScale</t>
  </si>
  <si>
    <t>=TST!$MC$8</t>
  </si>
  <si>
    <t>WesternAustraliaSeriesLabel</t>
  </si>
  <si>
    <t>TST!WesternAustraliaSeriesLabel</t>
  </si>
  <si>
    <t>=TST!$MC$4</t>
  </si>
  <si>
    <t xml:space="preserve"> - Spain</t>
  </si>
  <si>
    <t>Days100 New South Wales</t>
  </si>
  <si>
    <t>New South Wales - Australia</t>
  </si>
  <si>
    <t>Headng</t>
  </si>
  <si>
    <t>TotalsRow</t>
  </si>
  <si>
    <t>Max DeathRate</t>
  </si>
  <si>
    <t>Deaths per 10m Pop</t>
  </si>
  <si>
    <t>At Day 35 after  100c/10M:  Vic's 1990 is 0.55 x NSW's 3585 and 1.1 x Skorea's 1844, 3.3739x Singapore's 590</t>
  </si>
  <si>
    <t>Labor State</t>
  </si>
  <si>
    <t>Liberal States</t>
  </si>
  <si>
    <t>Deaths</t>
  </si>
  <si>
    <t>Death per 10m</t>
  </si>
  <si>
    <t>Ratio</t>
  </si>
  <si>
    <t>Confirmed Cases</t>
  </si>
  <si>
    <t>Conf Cases per 10m</t>
  </si>
  <si>
    <t>At Tue 21-Apr Australia 2620 cases per 10M was 41 days behind Italy, 26 days behind USA, -31days behind China, -19 days behind South Korea, 103 days behind UK</t>
  </si>
  <si>
    <t>6.47 k</t>
  </si>
  <si>
    <t>2.55 k</t>
  </si>
  <si>
    <t xml:space="preserve">b=0.252, d=3.89E-05, P0=.001, r2=0.9994, Limit=2.55 k=&gt;6.47 k cases </t>
  </si>
  <si>
    <t>Australia Limit 2.55 k r^2=99.94%</t>
  </si>
  <si>
    <t>COVID19 Australia P(t) = b / {d+[( b/Po - d ) ]* exp(-b*t)}
b=0.252, d=3.89E-05, P0=.001, r2=0.9994, Limit=2.55 k=&gt;6.47 k cases 
 (Fit: Sat 25-Jan - Tue 21-Apr)</t>
  </si>
  <si>
    <t>At Tue 21-Apr NSW 3675 cases per 10M was 37 days behind Italy, 24 days behind USA &amp; -30 days behind China, -23 days behind South Korea, 21 days behind UK</t>
  </si>
  <si>
    <t xml:space="preserve">b=0.238, d=8.10E-05, P0=.001, r2=0.9996, Limit=3.64 k=&gt;2.94 k cases </t>
  </si>
  <si>
    <t>NSW Limit 3.64 k r^2=99.96%</t>
  </si>
  <si>
    <t>COVID19 NSW P(t) = b / {d+[( b/Po - d ) ]* exp(-b*t)}
b=0.238, d=8.10E-05, P0=.001, r2=0.9996, Limit=3.64 k=&gt;2.94 k cases 
 (Fit: Sat 25-Jan - Tue 21-Apr)</t>
  </si>
  <si>
    <t>23.3 k</t>
  </si>
  <si>
    <t xml:space="preserve">b=0.254, d=1.81E-06, P0=.443, r2=0.9274, Limit=23.3 k=&gt;141 k cases </t>
  </si>
  <si>
    <t>Italy Limit 23.3 k r^2=92.74%</t>
  </si>
  <si>
    <t>COVID19 Italy P(t) = b / {d+[( b/Po - d ) ]* exp(-b*t)}
b=0.254, d=1.81E-06, P0=.443, r2=0.9274, Limit=23.3 k=&gt;141 k cases 
 (Fit: Thu 30-Jan - Mon 20-Apr)</t>
  </si>
  <si>
    <t>At Tue 21-Apr Australia 2620 cases per 10M was 41 days behind Italy, 26 days behind USA, -31days behind China, -19 days behind South Korea, 103 days behind UK
At Tue 21-Apr NSW 3675 cases per 10M was 37 days behind Italy, 24 days behind USA &amp; -30 days behind China, -23 days behind South Korea, 21 days behind UK</t>
  </si>
  <si>
    <t>634 k</t>
  </si>
  <si>
    <t>19.3 k</t>
  </si>
  <si>
    <t xml:space="preserve">b=0.284, d=4.48E-07, P0=.001, r2=0.9699, Limit=19.3 k=&gt;634 k cases </t>
  </si>
  <si>
    <t>USA Limit 19.3 k r^2=96.99%</t>
  </si>
  <si>
    <t>COVID19 USA P(t) = b / {d+[( b/Po - d ) ]* exp(-b*t)}
b=0.284, d=4.48E-07, P0=.001, r2=0.9699, Limit=19.3 k=&gt;634 k cases 
 (Fit: Wed 22-Jan - Mon 20-Apr)</t>
  </si>
  <si>
    <t>China Limit 568   r^2=99.51%</t>
  </si>
  <si>
    <t>81.8 k</t>
  </si>
  <si>
    <t xml:space="preserve">b=0.221, d=2.70E-06, P0=1564.332, r2=0.9951, Limit=568  =&gt;81.8 k cases </t>
  </si>
  <si>
    <t>COVID19 China P(t) = b / {d+[( b/Po - d ) ]* exp(-b*t)}
b=0.221, d=2.70E-06, P0=1564.332, r2=0.9951, Limit=568  =&gt;81.8 k cases 
 (Fit: Wed 22-Jan - Mon 20-Apr)</t>
  </si>
  <si>
    <t>9.95 k</t>
  </si>
  <si>
    <t>1.94 k</t>
  </si>
  <si>
    <t xml:space="preserve">b=0.195, d=1.96E-05, P0=2.615, r2=0.988, Limit=1.94 k=&gt;9.95 k cases , log fit from 19th Feb </t>
  </si>
  <si>
    <t>South Korea Limit 1.94 k r^2=98.80%</t>
  </si>
  <si>
    <t>COVID19 South Korea P(t) = b / {d+[( b/Po - d ) ]* exp(-b*t)}
b=0.195, d=1.96E-05, P0=2.615, r2=0.988, Limit=1.94 k=&gt;9.95 k cases , log fit from 19th Feb 
 (Fit: Wed 22-Jan - Mon 20-Apr)</t>
  </si>
  <si>
    <t>112 k</t>
  </si>
  <si>
    <t>16.8 k</t>
  </si>
  <si>
    <t xml:space="preserve">b=0.214, d=1.91E-06, P0=.088, r2=0.9821, Limit=16.8 k=&gt;112 k cases </t>
  </si>
  <si>
    <t>United Kingdom Limit 16.8 k r^2=98.21%</t>
  </si>
  <si>
    <t>COVID19 United Kingdom P(t) = b / {d+[( b/Po - d ) ]* exp(-b*t)}
b=0.214, d=1.91E-06, P0=.088, r2=0.9821, Limit=16.8 k=&gt;112 k cases 
 (Fit: Thu 30-Jan - Mon 20-Apr)</t>
  </si>
  <si>
    <t>119 G</t>
  </si>
  <si>
    <t>204 G</t>
  </si>
  <si>
    <t xml:space="preserve">b=0.119, d=1.00E-12, P0=.207, r2=0.9882, Limit=204 G=&gt;102 M cases </t>
  </si>
  <si>
    <t>Singapore Limit 204 G r^2=98.82%</t>
  </si>
  <si>
    <t>COVID19 Singapore P(t) = b / {d+[( b/Po - d ) ]* exp(-b*t)}
b=0.119, d=1.00E-12, P0=.207, r2=0.9882, Limit=204 G=&gt;102 M cases 
 (Fit: Thu 23-Jan - Mon 20-Apr)</t>
  </si>
  <si>
    <t>147 k</t>
  </si>
  <si>
    <t>182 k</t>
  </si>
  <si>
    <t xml:space="preserve">b=0.176, d=1.20E-06, P0=4294.854, r2=0.9748, Limit=182 k=&gt;168 k cases </t>
  </si>
  <si>
    <t>Tests Limit 182 k r^2=97.48%</t>
  </si>
  <si>
    <t>COVID19 Tests P(t) = b / {d+[( b/Po - d ) ]* exp(-b*t)}
b=0.176, d=1.20E-06, P0=4294.854, r2=0.9748, Limit=182 k=&gt;168 k cases 
 (Fit: Fri 06-Mar - Mon 20-Apr)</t>
  </si>
  <si>
    <t>Ireland Limit 51.9 k r^2=99.65%</t>
  </si>
  <si>
    <t xml:space="preserve">b=0.129, d=5.09E-06, P0=61.269, r2=0.9965, Limit=51.9 k=&gt;25.4 k cases </t>
  </si>
  <si>
    <t>COVID19 Ireland P(t) = b / {d+[( b/Po - d ) ]* exp(-b*t)}
b=0.129, d=5.09E-06, P0=61.269, r2=0.9965, Limit=51.9 k=&gt;25.4 k cases 
 (Fit: Sat 29-Feb - Mon 20-Apr)</t>
  </si>
  <si>
    <t>1.13 k</t>
  </si>
  <si>
    <t>2.30 k</t>
  </si>
  <si>
    <t xml:space="preserve">b=0.272, d=2.41E-04, P0=575.073, r2=0.9777, Limit=2.30 k=&gt;1.13 k cases </t>
  </si>
  <si>
    <t>NSWUnknown Limit 2.30 k r^2=97.77%</t>
  </si>
  <si>
    <t>COVID19 NSWUnknown P(t) = b / {d+[( b/Po - d ) ]* exp(-b*t)}
b=0.272, d=2.41E-04, P0=575.073, r2=0.9777, Limit=2.30 k=&gt;1.13 k cases 
 (Fit: Mon 30-Mar - Tue 21-Apr)</t>
  </si>
  <si>
    <t xml:space="preserve">414  </t>
  </si>
  <si>
    <t xml:space="preserve">68.5  </t>
  </si>
  <si>
    <t xml:space="preserve">b=0.157, d=3.80E-04, P0=.024, r2=0.9894, Limit=68.5  =&gt;414   cases </t>
  </si>
  <si>
    <t>Taiwan Limit 68.5   r^2=98.94%</t>
  </si>
  <si>
    <t>COVID19 Taiwan P(t) = b / {d+[( b/Po - d ) ]* exp(-b*t)}
b=0.157, d=3.80E-04, P0=.024, r2=0.9894, Limit=68.5  =&gt;414   cases 
 (Fit: Wed 22-Jan - Mon 20-Apr)</t>
  </si>
  <si>
    <t>1.43 k</t>
  </si>
  <si>
    <t>2.74 k</t>
  </si>
  <si>
    <t xml:space="preserve">b=0.243, d=1.70E-04, P0=.482, r2=0.9988, Limit=2.74 k=&gt;1.43 k cases </t>
  </si>
  <si>
    <t>New Zealand Limit 2.74 k r^2=99.88%</t>
  </si>
  <si>
    <t>COVID19 New Zealand P(t) = b / {d+[( b/Po - d ) ]* exp(-b*t)}
b=0.243, d=1.70E-04, P0=.482, r2=0.9988, Limit=2.74 k=&gt;1.43 k cases 
 (Fit: Thu 27-Feb - Mon 20-Apr)</t>
  </si>
  <si>
    <t>Vietnam not over 100 cases per capita so can't plot it</t>
  </si>
  <si>
    <t>Days100 New York</t>
  </si>
  <si>
    <t>New York - US</t>
  </si>
  <si>
    <t>MinDeaths</t>
  </si>
  <si>
    <t xml:space="preserve"> - Italy</t>
  </si>
  <si>
    <t>Days100 Italy</t>
  </si>
  <si>
    <t>Cases</t>
  </si>
  <si>
    <t>Cases p 10m</t>
  </si>
  <si>
    <t>Confirmed Cases at 22/4/2019</t>
  </si>
  <si>
    <t>Australian Capital Territory - Australia</t>
  </si>
  <si>
    <t>Days100 Australian Capital Territory</t>
  </si>
  <si>
    <t>Northern Territory - Australia</t>
  </si>
  <si>
    <t>Days100 Northern Territory</t>
  </si>
  <si>
    <t>Govt Party (States &amp; Territories)</t>
  </si>
  <si>
    <t>At Fri 24-Apr Australia 2632 cases per 10M was 44 days behind Italy, 29 days behind USA, -34days behind China, -22 days behind South Korea, 103 days behind UK</t>
  </si>
  <si>
    <t>6.50 k</t>
  </si>
  <si>
    <t xml:space="preserve">b=0.252, d=3.87E-05, P0=.001, r2=0.9993, Limit=2.56 k=&gt;6.50 k cases </t>
  </si>
  <si>
    <t>Australia Limit 2.56 k r^2=99.93%</t>
  </si>
  <si>
    <t>COVID19 Australia P(t) = b / {d+[( b/Po - d ) ]* exp(-b*t)}
b=0.252, d=3.87E-05, P0=.001, r2=0.9993, Limit=2.56 k=&gt;6.50 k cases 
 (Fit: Sat 25-Jan - Fri 24-Apr)</t>
  </si>
  <si>
    <t>At Fri 24-Apr NSW 3691 cases per 10M was 40 days behind Italy, 26 days behind USA &amp; -33 days behind China, -26 days behind South Korea, 24 days behind UK</t>
  </si>
  <si>
    <t>2.95 k</t>
  </si>
  <si>
    <t>3.65 k</t>
  </si>
  <si>
    <t xml:space="preserve">b=0.238, d=8.08E-05, P0=.001, r2=0.9996, Limit=3.65 k=&gt;2.95 k cases </t>
  </si>
  <si>
    <t>NSW Limit 3.65 k r^2=99.96%</t>
  </si>
  <si>
    <t>COVID19 NSW P(t) = b / {d+[( b/Po - d ) ]* exp(-b*t)}
b=0.238, d=8.08E-05, P0=.001, r2=0.9996, Limit=3.65 k=&gt;2.95 k cases 
 (Fit: Sat 25-Jan - Fri 24-Apr)</t>
  </si>
  <si>
    <t>146 k</t>
  </si>
  <si>
    <t>24.2 k</t>
  </si>
  <si>
    <t xml:space="preserve">b=0.254, d=1.73E-06, P0=.443, r2=0.9216, Limit=24.2 k=&gt;146 k cases </t>
  </si>
  <si>
    <t>Italy Limit 24.2 k r^2=92.16%</t>
  </si>
  <si>
    <t>COVID19 Italy P(t) = b / {d+[( b/Po - d ) ]* exp(-b*t)}
b=0.254, d=1.73E-06, P0=.443, r2=0.9216, Limit=24.2 k=&gt;146 k cases 
 (Fit: Thu 30-Jan - Thu 23-Apr)</t>
  </si>
  <si>
    <t>At Fri 24-Apr Australia 2632 cases per 10M was 44 days behind Italy, 29 days behind USA, -34days behind China, -22 days behind South Korea, 103 days behind UK
At Fri 24-Apr NSW 3691 cases per 10M was 40 days behind Italy, 26 days behind USA &amp; -33 days behind China, -26 days behind South Korea, 24 days behind UK</t>
  </si>
  <si>
    <t>678 k</t>
  </si>
  <si>
    <t>20.6 k</t>
  </si>
  <si>
    <t xml:space="preserve">b=0.284, d=4.19E-07, P0=.001, r2=0.9595, Limit=20.6 k=&gt;678 k cases </t>
  </si>
  <si>
    <t>USA Limit 20.6 k r^2=95.95%</t>
  </si>
  <si>
    <t>COVID19 USA P(t) = b / {d+[( b/Po - d ) ]* exp(-b*t)}
b=0.284, d=4.19E-07, P0=.001, r2=0.9595, Limit=20.6 k=&gt;678 k cases 
 (Fit: Wed 22-Jan - Thu 23-Apr)</t>
  </si>
  <si>
    <t xml:space="preserve">569  </t>
  </si>
  <si>
    <t xml:space="preserve">b=0.221, d=2.70E-06, P0=1564.332, r2=0.995, Limit=569  =&gt;81.9 k cases </t>
  </si>
  <si>
    <t>China Limit 569   r^2=99.50%</t>
  </si>
  <si>
    <t>COVID19 China P(t) = b / {d+[( b/Po - d ) ]* exp(-b*t)}
b=0.221, d=2.70E-06, P0=1564.332, r2=0.995, Limit=569  =&gt;81.9 k cases 
 (Fit: Wed 22-Jan - Thu 23-Apr)</t>
  </si>
  <si>
    <t xml:space="preserve">b=0.19, d=1.89E-05, P0=3.233, r2=0.9878, Limit=1.95 k=&gt;10.0 k cases , log fit from 19th Feb </t>
  </si>
  <si>
    <t>South Korea Limit 1.95 k r^2=98.78%</t>
  </si>
  <si>
    <t>COVID19 South Korea P(t) = b / {d+[( b/Po - d ) ]* exp(-b*t)}
b=0.19, d=1.89E-05, P0=3.233, r2=0.9878, Limit=1.95 k=&gt;10.0 k cases , log fit from 19th Feb 
 (Fit: Wed 22-Jan - Thu 23-Apr)</t>
  </si>
  <si>
    <t>120 k</t>
  </si>
  <si>
    <t>18.0 k</t>
  </si>
  <si>
    <t xml:space="preserve">b=0.214, d=1.79E-06, P0=.088, r2=0.976, Limit=18.0 k=&gt;120 k cases </t>
  </si>
  <si>
    <t>United Kingdom Limit 18.0 k r^2=97.60%</t>
  </si>
  <si>
    <t>COVID19 United Kingdom P(t) = b / {d+[( b/Po - d ) ]* exp(-b*t)}
b=0.214, d=1.79E-06, P0=.088, r2=0.976, Limit=18.0 k=&gt;120 k cases 
 (Fit: Thu 30-Jan - Thu 23-Apr)</t>
  </si>
  <si>
    <t>126 G</t>
  </si>
  <si>
    <t xml:space="preserve">b=0.126, d=1.00E-12, P0=.122, r2=0.9938, Limit=215 G=&gt;178 M cases </t>
  </si>
  <si>
    <t>Singapore Limit 215 G r^2=99.38%</t>
  </si>
  <si>
    <t>COVID19 Singapore P(t) = b / {d+[( b/Po - d ) ]* exp(-b*t)}
b=0.126, d=1.00E-12, P0=.122, r2=0.9938, Limit=215 G=&gt;178 M cases 
 (Fit: Thu 23-Jan - Thu 23-Apr)</t>
  </si>
  <si>
    <t>188 k</t>
  </si>
  <si>
    <t xml:space="preserve">b=0.176, d=1.16E-06, P0=4294.84, r2=0.961, Limit=188 k=&gt;185 k cases </t>
  </si>
  <si>
    <t>Tests Limit 188 k r^2=96.10%</t>
  </si>
  <si>
    <t>COVID19 Tests P(t) = b / {d+[( b/Po - d ) ]* exp(-b*t)}
b=0.176, d=1.16E-06, P0=4294.84, r2=0.961, Limit=188 k=&gt;185 k cases 
 (Fit: Fri 06-Mar - Thu 23-Apr)</t>
  </si>
  <si>
    <t>Ireland Limit 51.9 k r^2=99.60%</t>
  </si>
  <si>
    <t xml:space="preserve">b=0.129, d=5.09E-06, P0=61.269, r2=0.996, Limit=51.9 k=&gt;25.4 k cases </t>
  </si>
  <si>
    <t>COVID19 Ireland P(t) = b / {d+[( b/Po - d ) ]* exp(-b*t)}
b=0.129, d=5.09E-06, P0=61.269, r2=0.996, Limit=51.9 k=&gt;25.4 k cases 
 (Fit: Sat 29-Feb - Thu 23-Apr)</t>
  </si>
  <si>
    <t>2.31 k</t>
  </si>
  <si>
    <t xml:space="preserve">b=0.265, d=2.34E-04, P0=578.928, r2=0.9769, Limit=2.31 k=&gt;1.13 k cases </t>
  </si>
  <si>
    <t>NSWUnknown Limit 2.31 k r^2=97.69%</t>
  </si>
  <si>
    <t>COVID19 NSWUnknown P(t) = b / {d+[( b/Po - d ) ]* exp(-b*t)}
b=0.265, d=2.34E-04, P0=578.928, r2=0.9769, Limit=2.31 k=&gt;1.13 k cases 
 (Fit: Mon 30-Mar - Wed 22-Apr)</t>
  </si>
  <si>
    <t xml:space="preserve">420  </t>
  </si>
  <si>
    <t xml:space="preserve">69.4  </t>
  </si>
  <si>
    <t xml:space="preserve">b=0.153, d=3.65E-04, P0=.031, r2=0.9903, Limit=69.4  =&gt;420   cases </t>
  </si>
  <si>
    <t>Taiwan Limit 69.4   r^2=99.03%</t>
  </si>
  <si>
    <t>COVID19 Taiwan P(t) = b / {d+[( b/Po - d ) ]* exp(-b*t)}
b=0.153, d=3.65E-04, P0=.031, r2=0.9903, Limit=69.4  =&gt;420   cases 
 (Fit: Wed 22-Jan - Thu 23-Apr)</t>
  </si>
  <si>
    <t>1.44 k</t>
  </si>
  <si>
    <t>2.76 k</t>
  </si>
  <si>
    <t xml:space="preserve">b=0.24, d=1.66E-04, P0=.525, r2=0.9989, Limit=2.76 k=&gt;1.44 k cases </t>
  </si>
  <si>
    <t>New Zealand Limit 2.76 k r^2=99.89%</t>
  </si>
  <si>
    <t>COVID19 New Zealand P(t) = b / {d+[( b/Po - d ) ]* exp(-b*t)}
b=0.24, d=1.66E-04, P0=.525, r2=0.9989, Limit=2.76 k=&gt;1.44 k cases 
 (Fit: Thu 27-Feb - Thu 23-Apr)</t>
  </si>
  <si>
    <t>Lives not Saved</t>
  </si>
  <si>
    <t>chtFutureNSWVicQld100</t>
  </si>
  <si>
    <t>SERIES(myData!SKoreaLabel,myData!SKorea100Dates,myData!SKorea100Cases,1)</t>
  </si>
  <si>
    <t xml:space="preserve"> - Germany</t>
  </si>
  <si>
    <t>Days100 Germany</t>
  </si>
  <si>
    <t xml:space="preserve"> - Denmark</t>
  </si>
  <si>
    <t>Days100 Denmark</t>
  </si>
  <si>
    <t xml:space="preserve"> - South Africa</t>
  </si>
  <si>
    <t>Days100 South Africa</t>
  </si>
  <si>
    <t xml:space="preserve"> - United Kingdom</t>
  </si>
  <si>
    <t>Days100 United Kingdom</t>
  </si>
  <si>
    <t xml:space="preserve"> - Ireland</t>
  </si>
  <si>
    <t>Days100 Ireland</t>
  </si>
  <si>
    <t>United Kingdom Cases Per Capita</t>
  </si>
  <si>
    <t>Death cf Worst</t>
  </si>
  <si>
    <t>Worst</t>
  </si>
  <si>
    <t>Cases cf Worst</t>
  </si>
  <si>
    <t>Death Per 10m</t>
  </si>
  <si>
    <t>Confirmed Cases per 10m</t>
  </si>
  <si>
    <t xml:space="preserve"> - US</t>
  </si>
  <si>
    <t>Days100 US</t>
  </si>
  <si>
    <t>United States</t>
  </si>
  <si>
    <t>Australia Sum</t>
  </si>
  <si>
    <t>CountrySum</t>
  </si>
  <si>
    <t>offsets</t>
  </si>
  <si>
    <t>Days100 Australia Sum</t>
  </si>
  <si>
    <t xml:space="preserve"> - Australia</t>
  </si>
  <si>
    <t xml:space="preserve"> - Taiwan</t>
  </si>
  <si>
    <t>Days100 Taiwan</t>
  </si>
  <si>
    <t>Days100 Hubei</t>
  </si>
  <si>
    <t>Days100 Hong Kong</t>
  </si>
  <si>
    <t>Hubei - China</t>
  </si>
  <si>
    <t>Hong Kong - China</t>
  </si>
  <si>
    <t>Comment</t>
  </si>
  <si>
    <t>Wuhan was ground zero. Transparency of China Stats Doubtful at best</t>
  </si>
  <si>
    <t>Hong Kong looks good, but accuracy and transparency of any CCP territory is questionable</t>
  </si>
  <si>
    <t>Scarcely believable in view of the poverty and lack of basic hygiene in black townships. Gotta be under-measuring and/or reporting.</t>
  </si>
  <si>
    <t>At Sun 26-Apr Australia 2647 cases per 10M was 46 days behind Italy, 31 days behind USA, -36days behind China, -24 days behind South Korea, 131 days behind UK</t>
  </si>
  <si>
    <t>6.53 k</t>
  </si>
  <si>
    <t xml:space="preserve">b=0.251, d=3.85E-05, P0=.001, r2=0.9992, Limit=2.57 k=&gt;6.53 k cases </t>
  </si>
  <si>
    <t>Australia Limit 2.57 k r^2=99.92%</t>
  </si>
  <si>
    <t>COVID19 Australia P(t) = b / {d+[( b/Po - d ) ]* exp(-b*t)}
b=0.251, d=3.85E-05, P0=.001, r2=0.9992, Limit=2.57 k=&gt;6.53 k cases 
 (Fit: Sat 25-Jan - Sun 26-Apr)</t>
  </si>
  <si>
    <t>At Sun 26-Apr NSW 3715 cases per 10M was 42 days behind Italy, 28 days behind USA &amp; -35 days behind China, -28 days behind South Korea, 26 days behind UK</t>
  </si>
  <si>
    <t xml:space="preserve">b=0.238, d=8.06E-05, P0=.001, r2=0.9996, Limit=3.65 k=&gt;2.95 k cases </t>
  </si>
  <si>
    <t>COVID19 NSW P(t) = b / {d+[( b/Po - d ) ]* exp(-b*t)}
b=0.238, d=8.06E-05, P0=.001, r2=0.9996, Limit=3.65 k=&gt;2.95 k cases 
 (Fit: Sat 25-Jan - Sun 26-Apr)</t>
  </si>
  <si>
    <t>150 k</t>
  </si>
  <si>
    <t>24.8 k</t>
  </si>
  <si>
    <t xml:space="preserve">b=0.254, d=1.69E-06, P0=.443, r2=0.9182, Limit=24.8 k=&gt;150 k cases </t>
  </si>
  <si>
    <t>Italy Limit 24.8 k r^2=91.82%</t>
  </si>
  <si>
    <t>COVID19 Italy P(t) = b / {d+[( b/Po - d ) ]* exp(-b*t)}
b=0.254, d=1.69E-06, P0=.443, r2=0.9182, Limit=24.8 k=&gt;150 k cases 
 (Fit: Thu 30-Jan - Sat 25-Apr)</t>
  </si>
  <si>
    <t>At Sun 26-Apr Australia 2647 cases per 10M was 46 days behind Italy, 31 days behind USA, -36days behind China, -24 days behind South Korea, 131 days behind UK
At Sun 26-Apr NSW 3715 cases per 10M was 42 days behind Italy, 28 days behind USA &amp; -35 days behind China, -28 days behind South Korea, 26 days behind UK</t>
  </si>
  <si>
    <t>708 k</t>
  </si>
  <si>
    <t>21.5 k</t>
  </si>
  <si>
    <t xml:space="preserve">b=0.284, d=4.01E-07, P0=.001, r2=0.9512, Limit=21.5 k=&gt;708 k cases </t>
  </si>
  <si>
    <t>USA Limit 21.5 k r^2=95.12%</t>
  </si>
  <si>
    <t>COVID19 USA P(t) = b / {d+[( b/Po - d ) ]* exp(-b*t)}
b=0.284, d=4.01E-07, P0=.001, r2=0.9512, Limit=21.5 k=&gt;708 k cases 
 (Fit: Wed 22-Jan - Sat 25-Apr)</t>
  </si>
  <si>
    <t>China Limit 569   r^2=99.49%</t>
  </si>
  <si>
    <t xml:space="preserve">b=0.221, d=2.70E-06, P0=1564.332, r2=0.9949, Limit=569  =&gt;81.9 k cases </t>
  </si>
  <si>
    <t>COVID19 China P(t) = b / {d+[( b/Po - d ) ]* exp(-b*t)}
b=0.221, d=2.70E-06, P0=1564.332, r2=0.9949, Limit=569  =&gt;81.9 k cases 
 (Fit: Wed 22-Jan - Sat 25-Apr)</t>
  </si>
  <si>
    <t>10.1 k</t>
  </si>
  <si>
    <t>1.96 k</t>
  </si>
  <si>
    <t xml:space="preserve">b=0.186, d=1.85E-05, P0=3.658, r2=0.9877, Limit=1.96 k=&gt;10.1 k cases , log fit from 19th Feb </t>
  </si>
  <si>
    <t>South Korea Limit 1.96 k r^2=98.77%</t>
  </si>
  <si>
    <t>COVID19 South Korea P(t) = b / {d+[( b/Po - d ) ]* exp(-b*t)}
b=0.186, d=1.85E-05, P0=3.658, r2=0.9877, Limit=1.96 k=&gt;10.1 k cases , log fit from 19th Feb 
 (Fit: Wed 22-Jan - Sat 25-Apr)</t>
  </si>
  <si>
    <t>125 k</t>
  </si>
  <si>
    <t>18.8 k</t>
  </si>
  <si>
    <t xml:space="preserve">b=0.213, d=1.71E-06, P0=.088, r2=0.9711, Limit=18.8 k=&gt;125 k cases </t>
  </si>
  <si>
    <t>United Kingdom Limit 18.8 k r^2=97.11%</t>
  </si>
  <si>
    <t>COVID19 United Kingdom P(t) = b / {d+[( b/Po - d ) ]* exp(-b*t)}
b=0.213, d=1.71E-06, P0=.088, r2=0.9711, Limit=18.8 k=&gt;125 k cases 
 (Fit: Thu 30-Jan - Sat 25-Apr)</t>
  </si>
  <si>
    <t>398 k</t>
  </si>
  <si>
    <t xml:space="preserve">b=0.126, d=5.40E-07, P0=.122, r2=0.9936, Limit=398 k=&gt;233 k cases </t>
  </si>
  <si>
    <t>Singapore Limit 398 k r^2=99.36%</t>
  </si>
  <si>
    <t>COVID19 Singapore P(t) = b / {d+[( b/Po - d ) ]* exp(-b*t)}
b=0.126, d=5.40E-07, P0=.122, r2=0.9936, Limit=398 k=&gt;233 k cases 
 (Fit: Thu 23-Jan - Sat 25-Apr)</t>
  </si>
  <si>
    <t>156 k</t>
  </si>
  <si>
    <t>193 k</t>
  </si>
  <si>
    <t xml:space="preserve">b=0.176, d=1.13E-06, P0=4294.822, r2=0.947, Limit=193 k=&gt;196 k cases </t>
  </si>
  <si>
    <t>Tests Limit 193 k r^2=94.70%</t>
  </si>
  <si>
    <t>COVID19 Tests P(t) = b / {d+[( b/Po - d ) ]* exp(-b*t)}
b=0.176, d=1.13E-06, P0=4294.822, r2=0.947, Limit=193 k=&gt;196 k cases 
 (Fit: Fri 06-Mar - Sat 25-Apr)</t>
  </si>
  <si>
    <t>Ireland Limit 51.9 k r^2=99.59%</t>
  </si>
  <si>
    <t xml:space="preserve">b=0.129, d=5.09E-06, P0=61.269, r2=0.9959, Limit=51.9 k=&gt;25.4 k cases </t>
  </si>
  <si>
    <t>COVID19 Ireland P(t) = b / {d+[( b/Po - d ) ]* exp(-b*t)}
b=0.129, d=5.09E-06, P0=61.269, r2=0.9959, Limit=51.9 k=&gt;25.4 k cases 
 (Fit: Sat 29-Feb - Sat 25-Apr)</t>
  </si>
  <si>
    <t>1.15 k</t>
  </si>
  <si>
    <t>2.34 k</t>
  </si>
  <si>
    <t xml:space="preserve">b=0.24, d=2.09E-04, P0=594.667, r2=0.973, Limit=2.34 k=&gt;1.15 k cases </t>
  </si>
  <si>
    <t>NSWUnknown Limit 2.34 k r^2=97.30%</t>
  </si>
  <si>
    <t>COVID19 NSWUnknown P(t) = b / {d+[( b/Po - d ) ]* exp(-b*t)}
b=0.24, d=2.09E-04, P0=594.667, r2=0.973, Limit=2.34 k=&gt;1.15 k cases 
 (Fit: Mon 30-Mar - Sun 26-Apr)</t>
  </si>
  <si>
    <t xml:space="preserve">422  </t>
  </si>
  <si>
    <t xml:space="preserve">69.8  </t>
  </si>
  <si>
    <t xml:space="preserve">b=0.151, d=3.58E-04, P0=.035, r2=0.9908, Limit=69.8  =&gt;422   cases </t>
  </si>
  <si>
    <t>Taiwan Limit 69.8   r^2=99.08%</t>
  </si>
  <si>
    <t>COVID19 Taiwan P(t) = b / {d+[( b/Po - d ) ]* exp(-b*t)}
b=0.151, d=3.58E-04, P0=.035, r2=0.9908, Limit=69.8  =&gt;422   cases 
 (Fit: Wed 22-Jan - Sat 25-Apr)</t>
  </si>
  <si>
    <t>1.45 k</t>
  </si>
  <si>
    <t xml:space="preserve">b=0.238, d=1.64E-04, P0=.555, r2=0.9989, Limit=2.77 k=&gt;1.45 k cases </t>
  </si>
  <si>
    <t>New Zealand Limit 2.77 k r^2=99.89%</t>
  </si>
  <si>
    <t>COVID19 New Zealand P(t) = b / {d+[( b/Po - d ) ]* exp(-b*t)}
b=0.238, d=1.64E-04, P0=.555, r2=0.9989, Limit=2.77 k=&gt;1.45 k cases 
 (Fit: Thu 27-Feb - Sat 25-Apr)</t>
  </si>
  <si>
    <t>At Mon 27-Apr Australia 2649 cases per 10M was 47 days behind Italy, 32 days behind USA, -37days behind China, -25 days behind South Korea, 131 days behind UK</t>
  </si>
  <si>
    <t>2.58 k</t>
  </si>
  <si>
    <t xml:space="preserve">b=0.251, d=3.85E-05, P0=.001, r2=0.9992, Limit=2.58 k=&gt;6.53 k cases </t>
  </si>
  <si>
    <t>Australia Limit 2.58 k r^2=99.92%</t>
  </si>
  <si>
    <t>COVID19 Australia P(t) = b / {d+[( b/Po - d ) ]* exp(-b*t)}
b=0.251, d=3.85E-05, P0=.001, r2=0.9992, Limit=2.58 k=&gt;6.53 k cases 
 (Fit: Sat 25-Jan - Mon 27-Apr)</t>
  </si>
  <si>
    <t>At Tue 28-Apr NSW 3724 cases per 10M was 44 days behind Italy, 30 days behind USA &amp; -37 days behind China, -30 days behind South Korea, 28 days behind UK</t>
  </si>
  <si>
    <t xml:space="preserve">b=0.237, d=8.03E-05, P0=.001, r2=0.9996, Limit=3.66 k=&gt;2.96 k cases </t>
  </si>
  <si>
    <t>NSW Limit 3.66 k r^2=99.96%</t>
  </si>
  <si>
    <t>COVID19 NSW P(t) = b / {d+[( b/Po - d ) ]* exp(-b*t)}
b=0.237, d=8.03E-05, P0=.001, r2=0.9996, Limit=3.66 k=&gt;2.96 k cases 
 (Fit: Sat 25-Jan - Tue 28-Apr)</t>
  </si>
  <si>
    <t>153 k</t>
  </si>
  <si>
    <t xml:space="preserve">b=0.253, d=1.65E-06, P0=.443, r2=0.9151, Limit=25.4 k=&gt;153 k cases </t>
  </si>
  <si>
    <t>Italy Limit 25.4 k r^2=91.51%</t>
  </si>
  <si>
    <t>COVID19 Italy P(t) = b / {d+[( b/Po - d ) ]* exp(-b*t)}
b=0.253, d=1.65E-06, P0=.443, r2=0.9151, Limit=25.4 k=&gt;153 k cases 
 (Fit: Thu 30-Jan - Mon 27-Apr)</t>
  </si>
  <si>
    <t>At Mon 27-Apr Australia 2649 cases per 10M was 47 days behind Italy, 32 days behind USA, -37days behind China, -25 days behind South Korea, 131 days behind UK
At Tue 28-Apr NSW 3724 cases per 10M was 44 days behind Italy, 30 days behind USA &amp; -37 days behind China, -30 days behind South Korea, 28 days behind UK</t>
  </si>
  <si>
    <t>739 k</t>
  </si>
  <si>
    <t>22.4 k</t>
  </si>
  <si>
    <t xml:space="preserve">b=0.284, d=3.84E-07, P0=.001, r2=0.9433, Limit=22.4 k=&gt;739 k cases </t>
  </si>
  <si>
    <t>USA Limit 22.4 k r^2=94.33%</t>
  </si>
  <si>
    <t>COVID19 USA P(t) = b / {d+[( b/Po - d ) ]* exp(-b*t)}
b=0.284, d=3.84E-07, P0=.001, r2=0.9433, Limit=22.4 k=&gt;739 k cases 
 (Fit: Wed 22-Jan - Mon 27-Apr)</t>
  </si>
  <si>
    <t>82.0 k</t>
  </si>
  <si>
    <t xml:space="preserve">570  </t>
  </si>
  <si>
    <t xml:space="preserve">b=0.221, d=2.69E-06, P0=1564.332, r2=0.9949, Limit=570  =&gt;82.0 k cases </t>
  </si>
  <si>
    <t>China Limit 570   r^2=99.49%</t>
  </si>
  <si>
    <t>COVID19 China P(t) = b / {d+[( b/Po - d ) ]* exp(-b*t)}
b=0.221, d=2.69E-06, P0=1564.332, r2=0.9949, Limit=570  =&gt;82.0 k cases 
 (Fit: Wed 22-Jan - Mon 27-Apr)</t>
  </si>
  <si>
    <t>1.97 k</t>
  </si>
  <si>
    <t xml:space="preserve">b=0.183, d=1.81E-05, P0=4.089, r2=0.9876, Limit=1.97 k=&gt;10.1 k cases , log fit from 19th Feb </t>
  </si>
  <si>
    <t>South Korea Limit 1.97 k r^2=98.76%</t>
  </si>
  <si>
    <t>COVID19 South Korea P(t) = b / {d+[( b/Po - d ) ]* exp(-b*t)}
b=0.183, d=1.81E-05, P0=4.089, r2=0.9876, Limit=1.97 k=&gt;10.1 k cases , log fit from 19th Feb 
 (Fit: Wed 22-Jan - Mon 27-Apr)</t>
  </si>
  <si>
    <t>19.6 k</t>
  </si>
  <si>
    <t xml:space="preserve">b=0.213, d=1.64E-06, P0=.088, r2=0.9663, Limit=19.6 k=&gt;130 k cases </t>
  </si>
  <si>
    <t>United Kingdom Limit 19.6 k r^2=96.63%</t>
  </si>
  <si>
    <t>COVID19 United Kingdom P(t) = b / {d+[( b/Po - d ) ]* exp(-b*t)}
b=0.213, d=1.64E-06, P0=.088, r2=0.9663, Limit=19.6 k=&gt;130 k cases 
 (Fit: Thu 30-Jan - Mon 27-Apr)</t>
  </si>
  <si>
    <t>97.1 k</t>
  </si>
  <si>
    <t>166 k</t>
  </si>
  <si>
    <t xml:space="preserve">b=0.126, d=1.29E-06, P0=.122, r2=0.9912, Limit=166 k=&gt;97.1 k cases </t>
  </si>
  <si>
    <t>Singapore Limit 166 k r^2=99.12%</t>
  </si>
  <si>
    <t>COVID19 Singapore P(t) = b / {d+[( b/Po - d ) ]* exp(-b*t)}
b=0.126, d=1.29E-06, P0=.122, r2=0.9912, Limit=166 k=&gt;97.1 k cases 
 (Fit: Thu 23-Jan - Mon 27-Apr)</t>
  </si>
  <si>
    <t>161 k</t>
  </si>
  <si>
    <t>199 k</t>
  </si>
  <si>
    <t xml:space="preserve">b=0.176, d=1.10E-06, P0=4294.798, r2=0.9325, Limit=199 k=&gt;204 k cases </t>
  </si>
  <si>
    <t>Tests Limit 199 k r^2=93.25%</t>
  </si>
  <si>
    <t>COVID19 Tests P(t) = b / {d+[( b/Po - d ) ]* exp(-b*t)}
b=0.176, d=1.10E-06, P0=4294.798, r2=0.9325, Limit=199 k=&gt;204 k cases 
 (Fit: Fri 06-Mar - Mon 27-Apr)</t>
  </si>
  <si>
    <t>Ireland Limit 51.9 k r^2=99.58%</t>
  </si>
  <si>
    <t xml:space="preserve">b=0.129, d=5.09E-06, P0=61.269, r2=0.9958, Limit=51.9 k=&gt;25.4 k cases </t>
  </si>
  <si>
    <t>COVID19 Ireland P(t) = b / {d+[( b/Po - d ) ]* exp(-b*t)}
b=0.129, d=5.09E-06, P0=61.269, r2=0.9958, Limit=51.9 k=&gt;25.4 k cases 
 (Fit: Sat 29-Feb - Mon 27-Apr)</t>
  </si>
  <si>
    <t>1.16 k</t>
  </si>
  <si>
    <t>2.36 k</t>
  </si>
  <si>
    <t xml:space="preserve">b=0.228, d=1.97E-04, P0=603.012, r2=0.9705, Limit=2.36 k=&gt;1.16 k cases </t>
  </si>
  <si>
    <t>NSWUnknown Limit 2.36 k r^2=97.05%</t>
  </si>
  <si>
    <t>COVID19 NSWUnknown P(t) = b / {d+[( b/Po - d ) ]* exp(-b*t)}
b=0.228, d=1.97E-04, P0=603.012, r2=0.9705, Limit=2.36 k=&gt;1.16 k cases 
 (Fit: Mon 30-Mar - Tue 28-Apr)</t>
  </si>
  <si>
    <t xml:space="preserve">424  </t>
  </si>
  <si>
    <t xml:space="preserve">70.0  </t>
  </si>
  <si>
    <t xml:space="preserve">b=0.15, d=3.53E-04, P0=.038, r2=0.9913, Limit=70.0  =&gt;424   cases </t>
  </si>
  <si>
    <t>Taiwan Limit 70.0   r^2=99.13%</t>
  </si>
  <si>
    <t>COVID19 Taiwan P(t) = b / {d+[( b/Po - d ) ]* exp(-b*t)}
b=0.15, d=3.53E-04, P0=.038, r2=0.9913, Limit=70.0  =&gt;424   cases 
 (Fit: Wed 22-Jan - Mon 27-Apr)</t>
  </si>
  <si>
    <t>2.78 k</t>
  </si>
  <si>
    <t xml:space="preserve">b=0.236, d=1.63E-04, P0=.58, r2=0.9989, Limit=2.78 k=&gt;1.45 k cases </t>
  </si>
  <si>
    <t>New Zealand Limit 2.78 k r^2=99.89%</t>
  </si>
  <si>
    <t>COVID19 New Zealand P(t) = b / {d+[( b/Po - d ) ]* exp(-b*t)}
b=0.236, d=1.63E-04, P0=.58, r2=0.9989, Limit=2.78 k=&gt;1.45 k cases 
 (Fit: Thu 27-Feb - Mon 27-Apr)</t>
  </si>
  <si>
    <t>6.59 k</t>
  </si>
  <si>
    <t>2.60 k</t>
  </si>
  <si>
    <t xml:space="preserve">b=0.23, d=3.49E-05, P0=.004, r2=0.9995, Limit=2.60 k=&gt;6.59 k cases </t>
  </si>
  <si>
    <t>Australia Limit 2.60 k r^2=99.95%</t>
  </si>
  <si>
    <t>COVID19 Australia P(t) = b / {d+[( b/Po - d ) ]* exp(-b*t)}
b=0.23, d=3.49E-05, P0=.004, r2=0.9995, Limit=2.60 k=&gt;6.59 k cases 
 (Fit: Sat 25-Jan - Mon 27-Apr)</t>
  </si>
  <si>
    <t>Deaths if Min Rate</t>
  </si>
  <si>
    <t>At Tue 28-Apr Australia 2655 cases per 10M was 48 days behind Italy, 33 days behind USA, -38days behind China, -26 days behind South Korea, 131 days behind UK</t>
  </si>
  <si>
    <t>6.60 k</t>
  </si>
  <si>
    <t xml:space="preserve">b=0.23, d=3.48E-05, P0=.004, r2=0.9995, Limit=2.60 k=&gt;6.60 k cases </t>
  </si>
  <si>
    <t>COVID19 Australia P(t) = b / {d+[( b/Po - d ) ]* exp(-b*t)}
b=0.23, d=3.48E-05, P0=.004, r2=0.9995, Limit=2.60 k=&gt;6.60 k cases 
 (Fit: Sat 25-Jan - Tue 28-Apr)</t>
  </si>
  <si>
    <t>JH Latest</t>
  </si>
  <si>
    <t>MyData</t>
  </si>
  <si>
    <t>At Wed 29-Apr NSW 3733 cases per 10M was 45 days behind Italy, 31 days behind USA &amp; -38 days behind China, -31 days behind South Korea, 29 days behind UK</t>
  </si>
  <si>
    <t xml:space="preserve">b=0.237, d=8.00E-05, P0=.001, r2=0.9996, Limit=3.66 k=&gt;2.96 k cases </t>
  </si>
  <si>
    <t>COVID19 NSW P(t) = b / {d+[( b/Po - d ) ]* exp(-b*t)}
b=0.237, d=8.00E-05, P0=.001, r2=0.9996, Limit=3.66 k=&gt;2.96 k cases 
 (Fit: Sat 25-Jan - Wed 29-Apr)</t>
  </si>
  <si>
    <t>Italy Limit 25.4 k r^2=91.36%</t>
  </si>
  <si>
    <t xml:space="preserve">b=0.253, d=1.65E-06, P0=.443, r2=0.9136, Limit=25.4 k=&gt;153 k cases </t>
  </si>
  <si>
    <t>COVID19 Italy P(t) = b / {d+[( b/Po - d ) ]* exp(-b*t)}
b=0.253, d=1.65E-06, P0=.443, r2=0.9136, Limit=25.4 k=&gt;153 k cases 
 (Fit: Thu 30-Jan - Tue 28-Apr)</t>
  </si>
  <si>
    <t>At Tue 28-Apr Australia 2655 cases per 10M was 48 days behind Italy, 33 days behind USA, -38days behind China, -26 days behind South Korea, 131 days behind UK
At Wed 29-Apr NSW 3733 cases per 10M was 45 days behind Italy, 31 days behind USA &amp; -38 days behind China, -31 days behind South Korea, 29 days behind UK</t>
  </si>
  <si>
    <t>754 k</t>
  </si>
  <si>
    <t>22.9 k</t>
  </si>
  <si>
    <t xml:space="preserve">b=0.284, d=3.77E-07, P0=.001, r2=0.9397, Limit=22.9 k=&gt;754 k cases </t>
  </si>
  <si>
    <t>USA Limit 22.9 k r^2=93.97%</t>
  </si>
  <si>
    <t>COVID19 USA P(t) = b / {d+[( b/Po - d ) ]* exp(-b*t)}
b=0.284, d=3.77E-07, P0=.001, r2=0.9397, Limit=22.9 k=&gt;754 k cases 
 (Fit: Wed 22-Jan - Tue 28-Apr)</t>
  </si>
  <si>
    <t>China Limit 570   r^2=99.48%</t>
  </si>
  <si>
    <t xml:space="preserve">b=0.221, d=2.69E-06, P0=1564.332, r2=0.9948, Limit=570  =&gt;82.0 k cases </t>
  </si>
  <si>
    <t>COVID19 China P(t) = b / {d+[( b/Po - d ) ]* exp(-b*t)}
b=0.221, d=2.69E-06, P0=1564.332, r2=0.9948, Limit=570  =&gt;82.0 k cases 
 (Fit: Wed 22-Jan - Tue 28-Apr)</t>
  </si>
  <si>
    <t>10.2 k</t>
  </si>
  <si>
    <t>1.98 k</t>
  </si>
  <si>
    <t xml:space="preserve">b=0.182, d=1.79E-05, P0=4.298, r2=0.9876, Limit=1.98 k=&gt;10.2 k cases , log fit from 19th Feb </t>
  </si>
  <si>
    <t>South Korea Limit 1.98 k r^2=98.76%</t>
  </si>
  <si>
    <t>COVID19 South Korea P(t) = b / {d+[( b/Po - d ) ]* exp(-b*t)}
b=0.182, d=1.79E-05, P0=4.298, r2=0.9876, Limit=1.98 k=&gt;10.2 k cases , log fit from 19th Feb 
 (Fit: Wed 22-Jan - Tue 28-Apr)</t>
  </si>
  <si>
    <t>20.1 k</t>
  </si>
  <si>
    <t xml:space="preserve">b=0.213, d=1.60E-06, P0=.088, r2=0.9642, Limit=20.1 k=&gt;133 k cases </t>
  </si>
  <si>
    <t>United Kingdom Limit 20.1 k r^2=96.42%</t>
  </si>
  <si>
    <t>COVID19 United Kingdom P(t) = b / {d+[( b/Po - d ) ]* exp(-b*t)}
b=0.213, d=1.60E-06, P0=.088, r2=0.9642, Limit=20.1 k=&gt;133 k cases 
 (Fit: Thu 30-Jan - Tue 28-Apr)</t>
  </si>
  <si>
    <t>Singapore Limit 166 k r^2=98.78%</t>
  </si>
  <si>
    <t xml:space="preserve">b=0.126, d=1.29E-06, P0=.122, r2=0.9878, Limit=166 k=&gt;97.1 k cases </t>
  </si>
  <si>
    <t>COVID19 Singapore P(t) = b / {d+[( b/Po - d ) ]* exp(-b*t)}
b=0.126, d=1.29E-06, P0=.122, r2=0.9878, Limit=166 k=&gt;97.1 k cases 
 (Fit: Thu 23-Jan - Tue 28-Apr)</t>
  </si>
  <si>
    <t>201 k</t>
  </si>
  <si>
    <t xml:space="preserve">b=0.176, d=1.08E-06, P0=4294.798, r2=0.9249, Limit=201 k=&gt;210 k cases </t>
  </si>
  <si>
    <t>Tests Limit 201 k r^2=92.49%</t>
  </si>
  <si>
    <t>COVID19 Tests P(t) = b / {d+[( b/Po - d ) ]* exp(-b*t)}
b=0.176, d=1.08E-06, P0=4294.798, r2=0.9249, Limit=201 k=&gt;210 k cases 
 (Fit: Fri 06-Mar - Tue 28-Apr)</t>
  </si>
  <si>
    <t>Ireland Limit 51.9 k r^2=99.55%</t>
  </si>
  <si>
    <t xml:space="preserve">b=0.129, d=5.09E-06, P0=61.269, r2=0.9955, Limit=51.9 k=&gt;25.4 k cases </t>
  </si>
  <si>
    <t>COVID19 Ireland P(t) = b / {d+[( b/Po - d ) ]* exp(-b*t)}
b=0.129, d=5.09E-06, P0=61.269, r2=0.9955, Limit=51.9 k=&gt;25.4 k cases 
 (Fit: Sat 29-Feb - Tue 28-Apr)</t>
  </si>
  <si>
    <t>2.37 k</t>
  </si>
  <si>
    <t xml:space="preserve">b=0.221, d=1.91E-04, P0=607.481, r2=0.969, Limit=2.37 k=&gt;1.16 k cases </t>
  </si>
  <si>
    <t>NSWUnknown Limit 2.37 k r^2=96.90%</t>
  </si>
  <si>
    <t>COVID19 NSWUnknown P(t) = b / {d+[( b/Po - d ) ]* exp(-b*t)}
b=0.221, d=1.91E-04, P0=607.481, r2=0.969, Limit=2.37 k=&gt;1.16 k cases 
 (Fit: Mon 30-Mar - Wed 29-Apr)</t>
  </si>
  <si>
    <t xml:space="preserve">70.2  </t>
  </si>
  <si>
    <t xml:space="preserve">b=0.149, d=3.52E-04, P0=.039, r2=0.9915, Limit=70.2  =&gt;424   cases </t>
  </si>
  <si>
    <t>Taiwan Limit 70.2   r^2=99.15%</t>
  </si>
  <si>
    <t>COVID19 Taiwan P(t) = b / {d+[( b/Po - d ) ]* exp(-b*t)}
b=0.149, d=3.52E-04, P0=.039, r2=0.9915, Limit=70.2  =&gt;424   cases 
 (Fit: Wed 22-Jan - Tue 28-Apr)</t>
  </si>
  <si>
    <t xml:space="preserve">b=0.236, d=1.62E-04, P0=.592, r2=0.9989, Limit=2.78 k=&gt;1.45 k cases </t>
  </si>
  <si>
    <t>COVID19 New Zealand P(t) = b / {d+[( b/Po - d ) ]* exp(-b*t)}
b=0.236, d=1.62E-04, P0=.592, r2=0.9989, Limit=2.78 k=&gt;1.45 k cases 
 (Fit: Thu 27-Feb - Tue 28-Apr)</t>
  </si>
  <si>
    <t>At Wed 29-Apr Australia 2659 cases per 10M was 49 days behind Italy, 34 days behind USA, -39days behind China, -27 days behind South Korea, 131 days behind UK</t>
  </si>
  <si>
    <t>6.61 k</t>
  </si>
  <si>
    <t>2.61 k</t>
  </si>
  <si>
    <t xml:space="preserve">b=0.229, d=3.46E-05, P0=.004, r2=0.9995, Limit=2.61 k=&gt;6.61 k cases </t>
  </si>
  <si>
    <t>Australia Limit 2.61 k r^2=99.95%</t>
  </si>
  <si>
    <t>COVID19 Australia P(t) = b / {d+[( b/Po - d ) ]* exp(-b*t)}
b=0.229, d=3.46E-05, P0=.004, r2=0.9995, Limit=2.61 k=&gt;6.61 k cases 
 (Fit: Sat 25-Jan - Wed 29-Apr)</t>
  </si>
  <si>
    <t>notification_date</t>
  </si>
  <si>
    <t>likely_source_of_infection</t>
  </si>
  <si>
    <t>Locally acquired - contact of a confirmed case and/or in a known cluster</t>
  </si>
  <si>
    <t>Overseas</t>
  </si>
  <si>
    <t>Locally acquired - contact not identified</t>
  </si>
  <si>
    <t>Interstate</t>
  </si>
  <si>
    <t>Grand Total</t>
  </si>
  <si>
    <t>The numbers accumulated from dataset data are quite different to screen scrape</t>
  </si>
  <si>
    <t>maybe due to reclassifying, or not properly attributing to notification date in daily screen scrape</t>
  </si>
  <si>
    <t>will stick with the daily screen scrape for graphs</t>
  </si>
  <si>
    <t>the daily page failed to report classifications, so interpolated</t>
  </si>
  <si>
    <t>At Thu 30-Apr Australia 2662 cases per 10M was 50 days behind Italy, 35 days behind USA, -40days behind China, -28 days behind South Korea, 131 days behind UK</t>
  </si>
  <si>
    <t>6.62 k</t>
  </si>
  <si>
    <t xml:space="preserve">b=0.228, d=3.45E-05, P0=.004, r2=0.9995, Limit=2.61 k=&gt;6.62 k cases </t>
  </si>
  <si>
    <t>COVID19 Australia P(t) = b / {d+[( b/Po - d ) ]* exp(-b*t)}
b=0.228, d=3.45E-05, P0=.004, r2=0.9995, Limit=2.61 k=&gt;6.62 k cases 
 (Fit: Sat 25-Jan - Thu 30-Apr)</t>
  </si>
  <si>
    <t>At Thu 30-Apr NSW 3733 cases per 10M was 46 days behind Italy, 32 days behind USA &amp; -39 days behind China, -32 days behind South Korea, 30 days behind UK</t>
  </si>
  <si>
    <t>3.67 k</t>
  </si>
  <si>
    <t xml:space="preserve">b=0.236, d=7.97E-05, P0=.001, r2=0.9996, Limit=3.67 k=&gt;2.96 k cases </t>
  </si>
  <si>
    <t>NSW Limit 3.67 k r^2=99.96%</t>
  </si>
  <si>
    <t>COVID19 NSW P(t) = b / {d+[( b/Po - d ) ]* exp(-b*t)}
b=0.236, d=7.97E-05, P0=.001, r2=0.9996, Limit=3.67 k=&gt;2.96 k cases 
 (Fit: Sat 25-Jan - Thu 30-Apr)</t>
  </si>
  <si>
    <t>25.5 k</t>
  </si>
  <si>
    <t xml:space="preserve">b=0.253, d=1.64E-06, P0=.443, r2=0.9119, Limit=25.5 k=&gt;154 k cases </t>
  </si>
  <si>
    <t>Italy Limit 25.5 k r^2=91.19%</t>
  </si>
  <si>
    <t>COVID19 Italy P(t) = b / {d+[( b/Po - d ) ]* exp(-b*t)}
b=0.253, d=1.64E-06, P0=.443, r2=0.9119, Limit=25.5 k=&gt;154 k cases 
 (Fit: Thu 30-Jan - Wed 29-Apr)</t>
  </si>
  <si>
    <t>At Thu 30-Apr Australia 2662 cases per 10M was 50 days behind Italy, 35 days behind USA, -40days behind China, -28 days behind South Korea, 131 days behind UK
At Thu 30-Apr NSW 3733 cases per 10M was 46 days behind Italy, 32 days behind USA &amp; -39 days behind China, -32 days behind South Korea, 30 days behind UK</t>
  </si>
  <si>
    <t>768 k</t>
  </si>
  <si>
    <t xml:space="preserve">b=0.284, d=3.69E-07, P0=.001, r2=0.9361, Limit=23.3 k=&gt;768 k cases </t>
  </si>
  <si>
    <t>USA Limit 23.3 k r^2=93.61%</t>
  </si>
  <si>
    <t>COVID19 USA P(t) = b / {d+[( b/Po - d ) ]* exp(-b*t)}
b=0.284, d=3.69E-07, P0=.001, r2=0.9361, Limit=23.3 k=&gt;768 k cases 
 (Fit: Wed 22-Jan - Wed 29-Apr)</t>
  </si>
  <si>
    <t>COVID19 China P(t) = b / {d+[( b/Po - d ) ]* exp(-b*t)}
b=0.221, d=2.69E-06, P0=1564.332, r2=0.9948, Limit=570  =&gt;82.0 k cases 
 (Fit: Wed 22-Jan - Wed 29-Apr)</t>
  </si>
  <si>
    <t xml:space="preserve">b=0.181, d=1.78E-05, P0=4.511, r2=0.9876, Limit=1.98 k=&gt;10.2 k cases , log fit from 19th Feb </t>
  </si>
  <si>
    <t>COVID19 South Korea P(t) = b / {d+[( b/Po - d ) ]* exp(-b*t)}
b=0.181, d=1.78E-05, P0=4.511, r2=0.9876, Limit=1.98 k=&gt;10.2 k cases , log fit from 19th Feb 
 (Fit: Wed 22-Jan - Wed 29-Apr)</t>
  </si>
  <si>
    <t>United Kingdom Limit 20.1 k r^2=96.20%</t>
  </si>
  <si>
    <t xml:space="preserve">b=0.213, d=1.59E-06, P0=.088, r2=0.962, Limit=20.1 k=&gt;134 k cases </t>
  </si>
  <si>
    <t>COVID19 United Kingdom P(t) = b / {d+[( b/Po - d ) ]* exp(-b*t)}
b=0.213, d=1.59E-06, P0=.088, r2=0.962, Limit=20.1 k=&gt;134 k cases 
 (Fit: Thu 30-Jan - Wed 29-Apr)</t>
  </si>
  <si>
    <t>62.5 k</t>
  </si>
  <si>
    <t>107 k</t>
  </si>
  <si>
    <t xml:space="preserve">b=0.126, d=2.01E-06, P0=.122, r2=0.987, Limit=107 k=&gt;62.5 k cases </t>
  </si>
  <si>
    <t>Singapore Limit 107 k r^2=98.70%</t>
  </si>
  <si>
    <t>COVID19 Singapore P(t) = b / {d+[( b/Po - d ) ]* exp(-b*t)}
b=0.126, d=2.01E-06, P0=.122, r2=0.987, Limit=107 k=&gt;62.5 k cases 
 (Fit: Thu 23-Jan - Wed 29-Apr)</t>
  </si>
  <si>
    <t>204 k</t>
  </si>
  <si>
    <t xml:space="preserve">b=0.176, d=1.07E-06, P0=4294.798, r2=0.9162, Limit=204 k=&gt;217 k cases </t>
  </si>
  <si>
    <t>Tests Limit 204 k r^2=91.62%</t>
  </si>
  <si>
    <t>COVID19 Tests P(t) = b / {d+[( b/Po - d ) ]* exp(-b*t)}
b=0.176, d=1.07E-06, P0=4294.798, r2=0.9162, Limit=204 k=&gt;217 k cases 
 (Fit: Fri 06-Mar - Wed 29-Apr)</t>
  </si>
  <si>
    <t>COVID19 Ireland P(t) = b / {d+[( b/Po - d ) ]* exp(-b*t)}
b=0.129, d=5.09E-06, P0=61.269, r2=0.9952, Limit=51.9 k=&gt;25.4 k cases 
 (Fit: Sat 29-Feb - Wed 29-Apr)</t>
  </si>
  <si>
    <t xml:space="preserve">b=0.215, d=1.85E-04, P0=612.752, r2=0.9663, Limit=2.37 k=&gt;1.16 k cases </t>
  </si>
  <si>
    <t>NSWUnknown Limit 2.37 k r^2=96.63%</t>
  </si>
  <si>
    <t>COVID19 NSWUnknown P(t) = b / {d+[( b/Po - d ) ]* exp(-b*t)}
b=0.215, d=1.85E-04, P0=612.752, r2=0.9663, Limit=2.37 k=&gt;1.16 k cases 
 (Fit: Mon 30-Mar - Thu 30-Apr)</t>
  </si>
  <si>
    <t>Taiwan Limit 70.2   r^2=99.17%</t>
  </si>
  <si>
    <t xml:space="preserve">b=0.149, d=3.50E-04, P0=.04, r2=0.9917, Limit=70.2  =&gt;425   cases </t>
  </si>
  <si>
    <t>COVID19 Taiwan P(t) = b / {d+[( b/Po - d ) ]* exp(-b*t)}
b=0.149, d=3.50E-04, P0=.04, r2=0.9917, Limit=70.2  =&gt;425   cases 
 (Fit: Wed 22-Jan - Wed 29-Apr)</t>
  </si>
  <si>
    <t>1.46 k</t>
  </si>
  <si>
    <t xml:space="preserve">b=0.235, d=1.61E-04, P0=.604, r2=0.9989, Limit=2.78 k=&gt;1.46 k cases </t>
  </si>
  <si>
    <t>COVID19 New Zealand P(t) = b / {d+[( b/Po - d ) ]* exp(-b*t)}
b=0.235, d=1.61E-04, P0=.604, r2=0.9989, Limit=2.78 k=&gt;1.46 k cases 
 (Fit: Thu 27-Feb - Wed 29-Apr)</t>
  </si>
  <si>
    <t>Hubei, China</t>
  </si>
  <si>
    <t>CCCP</t>
  </si>
  <si>
    <t>Other Jurisdictions</t>
  </si>
  <si>
    <t>NP</t>
  </si>
  <si>
    <t>Known Local</t>
  </si>
  <si>
    <t>Unknown Local</t>
  </si>
  <si>
    <t>CountDate</t>
  </si>
  <si>
    <t>Comoros</t>
  </si>
  <si>
    <t>Tajikistan</t>
  </si>
  <si>
    <t>Avg</t>
  </si>
  <si>
    <t>stdev</t>
  </si>
  <si>
    <t>At Sun 03-May Australia 2680 cases per 10M was 53 days behind Italy, 38 days behind USA, -43days behind China, -31 days behind South Korea, 95 days behind UK</t>
  </si>
  <si>
    <t>6.64 k</t>
  </si>
  <si>
    <t>2.62 k</t>
  </si>
  <si>
    <t xml:space="preserve">b=0.226, d=3.40E-05, P0=.005, r2=0.9994, Limit=2.62 k=&gt;6.64 k cases </t>
  </si>
  <si>
    <t>Australia Limit 2.62 k r^2=99.94%</t>
  </si>
  <si>
    <t>COVID19 Australia P(t) = b / {d+[( b/Po - d ) ]* exp(-b*t)}
b=0.226, d=3.40E-05, P0=.005, r2=0.9994, Limit=2.62 k=&gt;6.64 k cases 
 (Fit: Sat 25-Jan - Sun 03-May)</t>
  </si>
  <si>
    <t>At Sun 03-May NSW 3756 cases per 10M was 49 days behind Italy, 35 days behind USA &amp; -42 days behind China, -35 days behind South Korea, 33 days behind UK</t>
  </si>
  <si>
    <t>2.97 k</t>
  </si>
  <si>
    <t>3.68 k</t>
  </si>
  <si>
    <t xml:space="preserve">b=0.234, d=7.88E-05, P0=.001, r2=0.9995, Limit=3.68 k=&gt;2.97 k cases </t>
  </si>
  <si>
    <t>NSW Limit 3.68 k r^2=99.95%</t>
  </si>
  <si>
    <t>COVID19 NSW P(t) = b / {d+[( b/Po - d ) ]* exp(-b*t)}
b=0.234, d=7.88E-05, P0=.001, r2=0.9995, Limit=3.68 k=&gt;2.97 k cases 
 (Fit: Sat 25-Jan - Sun 03-May)</t>
  </si>
  <si>
    <t>26.7 k</t>
  </si>
  <si>
    <t xml:space="preserve">b=0.253, d=1.57E-06, P0=.443, r2=0.9076, Limit=26.7 k=&gt;161 k cases </t>
  </si>
  <si>
    <t>Italy Limit 26.7 k r^2=90.76%</t>
  </si>
  <si>
    <t>COVID19 Italy P(t) = b / {d+[( b/Po - d ) ]* exp(-b*t)}
b=0.253, d=1.57E-06, P0=.443, r2=0.9076, Limit=26.7 k=&gt;161 k cases 
 (Fit: Thu 30-Jan - Sat 02-May)</t>
  </si>
  <si>
    <t>At Sun 03-May Australia 2680 cases per 10M was 53 days behind Italy, 38 days behind USA, -43days behind China, -31 days behind South Korea, 95 days behind UK
At Sun 03-May NSW 3756 cases per 10M was 49 days behind Italy, 35 days behind USA &amp; -42 days behind China, -35 days behind South Korea, 33 days behind UK</t>
  </si>
  <si>
    <t>813 k</t>
  </si>
  <si>
    <t>24.7 k</t>
  </si>
  <si>
    <t xml:space="preserve">b=0.284, d=3.49E-07, P0=.001, r2=0.9246, Limit=24.7 k=&gt;813 k cases </t>
  </si>
  <si>
    <t>USA Limit 24.7 k r^2=92.46%</t>
  </si>
  <si>
    <t>COVID19 USA P(t) = b / {d+[( b/Po - d ) ]* exp(-b*t)}
b=0.284, d=3.49E-07, P0=.001, r2=0.9246, Limit=24.7 k=&gt;813 k cases 
 (Fit: Wed 22-Jan - Sat 02-May)</t>
  </si>
  <si>
    <t>82.1 k</t>
  </si>
  <si>
    <t xml:space="preserve">571  </t>
  </si>
  <si>
    <t xml:space="preserve">b=0.221, d=2.69E-06, P0=1564.332, r2=0.9947, Limit=571  =&gt;82.1 k cases </t>
  </si>
  <si>
    <t>China Limit 571   r^2=99.47%</t>
  </si>
  <si>
    <t>COVID19 China P(t) = b / {d+[( b/Po - d ) ]* exp(-b*t)}
b=0.221, d=2.69E-06, P0=1564.332, r2=0.9947, Limit=571  =&gt;82.1 k cases 
 (Fit: Wed 22-Jan - Sat 02-May)</t>
  </si>
  <si>
    <t>1.99 k</t>
  </si>
  <si>
    <t xml:space="preserve">b=0.177, d=1.73E-05, P0=5.151, r2=0.9875, Limit=1.99 k=&gt;10.2 k cases , log fit from 19th Feb </t>
  </si>
  <si>
    <t>South Korea Limit 1.99 k r^2=98.75%</t>
  </si>
  <si>
    <t>COVID19 South Korea P(t) = b / {d+[( b/Po - d ) ]* exp(-b*t)}
b=0.177, d=1.73E-05, P0=5.151, r2=0.9875, Limit=1.99 k=&gt;10.2 k cases , log fit from 19th Feb 
 (Fit: Wed 22-Jan - Sat 02-May)</t>
  </si>
  <si>
    <t xml:space="preserve">b=0.213, d=1.49E-06, P0=.088, r2=0.9527, Limit=21.5 k=&gt;143 k cases </t>
  </si>
  <si>
    <t>United Kingdom Limit 21.5 k r^2=95.27%</t>
  </si>
  <si>
    <t>COVID19 United Kingdom P(t) = b / {d+[( b/Po - d ) ]* exp(-b*t)}
b=0.213, d=1.49E-06, P0=.088, r2=0.9527, Limit=21.5 k=&gt;143 k cases 
 (Fit: Thu 30-Jan - Sat 02-May)</t>
  </si>
  <si>
    <t>35.5 k</t>
  </si>
  <si>
    <t>60.7 k</t>
  </si>
  <si>
    <t xml:space="preserve">b=0.126, d=3.54E-06, P0=.122, r2=0.9739, Limit=60.7 k=&gt;35.5 k cases </t>
  </si>
  <si>
    <t>Singapore Limit 60.7 k r^2=97.39%</t>
  </si>
  <si>
    <t>COVID19 Singapore P(t) = b / {d+[( b/Po - d ) ]* exp(-b*t)}
b=0.126, d=3.54E-06, P0=.122, r2=0.9739, Limit=60.7 k=&gt;35.5 k cases 
 (Fit: Thu 23-Jan - Sat 02-May)</t>
  </si>
  <si>
    <t/>
  </si>
  <si>
    <t>173 k</t>
  </si>
  <si>
    <t>214 k</t>
  </si>
  <si>
    <t xml:space="preserve">b=0.176, d=1.02E-06, P0=4294.761, r2=0.8846, Limit=214 k=&gt;240 k cases </t>
  </si>
  <si>
    <t>Tests Limit 214 k r^2=88.46%</t>
  </si>
  <si>
    <t>COVID19 Tests P(t) = b / {d+[( b/Po - d ) ]* exp(-b*t)}
b=0.176, d=1.02E-06, P0=4294.761, r2=0.8846, Limit=214 k=&gt;240 k cases 
 (Fit: Fri 06-Mar - Sat 02-May)</t>
  </si>
  <si>
    <t>Ireland Limit 51.9 k r^2=99.41%</t>
  </si>
  <si>
    <t xml:space="preserve">b=0.129, d=5.09E-06, P0=61.269, r2=0.9941, Limit=51.9 k=&gt;25.4 k cases </t>
  </si>
  <si>
    <t>COVID19 Ireland P(t) = b / {d+[( b/Po - d ) ]* exp(-b*t)}
b=0.129, d=5.09E-06, P0=61.269, r2=0.9941, Limit=51.9 k=&gt;25.4 k cases 
 (Fit: Sat 29-Feb - Sat 02-May)</t>
  </si>
  <si>
    <t>1.17 k</t>
  </si>
  <si>
    <t>2.40 k</t>
  </si>
  <si>
    <t xml:space="preserve">b=0.199, d=1.69E-04, P0=626.172, r2=0.9624, Limit=2.40 k=&gt;1.17 k cases </t>
  </si>
  <si>
    <t>NSWUnknown Limit 2.40 k r^2=96.24%</t>
  </si>
  <si>
    <t>COVID19 NSWUnknown P(t) = b / {d+[( b/Po - d ) ]* exp(-b*t)}
b=0.199, d=1.69E-04, P0=626.172, r2=0.9624, Limit=2.40 k=&gt;1.17 k cases 
 (Fit: Mon 30-Mar - Sun 03-May)</t>
  </si>
  <si>
    <t xml:space="preserve">426  </t>
  </si>
  <si>
    <t xml:space="preserve">70.5  </t>
  </si>
  <si>
    <t xml:space="preserve">b=0.148, d=3.46E-04, P0=.043, r2=0.9922, Limit=70.5  =&gt;426   cases </t>
  </si>
  <si>
    <t>Taiwan Limit 70.5   r^2=99.22%</t>
  </si>
  <si>
    <t>COVID19 Taiwan P(t) = b / {d+[( b/Po - d ) ]* exp(-b*t)}
b=0.148, d=3.46E-04, P0=.043, r2=0.9922, Limit=70.5  =&gt;426   cases 
 (Fit: Wed 22-Jan - Sat 02-May)</t>
  </si>
  <si>
    <t>2.79 k</t>
  </si>
  <si>
    <t xml:space="preserve">b=0.233, d=1.59E-04, P0=.639, r2=0.9989, Limit=2.79 k=&gt;1.46 k cases </t>
  </si>
  <si>
    <t>New Zealand Limit 2.79 k r^2=99.89%</t>
  </si>
  <si>
    <t>COVID19 New Zealand P(t) = b / {d+[( b/Po - d ) ]* exp(-b*t)}
b=0.233, d=1.59E-04, P0=.639, r2=0.9989, Limit=2.79 k=&gt;1.46 k cases 
 (Fit: Thu 27-Feb - Sat 02-May)</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</si>
</sst>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64" formatCode="0.0000"/>
    <numFmt numFmtId="165" formatCode="0.000"/>
    <numFmt numFmtId="166" formatCode="0.000E+00"/>
    <numFmt numFmtId="167" formatCode="0.0"/>
    <numFmt numFmtId="168" formatCode="0.000000"/>
    <numFmt numFmtId="169" formatCode="0.00000E+00"/>
    <numFmt numFmtId="170" formatCode="ddd\ dd/mm/yyyy"/>
    <numFmt numFmtId="171" formatCode="dd/mm/yyyy\ hh:mm"/>
    <numFmt numFmtId="172" formatCode="d/mm/yy;@"/>
    <numFmt numFmtId="173" formatCode="##0.00E+0"/>
    <numFmt numFmtId="174" formatCode="##0.000E+0"/>
    <numFmt numFmtId="175" formatCode="##0.0E+00"/>
    <numFmt numFmtId="176" formatCode="0.0%"/>
    <numFmt numFmtId="177" formatCode="##0.00E+00"/>
    <numFmt numFmtId="178" formatCode="ddd\ dd/mm/yy\ hh:mm"/>
    <numFmt numFmtId="179" formatCode="dd/mm/yy"/>
    <numFmt numFmtId="180" formatCode="ddd\ dd/mm/yy"/>
    <numFmt numFmtId="181" formatCode="##0"/>
    <numFmt numFmtId="182" formatCode="##0.#E+0"/>
    <numFmt numFmtId="183" formatCode="##0.##E+0"/>
    <numFmt numFmtId="184" formatCode="dd/mm/yy\ hh:mm"/>
    <numFmt numFmtId="185" formatCode="####0"/>
    <numFmt numFmtId="186" formatCode="0.00000"/>
    <numFmt numFmtId="187" formatCode="0.E+00"/>
    <numFmt numFmtId="188" formatCode="####0.0"/>
  </numFmts>
  <fonts count="5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Symbol"/>
      <family val="1"/>
      <charset val="2"/>
    </font>
    <font>
      <sz val="10"/>
      <name val="Times New Roman"/>
      <family val="1"/>
    </font>
    <font>
      <u/>
      <sz val="11"/>
      <color theme="10"/>
      <name val="Calibri"/>
      <family val="2"/>
      <scheme val="minor"/>
    </font>
    <font>
      <sz val="14"/>
      <color theme="1"/>
      <name val="Calibri"/>
      <family val="2"/>
      <scheme val="minor"/>
    </font>
    <font>
      <sz val="11"/>
      <color theme="7" tint="0.39997558519241921"/>
      <name val="Calibri"/>
      <family val="2"/>
      <scheme val="minor"/>
    </font>
    <font>
      <b/>
      <sz val="11"/>
      <color rgb="FF171717"/>
      <name val="Segoe UI"/>
      <family val="2"/>
    </font>
    <font>
      <sz val="11"/>
      <color rgb="FF171717"/>
      <name val="Segoe UI"/>
      <family val="2"/>
    </font>
    <font>
      <sz val="9"/>
      <color indexed="81"/>
      <name val="Tahoma"/>
      <family val="2"/>
    </font>
    <font>
      <b/>
      <sz val="9"/>
      <color indexed="81"/>
      <name val="Tahoma"/>
      <family val="2"/>
    </font>
    <font>
      <sz val="11"/>
      <color theme="4" tint="-0.499984740745262"/>
      <name val="Calibri"/>
      <family val="2"/>
      <scheme val="minor"/>
    </font>
    <font>
      <b/>
      <sz val="10"/>
      <name val="Symbol"/>
      <family val="1"/>
      <charset val="2"/>
    </font>
    <font>
      <sz val="11"/>
      <color theme="8" tint="-0.499984740745262"/>
      <name val="Calibri"/>
      <family val="2"/>
      <scheme val="minor"/>
    </font>
    <font>
      <b/>
      <sz val="11"/>
      <color theme="1"/>
      <name val="Calibri"/>
      <family val="2"/>
      <charset val="238"/>
      <scheme val="minor"/>
    </font>
    <font>
      <b/>
      <sz val="11"/>
      <color rgb="FFFFFF00"/>
      <name val="Calibri"/>
      <family val="2"/>
      <scheme val="minor"/>
    </font>
    <font>
      <b/>
      <sz val="11"/>
      <color theme="0" tint="-0.14999847407452621"/>
      <name val="Calibri"/>
      <family val="2"/>
      <scheme val="minor"/>
    </font>
    <font>
      <b/>
      <sz val="11"/>
      <color rgb="FF080808"/>
      <name val="Calibri"/>
      <family val="2"/>
      <scheme val="minor"/>
    </font>
    <font>
      <sz val="11"/>
      <color rgb="FF080808"/>
      <name val="Calibri"/>
      <family val="2"/>
      <scheme val="minor"/>
    </font>
    <font>
      <sz val="12"/>
      <color indexed="81"/>
      <name val="Tahoma"/>
      <family val="2"/>
    </font>
    <font>
      <sz val="14"/>
      <color indexed="81"/>
      <name val="Tahoma"/>
      <family val="2"/>
    </font>
    <font>
      <sz val="14"/>
      <color rgb="FF000000"/>
      <name val="Calibri"/>
      <family val="2"/>
    </font>
    <font>
      <b/>
      <sz val="14"/>
      <color rgb="FF000000"/>
      <name val="Calibri"/>
      <family val="2"/>
    </font>
    <font>
      <b/>
      <sz val="11"/>
      <color theme="1" tint="0.14999847407452621"/>
      <name val="Calibri"/>
      <family val="2"/>
      <scheme val="minor"/>
    </font>
    <font>
      <sz val="11"/>
      <color theme="1" tint="0.14999847407452621"/>
      <name val="Calibri"/>
      <family val="2"/>
      <scheme val="minor"/>
    </font>
    <font>
      <sz val="11"/>
      <color rgb="FF000000"/>
      <name val="Calibri"/>
      <family val="2"/>
      <scheme val="minor"/>
    </font>
    <font>
      <b/>
      <sz val="11"/>
      <color theme="4" tint="-0.249977111117893"/>
      <name val="Calibri"/>
      <family val="2"/>
      <scheme val="minor"/>
    </font>
    <font>
      <b/>
      <sz val="11"/>
      <color theme="7" tint="-0.249977111117893"/>
      <name val="Calibri"/>
      <family val="2"/>
      <scheme val="minor"/>
    </font>
    <font>
      <b/>
      <sz val="11"/>
      <color theme="9" tint="-0.249977111117893"/>
      <name val="Calibri"/>
      <family val="2"/>
      <scheme val="minor"/>
    </font>
    <font>
      <sz val="11"/>
      <color theme="1" tint="4.9989318521683403E-2"/>
      <name val="Calibri"/>
      <family val="2"/>
      <scheme val="minor"/>
    </font>
    <font>
      <b/>
      <sz val="12"/>
      <color theme="1" tint="0.14999847407452621"/>
      <name val="Calibri"/>
      <family val="2"/>
      <scheme val="minor"/>
    </font>
    <font>
      <b/>
      <sz val="12"/>
      <color theme="1"/>
      <name val="Calibri"/>
      <family val="2"/>
      <scheme val="minor"/>
    </font>
    <font>
      <sz val="11"/>
      <color rgb="FF000000"/>
      <name val="Calibri"/>
      <family val="2"/>
    </font>
    <font>
      <sz val="16"/>
      <color rgb="FF000000"/>
      <name val="Calibri"/>
      <family val="2"/>
    </font>
  </fonts>
  <fills count="6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rgb="FFFFFFFF"/>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9" tint="0.79998168889431442"/>
        <bgColor theme="9" tint="0.79998168889431442"/>
      </patternFill>
    </fill>
    <fill>
      <patternFill patternType="solid">
        <fgColor theme="9" tint="-0.249977111117893"/>
        <bgColor indexed="64"/>
      </patternFill>
    </fill>
    <fill>
      <patternFill patternType="solid">
        <fgColor rgb="FFCC0099"/>
        <bgColor indexed="64"/>
      </patternFill>
    </fill>
    <fill>
      <patternFill patternType="solid">
        <fgColor rgb="FFFF0000"/>
        <bgColor indexed="64"/>
      </patternFill>
    </fill>
    <fill>
      <patternFill patternType="solid">
        <fgColor theme="2" tint="-0.499984740745262"/>
        <bgColor indexed="64"/>
      </patternFill>
    </fill>
    <fill>
      <patternFill patternType="solid">
        <fgColor rgb="FFFFCCFF"/>
        <bgColor indexed="64"/>
      </patternFill>
    </fill>
    <fill>
      <patternFill patternType="solid">
        <fgColor theme="7" tint="0.79998168889431442"/>
        <bgColor theme="7" tint="0.79998168889431442"/>
      </patternFill>
    </fill>
    <fill>
      <patternFill patternType="solid">
        <fgColor theme="1"/>
        <bgColor indexed="64"/>
      </patternFill>
    </fill>
    <fill>
      <patternFill patternType="solid">
        <fgColor rgb="FFFFFFCC"/>
        <bgColor indexed="64"/>
      </patternFill>
    </fill>
    <fill>
      <patternFill patternType="solid">
        <fgColor rgb="FFFFCCCC"/>
        <bgColor indexed="64"/>
      </patternFill>
    </fill>
    <fill>
      <patternFill patternType="solid">
        <fgColor rgb="FFF1F7ED"/>
        <bgColor indexed="64"/>
      </patternFill>
    </fill>
    <fill>
      <patternFill patternType="solid">
        <fgColor theme="0" tint="-4.9989318521683403E-2"/>
        <bgColor indexed="64"/>
      </patternFill>
    </fill>
    <fill>
      <patternFill patternType="solid">
        <fgColor theme="5"/>
        <bgColor theme="5"/>
      </patternFill>
    </fill>
    <fill>
      <patternFill patternType="solid">
        <fgColor theme="9" tint="0.79998168889431442"/>
        <bgColor theme="4" tint="0.79998168889431442"/>
      </patternFill>
    </fill>
    <fill>
      <patternFill patternType="solid">
        <fgColor theme="1" tint="4.9989318521683403E-2"/>
        <bgColor indexed="64"/>
      </patternFill>
    </fill>
  </fills>
  <borders count="5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medium">
        <color rgb="FF000000"/>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theme="9"/>
      </left>
      <right style="thin">
        <color theme="9"/>
      </right>
      <top style="thin">
        <color theme="9"/>
      </top>
      <bottom style="thin">
        <color theme="9"/>
      </bottom>
      <diagonal/>
    </border>
    <border>
      <left/>
      <right/>
      <top style="thin">
        <color theme="7" tint="0.39997558519241921"/>
      </top>
      <bottom style="thin">
        <color theme="7" tint="0.39997558519241921"/>
      </bottom>
      <diagonal/>
    </border>
    <border>
      <left/>
      <right/>
      <top style="thin">
        <color theme="7" tint="0.39997558519241921"/>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theme="9"/>
      </left>
      <right style="thin">
        <color theme="9"/>
      </right>
      <top style="thin">
        <color theme="9"/>
      </top>
      <bottom/>
      <diagonal/>
    </border>
    <border>
      <left style="thin">
        <color theme="9"/>
      </left>
      <right style="thin">
        <color theme="9"/>
      </right>
      <top style="double">
        <color theme="9"/>
      </top>
      <bottom style="thin">
        <color theme="9"/>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0"/>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xf numFmtId="9" fontId="1" fillId="0" borderId="0" applyFont="0" applyFill="0" applyBorder="0" applyAlignment="0" applyProtection="0"/>
  </cellStyleXfs>
  <cellXfs count="409">
    <xf numFmtId="0" fontId="0" fillId="0" borderId="0" xfId="0"/>
    <xf numFmtId="14" fontId="0" fillId="0" borderId="0" xfId="0" applyNumberFormat="1"/>
    <xf numFmtId="164" fontId="18" fillId="33" borderId="10" xfId="0" applyNumberFormat="1" applyFont="1" applyFill="1" applyBorder="1" applyAlignment="1">
      <alignment horizontal="center" wrapText="1"/>
    </xf>
    <xf numFmtId="0" fontId="18" fillId="33" borderId="11" xfId="0" applyFont="1" applyFill="1" applyBorder="1" applyAlignment="1">
      <alignment horizontal="center"/>
    </xf>
    <xf numFmtId="0" fontId="0" fillId="33" borderId="11" xfId="0" applyFill="1" applyBorder="1"/>
    <xf numFmtId="0" fontId="19" fillId="33" borderId="12" xfId="0" applyFont="1" applyFill="1" applyBorder="1" applyAlignment="1">
      <alignment horizontal="center" wrapText="1"/>
    </xf>
    <xf numFmtId="0" fontId="0" fillId="33" borderId="11" xfId="0" applyFill="1" applyBorder="1" applyAlignment="1">
      <alignment wrapText="1"/>
    </xf>
    <xf numFmtId="0" fontId="0" fillId="33" borderId="10" xfId="0" applyFill="1" applyBorder="1" applyAlignment="1">
      <alignment wrapText="1"/>
    </xf>
    <xf numFmtId="0" fontId="0" fillId="33" borderId="13" xfId="0" applyFill="1" applyBorder="1"/>
    <xf numFmtId="164" fontId="0" fillId="0" borderId="14" xfId="0" quotePrefix="1" applyNumberFormat="1" applyBorder="1"/>
    <xf numFmtId="0" fontId="0" fillId="0" borderId="16" xfId="0" applyBorder="1"/>
    <xf numFmtId="1" fontId="0" fillId="0" borderId="0" xfId="0" applyNumberFormat="1"/>
    <xf numFmtId="165" fontId="0" fillId="0" borderId="0" xfId="0" applyNumberFormat="1"/>
    <xf numFmtId="14" fontId="0" fillId="34" borderId="17" xfId="0" applyNumberFormat="1" applyFont="1" applyFill="1" applyBorder="1"/>
    <xf numFmtId="0" fontId="0" fillId="0" borderId="0" xfId="0" applyAlignment="1">
      <alignment wrapText="1"/>
    </xf>
    <xf numFmtId="0" fontId="20" fillId="0" borderId="0" xfId="42"/>
    <xf numFmtId="0" fontId="20" fillId="34" borderId="18" xfId="42" applyFont="1" applyFill="1" applyBorder="1"/>
    <xf numFmtId="14" fontId="21" fillId="0" borderId="0" xfId="0" quotePrefix="1" applyNumberFormat="1" applyFont="1"/>
    <xf numFmtId="0" fontId="0" fillId="0" borderId="0" xfId="0" applyAlignment="1"/>
    <xf numFmtId="2" fontId="0" fillId="0" borderId="0" xfId="0" applyNumberFormat="1"/>
    <xf numFmtId="167" fontId="0" fillId="0" borderId="0" xfId="0" applyNumberFormat="1"/>
    <xf numFmtId="2" fontId="0" fillId="0" borderId="0" xfId="0" applyNumberFormat="1" applyBorder="1"/>
    <xf numFmtId="164" fontId="0" fillId="0" borderId="0" xfId="0" applyNumberFormat="1" applyBorder="1"/>
    <xf numFmtId="0" fontId="0" fillId="0" borderId="0" xfId="0" applyBorder="1"/>
    <xf numFmtId="166" fontId="0" fillId="0" borderId="0" xfId="0" applyNumberFormat="1" applyBorder="1"/>
    <xf numFmtId="0" fontId="0" fillId="0" borderId="0" xfId="0"/>
    <xf numFmtId="14" fontId="0" fillId="0" borderId="0" xfId="0" applyNumberFormat="1"/>
    <xf numFmtId="0" fontId="0" fillId="0" borderId="0" xfId="0" applyAlignment="1">
      <alignment horizontal="right"/>
    </xf>
    <xf numFmtId="0" fontId="14" fillId="0" borderId="0" xfId="0" applyFont="1"/>
    <xf numFmtId="0" fontId="16" fillId="0" borderId="0" xfId="0" applyFont="1"/>
    <xf numFmtId="0" fontId="0" fillId="0" borderId="0" xfId="0" quotePrefix="1"/>
    <xf numFmtId="9" fontId="0" fillId="0" borderId="0" xfId="0" applyNumberFormat="1"/>
    <xf numFmtId="3" fontId="0" fillId="0" borderId="0" xfId="0" applyNumberFormat="1"/>
    <xf numFmtId="0" fontId="0" fillId="0" borderId="18" xfId="0" applyFont="1" applyBorder="1"/>
    <xf numFmtId="165" fontId="0" fillId="0" borderId="0" xfId="0" applyNumberFormat="1" applyBorder="1"/>
    <xf numFmtId="166" fontId="0" fillId="0" borderId="14" xfId="0" quotePrefix="1" applyNumberFormat="1" applyBorder="1"/>
    <xf numFmtId="0" fontId="23" fillId="36" borderId="0" xfId="0" applyFont="1" applyFill="1" applyAlignment="1">
      <alignment horizontal="left" wrapText="1"/>
    </xf>
    <xf numFmtId="0" fontId="24" fillId="36" borderId="19" xfId="0" applyFont="1" applyFill="1" applyBorder="1" applyAlignment="1">
      <alignment horizontal="left" vertical="top" wrapText="1"/>
    </xf>
    <xf numFmtId="168" fontId="0" fillId="0" borderId="15" xfId="0" applyNumberFormat="1" applyBorder="1"/>
    <xf numFmtId="11" fontId="0" fillId="0" borderId="0" xfId="0" applyNumberFormat="1"/>
    <xf numFmtId="0" fontId="0" fillId="37" borderId="0" xfId="0" applyFill="1"/>
    <xf numFmtId="11" fontId="0" fillId="37" borderId="0" xfId="0" applyNumberFormat="1" applyFill="1"/>
    <xf numFmtId="0" fontId="16" fillId="37" borderId="0" xfId="0" applyFont="1" applyFill="1"/>
    <xf numFmtId="0" fontId="0" fillId="38" borderId="0" xfId="0" applyFill="1" applyAlignment="1">
      <alignment wrapText="1"/>
    </xf>
    <xf numFmtId="164" fontId="0" fillId="0" borderId="0" xfId="0" applyNumberFormat="1"/>
    <xf numFmtId="0" fontId="0" fillId="39" borderId="0" xfId="0" applyFill="1" applyAlignment="1">
      <alignment wrapText="1"/>
    </xf>
    <xf numFmtId="0" fontId="0" fillId="40" borderId="0" xfId="0" applyFill="1"/>
    <xf numFmtId="165" fontId="0" fillId="40" borderId="0" xfId="0" applyNumberFormat="1" applyFill="1"/>
    <xf numFmtId="1" fontId="0" fillId="40" borderId="0" xfId="0" applyNumberFormat="1" applyFill="1"/>
    <xf numFmtId="11" fontId="0" fillId="40" borderId="0" xfId="0" applyNumberFormat="1" applyFill="1"/>
    <xf numFmtId="167" fontId="0" fillId="40" borderId="0" xfId="0" applyNumberFormat="1" applyFill="1"/>
    <xf numFmtId="0" fontId="0" fillId="41" borderId="0" xfId="0" applyFill="1"/>
    <xf numFmtId="14" fontId="0" fillId="41" borderId="0" xfId="0" applyNumberFormat="1" applyFill="1"/>
    <xf numFmtId="2" fontId="0" fillId="41" borderId="0" xfId="0" applyNumberFormat="1" applyFill="1"/>
    <xf numFmtId="0" fontId="0" fillId="41" borderId="0" xfId="0" applyFill="1" applyAlignment="1"/>
    <xf numFmtId="0" fontId="27" fillId="35" borderId="0" xfId="0" applyFont="1" applyFill="1" applyAlignment="1">
      <alignment wrapText="1"/>
    </xf>
    <xf numFmtId="1" fontId="0" fillId="0" borderId="0" xfId="0" applyNumberFormat="1" applyFill="1"/>
    <xf numFmtId="165" fontId="0" fillId="0" borderId="0" xfId="0" applyNumberFormat="1" applyFill="1"/>
    <xf numFmtId="0" fontId="22" fillId="39" borderId="0" xfId="0" applyFont="1" applyFill="1" applyAlignment="1">
      <alignment wrapText="1"/>
    </xf>
    <xf numFmtId="171" fontId="0" fillId="0" borderId="0" xfId="0" applyNumberFormat="1"/>
    <xf numFmtId="22" fontId="0" fillId="0" borderId="0" xfId="0" applyNumberFormat="1"/>
    <xf numFmtId="166" fontId="0" fillId="0" borderId="0" xfId="0" applyNumberFormat="1"/>
    <xf numFmtId="172" fontId="0" fillId="0" borderId="0" xfId="0" applyNumberFormat="1"/>
    <xf numFmtId="14" fontId="0" fillId="46" borderId="0" xfId="0" applyNumberFormat="1" applyFill="1"/>
    <xf numFmtId="0" fontId="0" fillId="46" borderId="0" xfId="0" applyFill="1"/>
    <xf numFmtId="11" fontId="0" fillId="46" borderId="0" xfId="0" applyNumberFormat="1" applyFill="1"/>
    <xf numFmtId="169" fontId="0" fillId="46" borderId="0" xfId="0" applyNumberFormat="1" applyFill="1"/>
    <xf numFmtId="14" fontId="17" fillId="45" borderId="0" xfId="0" applyNumberFormat="1" applyFont="1" applyFill="1"/>
    <xf numFmtId="0" fontId="17" fillId="45" borderId="0" xfId="0" applyFont="1" applyFill="1"/>
    <xf numFmtId="164" fontId="17" fillId="45" borderId="0" xfId="0" applyNumberFormat="1" applyFont="1" applyFill="1" applyBorder="1"/>
    <xf numFmtId="166" fontId="17" fillId="45" borderId="0" xfId="0" applyNumberFormat="1" applyFont="1" applyFill="1" applyBorder="1"/>
    <xf numFmtId="48" fontId="0" fillId="0" borderId="0" xfId="0" applyNumberFormat="1"/>
    <xf numFmtId="48" fontId="0" fillId="0" borderId="0" xfId="0" applyNumberFormat="1" applyBorder="1"/>
    <xf numFmtId="173" fontId="0" fillId="0" borderId="0" xfId="0" applyNumberFormat="1"/>
    <xf numFmtId="173" fontId="0" fillId="0" borderId="0" xfId="0" applyNumberFormat="1" applyBorder="1"/>
    <xf numFmtId="174" fontId="0" fillId="0" borderId="0" xfId="0" applyNumberFormat="1" applyBorder="1"/>
    <xf numFmtId="173" fontId="19" fillId="44" borderId="13" xfId="0" applyNumberFormat="1" applyFont="1" applyFill="1" applyBorder="1" applyAlignment="1">
      <alignment horizontal="center" wrapText="1"/>
    </xf>
    <xf numFmtId="164" fontId="28" fillId="47" borderId="13" xfId="0" applyNumberFormat="1" applyFont="1" applyFill="1" applyBorder="1" applyAlignment="1">
      <alignment horizontal="center" wrapText="1"/>
    </xf>
    <xf numFmtId="0" fontId="28" fillId="47" borderId="13" xfId="0" applyFont="1" applyFill="1" applyBorder="1" applyAlignment="1">
      <alignment horizontal="center"/>
    </xf>
    <xf numFmtId="0" fontId="16" fillId="47" borderId="13" xfId="0" applyFont="1" applyFill="1" applyBorder="1"/>
    <xf numFmtId="0" fontId="0" fillId="48" borderId="0" xfId="0" applyFill="1"/>
    <xf numFmtId="164" fontId="18" fillId="48" borderId="10" xfId="0" applyNumberFormat="1" applyFont="1" applyFill="1" applyBorder="1" applyAlignment="1">
      <alignment horizontal="center" wrapText="1"/>
    </xf>
    <xf numFmtId="0" fontId="18" fillId="48" borderId="11" xfId="0" applyFont="1" applyFill="1" applyBorder="1" applyAlignment="1">
      <alignment horizontal="center"/>
    </xf>
    <xf numFmtId="0" fontId="0" fillId="48" borderId="11" xfId="0" applyFill="1" applyBorder="1"/>
    <xf numFmtId="0" fontId="19" fillId="48" borderId="12" xfId="0" applyFont="1" applyFill="1" applyBorder="1" applyAlignment="1">
      <alignment horizontal="center" wrapText="1"/>
    </xf>
    <xf numFmtId="0" fontId="0" fillId="48" borderId="11" xfId="0" applyFill="1" applyBorder="1" applyAlignment="1">
      <alignment wrapText="1"/>
    </xf>
    <xf numFmtId="0" fontId="0" fillId="48" borderId="10" xfId="0" applyFill="1" applyBorder="1" applyAlignment="1">
      <alignment wrapText="1"/>
    </xf>
    <xf numFmtId="0" fontId="0" fillId="48" borderId="13" xfId="0" applyFill="1" applyBorder="1"/>
    <xf numFmtId="0" fontId="0" fillId="48" borderId="0" xfId="0" applyFill="1" applyBorder="1"/>
    <xf numFmtId="0" fontId="0" fillId="48" borderId="0" xfId="0" applyFill="1" applyBorder="1" applyAlignment="1">
      <alignment wrapText="1"/>
    </xf>
    <xf numFmtId="0" fontId="0" fillId="48" borderId="0" xfId="0" applyFill="1" applyAlignment="1">
      <alignment wrapText="1"/>
    </xf>
    <xf numFmtId="1" fontId="0" fillId="41" borderId="0" xfId="0" applyNumberFormat="1" applyFill="1"/>
    <xf numFmtId="174" fontId="0" fillId="0" borderId="0" xfId="0" applyNumberFormat="1"/>
    <xf numFmtId="1" fontId="0" fillId="0" borderId="0" xfId="0" quotePrefix="1" applyNumberFormat="1"/>
    <xf numFmtId="0" fontId="29" fillId="43" borderId="0" xfId="0" applyFont="1" applyFill="1" applyAlignment="1">
      <alignment wrapText="1"/>
    </xf>
    <xf numFmtId="175" fontId="0" fillId="0" borderId="0" xfId="0" applyNumberFormat="1"/>
    <xf numFmtId="175" fontId="0" fillId="37" borderId="0" xfId="0" applyNumberFormat="1" applyFill="1"/>
    <xf numFmtId="175" fontId="0" fillId="40" borderId="0" xfId="0" applyNumberFormat="1" applyFill="1"/>
    <xf numFmtId="176" fontId="0" fillId="0" borderId="0" xfId="43" applyNumberFormat="1" applyFont="1"/>
    <xf numFmtId="0" fontId="0" fillId="0" borderId="0" xfId="0" applyFill="1"/>
    <xf numFmtId="14" fontId="0" fillId="0" borderId="0" xfId="0" applyNumberFormat="1" applyFill="1"/>
    <xf numFmtId="166" fontId="0" fillId="0" borderId="0" xfId="0" applyNumberFormat="1" applyFill="1" applyBorder="1"/>
    <xf numFmtId="0" fontId="0" fillId="0" borderId="0" xfId="0" applyFill="1" applyBorder="1"/>
    <xf numFmtId="164" fontId="18" fillId="0" borderId="0" xfId="0" applyNumberFormat="1" applyFont="1" applyFill="1" applyBorder="1" applyAlignment="1">
      <alignment horizontal="center" wrapText="1"/>
    </xf>
    <xf numFmtId="0" fontId="18" fillId="0" borderId="0" xfId="0" applyFont="1" applyFill="1" applyBorder="1" applyAlignment="1">
      <alignment horizontal="center"/>
    </xf>
    <xf numFmtId="0" fontId="19" fillId="0" borderId="0" xfId="0" applyFont="1" applyFill="1" applyBorder="1" applyAlignment="1">
      <alignment horizontal="center" wrapText="1"/>
    </xf>
    <xf numFmtId="0" fontId="0" fillId="0" borderId="0" xfId="0" applyFill="1" applyBorder="1" applyAlignment="1">
      <alignment wrapText="1"/>
    </xf>
    <xf numFmtId="164" fontId="0" fillId="0" borderId="0" xfId="0" quotePrefix="1" applyNumberFormat="1" applyFill="1" applyBorder="1"/>
    <xf numFmtId="166" fontId="0" fillId="0" borderId="0" xfId="0" quotePrefix="1" applyNumberFormat="1" applyFill="1" applyBorder="1"/>
    <xf numFmtId="0" fontId="0" fillId="37" borderId="23" xfId="0" applyFill="1" applyBorder="1"/>
    <xf numFmtId="0" fontId="0" fillId="37" borderId="26" xfId="0" applyFill="1" applyBorder="1"/>
    <xf numFmtId="0" fontId="0" fillId="37" borderId="24" xfId="0" applyFill="1" applyBorder="1"/>
    <xf numFmtId="0" fontId="0" fillId="37" borderId="27" xfId="0" applyFill="1" applyBorder="1"/>
    <xf numFmtId="0" fontId="0" fillId="37" borderId="20" xfId="0" applyFill="1" applyBorder="1"/>
    <xf numFmtId="0" fontId="0" fillId="37" borderId="28" xfId="0" applyFill="1" applyBorder="1"/>
    <xf numFmtId="0" fontId="0" fillId="49" borderId="20" xfId="0" applyFill="1" applyBorder="1"/>
    <xf numFmtId="165" fontId="0" fillId="49" borderId="13" xfId="0" applyNumberFormat="1" applyFill="1" applyBorder="1"/>
    <xf numFmtId="164" fontId="0" fillId="49" borderId="13" xfId="0" applyNumberFormat="1" applyFill="1" applyBorder="1"/>
    <xf numFmtId="2" fontId="0" fillId="49" borderId="13" xfId="0" applyNumberFormat="1" applyFill="1" applyBorder="1"/>
    <xf numFmtId="0" fontId="0" fillId="49" borderId="13" xfId="0" applyFill="1" applyBorder="1"/>
    <xf numFmtId="165" fontId="16" fillId="49" borderId="13" xfId="0" applyNumberFormat="1" applyFont="1" applyFill="1" applyBorder="1" applyAlignment="1">
      <alignment wrapText="1"/>
    </xf>
    <xf numFmtId="0" fontId="16" fillId="49" borderId="20" xfId="0" applyFont="1" applyFill="1" applyBorder="1"/>
    <xf numFmtId="0" fontId="16" fillId="37" borderId="22" xfId="0" applyFont="1" applyFill="1" applyBorder="1"/>
    <xf numFmtId="0" fontId="16" fillId="37" borderId="12" xfId="0" applyFont="1" applyFill="1" applyBorder="1"/>
    <xf numFmtId="0" fontId="16" fillId="37" borderId="25" xfId="0" applyFont="1" applyFill="1" applyBorder="1"/>
    <xf numFmtId="0" fontId="0" fillId="48" borderId="0" xfId="0" applyFill="1" applyBorder="1" applyAlignment="1">
      <alignment horizontal="right"/>
    </xf>
    <xf numFmtId="177" fontId="0" fillId="0" borderId="0" xfId="0" applyNumberFormat="1"/>
    <xf numFmtId="177" fontId="0" fillId="37" borderId="0" xfId="0" applyNumberFormat="1" applyFill="1"/>
    <xf numFmtId="0" fontId="0" fillId="0" borderId="0" xfId="0" applyAlignment="1">
      <alignment horizontal="center"/>
    </xf>
    <xf numFmtId="170" fontId="0" fillId="0" borderId="0" xfId="0" applyNumberFormat="1"/>
    <xf numFmtId="14" fontId="0" fillId="0" borderId="17" xfId="0" applyNumberFormat="1" applyFont="1" applyBorder="1"/>
    <xf numFmtId="0" fontId="30" fillId="0" borderId="0" xfId="0" applyFont="1" applyAlignment="1">
      <alignment horizontal="center" wrapText="1"/>
    </xf>
    <xf numFmtId="14" fontId="0" fillId="50" borderId="29" xfId="0" applyNumberFormat="1" applyFont="1" applyFill="1" applyBorder="1"/>
    <xf numFmtId="1" fontId="0" fillId="50" borderId="29" xfId="0" applyNumberFormat="1" applyFont="1" applyFill="1" applyBorder="1"/>
    <xf numFmtId="14" fontId="0" fillId="0" borderId="29" xfId="0" applyNumberFormat="1" applyFont="1" applyFill="1" applyBorder="1"/>
    <xf numFmtId="2" fontId="0" fillId="0" borderId="29" xfId="0" applyNumberFormat="1" applyFont="1" applyFill="1" applyBorder="1"/>
    <xf numFmtId="14" fontId="0" fillId="0" borderId="0" xfId="0" applyNumberFormat="1" applyFont="1" applyBorder="1"/>
    <xf numFmtId="0" fontId="14" fillId="47" borderId="0" xfId="0" applyFont="1" applyFill="1" applyAlignment="1">
      <alignment horizontal="left" wrapText="1"/>
    </xf>
    <xf numFmtId="0" fontId="31" fillId="0" borderId="0" xfId="0" applyFont="1" applyAlignment="1">
      <alignment wrapText="1"/>
    </xf>
    <xf numFmtId="0" fontId="17" fillId="51" borderId="0" xfId="0" applyFont="1" applyFill="1" applyAlignment="1">
      <alignment wrapText="1"/>
    </xf>
    <xf numFmtId="175" fontId="17" fillId="51" borderId="0" xfId="0" applyNumberFormat="1" applyFont="1" applyFill="1"/>
    <xf numFmtId="0" fontId="31" fillId="42" borderId="0" xfId="0" applyFont="1" applyFill="1" applyAlignment="1">
      <alignment wrapText="1"/>
    </xf>
    <xf numFmtId="0" fontId="27" fillId="40" borderId="0" xfId="0" applyFont="1" applyFill="1" applyAlignment="1">
      <alignment wrapText="1"/>
    </xf>
    <xf numFmtId="0" fontId="32" fillId="52" borderId="0" xfId="0" applyFont="1" applyFill="1" applyAlignment="1">
      <alignment wrapText="1"/>
    </xf>
    <xf numFmtId="0" fontId="0" fillId="53" borderId="0" xfId="0" applyFill="1" applyAlignment="1">
      <alignment wrapText="1"/>
    </xf>
    <xf numFmtId="0" fontId="17" fillId="54" borderId="0" xfId="0" applyFont="1" applyFill="1" applyAlignment="1">
      <alignment wrapText="1"/>
    </xf>
    <xf numFmtId="0" fontId="33" fillId="44" borderId="0" xfId="0" applyFont="1" applyFill="1"/>
    <xf numFmtId="0" fontId="33" fillId="44" borderId="21" xfId="0" applyFont="1" applyFill="1" applyBorder="1" applyAlignment="1">
      <alignment wrapText="1"/>
    </xf>
    <xf numFmtId="0" fontId="34" fillId="44" borderId="21" xfId="0" applyFont="1" applyFill="1" applyBorder="1" applyAlignment="1">
      <alignment wrapText="1"/>
    </xf>
    <xf numFmtId="14" fontId="34" fillId="49" borderId="0" xfId="0" applyNumberFormat="1" applyFont="1" applyFill="1"/>
    <xf numFmtId="0" fontId="34" fillId="44" borderId="0" xfId="0" applyFont="1" applyFill="1" applyBorder="1"/>
    <xf numFmtId="0" fontId="34" fillId="44" borderId="0" xfId="0" applyFont="1" applyFill="1" applyAlignment="1">
      <alignment wrapText="1"/>
    </xf>
    <xf numFmtId="172" fontId="34" fillId="44" borderId="0" xfId="0" applyNumberFormat="1" applyFont="1" applyFill="1"/>
    <xf numFmtId="172" fontId="34" fillId="44" borderId="0" xfId="0" applyNumberFormat="1" applyFont="1" applyFill="1" applyAlignment="1">
      <alignment wrapText="1"/>
    </xf>
    <xf numFmtId="178" fontId="0" fillId="0" borderId="0" xfId="0" applyNumberFormat="1"/>
    <xf numFmtId="178" fontId="0" fillId="41" borderId="0" xfId="0" applyNumberFormat="1" applyFill="1"/>
    <xf numFmtId="179" fontId="0" fillId="0" borderId="0" xfId="0" applyNumberFormat="1"/>
    <xf numFmtId="179" fontId="0" fillId="41" borderId="0" xfId="0" applyNumberFormat="1" applyFill="1"/>
    <xf numFmtId="48" fontId="0" fillId="41" borderId="0" xfId="0" quotePrefix="1" applyNumberFormat="1" applyFill="1"/>
    <xf numFmtId="48" fontId="0" fillId="0" borderId="0" xfId="0" quotePrefix="1" applyNumberFormat="1" applyBorder="1"/>
    <xf numFmtId="14" fontId="0" fillId="0" borderId="0" xfId="0" applyNumberFormat="1" applyBorder="1"/>
    <xf numFmtId="172" fontId="0" fillId="0" borderId="0" xfId="0" applyNumberFormat="1" applyBorder="1"/>
    <xf numFmtId="1" fontId="0" fillId="50" borderId="0" xfId="0" applyNumberFormat="1" applyFont="1" applyFill="1" applyBorder="1"/>
    <xf numFmtId="1" fontId="0" fillId="50" borderId="0" xfId="0" quotePrefix="1" applyNumberFormat="1" applyFont="1" applyFill="1" applyBorder="1"/>
    <xf numFmtId="180" fontId="0" fillId="0" borderId="0" xfId="0" applyNumberFormat="1"/>
    <xf numFmtId="167" fontId="0" fillId="0" borderId="0" xfId="0" applyNumberFormat="1" applyBorder="1"/>
    <xf numFmtId="0" fontId="0" fillId="0" borderId="0" xfId="0" applyNumberFormat="1"/>
    <xf numFmtId="0" fontId="0" fillId="0" borderId="25" xfId="0" applyBorder="1"/>
    <xf numFmtId="0" fontId="0" fillId="0" borderId="26" xfId="0" applyBorder="1"/>
    <xf numFmtId="0" fontId="0" fillId="0" borderId="23" xfId="0" applyBorder="1"/>
    <xf numFmtId="2" fontId="0" fillId="0" borderId="26" xfId="0" applyNumberFormat="1" applyBorder="1"/>
    <xf numFmtId="2" fontId="0" fillId="0" borderId="27" xfId="0" applyNumberFormat="1" applyBorder="1"/>
    <xf numFmtId="0" fontId="0" fillId="49" borderId="24" xfId="0" applyFill="1" applyBorder="1"/>
    <xf numFmtId="0" fontId="0" fillId="49" borderId="0" xfId="0" applyFill="1"/>
    <xf numFmtId="167" fontId="0" fillId="0" borderId="26" xfId="0" applyNumberFormat="1" applyBorder="1"/>
    <xf numFmtId="0" fontId="0" fillId="49" borderId="32" xfId="0" applyFill="1" applyBorder="1"/>
    <xf numFmtId="0" fontId="0" fillId="0" borderId="32" xfId="0" applyBorder="1"/>
    <xf numFmtId="1" fontId="0" fillId="0" borderId="26" xfId="0" applyNumberFormat="1" applyBorder="1"/>
    <xf numFmtId="175" fontId="0" fillId="49" borderId="33" xfId="0" applyNumberFormat="1" applyFill="1" applyBorder="1"/>
    <xf numFmtId="175" fontId="0" fillId="49" borderId="34" xfId="0" applyNumberFormat="1" applyFill="1" applyBorder="1"/>
    <xf numFmtId="175" fontId="0" fillId="49" borderId="35" xfId="0" applyNumberFormat="1" applyFill="1" applyBorder="1"/>
    <xf numFmtId="1" fontId="0" fillId="0" borderId="22" xfId="0" applyNumberFormat="1" applyBorder="1"/>
    <xf numFmtId="1" fontId="0" fillId="0" borderId="23" xfId="0" applyNumberFormat="1" applyBorder="1"/>
    <xf numFmtId="1" fontId="0" fillId="0" borderId="24" xfId="0" applyNumberFormat="1" applyBorder="1"/>
    <xf numFmtId="0" fontId="0" fillId="49" borderId="33" xfId="0" applyFill="1" applyBorder="1"/>
    <xf numFmtId="0" fontId="0" fillId="49" borderId="34" xfId="0" applyFill="1" applyBorder="1"/>
    <xf numFmtId="2" fontId="0" fillId="49" borderId="34" xfId="0" applyNumberFormat="1" applyFill="1" applyBorder="1"/>
    <xf numFmtId="2" fontId="0" fillId="0" borderId="36" xfId="0" applyNumberFormat="1" applyBorder="1"/>
    <xf numFmtId="2" fontId="0" fillId="0" borderId="37" xfId="0" applyNumberFormat="1" applyBorder="1"/>
    <xf numFmtId="0" fontId="0" fillId="49" borderId="35" xfId="0" applyFill="1" applyBorder="1"/>
    <xf numFmtId="1" fontId="0" fillId="50" borderId="0" xfId="0" applyNumberFormat="1" applyFont="1" applyFill="1"/>
    <xf numFmtId="172" fontId="0" fillId="0" borderId="0" xfId="0" applyNumberFormat="1" applyAlignment="1">
      <alignment horizontal="right"/>
    </xf>
    <xf numFmtId="164" fontId="0" fillId="0" borderId="0" xfId="0" applyNumberFormat="1" applyAlignment="1">
      <alignment horizontal="right"/>
    </xf>
    <xf numFmtId="0" fontId="0" fillId="0" borderId="0" xfId="0" applyBorder="1" applyAlignment="1">
      <alignment horizontal="right"/>
    </xf>
    <xf numFmtId="0" fontId="0" fillId="40" borderId="0" xfId="0" applyNumberFormat="1" applyFill="1"/>
    <xf numFmtId="14" fontId="0" fillId="0" borderId="0" xfId="0" applyNumberFormat="1" applyBorder="1" applyAlignment="1">
      <alignment horizontal="right"/>
    </xf>
    <xf numFmtId="48" fontId="0" fillId="0" borderId="0" xfId="0" applyNumberFormat="1" applyBorder="1" applyAlignment="1">
      <alignment horizontal="right"/>
    </xf>
    <xf numFmtId="173" fontId="0" fillId="0" borderId="0" xfId="0" applyNumberFormat="1" applyBorder="1" applyAlignment="1">
      <alignment horizontal="right"/>
    </xf>
    <xf numFmtId="2" fontId="0" fillId="0" borderId="0" xfId="0" applyNumberFormat="1" applyBorder="1" applyAlignment="1">
      <alignment horizontal="right"/>
    </xf>
    <xf numFmtId="172" fontId="0" fillId="0" borderId="0" xfId="0" applyNumberFormat="1" applyBorder="1" applyAlignment="1">
      <alignment horizontal="right"/>
    </xf>
    <xf numFmtId="0" fontId="0" fillId="0" borderId="0" xfId="0" applyBorder="1" applyAlignment="1">
      <alignment horizontal="left"/>
    </xf>
    <xf numFmtId="173" fontId="0" fillId="0" borderId="0" xfId="0" applyNumberFormat="1" applyBorder="1" applyAlignment="1">
      <alignment horizontal="left"/>
    </xf>
    <xf numFmtId="14" fontId="0" fillId="0" borderId="0" xfId="0" applyNumberFormat="1" applyBorder="1" applyAlignment="1">
      <alignment horizontal="left"/>
    </xf>
    <xf numFmtId="0" fontId="0" fillId="51" borderId="0" xfId="0" applyFill="1" applyAlignment="1">
      <alignment wrapText="1"/>
    </xf>
    <xf numFmtId="1" fontId="0" fillId="0" borderId="0" xfId="0" applyNumberFormat="1" applyBorder="1"/>
    <xf numFmtId="0" fontId="39" fillId="55" borderId="0" xfId="0" applyFont="1" applyFill="1" applyAlignment="1">
      <alignment wrapText="1"/>
    </xf>
    <xf numFmtId="2" fontId="40" fillId="55" borderId="0" xfId="0" applyNumberFormat="1" applyFont="1" applyFill="1" applyAlignment="1">
      <alignment wrapText="1"/>
    </xf>
    <xf numFmtId="2" fontId="40" fillId="55" borderId="0" xfId="0" applyNumberFormat="1" applyFont="1" applyFill="1" applyAlignment="1"/>
    <xf numFmtId="1" fontId="40" fillId="55" borderId="0" xfId="0" applyNumberFormat="1" applyFont="1" applyFill="1"/>
    <xf numFmtId="14" fontId="0" fillId="0" borderId="30" xfId="0" applyNumberFormat="1" applyFont="1" applyBorder="1"/>
    <xf numFmtId="1" fontId="17" fillId="57" borderId="0" xfId="0" applyNumberFormat="1" applyFont="1" applyFill="1" applyAlignment="1">
      <alignment wrapText="1"/>
    </xf>
    <xf numFmtId="181" fontId="0" fillId="0" borderId="0" xfId="0" applyNumberFormat="1" applyAlignment="1">
      <alignment horizontal="right"/>
    </xf>
    <xf numFmtId="182" fontId="0" fillId="0" borderId="0" xfId="0" applyNumberFormat="1" applyBorder="1"/>
    <xf numFmtId="182" fontId="0" fillId="0" borderId="30" xfId="0" applyNumberFormat="1" applyBorder="1"/>
    <xf numFmtId="182" fontId="0" fillId="0" borderId="0" xfId="0" applyNumberFormat="1"/>
    <xf numFmtId="182" fontId="0" fillId="0" borderId="0" xfId="0" applyNumberFormat="1" applyFont="1" applyBorder="1"/>
    <xf numFmtId="182" fontId="0" fillId="0" borderId="31" xfId="0" applyNumberFormat="1" applyBorder="1"/>
    <xf numFmtId="182" fontId="0" fillId="0" borderId="0" xfId="0" applyNumberFormat="1" applyBorder="1" applyAlignment="1">
      <alignment horizontal="right"/>
    </xf>
    <xf numFmtId="181" fontId="0" fillId="0" borderId="0" xfId="0" applyNumberFormat="1"/>
    <xf numFmtId="183" fontId="0" fillId="0" borderId="0" xfId="0" applyNumberFormat="1"/>
    <xf numFmtId="183" fontId="0" fillId="0" borderId="0" xfId="0" applyNumberFormat="1" applyBorder="1"/>
    <xf numFmtId="183" fontId="0" fillId="0" borderId="0" xfId="0" applyNumberFormat="1" applyBorder="1" applyAlignment="1">
      <alignment horizontal="right"/>
    </xf>
    <xf numFmtId="165" fontId="0" fillId="0" borderId="0" xfId="0" applyNumberFormat="1" applyBorder="1" applyAlignment="1">
      <alignment horizontal="right"/>
    </xf>
    <xf numFmtId="14" fontId="0" fillId="0" borderId="0" xfId="0" applyNumberFormat="1" applyAlignment="1">
      <alignment horizontal="right"/>
    </xf>
    <xf numFmtId="181" fontId="0" fillId="41" borderId="0" xfId="0" applyNumberFormat="1" applyFill="1" applyAlignment="1">
      <alignment horizontal="right"/>
    </xf>
    <xf numFmtId="182" fontId="0" fillId="41" borderId="0" xfId="0" applyNumberFormat="1" applyFill="1"/>
    <xf numFmtId="182" fontId="0" fillId="41" borderId="0" xfId="0" quotePrefix="1" applyNumberFormat="1" applyFill="1"/>
    <xf numFmtId="182" fontId="0" fillId="0" borderId="0" xfId="0" quotePrefix="1" applyNumberFormat="1" applyBorder="1"/>
    <xf numFmtId="173" fontId="0" fillId="41" borderId="0" xfId="0" applyNumberFormat="1" applyFill="1"/>
    <xf numFmtId="181" fontId="0" fillId="41" borderId="0" xfId="0" applyNumberFormat="1" applyFill="1"/>
    <xf numFmtId="183" fontId="0" fillId="50" borderId="0" xfId="0" quotePrefix="1" applyNumberFormat="1" applyFont="1" applyFill="1" applyBorder="1"/>
    <xf numFmtId="183" fontId="0" fillId="50" borderId="0" xfId="0" applyNumberFormat="1" applyFont="1" applyFill="1" applyBorder="1"/>
    <xf numFmtId="183" fontId="0" fillId="50" borderId="0" xfId="0" applyNumberFormat="1" applyFont="1" applyFill="1"/>
    <xf numFmtId="181" fontId="0" fillId="0" borderId="0" xfId="0" applyNumberFormat="1" applyBorder="1" applyAlignment="1">
      <alignment horizontal="right"/>
    </xf>
    <xf numFmtId="164" fontId="0" fillId="0" borderId="0" xfId="0" applyNumberFormat="1" applyBorder="1" applyAlignment="1">
      <alignment horizontal="right"/>
    </xf>
    <xf numFmtId="0" fontId="0" fillId="0" borderId="0" xfId="0" applyBorder="1" applyAlignment="1"/>
    <xf numFmtId="181" fontId="0" fillId="0" borderId="0" xfId="0" applyNumberFormat="1" applyBorder="1"/>
    <xf numFmtId="1" fontId="0" fillId="50" borderId="38" xfId="0" applyNumberFormat="1" applyFont="1" applyFill="1" applyBorder="1"/>
    <xf numFmtId="14" fontId="0" fillId="56" borderId="0" xfId="0" applyNumberFormat="1" applyFont="1" applyFill="1" applyBorder="1"/>
    <xf numFmtId="14" fontId="0" fillId="0" borderId="31" xfId="0" applyNumberFormat="1" applyBorder="1"/>
    <xf numFmtId="14" fontId="0" fillId="50" borderId="0" xfId="0" applyNumberFormat="1" applyFont="1" applyFill="1" applyBorder="1"/>
    <xf numFmtId="14" fontId="0" fillId="0" borderId="29" xfId="0" applyNumberFormat="1" applyBorder="1"/>
    <xf numFmtId="0" fontId="0" fillId="0" borderId="29" xfId="0" applyBorder="1"/>
    <xf numFmtId="179" fontId="0" fillId="0" borderId="0" xfId="0" applyNumberFormat="1" applyBorder="1"/>
    <xf numFmtId="179" fontId="0" fillId="56" borderId="0" xfId="0" applyNumberFormat="1" applyFont="1" applyFill="1" applyBorder="1" applyAlignment="1">
      <alignment horizontal="right"/>
    </xf>
    <xf numFmtId="179" fontId="0" fillId="0" borderId="0" xfId="0" applyNumberFormat="1" applyFont="1" applyBorder="1"/>
    <xf numFmtId="179" fontId="0" fillId="0" borderId="30" xfId="0" applyNumberFormat="1" applyBorder="1"/>
    <xf numFmtId="179" fontId="0" fillId="56" borderId="30" xfId="0" applyNumberFormat="1" applyFont="1" applyFill="1" applyBorder="1" applyAlignment="1">
      <alignment horizontal="right"/>
    </xf>
    <xf numFmtId="179" fontId="0" fillId="0" borderId="0" xfId="0" applyNumberFormat="1" applyBorder="1" applyAlignment="1">
      <alignment horizontal="right"/>
    </xf>
    <xf numFmtId="179" fontId="0" fillId="0" borderId="0" xfId="0" applyNumberFormat="1" applyAlignment="1">
      <alignment horizontal="right"/>
    </xf>
    <xf numFmtId="184" fontId="0" fillId="0" borderId="0" xfId="0" applyNumberFormat="1"/>
    <xf numFmtId="184" fontId="0" fillId="0" borderId="0" xfId="0" applyNumberFormat="1" applyBorder="1"/>
    <xf numFmtId="184" fontId="0" fillId="0" borderId="0" xfId="0" applyNumberFormat="1" applyFont="1" applyBorder="1"/>
    <xf numFmtId="184" fontId="0" fillId="41" borderId="0" xfId="0" applyNumberFormat="1" applyFill="1"/>
    <xf numFmtId="184" fontId="0" fillId="0" borderId="30" xfId="0" applyNumberFormat="1" applyBorder="1"/>
    <xf numFmtId="184" fontId="0" fillId="0" borderId="30" xfId="0" applyNumberFormat="1" applyFont="1" applyBorder="1"/>
    <xf numFmtId="179" fontId="0" fillId="0" borderId="30" xfId="0" applyNumberFormat="1" applyFont="1" applyBorder="1"/>
    <xf numFmtId="179" fontId="0" fillId="0" borderId="31" xfId="0" applyNumberFormat="1" applyBorder="1"/>
    <xf numFmtId="184" fontId="0" fillId="0" borderId="31" xfId="0" applyNumberFormat="1" applyBorder="1"/>
    <xf numFmtId="14" fontId="0" fillId="0" borderId="38" xfId="0" applyNumberFormat="1" applyBorder="1"/>
    <xf numFmtId="0" fontId="0" fillId="0" borderId="38" xfId="0" applyBorder="1"/>
    <xf numFmtId="173" fontId="0" fillId="0" borderId="0" xfId="0" applyNumberFormat="1" applyAlignment="1">
      <alignment horizontal="left" vertical="top"/>
    </xf>
    <xf numFmtId="1" fontId="0" fillId="0" borderId="0" xfId="0" applyNumberFormat="1" applyAlignment="1">
      <alignment horizontal="left" vertical="top"/>
    </xf>
    <xf numFmtId="14" fontId="0" fillId="0" borderId="0" xfId="0" applyNumberFormat="1" applyAlignment="1">
      <alignment horizontal="left" vertical="top"/>
    </xf>
    <xf numFmtId="0" fontId="33" fillId="44" borderId="0" xfId="0" applyFont="1" applyFill="1" applyAlignment="1">
      <alignment horizontal="left" vertical="top" wrapText="1"/>
    </xf>
    <xf numFmtId="0" fontId="0" fillId="0" borderId="0" xfId="0" applyAlignment="1">
      <alignment horizontal="left" vertical="top"/>
    </xf>
    <xf numFmtId="171" fontId="0" fillId="0" borderId="0" xfId="0" applyNumberFormat="1" applyAlignment="1">
      <alignment horizontal="left" vertical="top"/>
    </xf>
    <xf numFmtId="14" fontId="0" fillId="0" borderId="0" xfId="0" applyNumberFormat="1" applyBorder="1" applyAlignment="1">
      <alignment horizontal="left" vertical="top"/>
    </xf>
    <xf numFmtId="0" fontId="0" fillId="0" borderId="0" xfId="0" applyBorder="1" applyAlignment="1">
      <alignment horizontal="left" vertical="top"/>
    </xf>
    <xf numFmtId="0" fontId="0" fillId="0" borderId="0" xfId="0" applyFill="1" applyAlignment="1">
      <alignment horizontal="left" vertical="top"/>
    </xf>
    <xf numFmtId="14" fontId="0" fillId="41" borderId="0" xfId="0" applyNumberFormat="1" applyFill="1" applyAlignment="1">
      <alignment horizontal="left" vertical="top"/>
    </xf>
    <xf numFmtId="0" fontId="0" fillId="40" borderId="0" xfId="0" applyFill="1" applyAlignment="1">
      <alignment horizontal="left" vertical="top"/>
    </xf>
    <xf numFmtId="14" fontId="0" fillId="0" borderId="30" xfId="0" applyNumberFormat="1" applyBorder="1" applyAlignment="1">
      <alignment horizontal="left" vertical="top"/>
    </xf>
    <xf numFmtId="14" fontId="0" fillId="0" borderId="0" xfId="0" applyNumberFormat="1" applyFont="1" applyBorder="1" applyAlignment="1">
      <alignment horizontal="left" vertical="top"/>
    </xf>
    <xf numFmtId="14" fontId="16" fillId="0" borderId="39" xfId="0" applyNumberFormat="1" applyFont="1" applyBorder="1"/>
    <xf numFmtId="0" fontId="0" fillId="0" borderId="40" xfId="0" applyBorder="1" applyAlignment="1">
      <alignment horizontal="right"/>
    </xf>
    <xf numFmtId="184" fontId="0" fillId="0" borderId="0" xfId="0" applyNumberFormat="1" applyBorder="1" applyAlignment="1">
      <alignment horizontal="right"/>
    </xf>
    <xf numFmtId="0" fontId="41" fillId="0" borderId="0" xfId="0" applyFont="1" applyAlignment="1">
      <alignment wrapText="1"/>
    </xf>
    <xf numFmtId="185" fontId="0" fillId="0" borderId="0" xfId="0" applyNumberFormat="1"/>
    <xf numFmtId="0" fontId="0" fillId="34" borderId="18" xfId="0" applyFont="1" applyFill="1" applyBorder="1"/>
    <xf numFmtId="1" fontId="0" fillId="0" borderId="25" xfId="0" applyNumberFormat="1" applyBorder="1"/>
    <xf numFmtId="0" fontId="0" fillId="58" borderId="0" xfId="0" applyFill="1"/>
    <xf numFmtId="0" fontId="0" fillId="58" borderId="0" xfId="0" applyFill="1" applyBorder="1"/>
    <xf numFmtId="0" fontId="0" fillId="58" borderId="0" xfId="0" applyFill="1" applyAlignment="1">
      <alignment horizontal="right"/>
    </xf>
    <xf numFmtId="0" fontId="41" fillId="58" borderId="0" xfId="0" applyFont="1" applyFill="1" applyAlignment="1">
      <alignment wrapText="1"/>
    </xf>
    <xf numFmtId="185" fontId="0" fillId="58" borderId="0" xfId="0" applyNumberFormat="1" applyFill="1"/>
    <xf numFmtId="0" fontId="42" fillId="0" borderId="0" xfId="0" applyFont="1"/>
    <xf numFmtId="0" fontId="42" fillId="0" borderId="0" xfId="0" applyFont="1" applyBorder="1"/>
    <xf numFmtId="0" fontId="42" fillId="0" borderId="40" xfId="0" applyFont="1" applyBorder="1" applyAlignment="1">
      <alignment horizontal="right"/>
    </xf>
    <xf numFmtId="0" fontId="43" fillId="0" borderId="0" xfId="0" applyFont="1"/>
    <xf numFmtId="0" fontId="43" fillId="0" borderId="0" xfId="0" applyFont="1" applyBorder="1"/>
    <xf numFmtId="0" fontId="43" fillId="0" borderId="40" xfId="0" applyFont="1" applyBorder="1" applyAlignment="1">
      <alignment horizontal="right"/>
    </xf>
    <xf numFmtId="0" fontId="44" fillId="0" borderId="0" xfId="0" applyFont="1"/>
    <xf numFmtId="0" fontId="44" fillId="0" borderId="0" xfId="0" applyFont="1" applyBorder="1"/>
    <xf numFmtId="0" fontId="44" fillId="0" borderId="40" xfId="0" applyFont="1" applyBorder="1" applyAlignment="1">
      <alignment horizontal="right"/>
    </xf>
    <xf numFmtId="9" fontId="0" fillId="0" borderId="0" xfId="43" applyFont="1"/>
    <xf numFmtId="0" fontId="0" fillId="57" borderId="0" xfId="0" applyFill="1" applyAlignment="1">
      <alignment wrapText="1"/>
    </xf>
    <xf numFmtId="1" fontId="0" fillId="59" borderId="0" xfId="0" applyNumberFormat="1" applyFill="1" applyBorder="1"/>
    <xf numFmtId="9" fontId="0" fillId="59" borderId="0" xfId="43" applyFont="1" applyFill="1" applyBorder="1"/>
    <xf numFmtId="1" fontId="0" fillId="43" borderId="0" xfId="0" applyNumberFormat="1" applyFill="1" applyBorder="1"/>
    <xf numFmtId="0" fontId="0" fillId="57" borderId="41" xfId="0" applyFill="1" applyBorder="1" applyAlignment="1">
      <alignment wrapText="1"/>
    </xf>
    <xf numFmtId="0" fontId="0" fillId="57" borderId="42" xfId="0" applyFill="1" applyBorder="1" applyAlignment="1">
      <alignment wrapText="1"/>
    </xf>
    <xf numFmtId="0" fontId="0" fillId="57" borderId="43" xfId="0" applyFill="1" applyBorder="1" applyAlignment="1">
      <alignment wrapText="1"/>
    </xf>
    <xf numFmtId="0" fontId="0" fillId="59" borderId="44" xfId="0" applyFill="1" applyBorder="1"/>
    <xf numFmtId="0" fontId="0" fillId="59" borderId="45" xfId="0" applyFill="1" applyBorder="1"/>
    <xf numFmtId="0" fontId="0" fillId="43" borderId="44" xfId="0" applyFill="1" applyBorder="1"/>
    <xf numFmtId="0" fontId="0" fillId="43" borderId="45" xfId="0" applyFill="1" applyBorder="1"/>
    <xf numFmtId="0" fontId="0" fillId="43" borderId="46" xfId="0" applyFill="1" applyBorder="1"/>
    <xf numFmtId="1" fontId="0" fillId="43" borderId="0" xfId="0" applyNumberFormat="1" applyFill="1"/>
    <xf numFmtId="9" fontId="0" fillId="43" borderId="0" xfId="43" applyFont="1" applyFill="1"/>
    <xf numFmtId="3" fontId="0" fillId="59" borderId="0" xfId="0" applyNumberFormat="1" applyFill="1" applyBorder="1"/>
    <xf numFmtId="3" fontId="0" fillId="43" borderId="0" xfId="0" applyNumberFormat="1" applyFill="1" applyBorder="1"/>
    <xf numFmtId="3" fontId="0" fillId="43" borderId="47" xfId="0" applyNumberFormat="1" applyFill="1" applyBorder="1"/>
    <xf numFmtId="0" fontId="14" fillId="60" borderId="0" xfId="0" applyFont="1" applyFill="1"/>
    <xf numFmtId="0" fontId="0" fillId="0" borderId="0" xfId="0" applyNumberFormat="1" applyFill="1" applyBorder="1"/>
    <xf numFmtId="186" fontId="0" fillId="0" borderId="0" xfId="0" applyNumberFormat="1"/>
    <xf numFmtId="0" fontId="0" fillId="57" borderId="0" xfId="0" applyFill="1" applyBorder="1" applyAlignment="1">
      <alignment wrapText="1"/>
    </xf>
    <xf numFmtId="167" fontId="0" fillId="59" borderId="0" xfId="0" applyNumberFormat="1" applyFill="1" applyBorder="1"/>
    <xf numFmtId="167" fontId="0" fillId="43" borderId="0" xfId="0" applyNumberFormat="1" applyFill="1" applyBorder="1"/>
    <xf numFmtId="167" fontId="0" fillId="43" borderId="0" xfId="0" quotePrefix="1" applyNumberFormat="1" applyFill="1" applyBorder="1"/>
    <xf numFmtId="0" fontId="46" fillId="61" borderId="41" xfId="0" applyFont="1" applyFill="1" applyBorder="1"/>
    <xf numFmtId="0" fontId="46" fillId="61" borderId="42" xfId="0" applyFont="1" applyFill="1" applyBorder="1" applyAlignment="1">
      <alignment horizontal="center"/>
    </xf>
    <xf numFmtId="0" fontId="46" fillId="61" borderId="42" xfId="0" applyFont="1" applyFill="1" applyBorder="1" applyAlignment="1">
      <alignment horizontal="center" wrapText="1"/>
    </xf>
    <xf numFmtId="167" fontId="0" fillId="43" borderId="24" xfId="0" applyNumberFormat="1" applyFill="1" applyBorder="1"/>
    <xf numFmtId="3" fontId="0" fillId="43" borderId="48" xfId="0" applyNumberFormat="1" applyFill="1" applyBorder="1"/>
    <xf numFmtId="167" fontId="0" fillId="43" borderId="48" xfId="0" applyNumberFormat="1" applyFill="1" applyBorder="1"/>
    <xf numFmtId="9" fontId="0" fillId="43" borderId="27" xfId="43" applyFont="1" applyFill="1" applyBorder="1"/>
    <xf numFmtId="167" fontId="0" fillId="59" borderId="22" xfId="0" applyNumberFormat="1" applyFill="1" applyBorder="1"/>
    <xf numFmtId="3" fontId="0" fillId="59" borderId="11" xfId="0" applyNumberFormat="1" applyFill="1" applyBorder="1"/>
    <xf numFmtId="167" fontId="0" fillId="59" borderId="11" xfId="0" applyNumberFormat="1" applyFill="1" applyBorder="1"/>
    <xf numFmtId="9" fontId="0" fillId="59" borderId="25" xfId="43" applyFont="1" applyFill="1" applyBorder="1"/>
    <xf numFmtId="1" fontId="0" fillId="43" borderId="48" xfId="0" applyNumberFormat="1" applyFill="1" applyBorder="1"/>
    <xf numFmtId="1" fontId="45" fillId="59" borderId="0" xfId="0" applyNumberFormat="1" applyFont="1" applyFill="1"/>
    <xf numFmtId="0" fontId="0" fillId="0" borderId="0" xfId="0" applyFill="1" applyAlignment="1">
      <alignment wrapText="1"/>
    </xf>
    <xf numFmtId="0" fontId="46" fillId="61" borderId="41" xfId="0" applyFont="1" applyFill="1" applyBorder="1" applyAlignment="1">
      <alignment horizontal="center" wrapText="1"/>
    </xf>
    <xf numFmtId="0" fontId="46" fillId="61" borderId="43" xfId="0" applyFont="1" applyFill="1" applyBorder="1" applyAlignment="1">
      <alignment horizontal="center" wrapText="1"/>
    </xf>
    <xf numFmtId="9" fontId="0" fillId="59" borderId="12" xfId="43" applyFont="1" applyFill="1" applyBorder="1"/>
    <xf numFmtId="9" fontId="0" fillId="43" borderId="28" xfId="43" applyFont="1" applyFill="1" applyBorder="1"/>
    <xf numFmtId="1" fontId="0" fillId="43" borderId="24" xfId="43" applyNumberFormat="1" applyFont="1" applyFill="1" applyBorder="1"/>
    <xf numFmtId="1" fontId="0" fillId="43" borderId="48" xfId="43" applyNumberFormat="1" applyFont="1" applyFill="1" applyBorder="1"/>
    <xf numFmtId="1" fontId="0" fillId="59" borderId="22" xfId="43" applyNumberFormat="1" applyFont="1" applyFill="1" applyBorder="1"/>
    <xf numFmtId="1" fontId="0" fillId="59" borderId="11" xfId="43" applyNumberFormat="1" applyFont="1" applyFill="1" applyBorder="1"/>
    <xf numFmtId="14" fontId="0" fillId="34" borderId="18" xfId="0" applyNumberFormat="1" applyFont="1" applyFill="1" applyBorder="1"/>
    <xf numFmtId="179" fontId="0" fillId="0" borderId="0" xfId="0" applyNumberFormat="1" applyAlignment="1">
      <alignment wrapText="1"/>
    </xf>
    <xf numFmtId="0" fontId="0" fillId="40" borderId="0" xfId="0" applyFill="1" applyAlignment="1">
      <alignment wrapText="1"/>
    </xf>
    <xf numFmtId="179" fontId="0" fillId="0" borderId="40" xfId="0" applyNumberFormat="1" applyBorder="1"/>
    <xf numFmtId="0" fontId="13" fillId="57" borderId="41" xfId="0" applyFont="1" applyFill="1" applyBorder="1" applyAlignment="1">
      <alignment wrapText="1"/>
    </xf>
    <xf numFmtId="9" fontId="47" fillId="43" borderId="28" xfId="43" applyFont="1" applyFill="1" applyBorder="1"/>
    <xf numFmtId="187" fontId="0" fillId="0" borderId="0" xfId="0" applyNumberFormat="1"/>
    <xf numFmtId="49" fontId="13" fillId="57" borderId="42" xfId="0" applyNumberFormat="1" applyFont="1" applyFill="1" applyBorder="1" applyAlignment="1">
      <alignment wrapText="1"/>
    </xf>
    <xf numFmtId="0" fontId="46" fillId="61" borderId="0" xfId="0" applyFont="1" applyFill="1" applyBorder="1" applyAlignment="1">
      <alignment horizontal="center"/>
    </xf>
    <xf numFmtId="0" fontId="46" fillId="61" borderId="0" xfId="0" applyFont="1" applyFill="1" applyBorder="1" applyAlignment="1">
      <alignment horizontal="center" wrapText="1"/>
    </xf>
    <xf numFmtId="0" fontId="46" fillId="61" borderId="44" xfId="0" applyFont="1" applyFill="1" applyBorder="1" applyAlignment="1">
      <alignment horizontal="center" wrapText="1"/>
    </xf>
    <xf numFmtId="0" fontId="46" fillId="61" borderId="45" xfId="0" applyFont="1" applyFill="1" applyBorder="1" applyAlignment="1">
      <alignment horizontal="center" wrapText="1"/>
    </xf>
    <xf numFmtId="0" fontId="46" fillId="61" borderId="44" xfId="0" applyFont="1" applyFill="1" applyBorder="1" applyAlignment="1">
      <alignment wrapText="1"/>
    </xf>
    <xf numFmtId="0" fontId="46" fillId="61" borderId="49" xfId="0" applyFont="1" applyFill="1" applyBorder="1" applyAlignment="1">
      <alignment wrapText="1"/>
    </xf>
    <xf numFmtId="0" fontId="46" fillId="61" borderId="50" xfId="0" applyFont="1" applyFill="1" applyBorder="1" applyAlignment="1">
      <alignment wrapText="1"/>
    </xf>
    <xf numFmtId="0" fontId="46" fillId="61" borderId="51" xfId="0" applyFont="1" applyFill="1" applyBorder="1" applyAlignment="1">
      <alignment wrapText="1"/>
    </xf>
    <xf numFmtId="0" fontId="0" fillId="57" borderId="44" xfId="0" applyFill="1" applyBorder="1" applyAlignment="1">
      <alignment wrapText="1"/>
    </xf>
    <xf numFmtId="49" fontId="0" fillId="57" borderId="0" xfId="0" applyNumberFormat="1" applyFill="1" applyBorder="1" applyAlignment="1">
      <alignment wrapText="1"/>
    </xf>
    <xf numFmtId="0" fontId="0" fillId="57" borderId="45" xfId="0" applyFill="1" applyBorder="1" applyAlignment="1">
      <alignment wrapText="1"/>
    </xf>
    <xf numFmtId="167" fontId="0" fillId="59" borderId="25" xfId="43" applyNumberFormat="1" applyFont="1" applyFill="1" applyBorder="1"/>
    <xf numFmtId="167" fontId="0" fillId="43" borderId="27" xfId="43" applyNumberFormat="1" applyFont="1" applyFill="1" applyBorder="1"/>
    <xf numFmtId="1" fontId="16" fillId="43" borderId="24" xfId="43" applyNumberFormat="1" applyFont="1" applyFill="1" applyBorder="1"/>
    <xf numFmtId="1" fontId="41" fillId="0" borderId="0" xfId="0" applyNumberFormat="1" applyFont="1" applyAlignment="1">
      <alignment wrapText="1"/>
    </xf>
    <xf numFmtId="1" fontId="0" fillId="0" borderId="0" xfId="0" applyNumberFormat="1" applyAlignment="1"/>
    <xf numFmtId="188" fontId="0" fillId="0" borderId="0" xfId="0" applyNumberFormat="1"/>
    <xf numFmtId="0" fontId="14" fillId="58" borderId="0" xfId="0" applyFont="1" applyFill="1" applyAlignment="1">
      <alignment wrapText="1"/>
    </xf>
    <xf numFmtId="176" fontId="0" fillId="0" borderId="0" xfId="0" applyNumberFormat="1"/>
    <xf numFmtId="167" fontId="0" fillId="0" borderId="0" xfId="0" applyNumberFormat="1" applyFill="1"/>
    <xf numFmtId="0" fontId="17" fillId="0" borderId="0" xfId="0" applyFont="1" applyAlignment="1">
      <alignment wrapText="1"/>
    </xf>
    <xf numFmtId="0" fontId="0" fillId="0" borderId="0" xfId="0" applyAlignment="1">
      <alignment vertical="top"/>
    </xf>
    <xf numFmtId="48" fontId="0" fillId="0" borderId="0" xfId="0" applyNumberFormat="1" applyAlignment="1">
      <alignment vertical="top"/>
    </xf>
    <xf numFmtId="1" fontId="0" fillId="0" borderId="0" xfId="0" applyNumberFormat="1" applyAlignment="1">
      <alignment vertical="top"/>
    </xf>
    <xf numFmtId="9" fontId="0" fillId="0" borderId="0" xfId="43" applyFont="1" applyAlignment="1">
      <alignment vertical="top"/>
    </xf>
    <xf numFmtId="9" fontId="0" fillId="0" borderId="0" xfId="0" applyNumberFormat="1" applyAlignment="1">
      <alignment vertical="top"/>
    </xf>
    <xf numFmtId="176" fontId="0" fillId="0" borderId="0" xfId="43" applyNumberFormat="1" applyFont="1" applyAlignment="1">
      <alignment vertical="top"/>
    </xf>
    <xf numFmtId="1" fontId="0" fillId="0" borderId="0" xfId="0" applyNumberFormat="1" applyAlignment="1">
      <alignment vertical="top" wrapText="1"/>
    </xf>
    <xf numFmtId="0" fontId="47" fillId="0" borderId="0" xfId="0" applyFont="1" applyAlignment="1">
      <alignment vertical="top"/>
    </xf>
    <xf numFmtId="10" fontId="0" fillId="0" borderId="0" xfId="43" applyNumberFormat="1" applyFont="1" applyAlignment="1">
      <alignment vertical="top"/>
    </xf>
    <xf numFmtId="176" fontId="0" fillId="0" borderId="0" xfId="0" applyNumberFormat="1" applyAlignment="1">
      <alignment vertical="top"/>
    </xf>
    <xf numFmtId="0" fontId="13" fillId="62" borderId="0" xfId="0" applyFont="1" applyFill="1" applyBorder="1"/>
    <xf numFmtId="0" fontId="0" fillId="0" borderId="52" xfId="0" applyBorder="1"/>
    <xf numFmtId="0" fontId="0" fillId="0" borderId="52" xfId="0" applyBorder="1" applyAlignment="1">
      <alignment wrapText="1"/>
    </xf>
    <xf numFmtId="0" fontId="0" fillId="37" borderId="0" xfId="0" applyFill="1" applyBorder="1"/>
    <xf numFmtId="0" fontId="0" fillId="37" borderId="40" xfId="0" applyFill="1" applyBorder="1" applyAlignment="1">
      <alignment horizontal="right"/>
    </xf>
    <xf numFmtId="0" fontId="0" fillId="63" borderId="18" xfId="0" applyFont="1" applyFill="1" applyBorder="1"/>
    <xf numFmtId="0" fontId="0" fillId="37" borderId="18" xfId="0" applyFont="1" applyFill="1" applyBorder="1"/>
    <xf numFmtId="14" fontId="0" fillId="0" borderId="0" xfId="0" applyNumberFormat="1" applyAlignment="1">
      <alignment wrapText="1"/>
    </xf>
    <xf numFmtId="1" fontId="0" fillId="0" borderId="17" xfId="0" applyNumberFormat="1" applyBorder="1"/>
    <xf numFmtId="0" fontId="13" fillId="64" borderId="44" xfId="0" applyFont="1" applyFill="1" applyBorder="1"/>
    <xf numFmtId="1" fontId="13" fillId="64" borderId="0" xfId="0" applyNumberFormat="1" applyFont="1" applyFill="1"/>
    <xf numFmtId="3" fontId="13" fillId="64" borderId="0" xfId="0" applyNumberFormat="1" applyFont="1" applyFill="1" applyBorder="1"/>
    <xf numFmtId="9" fontId="13" fillId="64" borderId="0" xfId="43" applyFont="1" applyFill="1"/>
    <xf numFmtId="0" fontId="13" fillId="64" borderId="0" xfId="0" applyFont="1" applyFill="1" applyBorder="1"/>
    <xf numFmtId="167" fontId="13" fillId="64" borderId="0" xfId="0" quotePrefix="1" applyNumberFormat="1" applyFont="1" applyFill="1" applyBorder="1"/>
    <xf numFmtId="0" fontId="0" fillId="0" borderId="22" xfId="0" applyBorder="1"/>
    <xf numFmtId="0" fontId="0" fillId="0" borderId="11" xfId="0" applyBorder="1"/>
    <xf numFmtId="3" fontId="0" fillId="0" borderId="11" xfId="0" applyNumberFormat="1" applyFont="1" applyFill="1" applyBorder="1"/>
    <xf numFmtId="167" fontId="0" fillId="0" borderId="11" xfId="0" applyNumberFormat="1" applyBorder="1"/>
    <xf numFmtId="176" fontId="0" fillId="0" borderId="11" xfId="43" applyNumberFormat="1" applyFont="1" applyBorder="1"/>
    <xf numFmtId="0" fontId="0" fillId="0" borderId="24" xfId="0" applyBorder="1"/>
    <xf numFmtId="0" fontId="0" fillId="0" borderId="48" xfId="0" applyBorder="1"/>
    <xf numFmtId="3" fontId="0" fillId="0" borderId="48" xfId="0" applyNumberFormat="1" applyFont="1" applyFill="1" applyBorder="1"/>
    <xf numFmtId="1" fontId="0" fillId="0" borderId="48" xfId="0" applyNumberFormat="1" applyBorder="1"/>
    <xf numFmtId="9" fontId="0" fillId="0" borderId="48" xfId="43" applyFont="1" applyBorder="1"/>
    <xf numFmtId="0" fontId="0" fillId="0" borderId="27" xfId="0" applyBorder="1"/>
    <xf numFmtId="182" fontId="0" fillId="0" borderId="30" xfId="0" applyNumberFormat="1" applyBorder="1" applyAlignment="1">
      <alignment horizontal="right"/>
    </xf>
    <xf numFmtId="0" fontId="0" fillId="0" borderId="29" xfId="0" applyBorder="1" applyAlignment="1">
      <alignment horizontal="right"/>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352">
    <dxf>
      <numFmt numFmtId="19" formatCode="d/mm/yyyy"/>
    </dxf>
    <dxf>
      <numFmt numFmtId="19" formatCode="d/mm/yyyy"/>
    </dxf>
    <dxf>
      <numFmt numFmtId="19" formatCode="d/mm/yyyy"/>
    </dxf>
    <dxf>
      <numFmt numFmtId="19" formatCode="d/mm/yyyy"/>
    </dxf>
    <dxf>
      <numFmt numFmtId="19" formatCode="d/mm/yyyy"/>
    </dxf>
    <dxf>
      <numFmt numFmtId="19" formatCode="d/mm/yyyy"/>
    </dxf>
    <dxf>
      <numFmt numFmtId="19" formatCode="d/mm/yyyy"/>
    </dxf>
    <dxf>
      <numFmt numFmtId="1" formatCode="0"/>
    </dxf>
    <dxf>
      <numFmt numFmtId="1" formatCode="0"/>
    </dxf>
    <dxf>
      <numFmt numFmtId="174" formatCode="##0.000E+0"/>
    </dxf>
    <dxf>
      <numFmt numFmtId="188" formatCode="####0.0"/>
    </dxf>
    <dxf>
      <numFmt numFmtId="188" formatCode="####0.0"/>
    </dxf>
    <dxf>
      <numFmt numFmtId="188" formatCode="####0.0"/>
    </dxf>
    <dxf>
      <numFmt numFmtId="167" formatCode="0.0"/>
    </dxf>
    <dxf>
      <numFmt numFmtId="188" formatCode="####0.0"/>
    </dxf>
    <dxf>
      <numFmt numFmtId="167" formatCode="0.0"/>
    </dxf>
    <dxf>
      <numFmt numFmtId="188" formatCode="####0.0"/>
    </dxf>
    <dxf>
      <numFmt numFmtId="167" formatCode="0.0"/>
    </dxf>
    <dxf>
      <numFmt numFmtId="167" formatCode="0.0"/>
    </dxf>
    <dxf>
      <numFmt numFmtId="167" formatCode="0.0"/>
    </dxf>
    <dxf>
      <numFmt numFmtId="167" formatCode="0.0"/>
    </dxf>
    <dxf>
      <numFmt numFmtId="167" formatCode="0.0"/>
    </dxf>
    <dxf>
      <numFmt numFmtId="167" formatCode="0.0"/>
    </dxf>
    <dxf>
      <numFmt numFmtId="167" formatCode="0.0"/>
    </dxf>
    <dxf>
      <numFmt numFmtId="167" formatCode="0.0"/>
    </dxf>
    <dxf>
      <numFmt numFmtId="167" formatCode="0.0"/>
    </dxf>
    <dxf>
      <numFmt numFmtId="167" formatCode="0.0"/>
    </dxf>
    <dxf>
      <numFmt numFmtId="179" formatCode="dd/mm/yy"/>
    </dxf>
    <dxf>
      <numFmt numFmtId="167" formatCode="0.0"/>
    </dxf>
    <dxf>
      <numFmt numFmtId="185" formatCode="####0"/>
    </dxf>
    <dxf>
      <numFmt numFmtId="167" formatCode="0.0"/>
    </dxf>
    <dxf>
      <numFmt numFmtId="167" formatCode="0.0"/>
    </dxf>
    <dxf>
      <numFmt numFmtId="185" formatCode="####0"/>
    </dxf>
    <dxf>
      <numFmt numFmtId="185" formatCode="####0"/>
    </dxf>
    <dxf>
      <numFmt numFmtId="167" formatCode="0.0"/>
    </dxf>
    <dxf>
      <numFmt numFmtId="167" formatCode="0.0"/>
    </dxf>
    <dxf>
      <numFmt numFmtId="179" formatCode="dd/mm/yy"/>
    </dxf>
    <dxf>
      <numFmt numFmtId="179" formatCode="dd/mm/yy"/>
    </dxf>
    <dxf>
      <numFmt numFmtId="0" formatCode="General"/>
    </dxf>
    <dxf>
      <numFmt numFmtId="0" formatCode="General"/>
    </dxf>
    <dxf>
      <numFmt numFmtId="179" formatCode="dd/mm/yy"/>
    </dxf>
    <dxf>
      <numFmt numFmtId="179" formatCode="dd/mm/yy"/>
    </dxf>
    <dxf>
      <numFmt numFmtId="0" formatCode="General"/>
    </dxf>
    <dxf>
      <numFmt numFmtId="0" formatCode="General"/>
    </dxf>
    <dxf>
      <numFmt numFmtId="185" formatCode="####0"/>
    </dxf>
    <dxf>
      <numFmt numFmtId="185" formatCode="####0"/>
    </dxf>
    <dxf>
      <numFmt numFmtId="167" formatCode="0.0"/>
    </dxf>
    <dxf>
      <numFmt numFmtId="167" formatCode="0.0"/>
    </dxf>
    <dxf>
      <numFmt numFmtId="185" formatCode="####0"/>
    </dxf>
    <dxf>
      <numFmt numFmtId="185" formatCode="####0"/>
    </dxf>
    <dxf>
      <numFmt numFmtId="167" formatCode="0.0"/>
    </dxf>
    <dxf>
      <numFmt numFmtId="167" formatCode="0.0"/>
    </dxf>
    <dxf>
      <numFmt numFmtId="185" formatCode="####0"/>
    </dxf>
    <dxf>
      <numFmt numFmtId="185" formatCode="####0"/>
    </dxf>
    <dxf>
      <numFmt numFmtId="1" formatCode="0"/>
    </dxf>
    <dxf>
      <numFmt numFmtId="1" formatCode="0"/>
    </dxf>
    <dxf>
      <numFmt numFmtId="185" formatCode="####0"/>
    </dxf>
    <dxf>
      <numFmt numFmtId="185" formatCode="####0"/>
    </dxf>
    <dxf>
      <numFmt numFmtId="167" formatCode="0.0"/>
    </dxf>
    <dxf>
      <numFmt numFmtId="167" formatCode="0.0"/>
    </dxf>
    <dxf>
      <numFmt numFmtId="185" formatCode="####0"/>
    </dxf>
    <dxf>
      <numFmt numFmtId="185" formatCode="####0"/>
    </dxf>
    <dxf>
      <numFmt numFmtId="167" formatCode="0.0"/>
    </dxf>
    <dxf>
      <numFmt numFmtId="167" formatCode="0.0"/>
    </dxf>
    <dxf>
      <numFmt numFmtId="185" formatCode="####0"/>
    </dxf>
    <dxf>
      <numFmt numFmtId="185" formatCode="####0"/>
    </dxf>
    <dxf>
      <numFmt numFmtId="167" formatCode="0.0"/>
    </dxf>
    <dxf>
      <numFmt numFmtId="167" formatCode="0.0"/>
    </dxf>
    <dxf>
      <numFmt numFmtId="185" formatCode="####0"/>
    </dxf>
    <dxf>
      <numFmt numFmtId="185" formatCode="####0"/>
    </dxf>
    <dxf>
      <numFmt numFmtId="167" formatCode="0.0"/>
    </dxf>
    <dxf>
      <numFmt numFmtId="167" formatCode="0.0"/>
    </dxf>
    <dxf>
      <numFmt numFmtId="185" formatCode="####0"/>
    </dxf>
    <dxf>
      <numFmt numFmtId="185" formatCode="####0"/>
    </dxf>
    <dxf>
      <numFmt numFmtId="167" formatCode="0.0"/>
    </dxf>
    <dxf>
      <numFmt numFmtId="167" formatCode="0.0"/>
    </dxf>
    <dxf>
      <numFmt numFmtId="185" formatCode="####0"/>
    </dxf>
    <dxf>
      <numFmt numFmtId="185" formatCode="####0"/>
    </dxf>
    <dxf>
      <numFmt numFmtId="167" formatCode="0.0"/>
    </dxf>
    <dxf>
      <numFmt numFmtId="167" formatCode="0.0"/>
    </dxf>
    <dxf>
      <numFmt numFmtId="185" formatCode="####0"/>
    </dxf>
    <dxf>
      <numFmt numFmtId="185" formatCode="####0"/>
    </dxf>
    <dxf>
      <numFmt numFmtId="1" formatCode="0"/>
    </dxf>
    <dxf>
      <numFmt numFmtId="188" formatCode="####0.0"/>
    </dxf>
    <dxf>
      <numFmt numFmtId="185" formatCode="####0"/>
    </dxf>
    <dxf>
      <numFmt numFmtId="185" formatCode="####0"/>
    </dxf>
    <dxf>
      <alignment horizontal="general" vertical="bottom" textRotation="0" wrapText="1" indent="0" justifyLastLine="0" shrinkToFit="0" readingOrder="0"/>
    </dxf>
    <dxf>
      <numFmt numFmtId="167" formatCode="0.0"/>
    </dxf>
    <dxf>
      <numFmt numFmtId="167" formatCode="0.0"/>
    </dxf>
    <dxf>
      <numFmt numFmtId="167" formatCode="0.0"/>
    </dxf>
    <dxf>
      <numFmt numFmtId="167" formatCode="0.0"/>
    </dxf>
    <dxf>
      <numFmt numFmtId="188" formatCode="####0.0"/>
    </dxf>
    <dxf>
      <numFmt numFmtId="167" formatCode="0.0"/>
    </dxf>
    <dxf>
      <numFmt numFmtId="188" formatCode="####0.0"/>
    </dxf>
    <dxf>
      <numFmt numFmtId="167" formatCode="0.0"/>
    </dxf>
    <dxf>
      <numFmt numFmtId="167" formatCode="0.0"/>
    </dxf>
    <dxf>
      <numFmt numFmtId="167" formatCode="0.0"/>
    </dxf>
    <dxf>
      <numFmt numFmtId="167" formatCode="0.0"/>
    </dxf>
    <dxf>
      <numFmt numFmtId="167" formatCode="0.0"/>
    </dxf>
    <dxf>
      <numFmt numFmtId="167" formatCode="0.0"/>
    </dxf>
    <dxf>
      <numFmt numFmtId="167" formatCode="0.0"/>
    </dxf>
    <dxf>
      <numFmt numFmtId="167" formatCode="0.0"/>
    </dxf>
    <dxf>
      <numFmt numFmtId="185" formatCode="####0"/>
    </dxf>
    <dxf>
      <numFmt numFmtId="167" formatCode="0.0"/>
    </dxf>
    <dxf>
      <numFmt numFmtId="185" formatCode="####0"/>
    </dxf>
    <dxf>
      <numFmt numFmtId="167" formatCode="0.0"/>
    </dxf>
    <dxf>
      <numFmt numFmtId="185" formatCode="####0"/>
    </dxf>
    <dxf>
      <numFmt numFmtId="167" formatCode="0.0"/>
    </dxf>
    <dxf>
      <numFmt numFmtId="185" formatCode="####0"/>
    </dxf>
    <dxf>
      <numFmt numFmtId="167" formatCode="0.0"/>
    </dxf>
    <dxf>
      <numFmt numFmtId="185" formatCode="####0"/>
    </dxf>
    <dxf>
      <numFmt numFmtId="167" formatCode="0.0"/>
    </dxf>
    <dxf>
      <numFmt numFmtId="185" formatCode="####0"/>
    </dxf>
    <dxf>
      <numFmt numFmtId="167" formatCode="0.0"/>
    </dxf>
    <dxf>
      <numFmt numFmtId="185" formatCode="####0"/>
    </dxf>
    <dxf>
      <numFmt numFmtId="167" formatCode="0.0"/>
    </dxf>
    <dxf>
      <numFmt numFmtId="185" formatCode="####0"/>
    </dxf>
    <dxf>
      <numFmt numFmtId="167" formatCode="0.0"/>
    </dxf>
    <dxf>
      <numFmt numFmtId="185" formatCode="####0"/>
    </dxf>
    <dxf>
      <numFmt numFmtId="167" formatCode="0.0"/>
    </dxf>
    <dxf>
      <numFmt numFmtId="185" formatCode="####0"/>
    </dxf>
    <dxf>
      <numFmt numFmtId="167" formatCode="0.0"/>
    </dxf>
    <dxf>
      <numFmt numFmtId="185" formatCode="####0"/>
    </dxf>
    <dxf>
      <numFmt numFmtId="167" formatCode="0.0"/>
    </dxf>
    <dxf>
      <numFmt numFmtId="185" formatCode="####0"/>
    </dxf>
    <dxf>
      <numFmt numFmtId="167" formatCode="0.0"/>
    </dxf>
    <dxf>
      <numFmt numFmtId="185" formatCode="####0"/>
    </dxf>
    <dxf>
      <numFmt numFmtId="167" formatCode="0.0"/>
    </dxf>
    <dxf>
      <numFmt numFmtId="185" formatCode="####0"/>
      <fill>
        <patternFill patternType="solid">
          <fgColor indexed="64"/>
          <bgColor rgb="FFFFFFCC"/>
        </patternFill>
      </fill>
    </dxf>
    <dxf>
      <numFmt numFmtId="167" formatCode="0.0"/>
    </dxf>
    <dxf>
      <numFmt numFmtId="185" formatCode="####0"/>
    </dxf>
    <dxf>
      <numFmt numFmtId="167" formatCode="0.0"/>
    </dxf>
    <dxf>
      <numFmt numFmtId="1" formatCode="0"/>
    </dxf>
    <dxf>
      <alignment horizontal="general" vertical="top" textRotation="0" wrapText="0" indent="0" justifyLastLine="0" shrinkToFit="0" readingOrder="0"/>
    </dxf>
    <dxf>
      <numFmt numFmtId="13" formatCode="0%"/>
      <alignment horizontal="general" vertical="top"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top" textRotation="0" wrapText="0" indent="0" justifyLastLine="0" shrinkToFit="0" readingOrder="0"/>
    </dxf>
    <dxf>
      <numFmt numFmtId="13" formatCode="0%"/>
      <alignment horizontal="general" vertical="top" textRotation="0" wrapText="0" indent="0" justifyLastLine="0" shrinkToFit="0" readingOrder="0"/>
    </dxf>
    <dxf>
      <numFmt numFmtId="1" formatCode="0"/>
    </dxf>
    <dxf>
      <numFmt numFmtId="1" formatCode="0"/>
      <alignment horizontal="general" vertical="top" textRotation="0" wrapText="0" indent="0" justifyLastLine="0" shrinkToFit="0" readingOrder="0"/>
    </dxf>
    <dxf>
      <numFmt numFmtId="15" formatCode="0.00E+0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bottom" textRotation="0" wrapText="1" indent="0" justifyLastLine="0" shrinkToFit="0" readingOrder="0"/>
    </dxf>
    <dxf>
      <numFmt numFmtId="1" formatCode="0"/>
    </dxf>
    <dxf>
      <numFmt numFmtId="167" formatCode="0.0"/>
      <fill>
        <patternFill patternType="solid">
          <fgColor indexed="64"/>
          <bgColor theme="4" tint="0.79998168889431442"/>
        </patternFill>
      </fill>
    </dxf>
    <dxf>
      <font>
        <b val="0"/>
        <i val="0"/>
        <strike val="0"/>
        <condense val="0"/>
        <extend val="0"/>
        <outline val="0"/>
        <shadow val="0"/>
        <u val="none"/>
        <vertAlign val="baseline"/>
        <sz val="11"/>
        <color theme="1"/>
        <name val="Calibri"/>
        <scheme val="minor"/>
      </font>
    </dxf>
    <dxf>
      <numFmt numFmtId="1" formatCode="0"/>
    </dxf>
    <dxf>
      <numFmt numFmtId="3" formatCode="#,##0"/>
    </dxf>
    <dxf>
      <fill>
        <patternFill patternType="solid">
          <fgColor indexed="64"/>
          <bgColor rgb="FFFFCCCC"/>
        </patternFill>
      </fill>
    </dxf>
    <dxf>
      <border diagonalUp="0" diagonalDown="0">
        <left style="medium">
          <color indexed="64"/>
        </left>
        <right/>
        <top/>
        <bottom/>
        <vertical/>
        <horizontal/>
      </border>
    </dxf>
    <dxf>
      <border diagonalUp="0" diagonalDown="0">
        <left style="medium">
          <color indexed="64"/>
        </left>
        <right style="medium">
          <color indexed="64"/>
        </right>
        <top style="medium">
          <color indexed="64"/>
        </top>
        <bottom style="medium">
          <color indexed="64"/>
        </bottom>
      </border>
    </dxf>
    <dxf>
      <fill>
        <patternFill patternType="solid">
          <fgColor indexed="64"/>
          <bgColor theme="1"/>
        </patternFill>
      </fill>
      <alignment horizontal="general" vertical="bottom" textRotation="0" wrapText="1" indent="0" justifyLastLine="0" shrinkToFit="0" readingOrder="0"/>
    </dxf>
    <dxf>
      <numFmt numFmtId="1" formatCode="0"/>
    </dxf>
    <dxf>
      <numFmt numFmtId="167" formatCode="0.0"/>
      <fill>
        <patternFill patternType="solid">
          <fgColor indexed="64"/>
          <bgColor theme="4" tint="0.79998168889431442"/>
        </patternFill>
      </fill>
    </dxf>
    <dxf>
      <font>
        <b val="0"/>
        <i val="0"/>
        <strike val="0"/>
        <condense val="0"/>
        <extend val="0"/>
        <outline val="0"/>
        <shadow val="0"/>
        <u val="none"/>
        <vertAlign val="baseline"/>
        <sz val="11"/>
        <color theme="1"/>
        <name val="Calibri"/>
        <scheme val="minor"/>
      </font>
    </dxf>
    <dxf>
      <numFmt numFmtId="1" formatCode="0"/>
    </dxf>
    <dxf>
      <numFmt numFmtId="3" formatCode="#,##0"/>
    </dxf>
    <dxf>
      <fill>
        <patternFill patternType="solid">
          <fgColor indexed="64"/>
          <bgColor rgb="FFFFCCCC"/>
        </patternFill>
      </fill>
    </dxf>
    <dxf>
      <border diagonalUp="0" diagonalDown="0">
        <left style="medium">
          <color indexed="64"/>
        </left>
        <right/>
        <top/>
        <bottom/>
        <vertical/>
        <horizontal/>
      </border>
    </dxf>
    <dxf>
      <border diagonalUp="0" diagonalDown="0">
        <left style="medium">
          <color indexed="64"/>
        </left>
        <right style="medium">
          <color indexed="64"/>
        </right>
        <top style="medium">
          <color indexed="64"/>
        </top>
        <bottom style="medium">
          <color indexed="64"/>
        </bottom>
      </border>
    </dxf>
    <dxf>
      <fill>
        <patternFill patternType="solid">
          <fgColor indexed="64"/>
          <bgColor theme="1"/>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27" formatCode="d/mm/yyyy\ h:mm"/>
    </dxf>
    <dxf>
      <numFmt numFmtId="180" formatCode="ddd\ dd/mm/yy"/>
    </dxf>
    <dxf>
      <alignment horizontal="general" vertical="bottom" textRotation="0" wrapText="1" indent="0" justifyLastLine="0" shrinkToFit="0" readingOrder="0"/>
    </dxf>
    <dxf>
      <numFmt numFmtId="183" formatCode="##0.##E+0"/>
    </dxf>
    <dxf>
      <numFmt numFmtId="19" formatCode="d/mm/yyyy"/>
    </dxf>
    <dxf>
      <numFmt numFmtId="165" formatCode="0.000"/>
    </dxf>
    <dxf>
      <numFmt numFmtId="1" formatCode="0"/>
    </dxf>
    <dxf>
      <numFmt numFmtId="179" formatCode="dd/mm/yy"/>
    </dxf>
    <dxf>
      <numFmt numFmtId="181" formatCode="##0"/>
    </dxf>
    <dxf>
      <numFmt numFmtId="179" formatCode="dd/mm/yy"/>
    </dxf>
    <dxf>
      <numFmt numFmtId="172" formatCode="d/mm/yy;@"/>
    </dxf>
    <dxf>
      <numFmt numFmtId="19" formatCode="d/mm/yyyy"/>
    </dxf>
    <dxf>
      <numFmt numFmtId="179" formatCode="dd/mm/yy"/>
    </dxf>
    <dxf>
      <numFmt numFmtId="173" formatCode="##0.00E+0"/>
    </dxf>
    <dxf>
      <numFmt numFmtId="182" formatCode="##0.#E+0"/>
    </dxf>
    <dxf>
      <numFmt numFmtId="182" formatCode="##0.#E+0"/>
    </dxf>
    <dxf>
      <numFmt numFmtId="19" formatCode="d/mm/yyyy"/>
    </dxf>
    <dxf>
      <numFmt numFmtId="179" formatCode="dd/mm/yy"/>
      <border diagonalUp="0" diagonalDown="0" outline="0">
        <left/>
        <right/>
        <top style="thin">
          <color theme="7" tint="0.39997558519241921"/>
        </top>
        <bottom style="thin">
          <color theme="7" tint="0.39997558519241921"/>
        </bottom>
      </border>
    </dxf>
    <dxf>
      <numFmt numFmtId="182" formatCode="##0.#E+0"/>
      <border diagonalUp="0" diagonalDown="0" outline="0">
        <left/>
        <right/>
        <top style="thin">
          <color theme="7" tint="0.39997558519241921"/>
        </top>
        <bottom style="thin">
          <color theme="7" tint="0.39997558519241921"/>
        </bottom>
      </border>
    </dxf>
    <dxf>
      <numFmt numFmtId="182" formatCode="##0.#E+0"/>
    </dxf>
    <dxf>
      <numFmt numFmtId="182" formatCode="##0.#E+0"/>
    </dxf>
    <dxf>
      <numFmt numFmtId="182" formatCode="##0.#E+0"/>
    </dxf>
    <dxf>
      <numFmt numFmtId="182" formatCode="##0.#E+0"/>
    </dxf>
    <dxf>
      <numFmt numFmtId="173" formatCode="##0.00E+0"/>
    </dxf>
    <dxf>
      <numFmt numFmtId="181" formatCode="##0"/>
      <alignment horizontal="right" vertical="bottom" textRotation="0" wrapText="0" indent="0" justifyLastLine="0" shrinkToFit="0" readingOrder="0"/>
    </dxf>
    <dxf>
      <numFmt numFmtId="19" formatCode="d/mm/yyyy"/>
    </dxf>
    <dxf>
      <numFmt numFmtId="179" formatCode="dd/mm/yy"/>
    </dxf>
    <dxf>
      <numFmt numFmtId="184" formatCode="dd/mm/yy\ hh:mm"/>
    </dxf>
    <dxf>
      <numFmt numFmtId="19" formatCode="d/mm/yyyy"/>
      <alignment horizontal="left" vertical="top" textRotation="0" indent="0" justifyLastLine="0" shrinkToFit="0" readingOrder="0"/>
    </dxf>
    <dxf>
      <fill>
        <patternFill patternType="solid">
          <fgColor indexed="64"/>
          <bgColor theme="7" tint="0.59999389629810485"/>
        </patternFill>
      </fill>
      <alignment horizontal="general" vertical="bottom" textRotation="0" wrapText="1" indent="0" justifyLastLine="0" shrinkToFit="0" readingOrder="0"/>
    </dxf>
    <dxf>
      <numFmt numFmtId="19" formatCode="d/mm/yyyy"/>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1" formatCode="0"/>
      <fill>
        <patternFill patternType="solid">
          <fgColor theme="9" tint="0.79998168889431442"/>
          <bgColor theme="9" tint="0.79998168889431442"/>
        </patternFill>
      </fill>
    </dxf>
    <dxf>
      <font>
        <b val="0"/>
        <i val="0"/>
        <strike val="0"/>
        <condense val="0"/>
        <extend val="0"/>
        <outline val="0"/>
        <shadow val="0"/>
        <u val="none"/>
        <vertAlign val="baseline"/>
        <sz val="11"/>
        <color theme="1"/>
        <name val="Calibri"/>
        <scheme val="minor"/>
      </font>
      <numFmt numFmtId="1" formatCode="0"/>
      <fill>
        <patternFill patternType="solid">
          <fgColor theme="9" tint="0.79998168889431442"/>
          <bgColor theme="9" tint="0.79998168889431442"/>
        </patternFill>
      </fill>
      <border diagonalUp="0" diagonalDown="0">
        <left style="thin">
          <color theme="9"/>
        </left>
        <right style="thin">
          <color theme="9"/>
        </right>
        <top style="thin">
          <color theme="9"/>
        </top>
        <bottom style="thin">
          <color theme="9"/>
        </bottom>
        <vertical/>
        <horizontal/>
      </border>
    </dxf>
    <dxf>
      <numFmt numFmtId="19" formatCode="d/mm/yyyy"/>
    </dxf>
    <dxf>
      <numFmt numFmtId="2" formatCode="0.00"/>
    </dxf>
    <dxf>
      <numFmt numFmtId="2" formatCode="0.00"/>
    </dxf>
    <dxf>
      <numFmt numFmtId="1" formatCode="0"/>
    </dxf>
    <dxf>
      <numFmt numFmtId="1" formatCode="0"/>
    </dxf>
    <dxf>
      <numFmt numFmtId="1" formatCode="0"/>
    </dxf>
    <dxf>
      <numFmt numFmtId="1" formatCode="0"/>
    </dxf>
    <dxf>
      <numFmt numFmtId="19" formatCode="d/mm/yyyy"/>
    </dxf>
    <dxf>
      <numFmt numFmtId="19" formatCode="d/mm/yyyy"/>
    </dxf>
    <dxf>
      <numFmt numFmtId="1" formatCode="0"/>
    </dxf>
    <dxf>
      <numFmt numFmtId="1" formatCode="0"/>
    </dxf>
    <dxf>
      <numFmt numFmtId="19" formatCode="d/mm/yyyy"/>
    </dxf>
    <dxf>
      <numFmt numFmtId="179" formatCode="dd/mm/yy"/>
    </dxf>
    <dxf>
      <numFmt numFmtId="167" formatCode="0.0"/>
    </dxf>
    <dxf>
      <numFmt numFmtId="1" formatCode="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d/mm/yyyy"/>
    </dxf>
    <dxf>
      <numFmt numFmtId="19" formatCode="d/mm/yyyy"/>
    </dxf>
    <dxf>
      <numFmt numFmtId="1" formatCode="0"/>
    </dxf>
    <dxf>
      <numFmt numFmtId="1" formatCode="0"/>
    </dxf>
    <dxf>
      <numFmt numFmtId="19" formatCode="d/mm/yyyy"/>
    </dxf>
    <dxf>
      <numFmt numFmtId="19" formatCode="d/mm/yyyy"/>
    </dxf>
    <dxf>
      <numFmt numFmtId="175" formatCode="##0.0E+00"/>
    </dxf>
    <dxf>
      <numFmt numFmtId="175" formatCode="##0.0E+00"/>
    </dxf>
    <dxf>
      <numFmt numFmtId="19" formatCode="d/mm/yyyy"/>
    </dxf>
    <dxf>
      <numFmt numFmtId="19" formatCode="d/mm/yyyy"/>
    </dxf>
    <dxf>
      <numFmt numFmtId="19" formatCode="d/mm/yyyy"/>
    </dxf>
    <dxf>
      <numFmt numFmtId="19" formatCode="d/mm/yyyy"/>
    </dxf>
    <dxf>
      <numFmt numFmtId="173" formatCode="##0.00E+0"/>
    </dxf>
    <dxf>
      <numFmt numFmtId="173" formatCode="##0.00E+0"/>
    </dxf>
    <dxf>
      <numFmt numFmtId="173" formatCode="##0.00E+0"/>
    </dxf>
    <dxf>
      <numFmt numFmtId="173" formatCode="##0.00E+0"/>
    </dxf>
    <dxf>
      <numFmt numFmtId="165" formatCode="0.000"/>
    </dxf>
    <dxf>
      <numFmt numFmtId="16" formatCode="##0.0E+0"/>
    </dxf>
    <dxf>
      <numFmt numFmtId="165" formatCode="0.000"/>
    </dxf>
    <dxf>
      <numFmt numFmtId="2" formatCode="0.00"/>
    </dxf>
    <dxf>
      <numFmt numFmtId="173" formatCode="##0.00E+0"/>
    </dxf>
    <dxf>
      <numFmt numFmtId="16" formatCode="##0.0E+0"/>
    </dxf>
    <dxf>
      <numFmt numFmtId="166" formatCode="0.000E+00"/>
    </dxf>
    <dxf>
      <numFmt numFmtId="16" formatCode="##0.0E+0"/>
    </dxf>
    <dxf>
      <numFmt numFmtId="164" formatCode="0.0000"/>
    </dxf>
    <dxf>
      <numFmt numFmtId="164" formatCode="0.0000"/>
    </dxf>
    <dxf>
      <numFmt numFmtId="19" formatCode="d/mm/yyyy"/>
    </dxf>
    <dxf>
      <numFmt numFmtId="172" formatCode="d/mm/yy;@"/>
    </dxf>
    <dxf>
      <numFmt numFmtId="19" formatCode="d/mm/yyyy"/>
    </dxf>
    <dxf>
      <numFmt numFmtId="172" formatCode="d/mm/yy;@"/>
    </dxf>
    <dxf>
      <numFmt numFmtId="27" formatCode="d/mm/yyyy\ h:mm"/>
    </dxf>
    <dxf>
      <numFmt numFmtId="178" formatCode="ddd\ dd/mm/yy\ hh:mm"/>
    </dxf>
    <dxf>
      <fill>
        <patternFill patternType="solid">
          <fgColor indexed="64"/>
          <bgColor theme="3" tint="0.79998168889431442"/>
        </patternFill>
      </fill>
      <alignment horizontal="general" vertical="bottom" textRotation="0" wrapText="1" indent="0" justifyLastLine="0" shrinkToFit="0" readingOrder="0"/>
    </dxf>
    <dxf>
      <numFmt numFmtId="1" formatCode="0"/>
    </dxf>
    <dxf>
      <numFmt numFmtId="175" formatCode="##0.0E+00"/>
    </dxf>
    <dxf>
      <numFmt numFmtId="167" formatCode="0.0"/>
    </dxf>
    <dxf>
      <numFmt numFmtId="175" formatCode="##0.0E+00"/>
    </dxf>
    <dxf>
      <numFmt numFmtId="167" formatCode="0.0"/>
    </dxf>
    <dxf>
      <numFmt numFmtId="1" formatCode="0"/>
    </dxf>
    <dxf>
      <numFmt numFmtId="167" formatCode="0.0"/>
    </dxf>
    <dxf>
      <numFmt numFmtId="15" formatCode="0.00E+00"/>
    </dxf>
    <dxf>
      <numFmt numFmtId="1" formatCode="0"/>
    </dxf>
    <dxf>
      <numFmt numFmtId="15" formatCode="0.00E+00"/>
    </dxf>
    <dxf>
      <numFmt numFmtId="167" formatCode="0.0"/>
    </dxf>
    <dxf>
      <numFmt numFmtId="15" formatCode="0.00E+00"/>
    </dxf>
    <dxf>
      <numFmt numFmtId="2" formatCode="0.00"/>
    </dxf>
    <dxf>
      <numFmt numFmtId="15" formatCode="0.00E+00"/>
    </dxf>
    <dxf>
      <numFmt numFmtId="2" formatCode="0.00"/>
    </dxf>
    <dxf>
      <numFmt numFmtId="15" formatCode="0.00E+00"/>
    </dxf>
    <dxf>
      <numFmt numFmtId="15" formatCode="0.00E+00"/>
    </dxf>
    <dxf>
      <numFmt numFmtId="167" formatCode="0.0"/>
    </dxf>
    <dxf>
      <numFmt numFmtId="1" formatCode="0"/>
    </dxf>
    <dxf>
      <numFmt numFmtId="175" formatCode="##0.0E+00"/>
    </dxf>
    <dxf>
      <numFmt numFmtId="1" formatCode="0"/>
    </dxf>
    <dxf>
      <numFmt numFmtId="175" formatCode="##0.0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75" formatCode="##0.0E+00"/>
    </dxf>
    <dxf>
      <numFmt numFmtId="1" formatCode="0"/>
    </dxf>
    <dxf>
      <numFmt numFmtId="1" formatCode="0"/>
    </dxf>
    <dxf>
      <numFmt numFmtId="175" formatCode="##0.0E+00"/>
    </dxf>
    <dxf>
      <numFmt numFmtId="167" formatCode="0.0"/>
    </dxf>
    <dxf>
      <numFmt numFmtId="1" formatCode="0"/>
    </dxf>
    <dxf>
      <numFmt numFmtId="175" formatCode="##0.0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77" formatCode="##0.00E+00"/>
    </dxf>
    <dxf>
      <numFmt numFmtId="167" formatCode="0.0"/>
    </dxf>
    <dxf>
      <numFmt numFmtId="1" formatCode="0"/>
    </dxf>
    <dxf>
      <numFmt numFmtId="1" formatCode="0"/>
    </dxf>
    <dxf>
      <numFmt numFmtId="167" formatCode="0.0"/>
    </dxf>
    <dxf>
      <numFmt numFmtId="1" formatCode="0"/>
    </dxf>
    <dxf>
      <numFmt numFmtId="1" formatCode="0"/>
    </dxf>
    <dxf>
      <numFmt numFmtId="177" formatCode="##0.00E+00"/>
    </dxf>
    <dxf>
      <numFmt numFmtId="167" formatCode="0.0"/>
    </dxf>
    <dxf>
      <numFmt numFmtId="1" formatCode="0"/>
    </dxf>
    <dxf>
      <numFmt numFmtId="1" formatCode="0"/>
    </dxf>
    <dxf>
      <numFmt numFmtId="1" formatCode="0"/>
    </dxf>
    <dxf>
      <numFmt numFmtId="1" formatCode="0"/>
    </dxf>
    <dxf>
      <numFmt numFmtId="15" formatCode="0.00E+00"/>
    </dxf>
    <dxf>
      <numFmt numFmtId="1" formatCode="0"/>
    </dxf>
    <dxf>
      <numFmt numFmtId="15" formatCode="0.00E+00"/>
    </dxf>
    <dxf>
      <numFmt numFmtId="1" formatCode="0"/>
    </dxf>
    <dxf>
      <numFmt numFmtId="1" formatCode="0"/>
    </dxf>
    <dxf>
      <numFmt numFmtId="165" formatCode="0.000"/>
    </dxf>
    <dxf>
      <numFmt numFmtId="165" formatCode="0.000"/>
    </dxf>
    <dxf>
      <numFmt numFmtId="1" formatCode="0"/>
    </dxf>
    <dxf>
      <numFmt numFmtId="0" formatCode="General"/>
    </dxf>
    <dxf>
      <numFmt numFmtId="0" formatCode="General"/>
    </dxf>
    <dxf>
      <numFmt numFmtId="1" formatCode="0"/>
    </dxf>
    <dxf>
      <numFmt numFmtId="1" formatCode="0"/>
    </dxf>
    <dxf>
      <numFmt numFmtId="1" formatCode="0"/>
    </dxf>
    <dxf>
      <numFmt numFmtId="1" formatCode="0"/>
      <fill>
        <patternFill patternType="none">
          <fgColor indexed="64"/>
          <bgColor auto="1"/>
        </patternFill>
      </fil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0.0"/>
    </dxf>
    <dxf>
      <numFmt numFmtId="167" formatCode="0.0"/>
    </dxf>
    <dxf>
      <numFmt numFmtId="167" formatCode="0.0"/>
    </dxf>
    <dxf>
      <numFmt numFmtId="167" formatCode="0.0"/>
    </dxf>
    <dxf>
      <numFmt numFmtId="167" formatCode="0.0"/>
    </dxf>
    <dxf>
      <numFmt numFmtId="167" formatCode="0.0"/>
    </dxf>
    <dxf>
      <numFmt numFmtId="165" formatCode="0.000"/>
    </dxf>
    <dxf>
      <numFmt numFmtId="164" formatCode="0.0000"/>
    </dxf>
    <dxf>
      <numFmt numFmtId="167" formatCode="0.0"/>
    </dxf>
    <dxf>
      <numFmt numFmtId="164" formatCode="0.0000"/>
    </dxf>
    <dxf>
      <numFmt numFmtId="167" formatCode="0.0"/>
    </dxf>
    <dxf>
      <numFmt numFmtId="167" formatCode="0.0"/>
    </dxf>
    <dxf>
      <numFmt numFmtId="1" formatCode="0"/>
    </dxf>
    <dxf>
      <numFmt numFmtId="19" formatCode="d/mm/yyyy"/>
    </dxf>
    <dxf>
      <alignment horizontal="general" vertical="bottom" textRotation="0" wrapText="1" indent="0" justifyLastLine="0" shrinkToFit="0" readingOrder="0"/>
    </dxf>
  </dxfs>
  <tableStyles count="0" defaultTableStyle="TableStyleMedium2" defaultPivotStyle="PivotStyleLight16"/>
  <colors>
    <mruColors>
      <color rgb="FFCC0099"/>
      <color rgb="FFFF99FF"/>
      <color rgb="FFFFCCCC"/>
      <color rgb="FFFFCCFF"/>
      <color rgb="FFF1F7ED"/>
      <color rgb="FFFFFFCC"/>
      <color rgb="FFFF9933"/>
      <color rgb="FFFFCC00"/>
      <color rgb="FFFFFF00"/>
      <color rgb="FF08080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7.xml"/><Relationship Id="rId18" Type="http://schemas.openxmlformats.org/officeDocument/2006/relationships/chartsheet" Target="chartsheets/sheet9.xml"/><Relationship Id="rId26" Type="http://schemas.openxmlformats.org/officeDocument/2006/relationships/chartsheet" Target="chartsheets/sheet16.xml"/><Relationship Id="rId39" Type="http://schemas.openxmlformats.org/officeDocument/2006/relationships/chartsheet" Target="chartsheets/sheet28.xml"/><Relationship Id="rId3" Type="http://schemas.openxmlformats.org/officeDocument/2006/relationships/worksheet" Target="worksheets/sheet2.xml"/><Relationship Id="rId21" Type="http://schemas.openxmlformats.org/officeDocument/2006/relationships/chartsheet" Target="chartsheets/sheet11.xml"/><Relationship Id="rId34" Type="http://schemas.openxmlformats.org/officeDocument/2006/relationships/chartsheet" Target="chartsheets/sheet23.xml"/><Relationship Id="rId42" Type="http://schemas.openxmlformats.org/officeDocument/2006/relationships/chartsheet" Target="chartsheets/sheet31.xml"/><Relationship Id="rId47" Type="http://schemas.openxmlformats.org/officeDocument/2006/relationships/worksheet" Target="worksheets/sheet12.xml"/><Relationship Id="rId50" Type="http://schemas.openxmlformats.org/officeDocument/2006/relationships/sharedStrings" Target="sharedStrings.xml"/><Relationship Id="rId7" Type="http://schemas.openxmlformats.org/officeDocument/2006/relationships/worksheet" Target="worksheets/sheet3.xml"/><Relationship Id="rId12" Type="http://schemas.openxmlformats.org/officeDocument/2006/relationships/chartsheet" Target="chartsheets/sheet6.xml"/><Relationship Id="rId17" Type="http://schemas.openxmlformats.org/officeDocument/2006/relationships/worksheet" Target="worksheets/sheet9.xml"/><Relationship Id="rId25" Type="http://schemas.openxmlformats.org/officeDocument/2006/relationships/chartsheet" Target="chartsheets/sheet15.xml"/><Relationship Id="rId33" Type="http://schemas.openxmlformats.org/officeDocument/2006/relationships/chartsheet" Target="chartsheets/sheet22.xml"/><Relationship Id="rId38" Type="http://schemas.openxmlformats.org/officeDocument/2006/relationships/chartsheet" Target="chartsheets/sheet27.xml"/><Relationship Id="rId46" Type="http://schemas.openxmlformats.org/officeDocument/2006/relationships/chartsheet" Target="chartsheets/sheet35.xml"/><Relationship Id="rId2" Type="http://schemas.openxmlformats.org/officeDocument/2006/relationships/worksheet" Target="worksheets/sheet1.xml"/><Relationship Id="rId16" Type="http://schemas.openxmlformats.org/officeDocument/2006/relationships/worksheet" Target="worksheets/sheet8.xml"/><Relationship Id="rId20" Type="http://schemas.openxmlformats.org/officeDocument/2006/relationships/chartsheet" Target="chartsheets/sheet10.xml"/><Relationship Id="rId29" Type="http://schemas.openxmlformats.org/officeDocument/2006/relationships/chartsheet" Target="chartsheets/sheet18.xml"/><Relationship Id="rId41" Type="http://schemas.openxmlformats.org/officeDocument/2006/relationships/chartsheet" Target="chartsheets/sheet30.xml"/><Relationship Id="rId1" Type="http://schemas.openxmlformats.org/officeDocument/2006/relationships/chartsheet" Target="chartsheets/sheet1.xml"/><Relationship Id="rId6" Type="http://schemas.openxmlformats.org/officeDocument/2006/relationships/chartsheet" Target="chartsheets/sheet4.xml"/><Relationship Id="rId11" Type="http://schemas.openxmlformats.org/officeDocument/2006/relationships/chartsheet" Target="chartsheets/sheet5.xml"/><Relationship Id="rId24" Type="http://schemas.openxmlformats.org/officeDocument/2006/relationships/chartsheet" Target="chartsheets/sheet14.xml"/><Relationship Id="rId32" Type="http://schemas.openxmlformats.org/officeDocument/2006/relationships/chartsheet" Target="chartsheets/sheet21.xml"/><Relationship Id="rId37" Type="http://schemas.openxmlformats.org/officeDocument/2006/relationships/chartsheet" Target="chartsheets/sheet26.xml"/><Relationship Id="rId40" Type="http://schemas.openxmlformats.org/officeDocument/2006/relationships/chartsheet" Target="chartsheets/sheet29.xml"/><Relationship Id="rId45" Type="http://schemas.openxmlformats.org/officeDocument/2006/relationships/chartsheet" Target="chartsheets/sheet34.xml"/><Relationship Id="rId5" Type="http://schemas.openxmlformats.org/officeDocument/2006/relationships/chartsheet" Target="chartsheets/sheet3.xml"/><Relationship Id="rId15" Type="http://schemas.openxmlformats.org/officeDocument/2006/relationships/chartsheet" Target="chartsheets/sheet8.xml"/><Relationship Id="rId23" Type="http://schemas.openxmlformats.org/officeDocument/2006/relationships/chartsheet" Target="chartsheets/sheet13.xml"/><Relationship Id="rId28" Type="http://schemas.openxmlformats.org/officeDocument/2006/relationships/chartsheet" Target="chartsheets/sheet17.xml"/><Relationship Id="rId36" Type="http://schemas.openxmlformats.org/officeDocument/2006/relationships/chartsheet" Target="chartsheets/sheet25.xml"/><Relationship Id="rId49" Type="http://schemas.openxmlformats.org/officeDocument/2006/relationships/styles" Target="styles.xml"/><Relationship Id="rId10" Type="http://schemas.openxmlformats.org/officeDocument/2006/relationships/worksheet" Target="worksheets/sheet6.xml"/><Relationship Id="rId19" Type="http://schemas.openxmlformats.org/officeDocument/2006/relationships/worksheet" Target="worksheets/sheet10.xml"/><Relationship Id="rId31" Type="http://schemas.openxmlformats.org/officeDocument/2006/relationships/chartsheet" Target="chartsheets/sheet20.xml"/><Relationship Id="rId44" Type="http://schemas.openxmlformats.org/officeDocument/2006/relationships/chartsheet" Target="chartsheets/sheet33.xml"/><Relationship Id="rId52" Type="http://schemas.microsoft.com/office/2006/relationships/vbaProject" Target="vbaProject.bin"/><Relationship Id="rId4" Type="http://schemas.openxmlformats.org/officeDocument/2006/relationships/chartsheet" Target="chartsheets/sheet2.xml"/><Relationship Id="rId9" Type="http://schemas.openxmlformats.org/officeDocument/2006/relationships/worksheet" Target="worksheets/sheet5.xml"/><Relationship Id="rId14" Type="http://schemas.openxmlformats.org/officeDocument/2006/relationships/worksheet" Target="worksheets/sheet7.xml"/><Relationship Id="rId22" Type="http://schemas.openxmlformats.org/officeDocument/2006/relationships/chartsheet" Target="chartsheets/sheet12.xml"/><Relationship Id="rId27" Type="http://schemas.openxmlformats.org/officeDocument/2006/relationships/worksheet" Target="worksheets/sheet11.xml"/><Relationship Id="rId30" Type="http://schemas.openxmlformats.org/officeDocument/2006/relationships/chartsheet" Target="chartsheets/sheet19.xml"/><Relationship Id="rId35" Type="http://schemas.openxmlformats.org/officeDocument/2006/relationships/chartsheet" Target="chartsheets/sheet24.xml"/><Relationship Id="rId43" Type="http://schemas.openxmlformats.org/officeDocument/2006/relationships/chartsheet" Target="chartsheets/sheet32.xml"/><Relationship Id="rId48" Type="http://schemas.openxmlformats.org/officeDocument/2006/relationships/theme" Target="theme/theme1.xml"/><Relationship Id="rId8" Type="http://schemas.openxmlformats.org/officeDocument/2006/relationships/worksheet" Target="worksheets/sheet4.xml"/><Relationship Id="rId51"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24.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26.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28.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32.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34.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37.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40.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3" Type="http://schemas.openxmlformats.org/officeDocument/2006/relationships/chartUserShapes" Target="../drawings/drawing42.xml"/><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44.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chartUserShapes" Target="../drawings/drawing46.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48.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chartUserShapes" Target="../drawings/drawing50.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3" Type="http://schemas.openxmlformats.org/officeDocument/2006/relationships/chartUserShapes" Target="../drawings/drawing52.xml"/><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3" Type="http://schemas.openxmlformats.org/officeDocument/2006/relationships/chartUserShapes" Target="../drawings/drawing54.xml"/><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chartUserShapes" Target="../drawings/drawing56.xml"/><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3" Type="http://schemas.openxmlformats.org/officeDocument/2006/relationships/chartUserShapes" Target="../drawings/drawing58.xml"/><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3" Type="http://schemas.openxmlformats.org/officeDocument/2006/relationships/chartUserShapes" Target="../drawings/drawing61.xml"/><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3" Type="http://schemas.openxmlformats.org/officeDocument/2006/relationships/chartUserShapes" Target="../drawings/drawing63.xml"/><Relationship Id="rId2" Type="http://schemas.microsoft.com/office/2011/relationships/chartColorStyle" Target="colors35.xml"/><Relationship Id="rId1" Type="http://schemas.microsoft.com/office/2011/relationships/chartStyle" Target="style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myData!$EJ$21</c:f>
          <c:strCache>
            <c:ptCount val="1"/>
            <c:pt idx="0">
              <c:v>COVID19 NSWUnknown P(t) = b / {d+[( b/Po - d ) ]* exp(-b*t)}
b=0.199, d=1.69E-04, P0=.639, r2=0.9624, Limit=2.40 k=&gt;1.17 k cases 
 (Fit: Mon 30-Mar - Sun 03-May)</c:v>
            </c:pt>
          </c:strCache>
        </c:strRef>
      </c:tx>
      <c:layout>
        <c:manualLayout>
          <c:xMode val="edge"/>
          <c:yMode val="edge"/>
          <c:x val="7.2739432874775231E-2"/>
          <c:y val="2.71332110832347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4439803403919716E-2"/>
          <c:y val="0.17676555689477733"/>
          <c:w val="0.71672314522800895"/>
          <c:h val="0.60692079304574653"/>
        </c:manualLayout>
      </c:layout>
      <c:scatterChart>
        <c:scatterStyle val="lineMarker"/>
        <c:varyColors val="0"/>
        <c:ser>
          <c:idx val="3"/>
          <c:order val="0"/>
          <c:tx>
            <c:strRef>
              <c:f>myData!NSWUnknownSeries</c:f>
              <c:strCache>
                <c:ptCount val="1"/>
                <c:pt idx="0">
                  <c:v>NSWUnknown Limit 2.40 k r^2=96.24%</c:v>
                </c:pt>
              </c:strCache>
            </c:strRef>
          </c:tx>
          <c:spPr>
            <a:ln w="22225" cap="rnd">
              <a:solidFill>
                <a:schemeClr val="accent4"/>
              </a:solidFill>
              <a:prstDash val="sysDash"/>
              <a:round/>
            </a:ln>
            <a:effectLst/>
          </c:spPr>
          <c:marker>
            <c:symbol val="none"/>
          </c:marker>
          <c:xVal>
            <c:numRef>
              <c:f>myData!NSWTtlLclLogiDt</c:f>
              <c:numCache>
                <c:formatCode>ddd\ dd/mm/yy</c:formatCode>
                <c:ptCount val="45"/>
                <c:pt idx="0">
                  <c:v>43921</c:v>
                </c:pt>
                <c:pt idx="1">
                  <c:v>43922</c:v>
                </c:pt>
                <c:pt idx="2">
                  <c:v>43923</c:v>
                </c:pt>
                <c:pt idx="3">
                  <c:v>43924</c:v>
                </c:pt>
                <c:pt idx="4">
                  <c:v>43925</c:v>
                </c:pt>
                <c:pt idx="5">
                  <c:v>43926</c:v>
                </c:pt>
                <c:pt idx="6">
                  <c:v>43927</c:v>
                </c:pt>
                <c:pt idx="7">
                  <c:v>43928</c:v>
                </c:pt>
                <c:pt idx="8">
                  <c:v>43929</c:v>
                </c:pt>
                <c:pt idx="9">
                  <c:v>43930</c:v>
                </c:pt>
                <c:pt idx="10">
                  <c:v>43931</c:v>
                </c:pt>
                <c:pt idx="11">
                  <c:v>43932</c:v>
                </c:pt>
                <c:pt idx="12">
                  <c:v>43933</c:v>
                </c:pt>
                <c:pt idx="13">
                  <c:v>43934</c:v>
                </c:pt>
                <c:pt idx="14">
                  <c:v>43935</c:v>
                </c:pt>
                <c:pt idx="15">
                  <c:v>43936</c:v>
                </c:pt>
                <c:pt idx="16">
                  <c:v>43937</c:v>
                </c:pt>
                <c:pt idx="17">
                  <c:v>43938</c:v>
                </c:pt>
                <c:pt idx="18">
                  <c:v>43939</c:v>
                </c:pt>
                <c:pt idx="19">
                  <c:v>43940</c:v>
                </c:pt>
                <c:pt idx="20">
                  <c:v>43941</c:v>
                </c:pt>
                <c:pt idx="21">
                  <c:v>43942</c:v>
                </c:pt>
                <c:pt idx="22">
                  <c:v>43943</c:v>
                </c:pt>
                <c:pt idx="23">
                  <c:v>43944</c:v>
                </c:pt>
                <c:pt idx="24">
                  <c:v>43945</c:v>
                </c:pt>
                <c:pt idx="25">
                  <c:v>43946</c:v>
                </c:pt>
                <c:pt idx="26">
                  <c:v>43947</c:v>
                </c:pt>
                <c:pt idx="27">
                  <c:v>43948</c:v>
                </c:pt>
                <c:pt idx="28">
                  <c:v>43949</c:v>
                </c:pt>
                <c:pt idx="29">
                  <c:v>43950</c:v>
                </c:pt>
                <c:pt idx="30">
                  <c:v>43951</c:v>
                </c:pt>
                <c:pt idx="31">
                  <c:v>43952</c:v>
                </c:pt>
                <c:pt idx="32">
                  <c:v>43953</c:v>
                </c:pt>
                <c:pt idx="33">
                  <c:v>43954</c:v>
                </c:pt>
                <c:pt idx="34">
                  <c:v>43955</c:v>
                </c:pt>
                <c:pt idx="35">
                  <c:v>43956</c:v>
                </c:pt>
                <c:pt idx="36">
                  <c:v>43957</c:v>
                </c:pt>
                <c:pt idx="37">
                  <c:v>43958</c:v>
                </c:pt>
                <c:pt idx="38">
                  <c:v>43965</c:v>
                </c:pt>
                <c:pt idx="39">
                  <c:v>43972</c:v>
                </c:pt>
                <c:pt idx="40">
                  <c:v>43979</c:v>
                </c:pt>
                <c:pt idx="41">
                  <c:v>43986</c:v>
                </c:pt>
                <c:pt idx="42">
                  <c:v>43993</c:v>
                </c:pt>
                <c:pt idx="43">
                  <c:v>44000</c:v>
                </c:pt>
                <c:pt idx="44">
                  <c:v>44007</c:v>
                </c:pt>
              </c:numCache>
            </c:numRef>
          </c:xVal>
          <c:yVal>
            <c:numRef>
              <c:f>myData!NSWTtlLclLogi</c:f>
              <c:numCache>
                <c:formatCode>General</c:formatCode>
                <c:ptCount val="45"/>
                <c:pt idx="0">
                  <c:v>683.65051940507112</c:v>
                </c:pt>
                <c:pt idx="1">
                  <c:v>739.28815539764094</c:v>
                </c:pt>
                <c:pt idx="2">
                  <c:v>792.14271316452812</c:v>
                </c:pt>
                <c:pt idx="3">
                  <c:v>841.46572849641609</c:v>
                </c:pt>
                <c:pt idx="4">
                  <c:v>886.73291561991573</c:v>
                </c:pt>
                <c:pt idx="5">
                  <c:v>927.64714537271755</c:v>
                </c:pt>
                <c:pt idx="6">
                  <c:v>964.11889826970241</c:v>
                </c:pt>
                <c:pt idx="7">
                  <c:v>996.23173624772528</c:v>
                </c:pt>
                <c:pt idx="8">
                  <c:v>1024.2007844640355</c:v>
                </c:pt>
                <c:pt idx="9">
                  <c:v>1048.3309450331531</c:v>
                </c:pt>
                <c:pt idx="10">
                  <c:v>1068.9794666206717</c:v>
                </c:pt>
                <c:pt idx="11">
                  <c:v>1086.5253365543485</c:v>
                </c:pt>
                <c:pt idx="12">
                  <c:v>1101.3462133337116</c:v>
                </c:pt>
                <c:pt idx="13">
                  <c:v>1113.8024455743216</c:v>
                </c:pt>
                <c:pt idx="14">
                  <c:v>1124.2270929229257</c:v>
                </c:pt>
                <c:pt idx="15">
                  <c:v>1132.920643532907</c:v>
                </c:pt>
                <c:pt idx="16">
                  <c:v>1140.1491621376301</c:v>
                </c:pt>
                <c:pt idx="17">
                  <c:v>1146.1447777788148</c:v>
                </c:pt>
                <c:pt idx="18">
                  <c:v>1151.1076436787209</c:v>
                </c:pt>
                <c:pt idx="19">
                  <c:v>1155.2087215021909</c:v>
                </c:pt>
                <c:pt idx="20">
                  <c:v>1158.5929325513619</c:v>
                </c:pt>
                <c:pt idx="21">
                  <c:v>1161.3823704713652</c:v>
                </c:pt>
                <c:pt idx="22">
                  <c:v>1163.6793845509778</c:v>
                </c:pt>
                <c:pt idx="23">
                  <c:v>1165.5694248564284</c:v>
                </c:pt>
                <c:pt idx="24">
                  <c:v>1167.1235968047854</c:v>
                </c:pt>
                <c:pt idx="25">
                  <c:v>1168.4009097013131</c:v>
                </c:pt>
                <c:pt idx="26">
                  <c:v>1169.450226633804</c:v>
                </c:pt>
                <c:pt idx="27">
                  <c:v>1170.3119362118614</c:v>
                </c:pt>
                <c:pt idx="28">
                  <c:v>1171.0193731772549</c:v>
                </c:pt>
                <c:pt idx="29">
                  <c:v>1171.6000172206668</c:v>
                </c:pt>
                <c:pt idx="30">
                  <c:v>1172.0764990510754</c:v>
                </c:pt>
                <c:pt idx="31">
                  <c:v>1172.4674409854892</c:v>
                </c:pt>
                <c:pt idx="32">
                  <c:v>1172.4674409854892</c:v>
                </c:pt>
                <c:pt idx="33">
                  <c:v>1172.4674409854892</c:v>
                </c:pt>
                <c:pt idx="34">
                  <c:v>1172.4674409854892</c:v>
                </c:pt>
                <c:pt idx="35">
                  <c:v>1172.4674409854892</c:v>
                </c:pt>
                <c:pt idx="36">
                  <c:v>1172.4674409854892</c:v>
                </c:pt>
                <c:pt idx="37">
                  <c:v>1172.4674409854892</c:v>
                </c:pt>
                <c:pt idx="38">
                  <c:v>1172.4674409854892</c:v>
                </c:pt>
                <c:pt idx="39">
                  <c:v>1172.4674409854892</c:v>
                </c:pt>
                <c:pt idx="40">
                  <c:v>1172.4674409854892</c:v>
                </c:pt>
                <c:pt idx="41">
                  <c:v>1172.4674409854892</c:v>
                </c:pt>
                <c:pt idx="42">
                  <c:v>1172.4674409854892</c:v>
                </c:pt>
                <c:pt idx="43">
                  <c:v>1172.4674409854892</c:v>
                </c:pt>
                <c:pt idx="44">
                  <c:v>1172.4674409854892</c:v>
                </c:pt>
              </c:numCache>
            </c:numRef>
          </c:yVal>
          <c:smooth val="0"/>
        </c:ser>
        <c:ser>
          <c:idx val="6"/>
          <c:order val="1"/>
          <c:tx>
            <c:strRef>
              <c:f>NSWLikely!$L$1</c:f>
              <c:strCache>
                <c:ptCount val="1"/>
                <c:pt idx="0">
                  <c:v>Total Local</c:v>
                </c:pt>
              </c:strCache>
            </c:strRef>
          </c:tx>
          <c:spPr>
            <a:ln w="19050" cap="rnd">
              <a:solidFill>
                <a:srgbClr val="FF0000"/>
              </a:solidFill>
              <a:round/>
            </a:ln>
            <a:effectLst/>
          </c:spPr>
          <c:marker>
            <c:symbol val="circle"/>
            <c:size val="5"/>
            <c:spPr>
              <a:noFill/>
              <a:ln w="9525">
                <a:solidFill>
                  <a:srgbClr val="FF0000"/>
                </a:solidFill>
              </a:ln>
              <a:effectLst/>
            </c:spPr>
          </c:marker>
          <c:xVal>
            <c:numRef>
              <c:f>NSWLikely!NotifDates</c:f>
              <c:numCache>
                <c:formatCode>m/d/yyyy</c:formatCode>
                <c:ptCount val="53"/>
                <c:pt idx="0">
                  <c:v>43899</c:v>
                </c:pt>
                <c:pt idx="1">
                  <c:v>43900</c:v>
                </c:pt>
                <c:pt idx="2">
                  <c:v>43901</c:v>
                </c:pt>
                <c:pt idx="3">
                  <c:v>43902</c:v>
                </c:pt>
                <c:pt idx="4">
                  <c:v>43903</c:v>
                </c:pt>
                <c:pt idx="5">
                  <c:v>43904</c:v>
                </c:pt>
                <c:pt idx="6">
                  <c:v>43905</c:v>
                </c:pt>
                <c:pt idx="7">
                  <c:v>43906</c:v>
                </c:pt>
                <c:pt idx="8">
                  <c:v>43907</c:v>
                </c:pt>
                <c:pt idx="9">
                  <c:v>43908</c:v>
                </c:pt>
                <c:pt idx="10">
                  <c:v>43909</c:v>
                </c:pt>
                <c:pt idx="11">
                  <c:v>43910</c:v>
                </c:pt>
                <c:pt idx="12">
                  <c:v>43911</c:v>
                </c:pt>
                <c:pt idx="13">
                  <c:v>43912</c:v>
                </c:pt>
                <c:pt idx="14">
                  <c:v>43913</c:v>
                </c:pt>
                <c:pt idx="15">
                  <c:v>43914</c:v>
                </c:pt>
                <c:pt idx="16">
                  <c:v>43915</c:v>
                </c:pt>
                <c:pt idx="17">
                  <c:v>43916</c:v>
                </c:pt>
                <c:pt idx="18">
                  <c:v>43917</c:v>
                </c:pt>
                <c:pt idx="19">
                  <c:v>43918</c:v>
                </c:pt>
                <c:pt idx="20">
                  <c:v>43919</c:v>
                </c:pt>
                <c:pt idx="21">
                  <c:v>43920</c:v>
                </c:pt>
                <c:pt idx="22">
                  <c:v>43921</c:v>
                </c:pt>
                <c:pt idx="23">
                  <c:v>43922</c:v>
                </c:pt>
                <c:pt idx="24">
                  <c:v>43923</c:v>
                </c:pt>
                <c:pt idx="25">
                  <c:v>43924</c:v>
                </c:pt>
                <c:pt idx="26">
                  <c:v>43925</c:v>
                </c:pt>
                <c:pt idx="27">
                  <c:v>43926</c:v>
                </c:pt>
                <c:pt idx="28">
                  <c:v>43927</c:v>
                </c:pt>
                <c:pt idx="29">
                  <c:v>43928</c:v>
                </c:pt>
                <c:pt idx="30">
                  <c:v>43929</c:v>
                </c:pt>
                <c:pt idx="31">
                  <c:v>43930</c:v>
                </c:pt>
                <c:pt idx="32">
                  <c:v>43931</c:v>
                </c:pt>
                <c:pt idx="33">
                  <c:v>43932</c:v>
                </c:pt>
                <c:pt idx="34">
                  <c:v>43933</c:v>
                </c:pt>
                <c:pt idx="35">
                  <c:v>43934</c:v>
                </c:pt>
                <c:pt idx="36">
                  <c:v>43935</c:v>
                </c:pt>
                <c:pt idx="37">
                  <c:v>43936</c:v>
                </c:pt>
                <c:pt idx="38">
                  <c:v>43937</c:v>
                </c:pt>
                <c:pt idx="39">
                  <c:v>43938</c:v>
                </c:pt>
                <c:pt idx="40">
                  <c:v>43939</c:v>
                </c:pt>
                <c:pt idx="41">
                  <c:v>43940</c:v>
                </c:pt>
                <c:pt idx="42">
                  <c:v>43941</c:v>
                </c:pt>
                <c:pt idx="43">
                  <c:v>43942</c:v>
                </c:pt>
                <c:pt idx="44">
                  <c:v>43943</c:v>
                </c:pt>
                <c:pt idx="45">
                  <c:v>43944</c:v>
                </c:pt>
                <c:pt idx="46">
                  <c:v>43945</c:v>
                </c:pt>
                <c:pt idx="47">
                  <c:v>43946</c:v>
                </c:pt>
                <c:pt idx="48">
                  <c:v>43947</c:v>
                </c:pt>
                <c:pt idx="49">
                  <c:v>43948</c:v>
                </c:pt>
                <c:pt idx="50">
                  <c:v>43949</c:v>
                </c:pt>
                <c:pt idx="51">
                  <c:v>43950</c:v>
                </c:pt>
                <c:pt idx="52">
                  <c:v>43951</c:v>
                </c:pt>
              </c:numCache>
            </c:numRef>
          </c:xVal>
          <c:yVal>
            <c:numRef>
              <c:f>NSWLikely!TotalLocal</c:f>
              <c:numCache>
                <c:formatCode>General</c:formatCode>
                <c:ptCount val="53"/>
                <c:pt idx="0">
                  <c:v>3</c:v>
                </c:pt>
                <c:pt idx="1">
                  <c:v>3</c:v>
                </c:pt>
                <c:pt idx="2">
                  <c:v>13</c:v>
                </c:pt>
                <c:pt idx="3">
                  <c:v>24</c:v>
                </c:pt>
                <c:pt idx="4">
                  <c:v>41</c:v>
                </c:pt>
                <c:pt idx="5">
                  <c:v>54</c:v>
                </c:pt>
                <c:pt idx="6">
                  <c:v>70</c:v>
                </c:pt>
                <c:pt idx="7">
                  <c:v>84</c:v>
                </c:pt>
                <c:pt idx="8">
                  <c:v>112</c:v>
                </c:pt>
                <c:pt idx="9">
                  <c:v>136</c:v>
                </c:pt>
                <c:pt idx="10">
                  <c:v>155</c:v>
                </c:pt>
                <c:pt idx="11">
                  <c:v>203</c:v>
                </c:pt>
                <c:pt idx="12">
                  <c:v>232</c:v>
                </c:pt>
                <c:pt idx="13">
                  <c:v>266</c:v>
                </c:pt>
                <c:pt idx="14">
                  <c:v>315</c:v>
                </c:pt>
                <c:pt idx="15">
                  <c:v>365</c:v>
                </c:pt>
                <c:pt idx="16">
                  <c:v>413</c:v>
                </c:pt>
                <c:pt idx="17">
                  <c:v>467</c:v>
                </c:pt>
                <c:pt idx="18">
                  <c:v>540</c:v>
                </c:pt>
                <c:pt idx="19">
                  <c:v>574</c:v>
                </c:pt>
                <c:pt idx="20">
                  <c:v>625</c:v>
                </c:pt>
                <c:pt idx="21">
                  <c:v>658</c:v>
                </c:pt>
                <c:pt idx="22">
                  <c:v>717</c:v>
                </c:pt>
                <c:pt idx="23">
                  <c:v>784</c:v>
                </c:pt>
                <c:pt idx="24">
                  <c:v>835</c:v>
                </c:pt>
                <c:pt idx="25">
                  <c:v>883</c:v>
                </c:pt>
                <c:pt idx="26">
                  <c:v>914</c:v>
                </c:pt>
                <c:pt idx="27">
                  <c:v>941</c:v>
                </c:pt>
                <c:pt idx="28">
                  <c:v>958</c:v>
                </c:pt>
                <c:pt idx="29">
                  <c:v>981</c:v>
                </c:pt>
                <c:pt idx="30">
                  <c:v>1016</c:v>
                </c:pt>
                <c:pt idx="31">
                  <c:v>1027</c:v>
                </c:pt>
                <c:pt idx="32">
                  <c:v>1037</c:v>
                </c:pt>
                <c:pt idx="33">
                  <c:v>1042</c:v>
                </c:pt>
                <c:pt idx="34">
                  <c:v>1047</c:v>
                </c:pt>
                <c:pt idx="35">
                  <c:v>1052</c:v>
                </c:pt>
                <c:pt idx="36">
                  <c:v>1103</c:v>
                </c:pt>
                <c:pt idx="37">
                  <c:v>1107</c:v>
                </c:pt>
                <c:pt idx="38">
                  <c:v>1112</c:v>
                </c:pt>
                <c:pt idx="39">
                  <c:v>1124</c:v>
                </c:pt>
                <c:pt idx="40">
                  <c:v>1135</c:v>
                </c:pt>
                <c:pt idx="41">
                  <c:v>1143</c:v>
                </c:pt>
                <c:pt idx="42">
                  <c:v>1143</c:v>
                </c:pt>
                <c:pt idx="43">
                  <c:v>1147</c:v>
                </c:pt>
                <c:pt idx="44">
                  <c:v>1151</c:v>
                </c:pt>
                <c:pt idx="45">
                  <c:v>1153</c:v>
                </c:pt>
                <c:pt idx="46">
                  <c:v>1158</c:v>
                </c:pt>
                <c:pt idx="47">
                  <c:v>1160</c:v>
                </c:pt>
                <c:pt idx="48">
                  <c:v>1161</c:v>
                </c:pt>
                <c:pt idx="49">
                  <c:v>1163</c:v>
                </c:pt>
                <c:pt idx="50">
                  <c:v>1164</c:v>
                </c:pt>
                <c:pt idx="51">
                  <c:v>1165</c:v>
                </c:pt>
                <c:pt idx="52">
                  <c:v>1168</c:v>
                </c:pt>
              </c:numCache>
            </c:numRef>
          </c:yVal>
          <c:smooth val="0"/>
        </c:ser>
        <c:ser>
          <c:idx val="5"/>
          <c:order val="2"/>
          <c:tx>
            <c:strRef>
              <c:f>NSWLikely!$K$1</c:f>
              <c:strCache>
                <c:ptCount val="1"/>
                <c:pt idx="0">
                  <c:v>Known Local</c:v>
                </c:pt>
              </c:strCache>
            </c:strRef>
          </c:tx>
          <c:spPr>
            <a:ln w="19050" cap="rnd" cmpd="sng">
              <a:solidFill>
                <a:schemeClr val="accent2">
                  <a:lumMod val="75000"/>
                </a:schemeClr>
              </a:solidFill>
              <a:prstDash val="solid"/>
              <a:round/>
            </a:ln>
            <a:effectLst/>
          </c:spPr>
          <c:marker>
            <c:symbol val="circle"/>
            <c:size val="4"/>
            <c:spPr>
              <a:solidFill>
                <a:schemeClr val="accent2">
                  <a:lumMod val="75000"/>
                </a:schemeClr>
              </a:solidFill>
              <a:ln w="9525">
                <a:solidFill>
                  <a:schemeClr val="accent2">
                    <a:lumMod val="75000"/>
                  </a:schemeClr>
                </a:solidFill>
              </a:ln>
              <a:effectLst/>
            </c:spPr>
          </c:marker>
          <c:xVal>
            <c:numRef>
              <c:f>NSWLikely!NotifDates</c:f>
              <c:numCache>
                <c:formatCode>m/d/yyyy</c:formatCode>
                <c:ptCount val="53"/>
                <c:pt idx="0">
                  <c:v>43899</c:v>
                </c:pt>
                <c:pt idx="1">
                  <c:v>43900</c:v>
                </c:pt>
                <c:pt idx="2">
                  <c:v>43901</c:v>
                </c:pt>
                <c:pt idx="3">
                  <c:v>43902</c:v>
                </c:pt>
                <c:pt idx="4">
                  <c:v>43903</c:v>
                </c:pt>
                <c:pt idx="5">
                  <c:v>43904</c:v>
                </c:pt>
                <c:pt idx="6">
                  <c:v>43905</c:v>
                </c:pt>
                <c:pt idx="7">
                  <c:v>43906</c:v>
                </c:pt>
                <c:pt idx="8">
                  <c:v>43907</c:v>
                </c:pt>
                <c:pt idx="9">
                  <c:v>43908</c:v>
                </c:pt>
                <c:pt idx="10">
                  <c:v>43909</c:v>
                </c:pt>
                <c:pt idx="11">
                  <c:v>43910</c:v>
                </c:pt>
                <c:pt idx="12">
                  <c:v>43911</c:v>
                </c:pt>
                <c:pt idx="13">
                  <c:v>43912</c:v>
                </c:pt>
                <c:pt idx="14">
                  <c:v>43913</c:v>
                </c:pt>
                <c:pt idx="15">
                  <c:v>43914</c:v>
                </c:pt>
                <c:pt idx="16">
                  <c:v>43915</c:v>
                </c:pt>
                <c:pt idx="17">
                  <c:v>43916</c:v>
                </c:pt>
                <c:pt idx="18">
                  <c:v>43917</c:v>
                </c:pt>
                <c:pt idx="19">
                  <c:v>43918</c:v>
                </c:pt>
                <c:pt idx="20">
                  <c:v>43919</c:v>
                </c:pt>
                <c:pt idx="21">
                  <c:v>43920</c:v>
                </c:pt>
                <c:pt idx="22">
                  <c:v>43921</c:v>
                </c:pt>
                <c:pt idx="23">
                  <c:v>43922</c:v>
                </c:pt>
                <c:pt idx="24">
                  <c:v>43923</c:v>
                </c:pt>
                <c:pt idx="25">
                  <c:v>43924</c:v>
                </c:pt>
                <c:pt idx="26">
                  <c:v>43925</c:v>
                </c:pt>
                <c:pt idx="27">
                  <c:v>43926</c:v>
                </c:pt>
                <c:pt idx="28">
                  <c:v>43927</c:v>
                </c:pt>
                <c:pt idx="29">
                  <c:v>43928</c:v>
                </c:pt>
                <c:pt idx="30">
                  <c:v>43929</c:v>
                </c:pt>
                <c:pt idx="31">
                  <c:v>43930</c:v>
                </c:pt>
                <c:pt idx="32">
                  <c:v>43931</c:v>
                </c:pt>
                <c:pt idx="33">
                  <c:v>43932</c:v>
                </c:pt>
                <c:pt idx="34">
                  <c:v>43933</c:v>
                </c:pt>
                <c:pt idx="35">
                  <c:v>43934</c:v>
                </c:pt>
                <c:pt idx="36">
                  <c:v>43935</c:v>
                </c:pt>
                <c:pt idx="37">
                  <c:v>43936</c:v>
                </c:pt>
                <c:pt idx="38">
                  <c:v>43937</c:v>
                </c:pt>
                <c:pt idx="39">
                  <c:v>43938</c:v>
                </c:pt>
                <c:pt idx="40">
                  <c:v>43939</c:v>
                </c:pt>
                <c:pt idx="41">
                  <c:v>43940</c:v>
                </c:pt>
                <c:pt idx="42">
                  <c:v>43941</c:v>
                </c:pt>
                <c:pt idx="43">
                  <c:v>43942</c:v>
                </c:pt>
                <c:pt idx="44">
                  <c:v>43943</c:v>
                </c:pt>
                <c:pt idx="45">
                  <c:v>43944</c:v>
                </c:pt>
                <c:pt idx="46">
                  <c:v>43945</c:v>
                </c:pt>
                <c:pt idx="47">
                  <c:v>43946</c:v>
                </c:pt>
                <c:pt idx="48">
                  <c:v>43947</c:v>
                </c:pt>
                <c:pt idx="49">
                  <c:v>43948</c:v>
                </c:pt>
                <c:pt idx="50">
                  <c:v>43949</c:v>
                </c:pt>
                <c:pt idx="51">
                  <c:v>43950</c:v>
                </c:pt>
                <c:pt idx="52">
                  <c:v>43951</c:v>
                </c:pt>
              </c:numCache>
            </c:numRef>
          </c:xVal>
          <c:yVal>
            <c:numRef>
              <c:f>NSWLikely!LikelyKn</c:f>
              <c:numCache>
                <c:formatCode>General</c:formatCode>
                <c:ptCount val="53"/>
                <c:pt idx="0">
                  <c:v>3</c:v>
                </c:pt>
                <c:pt idx="1">
                  <c:v>3</c:v>
                </c:pt>
                <c:pt idx="2">
                  <c:v>8</c:v>
                </c:pt>
                <c:pt idx="3">
                  <c:v>16</c:v>
                </c:pt>
                <c:pt idx="4">
                  <c:v>29</c:v>
                </c:pt>
                <c:pt idx="5">
                  <c:v>38</c:v>
                </c:pt>
                <c:pt idx="6">
                  <c:v>51</c:v>
                </c:pt>
                <c:pt idx="7">
                  <c:v>64</c:v>
                </c:pt>
                <c:pt idx="8">
                  <c:v>86</c:v>
                </c:pt>
                <c:pt idx="9">
                  <c:v>109</c:v>
                </c:pt>
                <c:pt idx="10">
                  <c:v>123</c:v>
                </c:pt>
                <c:pt idx="11">
                  <c:v>158</c:v>
                </c:pt>
                <c:pt idx="12">
                  <c:v>177</c:v>
                </c:pt>
                <c:pt idx="13">
                  <c:v>203</c:v>
                </c:pt>
                <c:pt idx="14">
                  <c:v>240</c:v>
                </c:pt>
                <c:pt idx="15">
                  <c:v>278</c:v>
                </c:pt>
                <c:pt idx="16">
                  <c:v>311</c:v>
                </c:pt>
                <c:pt idx="17">
                  <c:v>347</c:v>
                </c:pt>
                <c:pt idx="18">
                  <c:v>396</c:v>
                </c:pt>
                <c:pt idx="19">
                  <c:v>420</c:v>
                </c:pt>
                <c:pt idx="20">
                  <c:v>454</c:v>
                </c:pt>
                <c:pt idx="21">
                  <c:v>475</c:v>
                </c:pt>
                <c:pt idx="22">
                  <c:v>513</c:v>
                </c:pt>
                <c:pt idx="23">
                  <c:v>553</c:v>
                </c:pt>
                <c:pt idx="24">
                  <c:v>581</c:v>
                </c:pt>
                <c:pt idx="25">
                  <c:v>611</c:v>
                </c:pt>
                <c:pt idx="26">
                  <c:v>628</c:v>
                </c:pt>
                <c:pt idx="27">
                  <c:v>647</c:v>
                </c:pt>
                <c:pt idx="28">
                  <c:v>658</c:v>
                </c:pt>
                <c:pt idx="29">
                  <c:v>674</c:v>
                </c:pt>
                <c:pt idx="30">
                  <c:v>699</c:v>
                </c:pt>
                <c:pt idx="31">
                  <c:v>706</c:v>
                </c:pt>
                <c:pt idx="32">
                  <c:v>712</c:v>
                </c:pt>
                <c:pt idx="33">
                  <c:v>715</c:v>
                </c:pt>
                <c:pt idx="34">
                  <c:v>719</c:v>
                </c:pt>
                <c:pt idx="35">
                  <c:v>723</c:v>
                </c:pt>
                <c:pt idx="36">
                  <c:v>771</c:v>
                </c:pt>
                <c:pt idx="37">
                  <c:v>775</c:v>
                </c:pt>
                <c:pt idx="38">
                  <c:v>778</c:v>
                </c:pt>
                <c:pt idx="39">
                  <c:v>782</c:v>
                </c:pt>
                <c:pt idx="40">
                  <c:v>792</c:v>
                </c:pt>
                <c:pt idx="41">
                  <c:v>798</c:v>
                </c:pt>
                <c:pt idx="42">
                  <c:v>798</c:v>
                </c:pt>
                <c:pt idx="43">
                  <c:v>800</c:v>
                </c:pt>
                <c:pt idx="44">
                  <c:v>801</c:v>
                </c:pt>
                <c:pt idx="45">
                  <c:v>802</c:v>
                </c:pt>
                <c:pt idx="46">
                  <c:v>807</c:v>
                </c:pt>
                <c:pt idx="47">
                  <c:v>807</c:v>
                </c:pt>
                <c:pt idx="48">
                  <c:v>807</c:v>
                </c:pt>
                <c:pt idx="49">
                  <c:v>808</c:v>
                </c:pt>
                <c:pt idx="50">
                  <c:v>808</c:v>
                </c:pt>
                <c:pt idx="51">
                  <c:v>808</c:v>
                </c:pt>
                <c:pt idx="52">
                  <c:v>808</c:v>
                </c:pt>
              </c:numCache>
            </c:numRef>
          </c:yVal>
          <c:smooth val="0"/>
        </c:ser>
        <c:ser>
          <c:idx val="4"/>
          <c:order val="3"/>
          <c:tx>
            <c:strRef>
              <c:f>NSWLikely!$J$1</c:f>
              <c:strCache>
                <c:ptCount val="1"/>
                <c:pt idx="0">
                  <c:v>Unknown Local</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NSWLikely!NotifDates</c:f>
              <c:numCache>
                <c:formatCode>m/d/yyyy</c:formatCode>
                <c:ptCount val="53"/>
                <c:pt idx="0">
                  <c:v>43899</c:v>
                </c:pt>
                <c:pt idx="1">
                  <c:v>43900</c:v>
                </c:pt>
                <c:pt idx="2">
                  <c:v>43901</c:v>
                </c:pt>
                <c:pt idx="3">
                  <c:v>43902</c:v>
                </c:pt>
                <c:pt idx="4">
                  <c:v>43903</c:v>
                </c:pt>
                <c:pt idx="5">
                  <c:v>43904</c:v>
                </c:pt>
                <c:pt idx="6">
                  <c:v>43905</c:v>
                </c:pt>
                <c:pt idx="7">
                  <c:v>43906</c:v>
                </c:pt>
                <c:pt idx="8">
                  <c:v>43907</c:v>
                </c:pt>
                <c:pt idx="9">
                  <c:v>43908</c:v>
                </c:pt>
                <c:pt idx="10">
                  <c:v>43909</c:v>
                </c:pt>
                <c:pt idx="11">
                  <c:v>43910</c:v>
                </c:pt>
                <c:pt idx="12">
                  <c:v>43911</c:v>
                </c:pt>
                <c:pt idx="13">
                  <c:v>43912</c:v>
                </c:pt>
                <c:pt idx="14">
                  <c:v>43913</c:v>
                </c:pt>
                <c:pt idx="15">
                  <c:v>43914</c:v>
                </c:pt>
                <c:pt idx="16">
                  <c:v>43915</c:v>
                </c:pt>
                <c:pt idx="17">
                  <c:v>43916</c:v>
                </c:pt>
                <c:pt idx="18">
                  <c:v>43917</c:v>
                </c:pt>
                <c:pt idx="19">
                  <c:v>43918</c:v>
                </c:pt>
                <c:pt idx="20">
                  <c:v>43919</c:v>
                </c:pt>
                <c:pt idx="21">
                  <c:v>43920</c:v>
                </c:pt>
                <c:pt idx="22">
                  <c:v>43921</c:v>
                </c:pt>
                <c:pt idx="23">
                  <c:v>43922</c:v>
                </c:pt>
                <c:pt idx="24">
                  <c:v>43923</c:v>
                </c:pt>
                <c:pt idx="25">
                  <c:v>43924</c:v>
                </c:pt>
                <c:pt idx="26">
                  <c:v>43925</c:v>
                </c:pt>
                <c:pt idx="27">
                  <c:v>43926</c:v>
                </c:pt>
                <c:pt idx="28">
                  <c:v>43927</c:v>
                </c:pt>
                <c:pt idx="29">
                  <c:v>43928</c:v>
                </c:pt>
                <c:pt idx="30">
                  <c:v>43929</c:v>
                </c:pt>
                <c:pt idx="31">
                  <c:v>43930</c:v>
                </c:pt>
                <c:pt idx="32">
                  <c:v>43931</c:v>
                </c:pt>
                <c:pt idx="33">
                  <c:v>43932</c:v>
                </c:pt>
                <c:pt idx="34">
                  <c:v>43933</c:v>
                </c:pt>
                <c:pt idx="35">
                  <c:v>43934</c:v>
                </c:pt>
                <c:pt idx="36">
                  <c:v>43935</c:v>
                </c:pt>
                <c:pt idx="37">
                  <c:v>43936</c:v>
                </c:pt>
                <c:pt idx="38">
                  <c:v>43937</c:v>
                </c:pt>
                <c:pt idx="39">
                  <c:v>43938</c:v>
                </c:pt>
                <c:pt idx="40">
                  <c:v>43939</c:v>
                </c:pt>
                <c:pt idx="41">
                  <c:v>43940</c:v>
                </c:pt>
                <c:pt idx="42">
                  <c:v>43941</c:v>
                </c:pt>
                <c:pt idx="43">
                  <c:v>43942</c:v>
                </c:pt>
                <c:pt idx="44">
                  <c:v>43943</c:v>
                </c:pt>
                <c:pt idx="45">
                  <c:v>43944</c:v>
                </c:pt>
                <c:pt idx="46">
                  <c:v>43945</c:v>
                </c:pt>
                <c:pt idx="47">
                  <c:v>43946</c:v>
                </c:pt>
                <c:pt idx="48">
                  <c:v>43947</c:v>
                </c:pt>
                <c:pt idx="49">
                  <c:v>43948</c:v>
                </c:pt>
                <c:pt idx="50">
                  <c:v>43949</c:v>
                </c:pt>
                <c:pt idx="51">
                  <c:v>43950</c:v>
                </c:pt>
                <c:pt idx="52">
                  <c:v>43951</c:v>
                </c:pt>
              </c:numCache>
            </c:numRef>
          </c:xVal>
          <c:yVal>
            <c:numRef>
              <c:f>NSWLikely!LikelyUnkn</c:f>
              <c:numCache>
                <c:formatCode>General</c:formatCode>
                <c:ptCount val="53"/>
                <c:pt idx="0">
                  <c:v>0</c:v>
                </c:pt>
                <c:pt idx="1">
                  <c:v>0</c:v>
                </c:pt>
                <c:pt idx="2">
                  <c:v>5</c:v>
                </c:pt>
                <c:pt idx="3">
                  <c:v>8</c:v>
                </c:pt>
                <c:pt idx="4">
                  <c:v>12</c:v>
                </c:pt>
                <c:pt idx="5">
                  <c:v>16</c:v>
                </c:pt>
                <c:pt idx="6">
                  <c:v>19</c:v>
                </c:pt>
                <c:pt idx="7">
                  <c:v>20</c:v>
                </c:pt>
                <c:pt idx="8">
                  <c:v>26</c:v>
                </c:pt>
                <c:pt idx="9">
                  <c:v>27</c:v>
                </c:pt>
                <c:pt idx="10">
                  <c:v>32</c:v>
                </c:pt>
                <c:pt idx="11">
                  <c:v>45</c:v>
                </c:pt>
                <c:pt idx="12">
                  <c:v>55</c:v>
                </c:pt>
                <c:pt idx="13">
                  <c:v>63</c:v>
                </c:pt>
                <c:pt idx="14">
                  <c:v>75</c:v>
                </c:pt>
                <c:pt idx="15">
                  <c:v>87</c:v>
                </c:pt>
                <c:pt idx="16">
                  <c:v>102</c:v>
                </c:pt>
                <c:pt idx="17">
                  <c:v>120</c:v>
                </c:pt>
                <c:pt idx="18">
                  <c:v>144</c:v>
                </c:pt>
                <c:pt idx="19">
                  <c:v>154</c:v>
                </c:pt>
                <c:pt idx="20">
                  <c:v>171</c:v>
                </c:pt>
                <c:pt idx="21">
                  <c:v>183</c:v>
                </c:pt>
                <c:pt idx="22">
                  <c:v>204</c:v>
                </c:pt>
                <c:pt idx="23">
                  <c:v>231</c:v>
                </c:pt>
                <c:pt idx="24">
                  <c:v>254</c:v>
                </c:pt>
                <c:pt idx="25">
                  <c:v>272</c:v>
                </c:pt>
                <c:pt idx="26">
                  <c:v>286</c:v>
                </c:pt>
                <c:pt idx="27">
                  <c:v>294</c:v>
                </c:pt>
                <c:pt idx="28">
                  <c:v>300</c:v>
                </c:pt>
                <c:pt idx="29">
                  <c:v>307</c:v>
                </c:pt>
                <c:pt idx="30">
                  <c:v>317</c:v>
                </c:pt>
                <c:pt idx="31">
                  <c:v>321</c:v>
                </c:pt>
                <c:pt idx="32">
                  <c:v>325</c:v>
                </c:pt>
                <c:pt idx="33">
                  <c:v>327</c:v>
                </c:pt>
                <c:pt idx="34">
                  <c:v>328</c:v>
                </c:pt>
                <c:pt idx="35">
                  <c:v>329</c:v>
                </c:pt>
                <c:pt idx="36">
                  <c:v>332</c:v>
                </c:pt>
                <c:pt idx="37">
                  <c:v>332</c:v>
                </c:pt>
                <c:pt idx="38">
                  <c:v>334</c:v>
                </c:pt>
                <c:pt idx="39">
                  <c:v>342</c:v>
                </c:pt>
                <c:pt idx="40">
                  <c:v>343</c:v>
                </c:pt>
                <c:pt idx="41">
                  <c:v>345</c:v>
                </c:pt>
                <c:pt idx="42">
                  <c:v>345</c:v>
                </c:pt>
                <c:pt idx="43">
                  <c:v>347</c:v>
                </c:pt>
                <c:pt idx="44">
                  <c:v>350</c:v>
                </c:pt>
                <c:pt idx="45">
                  <c:v>351</c:v>
                </c:pt>
                <c:pt idx="46">
                  <c:v>351</c:v>
                </c:pt>
                <c:pt idx="47">
                  <c:v>353</c:v>
                </c:pt>
                <c:pt idx="48">
                  <c:v>354</c:v>
                </c:pt>
                <c:pt idx="49">
                  <c:v>355</c:v>
                </c:pt>
                <c:pt idx="50">
                  <c:v>356</c:v>
                </c:pt>
                <c:pt idx="51">
                  <c:v>357</c:v>
                </c:pt>
                <c:pt idx="52">
                  <c:v>360</c:v>
                </c:pt>
              </c:numCache>
            </c:numRef>
          </c:yVal>
          <c:smooth val="0"/>
        </c:ser>
        <c:dLbls>
          <c:showLegendKey val="0"/>
          <c:showVal val="0"/>
          <c:showCatName val="0"/>
          <c:showSerName val="0"/>
          <c:showPercent val="0"/>
          <c:showBubbleSize val="0"/>
        </c:dLbls>
        <c:axId val="792691256"/>
        <c:axId val="792692432"/>
      </c:scatterChart>
      <c:valAx>
        <c:axId val="792691256"/>
        <c:scaling>
          <c:orientation val="minMax"/>
          <c:max val="43954"/>
          <c:min val="4391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AU" sz="1600" b="1"/>
                  <a:t>Date</a:t>
                </a:r>
              </a:p>
            </c:rich>
          </c:tx>
          <c:layout>
            <c:manualLayout>
              <c:xMode val="edge"/>
              <c:yMode val="edge"/>
              <c:x val="0.362268054167873"/>
              <c:y val="0.9149972866788916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ddd\ dd/mm/yy"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792692432"/>
        <c:crosses val="autoZero"/>
        <c:crossBetween val="midCat"/>
        <c:majorUnit val="7"/>
        <c:minorUnit val="1"/>
      </c:valAx>
      <c:valAx>
        <c:axId val="792692432"/>
        <c:scaling>
          <c:orientation val="minMax"/>
          <c:max val="1400"/>
          <c:min val="2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sz="1400" b="1"/>
                  <a:t>Tests (log scale)</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792691256"/>
        <c:crosses val="autoZero"/>
        <c:crossBetween val="midCat"/>
      </c:valAx>
      <c:spPr>
        <a:noFill/>
        <a:ln>
          <a:noFill/>
        </a:ln>
        <a:effectLst/>
      </c:spPr>
    </c:plotArea>
    <c:legend>
      <c:legendPos val="b"/>
      <c:layout>
        <c:manualLayout>
          <c:xMode val="edge"/>
          <c:yMode val="edge"/>
          <c:x val="0.79302045728038506"/>
          <c:y val="0.16715619296232545"/>
          <c:w val="0.20537505014039309"/>
          <c:h val="0.6658708545409725"/>
        </c:manualLayout>
      </c:layout>
      <c:overlay val="0"/>
      <c:spPr>
        <a:solidFill>
          <a:schemeClr val="bg1"/>
        </a:solid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myData!$EI$8</c:f>
          <c:strCache>
            <c:ptCount val="1"/>
            <c:pt idx="0">
              <c:v>South Korea, NSW, Victoria, Queensland, United Kingdom, USA, Taiwan, NZ &amp; Japan @ _x000b_Sun 03-May Linear Scale</c:v>
            </c:pt>
          </c:strCache>
        </c:strRef>
      </c:tx>
      <c:layout>
        <c:manualLayout>
          <c:xMode val="edge"/>
          <c:yMode val="edge"/>
          <c:x val="7.7449421763519224E-2"/>
          <c:y val="1.252584894680952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9.1142658878072991E-2"/>
          <c:y val="0.13825381117858046"/>
          <c:w val="0.63923479000659555"/>
          <c:h val="0.75881346347942424"/>
        </c:manualLayout>
      </c:layout>
      <c:scatterChart>
        <c:scatterStyle val="lineMarker"/>
        <c:varyColors val="0"/>
        <c:ser>
          <c:idx val="7"/>
          <c:order val="0"/>
          <c:tx>
            <c:strRef>
              <c:f>myData!SKoreaLabel</c:f>
              <c:strCache>
                <c:ptCount val="1"/>
                <c:pt idx="0">
                  <c:v>South Korea from 23-Feb</c:v>
                </c:pt>
              </c:strCache>
            </c:strRef>
          </c:tx>
          <c:spPr>
            <a:ln w="19050" cap="rnd">
              <a:solidFill>
                <a:schemeClr val="accent2">
                  <a:lumMod val="60000"/>
                </a:schemeClr>
              </a:solidFill>
              <a:round/>
            </a:ln>
            <a:effectLst/>
          </c:spPr>
          <c:marker>
            <c:symbol val="x"/>
            <c:size val="4"/>
            <c:spPr>
              <a:noFill/>
              <a:ln w="9525">
                <a:solidFill>
                  <a:schemeClr val="accent4">
                    <a:lumMod val="60000"/>
                  </a:schemeClr>
                </a:solidFill>
              </a:ln>
              <a:effectLst/>
            </c:spPr>
          </c:marker>
          <c:dLbls>
            <c:dLbl>
              <c:idx val="62"/>
              <c:layout>
                <c:manualLayout>
                  <c:x val="-6.8211065446100463E-2"/>
                  <c:y val="-4.384047131383334E-2"/>
                </c:manualLayout>
              </c:layout>
              <c:tx>
                <c:rich>
                  <a:bodyPr rot="0" spcFirstLastPara="1" vertOverflow="ellipsis" vert="horz" wrap="square" lIns="38100" tIns="19050" rIns="38100" bIns="19050" anchor="ctr" anchorCtr="1">
                    <a:spAutoFit/>
                  </a:bodyPr>
                  <a:lstStyle/>
                  <a:p>
                    <a:pPr>
                      <a:defRPr sz="1100" b="0" i="0" u="none" strike="noStrike" kern="1200" baseline="0">
                        <a:solidFill>
                          <a:schemeClr val="accent4">
                            <a:lumMod val="75000"/>
                          </a:schemeClr>
                        </a:solidFill>
                        <a:latin typeface="Calibri"/>
                        <a:ea typeface="Calibri"/>
                        <a:cs typeface="Calibri"/>
                      </a:defRPr>
                    </a:pPr>
                    <a:r>
                      <a:rPr lang="en-US">
                        <a:solidFill>
                          <a:schemeClr val="accent4">
                            <a:lumMod val="75000"/>
                          </a:schemeClr>
                        </a:solidFill>
                      </a:rPr>
                      <a:t>South Korea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4">
                          <a:lumMod val="75000"/>
                        </a:schemeClr>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myData!SKorea100Dates</c:f>
              <c:numCache>
                <c:formatCode>0</c:formatCode>
                <c:ptCount val="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formatCode="0.0">
                  <c:v>73</c:v>
                </c:pt>
                <c:pt idx="73" formatCode="0.0">
                  <c:v>74</c:v>
                </c:pt>
                <c:pt idx="74" formatCode="0.0">
                  <c:v>81</c:v>
                </c:pt>
                <c:pt idx="75">
                  <c:v>88</c:v>
                </c:pt>
                <c:pt idx="76">
                  <c:v>95</c:v>
                </c:pt>
                <c:pt idx="77">
                  <c:v>102</c:v>
                </c:pt>
                <c:pt idx="78" formatCode="0.0">
                  <c:v>109</c:v>
                </c:pt>
                <c:pt idx="79" formatCode="0.0">
                  <c:v>116</c:v>
                </c:pt>
                <c:pt idx="80" formatCode="0.0">
                  <c:v>123</c:v>
                </c:pt>
                <c:pt idx="81" formatCode="0.0">
                  <c:v>130</c:v>
                </c:pt>
              </c:numCache>
            </c:numRef>
          </c:xVal>
          <c:yVal>
            <c:numRef>
              <c:f>myData!SKorea100Cases</c:f>
              <c:numCache>
                <c:formatCode>0.0</c:formatCode>
                <c:ptCount val="70"/>
                <c:pt idx="0">
                  <c:v>117.1206225680934</c:v>
                </c:pt>
                <c:pt idx="1">
                  <c:v>162.06225680933852</c:v>
                </c:pt>
                <c:pt idx="2">
                  <c:v>190.07782101167317</c:v>
                </c:pt>
                <c:pt idx="3">
                  <c:v>245.33073929961091</c:v>
                </c:pt>
                <c:pt idx="4">
                  <c:v>343.579766536965</c:v>
                </c:pt>
                <c:pt idx="5">
                  <c:v>454.66926070038915</c:v>
                </c:pt>
                <c:pt idx="6">
                  <c:v>612.84046692607012</c:v>
                </c:pt>
                <c:pt idx="7">
                  <c:v>726.84824902723744</c:v>
                </c:pt>
                <c:pt idx="8">
                  <c:v>843.38521400778211</c:v>
                </c:pt>
                <c:pt idx="9">
                  <c:v>1008.9494163424125</c:v>
                </c:pt>
                <c:pt idx="10">
                  <c:v>1093.5797665369651</c:v>
                </c:pt>
                <c:pt idx="11">
                  <c:v>1184.4357976653698</c:v>
                </c:pt>
                <c:pt idx="12">
                  <c:v>1282.6848249027239</c:v>
                </c:pt>
                <c:pt idx="13">
                  <c:v>1369.8443579766538</c:v>
                </c:pt>
                <c:pt idx="14">
                  <c:v>1422.95719844358</c:v>
                </c:pt>
                <c:pt idx="15">
                  <c:v>1454.8638132295721</c:v>
                </c:pt>
                <c:pt idx="16">
                  <c:v>1461.6731517509729</c:v>
                </c:pt>
                <c:pt idx="17">
                  <c:v>1508.7548638132296</c:v>
                </c:pt>
                <c:pt idx="18">
                  <c:v>1530.933852140078</c:v>
                </c:pt>
                <c:pt idx="19">
                  <c:v>1552.3346303501946</c:v>
                </c:pt>
                <c:pt idx="20">
                  <c:v>1573.1517509727628</c:v>
                </c:pt>
                <c:pt idx="21">
                  <c:v>1587.9377431906616</c:v>
                </c:pt>
                <c:pt idx="22">
                  <c:v>1602.3346303501946</c:v>
                </c:pt>
                <c:pt idx="23">
                  <c:v>1618.6770428015566</c:v>
                </c:pt>
                <c:pt idx="24">
                  <c:v>1636.7704280155642</c:v>
                </c:pt>
                <c:pt idx="25">
                  <c:v>1666.342412451362</c:v>
                </c:pt>
                <c:pt idx="26">
                  <c:v>1683.2684824902724</c:v>
                </c:pt>
                <c:pt idx="27">
                  <c:v>1711.8677042801557</c:v>
                </c:pt>
                <c:pt idx="28">
                  <c:v>1743.3852140077822</c:v>
                </c:pt>
                <c:pt idx="29">
                  <c:v>1743.3852140077822</c:v>
                </c:pt>
                <c:pt idx="30">
                  <c:v>1758.1712062256811</c:v>
                </c:pt>
                <c:pt idx="31">
                  <c:v>1777.626459143969</c:v>
                </c:pt>
                <c:pt idx="32">
                  <c:v>1797.8599221789884</c:v>
                </c:pt>
                <c:pt idx="33">
                  <c:v>1815.5642023346304</c:v>
                </c:pt>
                <c:pt idx="34">
                  <c:v>1843.9688715953309</c:v>
                </c:pt>
                <c:pt idx="35">
                  <c:v>1864.3968871595332</c:v>
                </c:pt>
                <c:pt idx="36">
                  <c:v>1879.5719844357977</c:v>
                </c:pt>
                <c:pt idx="37">
                  <c:v>1903.8910505836577</c:v>
                </c:pt>
                <c:pt idx="38">
                  <c:v>1923.5408560311284</c:v>
                </c:pt>
                <c:pt idx="39">
                  <c:v>1940.8560311284048</c:v>
                </c:pt>
                <c:pt idx="40">
                  <c:v>1957.5875486381324</c:v>
                </c:pt>
                <c:pt idx="41">
                  <c:v>1975.8754863813231</c:v>
                </c:pt>
                <c:pt idx="42">
                  <c:v>1991.6342412451363</c:v>
                </c:pt>
                <c:pt idx="43">
                  <c:v>2000.7782101167315</c:v>
                </c:pt>
                <c:pt idx="44">
                  <c:v>2009.922178988327</c:v>
                </c:pt>
                <c:pt idx="45">
                  <c:v>2020.2334630350197</c:v>
                </c:pt>
                <c:pt idx="46">
                  <c:v>2027.8210116731518</c:v>
                </c:pt>
                <c:pt idx="47">
                  <c:v>2033.0739299610896</c:v>
                </c:pt>
                <c:pt idx="48">
                  <c:v>2038.910505836576</c:v>
                </c:pt>
                <c:pt idx="49">
                  <c:v>2045.1361867704281</c:v>
                </c:pt>
                <c:pt idx="50">
                  <c:v>2050</c:v>
                </c:pt>
                <c:pt idx="51">
                  <c:v>2055.252918287938</c:v>
                </c:pt>
                <c:pt idx="52">
                  <c:v>2060.5058365758755</c:v>
                </c:pt>
                <c:pt idx="53">
                  <c:v>2064.7859922178991</c:v>
                </c:pt>
                <c:pt idx="54">
                  <c:v>2069.0661478599222</c:v>
                </c:pt>
                <c:pt idx="55">
                  <c:v>2072.5680933852141</c:v>
                </c:pt>
                <c:pt idx="56">
                  <c:v>2074.1245136186772</c:v>
                </c:pt>
                <c:pt idx="57">
                  <c:v>2076.6536964980546</c:v>
                </c:pt>
                <c:pt idx="58">
                  <c:v>2078.4046692607003</c:v>
                </c:pt>
                <c:pt idx="59">
                  <c:v>2080.5447470817121</c:v>
                </c:pt>
                <c:pt idx="60">
                  <c:v>2083.2684824902726</c:v>
                </c:pt>
                <c:pt idx="61">
                  <c:v>2085.2140077821014</c:v>
                </c:pt>
                <c:pt idx="62">
                  <c:v>2087.1595330739301</c:v>
                </c:pt>
                <c:pt idx="63">
                  <c:v>2089.1050583657589</c:v>
                </c:pt>
                <c:pt idx="64">
                  <c:v>2091.8287937743194</c:v>
                </c:pt>
                <c:pt idx="65">
                  <c:v>2093.5797665369651</c:v>
                </c:pt>
                <c:pt idx="66">
                  <c:v>2094.3579766536968</c:v>
                </c:pt>
                <c:pt idx="67">
                  <c:v>2096.1089494163425</c:v>
                </c:pt>
                <c:pt idx="68">
                  <c:v>2097.2762645914399</c:v>
                </c:pt>
                <c:pt idx="69">
                  <c:v>2099.8054474708174</c:v>
                </c:pt>
              </c:numCache>
            </c:numRef>
          </c:yVal>
          <c:smooth val="0"/>
        </c:ser>
        <c:ser>
          <c:idx val="15"/>
          <c:order val="1"/>
          <c:tx>
            <c:strRef>
              <c:f>TST!QueenslandSeriesLabel</c:f>
              <c:strCache>
                <c:ptCount val="1"/>
                <c:pt idx="0">
                  <c:v>Queensland from 15-Mar</c:v>
                </c:pt>
              </c:strCache>
            </c:strRef>
          </c:tx>
          <c:spPr>
            <a:ln w="19050" cap="rnd">
              <a:solidFill>
                <a:srgbClr val="FF0000"/>
              </a:solidFill>
              <a:round/>
            </a:ln>
            <a:effectLst/>
          </c:spPr>
          <c:marker>
            <c:symbol val="circle"/>
            <c:size val="5"/>
            <c:spPr>
              <a:solidFill>
                <a:srgbClr val="FF0000"/>
              </a:solidFill>
              <a:ln w="9525">
                <a:solidFill>
                  <a:schemeClr val="accent4">
                    <a:lumMod val="80000"/>
                    <a:lumOff val="20000"/>
                  </a:schemeClr>
                </a:solidFill>
              </a:ln>
              <a:effectLst/>
            </c:spPr>
          </c:marker>
          <c:dLbls>
            <c:dLbl>
              <c:idx val="34"/>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mn-lt"/>
                      <a:ea typeface="+mn-ea"/>
                      <a:cs typeface="+mn-cs"/>
                    </a:defRPr>
                  </a:pPr>
                  <a:endParaRPr lang="en-US"/>
                </a:p>
              </c:txPr>
              <c:dLblPos val="b"/>
              <c:showLegendKey val="0"/>
              <c:showVal val="0"/>
              <c:showCatName val="0"/>
              <c:showSerName val="0"/>
              <c:showPercent val="0"/>
              <c:showBubbleSize val="0"/>
            </c:dLbl>
            <c:dLbl>
              <c:idx val="37"/>
              <c:delete val="1"/>
              <c:extLst>
                <c:ext xmlns:c15="http://schemas.microsoft.com/office/drawing/2012/chart" uri="{CE6537A1-D6FC-4f65-9D91-7224C49458BB}"/>
              </c:extLst>
            </c:dLbl>
            <c:dLbl>
              <c:idx val="39"/>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Calibri"/>
                      <a:ea typeface="Calibri"/>
                      <a:cs typeface="Calibri"/>
                    </a:defRPr>
                  </a:pPr>
                  <a:endParaRPr lang="en-US"/>
                </a:p>
              </c:txPr>
              <c:dLblPos val="b"/>
              <c:showLegendKey val="0"/>
              <c:showVal val="0"/>
              <c:showCatName val="0"/>
              <c:showSerName val="0"/>
              <c:showPercent val="0"/>
              <c:showBubbleSize val="0"/>
            </c:dLbl>
            <c:dLbl>
              <c:idx val="41"/>
              <c:layout>
                <c:manualLayout>
                  <c:x val="4.2451129725630289E-2"/>
                  <c:y val="6.1136663258496045E-2"/>
                </c:manualLayout>
              </c:layout>
              <c:tx>
                <c:rich>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Calibri"/>
                        <a:ea typeface="Calibri"/>
                        <a:cs typeface="Calibri"/>
                      </a:defRPr>
                    </a:pPr>
                    <a:r>
                      <a:rPr lang="en-US"/>
                      <a:t>Queensland </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b"/>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TST!Queensland100Days</c:f>
              <c:numCache>
                <c:formatCode>####0</c:formatCode>
                <c:ptCount val="4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numCache>
            </c:numRef>
          </c:xVal>
          <c:yVal>
            <c:numRef>
              <c:f>TST!Queensland100Cases</c:f>
              <c:numCache>
                <c:formatCode>0.0</c:formatCode>
                <c:ptCount val="49"/>
                <c:pt idx="0">
                  <c:v>119.246572785078</c:v>
                </c:pt>
                <c:pt idx="1">
                  <c:v>132.93060572762792</c:v>
                </c:pt>
                <c:pt idx="2">
                  <c:v>152.47922421698499</c:v>
                </c:pt>
                <c:pt idx="3">
                  <c:v>183.75701379995627</c:v>
                </c:pt>
                <c:pt idx="4">
                  <c:v>281.5001062467415</c:v>
                </c:pt>
                <c:pt idx="5">
                  <c:v>359.69458020416971</c:v>
                </c:pt>
                <c:pt idx="6">
                  <c:v>432.02446861479081</c:v>
                </c:pt>
                <c:pt idx="7">
                  <c:v>506.30921887434755</c:v>
                </c:pt>
                <c:pt idx="8">
                  <c:v>623.6009298104899</c:v>
                </c:pt>
                <c:pt idx="9">
                  <c:v>776.0801540274748</c:v>
                </c:pt>
                <c:pt idx="10">
                  <c:v>866.00379907851732</c:v>
                </c:pt>
                <c:pt idx="11">
                  <c:v>963.74689152530254</c:v>
                </c:pt>
                <c:pt idx="12">
                  <c:v>1084.9483261593161</c:v>
                </c:pt>
                <c:pt idx="13">
                  <c:v>1221.7886555848156</c:v>
                </c:pt>
                <c:pt idx="14">
                  <c:v>1282.3893729018223</c:v>
                </c:pt>
                <c:pt idx="15">
                  <c:v>1346.8998139167006</c:v>
                </c:pt>
                <c:pt idx="16">
                  <c:v>1452.4623537592288</c:v>
                </c:pt>
                <c:pt idx="17">
                  <c:v>1526.7471040187854</c:v>
                </c:pt>
                <c:pt idx="18">
                  <c:v>1632.3096438613136</c:v>
                </c:pt>
                <c:pt idx="19">
                  <c:v>1706.5943941208704</c:v>
                </c:pt>
                <c:pt idx="20">
                  <c:v>1759.3756640421343</c:v>
                </c:pt>
                <c:pt idx="21">
                  <c:v>1773.0596969846843</c:v>
                </c:pt>
                <c:pt idx="22">
                  <c:v>1800.4277628697841</c:v>
                </c:pt>
                <c:pt idx="23">
                  <c:v>1825.8409669059483</c:v>
                </c:pt>
                <c:pt idx="24">
                  <c:v>1843.4347235463697</c:v>
                </c:pt>
                <c:pt idx="25">
                  <c:v>1862.9833420357268</c:v>
                </c:pt>
                <c:pt idx="26">
                  <c:v>1886.4416842229552</c:v>
                </c:pt>
                <c:pt idx="27">
                  <c:v>1904.0354408633766</c:v>
                </c:pt>
                <c:pt idx="28">
                  <c:v>1921.629197503798</c:v>
                </c:pt>
                <c:pt idx="29">
                  <c:v>1929.4486448995408</c:v>
                </c:pt>
                <c:pt idx="30">
                  <c:v>1950.9521252378336</c:v>
                </c:pt>
                <c:pt idx="31">
                  <c:v>1952.9069870867693</c:v>
                </c:pt>
                <c:pt idx="32">
                  <c:v>1956.8167107846407</c:v>
                </c:pt>
                <c:pt idx="33">
                  <c:v>1968.5458818782549</c:v>
                </c:pt>
                <c:pt idx="34">
                  <c:v>1984.1847766697404</c:v>
                </c:pt>
                <c:pt idx="35">
                  <c:v>1992.0042240654832</c:v>
                </c:pt>
                <c:pt idx="36">
                  <c:v>1992.0042240654832</c:v>
                </c:pt>
                <c:pt idx="37">
                  <c:v>2001.7785333101617</c:v>
                </c:pt>
                <c:pt idx="38">
                  <c:v>2001.7785333101617</c:v>
                </c:pt>
                <c:pt idx="39">
                  <c:v>2005.6882570080331</c:v>
                </c:pt>
                <c:pt idx="40">
                  <c:v>2005.6882570080331</c:v>
                </c:pt>
                <c:pt idx="41">
                  <c:v>2005.6882570080331</c:v>
                </c:pt>
                <c:pt idx="42">
                  <c:v>2013.507704403776</c:v>
                </c:pt>
                <c:pt idx="43">
                  <c:v>2019.3722899505831</c:v>
                </c:pt>
                <c:pt idx="44">
                  <c:v>2021.3271517995188</c:v>
                </c:pt>
                <c:pt idx="45">
                  <c:v>2019.3722899505831</c:v>
                </c:pt>
                <c:pt idx="46">
                  <c:v>2019.3722899505831</c:v>
                </c:pt>
                <c:pt idx="47">
                  <c:v>2021.3271517995188</c:v>
                </c:pt>
                <c:pt idx="48">
                  <c:v>2023.2820136484545</c:v>
                </c:pt>
              </c:numCache>
            </c:numRef>
          </c:yVal>
          <c:smooth val="0"/>
        </c:ser>
        <c:ser>
          <c:idx val="14"/>
          <c:order val="2"/>
          <c:tx>
            <c:strRef>
              <c:f>TST!VictoriaSeriesLabel</c:f>
              <c:strCache>
                <c:ptCount val="1"/>
                <c:pt idx="0">
                  <c:v>Victoria from 16-Mar</c:v>
                </c:pt>
              </c:strCache>
            </c:strRef>
          </c:tx>
          <c:spPr>
            <a:ln w="57150" cap="rnd">
              <a:solidFill>
                <a:srgbClr val="FF0000">
                  <a:alpha val="24000"/>
                </a:srgbClr>
              </a:solidFill>
              <a:prstDash val="solid"/>
              <a:round/>
            </a:ln>
            <a:effectLst/>
          </c:spPr>
          <c:marker>
            <c:symbol val="x"/>
            <c:size val="3"/>
            <c:spPr>
              <a:noFill/>
              <a:ln w="9525">
                <a:solidFill>
                  <a:schemeClr val="bg2">
                    <a:lumMod val="10000"/>
                  </a:schemeClr>
                </a:solidFill>
              </a:ln>
              <a:effectLst/>
            </c:spPr>
          </c:marker>
          <c:dLbls>
            <c:dLbl>
              <c:idx val="36"/>
              <c:delete val="1"/>
              <c:extLst>
                <c:ext xmlns:c15="http://schemas.microsoft.com/office/drawing/2012/chart" uri="{CE6537A1-D6FC-4f65-9D91-7224C49458BB}"/>
              </c:extLst>
            </c:dLbl>
            <c:dLbl>
              <c:idx val="38"/>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Calibri"/>
                      <a:ea typeface="Calibri"/>
                      <a:cs typeface="Calibri"/>
                    </a:defRPr>
                  </a:pPr>
                  <a:endParaRPr lang="en-US"/>
                </a:p>
              </c:txPr>
              <c:dLblPos val="t"/>
              <c:showLegendKey val="0"/>
              <c:showVal val="0"/>
              <c:showCatName val="0"/>
              <c:showSerName val="0"/>
              <c:showPercent val="0"/>
              <c:showBubbleSize val="0"/>
            </c:dLbl>
            <c:dLbl>
              <c:idx val="40"/>
              <c:layout>
                <c:manualLayout>
                  <c:x val="-4.2686484756169707E-2"/>
                  <c:y val="6.1136663258495968E-2"/>
                </c:manualLayout>
              </c:layout>
              <c:tx>
                <c:rich>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Calibri"/>
                        <a:ea typeface="Calibri"/>
                        <a:cs typeface="Calibri"/>
                      </a:defRPr>
                    </a:pPr>
                    <a:r>
                      <a:rPr lang="en-US"/>
                      <a:t>Victoria </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TST!Victoria100Days</c:f>
              <c:numCache>
                <c:formatCode>####0</c:formatCode>
                <c:ptCount val="4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numCache>
            </c:numRef>
          </c:xVal>
          <c:yVal>
            <c:numRef>
              <c:f>TST!Victoria100Cases</c:f>
              <c:numCache>
                <c:formatCode>0.0</c:formatCode>
                <c:ptCount val="48"/>
                <c:pt idx="0">
                  <c:v>107.10514406396138</c:v>
                </c:pt>
                <c:pt idx="1">
                  <c:v>141.80117664806153</c:v>
                </c:pt>
                <c:pt idx="2">
                  <c:v>182.53130185548346</c:v>
                </c:pt>
                <c:pt idx="3">
                  <c:v>182.53130185548346</c:v>
                </c:pt>
                <c:pt idx="4">
                  <c:v>182.53130185548346</c:v>
                </c:pt>
                <c:pt idx="5">
                  <c:v>345.45180268517117</c:v>
                </c:pt>
                <c:pt idx="6">
                  <c:v>535.52572031980685</c:v>
                </c:pt>
                <c:pt idx="7">
                  <c:v>535.52572031980685</c:v>
                </c:pt>
                <c:pt idx="8">
                  <c:v>620.00301704631158</c:v>
                </c:pt>
                <c:pt idx="9">
                  <c:v>702.97179061698591</c:v>
                </c:pt>
                <c:pt idx="10">
                  <c:v>784.43204103182984</c:v>
                </c:pt>
                <c:pt idx="11">
                  <c:v>865.89229144667365</c:v>
                </c:pt>
                <c:pt idx="12">
                  <c:v>1033.3383617438526</c:v>
                </c:pt>
                <c:pt idx="13">
                  <c:v>1160.0543068336099</c:v>
                </c:pt>
                <c:pt idx="14">
                  <c:v>1238.4975109367929</c:v>
                </c:pt>
                <c:pt idx="15">
                  <c:v>1383.3157338965152</c:v>
                </c:pt>
                <c:pt idx="16">
                  <c:v>1460.2504148438677</c:v>
                </c:pt>
                <c:pt idx="17">
                  <c:v>1562.8299894403378</c:v>
                </c:pt>
                <c:pt idx="18">
                  <c:v>1636.7476240760295</c:v>
                </c:pt>
                <c:pt idx="19">
                  <c:v>1682.0033187509428</c:v>
                </c:pt>
                <c:pt idx="20">
                  <c:v>1712.1737818675515</c:v>
                </c:pt>
                <c:pt idx="21">
                  <c:v>1746.8698144516518</c:v>
                </c:pt>
                <c:pt idx="22">
                  <c:v>1796.6510785940563</c:v>
                </c:pt>
                <c:pt idx="23">
                  <c:v>1828.3300648664956</c:v>
                </c:pt>
                <c:pt idx="24">
                  <c:v>1852.4664353597827</c:v>
                </c:pt>
                <c:pt idx="25">
                  <c:v>1872.0772363855783</c:v>
                </c:pt>
                <c:pt idx="26">
                  <c:v>1908.2817921255089</c:v>
                </c:pt>
                <c:pt idx="27">
                  <c:v>1912.8073615930002</c:v>
                </c:pt>
                <c:pt idx="28">
                  <c:v>1932.418162618796</c:v>
                </c:pt>
                <c:pt idx="29">
                  <c:v>1947.5033941771005</c:v>
                </c:pt>
                <c:pt idx="30">
                  <c:v>1959.571579423744</c:v>
                </c:pt>
                <c:pt idx="31">
                  <c:v>1959.571579423744</c:v>
                </c:pt>
                <c:pt idx="32">
                  <c:v>1964.0971488912353</c:v>
                </c:pt>
                <c:pt idx="33">
                  <c:v>1989.7420425403529</c:v>
                </c:pt>
                <c:pt idx="34">
                  <c:v>2003.3187509428269</c:v>
                </c:pt>
                <c:pt idx="35">
                  <c:v>2004.8272740986572</c:v>
                </c:pt>
                <c:pt idx="36">
                  <c:v>2015.3869361894704</c:v>
                </c:pt>
                <c:pt idx="37">
                  <c:v>2015.3869361894704</c:v>
                </c:pt>
                <c:pt idx="38">
                  <c:v>2016.8954593453009</c:v>
                </c:pt>
                <c:pt idx="39">
                  <c:v>2025.9465982802835</c:v>
                </c:pt>
                <c:pt idx="40">
                  <c:v>2030.4721677477748</c:v>
                </c:pt>
                <c:pt idx="41">
                  <c:v>2034.9977372152662</c:v>
                </c:pt>
                <c:pt idx="42">
                  <c:v>2034.9977372152662</c:v>
                </c:pt>
                <c:pt idx="43">
                  <c:v>2042.5403529944183</c:v>
                </c:pt>
                <c:pt idx="44">
                  <c:v>2053.1000150852315</c:v>
                </c:pt>
                <c:pt idx="45">
                  <c:v>2057.6255845527226</c:v>
                </c:pt>
                <c:pt idx="46">
                  <c:v>2068.1852466435357</c:v>
                </c:pt>
                <c:pt idx="47">
                  <c:v>2087.7960476693315</c:v>
                </c:pt>
              </c:numCache>
            </c:numRef>
          </c:yVal>
          <c:smooth val="0"/>
        </c:ser>
        <c:ser>
          <c:idx val="1"/>
          <c:order val="3"/>
          <c:tx>
            <c:strRef>
              <c:f>myData!NSWLabel</c:f>
              <c:strCache>
                <c:ptCount val="1"/>
                <c:pt idx="0">
                  <c:v>NSW from 13-Mar</c:v>
                </c:pt>
              </c:strCache>
            </c:strRef>
          </c:tx>
          <c:spPr>
            <a:ln w="19050" cap="rnd">
              <a:solidFill>
                <a:schemeClr val="accent1">
                  <a:lumMod val="50000"/>
                </a:schemeClr>
              </a:solidFill>
              <a:round/>
            </a:ln>
            <a:effectLst/>
          </c:spPr>
          <c:marker>
            <c:symbol val="x"/>
            <c:size val="5"/>
            <c:spPr>
              <a:noFill/>
              <a:ln w="9525">
                <a:solidFill>
                  <a:schemeClr val="accent1">
                    <a:lumMod val="50000"/>
                    <a:alpha val="90000"/>
                  </a:schemeClr>
                </a:solidFill>
              </a:ln>
              <a:effectLst/>
            </c:spPr>
          </c:marker>
          <c:dLbls>
            <c:dLbl>
              <c:idx val="44"/>
              <c:layout>
                <c:manualLayout>
                  <c:x val="3.1776151692816029E-2"/>
                  <c:y val="-4.9508335771654761E-2"/>
                </c:manualLayout>
              </c:layout>
              <c:tx>
                <c:rich>
                  <a:bodyPr rot="0" spcFirstLastPara="1" vertOverflow="ellipsis" vert="horz" wrap="square" lIns="38100" tIns="19050" rIns="38100" bIns="19050" anchor="ctr" anchorCtr="1">
                    <a:spAutoFit/>
                  </a:bodyPr>
                  <a:lstStyle/>
                  <a:p>
                    <a:pPr>
                      <a:defRPr sz="1100" b="1" i="0" u="none" strike="noStrike" kern="1200" baseline="0">
                        <a:solidFill>
                          <a:srgbClr val="2E75B6"/>
                        </a:solidFill>
                        <a:latin typeface="Calibri"/>
                        <a:ea typeface="Calibri"/>
                        <a:cs typeface="Calibri"/>
                      </a:defRPr>
                    </a:pPr>
                    <a:r>
                      <a:rPr lang="en-US"/>
                      <a:t>NSW </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2E75B6"/>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myData!NSW100Dates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myData!NSW100Cases</c:f>
              <c:numCache>
                <c:formatCode>0</c:formatCode>
                <c:ptCount val="52"/>
                <c:pt idx="0">
                  <c:v>113.86138613861385</c:v>
                </c:pt>
                <c:pt idx="1">
                  <c:v>138.61386138613861</c:v>
                </c:pt>
                <c:pt idx="2">
                  <c:v>165.84158415841583</c:v>
                </c:pt>
                <c:pt idx="3">
                  <c:v>211.63366336633663</c:v>
                </c:pt>
                <c:pt idx="4">
                  <c:v>259.9009900990099</c:v>
                </c:pt>
                <c:pt idx="5">
                  <c:v>330.44554455445541</c:v>
                </c:pt>
                <c:pt idx="6">
                  <c:v>379.95049504950492</c:v>
                </c:pt>
                <c:pt idx="7">
                  <c:v>436.88118811881185</c:v>
                </c:pt>
                <c:pt idx="8">
                  <c:v>539.60396039603961</c:v>
                </c:pt>
                <c:pt idx="9">
                  <c:v>827.97029702970292</c:v>
                </c:pt>
                <c:pt idx="10">
                  <c:v>827.97029702970292</c:v>
                </c:pt>
                <c:pt idx="11">
                  <c:v>1012.3762376237623</c:v>
                </c:pt>
                <c:pt idx="12">
                  <c:v>1273.5148514851485</c:v>
                </c:pt>
                <c:pt idx="13">
                  <c:v>1508.6633663366335</c:v>
                </c:pt>
                <c:pt idx="14">
                  <c:v>1738.8613861386139</c:v>
                </c:pt>
                <c:pt idx="15">
                  <c:v>2001.2376237623762</c:v>
                </c:pt>
                <c:pt idx="16">
                  <c:v>2216.5841584158416</c:v>
                </c:pt>
                <c:pt idx="17">
                  <c:v>2373.7623762376238</c:v>
                </c:pt>
                <c:pt idx="18">
                  <c:v>2514.8514851485147</c:v>
                </c:pt>
                <c:pt idx="19">
                  <c:v>2700.4950495049502</c:v>
                </c:pt>
                <c:pt idx="20">
                  <c:v>2844.0594059405939</c:v>
                </c:pt>
                <c:pt idx="21">
                  <c:v>2956.6831683168316</c:v>
                </c:pt>
                <c:pt idx="22">
                  <c:v>3085.3960396039602</c:v>
                </c:pt>
                <c:pt idx="23">
                  <c:v>3193.0693069306931</c:v>
                </c:pt>
                <c:pt idx="24">
                  <c:v>3263.6138613861385</c:v>
                </c:pt>
                <c:pt idx="25">
                  <c:v>3324.257425742574</c:v>
                </c:pt>
                <c:pt idx="26">
                  <c:v>3383.6633663366333</c:v>
                </c:pt>
                <c:pt idx="27">
                  <c:v>3431.9306930693069</c:v>
                </c:pt>
                <c:pt idx="28">
                  <c:v>3492.5742574257424</c:v>
                </c:pt>
                <c:pt idx="29">
                  <c:v>3535.8910891089108</c:v>
                </c:pt>
                <c:pt idx="30">
                  <c:v>3532.1782178217818</c:v>
                </c:pt>
                <c:pt idx="31">
                  <c:v>3543.3168316831679</c:v>
                </c:pt>
                <c:pt idx="32">
                  <c:v>3551.9801980198017</c:v>
                </c:pt>
                <c:pt idx="33">
                  <c:v>3571.7821782178216</c:v>
                </c:pt>
                <c:pt idx="34">
                  <c:v>3585.3960396039602</c:v>
                </c:pt>
                <c:pt idx="35">
                  <c:v>3621.287128712871</c:v>
                </c:pt>
                <c:pt idx="36">
                  <c:v>3633.6633663366333</c:v>
                </c:pt>
                <c:pt idx="37">
                  <c:v>3659.6534653465346</c:v>
                </c:pt>
                <c:pt idx="38">
                  <c:v>3667.0792079207918</c:v>
                </c:pt>
                <c:pt idx="39">
                  <c:v>3674.5049504950493</c:v>
                </c:pt>
                <c:pt idx="40">
                  <c:v>3676.9801980198017</c:v>
                </c:pt>
                <c:pt idx="41">
                  <c:v>3683.1683168316831</c:v>
                </c:pt>
                <c:pt idx="42">
                  <c:v>3690.5940594059402</c:v>
                </c:pt>
                <c:pt idx="43">
                  <c:v>3705.4455445544554</c:v>
                </c:pt>
                <c:pt idx="44">
                  <c:v>3715.3465346534649</c:v>
                </c:pt>
                <c:pt idx="45">
                  <c:v>3717.8217821782177</c:v>
                </c:pt>
                <c:pt idx="46">
                  <c:v>3724.0099009900987</c:v>
                </c:pt>
                <c:pt idx="47">
                  <c:v>3732.6732673267325</c:v>
                </c:pt>
                <c:pt idx="48">
                  <c:v>3732.6732673267325</c:v>
                </c:pt>
                <c:pt idx="49">
                  <c:v>3743.8118811881186</c:v>
                </c:pt>
                <c:pt idx="50">
                  <c:v>3751.2376237623762</c:v>
                </c:pt>
                <c:pt idx="51">
                  <c:v>3756.1881188118809</c:v>
                </c:pt>
              </c:numCache>
            </c:numRef>
          </c:yVal>
          <c:smooth val="0"/>
        </c:ser>
        <c:ser>
          <c:idx val="10"/>
          <c:order val="4"/>
          <c:tx>
            <c:strRef>
              <c:f>myData!UKLabel</c:f>
              <c:strCache>
                <c:ptCount val="1"/>
                <c:pt idx="0">
                  <c:v>United Kingdom from 12-Mar</c:v>
                </c:pt>
              </c:strCache>
            </c:strRef>
          </c:tx>
          <c:spPr>
            <a:ln w="19050" cap="rnd">
              <a:solidFill>
                <a:schemeClr val="accent4">
                  <a:lumMod val="60000"/>
                  <a:lumOff val="40000"/>
                </a:schemeClr>
              </a:solidFill>
              <a:round/>
            </a:ln>
            <a:effectLst/>
          </c:spPr>
          <c:marker>
            <c:symbol val="circle"/>
            <c:size val="5"/>
            <c:spPr>
              <a:solidFill>
                <a:schemeClr val="accent4">
                  <a:lumMod val="75000"/>
                </a:schemeClr>
              </a:solidFill>
              <a:ln w="9525">
                <a:solidFill>
                  <a:schemeClr val="accent4">
                    <a:lumMod val="75000"/>
                  </a:schemeClr>
                </a:solidFill>
              </a:ln>
              <a:effectLst/>
            </c:spPr>
          </c:marker>
          <c:dLbls>
            <c:dLbl>
              <c:idx val="43"/>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United Kingdom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myData!UK100Dates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myData!UK100Cases</c:f>
              <c:numCache>
                <c:formatCode>0.0</c:formatCode>
                <c:ptCount val="51"/>
                <c:pt idx="0">
                  <c:v>120.71041541240217</c:v>
                </c:pt>
                <c:pt idx="1">
                  <c:v>172.18543046357615</c:v>
                </c:pt>
                <c:pt idx="2">
                  <c:v>172.33594220349187</c:v>
                </c:pt>
                <c:pt idx="3">
                  <c:v>233.44370860927151</c:v>
                </c:pt>
                <c:pt idx="4">
                  <c:v>295.0030102347983</c:v>
                </c:pt>
                <c:pt idx="5">
                  <c:v>397.65201685731489</c:v>
                </c:pt>
                <c:pt idx="6">
                  <c:v>408.78988561107764</c:v>
                </c:pt>
                <c:pt idx="7">
                  <c:v>604.15412402167362</c:v>
                </c:pt>
                <c:pt idx="8">
                  <c:v>762.64298615291989</c:v>
                </c:pt>
                <c:pt idx="9">
                  <c:v>864.68994581577363</c:v>
                </c:pt>
                <c:pt idx="10">
                  <c:v>1012.3419626730885</c:v>
                </c:pt>
                <c:pt idx="11">
                  <c:v>1228.7778446718844</c:v>
                </c:pt>
                <c:pt idx="12">
                  <c:v>1450.9331727874774</c:v>
                </c:pt>
                <c:pt idx="13">
                  <c:v>1777.844671884407</c:v>
                </c:pt>
                <c:pt idx="14">
                  <c:v>2219.2956050571943</c:v>
                </c:pt>
                <c:pt idx="15">
                  <c:v>2605.6592414208308</c:v>
                </c:pt>
                <c:pt idx="16">
                  <c:v>2977.1222155328114</c:v>
                </c:pt>
                <c:pt idx="17">
                  <c:v>3379.4400963275134</c:v>
                </c:pt>
                <c:pt idx="18">
                  <c:v>3835.1896447922936</c:v>
                </c:pt>
                <c:pt idx="19">
                  <c:v>4495.0331125827815</c:v>
                </c:pt>
                <c:pt idx="20">
                  <c:v>5143.4376881396747</c:v>
                </c:pt>
                <c:pt idx="21">
                  <c:v>5823.1487055990365</c:v>
                </c:pt>
                <c:pt idx="22">
                  <c:v>6393.2871763997591</c:v>
                </c:pt>
                <c:pt idx="23">
                  <c:v>7290.1866345574954</c:v>
                </c:pt>
                <c:pt idx="24">
                  <c:v>7868.6032510535824</c:v>
                </c:pt>
                <c:pt idx="25">
                  <c:v>8420.9813365442496</c:v>
                </c:pt>
                <c:pt idx="26">
                  <c:v>9252.558699578567</c:v>
                </c:pt>
                <c:pt idx="27">
                  <c:v>9914.5093317278752</c:v>
                </c:pt>
                <c:pt idx="28">
                  <c:v>11228.9283564118</c:v>
                </c:pt>
                <c:pt idx="29">
                  <c:v>12021.974714027694</c:v>
                </c:pt>
                <c:pt idx="30">
                  <c:v>12824.503311258279</c:v>
                </c:pt>
                <c:pt idx="31">
                  <c:v>13481.336544250451</c:v>
                </c:pt>
                <c:pt idx="32">
                  <c:v>14275.285972305839</c:v>
                </c:pt>
                <c:pt idx="33">
                  <c:v>14973.359422034919</c:v>
                </c:pt>
                <c:pt idx="34">
                  <c:v>15675.045153521974</c:v>
                </c:pt>
                <c:pt idx="35">
                  <c:v>16521.523178807947</c:v>
                </c:pt>
                <c:pt idx="36">
                  <c:v>17356.110776640577</c:v>
                </c:pt>
                <c:pt idx="37">
                  <c:v>18237.808549066827</c:v>
                </c:pt>
                <c:pt idx="38">
                  <c:v>18942.805538832028</c:v>
                </c:pt>
                <c:pt idx="39">
                  <c:v>19592.414208308248</c:v>
                </c:pt>
                <c:pt idx="40">
                  <c:v>20264.599638771822</c:v>
                </c:pt>
                <c:pt idx="41">
                  <c:v>20958.15773630343</c:v>
                </c:pt>
                <c:pt idx="42">
                  <c:v>21770.018061408791</c:v>
                </c:pt>
                <c:pt idx="43" formatCode="0.000">
                  <c:v>22511.890427453342</c:v>
                </c:pt>
                <c:pt idx="44" formatCode="0.000">
                  <c:v>23184.376881396747</c:v>
                </c:pt>
                <c:pt idx="45" formatCode="0.000">
                  <c:v>23833.232992173391</c:v>
                </c:pt>
                <c:pt idx="46" formatCode="0.000">
                  <c:v>24435.580975316076</c:v>
                </c:pt>
                <c:pt idx="47" formatCode="0.000">
                  <c:v>25051.324503311258</c:v>
                </c:pt>
                <c:pt idx="48" formatCode="0.000">
                  <c:v>25960.415412402166</c:v>
                </c:pt>
                <c:pt idx="49" formatCode="0.000">
                  <c:v>26894.190246839255</c:v>
                </c:pt>
                <c:pt idx="50" formatCode="0.000">
                  <c:v>27618.904274533412</c:v>
                </c:pt>
              </c:numCache>
            </c:numRef>
          </c:yVal>
          <c:smooth val="0"/>
        </c:ser>
        <c:ser>
          <c:idx val="6"/>
          <c:order val="5"/>
          <c:tx>
            <c:strRef>
              <c:f>myData!USLabel</c:f>
              <c:strCache>
                <c:ptCount val="1"/>
                <c:pt idx="0">
                  <c:v>USA from 15-Mar</c:v>
                </c:pt>
              </c:strCache>
            </c:strRef>
          </c:tx>
          <c:spPr>
            <a:ln w="19050" cap="rnd">
              <a:solidFill>
                <a:schemeClr val="accent1">
                  <a:lumMod val="60000"/>
                </a:schemeClr>
              </a:solidFill>
              <a:round/>
            </a:ln>
            <a:effectLst/>
          </c:spPr>
          <c:marker>
            <c:symbol val="star"/>
            <c:size val="5"/>
            <c:spPr>
              <a:noFill/>
              <a:ln w="9525">
                <a:solidFill>
                  <a:schemeClr val="accent1">
                    <a:lumMod val="60000"/>
                  </a:schemeClr>
                </a:solidFill>
              </a:ln>
              <a:effectLst/>
            </c:spPr>
          </c:marker>
          <c:dLbls>
            <c:dLbl>
              <c:idx val="41"/>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USA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myData!US100Dates</c:f>
              <c:numCache>
                <c:formatCode>0</c:formatCode>
                <c:ptCount val="6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60</c:v>
                </c:pt>
                <c:pt idx="54">
                  <c:v>67</c:v>
                </c:pt>
                <c:pt idx="55">
                  <c:v>74</c:v>
                </c:pt>
                <c:pt idx="56">
                  <c:v>81</c:v>
                </c:pt>
                <c:pt idx="57">
                  <c:v>88</c:v>
                </c:pt>
                <c:pt idx="58">
                  <c:v>95</c:v>
                </c:pt>
                <c:pt idx="59">
                  <c:v>102</c:v>
                </c:pt>
                <c:pt idx="60">
                  <c:v>109</c:v>
                </c:pt>
              </c:numCache>
            </c:numRef>
          </c:xVal>
          <c:yVal>
            <c:numRef>
              <c:f>myData!US100Cases</c:f>
              <c:numCache>
                <c:formatCode>0.0</c:formatCode>
                <c:ptCount val="49"/>
                <c:pt idx="0">
                  <c:v>106.27901331256571</c:v>
                </c:pt>
                <c:pt idx="1">
                  <c:v>140.69288072700897</c:v>
                </c:pt>
                <c:pt idx="2">
                  <c:v>195.03216475564003</c:v>
                </c:pt>
                <c:pt idx="3">
                  <c:v>236.40170351863358</c:v>
                </c:pt>
                <c:pt idx="4">
                  <c:v>417.55289968786536</c:v>
                </c:pt>
                <c:pt idx="5">
                  <c:v>585.40023537384366</c:v>
                </c:pt>
                <c:pt idx="6">
                  <c:v>777.57723372440194</c:v>
                </c:pt>
                <c:pt idx="7">
                  <c:v>1010.7289073989531</c:v>
                </c:pt>
                <c:pt idx="8">
                  <c:v>1331.6921350851153</c:v>
                </c:pt>
                <c:pt idx="9">
                  <c:v>1632.1832121646273</c:v>
                </c:pt>
                <c:pt idx="10">
                  <c:v>1997.9482531220199</c:v>
                </c:pt>
                <c:pt idx="11">
                  <c:v>2546.4439440046467</c:v>
                </c:pt>
                <c:pt idx="12">
                  <c:v>3087.7409706531844</c:v>
                </c:pt>
                <c:pt idx="13">
                  <c:v>3689.3913552474405</c:v>
                </c:pt>
                <c:pt idx="14">
                  <c:v>4279.9855635496779</c:v>
                </c:pt>
                <c:pt idx="15">
                  <c:v>4915.472707455222</c:v>
                </c:pt>
                <c:pt idx="16">
                  <c:v>5715.557157202662</c:v>
                </c:pt>
                <c:pt idx="17">
                  <c:v>6477.0361122601134</c:v>
                </c:pt>
                <c:pt idx="18">
                  <c:v>7399.8015950939935</c:v>
                </c:pt>
                <c:pt idx="19">
                  <c:v>8364.0277390229439</c:v>
                </c:pt>
                <c:pt idx="20">
                  <c:v>9374.9692651967434</c:v>
                </c:pt>
                <c:pt idx="21">
                  <c:v>10230.061229408047</c:v>
                </c:pt>
                <c:pt idx="22">
                  <c:v>11126.553106493036</c:v>
                </c:pt>
                <c:pt idx="23">
                  <c:v>12062.197212260477</c:v>
                </c:pt>
                <c:pt idx="24">
                  <c:v>13019.984044722647</c:v>
                </c:pt>
                <c:pt idx="25">
                  <c:v>14056.530946210107</c:v>
                </c:pt>
                <c:pt idx="26">
                  <c:v>15081.809052630699</c:v>
                </c:pt>
                <c:pt idx="27">
                  <c:v>15988.810372015245</c:v>
                </c:pt>
                <c:pt idx="28">
                  <c:v>16867.138530906203</c:v>
                </c:pt>
                <c:pt idx="29">
                  <c:v>17635.78577608705</c:v>
                </c:pt>
                <c:pt idx="30">
                  <c:v>18457.435844426065</c:v>
                </c:pt>
                <c:pt idx="31">
                  <c:v>19328.565339082936</c:v>
                </c:pt>
                <c:pt idx="32">
                  <c:v>20277.513305333629</c:v>
                </c:pt>
                <c:pt idx="33">
                  <c:v>21252.94749610806</c:v>
                </c:pt>
                <c:pt idx="34">
                  <c:v>22239.832726613513</c:v>
                </c:pt>
                <c:pt idx="35">
                  <c:v>23048.148560358582</c:v>
                </c:pt>
                <c:pt idx="36">
                  <c:v>23823.204742895519</c:v>
                </c:pt>
                <c:pt idx="37">
                  <c:v>24659.677377252403</c:v>
                </c:pt>
                <c:pt idx="38">
                  <c:v>25524.914294434955</c:v>
                </c:pt>
                <c:pt idx="39">
                  <c:v>26400.265790478064</c:v>
                </c:pt>
                <c:pt idx="40">
                  <c:v>27499.444108213167</c:v>
                </c:pt>
                <c:pt idx="41">
                  <c:v>28495.593442479789</c:v>
                </c:pt>
                <c:pt idx="42">
                  <c:v>29334.86049502037</c:v>
                </c:pt>
                <c:pt idx="43">
                  <c:v>30015.605063857533</c:v>
                </c:pt>
                <c:pt idx="44">
                  <c:v>30756.277753090715</c:v>
                </c:pt>
                <c:pt idx="45">
                  <c:v>31586.311075980822</c:v>
                </c:pt>
                <c:pt idx="46">
                  <c:v>32482.802953065813</c:v>
                </c:pt>
                <c:pt idx="47">
                  <c:v>33516.64655870165</c:v>
                </c:pt>
                <c:pt idx="48">
                  <c:v>34399.864949414077</c:v>
                </c:pt>
              </c:numCache>
            </c:numRef>
          </c:yVal>
          <c:smooth val="0"/>
        </c:ser>
        <c:ser>
          <c:idx val="12"/>
          <c:order val="6"/>
          <c:tx>
            <c:strRef>
              <c:f>myData!TaiwanLabel</c:f>
              <c:strCache>
                <c:ptCount val="1"/>
                <c:pt idx="0">
                  <c:v>Taiwan from 15-Mar</c:v>
                </c:pt>
              </c:strCache>
            </c:strRef>
          </c:tx>
          <c:spPr>
            <a:ln w="19050" cap="rnd">
              <a:solidFill>
                <a:schemeClr val="tx2">
                  <a:lumMod val="5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Lbls>
            <c:dLbl>
              <c:idx val="30"/>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Taiwan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myData!Taiwan100Dates</c:f>
              <c:numCache>
                <c:formatCode>0</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49</c:v>
                </c:pt>
                <c:pt idx="43">
                  <c:v>56</c:v>
                </c:pt>
                <c:pt idx="44">
                  <c:v>63</c:v>
                </c:pt>
                <c:pt idx="45">
                  <c:v>70</c:v>
                </c:pt>
                <c:pt idx="46">
                  <c:v>77</c:v>
                </c:pt>
                <c:pt idx="47">
                  <c:v>84</c:v>
                </c:pt>
                <c:pt idx="48">
                  <c:v>91</c:v>
                </c:pt>
                <c:pt idx="49">
                  <c:v>98</c:v>
                </c:pt>
              </c:numCache>
            </c:numRef>
          </c:xVal>
          <c:yVal>
            <c:numRef>
              <c:f>myData!Taiwan100Cases</c:f>
              <c:numCache>
                <c:formatCode>0.00</c:formatCode>
                <c:ptCount val="38"/>
                <c:pt idx="0">
                  <c:v>105.84996640943724</c:v>
                </c:pt>
                <c:pt idx="1">
                  <c:v>112.15055964809422</c:v>
                </c:pt>
                <c:pt idx="2">
                  <c:v>118.871192435995</c:v>
                </c:pt>
                <c:pt idx="3">
                  <c:v>125.17178567465199</c:v>
                </c:pt>
                <c:pt idx="4">
                  <c:v>128.53210206860237</c:v>
                </c:pt>
                <c:pt idx="5">
                  <c:v>135.25273485650314</c:v>
                </c:pt>
                <c:pt idx="6">
                  <c:v>138.19301170120974</c:v>
                </c:pt>
                <c:pt idx="7">
                  <c:v>142.39340719364773</c:v>
                </c:pt>
                <c:pt idx="8">
                  <c:v>146.1737631368419</c:v>
                </c:pt>
                <c:pt idx="9">
                  <c:v>149.1140399815485</c:v>
                </c:pt>
                <c:pt idx="10">
                  <c:v>152.4743563754989</c:v>
                </c:pt>
                <c:pt idx="11">
                  <c:v>156.67475186793686</c:v>
                </c:pt>
                <c:pt idx="12">
                  <c:v>157.93487051566828</c:v>
                </c:pt>
                <c:pt idx="13">
                  <c:v>159.19498916339967</c:v>
                </c:pt>
                <c:pt idx="14">
                  <c:v>159.61502871264346</c:v>
                </c:pt>
                <c:pt idx="15">
                  <c:v>160.45510781113106</c:v>
                </c:pt>
                <c:pt idx="16">
                  <c:v>161.71522645886245</c:v>
                </c:pt>
                <c:pt idx="17">
                  <c:v>162.97534510659386</c:v>
                </c:pt>
                <c:pt idx="18">
                  <c:v>165.07554285281284</c:v>
                </c:pt>
                <c:pt idx="19">
                  <c:v>165.07554285281284</c:v>
                </c:pt>
                <c:pt idx="20">
                  <c:v>165.91562195130044</c:v>
                </c:pt>
                <c:pt idx="21">
                  <c:v>165.91562195130044</c:v>
                </c:pt>
                <c:pt idx="22">
                  <c:v>165.91562195130044</c:v>
                </c:pt>
                <c:pt idx="23">
                  <c:v>167.17574059903183</c:v>
                </c:pt>
                <c:pt idx="24">
                  <c:v>176.4166106823954</c:v>
                </c:pt>
                <c:pt idx="25">
                  <c:v>177.25668978088299</c:v>
                </c:pt>
                <c:pt idx="26">
                  <c:v>178.51680842861441</c:v>
                </c:pt>
                <c:pt idx="27">
                  <c:v>178.93684797785821</c:v>
                </c:pt>
                <c:pt idx="28">
                  <c:v>179.356887527102</c:v>
                </c:pt>
                <c:pt idx="29">
                  <c:v>179.7769270763458</c:v>
                </c:pt>
                <c:pt idx="30">
                  <c:v>180.1969666255896</c:v>
                </c:pt>
                <c:pt idx="31">
                  <c:v>180.1969666255896</c:v>
                </c:pt>
                <c:pt idx="32">
                  <c:v>180.1969666255896</c:v>
                </c:pt>
                <c:pt idx="33">
                  <c:v>180.1969666255896</c:v>
                </c:pt>
                <c:pt idx="34">
                  <c:v>180.1969666255896</c:v>
                </c:pt>
                <c:pt idx="35">
                  <c:v>180.1969666255896</c:v>
                </c:pt>
                <c:pt idx="36">
                  <c:v>180.1969666255896</c:v>
                </c:pt>
                <c:pt idx="37">
                  <c:v>181.45708527332098</c:v>
                </c:pt>
              </c:numCache>
            </c:numRef>
          </c:yVal>
          <c:smooth val="0"/>
        </c:ser>
        <c:ser>
          <c:idx val="2"/>
          <c:order val="7"/>
          <c:tx>
            <c:strRef>
              <c:f>myData!NZLabel</c:f>
              <c:strCache>
                <c:ptCount val="1"/>
                <c:pt idx="0">
                  <c:v>NZ from 22-Mar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Lbl>
              <c:idx val="3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0000"/>
                      </a:solidFill>
                      <a:latin typeface="Calibri"/>
                      <a:ea typeface="Calibri"/>
                      <a:cs typeface="Calibri"/>
                    </a:defRPr>
                  </a:pPr>
                  <a:endParaRPr lang="en-US"/>
                </a:p>
              </c:txPr>
              <c:dLblPos val="t"/>
              <c:showLegendKey val="0"/>
              <c:showVal val="0"/>
              <c:showCatName val="0"/>
              <c:showSerName val="0"/>
              <c:showPercent val="0"/>
              <c:showBubbleSize val="0"/>
            </c:dLbl>
            <c:dLbl>
              <c:idx val="32"/>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0000"/>
                      </a:solidFill>
                      <a:latin typeface="Calibri"/>
                      <a:ea typeface="Calibri"/>
                      <a:cs typeface="Calibri"/>
                    </a:defRPr>
                  </a:pPr>
                  <a:endParaRPr lang="en-US"/>
                </a:p>
              </c:txPr>
              <c:dLblPos val="t"/>
              <c:showLegendKey val="0"/>
              <c:showVal val="0"/>
              <c:showCatName val="0"/>
              <c:showSerName val="0"/>
              <c:showPercent val="0"/>
              <c:showBubbleSize val="0"/>
            </c:dLbl>
            <c:dLbl>
              <c:idx val="34"/>
              <c:layout>
                <c:manualLayout>
                  <c:x val="1.125138839058408E-2"/>
                  <c:y val="-5.7858901736194519E-2"/>
                </c:manualLayout>
              </c:layout>
              <c:tx>
                <c:rich>
                  <a:bodyPr rot="0" spcFirstLastPara="1" vertOverflow="ellipsis" vert="horz" wrap="square" lIns="38100" tIns="19050" rIns="38100" bIns="19050" anchor="ctr" anchorCtr="1">
                    <a:spAutoFit/>
                  </a:bodyPr>
                  <a:lstStyle/>
                  <a:p>
                    <a:pPr>
                      <a:defRPr sz="1100" b="1" i="0" u="none" strike="noStrike" kern="1200" baseline="0">
                        <a:solidFill>
                          <a:srgbClr val="000000"/>
                        </a:solidFill>
                        <a:latin typeface="Calibri"/>
                        <a:ea typeface="Calibri"/>
                        <a:cs typeface="Calibri"/>
                      </a:defRPr>
                    </a:pPr>
                    <a:r>
                      <a:rPr lang="en-US"/>
                      <a:t>NZ </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0000"/>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myData!NZ100Dates</c:f>
              <c:numCache>
                <c:formatCode>0</c:formatCode>
                <c:ptCount val="5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53</c:v>
                </c:pt>
                <c:pt idx="47">
                  <c:v>60</c:v>
                </c:pt>
                <c:pt idx="48">
                  <c:v>67</c:v>
                </c:pt>
                <c:pt idx="49">
                  <c:v>74</c:v>
                </c:pt>
                <c:pt idx="50">
                  <c:v>81</c:v>
                </c:pt>
                <c:pt idx="51">
                  <c:v>88</c:v>
                </c:pt>
                <c:pt idx="52">
                  <c:v>95</c:v>
                </c:pt>
                <c:pt idx="53">
                  <c:v>102</c:v>
                </c:pt>
              </c:numCache>
            </c:numRef>
          </c:xVal>
          <c:yVal>
            <c:numRef>
              <c:f>myData!NZ100Cases</c:f>
              <c:numCache>
                <c:formatCode>0.0</c:formatCode>
                <c:ptCount val="42"/>
                <c:pt idx="0">
                  <c:v>195.02868068833652</c:v>
                </c:pt>
                <c:pt idx="1">
                  <c:v>195.02868068833652</c:v>
                </c:pt>
                <c:pt idx="2">
                  <c:v>296.36711281070745</c:v>
                </c:pt>
                <c:pt idx="3">
                  <c:v>391.96940726577435</c:v>
                </c:pt>
                <c:pt idx="4">
                  <c:v>541.10898661567876</c:v>
                </c:pt>
                <c:pt idx="5">
                  <c:v>703.63288718929255</c:v>
                </c:pt>
                <c:pt idx="6">
                  <c:v>862.33269598470361</c:v>
                </c:pt>
                <c:pt idx="7">
                  <c:v>982.79158699808795</c:v>
                </c:pt>
                <c:pt idx="8">
                  <c:v>1126.1950286806882</c:v>
                </c:pt>
                <c:pt idx="9">
                  <c:v>1237.093690248566</c:v>
                </c:pt>
                <c:pt idx="10">
                  <c:v>1353.7284894837476</c:v>
                </c:pt>
                <c:pt idx="11">
                  <c:v>1523.9005736137667</c:v>
                </c:pt>
                <c:pt idx="12">
                  <c:v>1659.6558317399617</c:v>
                </c:pt>
                <c:pt idx="13">
                  <c:v>1816.4435946462715</c:v>
                </c:pt>
                <c:pt idx="14">
                  <c:v>1986.6156787762905</c:v>
                </c:pt>
                <c:pt idx="15">
                  <c:v>2114.72275334608</c:v>
                </c:pt>
                <c:pt idx="16">
                  <c:v>2217.9732313575523</c:v>
                </c:pt>
                <c:pt idx="17">
                  <c:v>2313.5755258126196</c:v>
                </c:pt>
                <c:pt idx="18">
                  <c:v>2369.024856596558</c:v>
                </c:pt>
                <c:pt idx="19">
                  <c:v>2453.1548757170171</c:v>
                </c:pt>
                <c:pt idx="20">
                  <c:v>2508.604206500956</c:v>
                </c:pt>
                <c:pt idx="21">
                  <c:v>2543.0210325047801</c:v>
                </c:pt>
                <c:pt idx="22">
                  <c:v>2579.3499043977054</c:v>
                </c:pt>
                <c:pt idx="23">
                  <c:v>2611.8546845124283</c:v>
                </c:pt>
                <c:pt idx="24">
                  <c:v>2650.0956022944551</c:v>
                </c:pt>
                <c:pt idx="25">
                  <c:v>2678.7762906309749</c:v>
                </c:pt>
                <c:pt idx="26">
                  <c:v>2694.0726577437858</c:v>
                </c:pt>
                <c:pt idx="27">
                  <c:v>2718.9292543021033</c:v>
                </c:pt>
                <c:pt idx="28">
                  <c:v>2736.1376673040154</c:v>
                </c:pt>
                <c:pt idx="29">
                  <c:v>2753.3460803059274</c:v>
                </c:pt>
                <c:pt idx="30">
                  <c:v>2762.906309751434</c:v>
                </c:pt>
                <c:pt idx="31">
                  <c:v>2774.3785850860418</c:v>
                </c:pt>
                <c:pt idx="32">
                  <c:v>2783.9388145315488</c:v>
                </c:pt>
                <c:pt idx="33">
                  <c:v>2793.4990439770554</c:v>
                </c:pt>
                <c:pt idx="34">
                  <c:v>2810.7074569789675</c:v>
                </c:pt>
                <c:pt idx="35">
                  <c:v>2808.7954110898659</c:v>
                </c:pt>
                <c:pt idx="36">
                  <c:v>2814.5315487571702</c:v>
                </c:pt>
                <c:pt idx="37">
                  <c:v>2818.3556405353729</c:v>
                </c:pt>
                <c:pt idx="38">
                  <c:v>2822.1797323135756</c:v>
                </c:pt>
                <c:pt idx="39">
                  <c:v>2827.9158699808795</c:v>
                </c:pt>
                <c:pt idx="40">
                  <c:v>2839.3881453154872</c:v>
                </c:pt>
                <c:pt idx="41">
                  <c:v>2843.21223709369</c:v>
                </c:pt>
              </c:numCache>
            </c:numRef>
          </c:yVal>
          <c:smooth val="0"/>
        </c:ser>
        <c:ser>
          <c:idx val="9"/>
          <c:order val="8"/>
          <c:tx>
            <c:strRef>
              <c:f>TST!JapanSeriesLabel</c:f>
              <c:strCache>
                <c:ptCount val="1"/>
                <c:pt idx="0">
                  <c:v>Japan from 25-Mar</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dLbls>
            <c:dLbl>
              <c:idx val="31"/>
              <c:tx>
                <c:rich>
                  <a:bodyPr rot="0" spcFirstLastPara="1" vertOverflow="ellipsis" vert="horz" wrap="square" lIns="38100" tIns="19050" rIns="38100" bIns="19050" anchor="ctr" anchorCtr="1">
                    <a:spAutoFit/>
                  </a:bodyPr>
                  <a:lstStyle/>
                  <a:p>
                    <a:pPr>
                      <a:defRPr sz="1100" b="1" i="0" u="none" strike="noStrike" kern="1200" baseline="0">
                        <a:solidFill>
                          <a:srgbClr val="7F6000"/>
                        </a:solidFill>
                        <a:latin typeface="Calibri"/>
                        <a:ea typeface="Calibri"/>
                        <a:cs typeface="Calibri"/>
                      </a:defRPr>
                    </a:pPr>
                    <a:r>
                      <a:rPr lang="en-US"/>
                      <a:t>Japan </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7F6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TST!Japan100Days</c:f>
              <c:numCache>
                <c:formatCode>####0</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numCache>
            </c:numRef>
          </c:xVal>
          <c:yVal>
            <c:numRef>
              <c:f>TST!Japan100Cases</c:f>
              <c:numCache>
                <c:formatCode>0.0</c:formatCode>
                <c:ptCount val="39"/>
                <c:pt idx="0">
                  <c:v>103.27590621387739</c:v>
                </c:pt>
                <c:pt idx="1">
                  <c:v>109.59730827746591</c:v>
                </c:pt>
                <c:pt idx="2">
                  <c:v>115.99772786684927</c:v>
                </c:pt>
                <c:pt idx="3">
                  <c:v>133.77667117069197</c:v>
                </c:pt>
                <c:pt idx="4">
                  <c:v>147.44670313320216</c:v>
                </c:pt>
                <c:pt idx="5">
                  <c:v>147.44670313320216</c:v>
                </c:pt>
                <c:pt idx="6">
                  <c:v>154.32122787735466</c:v>
                </c:pt>
                <c:pt idx="7">
                  <c:v>172.10017118119737</c:v>
                </c:pt>
                <c:pt idx="8">
                  <c:v>197.14872685816687</c:v>
                </c:pt>
                <c:pt idx="9">
                  <c:v>206.78886500513934</c:v>
                </c:pt>
                <c:pt idx="10">
                  <c:v>248.03601347005443</c:v>
                </c:pt>
                <c:pt idx="11">
                  <c:v>248.03601347005443</c:v>
                </c:pt>
                <c:pt idx="12">
                  <c:v>288.73003925440548</c:v>
                </c:pt>
                <c:pt idx="13">
                  <c:v>308.64245575470932</c:v>
                </c:pt>
                <c:pt idx="14">
                  <c:v>336.37760730870394</c:v>
                </c:pt>
                <c:pt idx="15">
                  <c:v>368.77479288459512</c:v>
                </c:pt>
                <c:pt idx="16">
                  <c:v>436.96691764555624</c:v>
                </c:pt>
                <c:pt idx="17">
                  <c:v>474.50024239811302</c:v>
                </c:pt>
                <c:pt idx="18">
                  <c:v>533.2102640636914</c:v>
                </c:pt>
                <c:pt idx="19">
                  <c:v>582.35916510809204</c:v>
                </c:pt>
                <c:pt idx="20">
                  <c:v>604.08898470167765</c:v>
                </c:pt>
                <c:pt idx="21">
                  <c:v>640.0419589383373</c:v>
                </c:pt>
                <c:pt idx="22">
                  <c:v>681.6051775064318</c:v>
                </c:pt>
                <c:pt idx="23">
                  <c:v>773.34452495426012</c:v>
                </c:pt>
                <c:pt idx="24">
                  <c:v>813.56444558384203</c:v>
                </c:pt>
                <c:pt idx="25">
                  <c:v>853.15222600706522</c:v>
                </c:pt>
                <c:pt idx="26">
                  <c:v>853.15222600706522</c:v>
                </c:pt>
                <c:pt idx="27">
                  <c:v>879.86014972572661</c:v>
                </c:pt>
                <c:pt idx="28">
                  <c:v>909.64975695038754</c:v>
                </c:pt>
                <c:pt idx="29">
                  <c:v>977.28875903078472</c:v>
                </c:pt>
                <c:pt idx="30">
                  <c:v>1013.7158384222134</c:v>
                </c:pt>
                <c:pt idx="31">
                  <c:v>1045.4808837917458</c:v>
                </c:pt>
                <c:pt idx="32">
                  <c:v>1062.0745642086656</c:v>
                </c:pt>
                <c:pt idx="33">
                  <c:v>1118.3350425746034</c:v>
                </c:pt>
                <c:pt idx="34">
                  <c:v>1085.3847343181483</c:v>
                </c:pt>
                <c:pt idx="35">
                  <c:v>1097.9485209195304</c:v>
                </c:pt>
                <c:pt idx="36">
                  <c:v>1113.1989033979378</c:v>
                </c:pt>
                <c:pt idx="37">
                  <c:v>1130.3457064954216</c:v>
                </c:pt>
                <c:pt idx="38">
                  <c:v>1151.3643683568534</c:v>
                </c:pt>
              </c:numCache>
            </c:numRef>
          </c:yVal>
          <c:smooth val="0"/>
        </c:ser>
        <c:ser>
          <c:idx val="4"/>
          <c:order val="9"/>
          <c:tx>
            <c:strRef>
              <c:f>TST!TasmaniaSeriesLabel</c:f>
              <c:strCache>
                <c:ptCount val="1"/>
                <c:pt idx="0">
                  <c:v>Tasmania from 15-Mar</c:v>
                </c:pt>
              </c:strCache>
            </c:strRef>
          </c:tx>
          <c:spPr>
            <a:ln w="19050" cap="rnd">
              <a:solidFill>
                <a:schemeClr val="accent1">
                  <a:lumMod val="60000"/>
                  <a:lumOff val="40000"/>
                </a:schemeClr>
              </a:solidFill>
              <a:round/>
            </a:ln>
            <a:effectLst/>
          </c:spPr>
          <c:marker>
            <c:symbol val="circle"/>
            <c:size val="5"/>
            <c:spPr>
              <a:solidFill>
                <a:schemeClr val="accent5"/>
              </a:solidFill>
              <a:ln w="9525">
                <a:solidFill>
                  <a:schemeClr val="accent5"/>
                </a:solidFill>
              </a:ln>
              <a:effectLst/>
            </c:spPr>
          </c:marker>
          <c:dLbls>
            <c:dLbl>
              <c:idx val="41"/>
              <c:layout>
                <c:manualLayout>
                  <c:x val="-7.2767564617899877E-2"/>
                  <c:y val="-5.1595977262789701E-2"/>
                </c:manualLayout>
              </c:layout>
              <c:tx>
                <c:rich>
                  <a:bodyPr rot="0" spcFirstLastPara="1" vertOverflow="ellipsis" vert="horz" wrap="square" lIns="38100" tIns="19050" rIns="38100" bIns="19050" anchor="ctr" anchorCtr="1">
                    <a:spAutoFit/>
                  </a:bodyPr>
                  <a:lstStyle/>
                  <a:p>
                    <a:pPr>
                      <a:defRPr sz="1100" b="1" i="0" u="none" strike="noStrike" kern="1200" baseline="0">
                        <a:solidFill>
                          <a:srgbClr val="2E75B6"/>
                        </a:solidFill>
                        <a:latin typeface="Calibri"/>
                        <a:ea typeface="Calibri"/>
                        <a:cs typeface="Calibri"/>
                      </a:defRPr>
                    </a:pPr>
                    <a:r>
                      <a:rPr lang="en-US"/>
                      <a:t>Tasmania </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2E75B6"/>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TST!Tasmania100Days</c:f>
              <c:numCache>
                <c:formatCode>####0</c:formatCode>
                <c:ptCount val="4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numCache>
            </c:numRef>
          </c:xVal>
          <c:yVal>
            <c:numRef>
              <c:f>TST!Tasmania100Cases</c:f>
              <c:numCache>
                <c:formatCode>0.0</c:formatCode>
                <c:ptCount val="49"/>
                <c:pt idx="0">
                  <c:v>116.50485436893204</c:v>
                </c:pt>
                <c:pt idx="1">
                  <c:v>135.92233009708738</c:v>
                </c:pt>
                <c:pt idx="2">
                  <c:v>135.92233009708738</c:v>
                </c:pt>
                <c:pt idx="3">
                  <c:v>194.17475728155341</c:v>
                </c:pt>
                <c:pt idx="4">
                  <c:v>194.17475728155341</c:v>
                </c:pt>
                <c:pt idx="5">
                  <c:v>194.17475728155341</c:v>
                </c:pt>
                <c:pt idx="6">
                  <c:v>310.67961165048547</c:v>
                </c:pt>
                <c:pt idx="7">
                  <c:v>427.18446601941753</c:v>
                </c:pt>
                <c:pt idx="8">
                  <c:v>543.68932038834953</c:v>
                </c:pt>
                <c:pt idx="9">
                  <c:v>543.68932038834953</c:v>
                </c:pt>
                <c:pt idx="10">
                  <c:v>699.02912621359224</c:v>
                </c:pt>
                <c:pt idx="11">
                  <c:v>912.62135922330106</c:v>
                </c:pt>
                <c:pt idx="12">
                  <c:v>912.62135922330106</c:v>
                </c:pt>
                <c:pt idx="13">
                  <c:v>1203.8834951456311</c:v>
                </c:pt>
                <c:pt idx="14">
                  <c:v>1281.5533980582525</c:v>
                </c:pt>
                <c:pt idx="15">
                  <c:v>1281.5533980582525</c:v>
                </c:pt>
                <c:pt idx="16">
                  <c:v>1339.8058252427186</c:v>
                </c:pt>
                <c:pt idx="17">
                  <c:v>1339.8058252427186</c:v>
                </c:pt>
                <c:pt idx="18">
                  <c:v>1398.0582524271845</c:v>
                </c:pt>
                <c:pt idx="19">
                  <c:v>1436.8932038834953</c:v>
                </c:pt>
                <c:pt idx="20">
                  <c:v>1553.3980582524273</c:v>
                </c:pt>
                <c:pt idx="21">
                  <c:v>1592.2330097087379</c:v>
                </c:pt>
                <c:pt idx="22">
                  <c:v>1669.9029126213593</c:v>
                </c:pt>
                <c:pt idx="23">
                  <c:v>1728.1553398058254</c:v>
                </c:pt>
                <c:pt idx="24">
                  <c:v>1902.9126213592233</c:v>
                </c:pt>
                <c:pt idx="25">
                  <c:v>2155.3398058252428</c:v>
                </c:pt>
                <c:pt idx="26">
                  <c:v>2368.9320388349515</c:v>
                </c:pt>
                <c:pt idx="27">
                  <c:v>2582.5242718446602</c:v>
                </c:pt>
                <c:pt idx="28">
                  <c:v>2582.5242718446602</c:v>
                </c:pt>
                <c:pt idx="29">
                  <c:v>2796.1165048543689</c:v>
                </c:pt>
                <c:pt idx="30">
                  <c:v>3203.8834951456311</c:v>
                </c:pt>
                <c:pt idx="31">
                  <c:v>3203.8834951456311</c:v>
                </c:pt>
                <c:pt idx="32">
                  <c:v>3281.5533980582527</c:v>
                </c:pt>
                <c:pt idx="33">
                  <c:v>3495.1456310679614</c:v>
                </c:pt>
                <c:pt idx="34">
                  <c:v>3650.4854368932042</c:v>
                </c:pt>
                <c:pt idx="35">
                  <c:v>3786.4077669902913</c:v>
                </c:pt>
                <c:pt idx="36">
                  <c:v>3883.4951456310682</c:v>
                </c:pt>
                <c:pt idx="37">
                  <c:v>3902.9126213592235</c:v>
                </c:pt>
                <c:pt idx="38">
                  <c:v>3980.5825242718447</c:v>
                </c:pt>
                <c:pt idx="39">
                  <c:v>4019.4174757281558</c:v>
                </c:pt>
                <c:pt idx="40">
                  <c:v>4019.4174757281558</c:v>
                </c:pt>
                <c:pt idx="41">
                  <c:v>4019.4174757281558</c:v>
                </c:pt>
                <c:pt idx="42">
                  <c:v>4116.5048543689327</c:v>
                </c:pt>
                <c:pt idx="43">
                  <c:v>4155.3398058252433</c:v>
                </c:pt>
                <c:pt idx="44">
                  <c:v>4233.0097087378645</c:v>
                </c:pt>
                <c:pt idx="45">
                  <c:v>4252.4271844660198</c:v>
                </c:pt>
                <c:pt idx="46">
                  <c:v>4291.2621359223303</c:v>
                </c:pt>
                <c:pt idx="47">
                  <c:v>4291.2621359223303</c:v>
                </c:pt>
                <c:pt idx="48">
                  <c:v>4291.2621359223303</c:v>
                </c:pt>
              </c:numCache>
            </c:numRef>
          </c:yVal>
          <c:smooth val="0"/>
        </c:ser>
        <c:ser>
          <c:idx val="5"/>
          <c:order val="10"/>
          <c:tx>
            <c:strRef>
              <c:f>TST!SouthAustraliaSeriesLabel</c:f>
              <c:strCache>
                <c:ptCount val="1"/>
                <c:pt idx="0">
                  <c:v>South Australia from 14-Mar</c:v>
                </c:pt>
              </c:strCache>
            </c:strRef>
          </c:tx>
          <c:spPr>
            <a:ln w="15875" cap="rnd">
              <a:solidFill>
                <a:schemeClr val="accent1">
                  <a:lumMod val="40000"/>
                  <a:lumOff val="60000"/>
                </a:schemeClr>
              </a:solidFill>
              <a:round/>
            </a:ln>
            <a:effectLst/>
          </c:spPr>
          <c:marker>
            <c:symbol val="x"/>
            <c:size val="3"/>
            <c:spPr>
              <a:noFill/>
              <a:ln w="9525">
                <a:solidFill>
                  <a:schemeClr val="accent1">
                    <a:lumMod val="60000"/>
                    <a:lumOff val="40000"/>
                  </a:schemeClr>
                </a:solidFill>
              </a:ln>
              <a:effectLst/>
            </c:spPr>
          </c:marker>
          <c:dLbls>
            <c:dLbl>
              <c:idx val="38"/>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2E75B6"/>
                      </a:solidFill>
                      <a:latin typeface="Calibri"/>
                      <a:ea typeface="Calibri"/>
                      <a:cs typeface="Calibri"/>
                    </a:defRPr>
                  </a:pPr>
                  <a:endParaRPr lang="en-US"/>
                </a:p>
              </c:txPr>
              <c:dLblPos val="t"/>
              <c:showLegendKey val="0"/>
              <c:showVal val="0"/>
              <c:showCatName val="0"/>
              <c:showSerName val="0"/>
              <c:showPercent val="0"/>
              <c:showBubbleSize val="0"/>
            </c:dLbl>
            <c:dLbl>
              <c:idx val="4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2E75B6"/>
                      </a:solidFill>
                      <a:latin typeface="Calibri"/>
                      <a:ea typeface="Calibri"/>
                      <a:cs typeface="Calibri"/>
                    </a:defRPr>
                  </a:pPr>
                  <a:endParaRPr lang="en-US"/>
                </a:p>
              </c:txPr>
              <c:dLblPos val="t"/>
              <c:showLegendKey val="0"/>
              <c:showVal val="0"/>
              <c:showCatName val="0"/>
              <c:showSerName val="0"/>
              <c:showPercent val="0"/>
              <c:showBubbleSize val="0"/>
            </c:dLbl>
            <c:dLbl>
              <c:idx val="42"/>
              <c:layout>
                <c:manualLayout>
                  <c:x val="3.7400073474596479E-2"/>
                  <c:y val="-4.1157769807115156E-2"/>
                </c:manualLayout>
              </c:layout>
              <c:tx>
                <c:rich>
                  <a:bodyPr rot="0" spcFirstLastPara="1" vertOverflow="ellipsis" vert="horz" wrap="square" lIns="38100" tIns="19050" rIns="38100" bIns="19050" anchor="ctr" anchorCtr="1">
                    <a:spAutoFit/>
                  </a:bodyPr>
                  <a:lstStyle/>
                  <a:p>
                    <a:pPr>
                      <a:defRPr sz="1100" b="1" i="0" u="none" strike="noStrike" kern="1200" baseline="0">
                        <a:solidFill>
                          <a:srgbClr val="2E75B6"/>
                        </a:solidFill>
                        <a:latin typeface="Calibri"/>
                        <a:ea typeface="Calibri"/>
                        <a:cs typeface="Calibri"/>
                      </a:defRPr>
                    </a:pPr>
                    <a:r>
                      <a:rPr lang="en-US"/>
                      <a:t>South Australia </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2E75B6"/>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TST!SouthAustralia100Days</c:f>
              <c:numCache>
                <c:formatCode>####0</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TST!SouthAustralia100Cases</c:f>
              <c:numCache>
                <c:formatCode>0.0</c:formatCode>
                <c:ptCount val="50"/>
                <c:pt idx="0">
                  <c:v>113.77245508982035</c:v>
                </c:pt>
                <c:pt idx="1">
                  <c:v>119.76047904191616</c:v>
                </c:pt>
                <c:pt idx="2">
                  <c:v>173.65269461077844</c:v>
                </c:pt>
                <c:pt idx="3">
                  <c:v>173.65269461077844</c:v>
                </c:pt>
                <c:pt idx="4">
                  <c:v>221.55688622754491</c:v>
                </c:pt>
                <c:pt idx="5">
                  <c:v>251.49700598802394</c:v>
                </c:pt>
                <c:pt idx="6">
                  <c:v>299.40119760479041</c:v>
                </c:pt>
                <c:pt idx="7">
                  <c:v>401.19760479041912</c:v>
                </c:pt>
                <c:pt idx="8">
                  <c:v>598.80239520958082</c:v>
                </c:pt>
                <c:pt idx="9">
                  <c:v>802.39520958083824</c:v>
                </c:pt>
                <c:pt idx="10">
                  <c:v>1017.9640718562873</c:v>
                </c:pt>
                <c:pt idx="11">
                  <c:v>1017.9640718562873</c:v>
                </c:pt>
                <c:pt idx="12">
                  <c:v>1407.1856287425148</c:v>
                </c:pt>
                <c:pt idx="13">
                  <c:v>1538.9221556886228</c:v>
                </c:pt>
                <c:pt idx="14">
                  <c:v>1718.5628742514969</c:v>
                </c:pt>
                <c:pt idx="15">
                  <c:v>1790.4191616766466</c:v>
                </c:pt>
                <c:pt idx="16">
                  <c:v>1826.3473053892214</c:v>
                </c:pt>
                <c:pt idx="17">
                  <c:v>2017.9640718562873</c:v>
                </c:pt>
                <c:pt idx="18">
                  <c:v>2197.6047904191614</c:v>
                </c:pt>
                <c:pt idx="19">
                  <c:v>2197.6047904191614</c:v>
                </c:pt>
                <c:pt idx="20">
                  <c:v>2371.2574850299402</c:v>
                </c:pt>
                <c:pt idx="21">
                  <c:v>2437.1257485029937</c:v>
                </c:pt>
                <c:pt idx="22">
                  <c:v>2437.1257485029937</c:v>
                </c:pt>
                <c:pt idx="23">
                  <c:v>2461.0778443113772</c:v>
                </c:pt>
                <c:pt idx="24">
                  <c:v>2461.0778443113772</c:v>
                </c:pt>
                <c:pt idx="25">
                  <c:v>2485.0299401197603</c:v>
                </c:pt>
                <c:pt idx="26">
                  <c:v>2514.9700598802392</c:v>
                </c:pt>
                <c:pt idx="27">
                  <c:v>2562.8742514970058</c:v>
                </c:pt>
                <c:pt idx="28">
                  <c:v>2568.8622754491016</c:v>
                </c:pt>
                <c:pt idx="29">
                  <c:v>2568.8622754491016</c:v>
                </c:pt>
                <c:pt idx="30">
                  <c:v>2568.8622754491016</c:v>
                </c:pt>
                <c:pt idx="31">
                  <c:v>2592.8143712574847</c:v>
                </c:pt>
                <c:pt idx="32">
                  <c:v>2592.8143712574847</c:v>
                </c:pt>
                <c:pt idx="33">
                  <c:v>2592.8143712574847</c:v>
                </c:pt>
                <c:pt idx="34">
                  <c:v>2604.7904191616767</c:v>
                </c:pt>
                <c:pt idx="35">
                  <c:v>2604.7904191616767</c:v>
                </c:pt>
                <c:pt idx="36">
                  <c:v>2604.7904191616767</c:v>
                </c:pt>
                <c:pt idx="37">
                  <c:v>2604.7904191616767</c:v>
                </c:pt>
                <c:pt idx="38">
                  <c:v>2616.7664670658683</c:v>
                </c:pt>
                <c:pt idx="39">
                  <c:v>2622.754491017964</c:v>
                </c:pt>
                <c:pt idx="40">
                  <c:v>2622.754491017964</c:v>
                </c:pt>
                <c:pt idx="41">
                  <c:v>2622.754491017964</c:v>
                </c:pt>
                <c:pt idx="42">
                  <c:v>2622.754491017964</c:v>
                </c:pt>
                <c:pt idx="43">
                  <c:v>2622.754491017964</c:v>
                </c:pt>
                <c:pt idx="44">
                  <c:v>2622.754491017964</c:v>
                </c:pt>
                <c:pt idx="45">
                  <c:v>2622.754491017964</c:v>
                </c:pt>
                <c:pt idx="46">
                  <c:v>2622.754491017964</c:v>
                </c:pt>
                <c:pt idx="47">
                  <c:v>2622.754491017964</c:v>
                </c:pt>
                <c:pt idx="48">
                  <c:v>2622.754491017964</c:v>
                </c:pt>
                <c:pt idx="49">
                  <c:v>2622.754491017964</c:v>
                </c:pt>
              </c:numCache>
            </c:numRef>
          </c:yVal>
          <c:smooth val="0"/>
        </c:ser>
        <c:ser>
          <c:idx val="8"/>
          <c:order val="11"/>
          <c:tx>
            <c:strRef>
              <c:f>TST!WesternAustraliaSeriesLabel</c:f>
              <c:strCache>
                <c:ptCount val="1"/>
                <c:pt idx="0">
                  <c:v>Western Australia from 16-Mar</c:v>
                </c:pt>
              </c:strCache>
            </c:strRef>
          </c:tx>
          <c:spPr>
            <a:ln w="1905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dLbls>
            <c:dLbl>
              <c:idx val="40"/>
              <c:layout>
                <c:manualLayout>
                  <c:x val="-0.11288931331329616"/>
                  <c:y val="-4.3245411298249999E-2"/>
                </c:manualLayout>
              </c:layout>
              <c:tx>
                <c:rich>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Calibri"/>
                        <a:ea typeface="Calibri"/>
                        <a:cs typeface="Calibri"/>
                      </a:defRPr>
                    </a:pPr>
                    <a:r>
                      <a:rPr lang="en-US"/>
                      <a:t>Western </a:t>
                    </a:r>
                  </a:p>
                  <a:p>
                    <a:pPr>
                      <a:defRPr sz="1100" b="1">
                        <a:solidFill>
                          <a:srgbClr val="FF0000"/>
                        </a:solidFill>
                        <a:latin typeface="Calibri"/>
                        <a:ea typeface="Calibri"/>
                        <a:cs typeface="Calibri"/>
                      </a:defRPr>
                    </a:pPr>
                    <a:r>
                      <a:rPr lang="en-US"/>
                      <a:t>Australia </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TST!WesternAustralia100Days</c:f>
              <c:numCache>
                <c:formatCode>####0</c:formatCode>
                <c:ptCount val="4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numCache>
            </c:numRef>
          </c:xVal>
          <c:yVal>
            <c:numRef>
              <c:f>TST!WesternAustralia100Cases</c:f>
              <c:numCache>
                <c:formatCode>0.0</c:formatCode>
                <c:ptCount val="48"/>
                <c:pt idx="0">
                  <c:v>108.14986481266898</c:v>
                </c:pt>
                <c:pt idx="1">
                  <c:v>119.73735032831208</c:v>
                </c:pt>
                <c:pt idx="2">
                  <c:v>135.18733101583621</c:v>
                </c:pt>
                <c:pt idx="3">
                  <c:v>200.84974893781381</c:v>
                </c:pt>
                <c:pt idx="4">
                  <c:v>247.19969100038622</c:v>
                </c:pt>
                <c:pt idx="5">
                  <c:v>347.62456546929315</c:v>
                </c:pt>
                <c:pt idx="6">
                  <c:v>463.49942062572416</c:v>
                </c:pt>
                <c:pt idx="7">
                  <c:v>540.74932406334483</c:v>
                </c:pt>
                <c:pt idx="8">
                  <c:v>675.93665507918115</c:v>
                </c:pt>
                <c:pt idx="9">
                  <c:v>675.93665507918115</c:v>
                </c:pt>
                <c:pt idx="10">
                  <c:v>892.23638470451908</c:v>
                </c:pt>
                <c:pt idx="11">
                  <c:v>892.23638470451908</c:v>
                </c:pt>
                <c:pt idx="12">
                  <c:v>1073.7736577829278</c:v>
                </c:pt>
                <c:pt idx="13">
                  <c:v>1201.2359984550019</c:v>
                </c:pt>
                <c:pt idx="14">
                  <c:v>1371.1857860177674</c:v>
                </c:pt>
                <c:pt idx="15">
                  <c:v>1405.9482425646968</c:v>
                </c:pt>
                <c:pt idx="16">
                  <c:v>1514.0981073773657</c:v>
                </c:pt>
                <c:pt idx="17">
                  <c:v>1544.9980687524139</c:v>
                </c:pt>
                <c:pt idx="18">
                  <c:v>1544.9980687524139</c:v>
                </c:pt>
                <c:pt idx="19">
                  <c:v>1684.0478949401313</c:v>
                </c:pt>
                <c:pt idx="20">
                  <c:v>1749.7103128621088</c:v>
                </c:pt>
                <c:pt idx="21">
                  <c:v>1776.7477790652761</c:v>
                </c:pt>
                <c:pt idx="22">
                  <c:v>1776.7477790652761</c:v>
                </c:pt>
                <c:pt idx="23">
                  <c:v>1857.8601776747778</c:v>
                </c:pt>
                <c:pt idx="24">
                  <c:v>1911.9351100811123</c:v>
                </c:pt>
                <c:pt idx="25">
                  <c:v>1954.4225569718037</c:v>
                </c:pt>
                <c:pt idx="26">
                  <c:v>1985.3225183468519</c:v>
                </c:pt>
                <c:pt idx="27">
                  <c:v>1985.3225183468519</c:v>
                </c:pt>
                <c:pt idx="28">
                  <c:v>1996.9100038624949</c:v>
                </c:pt>
                <c:pt idx="29">
                  <c:v>2035.5349555813054</c:v>
                </c:pt>
                <c:pt idx="30">
                  <c:v>2035.5349555813054</c:v>
                </c:pt>
                <c:pt idx="31">
                  <c:v>2054.8474314407104</c:v>
                </c:pt>
                <c:pt idx="32">
                  <c:v>2089.6098879876399</c:v>
                </c:pt>
                <c:pt idx="33">
                  <c:v>2101.197373503283</c:v>
                </c:pt>
                <c:pt idx="34">
                  <c:v>2105.0598686751641</c:v>
                </c:pt>
                <c:pt idx="35">
                  <c:v>2105.0598686751641</c:v>
                </c:pt>
                <c:pt idx="36">
                  <c:v>2108.9223638470448</c:v>
                </c:pt>
                <c:pt idx="37">
                  <c:v>2108.9223638470448</c:v>
                </c:pt>
                <c:pt idx="38">
                  <c:v>2108.9223638470448</c:v>
                </c:pt>
                <c:pt idx="39">
                  <c:v>2116.6473541908072</c:v>
                </c:pt>
                <c:pt idx="40">
                  <c:v>2120.5098493626883</c:v>
                </c:pt>
                <c:pt idx="41">
                  <c:v>2120.5098493626883</c:v>
                </c:pt>
                <c:pt idx="42">
                  <c:v>2120.5098493626883</c:v>
                </c:pt>
                <c:pt idx="43">
                  <c:v>2124.372344534569</c:v>
                </c:pt>
                <c:pt idx="44">
                  <c:v>2128.2348397064502</c:v>
                </c:pt>
                <c:pt idx="45">
                  <c:v>2128.2348397064502</c:v>
                </c:pt>
                <c:pt idx="46">
                  <c:v>2128.2348397064502</c:v>
                </c:pt>
                <c:pt idx="47">
                  <c:v>2128.2348397064502</c:v>
                </c:pt>
              </c:numCache>
            </c:numRef>
          </c:yVal>
          <c:smooth val="0"/>
        </c:ser>
        <c:dLbls>
          <c:showLegendKey val="0"/>
          <c:showVal val="0"/>
          <c:showCatName val="0"/>
          <c:showSerName val="0"/>
          <c:showPercent val="0"/>
          <c:showBubbleSize val="0"/>
        </c:dLbls>
        <c:axId val="792687728"/>
        <c:axId val="792686160"/>
      </c:scatterChart>
      <c:valAx>
        <c:axId val="792687728"/>
        <c:scaling>
          <c:orientation val="minMax"/>
          <c:max val="63"/>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myData!lblHorizAxisDays</c:f>
              <c:strCache>
                <c:ptCount val="1"/>
                <c:pt idx="0">
                  <c:v>Days Since 100 cases per 10m population</c:v>
                </c:pt>
              </c:strCache>
            </c:strRef>
          </c:tx>
          <c:layout>
            <c:manualLayout>
              <c:xMode val="edge"/>
              <c:yMode val="edge"/>
              <c:x val="0.2987676892239407"/>
              <c:y val="0.94340929937436513"/>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792686160"/>
        <c:crosses val="autoZero"/>
        <c:crossBetween val="midCat"/>
        <c:majorUnit val="7"/>
        <c:minorUnit val="1"/>
      </c:valAx>
      <c:valAx>
        <c:axId val="792686160"/>
        <c:scaling>
          <c:orientation val="minMax"/>
          <c:max val="4500"/>
          <c:min val="5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myData!lblVertLin</c:f>
              <c:strCache>
                <c:ptCount val="1"/>
                <c:pt idx="0">
                  <c:v>Cases per 10 M population</c:v>
                </c:pt>
              </c:strCache>
            </c:strRef>
          </c:tx>
          <c:layout>
            <c:manualLayout>
              <c:xMode val="edge"/>
              <c:yMode val="edge"/>
              <c:x val="9.5495491624540511E-3"/>
              <c:y val="0.43324149902521936"/>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92687728"/>
        <c:crosses val="autoZero"/>
        <c:crossBetween val="midCat"/>
        <c:majorUnit val="1000"/>
      </c:valAx>
      <c:spPr>
        <a:noFill/>
        <a:ln>
          <a:noFill/>
        </a:ln>
        <a:effectLst/>
      </c:spPr>
    </c:plotArea>
    <c:legend>
      <c:legendPos val="b"/>
      <c:layout>
        <c:manualLayout>
          <c:xMode val="edge"/>
          <c:yMode val="edge"/>
          <c:x val="0.76423398436409018"/>
          <c:y val="8.172705484743778E-2"/>
          <c:w val="0.2248522451645337"/>
          <c:h val="0.67430918792389805"/>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rgbClr val="FF0000"/>
      </a:solidFill>
      <a:prstDash val="solid"/>
      <a:miter lim="800000"/>
    </a:ln>
    <a:effectLst/>
  </c:spPr>
  <c:txPr>
    <a:bodyPr/>
    <a:lstStyle/>
    <a:p>
      <a:pPr>
        <a:defRPr>
          <a:solidFill>
            <a:schemeClr val="dk1"/>
          </a:solidFill>
          <a:latin typeface="+mn-lt"/>
          <a:ea typeface="+mn-ea"/>
          <a:cs typeface="+mn-cs"/>
        </a:defRPr>
      </a:pPr>
      <a:endParaRPr lang="en-US"/>
    </a:p>
  </c:txPr>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myData!$EI$7</c:f>
          <c:strCache>
            <c:ptCount val="1"/>
            <c:pt idx="0">
              <c:v>Spain, Ireland, US, Italy, UK, Sweden, Taiwan, Japan, Skorea, Singapore, China, NSW and Victoria @ _x000b_Sun 03-May</c:v>
            </c:pt>
          </c:strCache>
        </c:strRef>
      </c:tx>
      <c:layout>
        <c:manualLayout>
          <c:xMode val="edge"/>
          <c:yMode val="edge"/>
          <c:x val="7.7449421763519224E-2"/>
          <c:y val="1.252584894680952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9.1142658878072991E-2"/>
          <c:y val="0.13825381117858046"/>
          <c:w val="0.63923479000659555"/>
          <c:h val="0.72958648260353554"/>
        </c:manualLayout>
      </c:layout>
      <c:scatterChart>
        <c:scatterStyle val="lineMarker"/>
        <c:varyColors val="0"/>
        <c:ser>
          <c:idx val="11"/>
          <c:order val="0"/>
          <c:tx>
            <c:strRef>
              <c:f>myData!SingaporeLabel</c:f>
              <c:strCache>
                <c:ptCount val="1"/>
                <c:pt idx="0">
                  <c:v>Singapore from 14-Feb</c:v>
                </c:pt>
              </c:strCache>
            </c:strRef>
          </c:tx>
          <c:spPr>
            <a:ln w="19050" cap="rnd">
              <a:solidFill>
                <a:schemeClr val="bg1">
                  <a:lumMod val="50000"/>
                </a:schemeClr>
              </a:solidFill>
              <a:round/>
            </a:ln>
            <a:effectLst/>
          </c:spPr>
          <c:marker>
            <c:symbol val="x"/>
            <c:size val="3"/>
            <c:spPr>
              <a:noFill/>
              <a:ln w="9525">
                <a:solidFill>
                  <a:schemeClr val="bg1">
                    <a:lumMod val="50000"/>
                  </a:schemeClr>
                </a:solidFill>
              </a:ln>
              <a:effectLst/>
            </c:spPr>
          </c:marker>
          <c:dLbls>
            <c:dLbl>
              <c:idx val="76"/>
              <c:tx>
                <c:rich>
                  <a:bodyPr rot="0" spcFirstLastPara="1" vertOverflow="ellipsis" vert="horz" wrap="square" anchor="ctr" anchorCtr="1"/>
                  <a:lstStyle/>
                  <a:p>
                    <a:pPr>
                      <a:defRPr sz="900" b="1" i="0" u="none" strike="noStrike" kern="1200" baseline="0">
                        <a:solidFill>
                          <a:srgbClr val="000000"/>
                        </a:solidFill>
                        <a:latin typeface="Calibri"/>
                        <a:ea typeface="Calibri"/>
                        <a:cs typeface="Calibri"/>
                      </a:defRPr>
                    </a:pPr>
                    <a:r>
                      <a:rPr lang="en-US"/>
                      <a:t>Singapore </a:t>
                    </a:r>
                  </a:p>
                </c:rich>
              </c:tx>
              <c:spPr>
                <a:noFill/>
                <a:ln>
                  <a:noFill/>
                </a:ln>
                <a:effectLst/>
              </c:spPr>
              <c:txPr>
                <a:bodyPr rot="0" spcFirstLastPara="1" vertOverflow="ellipsis" vert="horz" wrap="square" anchor="ctr" anchorCtr="1"/>
                <a:lstStyle/>
                <a:p>
                  <a:pPr>
                    <a:defRPr sz="900" b="1"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myData!Singapore100Dates</c:f>
              <c:numCache>
                <c:formatCode>0</c:formatCode>
                <c:ptCount val="9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90</c:v>
                </c:pt>
                <c:pt idx="84">
                  <c:v>97</c:v>
                </c:pt>
                <c:pt idx="85">
                  <c:v>104</c:v>
                </c:pt>
                <c:pt idx="86">
                  <c:v>111</c:v>
                </c:pt>
                <c:pt idx="87">
                  <c:v>118</c:v>
                </c:pt>
                <c:pt idx="88">
                  <c:v>125</c:v>
                </c:pt>
                <c:pt idx="89">
                  <c:v>132</c:v>
                </c:pt>
                <c:pt idx="90">
                  <c:v>139</c:v>
                </c:pt>
              </c:numCache>
            </c:numRef>
          </c:xVal>
          <c:yVal>
            <c:numRef>
              <c:f>myData!Singapore100Cases</c:f>
              <c:numCache>
                <c:formatCode>0.0</c:formatCode>
                <c:ptCount val="79"/>
                <c:pt idx="0">
                  <c:v>114.52991452991454</c:v>
                </c:pt>
                <c:pt idx="1">
                  <c:v>123.07692307692308</c:v>
                </c:pt>
                <c:pt idx="2">
                  <c:v>128.2051282051282</c:v>
                </c:pt>
                <c:pt idx="3">
                  <c:v>131.62393162393164</c:v>
                </c:pt>
                <c:pt idx="4">
                  <c:v>138.46153846153848</c:v>
                </c:pt>
                <c:pt idx="5">
                  <c:v>143.58974358974359</c:v>
                </c:pt>
                <c:pt idx="6">
                  <c:v>143.58974358974359</c:v>
                </c:pt>
                <c:pt idx="7">
                  <c:v>145.29914529914529</c:v>
                </c:pt>
                <c:pt idx="8">
                  <c:v>145.29914529914529</c:v>
                </c:pt>
                <c:pt idx="9">
                  <c:v>152.13675213675214</c:v>
                </c:pt>
                <c:pt idx="10">
                  <c:v>152.13675213675214</c:v>
                </c:pt>
                <c:pt idx="11">
                  <c:v>155.55555555555557</c:v>
                </c:pt>
                <c:pt idx="12">
                  <c:v>158.97435897435898</c:v>
                </c:pt>
                <c:pt idx="13">
                  <c:v>158.97435897435898</c:v>
                </c:pt>
                <c:pt idx="14">
                  <c:v>158.97435897435898</c:v>
                </c:pt>
                <c:pt idx="15">
                  <c:v>174.35897435897436</c:v>
                </c:pt>
                <c:pt idx="16">
                  <c:v>181.19658119658121</c:v>
                </c:pt>
                <c:pt idx="17">
                  <c:v>184.61538461538461</c:v>
                </c:pt>
                <c:pt idx="18">
                  <c:v>188.03418803418805</c:v>
                </c:pt>
                <c:pt idx="19">
                  <c:v>188.03418803418805</c:v>
                </c:pt>
                <c:pt idx="20">
                  <c:v>200</c:v>
                </c:pt>
                <c:pt idx="21">
                  <c:v>222.22222222222223</c:v>
                </c:pt>
                <c:pt idx="22">
                  <c:v>235.89743589743591</c:v>
                </c:pt>
                <c:pt idx="23">
                  <c:v>256.41025641025641</c:v>
                </c:pt>
                <c:pt idx="24">
                  <c:v>256.41025641025641</c:v>
                </c:pt>
                <c:pt idx="25">
                  <c:v>273.5042735042735</c:v>
                </c:pt>
                <c:pt idx="26">
                  <c:v>304.27350427350427</c:v>
                </c:pt>
                <c:pt idx="27">
                  <c:v>304.27350427350427</c:v>
                </c:pt>
                <c:pt idx="28">
                  <c:v>341.88034188034192</c:v>
                </c:pt>
                <c:pt idx="29">
                  <c:v>362.39316239316241</c:v>
                </c:pt>
                <c:pt idx="30">
                  <c:v>386.32478632478637</c:v>
                </c:pt>
                <c:pt idx="31">
                  <c:v>415.38461538461542</c:v>
                </c:pt>
                <c:pt idx="32">
                  <c:v>454.70085470085473</c:v>
                </c:pt>
                <c:pt idx="33">
                  <c:v>535.0427350427351</c:v>
                </c:pt>
                <c:pt idx="34">
                  <c:v>589.74358974358972</c:v>
                </c:pt>
                <c:pt idx="35">
                  <c:v>658.1196581196582</c:v>
                </c:pt>
                <c:pt idx="36">
                  <c:v>738.46153846153845</c:v>
                </c:pt>
                <c:pt idx="37">
                  <c:v>777.77777777777783</c:v>
                </c:pt>
                <c:pt idx="38">
                  <c:v>870.08547008547009</c:v>
                </c:pt>
                <c:pt idx="39">
                  <c:v>953.84615384615392</c:v>
                </c:pt>
                <c:pt idx="40">
                  <c:v>1078.6324786324788</c:v>
                </c:pt>
                <c:pt idx="41">
                  <c:v>1167.5213675213677</c:v>
                </c:pt>
                <c:pt idx="42">
                  <c:v>1251.2820512820513</c:v>
                </c:pt>
                <c:pt idx="43">
                  <c:v>1370.9401709401711</c:v>
                </c:pt>
                <c:pt idx="44">
                  <c:v>1442.7350427350427</c:v>
                </c:pt>
                <c:pt idx="45">
                  <c:v>1502.5641025641028</c:v>
                </c:pt>
                <c:pt idx="46">
                  <c:v>1582.9059829059829</c:v>
                </c:pt>
                <c:pt idx="47">
                  <c:v>1709.4017094017095</c:v>
                </c:pt>
                <c:pt idx="48">
                  <c:v>1793.1623931623933</c:v>
                </c:pt>
                <c:pt idx="49">
                  <c:v>1904.2735042735044</c:v>
                </c:pt>
                <c:pt idx="50">
                  <c:v>2032.4786324786326</c:v>
                </c:pt>
                <c:pt idx="51">
                  <c:v>2237.6068376068379</c:v>
                </c:pt>
                <c:pt idx="52">
                  <c:v>2350.4273504273506</c:v>
                </c:pt>
                <c:pt idx="53">
                  <c:v>2531.6239316239316</c:v>
                </c:pt>
                <c:pt idx="54">
                  <c:v>2774.3589743589746</c:v>
                </c:pt>
                <c:pt idx="55">
                  <c:v>3264.9572649572651</c:v>
                </c:pt>
                <c:pt idx="56">
                  <c:v>3603.4188034188037</c:v>
                </c:pt>
                <c:pt idx="57">
                  <c:v>3929.9145299145302</c:v>
                </c:pt>
                <c:pt idx="58" formatCode="0">
                  <c:v>4328.2051282051289</c:v>
                </c:pt>
                <c:pt idx="59" formatCode="0">
                  <c:v>4988.0341880341884</c:v>
                </c:pt>
                <c:pt idx="60" formatCode="0">
                  <c:v>5558.9743589743593</c:v>
                </c:pt>
                <c:pt idx="61" formatCode="0">
                  <c:v>6323.0769230769238</c:v>
                </c:pt>
                <c:pt idx="62" formatCode="0">
                  <c:v>7567.5213675213681</c:v>
                </c:pt>
                <c:pt idx="63" formatCode="0">
                  <c:v>8632.4786324786328</c:v>
                </c:pt>
                <c:pt idx="64" formatCode="0">
                  <c:v>10242.735042735043</c:v>
                </c:pt>
                <c:pt idx="65" formatCode="0">
                  <c:v>11261.538461538463</c:v>
                </c:pt>
                <c:pt idx="66" formatCode="0">
                  <c:v>13699.145299145301</c:v>
                </c:pt>
                <c:pt idx="67" formatCode="0">
                  <c:v>15598.2905982906</c:v>
                </c:pt>
                <c:pt idx="68">
                  <c:v>17335.042735042734</c:v>
                </c:pt>
                <c:pt idx="69">
                  <c:v>19107.692307692309</c:v>
                </c:pt>
                <c:pt idx="70">
                  <c:v>20641.025641025641</c:v>
                </c:pt>
                <c:pt idx="71">
                  <c:v>21697.435897435898</c:v>
                </c:pt>
                <c:pt idx="72">
                  <c:v>23288.888888888891</c:v>
                </c:pt>
                <c:pt idx="73">
                  <c:v>24654.700854700855</c:v>
                </c:pt>
                <c:pt idx="74">
                  <c:v>25557.264957264957</c:v>
                </c:pt>
                <c:pt idx="75">
                  <c:v>26736.752136752137</c:v>
                </c:pt>
                <c:pt idx="76">
                  <c:v>27639.316239316242</c:v>
                </c:pt>
                <c:pt idx="77">
                  <c:v>29232.478632478633</c:v>
                </c:pt>
                <c:pt idx="78">
                  <c:v>29996.581196581199</c:v>
                </c:pt>
              </c:numCache>
            </c:numRef>
          </c:yVal>
          <c:smooth val="0"/>
        </c:ser>
        <c:ser>
          <c:idx val="7"/>
          <c:order val="1"/>
          <c:tx>
            <c:strRef>
              <c:f>myData!SKoreaLabel</c:f>
              <c:strCache>
                <c:ptCount val="1"/>
                <c:pt idx="0">
                  <c:v>South Korea from 23-Feb</c:v>
                </c:pt>
              </c:strCache>
            </c:strRef>
          </c:tx>
          <c:spPr>
            <a:ln w="19050" cap="rnd">
              <a:solidFill>
                <a:schemeClr val="accent2">
                  <a:lumMod val="60000"/>
                </a:schemeClr>
              </a:solidFill>
              <a:round/>
            </a:ln>
            <a:effectLst/>
          </c:spPr>
          <c:marker>
            <c:symbol val="x"/>
            <c:size val="4"/>
            <c:spPr>
              <a:noFill/>
              <a:ln w="9525">
                <a:solidFill>
                  <a:schemeClr val="accent4">
                    <a:lumMod val="60000"/>
                  </a:schemeClr>
                </a:solidFill>
              </a:ln>
              <a:effectLst/>
            </c:spPr>
          </c:marker>
          <c:dLbls>
            <c:dLbl>
              <c:idx val="67"/>
              <c:tx>
                <c:rich>
                  <a:bodyPr rot="0" spcFirstLastPara="1" vertOverflow="ellipsis" vert="horz" wrap="square" anchor="ctr" anchorCtr="1"/>
                  <a:lstStyle/>
                  <a:p>
                    <a:pPr>
                      <a:defRPr sz="900" b="1" i="0" u="none" strike="noStrike" kern="1200" baseline="0">
                        <a:solidFill>
                          <a:srgbClr val="C55A11"/>
                        </a:solidFill>
                        <a:latin typeface="Calibri"/>
                        <a:ea typeface="Calibri"/>
                        <a:cs typeface="Calibri"/>
                      </a:defRPr>
                    </a:pPr>
                    <a:r>
                      <a:rPr lang="en-US"/>
                      <a:t>South Korea </a:t>
                    </a:r>
                  </a:p>
                </c:rich>
              </c:tx>
              <c:spPr>
                <a:noFill/>
                <a:ln>
                  <a:noFill/>
                </a:ln>
                <a:effectLst/>
              </c:spPr>
              <c:txPr>
                <a:bodyPr rot="0" spcFirstLastPara="1" vertOverflow="ellipsis" vert="horz" wrap="square" anchor="ctr" anchorCtr="1"/>
                <a:lstStyle/>
                <a:p>
                  <a:pPr>
                    <a:defRPr sz="900" b="1" i="0" u="none" strike="noStrike" kern="1200" baseline="0">
                      <a:solidFill>
                        <a:srgbClr val="C55A11"/>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accent2">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myData!SKorea100Dates</c:f>
              <c:numCache>
                <c:formatCode>0</c:formatCode>
                <c:ptCount val="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formatCode="0.0">
                  <c:v>73</c:v>
                </c:pt>
                <c:pt idx="73" formatCode="0.0">
                  <c:v>74</c:v>
                </c:pt>
                <c:pt idx="74" formatCode="0.0">
                  <c:v>81</c:v>
                </c:pt>
                <c:pt idx="75">
                  <c:v>88</c:v>
                </c:pt>
                <c:pt idx="76">
                  <c:v>95</c:v>
                </c:pt>
                <c:pt idx="77">
                  <c:v>102</c:v>
                </c:pt>
                <c:pt idx="78" formatCode="0.0">
                  <c:v>109</c:v>
                </c:pt>
                <c:pt idx="79" formatCode="0.0">
                  <c:v>116</c:v>
                </c:pt>
                <c:pt idx="80" formatCode="0.0">
                  <c:v>123</c:v>
                </c:pt>
                <c:pt idx="81" formatCode="0.0">
                  <c:v>130</c:v>
                </c:pt>
              </c:numCache>
            </c:numRef>
          </c:xVal>
          <c:yVal>
            <c:numRef>
              <c:f>myData!SKorea100Cases</c:f>
              <c:numCache>
                <c:formatCode>0.0</c:formatCode>
                <c:ptCount val="70"/>
                <c:pt idx="0">
                  <c:v>117.1206225680934</c:v>
                </c:pt>
                <c:pt idx="1">
                  <c:v>162.06225680933852</c:v>
                </c:pt>
                <c:pt idx="2">
                  <c:v>190.07782101167317</c:v>
                </c:pt>
                <c:pt idx="3">
                  <c:v>245.33073929961091</c:v>
                </c:pt>
                <c:pt idx="4">
                  <c:v>343.579766536965</c:v>
                </c:pt>
                <c:pt idx="5">
                  <c:v>454.66926070038915</c:v>
                </c:pt>
                <c:pt idx="6">
                  <c:v>612.84046692607012</c:v>
                </c:pt>
                <c:pt idx="7">
                  <c:v>726.84824902723744</c:v>
                </c:pt>
                <c:pt idx="8">
                  <c:v>843.38521400778211</c:v>
                </c:pt>
                <c:pt idx="9">
                  <c:v>1008.9494163424125</c:v>
                </c:pt>
                <c:pt idx="10">
                  <c:v>1093.5797665369651</c:v>
                </c:pt>
                <c:pt idx="11">
                  <c:v>1184.4357976653698</c:v>
                </c:pt>
                <c:pt idx="12">
                  <c:v>1282.6848249027239</c:v>
                </c:pt>
                <c:pt idx="13">
                  <c:v>1369.8443579766538</c:v>
                </c:pt>
                <c:pt idx="14">
                  <c:v>1422.95719844358</c:v>
                </c:pt>
                <c:pt idx="15">
                  <c:v>1454.8638132295721</c:v>
                </c:pt>
                <c:pt idx="16">
                  <c:v>1461.6731517509729</c:v>
                </c:pt>
                <c:pt idx="17">
                  <c:v>1508.7548638132296</c:v>
                </c:pt>
                <c:pt idx="18">
                  <c:v>1530.933852140078</c:v>
                </c:pt>
                <c:pt idx="19">
                  <c:v>1552.3346303501946</c:v>
                </c:pt>
                <c:pt idx="20">
                  <c:v>1573.1517509727628</c:v>
                </c:pt>
                <c:pt idx="21">
                  <c:v>1587.9377431906616</c:v>
                </c:pt>
                <c:pt idx="22">
                  <c:v>1602.3346303501946</c:v>
                </c:pt>
                <c:pt idx="23">
                  <c:v>1618.6770428015566</c:v>
                </c:pt>
                <c:pt idx="24">
                  <c:v>1636.7704280155642</c:v>
                </c:pt>
                <c:pt idx="25">
                  <c:v>1666.342412451362</c:v>
                </c:pt>
                <c:pt idx="26">
                  <c:v>1683.2684824902724</c:v>
                </c:pt>
                <c:pt idx="27">
                  <c:v>1711.8677042801557</c:v>
                </c:pt>
                <c:pt idx="28">
                  <c:v>1743.3852140077822</c:v>
                </c:pt>
                <c:pt idx="29">
                  <c:v>1743.3852140077822</c:v>
                </c:pt>
                <c:pt idx="30">
                  <c:v>1758.1712062256811</c:v>
                </c:pt>
                <c:pt idx="31">
                  <c:v>1777.626459143969</c:v>
                </c:pt>
                <c:pt idx="32">
                  <c:v>1797.8599221789884</c:v>
                </c:pt>
                <c:pt idx="33">
                  <c:v>1815.5642023346304</c:v>
                </c:pt>
                <c:pt idx="34">
                  <c:v>1843.9688715953309</c:v>
                </c:pt>
                <c:pt idx="35">
                  <c:v>1864.3968871595332</c:v>
                </c:pt>
                <c:pt idx="36">
                  <c:v>1879.5719844357977</c:v>
                </c:pt>
                <c:pt idx="37">
                  <c:v>1903.8910505836577</c:v>
                </c:pt>
                <c:pt idx="38">
                  <c:v>1923.5408560311284</c:v>
                </c:pt>
                <c:pt idx="39">
                  <c:v>1940.8560311284048</c:v>
                </c:pt>
                <c:pt idx="40">
                  <c:v>1957.5875486381324</c:v>
                </c:pt>
                <c:pt idx="41">
                  <c:v>1975.8754863813231</c:v>
                </c:pt>
                <c:pt idx="42">
                  <c:v>1991.6342412451363</c:v>
                </c:pt>
                <c:pt idx="43">
                  <c:v>2000.7782101167315</c:v>
                </c:pt>
                <c:pt idx="44">
                  <c:v>2009.922178988327</c:v>
                </c:pt>
                <c:pt idx="45">
                  <c:v>2020.2334630350197</c:v>
                </c:pt>
                <c:pt idx="46">
                  <c:v>2027.8210116731518</c:v>
                </c:pt>
                <c:pt idx="47">
                  <c:v>2033.0739299610896</c:v>
                </c:pt>
                <c:pt idx="48">
                  <c:v>2038.910505836576</c:v>
                </c:pt>
                <c:pt idx="49">
                  <c:v>2045.1361867704281</c:v>
                </c:pt>
                <c:pt idx="50">
                  <c:v>2050</c:v>
                </c:pt>
                <c:pt idx="51">
                  <c:v>2055.252918287938</c:v>
                </c:pt>
                <c:pt idx="52">
                  <c:v>2060.5058365758755</c:v>
                </c:pt>
                <c:pt idx="53">
                  <c:v>2064.7859922178991</c:v>
                </c:pt>
                <c:pt idx="54">
                  <c:v>2069.0661478599222</c:v>
                </c:pt>
                <c:pt idx="55">
                  <c:v>2072.5680933852141</c:v>
                </c:pt>
                <c:pt idx="56">
                  <c:v>2074.1245136186772</c:v>
                </c:pt>
                <c:pt idx="57">
                  <c:v>2076.6536964980546</c:v>
                </c:pt>
                <c:pt idx="58">
                  <c:v>2078.4046692607003</c:v>
                </c:pt>
                <c:pt idx="59">
                  <c:v>2080.5447470817121</c:v>
                </c:pt>
                <c:pt idx="60">
                  <c:v>2083.2684824902726</c:v>
                </c:pt>
                <c:pt idx="61">
                  <c:v>2085.2140077821014</c:v>
                </c:pt>
                <c:pt idx="62">
                  <c:v>2087.1595330739301</c:v>
                </c:pt>
                <c:pt idx="63">
                  <c:v>2089.1050583657589</c:v>
                </c:pt>
                <c:pt idx="64">
                  <c:v>2091.8287937743194</c:v>
                </c:pt>
                <c:pt idx="65">
                  <c:v>2093.5797665369651</c:v>
                </c:pt>
                <c:pt idx="66">
                  <c:v>2094.3579766536968</c:v>
                </c:pt>
                <c:pt idx="67">
                  <c:v>2096.1089494163425</c:v>
                </c:pt>
                <c:pt idx="68">
                  <c:v>2097.2762645914399</c:v>
                </c:pt>
                <c:pt idx="69">
                  <c:v>2099.8054474708174</c:v>
                </c:pt>
              </c:numCache>
            </c:numRef>
          </c:yVal>
          <c:smooth val="0"/>
        </c:ser>
        <c:ser>
          <c:idx val="1"/>
          <c:order val="2"/>
          <c:tx>
            <c:strRef>
              <c:f>myData!NSWLabel</c:f>
              <c:strCache>
                <c:ptCount val="1"/>
                <c:pt idx="0">
                  <c:v>NSW from 13-Mar</c:v>
                </c:pt>
              </c:strCache>
            </c:strRef>
          </c:tx>
          <c:spPr>
            <a:ln w="19050" cap="rnd">
              <a:solidFill>
                <a:schemeClr val="accent6">
                  <a:lumMod val="75000"/>
                </a:schemeClr>
              </a:solidFill>
              <a:round/>
            </a:ln>
            <a:effectLst/>
          </c:spPr>
          <c:marker>
            <c:symbol val="x"/>
            <c:size val="5"/>
            <c:spPr>
              <a:noFill/>
              <a:ln w="9525">
                <a:solidFill>
                  <a:schemeClr val="accent6">
                    <a:lumMod val="75000"/>
                    <a:alpha val="90000"/>
                  </a:schemeClr>
                </a:solidFill>
              </a:ln>
              <a:effectLst/>
            </c:spPr>
          </c:marker>
          <c:dLbls>
            <c:dLbl>
              <c:idx val="49"/>
              <c:tx>
                <c:rich>
                  <a:bodyPr rot="0" spcFirstLastPara="1" vertOverflow="ellipsis" vert="horz" wrap="square" lIns="38100" tIns="19050" rIns="38100" bIns="19050" anchor="ctr" anchorCtr="1">
                    <a:spAutoFit/>
                  </a:bodyPr>
                  <a:lstStyle/>
                  <a:p>
                    <a:pPr>
                      <a:defRPr sz="1050" b="1" i="0" u="none" strike="noStrike" kern="1200" baseline="0">
                        <a:solidFill>
                          <a:srgbClr val="548235"/>
                        </a:solidFill>
                        <a:latin typeface="Calibri"/>
                        <a:ea typeface="Calibri"/>
                        <a:cs typeface="Calibri"/>
                      </a:defRPr>
                    </a:pPr>
                    <a:r>
                      <a:rPr lang="en-US"/>
                      <a:t>NSW </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548235"/>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myData!NSW100Dates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myData!NSW100Cases</c:f>
              <c:numCache>
                <c:formatCode>0</c:formatCode>
                <c:ptCount val="52"/>
                <c:pt idx="0">
                  <c:v>113.86138613861385</c:v>
                </c:pt>
                <c:pt idx="1">
                  <c:v>138.61386138613861</c:v>
                </c:pt>
                <c:pt idx="2">
                  <c:v>165.84158415841583</c:v>
                </c:pt>
                <c:pt idx="3">
                  <c:v>211.63366336633663</c:v>
                </c:pt>
                <c:pt idx="4">
                  <c:v>259.9009900990099</c:v>
                </c:pt>
                <c:pt idx="5">
                  <c:v>330.44554455445541</c:v>
                </c:pt>
                <c:pt idx="6">
                  <c:v>379.95049504950492</c:v>
                </c:pt>
                <c:pt idx="7">
                  <c:v>436.88118811881185</c:v>
                </c:pt>
                <c:pt idx="8">
                  <c:v>539.60396039603961</c:v>
                </c:pt>
                <c:pt idx="9">
                  <c:v>827.97029702970292</c:v>
                </c:pt>
                <c:pt idx="10">
                  <c:v>827.97029702970292</c:v>
                </c:pt>
                <c:pt idx="11">
                  <c:v>1012.3762376237623</c:v>
                </c:pt>
                <c:pt idx="12">
                  <c:v>1273.5148514851485</c:v>
                </c:pt>
                <c:pt idx="13">
                  <c:v>1508.6633663366335</c:v>
                </c:pt>
                <c:pt idx="14">
                  <c:v>1738.8613861386139</c:v>
                </c:pt>
                <c:pt idx="15">
                  <c:v>2001.2376237623762</c:v>
                </c:pt>
                <c:pt idx="16">
                  <c:v>2216.5841584158416</c:v>
                </c:pt>
                <c:pt idx="17">
                  <c:v>2373.7623762376238</c:v>
                </c:pt>
                <c:pt idx="18">
                  <c:v>2514.8514851485147</c:v>
                </c:pt>
                <c:pt idx="19">
                  <c:v>2700.4950495049502</c:v>
                </c:pt>
                <c:pt idx="20">
                  <c:v>2844.0594059405939</c:v>
                </c:pt>
                <c:pt idx="21">
                  <c:v>2956.6831683168316</c:v>
                </c:pt>
                <c:pt idx="22">
                  <c:v>3085.3960396039602</c:v>
                </c:pt>
                <c:pt idx="23">
                  <c:v>3193.0693069306931</c:v>
                </c:pt>
                <c:pt idx="24">
                  <c:v>3263.6138613861385</c:v>
                </c:pt>
                <c:pt idx="25">
                  <c:v>3324.257425742574</c:v>
                </c:pt>
                <c:pt idx="26">
                  <c:v>3383.6633663366333</c:v>
                </c:pt>
                <c:pt idx="27">
                  <c:v>3431.9306930693069</c:v>
                </c:pt>
                <c:pt idx="28">
                  <c:v>3492.5742574257424</c:v>
                </c:pt>
                <c:pt idx="29">
                  <c:v>3535.8910891089108</c:v>
                </c:pt>
                <c:pt idx="30">
                  <c:v>3532.1782178217818</c:v>
                </c:pt>
                <c:pt idx="31">
                  <c:v>3543.3168316831679</c:v>
                </c:pt>
                <c:pt idx="32">
                  <c:v>3551.9801980198017</c:v>
                </c:pt>
                <c:pt idx="33">
                  <c:v>3571.7821782178216</c:v>
                </c:pt>
                <c:pt idx="34">
                  <c:v>3585.3960396039602</c:v>
                </c:pt>
                <c:pt idx="35">
                  <c:v>3621.287128712871</c:v>
                </c:pt>
                <c:pt idx="36">
                  <c:v>3633.6633663366333</c:v>
                </c:pt>
                <c:pt idx="37">
                  <c:v>3659.6534653465346</c:v>
                </c:pt>
                <c:pt idx="38">
                  <c:v>3667.0792079207918</c:v>
                </c:pt>
                <c:pt idx="39">
                  <c:v>3674.5049504950493</c:v>
                </c:pt>
                <c:pt idx="40">
                  <c:v>3676.9801980198017</c:v>
                </c:pt>
                <c:pt idx="41">
                  <c:v>3683.1683168316831</c:v>
                </c:pt>
                <c:pt idx="42">
                  <c:v>3690.5940594059402</c:v>
                </c:pt>
                <c:pt idx="43">
                  <c:v>3705.4455445544554</c:v>
                </c:pt>
                <c:pt idx="44">
                  <c:v>3715.3465346534649</c:v>
                </c:pt>
                <c:pt idx="45">
                  <c:v>3717.8217821782177</c:v>
                </c:pt>
                <c:pt idx="46">
                  <c:v>3724.0099009900987</c:v>
                </c:pt>
                <c:pt idx="47">
                  <c:v>3732.6732673267325</c:v>
                </c:pt>
                <c:pt idx="48">
                  <c:v>3732.6732673267325</c:v>
                </c:pt>
                <c:pt idx="49">
                  <c:v>3743.8118811881186</c:v>
                </c:pt>
                <c:pt idx="50">
                  <c:v>3751.2376237623762</c:v>
                </c:pt>
                <c:pt idx="51">
                  <c:v>3756.1881188118809</c:v>
                </c:pt>
              </c:numCache>
            </c:numRef>
          </c:yVal>
          <c:smooth val="0"/>
        </c:ser>
        <c:ser>
          <c:idx val="14"/>
          <c:order val="3"/>
          <c:tx>
            <c:strRef>
              <c:f>TST!VictoriaSeriesLabel</c:f>
              <c:strCache>
                <c:ptCount val="1"/>
                <c:pt idx="0">
                  <c:v>Victoria from 16-Mar</c:v>
                </c:pt>
              </c:strCache>
            </c:strRef>
          </c:tx>
          <c:spPr>
            <a:ln w="19050" cap="rnd">
              <a:solidFill>
                <a:schemeClr val="accent1">
                  <a:lumMod val="75000"/>
                </a:schemeClr>
              </a:solidFill>
              <a:round/>
            </a:ln>
            <a:effectLst/>
          </c:spPr>
          <c:marker>
            <c:symbol val="x"/>
            <c:size val="3"/>
            <c:spPr>
              <a:noFill/>
              <a:ln w="9525">
                <a:solidFill>
                  <a:schemeClr val="accent1">
                    <a:lumMod val="50000"/>
                  </a:schemeClr>
                </a:solidFill>
              </a:ln>
              <a:effectLst/>
            </c:spPr>
          </c:marker>
          <c:dLbls>
            <c:dLbl>
              <c:idx val="45"/>
              <c:layout>
                <c:manualLayout>
                  <c:x val="-6.5826363630504421E-4"/>
                  <c:y val="-3.4258196869524048E-2"/>
                </c:manualLayout>
              </c:layout>
              <c:tx>
                <c:rich>
                  <a:bodyPr rot="0" spcFirstLastPara="1" vertOverflow="ellipsis" vert="horz" wrap="square" lIns="38100" tIns="19050" rIns="38100" bIns="19050" anchor="ctr" anchorCtr="1">
                    <a:spAutoFit/>
                  </a:bodyPr>
                  <a:lstStyle/>
                  <a:p>
                    <a:pPr>
                      <a:defRPr sz="1050" b="1" i="0" u="none" strike="noStrike" kern="1200" baseline="0">
                        <a:solidFill>
                          <a:srgbClr val="2E75B6"/>
                        </a:solidFill>
                        <a:latin typeface="Calibri"/>
                        <a:ea typeface="Calibri"/>
                        <a:cs typeface="Calibri"/>
                      </a:defRPr>
                    </a:pPr>
                    <a:r>
                      <a:rPr lang="en-US"/>
                      <a:t>Victoria </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2E75B6"/>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TST!Victoria100Days</c:f>
              <c:numCache>
                <c:formatCode>####0</c:formatCode>
                <c:ptCount val="4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numCache>
            </c:numRef>
          </c:xVal>
          <c:yVal>
            <c:numRef>
              <c:f>TST!Victoria100Cases</c:f>
              <c:numCache>
                <c:formatCode>0.0</c:formatCode>
                <c:ptCount val="48"/>
                <c:pt idx="0">
                  <c:v>107.10514406396138</c:v>
                </c:pt>
                <c:pt idx="1">
                  <c:v>141.80117664806153</c:v>
                </c:pt>
                <c:pt idx="2">
                  <c:v>182.53130185548346</c:v>
                </c:pt>
                <c:pt idx="3">
                  <c:v>182.53130185548346</c:v>
                </c:pt>
                <c:pt idx="4">
                  <c:v>182.53130185548346</c:v>
                </c:pt>
                <c:pt idx="5">
                  <c:v>345.45180268517117</c:v>
                </c:pt>
                <c:pt idx="6">
                  <c:v>535.52572031980685</c:v>
                </c:pt>
                <c:pt idx="7">
                  <c:v>535.52572031980685</c:v>
                </c:pt>
                <c:pt idx="8">
                  <c:v>620.00301704631158</c:v>
                </c:pt>
                <c:pt idx="9">
                  <c:v>702.97179061698591</c:v>
                </c:pt>
                <c:pt idx="10">
                  <c:v>784.43204103182984</c:v>
                </c:pt>
                <c:pt idx="11">
                  <c:v>865.89229144667365</c:v>
                </c:pt>
                <c:pt idx="12">
                  <c:v>1033.3383617438526</c:v>
                </c:pt>
                <c:pt idx="13">
                  <c:v>1160.0543068336099</c:v>
                </c:pt>
                <c:pt idx="14">
                  <c:v>1238.4975109367929</c:v>
                </c:pt>
                <c:pt idx="15">
                  <c:v>1383.3157338965152</c:v>
                </c:pt>
                <c:pt idx="16">
                  <c:v>1460.2504148438677</c:v>
                </c:pt>
                <c:pt idx="17">
                  <c:v>1562.8299894403378</c:v>
                </c:pt>
                <c:pt idx="18">
                  <c:v>1636.7476240760295</c:v>
                </c:pt>
                <c:pt idx="19">
                  <c:v>1682.0033187509428</c:v>
                </c:pt>
                <c:pt idx="20">
                  <c:v>1712.1737818675515</c:v>
                </c:pt>
                <c:pt idx="21">
                  <c:v>1746.8698144516518</c:v>
                </c:pt>
                <c:pt idx="22">
                  <c:v>1796.6510785940563</c:v>
                </c:pt>
                <c:pt idx="23">
                  <c:v>1828.3300648664956</c:v>
                </c:pt>
                <c:pt idx="24">
                  <c:v>1852.4664353597827</c:v>
                </c:pt>
                <c:pt idx="25">
                  <c:v>1872.0772363855783</c:v>
                </c:pt>
                <c:pt idx="26">
                  <c:v>1908.2817921255089</c:v>
                </c:pt>
                <c:pt idx="27">
                  <c:v>1912.8073615930002</c:v>
                </c:pt>
                <c:pt idx="28">
                  <c:v>1932.418162618796</c:v>
                </c:pt>
                <c:pt idx="29">
                  <c:v>1947.5033941771005</c:v>
                </c:pt>
                <c:pt idx="30">
                  <c:v>1959.571579423744</c:v>
                </c:pt>
                <c:pt idx="31">
                  <c:v>1959.571579423744</c:v>
                </c:pt>
                <c:pt idx="32">
                  <c:v>1964.0971488912353</c:v>
                </c:pt>
                <c:pt idx="33">
                  <c:v>1989.7420425403529</c:v>
                </c:pt>
                <c:pt idx="34">
                  <c:v>2003.3187509428269</c:v>
                </c:pt>
                <c:pt idx="35">
                  <c:v>2004.8272740986572</c:v>
                </c:pt>
                <c:pt idx="36">
                  <c:v>2015.3869361894704</c:v>
                </c:pt>
                <c:pt idx="37">
                  <c:v>2015.3869361894704</c:v>
                </c:pt>
                <c:pt idx="38">
                  <c:v>2016.8954593453009</c:v>
                </c:pt>
                <c:pt idx="39">
                  <c:v>2025.9465982802835</c:v>
                </c:pt>
                <c:pt idx="40">
                  <c:v>2030.4721677477748</c:v>
                </c:pt>
                <c:pt idx="41">
                  <c:v>2034.9977372152662</c:v>
                </c:pt>
                <c:pt idx="42">
                  <c:v>2034.9977372152662</c:v>
                </c:pt>
                <c:pt idx="43">
                  <c:v>2042.5403529944183</c:v>
                </c:pt>
                <c:pt idx="44">
                  <c:v>2053.1000150852315</c:v>
                </c:pt>
                <c:pt idx="45">
                  <c:v>2057.6255845527226</c:v>
                </c:pt>
                <c:pt idx="46">
                  <c:v>2068.1852466435357</c:v>
                </c:pt>
                <c:pt idx="47">
                  <c:v>2087.7960476693315</c:v>
                </c:pt>
              </c:numCache>
            </c:numRef>
          </c:yVal>
          <c:smooth val="0"/>
        </c:ser>
        <c:ser>
          <c:idx val="10"/>
          <c:order val="4"/>
          <c:tx>
            <c:strRef>
              <c:f>myData!UKLabel</c:f>
              <c:strCache>
                <c:ptCount val="1"/>
                <c:pt idx="0">
                  <c:v>United Kingdom from 12-Mar</c:v>
                </c:pt>
              </c:strCache>
            </c:strRef>
          </c:tx>
          <c:spPr>
            <a:ln w="19050" cap="rnd">
              <a:solidFill>
                <a:schemeClr val="accent4">
                  <a:lumMod val="60000"/>
                  <a:lumOff val="40000"/>
                </a:schemeClr>
              </a:solidFill>
              <a:round/>
            </a:ln>
            <a:effectLst/>
          </c:spPr>
          <c:marker>
            <c:symbol val="circle"/>
            <c:size val="5"/>
            <c:spPr>
              <a:solidFill>
                <a:schemeClr val="accent4">
                  <a:lumMod val="75000"/>
                </a:schemeClr>
              </a:solidFill>
              <a:ln w="9525">
                <a:solidFill>
                  <a:schemeClr val="accent4">
                    <a:lumMod val="75000"/>
                  </a:schemeClr>
                </a:solidFill>
              </a:ln>
              <a:effectLst/>
            </c:spPr>
          </c:marker>
          <c:dLbls>
            <c:dLbl>
              <c:idx val="48"/>
              <c:tx>
                <c:rich>
                  <a:bodyPr rot="0" spcFirstLastPara="1" vertOverflow="ellipsis" vert="horz" wrap="square" lIns="38100" tIns="19050" rIns="38100" bIns="19050" anchor="ctr" anchorCtr="1">
                    <a:spAutoFit/>
                  </a:bodyPr>
                  <a:lstStyle/>
                  <a:p>
                    <a:pPr>
                      <a:defRPr sz="900" b="1" i="0" u="none" strike="noStrike" kern="1200" baseline="0">
                        <a:solidFill>
                          <a:srgbClr val="BF9000"/>
                        </a:solidFill>
                        <a:latin typeface="Calibri"/>
                        <a:ea typeface="Calibri"/>
                        <a:cs typeface="Calibri"/>
                      </a:defRPr>
                    </a:pPr>
                    <a:r>
                      <a:rPr lang="en-US"/>
                      <a:t>United Kingdom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BF9000"/>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myData!UK100Dates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myData!UK100Cases</c:f>
              <c:numCache>
                <c:formatCode>0.0</c:formatCode>
                <c:ptCount val="51"/>
                <c:pt idx="0">
                  <c:v>120.71041541240217</c:v>
                </c:pt>
                <c:pt idx="1">
                  <c:v>172.18543046357615</c:v>
                </c:pt>
                <c:pt idx="2">
                  <c:v>172.33594220349187</c:v>
                </c:pt>
                <c:pt idx="3">
                  <c:v>233.44370860927151</c:v>
                </c:pt>
                <c:pt idx="4">
                  <c:v>295.0030102347983</c:v>
                </c:pt>
                <c:pt idx="5">
                  <c:v>397.65201685731489</c:v>
                </c:pt>
                <c:pt idx="6">
                  <c:v>408.78988561107764</c:v>
                </c:pt>
                <c:pt idx="7">
                  <c:v>604.15412402167362</c:v>
                </c:pt>
                <c:pt idx="8">
                  <c:v>762.64298615291989</c:v>
                </c:pt>
                <c:pt idx="9">
                  <c:v>864.68994581577363</c:v>
                </c:pt>
                <c:pt idx="10">
                  <c:v>1012.3419626730885</c:v>
                </c:pt>
                <c:pt idx="11">
                  <c:v>1228.7778446718844</c:v>
                </c:pt>
                <c:pt idx="12">
                  <c:v>1450.9331727874774</c:v>
                </c:pt>
                <c:pt idx="13">
                  <c:v>1777.844671884407</c:v>
                </c:pt>
                <c:pt idx="14">
                  <c:v>2219.2956050571943</c:v>
                </c:pt>
                <c:pt idx="15">
                  <c:v>2605.6592414208308</c:v>
                </c:pt>
                <c:pt idx="16">
                  <c:v>2977.1222155328114</c:v>
                </c:pt>
                <c:pt idx="17">
                  <c:v>3379.4400963275134</c:v>
                </c:pt>
                <c:pt idx="18">
                  <c:v>3835.1896447922936</c:v>
                </c:pt>
                <c:pt idx="19">
                  <c:v>4495.0331125827815</c:v>
                </c:pt>
                <c:pt idx="20">
                  <c:v>5143.4376881396747</c:v>
                </c:pt>
                <c:pt idx="21">
                  <c:v>5823.1487055990365</c:v>
                </c:pt>
                <c:pt idx="22">
                  <c:v>6393.2871763997591</c:v>
                </c:pt>
                <c:pt idx="23">
                  <c:v>7290.1866345574954</c:v>
                </c:pt>
                <c:pt idx="24">
                  <c:v>7868.6032510535824</c:v>
                </c:pt>
                <c:pt idx="25">
                  <c:v>8420.9813365442496</c:v>
                </c:pt>
                <c:pt idx="26">
                  <c:v>9252.558699578567</c:v>
                </c:pt>
                <c:pt idx="27">
                  <c:v>9914.5093317278752</c:v>
                </c:pt>
                <c:pt idx="28">
                  <c:v>11228.9283564118</c:v>
                </c:pt>
                <c:pt idx="29">
                  <c:v>12021.974714027694</c:v>
                </c:pt>
                <c:pt idx="30">
                  <c:v>12824.503311258279</c:v>
                </c:pt>
                <c:pt idx="31">
                  <c:v>13481.336544250451</c:v>
                </c:pt>
                <c:pt idx="32">
                  <c:v>14275.285972305839</c:v>
                </c:pt>
                <c:pt idx="33">
                  <c:v>14973.359422034919</c:v>
                </c:pt>
                <c:pt idx="34">
                  <c:v>15675.045153521974</c:v>
                </c:pt>
                <c:pt idx="35">
                  <c:v>16521.523178807947</c:v>
                </c:pt>
                <c:pt idx="36">
                  <c:v>17356.110776640577</c:v>
                </c:pt>
                <c:pt idx="37">
                  <c:v>18237.808549066827</c:v>
                </c:pt>
                <c:pt idx="38">
                  <c:v>18942.805538832028</c:v>
                </c:pt>
                <c:pt idx="39">
                  <c:v>19592.414208308248</c:v>
                </c:pt>
                <c:pt idx="40">
                  <c:v>20264.599638771822</c:v>
                </c:pt>
                <c:pt idx="41">
                  <c:v>20958.15773630343</c:v>
                </c:pt>
                <c:pt idx="42">
                  <c:v>21770.018061408791</c:v>
                </c:pt>
                <c:pt idx="43" formatCode="0.000">
                  <c:v>22511.890427453342</c:v>
                </c:pt>
                <c:pt idx="44" formatCode="0.000">
                  <c:v>23184.376881396747</c:v>
                </c:pt>
                <c:pt idx="45" formatCode="0.000">
                  <c:v>23833.232992173391</c:v>
                </c:pt>
                <c:pt idx="46" formatCode="0.000">
                  <c:v>24435.580975316076</c:v>
                </c:pt>
                <c:pt idx="47" formatCode="0.000">
                  <c:v>25051.324503311258</c:v>
                </c:pt>
                <c:pt idx="48" formatCode="0.000">
                  <c:v>25960.415412402166</c:v>
                </c:pt>
                <c:pt idx="49" formatCode="0.000">
                  <c:v>26894.190246839255</c:v>
                </c:pt>
                <c:pt idx="50" formatCode="0.000">
                  <c:v>27618.904274533412</c:v>
                </c:pt>
              </c:numCache>
            </c:numRef>
          </c:yVal>
          <c:smooth val="0"/>
        </c:ser>
        <c:ser>
          <c:idx val="4"/>
          <c:order val="5"/>
          <c:tx>
            <c:strRef>
              <c:f>myData!ItalyLabel</c:f>
              <c:strCache>
                <c:ptCount val="1"/>
                <c:pt idx="0">
                  <c:v>Italy from 27-Feb</c:v>
                </c:pt>
              </c:strCache>
            </c:strRef>
          </c:tx>
          <c:spPr>
            <a:ln w="19050" cap="rnd">
              <a:solidFill>
                <a:srgbClr val="FF0000"/>
              </a:solidFill>
              <a:round/>
            </a:ln>
            <a:effectLst/>
          </c:spPr>
          <c:marker>
            <c:symbol val="x"/>
            <c:size val="5"/>
            <c:spPr>
              <a:noFill/>
              <a:ln w="9525">
                <a:solidFill>
                  <a:srgbClr val="FF0000"/>
                </a:solidFill>
              </a:ln>
              <a:effectLst/>
            </c:spPr>
          </c:marker>
          <c:dLbls>
            <c:dLbl>
              <c:idx val="63"/>
              <c:tx>
                <c:rich>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Calibri"/>
                        <a:ea typeface="Calibri"/>
                        <a:cs typeface="Calibri"/>
                      </a:defRPr>
                    </a:pPr>
                    <a:r>
                      <a:rPr lang="en-US"/>
                      <a:t>Italy </a:t>
                    </a:r>
                  </a:p>
                </c:rich>
              </c:tx>
              <c:spPr>
                <a:solidFill>
                  <a:schemeClr val="bg1"/>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myData!Italy100Dates</c:f>
              <c:numCache>
                <c:formatCode>0</c:formatCode>
                <c:ptCount val="7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77</c:v>
                </c:pt>
                <c:pt idx="71">
                  <c:v>84</c:v>
                </c:pt>
                <c:pt idx="72">
                  <c:v>91</c:v>
                </c:pt>
                <c:pt idx="73">
                  <c:v>98</c:v>
                </c:pt>
                <c:pt idx="74">
                  <c:v>105</c:v>
                </c:pt>
                <c:pt idx="75">
                  <c:v>112</c:v>
                </c:pt>
                <c:pt idx="76">
                  <c:v>119</c:v>
                </c:pt>
                <c:pt idx="77">
                  <c:v>126</c:v>
                </c:pt>
              </c:numCache>
            </c:numRef>
          </c:xVal>
          <c:yVal>
            <c:numRef>
              <c:f>myData!Italy100Cases</c:f>
              <c:numCache>
                <c:formatCode>0.0</c:formatCode>
                <c:ptCount val="66"/>
                <c:pt idx="0">
                  <c:v>108.29131189551129</c:v>
                </c:pt>
                <c:pt idx="1">
                  <c:v>146.81325948582293</c:v>
                </c:pt>
                <c:pt idx="2">
                  <c:v>186.49251880631562</c:v>
                </c:pt>
                <c:pt idx="3">
                  <c:v>280.06943870381087</c:v>
                </c:pt>
                <c:pt idx="4">
                  <c:v>336.61238323551294</c:v>
                </c:pt>
                <c:pt idx="5">
                  <c:v>413.65627841613627</c:v>
                </c:pt>
                <c:pt idx="6">
                  <c:v>510.70513350417463</c:v>
                </c:pt>
                <c:pt idx="7">
                  <c:v>637.84409357691993</c:v>
                </c:pt>
                <c:pt idx="8">
                  <c:v>766.47102587418374</c:v>
                </c:pt>
                <c:pt idx="9">
                  <c:v>972.63784409357697</c:v>
                </c:pt>
                <c:pt idx="10">
                  <c:v>1219.3105728693065</c:v>
                </c:pt>
                <c:pt idx="11">
                  <c:v>1516.4090270314955</c:v>
                </c:pt>
                <c:pt idx="12">
                  <c:v>1677.9366785153345</c:v>
                </c:pt>
                <c:pt idx="13">
                  <c:v>2060.3455402165828</c:v>
                </c:pt>
                <c:pt idx="14">
                  <c:v>2060.3455402165828</c:v>
                </c:pt>
                <c:pt idx="15">
                  <c:v>2919.732164999587</c:v>
                </c:pt>
                <c:pt idx="16">
                  <c:v>3497.8920393485992</c:v>
                </c:pt>
                <c:pt idx="17">
                  <c:v>4091.4276266843021</c:v>
                </c:pt>
                <c:pt idx="18">
                  <c:v>4625.9403157807719</c:v>
                </c:pt>
                <c:pt idx="19">
                  <c:v>5208.8947672976774</c:v>
                </c:pt>
                <c:pt idx="20">
                  <c:v>5904.4391171364805</c:v>
                </c:pt>
                <c:pt idx="21">
                  <c:v>6784.3266925684056</c:v>
                </c:pt>
                <c:pt idx="22">
                  <c:v>7773.9935521203606</c:v>
                </c:pt>
                <c:pt idx="23">
                  <c:v>8858.0639828056555</c:v>
                </c:pt>
                <c:pt idx="24">
                  <c:v>9777.3001570637352</c:v>
                </c:pt>
                <c:pt idx="25">
                  <c:v>10569.066710754732</c:v>
                </c:pt>
                <c:pt idx="26">
                  <c:v>11436.885178143342</c:v>
                </c:pt>
                <c:pt idx="27">
                  <c:v>12298.255765892371</c:v>
                </c:pt>
                <c:pt idx="28">
                  <c:v>13323.799289079938</c:v>
                </c:pt>
                <c:pt idx="29">
                  <c:v>14300.735719599901</c:v>
                </c:pt>
                <c:pt idx="30">
                  <c:v>15288.418616185832</c:v>
                </c:pt>
                <c:pt idx="31">
                  <c:v>16150.946515665042</c:v>
                </c:pt>
                <c:pt idx="32">
                  <c:v>16820.534016698355</c:v>
                </c:pt>
                <c:pt idx="33">
                  <c:v>17490.617508473177</c:v>
                </c:pt>
                <c:pt idx="34">
                  <c:v>18281.226750433994</c:v>
                </c:pt>
                <c:pt idx="35">
                  <c:v>19052.988344217574</c:v>
                </c:pt>
                <c:pt idx="36">
                  <c:v>19811.027527486156</c:v>
                </c:pt>
                <c:pt idx="37">
                  <c:v>20605.439365131853</c:v>
                </c:pt>
                <c:pt idx="38">
                  <c:v>21319.004711912046</c:v>
                </c:pt>
                <c:pt idx="39">
                  <c:v>21914.028271472267</c:v>
                </c:pt>
                <c:pt idx="40">
                  <c:v>22416.466892618006</c:v>
                </c:pt>
                <c:pt idx="41">
                  <c:v>23050.673720757215</c:v>
                </c:pt>
                <c:pt idx="42">
                  <c:v>23745.72207985451</c:v>
                </c:pt>
                <c:pt idx="43">
                  <c:v>24398.941886418121</c:v>
                </c:pt>
                <c:pt idx="44">
                  <c:v>25175.002066628091</c:v>
                </c:pt>
                <c:pt idx="45">
                  <c:v>25851.53343804249</c:v>
                </c:pt>
                <c:pt idx="46">
                  <c:v>26372.819707365463</c:v>
                </c:pt>
                <c:pt idx="47">
                  <c:v>26864.181201950898</c:v>
                </c:pt>
                <c:pt idx="48">
                  <c:v>27305.116971149873</c:v>
                </c:pt>
                <c:pt idx="49">
                  <c:v>27931.057286930645</c:v>
                </c:pt>
                <c:pt idx="50">
                  <c:v>28508.555840290981</c:v>
                </c:pt>
                <c:pt idx="51">
                  <c:v>29085.723733156981</c:v>
                </c:pt>
                <c:pt idx="52">
                  <c:v>29589.484996280069</c:v>
                </c:pt>
                <c:pt idx="53">
                  <c:v>29962.470033892703</c:v>
                </c:pt>
                <c:pt idx="54">
                  <c:v>30413.656278416136</c:v>
                </c:pt>
                <c:pt idx="55">
                  <c:v>30970.819211374721</c:v>
                </c:pt>
                <c:pt idx="56">
                  <c:v>31408.283045383156</c:v>
                </c:pt>
                <c:pt idx="57">
                  <c:v>31907.745722079857</c:v>
                </c:pt>
                <c:pt idx="58">
                  <c:v>32297.429114656527</c:v>
                </c:pt>
                <c:pt idx="59">
                  <c:v>32681.656609076632</c:v>
                </c:pt>
                <c:pt idx="60">
                  <c:v>32969.165908903036</c:v>
                </c:pt>
                <c:pt idx="61">
                  <c:v>33314.871455732828</c:v>
                </c:pt>
                <c:pt idx="62">
                  <c:v>33659.750351326773</c:v>
                </c:pt>
                <c:pt idx="63">
                  <c:v>33969.24857402662</c:v>
                </c:pt>
                <c:pt idx="64">
                  <c:v>34294.122509713154</c:v>
                </c:pt>
                <c:pt idx="65">
                  <c:v>34608.249979333719</c:v>
                </c:pt>
              </c:numCache>
            </c:numRef>
          </c:yVal>
          <c:smooth val="0"/>
        </c:ser>
        <c:ser>
          <c:idx val="6"/>
          <c:order val="6"/>
          <c:tx>
            <c:strRef>
              <c:f>myData!USLabel</c:f>
              <c:strCache>
                <c:ptCount val="1"/>
                <c:pt idx="0">
                  <c:v>USA from 15-Mar</c:v>
                </c:pt>
              </c:strCache>
            </c:strRef>
          </c:tx>
          <c:spPr>
            <a:ln w="19050" cap="rnd">
              <a:solidFill>
                <a:schemeClr val="accent1">
                  <a:lumMod val="60000"/>
                </a:schemeClr>
              </a:solidFill>
              <a:round/>
            </a:ln>
            <a:effectLst/>
          </c:spPr>
          <c:marker>
            <c:symbol val="star"/>
            <c:size val="5"/>
            <c:spPr>
              <a:noFill/>
              <a:ln w="9525">
                <a:solidFill>
                  <a:schemeClr val="accent1">
                    <a:lumMod val="60000"/>
                  </a:schemeClr>
                </a:solidFill>
              </a:ln>
              <a:effectLst/>
            </c:spPr>
          </c:marker>
          <c:dLbls>
            <c:dLbl>
              <c:idx val="46"/>
              <c:layout>
                <c:manualLayout>
                  <c:x val="2.1428479355142256E-2"/>
                  <c:y val="-1.5641694967633377E-2"/>
                </c:manualLayout>
              </c:layout>
              <c:tx>
                <c:rich>
                  <a:bodyPr rot="0" spcFirstLastPara="1" vertOverflow="ellipsis" vert="horz" wrap="square" anchor="ctr" anchorCtr="1"/>
                  <a:lstStyle/>
                  <a:p>
                    <a:pPr>
                      <a:defRPr sz="900" b="1" i="0" u="none" strike="noStrike" kern="1200" baseline="0">
                        <a:solidFill>
                          <a:srgbClr val="2E75B6"/>
                        </a:solidFill>
                        <a:latin typeface="Calibri"/>
                        <a:ea typeface="Calibri"/>
                        <a:cs typeface="Calibri"/>
                      </a:defRPr>
                    </a:pPr>
                    <a:r>
                      <a:rPr lang="en-US"/>
                      <a:t>USA </a:t>
                    </a:r>
                  </a:p>
                </c:rich>
              </c:tx>
              <c:spPr>
                <a:noFill/>
                <a:ln>
                  <a:noFill/>
                </a:ln>
                <a:effectLst/>
              </c:spPr>
              <c:txPr>
                <a:bodyPr rot="0" spcFirstLastPara="1" vertOverflow="ellipsis" vert="horz" wrap="square" anchor="ctr" anchorCtr="1"/>
                <a:lstStyle/>
                <a:p>
                  <a:pPr>
                    <a:defRPr sz="900" b="1" i="0" u="none" strike="noStrike" kern="1200" baseline="0">
                      <a:solidFill>
                        <a:srgbClr val="2E75B6"/>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accen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12700" cap="flat" cmpd="sng" algn="ctr">
                      <a:solidFill>
                        <a:schemeClr val="tx1">
                          <a:lumMod val="35000"/>
                          <a:lumOff val="65000"/>
                        </a:schemeClr>
                      </a:solidFill>
                      <a:round/>
                      <a:headEnd type="arrow"/>
                      <a:tailEnd type="none" w="med" len="lg"/>
                    </a:ln>
                    <a:effectLst/>
                  </c:spPr>
                </c15:leaderLines>
              </c:ext>
            </c:extLst>
          </c:dLbls>
          <c:xVal>
            <c:numRef>
              <c:f>myData!US100Dates</c:f>
              <c:numCache>
                <c:formatCode>0</c:formatCode>
                <c:ptCount val="6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60</c:v>
                </c:pt>
                <c:pt idx="54">
                  <c:v>67</c:v>
                </c:pt>
                <c:pt idx="55">
                  <c:v>74</c:v>
                </c:pt>
                <c:pt idx="56">
                  <c:v>81</c:v>
                </c:pt>
                <c:pt idx="57">
                  <c:v>88</c:v>
                </c:pt>
                <c:pt idx="58">
                  <c:v>95</c:v>
                </c:pt>
                <c:pt idx="59">
                  <c:v>102</c:v>
                </c:pt>
                <c:pt idx="60">
                  <c:v>109</c:v>
                </c:pt>
              </c:numCache>
            </c:numRef>
          </c:xVal>
          <c:yVal>
            <c:numRef>
              <c:f>myData!US100Cases</c:f>
              <c:numCache>
                <c:formatCode>0.0</c:formatCode>
                <c:ptCount val="49"/>
                <c:pt idx="0">
                  <c:v>106.27901331256571</c:v>
                </c:pt>
                <c:pt idx="1">
                  <c:v>140.69288072700897</c:v>
                </c:pt>
                <c:pt idx="2">
                  <c:v>195.03216475564003</c:v>
                </c:pt>
                <c:pt idx="3">
                  <c:v>236.40170351863358</c:v>
                </c:pt>
                <c:pt idx="4">
                  <c:v>417.55289968786536</c:v>
                </c:pt>
                <c:pt idx="5">
                  <c:v>585.40023537384366</c:v>
                </c:pt>
                <c:pt idx="6">
                  <c:v>777.57723372440194</c:v>
                </c:pt>
                <c:pt idx="7">
                  <c:v>1010.7289073989531</c:v>
                </c:pt>
                <c:pt idx="8">
                  <c:v>1331.6921350851153</c:v>
                </c:pt>
                <c:pt idx="9">
                  <c:v>1632.1832121646273</c:v>
                </c:pt>
                <c:pt idx="10">
                  <c:v>1997.9482531220199</c:v>
                </c:pt>
                <c:pt idx="11">
                  <c:v>2546.4439440046467</c:v>
                </c:pt>
                <c:pt idx="12">
                  <c:v>3087.7409706531844</c:v>
                </c:pt>
                <c:pt idx="13">
                  <c:v>3689.3913552474405</c:v>
                </c:pt>
                <c:pt idx="14">
                  <c:v>4279.9855635496779</c:v>
                </c:pt>
                <c:pt idx="15">
                  <c:v>4915.472707455222</c:v>
                </c:pt>
                <c:pt idx="16">
                  <c:v>5715.557157202662</c:v>
                </c:pt>
                <c:pt idx="17">
                  <c:v>6477.0361122601134</c:v>
                </c:pt>
                <c:pt idx="18">
                  <c:v>7399.8015950939935</c:v>
                </c:pt>
                <c:pt idx="19">
                  <c:v>8364.0277390229439</c:v>
                </c:pt>
                <c:pt idx="20">
                  <c:v>9374.9692651967434</c:v>
                </c:pt>
                <c:pt idx="21">
                  <c:v>10230.061229408047</c:v>
                </c:pt>
                <c:pt idx="22">
                  <c:v>11126.553106493036</c:v>
                </c:pt>
                <c:pt idx="23">
                  <c:v>12062.197212260477</c:v>
                </c:pt>
                <c:pt idx="24">
                  <c:v>13019.984044722647</c:v>
                </c:pt>
                <c:pt idx="25">
                  <c:v>14056.530946210107</c:v>
                </c:pt>
                <c:pt idx="26">
                  <c:v>15081.809052630699</c:v>
                </c:pt>
                <c:pt idx="27">
                  <c:v>15988.810372015245</c:v>
                </c:pt>
                <c:pt idx="28">
                  <c:v>16867.138530906203</c:v>
                </c:pt>
                <c:pt idx="29">
                  <c:v>17635.78577608705</c:v>
                </c:pt>
                <c:pt idx="30">
                  <c:v>18457.435844426065</c:v>
                </c:pt>
                <c:pt idx="31">
                  <c:v>19328.565339082936</c:v>
                </c:pt>
                <c:pt idx="32">
                  <c:v>20277.513305333629</c:v>
                </c:pt>
                <c:pt idx="33">
                  <c:v>21252.94749610806</c:v>
                </c:pt>
                <c:pt idx="34">
                  <c:v>22239.832726613513</c:v>
                </c:pt>
                <c:pt idx="35">
                  <c:v>23048.148560358582</c:v>
                </c:pt>
                <c:pt idx="36">
                  <c:v>23823.204742895519</c:v>
                </c:pt>
                <c:pt idx="37">
                  <c:v>24659.677377252403</c:v>
                </c:pt>
                <c:pt idx="38">
                  <c:v>25524.914294434955</c:v>
                </c:pt>
                <c:pt idx="39">
                  <c:v>26400.265790478064</c:v>
                </c:pt>
                <c:pt idx="40">
                  <c:v>27499.444108213167</c:v>
                </c:pt>
                <c:pt idx="41">
                  <c:v>28495.593442479789</c:v>
                </c:pt>
                <c:pt idx="42">
                  <c:v>29334.86049502037</c:v>
                </c:pt>
                <c:pt idx="43">
                  <c:v>30015.605063857533</c:v>
                </c:pt>
                <c:pt idx="44">
                  <c:v>30756.277753090715</c:v>
                </c:pt>
                <c:pt idx="45">
                  <c:v>31586.311075980822</c:v>
                </c:pt>
                <c:pt idx="46">
                  <c:v>32482.802953065813</c:v>
                </c:pt>
                <c:pt idx="47">
                  <c:v>33516.64655870165</c:v>
                </c:pt>
                <c:pt idx="48">
                  <c:v>34399.864949414077</c:v>
                </c:pt>
              </c:numCache>
            </c:numRef>
          </c:yVal>
          <c:smooth val="0"/>
        </c:ser>
        <c:ser>
          <c:idx val="12"/>
          <c:order val="7"/>
          <c:tx>
            <c:strRef>
              <c:f>myData!TaiwanLabel</c:f>
              <c:strCache>
                <c:ptCount val="1"/>
                <c:pt idx="0">
                  <c:v>Taiwan from 15-Mar</c:v>
                </c:pt>
              </c:strCache>
            </c:strRef>
          </c:tx>
          <c:spPr>
            <a:ln w="19050" cap="rnd">
              <a:solidFill>
                <a:schemeClr val="tx2">
                  <a:lumMod val="5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Lbls>
            <c:dLbl>
              <c:idx val="35"/>
              <c:tx>
                <c:rich>
                  <a:bodyPr rot="0" spcFirstLastPara="1" vertOverflow="ellipsis" vert="horz" wrap="square" lIns="38100" tIns="19050" rIns="38100" bIns="19050" anchor="ctr" anchorCtr="1">
                    <a:spAutoFit/>
                  </a:bodyPr>
                  <a:lstStyle/>
                  <a:p>
                    <a:pPr>
                      <a:defRPr sz="1050" b="1" i="0" u="none" strike="noStrike" kern="1200" baseline="0">
                        <a:solidFill>
                          <a:srgbClr val="000000"/>
                        </a:solidFill>
                        <a:latin typeface="Calibri"/>
                        <a:ea typeface="Calibri"/>
                        <a:cs typeface="Calibri"/>
                      </a:defRPr>
                    </a:pPr>
                    <a:r>
                      <a:rPr lang="en-US"/>
                      <a:t>Taiwan </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myData!Taiwan100Dates</c:f>
              <c:numCache>
                <c:formatCode>0</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49</c:v>
                </c:pt>
                <c:pt idx="43">
                  <c:v>56</c:v>
                </c:pt>
                <c:pt idx="44">
                  <c:v>63</c:v>
                </c:pt>
                <c:pt idx="45">
                  <c:v>70</c:v>
                </c:pt>
                <c:pt idx="46">
                  <c:v>77</c:v>
                </c:pt>
                <c:pt idx="47">
                  <c:v>84</c:v>
                </c:pt>
                <c:pt idx="48">
                  <c:v>91</c:v>
                </c:pt>
                <c:pt idx="49">
                  <c:v>98</c:v>
                </c:pt>
              </c:numCache>
            </c:numRef>
          </c:xVal>
          <c:yVal>
            <c:numRef>
              <c:f>myData!Taiwan100Cases</c:f>
              <c:numCache>
                <c:formatCode>0.00</c:formatCode>
                <c:ptCount val="38"/>
                <c:pt idx="0">
                  <c:v>105.84996640943724</c:v>
                </c:pt>
                <c:pt idx="1">
                  <c:v>112.15055964809422</c:v>
                </c:pt>
                <c:pt idx="2">
                  <c:v>118.871192435995</c:v>
                </c:pt>
                <c:pt idx="3">
                  <c:v>125.17178567465199</c:v>
                </c:pt>
                <c:pt idx="4">
                  <c:v>128.53210206860237</c:v>
                </c:pt>
                <c:pt idx="5">
                  <c:v>135.25273485650314</c:v>
                </c:pt>
                <c:pt idx="6">
                  <c:v>138.19301170120974</c:v>
                </c:pt>
                <c:pt idx="7">
                  <c:v>142.39340719364773</c:v>
                </c:pt>
                <c:pt idx="8">
                  <c:v>146.1737631368419</c:v>
                </c:pt>
                <c:pt idx="9">
                  <c:v>149.1140399815485</c:v>
                </c:pt>
                <c:pt idx="10">
                  <c:v>152.4743563754989</c:v>
                </c:pt>
                <c:pt idx="11">
                  <c:v>156.67475186793686</c:v>
                </c:pt>
                <c:pt idx="12">
                  <c:v>157.93487051566828</c:v>
                </c:pt>
                <c:pt idx="13">
                  <c:v>159.19498916339967</c:v>
                </c:pt>
                <c:pt idx="14">
                  <c:v>159.61502871264346</c:v>
                </c:pt>
                <c:pt idx="15">
                  <c:v>160.45510781113106</c:v>
                </c:pt>
                <c:pt idx="16">
                  <c:v>161.71522645886245</c:v>
                </c:pt>
                <c:pt idx="17">
                  <c:v>162.97534510659386</c:v>
                </c:pt>
                <c:pt idx="18">
                  <c:v>165.07554285281284</c:v>
                </c:pt>
                <c:pt idx="19">
                  <c:v>165.07554285281284</c:v>
                </c:pt>
                <c:pt idx="20">
                  <c:v>165.91562195130044</c:v>
                </c:pt>
                <c:pt idx="21">
                  <c:v>165.91562195130044</c:v>
                </c:pt>
                <c:pt idx="22">
                  <c:v>165.91562195130044</c:v>
                </c:pt>
                <c:pt idx="23">
                  <c:v>167.17574059903183</c:v>
                </c:pt>
                <c:pt idx="24">
                  <c:v>176.4166106823954</c:v>
                </c:pt>
                <c:pt idx="25">
                  <c:v>177.25668978088299</c:v>
                </c:pt>
                <c:pt idx="26">
                  <c:v>178.51680842861441</c:v>
                </c:pt>
                <c:pt idx="27">
                  <c:v>178.93684797785821</c:v>
                </c:pt>
                <c:pt idx="28">
                  <c:v>179.356887527102</c:v>
                </c:pt>
                <c:pt idx="29">
                  <c:v>179.7769270763458</c:v>
                </c:pt>
                <c:pt idx="30">
                  <c:v>180.1969666255896</c:v>
                </c:pt>
                <c:pt idx="31">
                  <c:v>180.1969666255896</c:v>
                </c:pt>
                <c:pt idx="32">
                  <c:v>180.1969666255896</c:v>
                </c:pt>
                <c:pt idx="33">
                  <c:v>180.1969666255896</c:v>
                </c:pt>
                <c:pt idx="34">
                  <c:v>180.1969666255896</c:v>
                </c:pt>
                <c:pt idx="35">
                  <c:v>180.1969666255896</c:v>
                </c:pt>
                <c:pt idx="36">
                  <c:v>180.1969666255896</c:v>
                </c:pt>
                <c:pt idx="37">
                  <c:v>181.45708527332098</c:v>
                </c:pt>
              </c:numCache>
            </c:numRef>
          </c:yVal>
          <c:smooth val="0"/>
        </c:ser>
        <c:ser>
          <c:idx val="0"/>
          <c:order val="8"/>
          <c:tx>
            <c:strRef>
              <c:f>myData!ChinaLabel</c:f>
              <c:strCache>
                <c:ptCount val="1"/>
                <c:pt idx="0">
                  <c:v>China from 02-Feb</c:v>
                </c:pt>
              </c:strCache>
            </c:strRef>
          </c:tx>
          <c:spPr>
            <a:ln w="28575" cap="rnd">
              <a:solidFill>
                <a:srgbClr val="CC0099"/>
              </a:solidFill>
              <a:round/>
            </a:ln>
            <a:effectLst/>
          </c:spPr>
          <c:marker>
            <c:symbol val="x"/>
            <c:size val="5"/>
            <c:spPr>
              <a:noFill/>
              <a:ln w="9525">
                <a:solidFill>
                  <a:srgbClr val="CC0099"/>
                </a:solidFill>
              </a:ln>
              <a:effectLst/>
            </c:spPr>
          </c:marker>
          <c:dLbls>
            <c:dLbl>
              <c:idx val="67"/>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0"/>
              <c:showCatName val="0"/>
              <c:showSerName val="0"/>
              <c:showPercent val="0"/>
              <c:showBubbleSize val="0"/>
            </c:dLbl>
            <c:dLbl>
              <c:idx val="81"/>
              <c:tx>
                <c:rich>
                  <a:bodyPr rot="0" spcFirstLastPara="1" vertOverflow="ellipsis" vert="horz" wrap="square" lIns="38100" tIns="19050" rIns="38100" bIns="19050" anchor="ctr" anchorCtr="1">
                    <a:spAutoFit/>
                  </a:bodyPr>
                  <a:lstStyle/>
                  <a:p>
                    <a:pPr>
                      <a:defRPr sz="1100" b="0" i="0" u="none" strike="noStrike" kern="1200" baseline="0">
                        <a:solidFill>
                          <a:srgbClr val="CC0099"/>
                        </a:solidFill>
                        <a:latin typeface="Calibri"/>
                        <a:ea typeface="Calibri"/>
                        <a:cs typeface="Calibri"/>
                      </a:defRPr>
                    </a:pPr>
                    <a:r>
                      <a:rPr lang="en-US"/>
                      <a:t>China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CC0099"/>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myData!China100Dates</c:f>
              <c:numCache>
                <c:formatCode>0</c:formatCode>
                <c:ptCount val="9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numCache>
            </c:numRef>
          </c:xVal>
          <c:yVal>
            <c:numRef>
              <c:f>myData!China100Cases</c:f>
              <c:numCache>
                <c:formatCode>0.0</c:formatCode>
                <c:ptCount val="91"/>
                <c:pt idx="0">
                  <c:v>115.54036886833168</c:v>
                </c:pt>
                <c:pt idx="1">
                  <c:v>136.98099294095175</c:v>
                </c:pt>
                <c:pt idx="2">
                  <c:v>164.7092919279338</c:v>
                </c:pt>
                <c:pt idx="3">
                  <c:v>190.64508248629113</c:v>
                </c:pt>
                <c:pt idx="4">
                  <c:v>212.50951669126044</c:v>
                </c:pt>
                <c:pt idx="5">
                  <c:v>236.98628876120227</c:v>
                </c:pt>
                <c:pt idx="6">
                  <c:v>255.77288872632366</c:v>
                </c:pt>
                <c:pt idx="7">
                  <c:v>276.72022559571752</c:v>
                </c:pt>
                <c:pt idx="8">
                  <c:v>294.26318599214193</c:v>
                </c:pt>
                <c:pt idx="9">
                  <c:v>308.38092679433373</c:v>
                </c:pt>
                <c:pt idx="10">
                  <c:v>310.97242153804314</c:v>
                </c:pt>
                <c:pt idx="11">
                  <c:v>416.13291601736177</c:v>
                </c:pt>
                <c:pt idx="12">
                  <c:v>461.03594692512047</c:v>
                </c:pt>
                <c:pt idx="13">
                  <c:v>475.31348499032924</c:v>
                </c:pt>
                <c:pt idx="14">
                  <c:v>489.90366987448419</c:v>
                </c:pt>
                <c:pt idx="15">
                  <c:v>503.25021518994208</c:v>
                </c:pt>
                <c:pt idx="16">
                  <c:v>515.59629068477227</c:v>
                </c:pt>
                <c:pt idx="17">
                  <c:v>518.43095517655092</c:v>
                </c:pt>
                <c:pt idx="18">
                  <c:v>521.61300502271422</c:v>
                </c:pt>
                <c:pt idx="19">
                  <c:v>524.89927047519291</c:v>
                </c:pt>
                <c:pt idx="20">
                  <c:v>534.98039345943528</c:v>
                </c:pt>
                <c:pt idx="21">
                  <c:v>535.12629530827678</c:v>
                </c:pt>
                <c:pt idx="22">
                  <c:v>536.64784316048156</c:v>
                </c:pt>
                <c:pt idx="23">
                  <c:v>540.21201689646796</c:v>
                </c:pt>
                <c:pt idx="24">
                  <c:v>543.07447221659743</c:v>
                </c:pt>
                <c:pt idx="25">
                  <c:v>546.08977709265605</c:v>
                </c:pt>
                <c:pt idx="26">
                  <c:v>548.36862501741928</c:v>
                </c:pt>
                <c:pt idx="27">
                  <c:v>551.34224365095179</c:v>
                </c:pt>
                <c:pt idx="28">
                  <c:v>555.34412293346293</c:v>
                </c:pt>
                <c:pt idx="29">
                  <c:v>556.7614551793522</c:v>
                </c:pt>
                <c:pt idx="30">
                  <c:v>557.6299185653138</c:v>
                </c:pt>
                <c:pt idx="31">
                  <c:v>558.49838195127541</c:v>
                </c:pt>
                <c:pt idx="32">
                  <c:v>559.54748572151709</c:v>
                </c:pt>
                <c:pt idx="33">
                  <c:v>560.61048490593407</c:v>
                </c:pt>
                <c:pt idx="34">
                  <c:v>561.1663014729495</c:v>
                </c:pt>
                <c:pt idx="35">
                  <c:v>561.5345299485972</c:v>
                </c:pt>
                <c:pt idx="36">
                  <c:v>561.79159511084185</c:v>
                </c:pt>
                <c:pt idx="37">
                  <c:v>561.97918320220958</c:v>
                </c:pt>
                <c:pt idx="38">
                  <c:v>562.21540524319107</c:v>
                </c:pt>
                <c:pt idx="39">
                  <c:v>562.29183002115576</c:v>
                </c:pt>
                <c:pt idx="40">
                  <c:v>562.38215021329574</c:v>
                </c:pt>
                <c:pt idx="41">
                  <c:v>562.60447684010194</c:v>
                </c:pt>
                <c:pt idx="42">
                  <c:v>562.78511722438191</c:v>
                </c:pt>
                <c:pt idx="43">
                  <c:v>562.99354843701269</c:v>
                </c:pt>
                <c:pt idx="44">
                  <c:v>563.16724111420501</c:v>
                </c:pt>
                <c:pt idx="45">
                  <c:v>563.47294022606354</c:v>
                </c:pt>
                <c:pt idx="46">
                  <c:v>563.84811640879889</c:v>
                </c:pt>
                <c:pt idx="47">
                  <c:v>564.50120087504206</c:v>
                </c:pt>
                <c:pt idx="48">
                  <c:v>564.88332476486516</c:v>
                </c:pt>
                <c:pt idx="49">
                  <c:v>565.78652668626523</c:v>
                </c:pt>
                <c:pt idx="50">
                  <c:v>566.22423223278986</c:v>
                </c:pt>
                <c:pt idx="51">
                  <c:v>566.87036899194527</c:v>
                </c:pt>
                <c:pt idx="52">
                  <c:v>567.35670848808377</c:v>
                </c:pt>
                <c:pt idx="53">
                  <c:v>568.19738104569467</c:v>
                </c:pt>
                <c:pt idx="54">
                  <c:v>568.99636736077935</c:v>
                </c:pt>
                <c:pt idx="55">
                  <c:v>569.70503348372392</c:v>
                </c:pt>
                <c:pt idx="56">
                  <c:v>570.55960145551023</c:v>
                </c:pt>
                <c:pt idx="57">
                  <c:v>571.08762719417484</c:v>
                </c:pt>
                <c:pt idx="58">
                  <c:v>571.65039146827792</c:v>
                </c:pt>
                <c:pt idx="59">
                  <c:v>572.22010344946875</c:v>
                </c:pt>
                <c:pt idx="60">
                  <c:v>572.71339065269501</c:v>
                </c:pt>
                <c:pt idx="61">
                  <c:v>573.26225951262268</c:v>
                </c:pt>
                <c:pt idx="62">
                  <c:v>573.48458613942887</c:v>
                </c:pt>
                <c:pt idx="63">
                  <c:v>573.89450085760279</c:v>
                </c:pt>
                <c:pt idx="64">
                  <c:v>574.33220640412742</c:v>
                </c:pt>
                <c:pt idx="65">
                  <c:v>574.70043487977512</c:v>
                </c:pt>
                <c:pt idx="66">
                  <c:v>575.33267622475512</c:v>
                </c:pt>
                <c:pt idx="67">
                  <c:v>575.84680654924443</c:v>
                </c:pt>
                <c:pt idx="68">
                  <c:v>576.2497735603306</c:v>
                </c:pt>
                <c:pt idx="69">
                  <c:v>576.75695617773215</c:v>
                </c:pt>
                <c:pt idx="70">
                  <c:v>577.59068102825529</c:v>
                </c:pt>
                <c:pt idx="71">
                  <c:v>578.13954988818307</c:v>
                </c:pt>
                <c:pt idx="72">
                  <c:v>578.78568664733848</c:v>
                </c:pt>
                <c:pt idx="73">
                  <c:v>579.13307200172312</c:v>
                </c:pt>
                <c:pt idx="74">
                  <c:v>579.45961423484471</c:v>
                </c:pt>
                <c:pt idx="75">
                  <c:v>581.93994566515107</c:v>
                </c:pt>
                <c:pt idx="76">
                  <c:v>582.1275337565188</c:v>
                </c:pt>
                <c:pt idx="77">
                  <c:v>582.25259248409725</c:v>
                </c:pt>
                <c:pt idx="78">
                  <c:v>582.33596496914959</c:v>
                </c:pt>
                <c:pt idx="79">
                  <c:v>582.58608242430648</c:v>
                </c:pt>
                <c:pt idx="80">
                  <c:v>582.69029803062188</c:v>
                </c:pt>
                <c:pt idx="81">
                  <c:v>582.80146134402491</c:v>
                </c:pt>
                <c:pt idx="82">
                  <c:v>582.90567695034031</c:v>
                </c:pt>
                <c:pt idx="83">
                  <c:v>582.97515402121724</c:v>
                </c:pt>
                <c:pt idx="84">
                  <c:v>582.99599714248041</c:v>
                </c:pt>
                <c:pt idx="85">
                  <c:v>583.03768338500652</c:v>
                </c:pt>
                <c:pt idx="86">
                  <c:v>583.19053294093578</c:v>
                </c:pt>
                <c:pt idx="87">
                  <c:v>583.21832376928649</c:v>
                </c:pt>
                <c:pt idx="88">
                  <c:v>583.30169625433882</c:v>
                </c:pt>
                <c:pt idx="89">
                  <c:v>583.32253937560188</c:v>
                </c:pt>
                <c:pt idx="90">
                  <c:v>583.32253937560188</c:v>
                </c:pt>
              </c:numCache>
            </c:numRef>
          </c:yVal>
          <c:smooth val="0"/>
        </c:ser>
        <c:ser>
          <c:idx val="2"/>
          <c:order val="9"/>
          <c:tx>
            <c:strRef>
              <c:f>myData!NZLabel</c:f>
              <c:strCache>
                <c:ptCount val="1"/>
                <c:pt idx="0">
                  <c:v>NZ from 22-Mar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Lbl>
              <c:idx val="39"/>
              <c:layout>
                <c:manualLayout>
                  <c:x val="1.0664773227747617E-2"/>
                  <c:y val="1.8736171429886478E-3"/>
                </c:manualLayout>
              </c:layout>
              <c:tx>
                <c:rich>
                  <a:bodyPr rot="0" spcFirstLastPara="1" vertOverflow="ellipsis" vert="horz" wrap="square" lIns="38100" tIns="19050" rIns="38100" bIns="19050" anchor="ctr" anchorCtr="1">
                    <a:spAutoFit/>
                  </a:bodyPr>
                  <a:lstStyle/>
                  <a:p>
                    <a:pPr>
                      <a:defRPr sz="1000" b="1" i="0" u="none" strike="noStrike" kern="1200" baseline="0">
                        <a:solidFill>
                          <a:srgbClr val="000000"/>
                        </a:solidFill>
                        <a:latin typeface="Calibri"/>
                        <a:ea typeface="Calibri"/>
                        <a:cs typeface="Calibri"/>
                      </a:defRPr>
                    </a:pPr>
                    <a:r>
                      <a:rPr lang="en-US"/>
                      <a:t>NZ </a:t>
                    </a: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0000"/>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myData!NZ100Dates</c:f>
              <c:numCache>
                <c:formatCode>0</c:formatCode>
                <c:ptCount val="5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53</c:v>
                </c:pt>
                <c:pt idx="47">
                  <c:v>60</c:v>
                </c:pt>
                <c:pt idx="48">
                  <c:v>67</c:v>
                </c:pt>
                <c:pt idx="49">
                  <c:v>74</c:v>
                </c:pt>
                <c:pt idx="50">
                  <c:v>81</c:v>
                </c:pt>
                <c:pt idx="51">
                  <c:v>88</c:v>
                </c:pt>
                <c:pt idx="52">
                  <c:v>95</c:v>
                </c:pt>
                <c:pt idx="53">
                  <c:v>102</c:v>
                </c:pt>
              </c:numCache>
            </c:numRef>
          </c:xVal>
          <c:yVal>
            <c:numRef>
              <c:f>myData!NZ100Cases</c:f>
              <c:numCache>
                <c:formatCode>0.0</c:formatCode>
                <c:ptCount val="42"/>
                <c:pt idx="0">
                  <c:v>195.02868068833652</c:v>
                </c:pt>
                <c:pt idx="1">
                  <c:v>195.02868068833652</c:v>
                </c:pt>
                <c:pt idx="2">
                  <c:v>296.36711281070745</c:v>
                </c:pt>
                <c:pt idx="3">
                  <c:v>391.96940726577435</c:v>
                </c:pt>
                <c:pt idx="4">
                  <c:v>541.10898661567876</c:v>
                </c:pt>
                <c:pt idx="5">
                  <c:v>703.63288718929255</c:v>
                </c:pt>
                <c:pt idx="6">
                  <c:v>862.33269598470361</c:v>
                </c:pt>
                <c:pt idx="7">
                  <c:v>982.79158699808795</c:v>
                </c:pt>
                <c:pt idx="8">
                  <c:v>1126.1950286806882</c:v>
                </c:pt>
                <c:pt idx="9">
                  <c:v>1237.093690248566</c:v>
                </c:pt>
                <c:pt idx="10">
                  <c:v>1353.7284894837476</c:v>
                </c:pt>
                <c:pt idx="11">
                  <c:v>1523.9005736137667</c:v>
                </c:pt>
                <c:pt idx="12">
                  <c:v>1659.6558317399617</c:v>
                </c:pt>
                <c:pt idx="13">
                  <c:v>1816.4435946462715</c:v>
                </c:pt>
                <c:pt idx="14">
                  <c:v>1986.6156787762905</c:v>
                </c:pt>
                <c:pt idx="15">
                  <c:v>2114.72275334608</c:v>
                </c:pt>
                <c:pt idx="16">
                  <c:v>2217.9732313575523</c:v>
                </c:pt>
                <c:pt idx="17">
                  <c:v>2313.5755258126196</c:v>
                </c:pt>
                <c:pt idx="18">
                  <c:v>2369.024856596558</c:v>
                </c:pt>
                <c:pt idx="19">
                  <c:v>2453.1548757170171</c:v>
                </c:pt>
                <c:pt idx="20">
                  <c:v>2508.604206500956</c:v>
                </c:pt>
                <c:pt idx="21">
                  <c:v>2543.0210325047801</c:v>
                </c:pt>
                <c:pt idx="22">
                  <c:v>2579.3499043977054</c:v>
                </c:pt>
                <c:pt idx="23">
                  <c:v>2611.8546845124283</c:v>
                </c:pt>
                <c:pt idx="24">
                  <c:v>2650.0956022944551</c:v>
                </c:pt>
                <c:pt idx="25">
                  <c:v>2678.7762906309749</c:v>
                </c:pt>
                <c:pt idx="26">
                  <c:v>2694.0726577437858</c:v>
                </c:pt>
                <c:pt idx="27">
                  <c:v>2718.9292543021033</c:v>
                </c:pt>
                <c:pt idx="28">
                  <c:v>2736.1376673040154</c:v>
                </c:pt>
                <c:pt idx="29">
                  <c:v>2753.3460803059274</c:v>
                </c:pt>
                <c:pt idx="30">
                  <c:v>2762.906309751434</c:v>
                </c:pt>
                <c:pt idx="31">
                  <c:v>2774.3785850860418</c:v>
                </c:pt>
                <c:pt idx="32">
                  <c:v>2783.9388145315488</c:v>
                </c:pt>
                <c:pt idx="33">
                  <c:v>2793.4990439770554</c:v>
                </c:pt>
                <c:pt idx="34">
                  <c:v>2810.7074569789675</c:v>
                </c:pt>
                <c:pt idx="35">
                  <c:v>2808.7954110898659</c:v>
                </c:pt>
                <c:pt idx="36">
                  <c:v>2814.5315487571702</c:v>
                </c:pt>
                <c:pt idx="37">
                  <c:v>2818.3556405353729</c:v>
                </c:pt>
                <c:pt idx="38">
                  <c:v>2822.1797323135756</c:v>
                </c:pt>
                <c:pt idx="39">
                  <c:v>2827.9158699808795</c:v>
                </c:pt>
                <c:pt idx="40">
                  <c:v>2839.3881453154872</c:v>
                </c:pt>
                <c:pt idx="41">
                  <c:v>2843.21223709369</c:v>
                </c:pt>
              </c:numCache>
            </c:numRef>
          </c:yVal>
          <c:smooth val="0"/>
        </c:ser>
        <c:ser>
          <c:idx val="3"/>
          <c:order val="10"/>
          <c:tx>
            <c:strRef>
              <c:f>myData!GenericLabel</c:f>
              <c:strCache>
                <c:ptCount val="1"/>
                <c:pt idx="0">
                  <c:v>Ireland from 15-Mar</c:v>
                </c:pt>
              </c:strCache>
            </c:strRef>
          </c:tx>
          <c:spPr>
            <a:ln w="34925" cap="rnd">
              <a:solidFill>
                <a:schemeClr val="accent6">
                  <a:lumMod val="75000"/>
                </a:schemeClr>
              </a:solidFill>
              <a:round/>
            </a:ln>
            <a:effectLst/>
          </c:spPr>
          <c:marker>
            <c:symbol val="x"/>
            <c:size val="5"/>
            <c:spPr>
              <a:noFill/>
              <a:ln w="9525">
                <a:solidFill>
                  <a:schemeClr val="accent6">
                    <a:lumMod val="40000"/>
                    <a:lumOff val="60000"/>
                  </a:schemeClr>
                </a:solidFill>
              </a:ln>
              <a:effectLst/>
            </c:spPr>
          </c:marker>
          <c:dLbls>
            <c:dLbl>
              <c:idx val="48"/>
              <c:tx>
                <c:rich>
                  <a:bodyPr rot="0" spcFirstLastPara="1" vertOverflow="ellipsis" vert="horz" wrap="square" lIns="38100" tIns="19050" rIns="38100" bIns="19050" anchor="ctr" anchorCtr="1">
                    <a:spAutoFit/>
                  </a:bodyPr>
                  <a:lstStyle/>
                  <a:p>
                    <a:pPr>
                      <a:defRPr sz="900" b="1" i="0" u="none" strike="noStrike" kern="1200" baseline="0">
                        <a:solidFill>
                          <a:srgbClr val="548235"/>
                        </a:solidFill>
                        <a:latin typeface="Calibri"/>
                        <a:ea typeface="Calibri"/>
                        <a:cs typeface="Calibri"/>
                      </a:defRPr>
                    </a:pPr>
                    <a:r>
                      <a:rPr lang="en-US"/>
                      <a:t>Ireland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548235"/>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myData!Generic100Dates</c:f>
              <c:numCache>
                <c:formatCode>0</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myData!Generic100Cases</c:f>
              <c:numCache>
                <c:formatCode>0.0</c:formatCode>
                <c:ptCount val="51"/>
                <c:pt idx="0">
                  <c:v>183.67346938775512</c:v>
                </c:pt>
                <c:pt idx="1">
                  <c:v>263.26530612244898</c:v>
                </c:pt>
                <c:pt idx="2">
                  <c:v>263.26530612244898</c:v>
                </c:pt>
                <c:pt idx="3">
                  <c:v>344.89795918367349</c:v>
                </c:pt>
                <c:pt idx="4">
                  <c:v>455.10204081632656</c:v>
                </c:pt>
                <c:pt idx="5">
                  <c:v>595.91836734693879</c:v>
                </c:pt>
                <c:pt idx="6">
                  <c:v>1136.7346938775511</c:v>
                </c:pt>
                <c:pt idx="7">
                  <c:v>1393.8775510204082</c:v>
                </c:pt>
                <c:pt idx="8">
                  <c:v>1602.0408163265306</c:v>
                </c:pt>
                <c:pt idx="9">
                  <c:v>1848.9795918367347</c:v>
                </c:pt>
                <c:pt idx="10">
                  <c:v>2295.9183673469388</c:v>
                </c:pt>
                <c:pt idx="11">
                  <c:v>2712.2448979591836</c:v>
                </c:pt>
                <c:pt idx="12">
                  <c:v>3191.8367346938776</c:v>
                </c:pt>
                <c:pt idx="13">
                  <c:v>3712.2448979591836</c:v>
                </c:pt>
                <c:pt idx="14">
                  <c:v>4328.5714285714284</c:v>
                </c:pt>
                <c:pt idx="15">
                  <c:v>4928.5714285714284</c:v>
                </c:pt>
                <c:pt idx="16">
                  <c:v>5336.7346938775509</c:v>
                </c:pt>
                <c:pt idx="17">
                  <c:v>5938.7755102040819</c:v>
                </c:pt>
                <c:pt idx="18">
                  <c:v>6602.0408163265311</c:v>
                </c:pt>
                <c:pt idx="19">
                  <c:v>7034.6938775510207</c:v>
                </c:pt>
                <c:pt idx="20">
                  <c:v>7855.1020408163267</c:v>
                </c:pt>
                <c:pt idx="21">
                  <c:v>8720.4081632653069</c:v>
                </c:pt>
                <c:pt idx="22">
                  <c:v>9395.9183673469397</c:v>
                </c:pt>
                <c:pt idx="23">
                  <c:v>10191.836734693878</c:v>
                </c:pt>
                <c:pt idx="24">
                  <c:v>10946.938775510203</c:v>
                </c:pt>
                <c:pt idx="25">
                  <c:v>11651.020408163266</c:v>
                </c:pt>
                <c:pt idx="26">
                  <c:v>12395.91836734694</c:v>
                </c:pt>
                <c:pt idx="27">
                  <c:v>13416.326530612245</c:v>
                </c:pt>
                <c:pt idx="28">
                  <c:v>16508.163265306124</c:v>
                </c:pt>
                <c:pt idx="29">
                  <c:v>18220.408163265307</c:v>
                </c:pt>
                <c:pt idx="30">
                  <c:v>19704.081632653062</c:v>
                </c:pt>
                <c:pt idx="31" formatCode="0">
                  <c:v>21728.571428571428</c:v>
                </c:pt>
                <c:pt idx="32" formatCode="0">
                  <c:v>23426.5306122449</c:v>
                </c:pt>
                <c:pt idx="33" formatCode="0">
                  <c:v>25606.122448979593</c:v>
                </c:pt>
                <c:pt idx="34" formatCode="0">
                  <c:v>27083.673469387755</c:v>
                </c:pt>
                <c:pt idx="35" formatCode="0">
                  <c:v>28530.612244897959</c:v>
                </c:pt>
                <c:pt idx="36" formatCode="0">
                  <c:v>30118.367346938776</c:v>
                </c:pt>
                <c:pt idx="37" formatCode="0">
                  <c:v>31124.489795918369</c:v>
                </c:pt>
                <c:pt idx="38" formatCode="0">
                  <c:v>31942.857142857145</c:v>
                </c:pt>
                <c:pt idx="39" formatCode="0">
                  <c:v>32734.693877551021</c:v>
                </c:pt>
                <c:pt idx="40">
                  <c:v>34022.448979591834</c:v>
                </c:pt>
                <c:pt idx="41">
                  <c:v>35932.65306122449</c:v>
                </c:pt>
                <c:pt idx="42">
                  <c:v>37110.204081632655</c:v>
                </c:pt>
                <c:pt idx="43">
                  <c:v>37879.591836734697</c:v>
                </c:pt>
                <c:pt idx="44">
                  <c:v>39310.204081632655</c:v>
                </c:pt>
                <c:pt idx="45">
                  <c:v>40097.959183673469</c:v>
                </c:pt>
                <c:pt idx="46">
                  <c:v>40565.306122448979</c:v>
                </c:pt>
                <c:pt idx="47">
                  <c:v>41332.65306122449</c:v>
                </c:pt>
                <c:pt idx="48">
                  <c:v>42065.306122448979</c:v>
                </c:pt>
                <c:pt idx="49">
                  <c:v>42516.326530612248</c:v>
                </c:pt>
                <c:pt idx="50">
                  <c:v>43216.326530612248</c:v>
                </c:pt>
              </c:numCache>
            </c:numRef>
          </c:yVal>
          <c:smooth val="0"/>
        </c:ser>
        <c:ser>
          <c:idx val="5"/>
          <c:order val="11"/>
          <c:tx>
            <c:strRef>
              <c:f>TST!SwedenSeriesLabel</c:f>
              <c:strCache>
                <c:ptCount val="1"/>
                <c:pt idx="0">
                  <c:v>Sweden from 07-Mar</c:v>
                </c:pt>
              </c:strCache>
            </c:strRef>
          </c:tx>
          <c:spPr>
            <a:ln w="19050" cap="rnd">
              <a:solidFill>
                <a:srgbClr val="FF99FF"/>
              </a:solidFill>
              <a:round/>
            </a:ln>
            <a:effectLst/>
          </c:spPr>
          <c:marker>
            <c:symbol val="circle"/>
            <c:size val="5"/>
            <c:spPr>
              <a:solidFill>
                <a:srgbClr val="FFCCFF"/>
              </a:solidFill>
              <a:ln w="9525">
                <a:solidFill>
                  <a:srgbClr val="FF99FF"/>
                </a:solidFill>
              </a:ln>
              <a:effectLst/>
            </c:spPr>
          </c:marker>
          <c:dLbls>
            <c:dLbl>
              <c:idx val="54"/>
              <c:layout>
                <c:manualLayout>
                  <c:x val="3.0029948417395862E-2"/>
                  <c:y val="-1.9002797768360561E-2"/>
                </c:manualLayout>
              </c:layout>
              <c:tx>
                <c:rich>
                  <a:bodyPr rot="0" spcFirstLastPara="1" vertOverflow="ellipsis" vert="horz" wrap="square" lIns="38100" tIns="19050" rIns="38100" bIns="19050" anchor="ctr" anchorCtr="1">
                    <a:spAutoFit/>
                  </a:bodyPr>
                  <a:lstStyle/>
                  <a:p>
                    <a:pPr>
                      <a:defRPr sz="1000" b="1" i="0" u="none" strike="noStrike" kern="1200" baseline="0">
                        <a:solidFill>
                          <a:srgbClr val="CC0099"/>
                        </a:solidFill>
                        <a:latin typeface="Calibri"/>
                        <a:ea typeface="Calibri"/>
                        <a:cs typeface="Calibri"/>
                      </a:defRPr>
                    </a:pPr>
                    <a:r>
                      <a:rPr lang="en-US"/>
                      <a:t>Sweden </a:t>
                    </a: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C0099"/>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C009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TST!Sweden100Days</c:f>
              <c:numCache>
                <c:formatCode>####0</c:formatCode>
                <c:ptCount val="5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formatCode="0">
                  <c:v>48</c:v>
                </c:pt>
                <c:pt idx="48" formatCode="0">
                  <c:v>49</c:v>
                </c:pt>
                <c:pt idx="49" formatCode="0">
                  <c:v>50</c:v>
                </c:pt>
                <c:pt idx="50" formatCode="0">
                  <c:v>51</c:v>
                </c:pt>
                <c:pt idx="51" formatCode="0">
                  <c:v>52</c:v>
                </c:pt>
                <c:pt idx="52" formatCode="0">
                  <c:v>53</c:v>
                </c:pt>
                <c:pt idx="53" formatCode="0">
                  <c:v>54</c:v>
                </c:pt>
                <c:pt idx="54" formatCode="0">
                  <c:v>55</c:v>
                </c:pt>
                <c:pt idx="55" formatCode="0">
                  <c:v>56</c:v>
                </c:pt>
                <c:pt idx="56" formatCode="0">
                  <c:v>57</c:v>
                </c:pt>
              </c:numCache>
            </c:numRef>
          </c:xVal>
          <c:yVal>
            <c:numRef>
              <c:f>TST!Sweden100Cases</c:f>
              <c:numCache>
                <c:formatCode>0.0</c:formatCode>
                <c:ptCount val="57"/>
                <c:pt idx="0">
                  <c:v>157.38025415444773</c:v>
                </c:pt>
                <c:pt idx="1">
                  <c:v>198.43597262952105</c:v>
                </c:pt>
                <c:pt idx="2">
                  <c:v>242.42424242424244</c:v>
                </c:pt>
                <c:pt idx="3">
                  <c:v>347.01857282502448</c:v>
                </c:pt>
                <c:pt idx="4">
                  <c:v>488.75855327468236</c:v>
                </c:pt>
                <c:pt idx="5">
                  <c:v>585.53274682306949</c:v>
                </c:pt>
                <c:pt idx="6">
                  <c:v>795.69892473118284</c:v>
                </c:pt>
                <c:pt idx="7">
                  <c:v>939.39393939393949</c:v>
                </c:pt>
                <c:pt idx="8">
                  <c:v>999.02248289345073</c:v>
                </c:pt>
                <c:pt idx="9">
                  <c:v>1078.2013685239492</c:v>
                </c:pt>
                <c:pt idx="10">
                  <c:v>1163.2453567937439</c:v>
                </c:pt>
                <c:pt idx="11">
                  <c:v>1250.2443792766373</c:v>
                </c:pt>
                <c:pt idx="12">
                  <c:v>1406.6471163245358</c:v>
                </c:pt>
                <c:pt idx="13">
                  <c:v>1602.1505376344087</c:v>
                </c:pt>
                <c:pt idx="14">
                  <c:v>1723.3626588465299</c:v>
                </c:pt>
                <c:pt idx="15">
                  <c:v>1890.5180840664714</c:v>
                </c:pt>
                <c:pt idx="16">
                  <c:v>2000.0000000000002</c:v>
                </c:pt>
                <c:pt idx="17">
                  <c:v>2234.6041055718479</c:v>
                </c:pt>
                <c:pt idx="18">
                  <c:v>2469.2082111436953</c:v>
                </c:pt>
                <c:pt idx="19">
                  <c:v>2776.1485826001958</c:v>
                </c:pt>
                <c:pt idx="20">
                  <c:v>3000.0000000000005</c:v>
                </c:pt>
                <c:pt idx="21">
                  <c:v>3369.5014662756603</c:v>
                </c:pt>
                <c:pt idx="22">
                  <c:v>3616.8132942326492</c:v>
                </c:pt>
                <c:pt idx="23">
                  <c:v>3937.4389051808412</c:v>
                </c:pt>
                <c:pt idx="24">
                  <c:v>4335.2883675464327</c:v>
                </c:pt>
                <c:pt idx="25">
                  <c:v>4835.7771260997069</c:v>
                </c:pt>
                <c:pt idx="26">
                  <c:v>5442.8152492668623</c:v>
                </c:pt>
                <c:pt idx="27">
                  <c:v>5993.1573802541552</c:v>
                </c:pt>
                <c:pt idx="28">
                  <c:v>6298.142717497557</c:v>
                </c:pt>
                <c:pt idx="29">
                  <c:v>6676.4418377321608</c:v>
                </c:pt>
                <c:pt idx="30">
                  <c:v>7043.9882697947223</c:v>
                </c:pt>
                <c:pt idx="31">
                  <c:v>7520.0391006842628</c:v>
                </c:pt>
                <c:pt idx="32">
                  <c:v>8229.7165200391009</c:v>
                </c:pt>
                <c:pt idx="33">
                  <c:v>8935.4838709677424</c:v>
                </c:pt>
                <c:pt idx="34">
                  <c:v>9467.253176930597</c:v>
                </c:pt>
                <c:pt idx="35">
                  <c:v>9922.7761485826013</c:v>
                </c:pt>
                <c:pt idx="36">
                  <c:v>10247.31182795699</c:v>
                </c:pt>
                <c:pt idx="37">
                  <c:v>10701.857282502444</c:v>
                </c:pt>
                <c:pt idx="38">
                  <c:v>11187.683284457478</c:v>
                </c:pt>
                <c:pt idx="39">
                  <c:v>11658.846529814273</c:v>
                </c:pt>
                <c:pt idx="40">
                  <c:v>12258.064516129034</c:v>
                </c:pt>
                <c:pt idx="41">
                  <c:v>12918.866080156404</c:v>
                </c:pt>
                <c:pt idx="42">
                  <c:v>13511.241446725318</c:v>
                </c:pt>
                <c:pt idx="43">
                  <c:v>14061.58357771261</c:v>
                </c:pt>
                <c:pt idx="44">
                  <c:v>14444.770283479962</c:v>
                </c:pt>
                <c:pt idx="45">
                  <c:v>14977.517106549365</c:v>
                </c:pt>
                <c:pt idx="46">
                  <c:v>15644.183773216033</c:v>
                </c:pt>
                <c:pt idx="47">
                  <c:v>16378.299120234606</c:v>
                </c:pt>
                <c:pt idx="48">
                  <c:v>17172.043010752688</c:v>
                </c:pt>
                <c:pt idx="49">
                  <c:v>17768.328445747804</c:v>
                </c:pt>
                <c:pt idx="50">
                  <c:v>18220.918866080159</c:v>
                </c:pt>
                <c:pt idx="51">
                  <c:v>18500.488758553278</c:v>
                </c:pt>
                <c:pt idx="52">
                  <c:v>19179.863147605083</c:v>
                </c:pt>
                <c:pt idx="53">
                  <c:v>19845.552297165203</c:v>
                </c:pt>
                <c:pt idx="54">
                  <c:v>20617.7908113392</c:v>
                </c:pt>
                <c:pt idx="55">
                  <c:v>21036.16813294233</c:v>
                </c:pt>
                <c:pt idx="56">
                  <c:v>21585.532746823072</c:v>
                </c:pt>
              </c:numCache>
            </c:numRef>
          </c:yVal>
          <c:smooth val="0"/>
        </c:ser>
        <c:ser>
          <c:idx val="8"/>
          <c:order val="12"/>
          <c:tx>
            <c:strRef>
              <c:f>TST!SpainSeriesLabel</c:f>
              <c:strCache>
                <c:ptCount val="1"/>
                <c:pt idx="0">
                  <c:v>Spain from 07-Mar</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dLbls>
            <c:dLbl>
              <c:idx val="54"/>
              <c:tx>
                <c:rich>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Calibri"/>
                        <a:ea typeface="Calibri"/>
                        <a:cs typeface="Calibri"/>
                      </a:defRPr>
                    </a:pPr>
                    <a:r>
                      <a:rPr lang="en-US"/>
                      <a:t>Spain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TST!Spain100Days</c:f>
              <c:numCache>
                <c:formatCode>####0</c:formatCode>
                <c:ptCount val="5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numCache>
            </c:numRef>
          </c:xVal>
          <c:yVal>
            <c:numRef>
              <c:f>TST!Spain100Cases</c:f>
              <c:numCache>
                <c:formatCode>0.0</c:formatCode>
                <c:ptCount val="57"/>
                <c:pt idx="0">
                  <c:v>106.51896037494674</c:v>
                </c:pt>
                <c:pt idx="1">
                  <c:v>143.3745206646783</c:v>
                </c:pt>
                <c:pt idx="2">
                  <c:v>228.58968896463571</c:v>
                </c:pt>
                <c:pt idx="3">
                  <c:v>361.09927567106945</c:v>
                </c:pt>
                <c:pt idx="4">
                  <c:v>485.08734554750748</c:v>
                </c:pt>
                <c:pt idx="5">
                  <c:v>485.08734554750748</c:v>
                </c:pt>
                <c:pt idx="6">
                  <c:v>1114.6144013634428</c:v>
                </c:pt>
                <c:pt idx="7">
                  <c:v>1361.5253515125692</c:v>
                </c:pt>
                <c:pt idx="8">
                  <c:v>1661.2697060076694</c:v>
                </c:pt>
                <c:pt idx="9">
                  <c:v>2118.0230080954411</c:v>
                </c:pt>
                <c:pt idx="10">
                  <c:v>2502.7694929697486</c:v>
                </c:pt>
                <c:pt idx="11">
                  <c:v>2963.3574776310184</c:v>
                </c:pt>
                <c:pt idx="12">
                  <c:v>3826.8001704303365</c:v>
                </c:pt>
                <c:pt idx="13">
                  <c:v>4348.1039625053263</c:v>
                </c:pt>
                <c:pt idx="14">
                  <c:v>5405.6242011077975</c:v>
                </c:pt>
                <c:pt idx="15">
                  <c:v>6128.6749041329358</c:v>
                </c:pt>
                <c:pt idx="16">
                  <c:v>7485.3003834682577</c:v>
                </c:pt>
                <c:pt idx="17">
                  <c:v>8497.0174691095017</c:v>
                </c:pt>
                <c:pt idx="18">
                  <c:v>10548.572645930975</c:v>
                </c:pt>
                <c:pt idx="19">
                  <c:v>12310.609288453345</c:v>
                </c:pt>
                <c:pt idx="20">
                  <c:v>14000.63911376225</c:v>
                </c:pt>
                <c:pt idx="21">
                  <c:v>15601.83212611845</c:v>
                </c:pt>
                <c:pt idx="22">
                  <c:v>17066.467831273967</c:v>
                </c:pt>
                <c:pt idx="23">
                  <c:v>18737.963357477631</c:v>
                </c:pt>
                <c:pt idx="24">
                  <c:v>20435.236472092034</c:v>
                </c:pt>
                <c:pt idx="25">
                  <c:v>22181.082232637411</c:v>
                </c:pt>
                <c:pt idx="26">
                  <c:v>23874.094588836811</c:v>
                </c:pt>
                <c:pt idx="27">
                  <c:v>25393.907115466554</c:v>
                </c:pt>
                <c:pt idx="28">
                  <c:v>26878.568385172563</c:v>
                </c:pt>
                <c:pt idx="29">
                  <c:v>28045.590115040479</c:v>
                </c:pt>
                <c:pt idx="30">
                  <c:v>29116.957818491694</c:v>
                </c:pt>
                <c:pt idx="31">
                  <c:v>30239.02854708138</c:v>
                </c:pt>
                <c:pt idx="32">
                  <c:v>31576.480613549211</c:v>
                </c:pt>
                <c:pt idx="33">
                  <c:v>32642.096293140181</c:v>
                </c:pt>
                <c:pt idx="34">
                  <c:v>33718.150830847888</c:v>
                </c:pt>
                <c:pt idx="35">
                  <c:v>34730.933106092882</c:v>
                </c:pt>
                <c:pt idx="36">
                  <c:v>35541.32935662548</c:v>
                </c:pt>
                <c:pt idx="37">
                  <c:v>36237.537281636134</c:v>
                </c:pt>
                <c:pt idx="38">
                  <c:v>36757.775884107374</c:v>
                </c:pt>
                <c:pt idx="39">
                  <c:v>37844.908393694081</c:v>
                </c:pt>
                <c:pt idx="40">
                  <c:v>39400.9373668513</c:v>
                </c:pt>
                <c:pt idx="41">
                  <c:v>40655.94375798892</c:v>
                </c:pt>
                <c:pt idx="42">
                  <c:v>40844.908393694081</c:v>
                </c:pt>
                <c:pt idx="43">
                  <c:v>42325.095867064338</c:v>
                </c:pt>
                <c:pt idx="44">
                  <c:v>42652.322113336173</c:v>
                </c:pt>
                <c:pt idx="45">
                  <c:v>43497.65658287175</c:v>
                </c:pt>
                <c:pt idx="46">
                  <c:v>44394.759267149551</c:v>
                </c:pt>
                <c:pt idx="47">
                  <c:v>45382.190029825309</c:v>
                </c:pt>
                <c:pt idx="48">
                  <c:v>43244.567533020876</c:v>
                </c:pt>
                <c:pt idx="49">
                  <c:v>43865.573072006817</c:v>
                </c:pt>
                <c:pt idx="50">
                  <c:v>44233.91563698338</c:v>
                </c:pt>
                <c:pt idx="51">
                  <c:v>44623.988069876439</c:v>
                </c:pt>
                <c:pt idx="52">
                  <c:v>44902.641670217301</c:v>
                </c:pt>
                <c:pt idx="53">
                  <c:v>45359.394972305068</c:v>
                </c:pt>
                <c:pt idx="54">
                  <c:v>45469.748615253513</c:v>
                </c:pt>
                <c:pt idx="55">
                  <c:v>45469.748615253513</c:v>
                </c:pt>
                <c:pt idx="56">
                  <c:v>46140.178951853428</c:v>
                </c:pt>
              </c:numCache>
            </c:numRef>
          </c:yVal>
          <c:smooth val="0"/>
        </c:ser>
        <c:ser>
          <c:idx val="9"/>
          <c:order val="13"/>
          <c:tx>
            <c:strRef>
              <c:f>TST!JapanSeriesLabel</c:f>
              <c:strCache>
                <c:ptCount val="1"/>
                <c:pt idx="0">
                  <c:v>Japan from 25-Mar</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TST!Japan100Days</c:f>
              <c:numCache>
                <c:formatCode>####0</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numCache>
            </c:numRef>
          </c:xVal>
          <c:yVal>
            <c:numRef>
              <c:f>TST!Japan100Cases</c:f>
              <c:numCache>
                <c:formatCode>0.0</c:formatCode>
                <c:ptCount val="39"/>
                <c:pt idx="0">
                  <c:v>103.27590621387739</c:v>
                </c:pt>
                <c:pt idx="1">
                  <c:v>109.59730827746591</c:v>
                </c:pt>
                <c:pt idx="2">
                  <c:v>115.99772786684927</c:v>
                </c:pt>
                <c:pt idx="3">
                  <c:v>133.77667117069197</c:v>
                </c:pt>
                <c:pt idx="4">
                  <c:v>147.44670313320216</c:v>
                </c:pt>
                <c:pt idx="5">
                  <c:v>147.44670313320216</c:v>
                </c:pt>
                <c:pt idx="6">
                  <c:v>154.32122787735466</c:v>
                </c:pt>
                <c:pt idx="7">
                  <c:v>172.10017118119737</c:v>
                </c:pt>
                <c:pt idx="8">
                  <c:v>197.14872685816687</c:v>
                </c:pt>
                <c:pt idx="9">
                  <c:v>206.78886500513934</c:v>
                </c:pt>
                <c:pt idx="10">
                  <c:v>248.03601347005443</c:v>
                </c:pt>
                <c:pt idx="11">
                  <c:v>248.03601347005443</c:v>
                </c:pt>
                <c:pt idx="12">
                  <c:v>288.73003925440548</c:v>
                </c:pt>
                <c:pt idx="13">
                  <c:v>308.64245575470932</c:v>
                </c:pt>
                <c:pt idx="14">
                  <c:v>336.37760730870394</c:v>
                </c:pt>
                <c:pt idx="15">
                  <c:v>368.77479288459512</c:v>
                </c:pt>
                <c:pt idx="16">
                  <c:v>436.96691764555624</c:v>
                </c:pt>
                <c:pt idx="17">
                  <c:v>474.50024239811302</c:v>
                </c:pt>
                <c:pt idx="18">
                  <c:v>533.2102640636914</c:v>
                </c:pt>
                <c:pt idx="19">
                  <c:v>582.35916510809204</c:v>
                </c:pt>
                <c:pt idx="20">
                  <c:v>604.08898470167765</c:v>
                </c:pt>
                <c:pt idx="21">
                  <c:v>640.0419589383373</c:v>
                </c:pt>
                <c:pt idx="22">
                  <c:v>681.6051775064318</c:v>
                </c:pt>
                <c:pt idx="23">
                  <c:v>773.34452495426012</c:v>
                </c:pt>
                <c:pt idx="24">
                  <c:v>813.56444558384203</c:v>
                </c:pt>
                <c:pt idx="25">
                  <c:v>853.15222600706522</c:v>
                </c:pt>
                <c:pt idx="26">
                  <c:v>853.15222600706522</c:v>
                </c:pt>
                <c:pt idx="27">
                  <c:v>879.86014972572661</c:v>
                </c:pt>
                <c:pt idx="28">
                  <c:v>909.64975695038754</c:v>
                </c:pt>
                <c:pt idx="29">
                  <c:v>977.28875903078472</c:v>
                </c:pt>
                <c:pt idx="30">
                  <c:v>1013.7158384222134</c:v>
                </c:pt>
                <c:pt idx="31">
                  <c:v>1045.4808837917458</c:v>
                </c:pt>
                <c:pt idx="32">
                  <c:v>1062.0745642086656</c:v>
                </c:pt>
                <c:pt idx="33">
                  <c:v>1118.3350425746034</c:v>
                </c:pt>
                <c:pt idx="34">
                  <c:v>1085.3847343181483</c:v>
                </c:pt>
                <c:pt idx="35">
                  <c:v>1097.9485209195304</c:v>
                </c:pt>
                <c:pt idx="36">
                  <c:v>1113.1989033979378</c:v>
                </c:pt>
                <c:pt idx="37">
                  <c:v>1130.3457064954216</c:v>
                </c:pt>
                <c:pt idx="38">
                  <c:v>1151.3643683568534</c:v>
                </c:pt>
              </c:numCache>
            </c:numRef>
          </c:yVal>
          <c:smooth val="0"/>
        </c:ser>
        <c:ser>
          <c:idx val="15"/>
          <c:order val="14"/>
          <c:tx>
            <c:strRef>
              <c:f>TST!QueenslandSeriesLabel</c:f>
              <c:strCache>
                <c:ptCount val="1"/>
                <c:pt idx="0">
                  <c:v>Queensland from 15-Mar</c:v>
                </c:pt>
              </c:strCache>
            </c:strRef>
          </c:tx>
          <c:spPr>
            <a:ln w="19050"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dLbls>
            <c:dLbl>
              <c:idx val="46"/>
              <c:layout>
                <c:manualLayout>
                  <c:x val="4.2529330758141826E-3"/>
                  <c:y val="4.0260248347146761E-2"/>
                </c:manualLayout>
              </c:layout>
              <c:tx>
                <c:rich>
                  <a:bodyPr rot="0" spcFirstLastPara="1" vertOverflow="ellipsis" vert="horz" wrap="square" lIns="38100" tIns="19050" rIns="38100" bIns="19050" anchor="ctr" anchorCtr="1">
                    <a:spAutoFit/>
                  </a:bodyPr>
                  <a:lstStyle/>
                  <a:p>
                    <a:pPr>
                      <a:defRPr sz="1100" b="1" i="0" u="none" strike="noStrike" kern="1200" baseline="0">
                        <a:solidFill>
                          <a:srgbClr val="BF9000"/>
                        </a:solidFill>
                        <a:latin typeface="Calibri"/>
                        <a:ea typeface="Calibri"/>
                        <a:cs typeface="Calibri"/>
                      </a:defRPr>
                    </a:pPr>
                    <a:r>
                      <a:rPr lang="en-US"/>
                      <a:t>Queensland </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BF9000"/>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TST!Queensland100Days</c:f>
              <c:numCache>
                <c:formatCode>####0</c:formatCode>
                <c:ptCount val="4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numCache>
            </c:numRef>
          </c:xVal>
          <c:yVal>
            <c:numRef>
              <c:f>TST!Queensland100Cases</c:f>
              <c:numCache>
                <c:formatCode>0.0</c:formatCode>
                <c:ptCount val="49"/>
                <c:pt idx="0">
                  <c:v>119.246572785078</c:v>
                </c:pt>
                <c:pt idx="1">
                  <c:v>132.93060572762792</c:v>
                </c:pt>
                <c:pt idx="2">
                  <c:v>152.47922421698499</c:v>
                </c:pt>
                <c:pt idx="3">
                  <c:v>183.75701379995627</c:v>
                </c:pt>
                <c:pt idx="4">
                  <c:v>281.5001062467415</c:v>
                </c:pt>
                <c:pt idx="5">
                  <c:v>359.69458020416971</c:v>
                </c:pt>
                <c:pt idx="6">
                  <c:v>432.02446861479081</c:v>
                </c:pt>
                <c:pt idx="7">
                  <c:v>506.30921887434755</c:v>
                </c:pt>
                <c:pt idx="8">
                  <c:v>623.6009298104899</c:v>
                </c:pt>
                <c:pt idx="9">
                  <c:v>776.0801540274748</c:v>
                </c:pt>
                <c:pt idx="10">
                  <c:v>866.00379907851732</c:v>
                </c:pt>
                <c:pt idx="11">
                  <c:v>963.74689152530254</c:v>
                </c:pt>
                <c:pt idx="12">
                  <c:v>1084.9483261593161</c:v>
                </c:pt>
                <c:pt idx="13">
                  <c:v>1221.7886555848156</c:v>
                </c:pt>
                <c:pt idx="14">
                  <c:v>1282.3893729018223</c:v>
                </c:pt>
                <c:pt idx="15">
                  <c:v>1346.8998139167006</c:v>
                </c:pt>
                <c:pt idx="16">
                  <c:v>1452.4623537592288</c:v>
                </c:pt>
                <c:pt idx="17">
                  <c:v>1526.7471040187854</c:v>
                </c:pt>
                <c:pt idx="18">
                  <c:v>1632.3096438613136</c:v>
                </c:pt>
                <c:pt idx="19">
                  <c:v>1706.5943941208704</c:v>
                </c:pt>
                <c:pt idx="20">
                  <c:v>1759.3756640421343</c:v>
                </c:pt>
                <c:pt idx="21">
                  <c:v>1773.0596969846843</c:v>
                </c:pt>
                <c:pt idx="22">
                  <c:v>1800.4277628697841</c:v>
                </c:pt>
                <c:pt idx="23">
                  <c:v>1825.8409669059483</c:v>
                </c:pt>
                <c:pt idx="24">
                  <c:v>1843.4347235463697</c:v>
                </c:pt>
                <c:pt idx="25">
                  <c:v>1862.9833420357268</c:v>
                </c:pt>
                <c:pt idx="26">
                  <c:v>1886.4416842229552</c:v>
                </c:pt>
                <c:pt idx="27">
                  <c:v>1904.0354408633766</c:v>
                </c:pt>
                <c:pt idx="28">
                  <c:v>1921.629197503798</c:v>
                </c:pt>
                <c:pt idx="29">
                  <c:v>1929.4486448995408</c:v>
                </c:pt>
                <c:pt idx="30">
                  <c:v>1950.9521252378336</c:v>
                </c:pt>
                <c:pt idx="31">
                  <c:v>1952.9069870867693</c:v>
                </c:pt>
                <c:pt idx="32">
                  <c:v>1956.8167107846407</c:v>
                </c:pt>
                <c:pt idx="33">
                  <c:v>1968.5458818782549</c:v>
                </c:pt>
                <c:pt idx="34">
                  <c:v>1984.1847766697404</c:v>
                </c:pt>
                <c:pt idx="35">
                  <c:v>1992.0042240654832</c:v>
                </c:pt>
                <c:pt idx="36">
                  <c:v>1992.0042240654832</c:v>
                </c:pt>
                <c:pt idx="37">
                  <c:v>2001.7785333101617</c:v>
                </c:pt>
                <c:pt idx="38">
                  <c:v>2001.7785333101617</c:v>
                </c:pt>
                <c:pt idx="39">
                  <c:v>2005.6882570080331</c:v>
                </c:pt>
                <c:pt idx="40">
                  <c:v>2005.6882570080331</c:v>
                </c:pt>
                <c:pt idx="41">
                  <c:v>2005.6882570080331</c:v>
                </c:pt>
                <c:pt idx="42">
                  <c:v>2013.507704403776</c:v>
                </c:pt>
                <c:pt idx="43">
                  <c:v>2019.3722899505831</c:v>
                </c:pt>
                <c:pt idx="44">
                  <c:v>2021.3271517995188</c:v>
                </c:pt>
                <c:pt idx="45">
                  <c:v>2019.3722899505831</c:v>
                </c:pt>
                <c:pt idx="46">
                  <c:v>2019.3722899505831</c:v>
                </c:pt>
                <c:pt idx="47">
                  <c:v>2021.3271517995188</c:v>
                </c:pt>
                <c:pt idx="48">
                  <c:v>2023.2820136484545</c:v>
                </c:pt>
              </c:numCache>
            </c:numRef>
          </c:yVal>
          <c:smooth val="0"/>
        </c:ser>
        <c:ser>
          <c:idx val="13"/>
          <c:order val="15"/>
          <c:tx>
            <c:strRef>
              <c:f>TST!IranSeriesLabel</c:f>
              <c:strCache>
                <c:ptCount val="1"/>
                <c:pt idx="0">
                  <c:v>Iran from 01-Mar</c:v>
                </c:pt>
              </c:strCache>
            </c:strRef>
          </c:tx>
          <c:spPr>
            <a:ln w="19050" cap="rnd">
              <a:solidFill>
                <a:schemeClr val="accent2">
                  <a:lumMod val="80000"/>
                  <a:lumOff val="20000"/>
                </a:schemeClr>
              </a:solidFill>
              <a:round/>
            </a:ln>
            <a:effectLst/>
          </c:spPr>
          <c:marker>
            <c:symbol val="x"/>
            <c:size val="3"/>
            <c:spPr>
              <a:noFill/>
              <a:ln w="9525">
                <a:solidFill>
                  <a:schemeClr val="accent2">
                    <a:lumMod val="80000"/>
                    <a:lumOff val="20000"/>
                  </a:schemeClr>
                </a:solidFill>
              </a:ln>
              <a:effectLst/>
            </c:spPr>
          </c:marker>
          <c:dLbls>
            <c:dLbl>
              <c:idx val="60"/>
              <c:tx>
                <c:rich>
                  <a:bodyPr rot="0" spcFirstLastPara="1" vertOverflow="ellipsis" vert="horz" wrap="square" lIns="38100" tIns="19050" rIns="38100" bIns="19050" anchor="ctr" anchorCtr="1">
                    <a:spAutoFit/>
                  </a:bodyPr>
                  <a:lstStyle/>
                  <a:p>
                    <a:pPr>
                      <a:defRPr sz="1050" b="1" i="0" u="none" strike="noStrike" kern="1200" baseline="0">
                        <a:solidFill>
                          <a:srgbClr val="FF9933"/>
                        </a:solidFill>
                        <a:latin typeface="Calibri"/>
                        <a:ea typeface="Calibri"/>
                        <a:cs typeface="Calibri"/>
                      </a:defRPr>
                    </a:pPr>
                    <a:r>
                      <a:rPr lang="en-US"/>
                      <a:t>Iran </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9933"/>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9933"/>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TST!Iran100Days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numCache>
            </c:numRef>
          </c:xVal>
          <c:yVal>
            <c:numRef>
              <c:f>TST!Iran100Cases</c:f>
              <c:numCache>
                <c:formatCode>0.0</c:formatCode>
                <c:ptCount val="63"/>
                <c:pt idx="0">
                  <c:v>116.74405834815514</c:v>
                </c:pt>
                <c:pt idx="1">
                  <c:v>179.17467441777183</c:v>
                </c:pt>
                <c:pt idx="2">
                  <c:v>278.84879376410061</c:v>
                </c:pt>
                <c:pt idx="3">
                  <c:v>348.79973261074571</c:v>
                </c:pt>
                <c:pt idx="4">
                  <c:v>419.3475224714407</c:v>
                </c:pt>
                <c:pt idx="5">
                  <c:v>566.65035273894932</c:v>
                </c:pt>
                <c:pt idx="6">
                  <c:v>695.09269096248192</c:v>
                </c:pt>
                <c:pt idx="7">
                  <c:v>783.78475165029306</c:v>
                </c:pt>
                <c:pt idx="8">
                  <c:v>854.81002232222795</c:v>
                </c:pt>
                <c:pt idx="9">
                  <c:v>959.97517099781555</c:v>
                </c:pt>
                <c:pt idx="10">
                  <c:v>1074.3318252897711</c:v>
                </c:pt>
                <c:pt idx="11">
                  <c:v>1202.6547933104939</c:v>
                </c:pt>
                <c:pt idx="12">
                  <c:v>1356.5229847325511</c:v>
                </c:pt>
                <c:pt idx="13">
                  <c:v>1519.4633115681663</c:v>
                </c:pt>
                <c:pt idx="14">
                  <c:v>1663.7818867654257</c:v>
                </c:pt>
                <c:pt idx="15">
                  <c:v>1789.4787103243289</c:v>
                </c:pt>
                <c:pt idx="16">
                  <c:v>1930.096809234479</c:v>
                </c:pt>
                <c:pt idx="17">
                  <c:v>2072.3860909839686</c:v>
                </c:pt>
                <c:pt idx="18">
                  <c:v>2197.247323123202</c:v>
                </c:pt>
                <c:pt idx="19">
                  <c:v>2344.9082639991407</c:v>
                </c:pt>
                <c:pt idx="20">
                  <c:v>2460.2198799135758</c:v>
                </c:pt>
                <c:pt idx="21">
                  <c:v>2582.93244840223</c:v>
                </c:pt>
                <c:pt idx="22">
                  <c:v>2751.3638045671041</c:v>
                </c:pt>
                <c:pt idx="23">
                  <c:v>2961.6941019182791</c:v>
                </c:pt>
                <c:pt idx="24">
                  <c:v>3225.0247693170832</c:v>
                </c:pt>
                <c:pt idx="25">
                  <c:v>3510.2001838301126</c:v>
                </c:pt>
                <c:pt idx="26">
                  <c:v>3859.4773972520979</c:v>
                </c:pt>
                <c:pt idx="27">
                  <c:v>4226.66014109558</c:v>
                </c:pt>
                <c:pt idx="28">
                  <c:v>4572.9530994473162</c:v>
                </c:pt>
                <c:pt idx="29">
                  <c:v>4953.2665655998953</c:v>
                </c:pt>
                <c:pt idx="30">
                  <c:v>5324.507896338916</c:v>
                </c:pt>
                <c:pt idx="31">
                  <c:v>5681.1860623351204</c:v>
                </c:pt>
                <c:pt idx="32">
                  <c:v>6024.3753954137965</c:v>
                </c:pt>
                <c:pt idx="33">
                  <c:v>6348.4654960428779</c:v>
                </c:pt>
                <c:pt idx="34">
                  <c:v>6654.0532152364131</c:v>
                </c:pt>
                <c:pt idx="35">
                  <c:v>6950.4494288135793</c:v>
                </c:pt>
                <c:pt idx="36">
                  <c:v>7221.8972700034619</c:v>
                </c:pt>
                <c:pt idx="37">
                  <c:v>7471.2616236734984</c:v>
                </c:pt>
                <c:pt idx="38">
                  <c:v>7709.6439186850175</c:v>
                </c:pt>
                <c:pt idx="39">
                  <c:v>7904.6948300765162</c:v>
                </c:pt>
                <c:pt idx="40">
                  <c:v>8140.0928700177865</c:v>
                </c:pt>
                <c:pt idx="41">
                  <c:v>8359.3759325797091</c:v>
                </c:pt>
                <c:pt idx="42">
                  <c:v>8557.1723586358366</c:v>
                </c:pt>
                <c:pt idx="43">
                  <c:v>8750.1939765795669</c:v>
                </c:pt>
                <c:pt idx="44">
                  <c:v>8938.0826758024668</c:v>
                </c:pt>
                <c:pt idx="45">
                  <c:v>9118.5704224511483</c:v>
                </c:pt>
                <c:pt idx="46">
                  <c:v>9310.2789681639661</c:v>
                </c:pt>
                <c:pt idx="47">
                  <c:v>9489.2149021761197</c:v>
                </c:pt>
                <c:pt idx="48">
                  <c:v>9653.2295608370241</c:v>
                </c:pt>
                <c:pt idx="49">
                  <c:v>9813.5437432108192</c:v>
                </c:pt>
                <c:pt idx="50">
                  <c:v>9968.0087856469272</c:v>
                </c:pt>
                <c:pt idx="51">
                  <c:v>10122.831938691465</c:v>
                </c:pt>
                <c:pt idx="52">
                  <c:v>10265.359960846574</c:v>
                </c:pt>
                <c:pt idx="53">
                  <c:v>10388.311269740847</c:v>
                </c:pt>
                <c:pt idx="54">
                  <c:v>10527.735666622897</c:v>
                </c:pt>
                <c:pt idx="55">
                  <c:v>10663.101476609409</c:v>
                </c:pt>
                <c:pt idx="56">
                  <c:v>10800.73532044931</c:v>
                </c:pt>
                <c:pt idx="57">
                  <c:v>10919.031191433995</c:v>
                </c:pt>
                <c:pt idx="58">
                  <c:v>11051.770856958687</c:v>
                </c:pt>
                <c:pt idx="59">
                  <c:v>11179.855084573788</c:v>
                </c:pt>
                <c:pt idx="60">
                  <c:v>11297.195993935993</c:v>
                </c:pt>
                <c:pt idx="61">
                  <c:v>11417.282417962828</c:v>
                </c:pt>
                <c:pt idx="62">
                  <c:v>11513.017320616427</c:v>
                </c:pt>
              </c:numCache>
            </c:numRef>
          </c:yVal>
          <c:smooth val="0"/>
        </c:ser>
        <c:ser>
          <c:idx val="16"/>
          <c:order val="16"/>
          <c:tx>
            <c:strRef>
              <c:f>TST!JapanSeriesLabel</c:f>
              <c:strCache>
                <c:ptCount val="1"/>
                <c:pt idx="0">
                  <c:v>Japan from 25-Mar</c:v>
                </c:pt>
              </c:strCache>
            </c:strRef>
          </c:tx>
          <c:spPr>
            <a:ln w="19050"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dLbls>
            <c:dLbl>
              <c:idx val="36"/>
              <c:layout>
                <c:manualLayout>
                  <c:x val="1.6370655707064089E-2"/>
                  <c:y val="-3.7577546840428654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Calibri"/>
                        <a:ea typeface="Calibri"/>
                        <a:cs typeface="Calibri"/>
                      </a:defRPr>
                    </a:pPr>
                    <a:r>
                      <a:rPr lang="en-US" b="1">
                        <a:solidFill>
                          <a:schemeClr val="accent1">
                            <a:lumMod val="75000"/>
                          </a:schemeClr>
                        </a:solidFill>
                      </a:rPr>
                      <a:t>Japan </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TST!Japan100Days</c:f>
              <c:numCache>
                <c:formatCode>####0</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numCache>
            </c:numRef>
          </c:xVal>
          <c:yVal>
            <c:numRef>
              <c:f>TST!Japan100Cases</c:f>
              <c:numCache>
                <c:formatCode>0.0</c:formatCode>
                <c:ptCount val="39"/>
                <c:pt idx="0">
                  <c:v>103.27590621387739</c:v>
                </c:pt>
                <c:pt idx="1">
                  <c:v>109.59730827746591</c:v>
                </c:pt>
                <c:pt idx="2">
                  <c:v>115.99772786684927</c:v>
                </c:pt>
                <c:pt idx="3">
                  <c:v>133.77667117069197</c:v>
                </c:pt>
                <c:pt idx="4">
                  <c:v>147.44670313320216</c:v>
                </c:pt>
                <c:pt idx="5">
                  <c:v>147.44670313320216</c:v>
                </c:pt>
                <c:pt idx="6">
                  <c:v>154.32122787735466</c:v>
                </c:pt>
                <c:pt idx="7">
                  <c:v>172.10017118119737</c:v>
                </c:pt>
                <c:pt idx="8">
                  <c:v>197.14872685816687</c:v>
                </c:pt>
                <c:pt idx="9">
                  <c:v>206.78886500513934</c:v>
                </c:pt>
                <c:pt idx="10">
                  <c:v>248.03601347005443</c:v>
                </c:pt>
                <c:pt idx="11">
                  <c:v>248.03601347005443</c:v>
                </c:pt>
                <c:pt idx="12">
                  <c:v>288.73003925440548</c:v>
                </c:pt>
                <c:pt idx="13">
                  <c:v>308.64245575470932</c:v>
                </c:pt>
                <c:pt idx="14">
                  <c:v>336.37760730870394</c:v>
                </c:pt>
                <c:pt idx="15">
                  <c:v>368.77479288459512</c:v>
                </c:pt>
                <c:pt idx="16">
                  <c:v>436.96691764555624</c:v>
                </c:pt>
                <c:pt idx="17">
                  <c:v>474.50024239811302</c:v>
                </c:pt>
                <c:pt idx="18">
                  <c:v>533.2102640636914</c:v>
                </c:pt>
                <c:pt idx="19">
                  <c:v>582.35916510809204</c:v>
                </c:pt>
                <c:pt idx="20">
                  <c:v>604.08898470167765</c:v>
                </c:pt>
                <c:pt idx="21">
                  <c:v>640.0419589383373</c:v>
                </c:pt>
                <c:pt idx="22">
                  <c:v>681.6051775064318</c:v>
                </c:pt>
                <c:pt idx="23">
                  <c:v>773.34452495426012</c:v>
                </c:pt>
                <c:pt idx="24">
                  <c:v>813.56444558384203</c:v>
                </c:pt>
                <c:pt idx="25">
                  <c:v>853.15222600706522</c:v>
                </c:pt>
                <c:pt idx="26">
                  <c:v>853.15222600706522</c:v>
                </c:pt>
                <c:pt idx="27">
                  <c:v>879.86014972572661</c:v>
                </c:pt>
                <c:pt idx="28">
                  <c:v>909.64975695038754</c:v>
                </c:pt>
                <c:pt idx="29">
                  <c:v>977.28875903078472</c:v>
                </c:pt>
                <c:pt idx="30">
                  <c:v>1013.7158384222134</c:v>
                </c:pt>
                <c:pt idx="31">
                  <c:v>1045.4808837917458</c:v>
                </c:pt>
                <c:pt idx="32">
                  <c:v>1062.0745642086656</c:v>
                </c:pt>
                <c:pt idx="33">
                  <c:v>1118.3350425746034</c:v>
                </c:pt>
                <c:pt idx="34">
                  <c:v>1085.3847343181483</c:v>
                </c:pt>
                <c:pt idx="35">
                  <c:v>1097.9485209195304</c:v>
                </c:pt>
                <c:pt idx="36">
                  <c:v>1113.1989033979378</c:v>
                </c:pt>
                <c:pt idx="37">
                  <c:v>1130.3457064954216</c:v>
                </c:pt>
                <c:pt idx="38">
                  <c:v>1151.3643683568534</c:v>
                </c:pt>
              </c:numCache>
            </c:numRef>
          </c:yVal>
          <c:smooth val="0"/>
        </c:ser>
        <c:ser>
          <c:idx val="17"/>
          <c:order val="17"/>
          <c:tx>
            <c:strRef>
              <c:f>TST!GermanySeriesLabel</c:f>
              <c:strCache>
                <c:ptCount val="1"/>
                <c:pt idx="0">
                  <c:v>Germany from 08-Mar</c:v>
                </c:pt>
              </c:strCache>
            </c:strRef>
          </c:tx>
          <c:spPr>
            <a:ln w="19050"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dLbls>
            <c:dLbl>
              <c:idx val="53"/>
              <c:layout>
                <c:manualLayout>
                  <c:x val="2.8604283440072015E-2"/>
                  <c:y val="8.9456259801230231E-3"/>
                </c:manualLayout>
              </c:layout>
              <c:tx>
                <c:rich>
                  <a:bodyPr rot="0" spcFirstLastPara="1" vertOverflow="ellipsis" vert="horz" wrap="square" lIns="38100" tIns="19050" rIns="38100" bIns="19050" anchor="ctr" anchorCtr="1">
                    <a:spAutoFit/>
                  </a:bodyPr>
                  <a:lstStyle/>
                  <a:p>
                    <a:pPr>
                      <a:defRPr sz="1100" b="0" i="0" u="none" strike="noStrike" kern="1200" baseline="0">
                        <a:solidFill>
                          <a:srgbClr val="548235"/>
                        </a:solidFill>
                        <a:latin typeface="Calibri"/>
                        <a:ea typeface="Calibri"/>
                        <a:cs typeface="Calibri"/>
                      </a:defRPr>
                    </a:pPr>
                    <a:r>
                      <a:rPr lang="en-US"/>
                      <a:t>Germany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548235"/>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TST!Germany100Days</c:f>
              <c:numCache>
                <c:formatCode>####0</c:formatCode>
                <c:ptCount val="5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numCache>
            </c:numRef>
          </c:xVal>
          <c:yVal>
            <c:numRef>
              <c:f>TST!Germany100Cases</c:f>
              <c:numCache>
                <c:formatCode>0.0</c:formatCode>
                <c:ptCount val="56"/>
                <c:pt idx="0">
                  <c:v>125.27101903155867</c:v>
                </c:pt>
                <c:pt idx="1">
                  <c:v>141.65261382799326</c:v>
                </c:pt>
                <c:pt idx="2">
                  <c:v>175.49987954709709</c:v>
                </c:pt>
                <c:pt idx="3">
                  <c:v>229.82413876174417</c:v>
                </c:pt>
                <c:pt idx="4">
                  <c:v>250.30113225728741</c:v>
                </c:pt>
                <c:pt idx="5">
                  <c:v>442.66441821247895</c:v>
                </c:pt>
                <c:pt idx="6">
                  <c:v>552.27655986509274</c:v>
                </c:pt>
                <c:pt idx="7">
                  <c:v>698.02457239219473</c:v>
                </c:pt>
                <c:pt idx="8">
                  <c:v>875.93350999759093</c:v>
                </c:pt>
                <c:pt idx="9">
                  <c:v>1115.0325222837871</c:v>
                </c:pt>
                <c:pt idx="10">
                  <c:v>1484.8229342327152</c:v>
                </c:pt>
                <c:pt idx="11">
                  <c:v>1845.3384726571912</c:v>
                </c:pt>
                <c:pt idx="12">
                  <c:v>2390.7492170561313</c:v>
                </c:pt>
                <c:pt idx="13">
                  <c:v>2675.620332450012</c:v>
                </c:pt>
                <c:pt idx="14">
                  <c:v>2996.0250542038066</c:v>
                </c:pt>
                <c:pt idx="15">
                  <c:v>3499.8795470970854</c:v>
                </c:pt>
                <c:pt idx="16">
                  <c:v>3973.259455552879</c:v>
                </c:pt>
                <c:pt idx="17">
                  <c:v>4495.6636954950618</c:v>
                </c:pt>
                <c:pt idx="18">
                  <c:v>5292.4596482775241</c:v>
                </c:pt>
                <c:pt idx="19">
                  <c:v>6127.5596241869434</c:v>
                </c:pt>
                <c:pt idx="20">
                  <c:v>6949.5302336786317</c:v>
                </c:pt>
                <c:pt idx="21">
                  <c:v>7479.523006504457</c:v>
                </c:pt>
                <c:pt idx="22">
                  <c:v>8056.4924114671167</c:v>
                </c:pt>
                <c:pt idx="23">
                  <c:v>8649.4820525174655</c:v>
                </c:pt>
                <c:pt idx="24">
                  <c:v>9379.9084557937858</c:v>
                </c:pt>
                <c:pt idx="25">
                  <c:v>10213.683449771141</c:v>
                </c:pt>
                <c:pt idx="26">
                  <c:v>10980.366176824862</c:v>
                </c:pt>
                <c:pt idx="27">
                  <c:v>11574.560346904362</c:v>
                </c:pt>
                <c:pt idx="28">
                  <c:v>12060.105998554565</c:v>
                </c:pt>
                <c:pt idx="29">
                  <c:v>12451.698385931102</c:v>
                </c:pt>
                <c:pt idx="30">
                  <c:v>12968.320886533365</c:v>
                </c:pt>
                <c:pt idx="31">
                  <c:v>13646.832088653337</c:v>
                </c:pt>
                <c:pt idx="32">
                  <c:v>14235.244519392918</c:v>
                </c:pt>
                <c:pt idx="33">
                  <c:v>14715.851602023609</c:v>
                </c:pt>
                <c:pt idx="34">
                  <c:v>15045.531197301856</c:v>
                </c:pt>
                <c:pt idx="35">
                  <c:v>15400.385449289328</c:v>
                </c:pt>
                <c:pt idx="36">
                  <c:v>15667.54998795471</c:v>
                </c:pt>
                <c:pt idx="37">
                  <c:v>15822.572874006264</c:v>
                </c:pt>
                <c:pt idx="38">
                  <c:v>16231.390026499639</c:v>
                </c:pt>
                <c:pt idx="39">
                  <c:v>16586.123825584196</c:v>
                </c:pt>
                <c:pt idx="40">
                  <c:v>17031.679113466635</c:v>
                </c:pt>
                <c:pt idx="41">
                  <c:v>17265.960009636234</c:v>
                </c:pt>
                <c:pt idx="42">
                  <c:v>17487.834256805589</c:v>
                </c:pt>
                <c:pt idx="43">
                  <c:v>17714.40616718863</c:v>
                </c:pt>
                <c:pt idx="44">
                  <c:v>17862.081426162371</c:v>
                </c:pt>
                <c:pt idx="45">
                  <c:v>18145.988918332932</c:v>
                </c:pt>
                <c:pt idx="46">
                  <c:v>18444.832570464951</c:v>
                </c:pt>
                <c:pt idx="47">
                  <c:v>18670.079498915926</c:v>
                </c:pt>
                <c:pt idx="48">
                  <c:v>18852.445193929176</c:v>
                </c:pt>
                <c:pt idx="49">
                  <c:v>19003.854492893279</c:v>
                </c:pt>
                <c:pt idx="50">
                  <c:v>19122.86196097326</c:v>
                </c:pt>
                <c:pt idx="51">
                  <c:v>19261.864610937126</c:v>
                </c:pt>
                <c:pt idx="52">
                  <c:v>19457.841483979766</c:v>
                </c:pt>
                <c:pt idx="53">
                  <c:v>19634.907251264758</c:v>
                </c:pt>
                <c:pt idx="54">
                  <c:v>19763.550951577934</c:v>
                </c:pt>
                <c:pt idx="55">
                  <c:v>19870.754035172249</c:v>
                </c:pt>
              </c:numCache>
            </c:numRef>
          </c:yVal>
          <c:smooth val="0"/>
        </c:ser>
        <c:ser>
          <c:idx val="18"/>
          <c:order val="18"/>
          <c:tx>
            <c:strRef>
              <c:f>TST!DenmarkSeriesLabel</c:f>
              <c:strCache>
                <c:ptCount val="1"/>
                <c:pt idx="0">
                  <c:v>Denmark from 09-Mar</c:v>
                </c:pt>
              </c:strCache>
            </c:strRef>
          </c:tx>
          <c:spPr>
            <a:ln w="19050"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dLbls>
            <c:dLbl>
              <c:idx val="52"/>
              <c:layout>
                <c:manualLayout>
                  <c:x val="-3.4047526462670924E-2"/>
                  <c:y val="2.3559116418067506E-2"/>
                </c:manualLayout>
              </c:layout>
              <c:tx>
                <c:rich>
                  <a:bodyPr rot="0" spcFirstLastPara="1" vertOverflow="ellipsis" vert="horz" wrap="square" lIns="38100" tIns="19050" rIns="38100" bIns="19050" anchor="ctr" anchorCtr="1">
                    <a:spAutoFit/>
                  </a:bodyPr>
                  <a:lstStyle/>
                  <a:p>
                    <a:pPr>
                      <a:defRPr sz="1100" b="0" i="0" u="none" strike="noStrike" kern="1200" baseline="0">
                        <a:solidFill>
                          <a:srgbClr val="2F5597"/>
                        </a:solidFill>
                        <a:latin typeface="Calibri"/>
                        <a:ea typeface="Calibri"/>
                        <a:cs typeface="Calibri"/>
                      </a:defRPr>
                    </a:pPr>
                    <a:r>
                      <a:rPr lang="en-US"/>
                      <a:t>Denmark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2F5597"/>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TST!Denmark100Days</c:f>
              <c:numCache>
                <c:formatCode>####0</c:formatCode>
                <c:ptCount val="5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numCache>
            </c:numRef>
          </c:xVal>
          <c:yVal>
            <c:numRef>
              <c:f>TST!Denmark100Cases</c:f>
              <c:numCache>
                <c:formatCode>0.0</c:formatCode>
                <c:ptCount val="55"/>
                <c:pt idx="0">
                  <c:v>155.01205649328281</c:v>
                </c:pt>
                <c:pt idx="1">
                  <c:v>451.25732001377884</c:v>
                </c:pt>
                <c:pt idx="2">
                  <c:v>761.28143300034446</c:v>
                </c:pt>
                <c:pt idx="3">
                  <c:v>1059.2490527040991</c:v>
                </c:pt>
                <c:pt idx="4">
                  <c:v>1379.6073027902171</c:v>
                </c:pt>
                <c:pt idx="5">
                  <c:v>1424.3885635549432</c:v>
                </c:pt>
                <c:pt idx="6">
                  <c:v>1488.1157423355151</c:v>
                </c:pt>
                <c:pt idx="7">
                  <c:v>1574.23355149845</c:v>
                </c:pt>
                <c:pt idx="8">
                  <c:v>1682.7419910437479</c:v>
                </c:pt>
                <c:pt idx="9">
                  <c:v>1820.5304857044437</c:v>
                </c:pt>
                <c:pt idx="10">
                  <c:v>1982.4319669307613</c:v>
                </c:pt>
                <c:pt idx="11">
                  <c:v>2161.5570099896659</c:v>
                </c:pt>
                <c:pt idx="12">
                  <c:v>2283.8442990010335</c:v>
                </c:pt>
                <c:pt idx="13">
                  <c:v>2402.6868756458834</c:v>
                </c:pt>
                <c:pt idx="14">
                  <c:v>2497.4164657251117</c:v>
                </c:pt>
                <c:pt idx="15">
                  <c:v>2740.2686875645882</c:v>
                </c:pt>
                <c:pt idx="16">
                  <c:v>2969.3420599379951</c:v>
                </c:pt>
                <c:pt idx="17">
                  <c:v>3232.862555976576</c:v>
                </c:pt>
                <c:pt idx="18">
                  <c:v>3523.9407509472958</c:v>
                </c:pt>
                <c:pt idx="19">
                  <c:v>3790.9059593523939</c:v>
                </c:pt>
                <c:pt idx="20">
                  <c:v>4125.0430589045818</c:v>
                </c:pt>
                <c:pt idx="21">
                  <c:v>4438.5118842576649</c:v>
                </c:pt>
                <c:pt idx="22">
                  <c:v>4925.9386841198757</c:v>
                </c:pt>
                <c:pt idx="23">
                  <c:v>5351.3606613847742</c:v>
                </c:pt>
                <c:pt idx="24">
                  <c:v>5831.8980365139514</c:v>
                </c:pt>
                <c:pt idx="25">
                  <c:v>6470.8921805029277</c:v>
                </c:pt>
                <c:pt idx="26">
                  <c:v>7022.0461591457115</c:v>
                </c:pt>
                <c:pt idx="27">
                  <c:v>7524.9741646572511</c:v>
                </c:pt>
                <c:pt idx="28">
                  <c:v>8062.349293833965</c:v>
                </c:pt>
                <c:pt idx="29">
                  <c:v>8734.0682053048567</c:v>
                </c:pt>
                <c:pt idx="30">
                  <c:v>9304.1681019634852</c:v>
                </c:pt>
                <c:pt idx="31">
                  <c:v>9705.4770926627625</c:v>
                </c:pt>
                <c:pt idx="32">
                  <c:v>10022.390630382362</c:v>
                </c:pt>
                <c:pt idx="33">
                  <c:v>10327.247674819153</c:v>
                </c:pt>
                <c:pt idx="34">
                  <c:v>10633.827075439202</c:v>
                </c:pt>
                <c:pt idx="35">
                  <c:v>10881.846365828453</c:v>
                </c:pt>
                <c:pt idx="36">
                  <c:v>11214.261109197381</c:v>
                </c:pt>
                <c:pt idx="37">
                  <c:v>11507.061660351361</c:v>
                </c:pt>
                <c:pt idx="38">
                  <c:v>11848.088184636583</c:v>
                </c:pt>
                <c:pt idx="39">
                  <c:v>12182.225284188769</c:v>
                </c:pt>
                <c:pt idx="40">
                  <c:v>12473.303479159491</c:v>
                </c:pt>
                <c:pt idx="41">
                  <c:v>12717.878057182224</c:v>
                </c:pt>
                <c:pt idx="42">
                  <c:v>12943.506717189115</c:v>
                </c:pt>
                <c:pt idx="43">
                  <c:v>13253.53083017568</c:v>
                </c:pt>
                <c:pt idx="44">
                  <c:v>13627.282121942817</c:v>
                </c:pt>
                <c:pt idx="45">
                  <c:v>13904.581467447468</c:v>
                </c:pt>
                <c:pt idx="46">
                  <c:v>14140.54426455391</c:v>
                </c:pt>
                <c:pt idx="47">
                  <c:v>14545.297967619703</c:v>
                </c:pt>
                <c:pt idx="48">
                  <c:v>14769.204271443334</c:v>
                </c:pt>
                <c:pt idx="49">
                  <c:v>14981.054081984154</c:v>
                </c:pt>
                <c:pt idx="50">
                  <c:v>15244.574578022735</c:v>
                </c:pt>
                <c:pt idx="51">
                  <c:v>15514.984498794351</c:v>
                </c:pt>
                <c:pt idx="52">
                  <c:v>15773.337926283155</c:v>
                </c:pt>
                <c:pt idx="53">
                  <c:v>16036.858422321737</c:v>
                </c:pt>
                <c:pt idx="54">
                  <c:v>16202.20461591457</c:v>
                </c:pt>
              </c:numCache>
            </c:numRef>
          </c:yVal>
          <c:smooth val="0"/>
        </c:ser>
        <c:ser>
          <c:idx val="20"/>
          <c:order val="19"/>
          <c:tx>
            <c:strRef>
              <c:f>TST!SouthAfricaSeriesLabel</c:f>
              <c:strCache>
                <c:ptCount val="1"/>
                <c:pt idx="0">
                  <c:v>South Africa from 25-Mar</c:v>
                </c:pt>
              </c:strCache>
            </c:strRef>
          </c:tx>
          <c:spPr>
            <a:ln w="19050" cap="rnd">
              <a:solidFill>
                <a:schemeClr val="accent3">
                  <a:lumMod val="80000"/>
                </a:schemeClr>
              </a:solidFill>
              <a:prstDash val="sysDot"/>
              <a:round/>
            </a:ln>
            <a:effectLst/>
          </c:spPr>
          <c:marker>
            <c:symbol val="x"/>
            <c:size val="4"/>
            <c:spPr>
              <a:noFill/>
              <a:ln w="6350">
                <a:solidFill>
                  <a:schemeClr val="accent3">
                    <a:lumMod val="80000"/>
                  </a:schemeClr>
                </a:solidFill>
                <a:prstDash val="solid"/>
              </a:ln>
              <a:effectLst/>
            </c:spPr>
          </c:marker>
          <c:dLbls>
            <c:dLbl>
              <c:idx val="31"/>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2">
                          <a:lumMod val="25000"/>
                        </a:schemeClr>
                      </a:solidFill>
                      <a:latin typeface="Calibri"/>
                      <a:ea typeface="Calibri"/>
                      <a:cs typeface="Calibri"/>
                    </a:defRPr>
                  </a:pPr>
                  <a:endParaRPr lang="en-US"/>
                </a:p>
              </c:txPr>
              <c:showLegendKey val="0"/>
              <c:showVal val="0"/>
              <c:showCatName val="0"/>
              <c:showSerName val="0"/>
              <c:showPercent val="0"/>
              <c:showBubbleSize val="0"/>
            </c:dLbl>
            <c:dLbl>
              <c:idx val="36"/>
              <c:layout>
                <c:manualLayout>
                  <c:x val="5.4568852356880297E-2"/>
                  <c:y val="1.6701131929079443E-2"/>
                </c:manualLayout>
              </c:layout>
              <c:tx>
                <c:rich>
                  <a:bodyPr rot="0" spcFirstLastPara="1" vertOverflow="ellipsis" vert="horz" wrap="square" lIns="38100" tIns="19050" rIns="38100" bIns="19050" anchor="ctr" anchorCtr="1">
                    <a:spAutoFit/>
                  </a:bodyPr>
                  <a:lstStyle/>
                  <a:p>
                    <a:pPr>
                      <a:defRPr sz="1100" b="0" i="0" u="none" strike="noStrike" kern="1200" baseline="0">
                        <a:solidFill>
                          <a:srgbClr val="3B3838"/>
                        </a:solidFill>
                        <a:latin typeface="Calibri"/>
                        <a:ea typeface="Calibri"/>
                        <a:cs typeface="Calibri"/>
                      </a:defRPr>
                    </a:pPr>
                    <a:r>
                      <a:rPr lang="en-US"/>
                      <a:t>South Africa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3B3838"/>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TST!SouthAfrica100Days</c:f>
              <c:numCache>
                <c:formatCode>####0</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numCache>
            </c:numRef>
          </c:xVal>
          <c:yVal>
            <c:numRef>
              <c:f>TST!SouthAfrica100Cases</c:f>
              <c:numCache>
                <c:formatCode>0.0</c:formatCode>
                <c:ptCount val="39"/>
                <c:pt idx="0">
                  <c:v>122.70681896850122</c:v>
                </c:pt>
                <c:pt idx="1">
                  <c:v>160.4361370716511</c:v>
                </c:pt>
                <c:pt idx="2">
                  <c:v>202.49221183800626</c:v>
                </c:pt>
                <c:pt idx="3">
                  <c:v>205.43440636898583</c:v>
                </c:pt>
                <c:pt idx="4">
                  <c:v>221.5299411561094</c:v>
                </c:pt>
                <c:pt idx="5">
                  <c:v>229.49117341640707</c:v>
                </c:pt>
                <c:pt idx="6">
                  <c:v>234.16407061266875</c:v>
                </c:pt>
                <c:pt idx="7">
                  <c:v>238.83696780893044</c:v>
                </c:pt>
                <c:pt idx="8">
                  <c:v>253.02872966424371</c:v>
                </c:pt>
                <c:pt idx="9">
                  <c:v>260.47075112495673</c:v>
                </c:pt>
                <c:pt idx="10">
                  <c:v>274.31637244721361</c:v>
                </c:pt>
                <c:pt idx="11">
                  <c:v>286.43129110418835</c:v>
                </c:pt>
                <c:pt idx="12">
                  <c:v>291.79646936656286</c:v>
                </c:pt>
                <c:pt idx="13">
                  <c:v>302.6998961578401</c:v>
                </c:pt>
                <c:pt idx="14">
                  <c:v>319.31464174454828</c:v>
                </c:pt>
                <c:pt idx="15">
                  <c:v>334.71789546555902</c:v>
                </c:pt>
                <c:pt idx="16">
                  <c:v>346.65974385600555</c:v>
                </c:pt>
                <c:pt idx="17">
                  <c:v>350.98650051921084</c:v>
                </c:pt>
                <c:pt idx="18">
                  <c:v>376.08168916580132</c:v>
                </c:pt>
                <c:pt idx="19">
                  <c:v>393.2156455520942</c:v>
                </c:pt>
                <c:pt idx="20">
                  <c:v>417.96469366562826</c:v>
                </c:pt>
                <c:pt idx="21">
                  <c:v>433.71408791969543</c:v>
                </c:pt>
                <c:pt idx="22">
                  <c:v>450.84804430598825</c:v>
                </c:pt>
                <c:pt idx="23">
                  <c:v>481.65455174800974</c:v>
                </c:pt>
                <c:pt idx="24">
                  <c:v>525.0951886465906</c:v>
                </c:pt>
                <c:pt idx="25">
                  <c:v>546.55590169608865</c:v>
                </c:pt>
                <c:pt idx="26">
                  <c:v>571.13187954309456</c:v>
                </c:pt>
                <c:pt idx="27">
                  <c:v>599.68847352024932</c:v>
                </c:pt>
                <c:pt idx="28">
                  <c:v>629.11041883004509</c:v>
                </c:pt>
                <c:pt idx="29">
                  <c:v>684.14676358601594</c:v>
                </c:pt>
                <c:pt idx="30">
                  <c:v>730.35652474904816</c:v>
                </c:pt>
                <c:pt idx="31">
                  <c:v>754.75943232952579</c:v>
                </c:pt>
                <c:pt idx="32">
                  <c:v>786.77743163724483</c:v>
                </c:pt>
                <c:pt idx="33">
                  <c:v>829.52578746971278</c:v>
                </c:pt>
                <c:pt idx="34">
                  <c:v>864.65905157493944</c:v>
                </c:pt>
                <c:pt idx="35">
                  <c:v>925.92592592592598</c:v>
                </c:pt>
                <c:pt idx="36">
                  <c:v>977.32779508480451</c:v>
                </c:pt>
                <c:pt idx="37">
                  <c:v>1029.9411561093805</c:v>
                </c:pt>
                <c:pt idx="38">
                  <c:v>1096.5732087227416</c:v>
                </c:pt>
              </c:numCache>
            </c:numRef>
          </c:yVal>
          <c:smooth val="0"/>
        </c:ser>
        <c:dLbls>
          <c:showLegendKey val="0"/>
          <c:showVal val="0"/>
          <c:showCatName val="0"/>
          <c:showSerName val="0"/>
          <c:showPercent val="0"/>
          <c:showBubbleSize val="0"/>
        </c:dLbls>
        <c:axId val="792690080"/>
        <c:axId val="792690864"/>
      </c:scatterChart>
      <c:valAx>
        <c:axId val="792690080"/>
        <c:scaling>
          <c:orientation val="minMax"/>
          <c:max val="84"/>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myData!lblHorizAxisDays</c:f>
              <c:strCache>
                <c:ptCount val="1"/>
                <c:pt idx="0">
                  <c:v>Days Since 100 cases per 10m population</c:v>
                </c:pt>
              </c:strCache>
            </c:strRef>
          </c:tx>
          <c:layout>
            <c:manualLayout>
              <c:xMode val="edge"/>
              <c:yMode val="edge"/>
              <c:x val="0.2987676892239407"/>
              <c:y val="0.924620525954150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792690864"/>
        <c:crosses val="autoZero"/>
        <c:crossBetween val="midCat"/>
        <c:majorUnit val="7"/>
        <c:minorUnit val="1"/>
      </c:valAx>
      <c:valAx>
        <c:axId val="79269086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layout>
            <c:manualLayout>
              <c:xMode val="edge"/>
              <c:yMode val="edge"/>
              <c:x val="9.5495491624540511E-3"/>
              <c:y val="0.43324149902521936"/>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92690080"/>
        <c:crosses val="autoZero"/>
        <c:crossBetween val="midCat"/>
        <c:majorUnit val="10"/>
      </c:valAx>
      <c:spPr>
        <a:noFill/>
        <a:ln>
          <a:noFill/>
        </a:ln>
        <a:effectLst/>
      </c:spPr>
    </c:plotArea>
    <c:legend>
      <c:legendPos val="b"/>
      <c:layout>
        <c:manualLayout>
          <c:xMode val="edge"/>
          <c:yMode val="edge"/>
          <c:x val="0.75468443520163608"/>
          <c:y val="8.5902337829707645E-2"/>
          <c:w val="0.24531556479836381"/>
          <c:h val="0.67430918792389805"/>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myData!$EI$7</c:f>
          <c:strCache>
            <c:ptCount val="1"/>
            <c:pt idx="0">
              <c:v>Spain, Ireland, US, Italy, UK, Sweden, Taiwan, Japan, Skorea, Singapore, China, NSW and Victoria @ _x000b_Sun 03-May</c:v>
            </c:pt>
          </c:strCache>
        </c:strRef>
      </c:tx>
      <c:layout>
        <c:manualLayout>
          <c:xMode val="edge"/>
          <c:yMode val="edge"/>
          <c:x val="7.7449421763519224E-2"/>
          <c:y val="1.252584894680952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9.1142658878072991E-2"/>
          <c:y val="0.13825381117858046"/>
          <c:w val="0.63923479000659555"/>
          <c:h val="0.72958648260353554"/>
        </c:manualLayout>
      </c:layout>
      <c:scatterChart>
        <c:scatterStyle val="lineMarker"/>
        <c:varyColors val="0"/>
        <c:ser>
          <c:idx val="7"/>
          <c:order val="0"/>
          <c:tx>
            <c:strRef>
              <c:f>myData!SKoreaLabel</c:f>
              <c:strCache>
                <c:ptCount val="1"/>
                <c:pt idx="0">
                  <c:v>South Korea from 23-Feb</c:v>
                </c:pt>
              </c:strCache>
            </c:strRef>
          </c:tx>
          <c:spPr>
            <a:ln w="19050" cap="rnd">
              <a:solidFill>
                <a:schemeClr val="accent2">
                  <a:lumMod val="60000"/>
                </a:schemeClr>
              </a:solidFill>
              <a:round/>
            </a:ln>
            <a:effectLst/>
          </c:spPr>
          <c:marker>
            <c:symbol val="x"/>
            <c:size val="4"/>
            <c:spPr>
              <a:noFill/>
              <a:ln w="9525">
                <a:solidFill>
                  <a:schemeClr val="accent4">
                    <a:lumMod val="60000"/>
                  </a:schemeClr>
                </a:solidFill>
              </a:ln>
              <a:effectLst/>
            </c:spPr>
          </c:marker>
          <c:dLbls>
            <c:dLbl>
              <c:idx val="59"/>
              <c:tx>
                <c:rich>
                  <a:bodyPr rot="0" spcFirstLastPara="1" vertOverflow="ellipsis" vert="horz" wrap="square" anchor="ctr" anchorCtr="1"/>
                  <a:lstStyle/>
                  <a:p>
                    <a:pPr>
                      <a:defRPr sz="900" b="1" i="0" u="none" strike="noStrike" kern="1200" baseline="0">
                        <a:solidFill>
                          <a:srgbClr val="C55A11"/>
                        </a:solidFill>
                        <a:latin typeface="Calibri"/>
                        <a:ea typeface="Calibri"/>
                        <a:cs typeface="Calibri"/>
                      </a:defRPr>
                    </a:pPr>
                    <a:r>
                      <a:rPr lang="en-US"/>
                      <a:t>South Korea </a:t>
                    </a:r>
                  </a:p>
                </c:rich>
              </c:tx>
              <c:spPr>
                <a:noFill/>
                <a:ln>
                  <a:noFill/>
                </a:ln>
                <a:effectLst/>
              </c:spPr>
              <c:txPr>
                <a:bodyPr rot="0" spcFirstLastPara="1" vertOverflow="ellipsis" vert="horz" wrap="square" anchor="ctr" anchorCtr="1"/>
                <a:lstStyle/>
                <a:p>
                  <a:pPr>
                    <a:defRPr sz="900" b="1" i="0" u="none" strike="noStrike" kern="1200" baseline="0">
                      <a:solidFill>
                        <a:srgbClr val="C55A11"/>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accent2">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myData!SKorea100Dates</c:f>
              <c:numCache>
                <c:formatCode>0</c:formatCode>
                <c:ptCount val="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formatCode="0.0">
                  <c:v>73</c:v>
                </c:pt>
                <c:pt idx="73" formatCode="0.0">
                  <c:v>74</c:v>
                </c:pt>
                <c:pt idx="74" formatCode="0.0">
                  <c:v>81</c:v>
                </c:pt>
                <c:pt idx="75">
                  <c:v>88</c:v>
                </c:pt>
                <c:pt idx="76">
                  <c:v>95</c:v>
                </c:pt>
                <c:pt idx="77">
                  <c:v>102</c:v>
                </c:pt>
                <c:pt idx="78" formatCode="0.0">
                  <c:v>109</c:v>
                </c:pt>
                <c:pt idx="79" formatCode="0.0">
                  <c:v>116</c:v>
                </c:pt>
                <c:pt idx="80" formatCode="0.0">
                  <c:v>123</c:v>
                </c:pt>
                <c:pt idx="81" formatCode="0.0">
                  <c:v>130</c:v>
                </c:pt>
              </c:numCache>
            </c:numRef>
          </c:xVal>
          <c:yVal>
            <c:numRef>
              <c:f>myData!SKorea100Cases</c:f>
              <c:numCache>
                <c:formatCode>0.0</c:formatCode>
                <c:ptCount val="70"/>
                <c:pt idx="0">
                  <c:v>117.1206225680934</c:v>
                </c:pt>
                <c:pt idx="1">
                  <c:v>162.06225680933852</c:v>
                </c:pt>
                <c:pt idx="2">
                  <c:v>190.07782101167317</c:v>
                </c:pt>
                <c:pt idx="3">
                  <c:v>245.33073929961091</c:v>
                </c:pt>
                <c:pt idx="4">
                  <c:v>343.579766536965</c:v>
                </c:pt>
                <c:pt idx="5">
                  <c:v>454.66926070038915</c:v>
                </c:pt>
                <c:pt idx="6">
                  <c:v>612.84046692607012</c:v>
                </c:pt>
                <c:pt idx="7">
                  <c:v>726.84824902723744</c:v>
                </c:pt>
                <c:pt idx="8">
                  <c:v>843.38521400778211</c:v>
                </c:pt>
                <c:pt idx="9">
                  <c:v>1008.9494163424125</c:v>
                </c:pt>
                <c:pt idx="10">
                  <c:v>1093.5797665369651</c:v>
                </c:pt>
                <c:pt idx="11">
                  <c:v>1184.4357976653698</c:v>
                </c:pt>
                <c:pt idx="12">
                  <c:v>1282.6848249027239</c:v>
                </c:pt>
                <c:pt idx="13">
                  <c:v>1369.8443579766538</c:v>
                </c:pt>
                <c:pt idx="14">
                  <c:v>1422.95719844358</c:v>
                </c:pt>
                <c:pt idx="15">
                  <c:v>1454.8638132295721</c:v>
                </c:pt>
                <c:pt idx="16">
                  <c:v>1461.6731517509729</c:v>
                </c:pt>
                <c:pt idx="17">
                  <c:v>1508.7548638132296</c:v>
                </c:pt>
                <c:pt idx="18">
                  <c:v>1530.933852140078</c:v>
                </c:pt>
                <c:pt idx="19">
                  <c:v>1552.3346303501946</c:v>
                </c:pt>
                <c:pt idx="20">
                  <c:v>1573.1517509727628</c:v>
                </c:pt>
                <c:pt idx="21">
                  <c:v>1587.9377431906616</c:v>
                </c:pt>
                <c:pt idx="22">
                  <c:v>1602.3346303501946</c:v>
                </c:pt>
                <c:pt idx="23">
                  <c:v>1618.6770428015566</c:v>
                </c:pt>
                <c:pt idx="24">
                  <c:v>1636.7704280155642</c:v>
                </c:pt>
                <c:pt idx="25">
                  <c:v>1666.342412451362</c:v>
                </c:pt>
                <c:pt idx="26">
                  <c:v>1683.2684824902724</c:v>
                </c:pt>
                <c:pt idx="27">
                  <c:v>1711.8677042801557</c:v>
                </c:pt>
                <c:pt idx="28">
                  <c:v>1743.3852140077822</c:v>
                </c:pt>
                <c:pt idx="29">
                  <c:v>1743.3852140077822</c:v>
                </c:pt>
                <c:pt idx="30">
                  <c:v>1758.1712062256811</c:v>
                </c:pt>
                <c:pt idx="31">
                  <c:v>1777.626459143969</c:v>
                </c:pt>
                <c:pt idx="32">
                  <c:v>1797.8599221789884</c:v>
                </c:pt>
                <c:pt idx="33">
                  <c:v>1815.5642023346304</c:v>
                </c:pt>
                <c:pt idx="34">
                  <c:v>1843.9688715953309</c:v>
                </c:pt>
                <c:pt idx="35">
                  <c:v>1864.3968871595332</c:v>
                </c:pt>
                <c:pt idx="36">
                  <c:v>1879.5719844357977</c:v>
                </c:pt>
                <c:pt idx="37">
                  <c:v>1903.8910505836577</c:v>
                </c:pt>
                <c:pt idx="38">
                  <c:v>1923.5408560311284</c:v>
                </c:pt>
                <c:pt idx="39">
                  <c:v>1940.8560311284048</c:v>
                </c:pt>
                <c:pt idx="40">
                  <c:v>1957.5875486381324</c:v>
                </c:pt>
                <c:pt idx="41">
                  <c:v>1975.8754863813231</c:v>
                </c:pt>
                <c:pt idx="42">
                  <c:v>1991.6342412451363</c:v>
                </c:pt>
                <c:pt idx="43">
                  <c:v>2000.7782101167315</c:v>
                </c:pt>
                <c:pt idx="44">
                  <c:v>2009.922178988327</c:v>
                </c:pt>
                <c:pt idx="45">
                  <c:v>2020.2334630350197</c:v>
                </c:pt>
                <c:pt idx="46">
                  <c:v>2027.8210116731518</c:v>
                </c:pt>
                <c:pt idx="47">
                  <c:v>2033.0739299610896</c:v>
                </c:pt>
                <c:pt idx="48">
                  <c:v>2038.910505836576</c:v>
                </c:pt>
                <c:pt idx="49">
                  <c:v>2045.1361867704281</c:v>
                </c:pt>
                <c:pt idx="50">
                  <c:v>2050</c:v>
                </c:pt>
                <c:pt idx="51">
                  <c:v>2055.252918287938</c:v>
                </c:pt>
                <c:pt idx="52">
                  <c:v>2060.5058365758755</c:v>
                </c:pt>
                <c:pt idx="53">
                  <c:v>2064.7859922178991</c:v>
                </c:pt>
                <c:pt idx="54">
                  <c:v>2069.0661478599222</c:v>
                </c:pt>
                <c:pt idx="55">
                  <c:v>2072.5680933852141</c:v>
                </c:pt>
                <c:pt idx="56">
                  <c:v>2074.1245136186772</c:v>
                </c:pt>
                <c:pt idx="57">
                  <c:v>2076.6536964980546</c:v>
                </c:pt>
                <c:pt idx="58">
                  <c:v>2078.4046692607003</c:v>
                </c:pt>
                <c:pt idx="59">
                  <c:v>2080.5447470817121</c:v>
                </c:pt>
                <c:pt idx="60">
                  <c:v>2083.2684824902726</c:v>
                </c:pt>
                <c:pt idx="61">
                  <c:v>2085.2140077821014</c:v>
                </c:pt>
                <c:pt idx="62">
                  <c:v>2087.1595330739301</c:v>
                </c:pt>
                <c:pt idx="63">
                  <c:v>2089.1050583657589</c:v>
                </c:pt>
                <c:pt idx="64">
                  <c:v>2091.8287937743194</c:v>
                </c:pt>
                <c:pt idx="65">
                  <c:v>2093.5797665369651</c:v>
                </c:pt>
                <c:pt idx="66">
                  <c:v>2094.3579766536968</c:v>
                </c:pt>
                <c:pt idx="67">
                  <c:v>2096.1089494163425</c:v>
                </c:pt>
                <c:pt idx="68">
                  <c:v>2097.2762645914399</c:v>
                </c:pt>
                <c:pt idx="69">
                  <c:v>2099.8054474708174</c:v>
                </c:pt>
              </c:numCache>
            </c:numRef>
          </c:yVal>
          <c:smooth val="0"/>
        </c:ser>
        <c:ser>
          <c:idx val="1"/>
          <c:order val="1"/>
          <c:tx>
            <c:strRef>
              <c:f>myData!NSWLabel</c:f>
              <c:strCache>
                <c:ptCount val="1"/>
                <c:pt idx="0">
                  <c:v>NSW from 13-Mar</c:v>
                </c:pt>
              </c:strCache>
            </c:strRef>
          </c:tx>
          <c:spPr>
            <a:ln w="19050" cap="rnd">
              <a:solidFill>
                <a:schemeClr val="accent6">
                  <a:lumMod val="75000"/>
                </a:schemeClr>
              </a:solidFill>
              <a:round/>
            </a:ln>
            <a:effectLst/>
          </c:spPr>
          <c:marker>
            <c:symbol val="x"/>
            <c:size val="5"/>
            <c:spPr>
              <a:noFill/>
              <a:ln w="9525">
                <a:solidFill>
                  <a:schemeClr val="accent6">
                    <a:lumMod val="75000"/>
                    <a:alpha val="90000"/>
                  </a:schemeClr>
                </a:solidFill>
              </a:ln>
              <a:effectLst/>
            </c:spPr>
          </c:marker>
          <c:dLbls>
            <c:dLbl>
              <c:idx val="41"/>
              <c:layout>
                <c:manualLayout>
                  <c:x val="-4.7372853499818464E-3"/>
                  <c:y val="-3.7791571188574923E-2"/>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accent6">
                            <a:lumMod val="75000"/>
                          </a:schemeClr>
                        </a:solidFill>
                        <a:latin typeface="Calibri"/>
                        <a:ea typeface="Calibri"/>
                        <a:cs typeface="Calibri"/>
                      </a:defRPr>
                    </a:pPr>
                    <a:r>
                      <a:rPr lang="en-US" sz="1050" b="1">
                        <a:solidFill>
                          <a:schemeClr val="accent6">
                            <a:lumMod val="75000"/>
                          </a:schemeClr>
                        </a:solidFill>
                      </a:rPr>
                      <a:t>NSW </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lumMod val="75000"/>
                        </a:schemeClr>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myData!NSW100Dates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myData!NSW100Cases</c:f>
              <c:numCache>
                <c:formatCode>0</c:formatCode>
                <c:ptCount val="52"/>
                <c:pt idx="0">
                  <c:v>113.86138613861385</c:v>
                </c:pt>
                <c:pt idx="1">
                  <c:v>138.61386138613861</c:v>
                </c:pt>
                <c:pt idx="2">
                  <c:v>165.84158415841583</c:v>
                </c:pt>
                <c:pt idx="3">
                  <c:v>211.63366336633663</c:v>
                </c:pt>
                <c:pt idx="4">
                  <c:v>259.9009900990099</c:v>
                </c:pt>
                <c:pt idx="5">
                  <c:v>330.44554455445541</c:v>
                </c:pt>
                <c:pt idx="6">
                  <c:v>379.95049504950492</c:v>
                </c:pt>
                <c:pt idx="7">
                  <c:v>436.88118811881185</c:v>
                </c:pt>
                <c:pt idx="8">
                  <c:v>539.60396039603961</c:v>
                </c:pt>
                <c:pt idx="9">
                  <c:v>827.97029702970292</c:v>
                </c:pt>
                <c:pt idx="10">
                  <c:v>827.97029702970292</c:v>
                </c:pt>
                <c:pt idx="11">
                  <c:v>1012.3762376237623</c:v>
                </c:pt>
                <c:pt idx="12">
                  <c:v>1273.5148514851485</c:v>
                </c:pt>
                <c:pt idx="13">
                  <c:v>1508.6633663366335</c:v>
                </c:pt>
                <c:pt idx="14">
                  <c:v>1738.8613861386139</c:v>
                </c:pt>
                <c:pt idx="15">
                  <c:v>2001.2376237623762</c:v>
                </c:pt>
                <c:pt idx="16">
                  <c:v>2216.5841584158416</c:v>
                </c:pt>
                <c:pt idx="17">
                  <c:v>2373.7623762376238</c:v>
                </c:pt>
                <c:pt idx="18">
                  <c:v>2514.8514851485147</c:v>
                </c:pt>
                <c:pt idx="19">
                  <c:v>2700.4950495049502</c:v>
                </c:pt>
                <c:pt idx="20">
                  <c:v>2844.0594059405939</c:v>
                </c:pt>
                <c:pt idx="21">
                  <c:v>2956.6831683168316</c:v>
                </c:pt>
                <c:pt idx="22">
                  <c:v>3085.3960396039602</c:v>
                </c:pt>
                <c:pt idx="23">
                  <c:v>3193.0693069306931</c:v>
                </c:pt>
                <c:pt idx="24">
                  <c:v>3263.6138613861385</c:v>
                </c:pt>
                <c:pt idx="25">
                  <c:v>3324.257425742574</c:v>
                </c:pt>
                <c:pt idx="26">
                  <c:v>3383.6633663366333</c:v>
                </c:pt>
                <c:pt idx="27">
                  <c:v>3431.9306930693069</c:v>
                </c:pt>
                <c:pt idx="28">
                  <c:v>3492.5742574257424</c:v>
                </c:pt>
                <c:pt idx="29">
                  <c:v>3535.8910891089108</c:v>
                </c:pt>
                <c:pt idx="30">
                  <c:v>3532.1782178217818</c:v>
                </c:pt>
                <c:pt idx="31">
                  <c:v>3543.3168316831679</c:v>
                </c:pt>
                <c:pt idx="32">
                  <c:v>3551.9801980198017</c:v>
                </c:pt>
                <c:pt idx="33">
                  <c:v>3571.7821782178216</c:v>
                </c:pt>
                <c:pt idx="34">
                  <c:v>3585.3960396039602</c:v>
                </c:pt>
                <c:pt idx="35">
                  <c:v>3621.287128712871</c:v>
                </c:pt>
                <c:pt idx="36">
                  <c:v>3633.6633663366333</c:v>
                </c:pt>
                <c:pt idx="37">
                  <c:v>3659.6534653465346</c:v>
                </c:pt>
                <c:pt idx="38">
                  <c:v>3667.0792079207918</c:v>
                </c:pt>
                <c:pt idx="39">
                  <c:v>3674.5049504950493</c:v>
                </c:pt>
                <c:pt idx="40">
                  <c:v>3676.9801980198017</c:v>
                </c:pt>
                <c:pt idx="41">
                  <c:v>3683.1683168316831</c:v>
                </c:pt>
                <c:pt idx="42">
                  <c:v>3690.5940594059402</c:v>
                </c:pt>
                <c:pt idx="43">
                  <c:v>3705.4455445544554</c:v>
                </c:pt>
                <c:pt idx="44">
                  <c:v>3715.3465346534649</c:v>
                </c:pt>
                <c:pt idx="45">
                  <c:v>3717.8217821782177</c:v>
                </c:pt>
                <c:pt idx="46">
                  <c:v>3724.0099009900987</c:v>
                </c:pt>
                <c:pt idx="47">
                  <c:v>3732.6732673267325</c:v>
                </c:pt>
                <c:pt idx="48">
                  <c:v>3732.6732673267325</c:v>
                </c:pt>
                <c:pt idx="49">
                  <c:v>3743.8118811881186</c:v>
                </c:pt>
                <c:pt idx="50">
                  <c:v>3751.2376237623762</c:v>
                </c:pt>
                <c:pt idx="51">
                  <c:v>3756.1881188118809</c:v>
                </c:pt>
              </c:numCache>
            </c:numRef>
          </c:yVal>
          <c:smooth val="0"/>
        </c:ser>
        <c:ser>
          <c:idx val="14"/>
          <c:order val="2"/>
          <c:tx>
            <c:strRef>
              <c:f>TST!VictoriaSeriesLabel</c:f>
              <c:strCache>
                <c:ptCount val="1"/>
                <c:pt idx="0">
                  <c:v>Victoria from 16-Mar</c:v>
                </c:pt>
              </c:strCache>
            </c:strRef>
          </c:tx>
          <c:spPr>
            <a:ln w="28575" cap="rnd">
              <a:solidFill>
                <a:srgbClr val="FF99FF"/>
              </a:solidFill>
              <a:round/>
            </a:ln>
            <a:effectLst/>
          </c:spPr>
          <c:marker>
            <c:symbol val="x"/>
            <c:size val="3"/>
            <c:spPr>
              <a:noFill/>
              <a:ln w="9525">
                <a:solidFill>
                  <a:schemeClr val="accent1">
                    <a:lumMod val="50000"/>
                  </a:schemeClr>
                </a:solidFill>
              </a:ln>
              <a:effectLst/>
            </c:spPr>
          </c:marker>
          <c:dLbls>
            <c:dLbl>
              <c:idx val="37"/>
              <c:tx>
                <c:rich>
                  <a:bodyPr rot="0" spcFirstLastPara="1" vertOverflow="ellipsis" vert="horz" wrap="square" lIns="38100" tIns="19050" rIns="38100" bIns="19050" anchor="ctr" anchorCtr="1">
                    <a:spAutoFit/>
                  </a:bodyPr>
                  <a:lstStyle/>
                  <a:p>
                    <a:pPr>
                      <a:defRPr sz="1050" b="1" i="0" u="none" strike="noStrike" kern="1200" baseline="0">
                        <a:solidFill>
                          <a:srgbClr val="000000"/>
                        </a:solidFill>
                        <a:latin typeface="Calibri"/>
                        <a:ea typeface="Calibri"/>
                        <a:cs typeface="Calibri"/>
                      </a:defRPr>
                    </a:pPr>
                    <a:r>
                      <a:rPr lang="en-US"/>
                      <a:t>Victoria </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TST!Victoria100Days</c:f>
              <c:numCache>
                <c:formatCode>####0</c:formatCode>
                <c:ptCount val="4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numCache>
            </c:numRef>
          </c:xVal>
          <c:yVal>
            <c:numRef>
              <c:f>TST!Victoria100Cases</c:f>
              <c:numCache>
                <c:formatCode>0.0</c:formatCode>
                <c:ptCount val="48"/>
                <c:pt idx="0">
                  <c:v>107.10514406396138</c:v>
                </c:pt>
                <c:pt idx="1">
                  <c:v>141.80117664806153</c:v>
                </c:pt>
                <c:pt idx="2">
                  <c:v>182.53130185548346</c:v>
                </c:pt>
                <c:pt idx="3">
                  <c:v>182.53130185548346</c:v>
                </c:pt>
                <c:pt idx="4">
                  <c:v>182.53130185548346</c:v>
                </c:pt>
                <c:pt idx="5">
                  <c:v>345.45180268517117</c:v>
                </c:pt>
                <c:pt idx="6">
                  <c:v>535.52572031980685</c:v>
                </c:pt>
                <c:pt idx="7">
                  <c:v>535.52572031980685</c:v>
                </c:pt>
                <c:pt idx="8">
                  <c:v>620.00301704631158</c:v>
                </c:pt>
                <c:pt idx="9">
                  <c:v>702.97179061698591</c:v>
                </c:pt>
                <c:pt idx="10">
                  <c:v>784.43204103182984</c:v>
                </c:pt>
                <c:pt idx="11">
                  <c:v>865.89229144667365</c:v>
                </c:pt>
                <c:pt idx="12">
                  <c:v>1033.3383617438526</c:v>
                </c:pt>
                <c:pt idx="13">
                  <c:v>1160.0543068336099</c:v>
                </c:pt>
                <c:pt idx="14">
                  <c:v>1238.4975109367929</c:v>
                </c:pt>
                <c:pt idx="15">
                  <c:v>1383.3157338965152</c:v>
                </c:pt>
                <c:pt idx="16">
                  <c:v>1460.2504148438677</c:v>
                </c:pt>
                <c:pt idx="17">
                  <c:v>1562.8299894403378</c:v>
                </c:pt>
                <c:pt idx="18">
                  <c:v>1636.7476240760295</c:v>
                </c:pt>
                <c:pt idx="19">
                  <c:v>1682.0033187509428</c:v>
                </c:pt>
                <c:pt idx="20">
                  <c:v>1712.1737818675515</c:v>
                </c:pt>
                <c:pt idx="21">
                  <c:v>1746.8698144516518</c:v>
                </c:pt>
                <c:pt idx="22">
                  <c:v>1796.6510785940563</c:v>
                </c:pt>
                <c:pt idx="23">
                  <c:v>1828.3300648664956</c:v>
                </c:pt>
                <c:pt idx="24">
                  <c:v>1852.4664353597827</c:v>
                </c:pt>
                <c:pt idx="25">
                  <c:v>1872.0772363855783</c:v>
                </c:pt>
                <c:pt idx="26">
                  <c:v>1908.2817921255089</c:v>
                </c:pt>
                <c:pt idx="27">
                  <c:v>1912.8073615930002</c:v>
                </c:pt>
                <c:pt idx="28">
                  <c:v>1932.418162618796</c:v>
                </c:pt>
                <c:pt idx="29">
                  <c:v>1947.5033941771005</c:v>
                </c:pt>
                <c:pt idx="30">
                  <c:v>1959.571579423744</c:v>
                </c:pt>
                <c:pt idx="31">
                  <c:v>1959.571579423744</c:v>
                </c:pt>
                <c:pt idx="32">
                  <c:v>1964.0971488912353</c:v>
                </c:pt>
                <c:pt idx="33">
                  <c:v>1989.7420425403529</c:v>
                </c:pt>
                <c:pt idx="34">
                  <c:v>2003.3187509428269</c:v>
                </c:pt>
                <c:pt idx="35">
                  <c:v>2004.8272740986572</c:v>
                </c:pt>
                <c:pt idx="36">
                  <c:v>2015.3869361894704</c:v>
                </c:pt>
                <c:pt idx="37">
                  <c:v>2015.3869361894704</c:v>
                </c:pt>
                <c:pt idx="38">
                  <c:v>2016.8954593453009</c:v>
                </c:pt>
                <c:pt idx="39">
                  <c:v>2025.9465982802835</c:v>
                </c:pt>
                <c:pt idx="40">
                  <c:v>2030.4721677477748</c:v>
                </c:pt>
                <c:pt idx="41">
                  <c:v>2034.9977372152662</c:v>
                </c:pt>
                <c:pt idx="42">
                  <c:v>2034.9977372152662</c:v>
                </c:pt>
                <c:pt idx="43">
                  <c:v>2042.5403529944183</c:v>
                </c:pt>
                <c:pt idx="44">
                  <c:v>2053.1000150852315</c:v>
                </c:pt>
                <c:pt idx="45">
                  <c:v>2057.6255845527226</c:v>
                </c:pt>
                <c:pt idx="46">
                  <c:v>2068.1852466435357</c:v>
                </c:pt>
                <c:pt idx="47">
                  <c:v>2087.7960476693315</c:v>
                </c:pt>
              </c:numCache>
            </c:numRef>
          </c:yVal>
          <c:smooth val="0"/>
        </c:ser>
        <c:ser>
          <c:idx val="12"/>
          <c:order val="3"/>
          <c:tx>
            <c:strRef>
              <c:f>myData!TaiwanLabel</c:f>
              <c:strCache>
                <c:ptCount val="1"/>
                <c:pt idx="0">
                  <c:v>Taiwan from 15-Mar</c:v>
                </c:pt>
              </c:strCache>
            </c:strRef>
          </c:tx>
          <c:spPr>
            <a:ln w="19050" cap="rnd">
              <a:solidFill>
                <a:schemeClr val="tx2">
                  <a:lumMod val="5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Lbls>
            <c:dLbl>
              <c:idx val="27"/>
              <c:tx>
                <c:rich>
                  <a:bodyPr rot="0" spcFirstLastPara="1" vertOverflow="ellipsis" vert="horz" wrap="square" lIns="38100" tIns="19050" rIns="38100" bIns="19050" anchor="ctr" anchorCtr="1">
                    <a:spAutoFit/>
                  </a:bodyPr>
                  <a:lstStyle/>
                  <a:p>
                    <a:pPr>
                      <a:defRPr sz="1050" b="1" i="0" u="none" strike="noStrike" kern="1200" baseline="0">
                        <a:solidFill>
                          <a:srgbClr val="000000"/>
                        </a:solidFill>
                        <a:latin typeface="Calibri"/>
                        <a:ea typeface="Calibri"/>
                        <a:cs typeface="Calibri"/>
                      </a:defRPr>
                    </a:pPr>
                    <a:r>
                      <a:rPr lang="en-US"/>
                      <a:t>Taiwan </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myData!Taiwan100Dates</c:f>
              <c:numCache>
                <c:formatCode>0</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49</c:v>
                </c:pt>
                <c:pt idx="43">
                  <c:v>56</c:v>
                </c:pt>
                <c:pt idx="44">
                  <c:v>63</c:v>
                </c:pt>
                <c:pt idx="45">
                  <c:v>70</c:v>
                </c:pt>
                <c:pt idx="46">
                  <c:v>77</c:v>
                </c:pt>
                <c:pt idx="47">
                  <c:v>84</c:v>
                </c:pt>
                <c:pt idx="48">
                  <c:v>91</c:v>
                </c:pt>
                <c:pt idx="49">
                  <c:v>98</c:v>
                </c:pt>
              </c:numCache>
            </c:numRef>
          </c:xVal>
          <c:yVal>
            <c:numRef>
              <c:f>myData!Taiwan100Cases</c:f>
              <c:numCache>
                <c:formatCode>0.00</c:formatCode>
                <c:ptCount val="38"/>
                <c:pt idx="0">
                  <c:v>105.84996640943724</c:v>
                </c:pt>
                <c:pt idx="1">
                  <c:v>112.15055964809422</c:v>
                </c:pt>
                <c:pt idx="2">
                  <c:v>118.871192435995</c:v>
                </c:pt>
                <c:pt idx="3">
                  <c:v>125.17178567465199</c:v>
                </c:pt>
                <c:pt idx="4">
                  <c:v>128.53210206860237</c:v>
                </c:pt>
                <c:pt idx="5">
                  <c:v>135.25273485650314</c:v>
                </c:pt>
                <c:pt idx="6">
                  <c:v>138.19301170120974</c:v>
                </c:pt>
                <c:pt idx="7">
                  <c:v>142.39340719364773</c:v>
                </c:pt>
                <c:pt idx="8">
                  <c:v>146.1737631368419</c:v>
                </c:pt>
                <c:pt idx="9">
                  <c:v>149.1140399815485</c:v>
                </c:pt>
                <c:pt idx="10">
                  <c:v>152.4743563754989</c:v>
                </c:pt>
                <c:pt idx="11">
                  <c:v>156.67475186793686</c:v>
                </c:pt>
                <c:pt idx="12">
                  <c:v>157.93487051566828</c:v>
                </c:pt>
                <c:pt idx="13">
                  <c:v>159.19498916339967</c:v>
                </c:pt>
                <c:pt idx="14">
                  <c:v>159.61502871264346</c:v>
                </c:pt>
                <c:pt idx="15">
                  <c:v>160.45510781113106</c:v>
                </c:pt>
                <c:pt idx="16">
                  <c:v>161.71522645886245</c:v>
                </c:pt>
                <c:pt idx="17">
                  <c:v>162.97534510659386</c:v>
                </c:pt>
                <c:pt idx="18">
                  <c:v>165.07554285281284</c:v>
                </c:pt>
                <c:pt idx="19">
                  <c:v>165.07554285281284</c:v>
                </c:pt>
                <c:pt idx="20">
                  <c:v>165.91562195130044</c:v>
                </c:pt>
                <c:pt idx="21">
                  <c:v>165.91562195130044</c:v>
                </c:pt>
                <c:pt idx="22">
                  <c:v>165.91562195130044</c:v>
                </c:pt>
                <c:pt idx="23">
                  <c:v>167.17574059903183</c:v>
                </c:pt>
                <c:pt idx="24">
                  <c:v>176.4166106823954</c:v>
                </c:pt>
                <c:pt idx="25">
                  <c:v>177.25668978088299</c:v>
                </c:pt>
                <c:pt idx="26">
                  <c:v>178.51680842861441</c:v>
                </c:pt>
                <c:pt idx="27">
                  <c:v>178.93684797785821</c:v>
                </c:pt>
                <c:pt idx="28">
                  <c:v>179.356887527102</c:v>
                </c:pt>
                <c:pt idx="29">
                  <c:v>179.7769270763458</c:v>
                </c:pt>
                <c:pt idx="30">
                  <c:v>180.1969666255896</c:v>
                </c:pt>
                <c:pt idx="31">
                  <c:v>180.1969666255896</c:v>
                </c:pt>
                <c:pt idx="32">
                  <c:v>180.1969666255896</c:v>
                </c:pt>
                <c:pt idx="33">
                  <c:v>180.1969666255896</c:v>
                </c:pt>
                <c:pt idx="34">
                  <c:v>180.1969666255896</c:v>
                </c:pt>
                <c:pt idx="35">
                  <c:v>180.1969666255896</c:v>
                </c:pt>
                <c:pt idx="36">
                  <c:v>180.1969666255896</c:v>
                </c:pt>
                <c:pt idx="37">
                  <c:v>181.45708527332098</c:v>
                </c:pt>
              </c:numCache>
            </c:numRef>
          </c:yVal>
          <c:smooth val="0"/>
        </c:ser>
        <c:ser>
          <c:idx val="2"/>
          <c:order val="4"/>
          <c:tx>
            <c:strRef>
              <c:f>myData!NZLabel</c:f>
              <c:strCache>
                <c:ptCount val="1"/>
                <c:pt idx="0">
                  <c:v>NZ from 22-Mar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Lbl>
              <c:idx val="31"/>
              <c:tx>
                <c:rich>
                  <a:bodyPr rot="0" spcFirstLastPara="1" vertOverflow="ellipsis" vert="horz" wrap="square" lIns="38100" tIns="19050" rIns="38100" bIns="19050" anchor="ctr" anchorCtr="1">
                    <a:spAutoFit/>
                  </a:bodyPr>
                  <a:lstStyle/>
                  <a:p>
                    <a:pPr>
                      <a:defRPr sz="1000" b="1" i="0" u="none" strike="noStrike" kern="1200" baseline="0">
                        <a:solidFill>
                          <a:srgbClr val="000000"/>
                        </a:solidFill>
                        <a:latin typeface="Calibri"/>
                        <a:ea typeface="Calibri"/>
                        <a:cs typeface="Calibri"/>
                      </a:defRPr>
                    </a:pPr>
                    <a:r>
                      <a:rPr lang="en-US"/>
                      <a:t>NZ </a:t>
                    </a: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myData!NZ100Dates</c:f>
              <c:numCache>
                <c:formatCode>0</c:formatCode>
                <c:ptCount val="5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53</c:v>
                </c:pt>
                <c:pt idx="47">
                  <c:v>60</c:v>
                </c:pt>
                <c:pt idx="48">
                  <c:v>67</c:v>
                </c:pt>
                <c:pt idx="49">
                  <c:v>74</c:v>
                </c:pt>
                <c:pt idx="50">
                  <c:v>81</c:v>
                </c:pt>
                <c:pt idx="51">
                  <c:v>88</c:v>
                </c:pt>
                <c:pt idx="52">
                  <c:v>95</c:v>
                </c:pt>
                <c:pt idx="53">
                  <c:v>102</c:v>
                </c:pt>
              </c:numCache>
            </c:numRef>
          </c:xVal>
          <c:yVal>
            <c:numRef>
              <c:f>myData!NZ100Cases</c:f>
              <c:numCache>
                <c:formatCode>0.0</c:formatCode>
                <c:ptCount val="42"/>
                <c:pt idx="0">
                  <c:v>195.02868068833652</c:v>
                </c:pt>
                <c:pt idx="1">
                  <c:v>195.02868068833652</c:v>
                </c:pt>
                <c:pt idx="2">
                  <c:v>296.36711281070745</c:v>
                </c:pt>
                <c:pt idx="3">
                  <c:v>391.96940726577435</c:v>
                </c:pt>
                <c:pt idx="4">
                  <c:v>541.10898661567876</c:v>
                </c:pt>
                <c:pt idx="5">
                  <c:v>703.63288718929255</c:v>
                </c:pt>
                <c:pt idx="6">
                  <c:v>862.33269598470361</c:v>
                </c:pt>
                <c:pt idx="7">
                  <c:v>982.79158699808795</c:v>
                </c:pt>
                <c:pt idx="8">
                  <c:v>1126.1950286806882</c:v>
                </c:pt>
                <c:pt idx="9">
                  <c:v>1237.093690248566</c:v>
                </c:pt>
                <c:pt idx="10">
                  <c:v>1353.7284894837476</c:v>
                </c:pt>
                <c:pt idx="11">
                  <c:v>1523.9005736137667</c:v>
                </c:pt>
                <c:pt idx="12">
                  <c:v>1659.6558317399617</c:v>
                </c:pt>
                <c:pt idx="13">
                  <c:v>1816.4435946462715</c:v>
                </c:pt>
                <c:pt idx="14">
                  <c:v>1986.6156787762905</c:v>
                </c:pt>
                <c:pt idx="15">
                  <c:v>2114.72275334608</c:v>
                </c:pt>
                <c:pt idx="16">
                  <c:v>2217.9732313575523</c:v>
                </c:pt>
                <c:pt idx="17">
                  <c:v>2313.5755258126196</c:v>
                </c:pt>
                <c:pt idx="18">
                  <c:v>2369.024856596558</c:v>
                </c:pt>
                <c:pt idx="19">
                  <c:v>2453.1548757170171</c:v>
                </c:pt>
                <c:pt idx="20">
                  <c:v>2508.604206500956</c:v>
                </c:pt>
                <c:pt idx="21">
                  <c:v>2543.0210325047801</c:v>
                </c:pt>
                <c:pt idx="22">
                  <c:v>2579.3499043977054</c:v>
                </c:pt>
                <c:pt idx="23">
                  <c:v>2611.8546845124283</c:v>
                </c:pt>
                <c:pt idx="24">
                  <c:v>2650.0956022944551</c:v>
                </c:pt>
                <c:pt idx="25">
                  <c:v>2678.7762906309749</c:v>
                </c:pt>
                <c:pt idx="26">
                  <c:v>2694.0726577437858</c:v>
                </c:pt>
                <c:pt idx="27">
                  <c:v>2718.9292543021033</c:v>
                </c:pt>
                <c:pt idx="28">
                  <c:v>2736.1376673040154</c:v>
                </c:pt>
                <c:pt idx="29">
                  <c:v>2753.3460803059274</c:v>
                </c:pt>
                <c:pt idx="30">
                  <c:v>2762.906309751434</c:v>
                </c:pt>
                <c:pt idx="31">
                  <c:v>2774.3785850860418</c:v>
                </c:pt>
                <c:pt idx="32">
                  <c:v>2783.9388145315488</c:v>
                </c:pt>
                <c:pt idx="33">
                  <c:v>2793.4990439770554</c:v>
                </c:pt>
                <c:pt idx="34">
                  <c:v>2810.7074569789675</c:v>
                </c:pt>
                <c:pt idx="35">
                  <c:v>2808.7954110898659</c:v>
                </c:pt>
                <c:pt idx="36">
                  <c:v>2814.5315487571702</c:v>
                </c:pt>
                <c:pt idx="37">
                  <c:v>2818.3556405353729</c:v>
                </c:pt>
                <c:pt idx="38">
                  <c:v>2822.1797323135756</c:v>
                </c:pt>
                <c:pt idx="39">
                  <c:v>2827.9158699808795</c:v>
                </c:pt>
                <c:pt idx="40">
                  <c:v>2839.3881453154872</c:v>
                </c:pt>
                <c:pt idx="41">
                  <c:v>2843.21223709369</c:v>
                </c:pt>
              </c:numCache>
            </c:numRef>
          </c:yVal>
          <c:smooth val="0"/>
        </c:ser>
        <c:ser>
          <c:idx val="9"/>
          <c:order val="5"/>
          <c:tx>
            <c:strRef>
              <c:f>TST!JapanSeriesLabel</c:f>
              <c:strCache>
                <c:ptCount val="1"/>
                <c:pt idx="0">
                  <c:v>Japan from 25-Mar</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TST!Japan100Days</c:f>
              <c:numCache>
                <c:formatCode>####0</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numCache>
            </c:numRef>
          </c:xVal>
          <c:yVal>
            <c:numRef>
              <c:f>TST!Japan100Cases</c:f>
              <c:numCache>
                <c:formatCode>0.0</c:formatCode>
                <c:ptCount val="39"/>
                <c:pt idx="0">
                  <c:v>103.27590621387739</c:v>
                </c:pt>
                <c:pt idx="1">
                  <c:v>109.59730827746591</c:v>
                </c:pt>
                <c:pt idx="2">
                  <c:v>115.99772786684927</c:v>
                </c:pt>
                <c:pt idx="3">
                  <c:v>133.77667117069197</c:v>
                </c:pt>
                <c:pt idx="4">
                  <c:v>147.44670313320216</c:v>
                </c:pt>
                <c:pt idx="5">
                  <c:v>147.44670313320216</c:v>
                </c:pt>
                <c:pt idx="6">
                  <c:v>154.32122787735466</c:v>
                </c:pt>
                <c:pt idx="7">
                  <c:v>172.10017118119737</c:v>
                </c:pt>
                <c:pt idx="8">
                  <c:v>197.14872685816687</c:v>
                </c:pt>
                <c:pt idx="9">
                  <c:v>206.78886500513934</c:v>
                </c:pt>
                <c:pt idx="10">
                  <c:v>248.03601347005443</c:v>
                </c:pt>
                <c:pt idx="11">
                  <c:v>248.03601347005443</c:v>
                </c:pt>
                <c:pt idx="12">
                  <c:v>288.73003925440548</c:v>
                </c:pt>
                <c:pt idx="13">
                  <c:v>308.64245575470932</c:v>
                </c:pt>
                <c:pt idx="14">
                  <c:v>336.37760730870394</c:v>
                </c:pt>
                <c:pt idx="15">
                  <c:v>368.77479288459512</c:v>
                </c:pt>
                <c:pt idx="16">
                  <c:v>436.96691764555624</c:v>
                </c:pt>
                <c:pt idx="17">
                  <c:v>474.50024239811302</c:v>
                </c:pt>
                <c:pt idx="18">
                  <c:v>533.2102640636914</c:v>
                </c:pt>
                <c:pt idx="19">
                  <c:v>582.35916510809204</c:v>
                </c:pt>
                <c:pt idx="20">
                  <c:v>604.08898470167765</c:v>
                </c:pt>
                <c:pt idx="21">
                  <c:v>640.0419589383373</c:v>
                </c:pt>
                <c:pt idx="22">
                  <c:v>681.6051775064318</c:v>
                </c:pt>
                <c:pt idx="23">
                  <c:v>773.34452495426012</c:v>
                </c:pt>
                <c:pt idx="24">
                  <c:v>813.56444558384203</c:v>
                </c:pt>
                <c:pt idx="25">
                  <c:v>853.15222600706522</c:v>
                </c:pt>
                <c:pt idx="26">
                  <c:v>853.15222600706522</c:v>
                </c:pt>
                <c:pt idx="27">
                  <c:v>879.86014972572661</c:v>
                </c:pt>
                <c:pt idx="28">
                  <c:v>909.64975695038754</c:v>
                </c:pt>
                <c:pt idx="29">
                  <c:v>977.28875903078472</c:v>
                </c:pt>
                <c:pt idx="30">
                  <c:v>1013.7158384222134</c:v>
                </c:pt>
                <c:pt idx="31">
                  <c:v>1045.4808837917458</c:v>
                </c:pt>
                <c:pt idx="32">
                  <c:v>1062.0745642086656</c:v>
                </c:pt>
                <c:pt idx="33">
                  <c:v>1118.3350425746034</c:v>
                </c:pt>
                <c:pt idx="34">
                  <c:v>1085.3847343181483</c:v>
                </c:pt>
                <c:pt idx="35">
                  <c:v>1097.9485209195304</c:v>
                </c:pt>
                <c:pt idx="36">
                  <c:v>1113.1989033979378</c:v>
                </c:pt>
                <c:pt idx="37">
                  <c:v>1130.3457064954216</c:v>
                </c:pt>
                <c:pt idx="38">
                  <c:v>1151.3643683568534</c:v>
                </c:pt>
              </c:numCache>
            </c:numRef>
          </c:yVal>
          <c:smooth val="0"/>
        </c:ser>
        <c:ser>
          <c:idx val="15"/>
          <c:order val="6"/>
          <c:tx>
            <c:strRef>
              <c:f>TST!QueenslandSeriesLabel</c:f>
              <c:strCache>
                <c:ptCount val="1"/>
                <c:pt idx="0">
                  <c:v>Queensland from 15-Mar</c:v>
                </c:pt>
              </c:strCache>
            </c:strRef>
          </c:tx>
          <c:spPr>
            <a:ln w="12700" cap="rnd">
              <a:solidFill>
                <a:schemeClr val="accent4">
                  <a:lumMod val="60000"/>
                  <a:lumOff val="40000"/>
                </a:schemeClr>
              </a:solidFill>
              <a:round/>
            </a:ln>
            <a:effectLst/>
          </c:spPr>
          <c:marker>
            <c:symbol val="square"/>
            <c:size val="5"/>
            <c:spPr>
              <a:solidFill>
                <a:schemeClr val="accent4">
                  <a:lumMod val="60000"/>
                  <a:lumOff val="40000"/>
                  <a:alpha val="54000"/>
                </a:schemeClr>
              </a:solidFill>
              <a:ln w="9525">
                <a:noFill/>
              </a:ln>
              <a:effectLst/>
            </c:spPr>
          </c:marker>
          <c:dLbls>
            <c:dLbl>
              <c:idx val="38"/>
              <c:layout>
                <c:manualLayout>
                  <c:x val="-6.8211065446100866E-3"/>
                  <c:y val="3.1314622367023814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accent4">
                            <a:lumMod val="75000"/>
                          </a:schemeClr>
                        </a:solidFill>
                        <a:latin typeface="Calibri"/>
                        <a:ea typeface="Calibri"/>
                        <a:cs typeface="Calibri"/>
                      </a:defRPr>
                    </a:pPr>
                    <a:r>
                      <a:rPr lang="en-US" b="1">
                        <a:solidFill>
                          <a:schemeClr val="accent4">
                            <a:lumMod val="75000"/>
                          </a:schemeClr>
                        </a:solidFill>
                      </a:rPr>
                      <a:t>Queensland </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4">
                          <a:lumMod val="75000"/>
                        </a:schemeClr>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TST!Queensland100Days</c:f>
              <c:numCache>
                <c:formatCode>####0</c:formatCode>
                <c:ptCount val="4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numCache>
            </c:numRef>
          </c:xVal>
          <c:yVal>
            <c:numRef>
              <c:f>TST!Queensland100Cases</c:f>
              <c:numCache>
                <c:formatCode>0.0</c:formatCode>
                <c:ptCount val="49"/>
                <c:pt idx="0">
                  <c:v>119.246572785078</c:v>
                </c:pt>
                <c:pt idx="1">
                  <c:v>132.93060572762792</c:v>
                </c:pt>
                <c:pt idx="2">
                  <c:v>152.47922421698499</c:v>
                </c:pt>
                <c:pt idx="3">
                  <c:v>183.75701379995627</c:v>
                </c:pt>
                <c:pt idx="4">
                  <c:v>281.5001062467415</c:v>
                </c:pt>
                <c:pt idx="5">
                  <c:v>359.69458020416971</c:v>
                </c:pt>
                <c:pt idx="6">
                  <c:v>432.02446861479081</c:v>
                </c:pt>
                <c:pt idx="7">
                  <c:v>506.30921887434755</c:v>
                </c:pt>
                <c:pt idx="8">
                  <c:v>623.6009298104899</c:v>
                </c:pt>
                <c:pt idx="9">
                  <c:v>776.0801540274748</c:v>
                </c:pt>
                <c:pt idx="10">
                  <c:v>866.00379907851732</c:v>
                </c:pt>
                <c:pt idx="11">
                  <c:v>963.74689152530254</c:v>
                </c:pt>
                <c:pt idx="12">
                  <c:v>1084.9483261593161</c:v>
                </c:pt>
                <c:pt idx="13">
                  <c:v>1221.7886555848156</c:v>
                </c:pt>
                <c:pt idx="14">
                  <c:v>1282.3893729018223</c:v>
                </c:pt>
                <c:pt idx="15">
                  <c:v>1346.8998139167006</c:v>
                </c:pt>
                <c:pt idx="16">
                  <c:v>1452.4623537592288</c:v>
                </c:pt>
                <c:pt idx="17">
                  <c:v>1526.7471040187854</c:v>
                </c:pt>
                <c:pt idx="18">
                  <c:v>1632.3096438613136</c:v>
                </c:pt>
                <c:pt idx="19">
                  <c:v>1706.5943941208704</c:v>
                </c:pt>
                <c:pt idx="20">
                  <c:v>1759.3756640421343</c:v>
                </c:pt>
                <c:pt idx="21">
                  <c:v>1773.0596969846843</c:v>
                </c:pt>
                <c:pt idx="22">
                  <c:v>1800.4277628697841</c:v>
                </c:pt>
                <c:pt idx="23">
                  <c:v>1825.8409669059483</c:v>
                </c:pt>
                <c:pt idx="24">
                  <c:v>1843.4347235463697</c:v>
                </c:pt>
                <c:pt idx="25">
                  <c:v>1862.9833420357268</c:v>
                </c:pt>
                <c:pt idx="26">
                  <c:v>1886.4416842229552</c:v>
                </c:pt>
                <c:pt idx="27">
                  <c:v>1904.0354408633766</c:v>
                </c:pt>
                <c:pt idx="28">
                  <c:v>1921.629197503798</c:v>
                </c:pt>
                <c:pt idx="29">
                  <c:v>1929.4486448995408</c:v>
                </c:pt>
                <c:pt idx="30">
                  <c:v>1950.9521252378336</c:v>
                </c:pt>
                <c:pt idx="31">
                  <c:v>1952.9069870867693</c:v>
                </c:pt>
                <c:pt idx="32">
                  <c:v>1956.8167107846407</c:v>
                </c:pt>
                <c:pt idx="33">
                  <c:v>1968.5458818782549</c:v>
                </c:pt>
                <c:pt idx="34">
                  <c:v>1984.1847766697404</c:v>
                </c:pt>
                <c:pt idx="35">
                  <c:v>1992.0042240654832</c:v>
                </c:pt>
                <c:pt idx="36">
                  <c:v>1992.0042240654832</c:v>
                </c:pt>
                <c:pt idx="37">
                  <c:v>2001.7785333101617</c:v>
                </c:pt>
                <c:pt idx="38">
                  <c:v>2001.7785333101617</c:v>
                </c:pt>
                <c:pt idx="39">
                  <c:v>2005.6882570080331</c:v>
                </c:pt>
                <c:pt idx="40">
                  <c:v>2005.6882570080331</c:v>
                </c:pt>
                <c:pt idx="41">
                  <c:v>2005.6882570080331</c:v>
                </c:pt>
                <c:pt idx="42">
                  <c:v>2013.507704403776</c:v>
                </c:pt>
                <c:pt idx="43">
                  <c:v>2019.3722899505831</c:v>
                </c:pt>
                <c:pt idx="44">
                  <c:v>2021.3271517995188</c:v>
                </c:pt>
                <c:pt idx="45">
                  <c:v>2019.3722899505831</c:v>
                </c:pt>
                <c:pt idx="46">
                  <c:v>2019.3722899505831</c:v>
                </c:pt>
                <c:pt idx="47">
                  <c:v>2021.3271517995188</c:v>
                </c:pt>
                <c:pt idx="48">
                  <c:v>2023.2820136484545</c:v>
                </c:pt>
              </c:numCache>
            </c:numRef>
          </c:yVal>
          <c:smooth val="0"/>
        </c:ser>
        <c:ser>
          <c:idx val="16"/>
          <c:order val="7"/>
          <c:tx>
            <c:strRef>
              <c:f>TST!JapanSeriesLabel</c:f>
              <c:strCache>
                <c:ptCount val="1"/>
                <c:pt idx="0">
                  <c:v>Japan from 25-Mar</c:v>
                </c:pt>
              </c:strCache>
            </c:strRef>
          </c:tx>
          <c:spPr>
            <a:ln w="19050"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dLbls>
            <c:dLbl>
              <c:idx val="28"/>
              <c:layout>
                <c:manualLayout>
                  <c:x val="3.1377090105206167E-2"/>
                  <c:y val="-3.7577546840428654E-2"/>
                </c:manualLayout>
              </c:layout>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Japan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TST!Japan100Days</c:f>
              <c:numCache>
                <c:formatCode>####0</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numCache>
            </c:numRef>
          </c:xVal>
          <c:yVal>
            <c:numRef>
              <c:f>TST!Japan100Cases</c:f>
              <c:numCache>
                <c:formatCode>0.0</c:formatCode>
                <c:ptCount val="39"/>
                <c:pt idx="0">
                  <c:v>103.27590621387739</c:v>
                </c:pt>
                <c:pt idx="1">
                  <c:v>109.59730827746591</c:v>
                </c:pt>
                <c:pt idx="2">
                  <c:v>115.99772786684927</c:v>
                </c:pt>
                <c:pt idx="3">
                  <c:v>133.77667117069197</c:v>
                </c:pt>
                <c:pt idx="4">
                  <c:v>147.44670313320216</c:v>
                </c:pt>
                <c:pt idx="5">
                  <c:v>147.44670313320216</c:v>
                </c:pt>
                <c:pt idx="6">
                  <c:v>154.32122787735466</c:v>
                </c:pt>
                <c:pt idx="7">
                  <c:v>172.10017118119737</c:v>
                </c:pt>
                <c:pt idx="8">
                  <c:v>197.14872685816687</c:v>
                </c:pt>
                <c:pt idx="9">
                  <c:v>206.78886500513934</c:v>
                </c:pt>
                <c:pt idx="10">
                  <c:v>248.03601347005443</c:v>
                </c:pt>
                <c:pt idx="11">
                  <c:v>248.03601347005443</c:v>
                </c:pt>
                <c:pt idx="12">
                  <c:v>288.73003925440548</c:v>
                </c:pt>
                <c:pt idx="13">
                  <c:v>308.64245575470932</c:v>
                </c:pt>
                <c:pt idx="14">
                  <c:v>336.37760730870394</c:v>
                </c:pt>
                <c:pt idx="15">
                  <c:v>368.77479288459512</c:v>
                </c:pt>
                <c:pt idx="16">
                  <c:v>436.96691764555624</c:v>
                </c:pt>
                <c:pt idx="17">
                  <c:v>474.50024239811302</c:v>
                </c:pt>
                <c:pt idx="18">
                  <c:v>533.2102640636914</c:v>
                </c:pt>
                <c:pt idx="19">
                  <c:v>582.35916510809204</c:v>
                </c:pt>
                <c:pt idx="20">
                  <c:v>604.08898470167765</c:v>
                </c:pt>
                <c:pt idx="21">
                  <c:v>640.0419589383373</c:v>
                </c:pt>
                <c:pt idx="22">
                  <c:v>681.6051775064318</c:v>
                </c:pt>
                <c:pt idx="23">
                  <c:v>773.34452495426012</c:v>
                </c:pt>
                <c:pt idx="24">
                  <c:v>813.56444558384203</c:v>
                </c:pt>
                <c:pt idx="25">
                  <c:v>853.15222600706522</c:v>
                </c:pt>
                <c:pt idx="26">
                  <c:v>853.15222600706522</c:v>
                </c:pt>
                <c:pt idx="27">
                  <c:v>879.86014972572661</c:v>
                </c:pt>
                <c:pt idx="28">
                  <c:v>909.64975695038754</c:v>
                </c:pt>
                <c:pt idx="29">
                  <c:v>977.28875903078472</c:v>
                </c:pt>
                <c:pt idx="30">
                  <c:v>1013.7158384222134</c:v>
                </c:pt>
                <c:pt idx="31">
                  <c:v>1045.4808837917458</c:v>
                </c:pt>
                <c:pt idx="32">
                  <c:v>1062.0745642086656</c:v>
                </c:pt>
                <c:pt idx="33">
                  <c:v>1118.3350425746034</c:v>
                </c:pt>
                <c:pt idx="34">
                  <c:v>1085.3847343181483</c:v>
                </c:pt>
                <c:pt idx="35">
                  <c:v>1097.9485209195304</c:v>
                </c:pt>
                <c:pt idx="36">
                  <c:v>1113.1989033979378</c:v>
                </c:pt>
                <c:pt idx="37">
                  <c:v>1130.3457064954216</c:v>
                </c:pt>
                <c:pt idx="38">
                  <c:v>1151.3643683568534</c:v>
                </c:pt>
              </c:numCache>
            </c:numRef>
          </c:yVal>
          <c:smooth val="0"/>
        </c:ser>
        <c:ser>
          <c:idx val="17"/>
          <c:order val="8"/>
          <c:tx>
            <c:strRef>
              <c:f>TST!GermanySeriesLabel</c:f>
              <c:strCache>
                <c:ptCount val="1"/>
                <c:pt idx="0">
                  <c:v>Germany from 08-Mar</c:v>
                </c:pt>
              </c:strCache>
            </c:strRef>
          </c:tx>
          <c:spPr>
            <a:ln w="19050"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dLbls>
            <c:dLbl>
              <c:idx val="45"/>
              <c:layout>
                <c:manualLayout>
                  <c:x val="2.3191762251674124E-2"/>
                  <c:y val="-1.0438207455674604E-2"/>
                </c:manualLayout>
              </c:layout>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b="1">
                        <a:solidFill>
                          <a:schemeClr val="accent6">
                            <a:lumMod val="75000"/>
                          </a:schemeClr>
                        </a:solidFill>
                      </a:rPr>
                      <a:t>Germany</a:t>
                    </a:r>
                    <a:r>
                      <a:rPr lang="en-US"/>
                      <a:t>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TST!Germany100Days</c:f>
              <c:numCache>
                <c:formatCode>####0</c:formatCode>
                <c:ptCount val="5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numCache>
            </c:numRef>
          </c:xVal>
          <c:yVal>
            <c:numRef>
              <c:f>TST!Germany100Cases</c:f>
              <c:numCache>
                <c:formatCode>0.0</c:formatCode>
                <c:ptCount val="56"/>
                <c:pt idx="0">
                  <c:v>125.27101903155867</c:v>
                </c:pt>
                <c:pt idx="1">
                  <c:v>141.65261382799326</c:v>
                </c:pt>
                <c:pt idx="2">
                  <c:v>175.49987954709709</c:v>
                </c:pt>
                <c:pt idx="3">
                  <c:v>229.82413876174417</c:v>
                </c:pt>
                <c:pt idx="4">
                  <c:v>250.30113225728741</c:v>
                </c:pt>
                <c:pt idx="5">
                  <c:v>442.66441821247895</c:v>
                </c:pt>
                <c:pt idx="6">
                  <c:v>552.27655986509274</c:v>
                </c:pt>
                <c:pt idx="7">
                  <c:v>698.02457239219473</c:v>
                </c:pt>
                <c:pt idx="8">
                  <c:v>875.93350999759093</c:v>
                </c:pt>
                <c:pt idx="9">
                  <c:v>1115.0325222837871</c:v>
                </c:pt>
                <c:pt idx="10">
                  <c:v>1484.8229342327152</c:v>
                </c:pt>
                <c:pt idx="11">
                  <c:v>1845.3384726571912</c:v>
                </c:pt>
                <c:pt idx="12">
                  <c:v>2390.7492170561313</c:v>
                </c:pt>
                <c:pt idx="13">
                  <c:v>2675.620332450012</c:v>
                </c:pt>
                <c:pt idx="14">
                  <c:v>2996.0250542038066</c:v>
                </c:pt>
                <c:pt idx="15">
                  <c:v>3499.8795470970854</c:v>
                </c:pt>
                <c:pt idx="16">
                  <c:v>3973.259455552879</c:v>
                </c:pt>
                <c:pt idx="17">
                  <c:v>4495.6636954950618</c:v>
                </c:pt>
                <c:pt idx="18">
                  <c:v>5292.4596482775241</c:v>
                </c:pt>
                <c:pt idx="19">
                  <c:v>6127.5596241869434</c:v>
                </c:pt>
                <c:pt idx="20">
                  <c:v>6949.5302336786317</c:v>
                </c:pt>
                <c:pt idx="21">
                  <c:v>7479.523006504457</c:v>
                </c:pt>
                <c:pt idx="22">
                  <c:v>8056.4924114671167</c:v>
                </c:pt>
                <c:pt idx="23">
                  <c:v>8649.4820525174655</c:v>
                </c:pt>
                <c:pt idx="24">
                  <c:v>9379.9084557937858</c:v>
                </c:pt>
                <c:pt idx="25">
                  <c:v>10213.683449771141</c:v>
                </c:pt>
                <c:pt idx="26">
                  <c:v>10980.366176824862</c:v>
                </c:pt>
                <c:pt idx="27">
                  <c:v>11574.560346904362</c:v>
                </c:pt>
                <c:pt idx="28">
                  <c:v>12060.105998554565</c:v>
                </c:pt>
                <c:pt idx="29">
                  <c:v>12451.698385931102</c:v>
                </c:pt>
                <c:pt idx="30">
                  <c:v>12968.320886533365</c:v>
                </c:pt>
                <c:pt idx="31">
                  <c:v>13646.832088653337</c:v>
                </c:pt>
                <c:pt idx="32">
                  <c:v>14235.244519392918</c:v>
                </c:pt>
                <c:pt idx="33">
                  <c:v>14715.851602023609</c:v>
                </c:pt>
                <c:pt idx="34">
                  <c:v>15045.531197301856</c:v>
                </c:pt>
                <c:pt idx="35">
                  <c:v>15400.385449289328</c:v>
                </c:pt>
                <c:pt idx="36">
                  <c:v>15667.54998795471</c:v>
                </c:pt>
                <c:pt idx="37">
                  <c:v>15822.572874006264</c:v>
                </c:pt>
                <c:pt idx="38">
                  <c:v>16231.390026499639</c:v>
                </c:pt>
                <c:pt idx="39">
                  <c:v>16586.123825584196</c:v>
                </c:pt>
                <c:pt idx="40">
                  <c:v>17031.679113466635</c:v>
                </c:pt>
                <c:pt idx="41">
                  <c:v>17265.960009636234</c:v>
                </c:pt>
                <c:pt idx="42">
                  <c:v>17487.834256805589</c:v>
                </c:pt>
                <c:pt idx="43">
                  <c:v>17714.40616718863</c:v>
                </c:pt>
                <c:pt idx="44">
                  <c:v>17862.081426162371</c:v>
                </c:pt>
                <c:pt idx="45">
                  <c:v>18145.988918332932</c:v>
                </c:pt>
                <c:pt idx="46">
                  <c:v>18444.832570464951</c:v>
                </c:pt>
                <c:pt idx="47">
                  <c:v>18670.079498915926</c:v>
                </c:pt>
                <c:pt idx="48">
                  <c:v>18852.445193929176</c:v>
                </c:pt>
                <c:pt idx="49">
                  <c:v>19003.854492893279</c:v>
                </c:pt>
                <c:pt idx="50">
                  <c:v>19122.86196097326</c:v>
                </c:pt>
                <c:pt idx="51">
                  <c:v>19261.864610937126</c:v>
                </c:pt>
                <c:pt idx="52">
                  <c:v>19457.841483979766</c:v>
                </c:pt>
                <c:pt idx="53">
                  <c:v>19634.907251264758</c:v>
                </c:pt>
                <c:pt idx="54">
                  <c:v>19763.550951577934</c:v>
                </c:pt>
                <c:pt idx="55">
                  <c:v>19870.754035172249</c:v>
                </c:pt>
              </c:numCache>
            </c:numRef>
          </c:yVal>
          <c:smooth val="0"/>
        </c:ser>
        <c:ser>
          <c:idx val="20"/>
          <c:order val="9"/>
          <c:tx>
            <c:strRef>
              <c:f>TST!SouthAfricaSeriesLabel</c:f>
              <c:strCache>
                <c:ptCount val="1"/>
                <c:pt idx="0">
                  <c:v>South Africa from 25-Mar</c:v>
                </c:pt>
              </c:strCache>
            </c:strRef>
          </c:tx>
          <c:spPr>
            <a:ln w="19050" cap="rnd">
              <a:solidFill>
                <a:schemeClr val="accent3">
                  <a:lumMod val="80000"/>
                </a:schemeClr>
              </a:solidFill>
              <a:prstDash val="sysDot"/>
              <a:round/>
            </a:ln>
            <a:effectLst/>
          </c:spPr>
          <c:marker>
            <c:symbol val="x"/>
            <c:size val="4"/>
            <c:spPr>
              <a:noFill/>
              <a:ln w="6350">
                <a:solidFill>
                  <a:schemeClr val="accent3">
                    <a:lumMod val="80000"/>
                  </a:schemeClr>
                </a:solidFill>
                <a:prstDash val="solid"/>
              </a:ln>
              <a:effectLst/>
            </c:spPr>
          </c:marker>
          <c:dLbls>
            <c:dLbl>
              <c:idx val="28"/>
              <c:tx>
                <c:rich>
                  <a:bodyPr/>
                  <a:lstStyle/>
                  <a:p>
                    <a:r>
                      <a:rPr lang="en-US"/>
                      <a:t>South Africa</a:t>
                    </a:r>
                  </a:p>
                </c:rich>
              </c:tx>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TST!SouthAfrica100Days</c:f>
              <c:numCache>
                <c:formatCode>####0</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numCache>
            </c:numRef>
          </c:xVal>
          <c:yVal>
            <c:numRef>
              <c:f>TST!SouthAfrica100Cases</c:f>
              <c:numCache>
                <c:formatCode>0.0</c:formatCode>
                <c:ptCount val="39"/>
                <c:pt idx="0">
                  <c:v>122.70681896850122</c:v>
                </c:pt>
                <c:pt idx="1">
                  <c:v>160.4361370716511</c:v>
                </c:pt>
                <c:pt idx="2">
                  <c:v>202.49221183800626</c:v>
                </c:pt>
                <c:pt idx="3">
                  <c:v>205.43440636898583</c:v>
                </c:pt>
                <c:pt idx="4">
                  <c:v>221.5299411561094</c:v>
                </c:pt>
                <c:pt idx="5">
                  <c:v>229.49117341640707</c:v>
                </c:pt>
                <c:pt idx="6">
                  <c:v>234.16407061266875</c:v>
                </c:pt>
                <c:pt idx="7">
                  <c:v>238.83696780893044</c:v>
                </c:pt>
                <c:pt idx="8">
                  <c:v>253.02872966424371</c:v>
                </c:pt>
                <c:pt idx="9">
                  <c:v>260.47075112495673</c:v>
                </c:pt>
                <c:pt idx="10">
                  <c:v>274.31637244721361</c:v>
                </c:pt>
                <c:pt idx="11">
                  <c:v>286.43129110418835</c:v>
                </c:pt>
                <c:pt idx="12">
                  <c:v>291.79646936656286</c:v>
                </c:pt>
                <c:pt idx="13">
                  <c:v>302.6998961578401</c:v>
                </c:pt>
                <c:pt idx="14">
                  <c:v>319.31464174454828</c:v>
                </c:pt>
                <c:pt idx="15">
                  <c:v>334.71789546555902</c:v>
                </c:pt>
                <c:pt idx="16">
                  <c:v>346.65974385600555</c:v>
                </c:pt>
                <c:pt idx="17">
                  <c:v>350.98650051921084</c:v>
                </c:pt>
                <c:pt idx="18">
                  <c:v>376.08168916580132</c:v>
                </c:pt>
                <c:pt idx="19">
                  <c:v>393.2156455520942</c:v>
                </c:pt>
                <c:pt idx="20">
                  <c:v>417.96469366562826</c:v>
                </c:pt>
                <c:pt idx="21">
                  <c:v>433.71408791969543</c:v>
                </c:pt>
                <c:pt idx="22">
                  <c:v>450.84804430598825</c:v>
                </c:pt>
                <c:pt idx="23">
                  <c:v>481.65455174800974</c:v>
                </c:pt>
                <c:pt idx="24">
                  <c:v>525.0951886465906</c:v>
                </c:pt>
                <c:pt idx="25">
                  <c:v>546.55590169608865</c:v>
                </c:pt>
                <c:pt idx="26">
                  <c:v>571.13187954309456</c:v>
                </c:pt>
                <c:pt idx="27">
                  <c:v>599.68847352024932</c:v>
                </c:pt>
                <c:pt idx="28">
                  <c:v>629.11041883004509</c:v>
                </c:pt>
                <c:pt idx="29">
                  <c:v>684.14676358601594</c:v>
                </c:pt>
                <c:pt idx="30">
                  <c:v>730.35652474904816</c:v>
                </c:pt>
                <c:pt idx="31">
                  <c:v>754.75943232952579</c:v>
                </c:pt>
                <c:pt idx="32">
                  <c:v>786.77743163724483</c:v>
                </c:pt>
                <c:pt idx="33">
                  <c:v>829.52578746971278</c:v>
                </c:pt>
                <c:pt idx="34">
                  <c:v>864.65905157493944</c:v>
                </c:pt>
                <c:pt idx="35">
                  <c:v>925.92592592592598</c:v>
                </c:pt>
                <c:pt idx="36">
                  <c:v>977.32779508480451</c:v>
                </c:pt>
                <c:pt idx="37">
                  <c:v>1029.9411561093805</c:v>
                </c:pt>
                <c:pt idx="38">
                  <c:v>1096.5732087227416</c:v>
                </c:pt>
              </c:numCache>
            </c:numRef>
          </c:yVal>
          <c:smooth val="0"/>
        </c:ser>
        <c:dLbls>
          <c:showLegendKey val="0"/>
          <c:showVal val="0"/>
          <c:showCatName val="0"/>
          <c:showSerName val="0"/>
          <c:showPercent val="0"/>
          <c:showBubbleSize val="0"/>
        </c:dLbls>
        <c:axId val="792683024"/>
        <c:axId val="792682632"/>
      </c:scatterChart>
      <c:valAx>
        <c:axId val="792683024"/>
        <c:scaling>
          <c:orientation val="minMax"/>
          <c:max val="7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myData!lblHorizAxisDays</c:f>
              <c:strCache>
                <c:ptCount val="1"/>
                <c:pt idx="0">
                  <c:v>Days Since 100 cases per 10m population</c:v>
                </c:pt>
              </c:strCache>
            </c:strRef>
          </c:tx>
          <c:layout>
            <c:manualLayout>
              <c:xMode val="edge"/>
              <c:yMode val="edge"/>
              <c:x val="0.2987676892239407"/>
              <c:y val="0.924620525954150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792682632"/>
        <c:crosses val="autoZero"/>
        <c:crossBetween val="midCat"/>
        <c:majorUnit val="7"/>
        <c:minorUnit val="1"/>
      </c:valAx>
      <c:valAx>
        <c:axId val="79268263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layout>
            <c:manualLayout>
              <c:xMode val="edge"/>
              <c:yMode val="edge"/>
              <c:x val="9.5495491624540511E-3"/>
              <c:y val="0.43324149902521936"/>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92683024"/>
        <c:crosses val="autoZero"/>
        <c:crossBetween val="midCat"/>
        <c:majorUnit val="10"/>
      </c:valAx>
      <c:spPr>
        <a:noFill/>
        <a:ln>
          <a:noFill/>
        </a:ln>
        <a:effectLst/>
      </c:spPr>
    </c:plotArea>
    <c:legend>
      <c:legendPos val="b"/>
      <c:layout>
        <c:manualLayout>
          <c:xMode val="edge"/>
          <c:yMode val="edge"/>
          <c:x val="0.75468443520163608"/>
          <c:y val="8.5902337829707645E-2"/>
          <c:w val="0.24531556479836381"/>
          <c:h val="0.67430918792389805"/>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userShapes r:id="rId3"/>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40812586822629E-2"/>
          <c:y val="7.741313839055193E-2"/>
          <c:w val="0.92285532525036273"/>
          <c:h val="0.62662417166464457"/>
        </c:manualLayout>
      </c:layout>
      <c:barChart>
        <c:barDir val="col"/>
        <c:grouping val="clustered"/>
        <c:varyColors val="0"/>
        <c:ser>
          <c:idx val="0"/>
          <c:order val="0"/>
          <c:tx>
            <c:v>USA Cases per 10m Population</c:v>
          </c:tx>
          <c:spPr>
            <a:solidFill>
              <a:schemeClr val="accent1"/>
            </a:solidFill>
            <a:ln>
              <a:noFill/>
            </a:ln>
            <a:effectLst/>
          </c:spPr>
          <c:invertIfNegative val="0"/>
          <c:cat>
            <c:strRef>
              <c:f>TST!$JF$6:$LK$6</c:f>
              <c:strCache>
                <c:ptCount val="58"/>
                <c:pt idx="2">
                  <c:v>American Samoa</c:v>
                </c:pt>
                <c:pt idx="3">
                  <c:v>Guam</c:v>
                </c:pt>
                <c:pt idx="4">
                  <c:v>Northern Mariana Islands</c:v>
                </c:pt>
                <c:pt idx="5">
                  <c:v>Puerto Rico</c:v>
                </c:pt>
                <c:pt idx="6">
                  <c:v>Virgin Islands</c:v>
                </c:pt>
                <c:pt idx="7">
                  <c:v>Alabama</c:v>
                </c:pt>
                <c:pt idx="8">
                  <c:v>Alaska</c:v>
                </c:pt>
                <c:pt idx="9">
                  <c:v>Arizona</c:v>
                </c:pt>
                <c:pt idx="10">
                  <c:v>Arkansas</c:v>
                </c:pt>
                <c:pt idx="11">
                  <c:v>California</c:v>
                </c:pt>
                <c:pt idx="12">
                  <c:v>Colorado</c:v>
                </c:pt>
                <c:pt idx="13">
                  <c:v>Connecticut</c:v>
                </c:pt>
                <c:pt idx="14">
                  <c:v>Delaware</c:v>
                </c:pt>
                <c:pt idx="15">
                  <c:v>District of Columbia</c:v>
                </c:pt>
                <c:pt idx="16">
                  <c:v>Florida</c:v>
                </c:pt>
                <c:pt idx="17">
                  <c:v>Georgia</c:v>
                </c:pt>
                <c:pt idx="18">
                  <c:v>Hawaii</c:v>
                </c:pt>
                <c:pt idx="19">
                  <c:v>Idaho</c:v>
                </c:pt>
                <c:pt idx="20">
                  <c:v>Illinois</c:v>
                </c:pt>
                <c:pt idx="21">
                  <c:v>Indiana</c:v>
                </c:pt>
                <c:pt idx="22">
                  <c:v>Iowa</c:v>
                </c:pt>
                <c:pt idx="23">
                  <c:v>Kansas</c:v>
                </c:pt>
                <c:pt idx="24">
                  <c:v>Kentucky</c:v>
                </c:pt>
                <c:pt idx="25">
                  <c:v>Louisiana</c:v>
                </c:pt>
                <c:pt idx="26">
                  <c:v>Maine</c:v>
                </c:pt>
                <c:pt idx="27">
                  <c:v>Maryland</c:v>
                </c:pt>
                <c:pt idx="28">
                  <c:v>Massachusetts</c:v>
                </c:pt>
                <c:pt idx="29">
                  <c:v>Michigan</c:v>
                </c:pt>
                <c:pt idx="30">
                  <c:v>Minnesota</c:v>
                </c:pt>
                <c:pt idx="31">
                  <c:v>Mississippi</c:v>
                </c:pt>
                <c:pt idx="32">
                  <c:v>Missouri</c:v>
                </c:pt>
                <c:pt idx="33">
                  <c:v>Montana</c:v>
                </c:pt>
                <c:pt idx="34">
                  <c:v>Nebraska</c:v>
                </c:pt>
                <c:pt idx="35">
                  <c:v>Nevada</c:v>
                </c:pt>
                <c:pt idx="36">
                  <c:v>New Hampshire</c:v>
                </c:pt>
                <c:pt idx="37">
                  <c:v>New Jersey</c:v>
                </c:pt>
                <c:pt idx="38">
                  <c:v>New Mexico</c:v>
                </c:pt>
                <c:pt idx="39">
                  <c:v>New York</c:v>
                </c:pt>
                <c:pt idx="40">
                  <c:v>North Carolina</c:v>
                </c:pt>
                <c:pt idx="41">
                  <c:v>North Dakota</c:v>
                </c:pt>
                <c:pt idx="42">
                  <c:v>Ohio</c:v>
                </c:pt>
                <c:pt idx="43">
                  <c:v>Oklahoma</c:v>
                </c:pt>
                <c:pt idx="44">
                  <c:v>Oregon</c:v>
                </c:pt>
                <c:pt idx="45">
                  <c:v>Pennsylvania</c:v>
                </c:pt>
                <c:pt idx="46">
                  <c:v>Rhode Island</c:v>
                </c:pt>
                <c:pt idx="47">
                  <c:v>South Carolina</c:v>
                </c:pt>
                <c:pt idx="48">
                  <c:v>South Dakota</c:v>
                </c:pt>
                <c:pt idx="49">
                  <c:v>Tennessee</c:v>
                </c:pt>
                <c:pt idx="50">
                  <c:v>Texas</c:v>
                </c:pt>
                <c:pt idx="51">
                  <c:v>Utah</c:v>
                </c:pt>
                <c:pt idx="52">
                  <c:v>Vermont</c:v>
                </c:pt>
                <c:pt idx="53">
                  <c:v>Virginia</c:v>
                </c:pt>
                <c:pt idx="54">
                  <c:v>Washington</c:v>
                </c:pt>
                <c:pt idx="55">
                  <c:v>West Virginia</c:v>
                </c:pt>
                <c:pt idx="56">
                  <c:v>Wisconsin</c:v>
                </c:pt>
                <c:pt idx="57">
                  <c:v>Wyoming</c:v>
                </c:pt>
              </c:strCache>
            </c:strRef>
          </c:cat>
          <c:val>
            <c:numRef>
              <c:f>TST!$JK$3:$LN$3</c:f>
              <c:numCache>
                <c:formatCode>0</c:formatCode>
                <c:ptCount val="56"/>
                <c:pt idx="0">
                  <c:v>5989.6202642114558</c:v>
                </c:pt>
                <c:pt idx="1">
                  <c:v>6152.8135138158632</c:v>
                </c:pt>
                <c:pt idx="2">
                  <c:v>15522.563395017727</c:v>
                </c:pt>
                <c:pt idx="3">
                  <c:v>4989.4401574749336</c:v>
                </c:pt>
                <c:pt idx="4">
                  <c:v>11491.036126284343</c:v>
                </c:pt>
                <c:pt idx="5">
                  <c:v>11173.687886953559</c:v>
                </c:pt>
                <c:pt idx="6">
                  <c:v>13501.391708585974</c:v>
                </c:pt>
                <c:pt idx="7">
                  <c:v>28174.585534047746</c:v>
                </c:pt>
                <c:pt idx="8">
                  <c:v>82144.859586339051</c:v>
                </c:pt>
                <c:pt idx="9">
                  <c:v>51737.381952916723</c:v>
                </c:pt>
                <c:pt idx="10">
                  <c:v>67970.340730202952</c:v>
                </c:pt>
                <c:pt idx="11">
                  <c:v>16511.516087565462</c:v>
                </c:pt>
                <c:pt idx="12">
                  <c:v>26683.499376449447</c:v>
                </c:pt>
                <c:pt idx="13">
                  <c:v>4378.9269086471095</c:v>
                </c:pt>
                <c:pt idx="14">
                  <c:v>11532.876532191051</c:v>
                </c:pt>
                <c:pt idx="15">
                  <c:v>46169.370605850578</c:v>
                </c:pt>
                <c:pt idx="16">
                  <c:v>28660.68379534296</c:v>
                </c:pt>
                <c:pt idx="17">
                  <c:v>27394.003936521218</c:v>
                </c:pt>
                <c:pt idx="18">
                  <c:v>16767.845827809841</c:v>
                </c:pt>
                <c:pt idx="19">
                  <c:v>10927.388821876624</c:v>
                </c:pt>
                <c:pt idx="20">
                  <c:v>62682.923786255102</c:v>
                </c:pt>
                <c:pt idx="21">
                  <c:v>8577.5160465759873</c:v>
                </c:pt>
                <c:pt idx="22">
                  <c:v>40480.144499874295</c:v>
                </c:pt>
                <c:pt idx="23">
                  <c:v>96137.789131176294</c:v>
                </c:pt>
                <c:pt idx="24">
                  <c:v>43263.861693423663</c:v>
                </c:pt>
                <c:pt idx="25">
                  <c:v>11050.366406886124</c:v>
                </c:pt>
                <c:pt idx="26">
                  <c:v>25002.108429383075</c:v>
                </c:pt>
                <c:pt idx="27">
                  <c:v>12610.220586803849</c:v>
                </c:pt>
                <c:pt idx="28">
                  <c:v>4257.19840790136</c:v>
                </c:pt>
                <c:pt idx="29">
                  <c:v>27486.445465486082</c:v>
                </c:pt>
                <c:pt idx="30">
                  <c:v>17495.867092445966</c:v>
                </c:pt>
                <c:pt idx="31">
                  <c:v>17864.090236822383</c:v>
                </c:pt>
                <c:pt idx="32">
                  <c:v>139286.59486005141</c:v>
                </c:pt>
                <c:pt idx="33">
                  <c:v>17798.304010484404</c:v>
                </c:pt>
                <c:pt idx="34">
                  <c:v>132459.8522985272</c:v>
                </c:pt>
                <c:pt idx="35">
                  <c:v>11048.729205448773</c:v>
                </c:pt>
                <c:pt idx="36">
                  <c:v>15130.002545724625</c:v>
                </c:pt>
                <c:pt idx="37">
                  <c:v>16541.051064667085</c:v>
                </c:pt>
                <c:pt idx="38">
                  <c:v>9732.191618285804</c:v>
                </c:pt>
                <c:pt idx="39">
                  <c:v>6247.4260486132735</c:v>
                </c:pt>
                <c:pt idx="40">
                  <c:v>39442.308535025302</c:v>
                </c:pt>
                <c:pt idx="41">
                  <c:v>87684.934597365776</c:v>
                </c:pt>
                <c:pt idx="42">
                  <c:v>12603.14711595944</c:v>
                </c:pt>
                <c:pt idx="43">
                  <c:v>29254.209814176986</c:v>
                </c:pt>
                <c:pt idx="44">
                  <c:v>18539.577407165201</c:v>
                </c:pt>
                <c:pt idx="45">
                  <c:v>10662.54893238112</c:v>
                </c:pt>
                <c:pt idx="46">
                  <c:v>15549.174380949469</c:v>
                </c:pt>
                <c:pt idx="47">
                  <c:v>14198.968251042887</c:v>
                </c:pt>
                <c:pt idx="48">
                  <c:v>20781.395952606981</c:v>
                </c:pt>
                <c:pt idx="49">
                  <c:v>19702.180976147662</c:v>
                </c:pt>
                <c:pt idx="50">
                  <c:v>6612.1808088287407</c:v>
                </c:pt>
                <c:pt idx="51">
                  <c:v>13156.010012307568</c:v>
                </c:pt>
                <c:pt idx="52">
                  <c:v>10004.164082113626</c:v>
                </c:pt>
                <c:pt idx="53">
                  <c:v>0</c:v>
                </c:pt>
                <c:pt idx="54">
                  <c:v>0</c:v>
                </c:pt>
                <c:pt idx="55">
                  <c:v>33684.686031405872</c:v>
                </c:pt>
              </c:numCache>
            </c:numRef>
          </c:val>
        </c:ser>
        <c:dLbls>
          <c:showLegendKey val="0"/>
          <c:showVal val="0"/>
          <c:showCatName val="0"/>
          <c:showSerName val="0"/>
          <c:showPercent val="0"/>
          <c:showBubbleSize val="0"/>
        </c:dLbls>
        <c:gapWidth val="34"/>
        <c:overlap val="-4"/>
        <c:axId val="792693608"/>
        <c:axId val="792700664"/>
      </c:barChart>
      <c:catAx>
        <c:axId val="792693608"/>
        <c:scaling>
          <c:orientation val="minMax"/>
        </c:scaling>
        <c:delete val="0"/>
        <c:axPos val="b"/>
        <c:numFmt formatCode="General" sourceLinked="1"/>
        <c:majorTickMark val="in"/>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792700664"/>
        <c:crosses val="autoZero"/>
        <c:auto val="0"/>
        <c:lblAlgn val="ctr"/>
        <c:lblOffset val="20"/>
        <c:tickLblSkip val="1"/>
        <c:noMultiLvlLbl val="0"/>
      </c:catAx>
      <c:valAx>
        <c:axId val="7927006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693608"/>
        <c:crossesAt val="1"/>
        <c:crossBetween val="midCat"/>
      </c:valAx>
      <c:spPr>
        <a:noFill/>
        <a:ln>
          <a:noFill/>
        </a:ln>
        <a:effectLst/>
      </c:spPr>
    </c:plotArea>
    <c:legend>
      <c:legendPos val="b"/>
      <c:layout>
        <c:manualLayout>
          <c:xMode val="edge"/>
          <c:yMode val="edge"/>
          <c:x val="0.77503702714149614"/>
          <c:y val="0.28853565133018472"/>
          <c:w val="0.20002624545644329"/>
          <c:h val="3.522124167227354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myData!$EJ$12</c:f>
          <c:strCache>
            <c:ptCount val="1"/>
            <c:pt idx="0">
              <c:v>COVID19 NSW P(t) = b / {d+[( b/Po - d ) ]* exp(-b*t)}
b=0.234, d=7.88E-05, P0=.639, r2=0.9995, Limit=3.68 k=&gt;2.97 k cases 
 (Fit: Sat 25-Jan - Sun 03-May)</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9.1142658878072991E-2"/>
          <c:y val="0.17791892379594115"/>
          <c:w val="0.63923479000659555"/>
          <c:h val="0.68992130218377157"/>
        </c:manualLayout>
      </c:layout>
      <c:scatterChart>
        <c:scatterStyle val="lineMarker"/>
        <c:varyColors val="0"/>
        <c:ser>
          <c:idx val="11"/>
          <c:order val="0"/>
          <c:tx>
            <c:strRef>
              <c:f>myData!SingaporeLabel</c:f>
              <c:strCache>
                <c:ptCount val="1"/>
                <c:pt idx="0">
                  <c:v>Singapore from 14-Feb</c:v>
                </c:pt>
              </c:strCache>
            </c:strRef>
          </c:tx>
          <c:spPr>
            <a:ln w="19050" cap="rnd">
              <a:solidFill>
                <a:schemeClr val="bg1">
                  <a:lumMod val="50000"/>
                </a:schemeClr>
              </a:solidFill>
              <a:round/>
            </a:ln>
            <a:effectLst/>
          </c:spPr>
          <c:marker>
            <c:symbol val="x"/>
            <c:size val="3"/>
            <c:spPr>
              <a:noFill/>
              <a:ln w="9525">
                <a:solidFill>
                  <a:schemeClr val="bg1">
                    <a:lumMod val="50000"/>
                  </a:schemeClr>
                </a:solidFill>
              </a:ln>
              <a:effectLst/>
            </c:spPr>
          </c:marker>
          <c:dLbls>
            <c:dLbl>
              <c:idx val="53"/>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Singapore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myData!Singapore100Dates</c:f>
              <c:numCache>
                <c:formatCode>0</c:formatCode>
                <c:ptCount val="9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90</c:v>
                </c:pt>
                <c:pt idx="84">
                  <c:v>97</c:v>
                </c:pt>
                <c:pt idx="85">
                  <c:v>104</c:v>
                </c:pt>
                <c:pt idx="86">
                  <c:v>111</c:v>
                </c:pt>
                <c:pt idx="87">
                  <c:v>118</c:v>
                </c:pt>
                <c:pt idx="88">
                  <c:v>125</c:v>
                </c:pt>
                <c:pt idx="89">
                  <c:v>132</c:v>
                </c:pt>
                <c:pt idx="90">
                  <c:v>139</c:v>
                </c:pt>
              </c:numCache>
            </c:numRef>
          </c:xVal>
          <c:yVal>
            <c:numRef>
              <c:f>myData!Singapore100Cases</c:f>
              <c:numCache>
                <c:formatCode>0.0</c:formatCode>
                <c:ptCount val="79"/>
                <c:pt idx="0">
                  <c:v>114.52991452991454</c:v>
                </c:pt>
                <c:pt idx="1">
                  <c:v>123.07692307692308</c:v>
                </c:pt>
                <c:pt idx="2">
                  <c:v>128.2051282051282</c:v>
                </c:pt>
                <c:pt idx="3">
                  <c:v>131.62393162393164</c:v>
                </c:pt>
                <c:pt idx="4">
                  <c:v>138.46153846153848</c:v>
                </c:pt>
                <c:pt idx="5">
                  <c:v>143.58974358974359</c:v>
                </c:pt>
                <c:pt idx="6">
                  <c:v>143.58974358974359</c:v>
                </c:pt>
                <c:pt idx="7">
                  <c:v>145.29914529914529</c:v>
                </c:pt>
                <c:pt idx="8">
                  <c:v>145.29914529914529</c:v>
                </c:pt>
                <c:pt idx="9">
                  <c:v>152.13675213675214</c:v>
                </c:pt>
                <c:pt idx="10">
                  <c:v>152.13675213675214</c:v>
                </c:pt>
                <c:pt idx="11">
                  <c:v>155.55555555555557</c:v>
                </c:pt>
                <c:pt idx="12">
                  <c:v>158.97435897435898</c:v>
                </c:pt>
                <c:pt idx="13">
                  <c:v>158.97435897435898</c:v>
                </c:pt>
                <c:pt idx="14">
                  <c:v>158.97435897435898</c:v>
                </c:pt>
                <c:pt idx="15">
                  <c:v>174.35897435897436</c:v>
                </c:pt>
                <c:pt idx="16">
                  <c:v>181.19658119658121</c:v>
                </c:pt>
                <c:pt idx="17">
                  <c:v>184.61538461538461</c:v>
                </c:pt>
                <c:pt idx="18">
                  <c:v>188.03418803418805</c:v>
                </c:pt>
                <c:pt idx="19">
                  <c:v>188.03418803418805</c:v>
                </c:pt>
                <c:pt idx="20">
                  <c:v>200</c:v>
                </c:pt>
                <c:pt idx="21">
                  <c:v>222.22222222222223</c:v>
                </c:pt>
                <c:pt idx="22">
                  <c:v>235.89743589743591</c:v>
                </c:pt>
                <c:pt idx="23">
                  <c:v>256.41025641025641</c:v>
                </c:pt>
                <c:pt idx="24">
                  <c:v>256.41025641025641</c:v>
                </c:pt>
                <c:pt idx="25">
                  <c:v>273.5042735042735</c:v>
                </c:pt>
                <c:pt idx="26">
                  <c:v>304.27350427350427</c:v>
                </c:pt>
                <c:pt idx="27">
                  <c:v>304.27350427350427</c:v>
                </c:pt>
                <c:pt idx="28">
                  <c:v>341.88034188034192</c:v>
                </c:pt>
                <c:pt idx="29">
                  <c:v>362.39316239316241</c:v>
                </c:pt>
                <c:pt idx="30">
                  <c:v>386.32478632478637</c:v>
                </c:pt>
                <c:pt idx="31">
                  <c:v>415.38461538461542</c:v>
                </c:pt>
                <c:pt idx="32">
                  <c:v>454.70085470085473</c:v>
                </c:pt>
                <c:pt idx="33">
                  <c:v>535.0427350427351</c:v>
                </c:pt>
                <c:pt idx="34">
                  <c:v>589.74358974358972</c:v>
                </c:pt>
                <c:pt idx="35">
                  <c:v>658.1196581196582</c:v>
                </c:pt>
                <c:pt idx="36">
                  <c:v>738.46153846153845</c:v>
                </c:pt>
                <c:pt idx="37">
                  <c:v>777.77777777777783</c:v>
                </c:pt>
                <c:pt idx="38">
                  <c:v>870.08547008547009</c:v>
                </c:pt>
                <c:pt idx="39">
                  <c:v>953.84615384615392</c:v>
                </c:pt>
                <c:pt idx="40">
                  <c:v>1078.6324786324788</c:v>
                </c:pt>
                <c:pt idx="41">
                  <c:v>1167.5213675213677</c:v>
                </c:pt>
                <c:pt idx="42">
                  <c:v>1251.2820512820513</c:v>
                </c:pt>
                <c:pt idx="43">
                  <c:v>1370.9401709401711</c:v>
                </c:pt>
                <c:pt idx="44">
                  <c:v>1442.7350427350427</c:v>
                </c:pt>
                <c:pt idx="45">
                  <c:v>1502.5641025641028</c:v>
                </c:pt>
                <c:pt idx="46">
                  <c:v>1582.9059829059829</c:v>
                </c:pt>
                <c:pt idx="47">
                  <c:v>1709.4017094017095</c:v>
                </c:pt>
                <c:pt idx="48">
                  <c:v>1793.1623931623933</c:v>
                </c:pt>
                <c:pt idx="49">
                  <c:v>1904.2735042735044</c:v>
                </c:pt>
                <c:pt idx="50">
                  <c:v>2032.4786324786326</c:v>
                </c:pt>
                <c:pt idx="51">
                  <c:v>2237.6068376068379</c:v>
                </c:pt>
                <c:pt idx="52">
                  <c:v>2350.4273504273506</c:v>
                </c:pt>
                <c:pt idx="53">
                  <c:v>2531.6239316239316</c:v>
                </c:pt>
                <c:pt idx="54">
                  <c:v>2774.3589743589746</c:v>
                </c:pt>
                <c:pt idx="55">
                  <c:v>3264.9572649572651</c:v>
                </c:pt>
                <c:pt idx="56">
                  <c:v>3603.4188034188037</c:v>
                </c:pt>
                <c:pt idx="57">
                  <c:v>3929.9145299145302</c:v>
                </c:pt>
                <c:pt idx="58" formatCode="0">
                  <c:v>4328.2051282051289</c:v>
                </c:pt>
                <c:pt idx="59" formatCode="0">
                  <c:v>4988.0341880341884</c:v>
                </c:pt>
                <c:pt idx="60" formatCode="0">
                  <c:v>5558.9743589743593</c:v>
                </c:pt>
                <c:pt idx="61" formatCode="0">
                  <c:v>6323.0769230769238</c:v>
                </c:pt>
                <c:pt idx="62" formatCode="0">
                  <c:v>7567.5213675213681</c:v>
                </c:pt>
                <c:pt idx="63" formatCode="0">
                  <c:v>8632.4786324786328</c:v>
                </c:pt>
                <c:pt idx="64" formatCode="0">
                  <c:v>10242.735042735043</c:v>
                </c:pt>
                <c:pt idx="65" formatCode="0">
                  <c:v>11261.538461538463</c:v>
                </c:pt>
                <c:pt idx="66" formatCode="0">
                  <c:v>13699.145299145301</c:v>
                </c:pt>
                <c:pt idx="67" formatCode="0">
                  <c:v>15598.2905982906</c:v>
                </c:pt>
                <c:pt idx="68">
                  <c:v>17335.042735042734</c:v>
                </c:pt>
                <c:pt idx="69">
                  <c:v>19107.692307692309</c:v>
                </c:pt>
                <c:pt idx="70">
                  <c:v>20641.025641025641</c:v>
                </c:pt>
                <c:pt idx="71">
                  <c:v>21697.435897435898</c:v>
                </c:pt>
                <c:pt idx="72">
                  <c:v>23288.888888888891</c:v>
                </c:pt>
                <c:pt idx="73">
                  <c:v>24654.700854700855</c:v>
                </c:pt>
                <c:pt idx="74">
                  <c:v>25557.264957264957</c:v>
                </c:pt>
                <c:pt idx="75">
                  <c:v>26736.752136752137</c:v>
                </c:pt>
                <c:pt idx="76">
                  <c:v>27639.316239316242</c:v>
                </c:pt>
                <c:pt idx="77">
                  <c:v>29232.478632478633</c:v>
                </c:pt>
                <c:pt idx="78">
                  <c:v>29996.581196581199</c:v>
                </c:pt>
              </c:numCache>
            </c:numRef>
          </c:yVal>
          <c:smooth val="0"/>
        </c:ser>
        <c:ser>
          <c:idx val="8"/>
          <c:order val="1"/>
          <c:tx>
            <c:strRef>
              <c:f>myData!SingaporeSeries</c:f>
              <c:strCache>
                <c:ptCount val="1"/>
                <c:pt idx="0">
                  <c:v>Singapore Limit 60.7 k r^2=97.39%</c:v>
                </c:pt>
              </c:strCache>
            </c:strRef>
          </c:tx>
          <c:spPr>
            <a:ln w="12700" cap="rnd">
              <a:solidFill>
                <a:schemeClr val="bg1">
                  <a:lumMod val="50000"/>
                </a:schemeClr>
              </a:solidFill>
              <a:prstDash val="sysDash"/>
              <a:round/>
            </a:ln>
            <a:effectLst/>
          </c:spPr>
          <c:marker>
            <c:symbol val="none"/>
          </c:marker>
          <c:dLbls>
            <c:dLbl>
              <c:idx val="53"/>
              <c:tx>
                <c:rich>
                  <a:bodyPr rot="0" spcFirstLastPara="1" vertOverflow="ellipsis" vert="horz" wrap="square" anchor="ctr" anchorCtr="1"/>
                  <a:lstStyle/>
                  <a:p>
                    <a:pPr>
                      <a:defRPr sz="900" b="0" i="0" u="none" strike="noStrike" kern="1200" baseline="0">
                        <a:solidFill>
                          <a:srgbClr val="000000"/>
                        </a:solidFill>
                        <a:latin typeface="Calibri"/>
                        <a:ea typeface="Calibri"/>
                        <a:cs typeface="Calibri"/>
                      </a:defRPr>
                    </a:pPr>
                    <a:r>
                      <a:rPr lang="en-US"/>
                      <a:t>Singapore Limit 398 k r^2=99.14%</a:t>
                    </a:r>
                  </a:p>
                </c:rich>
              </c:tx>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myData!Singapore100LogiDates</c:f>
              <c:numCache>
                <c:formatCode>0</c:formatCode>
                <c:ptCount val="9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90</c:v>
                </c:pt>
                <c:pt idx="84">
                  <c:v>97</c:v>
                </c:pt>
                <c:pt idx="85">
                  <c:v>104</c:v>
                </c:pt>
                <c:pt idx="86">
                  <c:v>111</c:v>
                </c:pt>
                <c:pt idx="87">
                  <c:v>118</c:v>
                </c:pt>
                <c:pt idx="88">
                  <c:v>125</c:v>
                </c:pt>
                <c:pt idx="89">
                  <c:v>132</c:v>
                </c:pt>
                <c:pt idx="90">
                  <c:v>139</c:v>
                </c:pt>
              </c:numCache>
            </c:numRef>
          </c:xVal>
          <c:yVal>
            <c:numRef>
              <c:f>myData!Singapore100Logi</c:f>
              <c:numCache>
                <c:formatCode>0.0</c:formatCode>
                <c:ptCount val="91"/>
                <c:pt idx="0">
                  <c:v>3.3097669781008117</c:v>
                </c:pt>
                <c:pt idx="1">
                  <c:v>3.7527000190432296</c:v>
                </c:pt>
                <c:pt idx="2">
                  <c:v>4.2549048849927722</c:v>
                </c:pt>
                <c:pt idx="3">
                  <c:v>4.8243119479855894</c:v>
                </c:pt>
                <c:pt idx="4">
                  <c:v>5.4699122985858653</c:v>
                </c:pt>
                <c:pt idx="5">
                  <c:v>6.2018995244440198</c:v>
                </c:pt>
                <c:pt idx="6">
                  <c:v>7.0318304117443367</c:v>
                </c:pt>
                <c:pt idx="7">
                  <c:v>7.9728070872497385</c:v>
                </c:pt>
                <c:pt idx="8">
                  <c:v>9.0396834513787621</c:v>
                </c:pt>
                <c:pt idx="9">
                  <c:v>10.249299128801972</c:v>
                </c:pt>
                <c:pt idx="10">
                  <c:v>11.62074458787766</c:v>
                </c:pt>
                <c:pt idx="11">
                  <c:v>13.175661559947139</c:v>
                </c:pt>
                <c:pt idx="12">
                  <c:v>14.938583430856303</c:v>
                </c:pt>
                <c:pt idx="13">
                  <c:v>16.937320887585265</c:v>
                </c:pt>
                <c:pt idx="14">
                  <c:v>19.203398790878076</c:v>
                </c:pt>
                <c:pt idx="15">
                  <c:v>21.772551019443043</c:v>
                </c:pt>
                <c:pt idx="16">
                  <c:v>24.685280902707401</c:v>
                </c:pt>
                <c:pt idx="17">
                  <c:v>27.987495838233276</c:v>
                </c:pt>
                <c:pt idx="18">
                  <c:v>31.731225788628574</c:v>
                </c:pt>
                <c:pt idx="19">
                  <c:v>35.975436583885227</c:v>
                </c:pt>
                <c:pt idx="20">
                  <c:v>40.786950332122792</c:v>
                </c:pt>
                <c:pt idx="21">
                  <c:v>46.241486778926813</c:v>
                </c:pt>
                <c:pt idx="22">
                  <c:v>52.424841167493959</c:v>
                </c:pt>
                <c:pt idx="23">
                  <c:v>59.434216053331937</c:v>
                </c:pt>
                <c:pt idx="24">
                  <c:v>67.379726632562281</c:v>
                </c:pt>
                <c:pt idx="25">
                  <c:v>76.386101465023444</c:v>
                </c:pt>
                <c:pt idx="26">
                  <c:v>86.594603023271446</c:v>
                </c:pt>
                <c:pt idx="27">
                  <c:v>98.16519528362582</c:v>
                </c:pt>
                <c:pt idx="28">
                  <c:v>111.27898859767242</c:v>
                </c:pt>
                <c:pt idx="29">
                  <c:v>126.14099533646683</c:v>
                </c:pt>
                <c:pt idx="30">
                  <c:v>142.98323326860009</c:v>
                </c:pt>
                <c:pt idx="31">
                  <c:v>162.06821728588349</c:v>
                </c:pt>
                <c:pt idx="32">
                  <c:v>183.69288387513714</c:v>
                </c:pt>
                <c:pt idx="33">
                  <c:v>208.19299657301141</c:v>
                </c:pt>
                <c:pt idx="34">
                  <c:v>235.94808441917743</c:v>
                </c:pt>
                <c:pt idx="35">
                  <c:v>267.38696898176227</c:v>
                </c:pt>
                <c:pt idx="36">
                  <c:v>302.993938648393</c:v>
                </c:pt>
                <c:pt idx="37">
                  <c:v>343.31563126160341</c:v>
                </c:pt>
                <c:pt idx="38">
                  <c:v>388.96868743765293</c:v>
                </c:pt>
                <c:pt idx="39">
                  <c:v>440.64823653188995</c:v>
                </c:pt>
                <c:pt idx="40">
                  <c:v>499.1372745415926</c:v>
                </c:pt>
                <c:pt idx="41">
                  <c:v>565.3169874264571</c:v>
                </c:pt>
                <c:pt idx="42">
                  <c:v>640.17806331505312</c:v>
                </c:pt>
                <c:pt idx="43">
                  <c:v>724.83302152858403</c:v>
                </c:pt>
                <c:pt idx="44">
                  <c:v>820.52956366223839</c:v>
                </c:pt>
                <c:pt idx="45">
                  <c:v>928.66492014428968</c:v>
                </c:pt>
                <c:pt idx="46">
                  <c:v>1050.8011223887431</c:v>
                </c:pt>
                <c:pt idx="47">
                  <c:v>1188.6810731156438</c:v>
                </c:pt>
                <c:pt idx="48">
                  <c:v>1344.2452124953845</c:v>
                </c:pt>
                <c:pt idx="49">
                  <c:v>1519.6484820142061</c:v>
                </c:pt>
                <c:pt idx="50">
                  <c:v>1717.2771677006065</c:v>
                </c:pt>
                <c:pt idx="51">
                  <c:v>1939.7650559889198</c:v>
                </c:pt>
                <c:pt idx="52">
                  <c:v>2190.008155861382</c:v>
                </c:pt>
                <c:pt idx="53">
                  <c:v>2471.1770278754029</c:v>
                </c:pt>
                <c:pt idx="54">
                  <c:v>2786.7255140086477</c:v>
                </c:pt>
                <c:pt idx="55">
                  <c:v>3140.3943847564333</c:v>
                </c:pt>
                <c:pt idx="56">
                  <c:v>3536.2081189780988</c:v>
                </c:pt>
                <c:pt idx="57">
                  <c:v>3978.4627214317843</c:v>
                </c:pt>
                <c:pt idx="58">
                  <c:v>4471.7021851649042</c:v>
                </c:pt>
                <c:pt idx="59">
                  <c:v>5020.6809541685288</c:v>
                </c:pt>
                <c:pt idx="60">
                  <c:v>5630.3095819887285</c:v>
                </c:pt>
                <c:pt idx="61">
                  <c:v>6305.5807742803954</c:v>
                </c:pt>
                <c:pt idx="62">
                  <c:v>7051.4732209110016</c:v>
                </c:pt>
                <c:pt idx="63">
                  <c:v>7872.8311494742966</c:v>
                </c:pt>
                <c:pt idx="64">
                  <c:v>8774.2184527636891</c:v>
                </c:pt>
                <c:pt idx="65">
                  <c:v>9759.747633459172</c:v>
                </c:pt>
                <c:pt idx="66">
                  <c:v>10832.885716686174</c:v>
                </c:pt>
                <c:pt idx="67">
                  <c:v>11996.241698920954</c:v>
                </c:pt>
                <c:pt idx="68">
                  <c:v>13251.342943642769</c:v>
                </c:pt>
                <c:pt idx="69">
                  <c:v>14598.411008870913</c:v>
                </c:pt>
                <c:pt idx="70">
                  <c:v>16036.150387927775</c:v>
                </c:pt>
                <c:pt idx="71">
                  <c:v>17561.566135752069</c:v>
                </c:pt>
                <c:pt idx="72">
                  <c:v>19169.827830982562</c:v>
                </c:pt>
                <c:pt idx="73">
                  <c:v>20854.197269265806</c:v>
                </c:pt>
                <c:pt idx="74">
                  <c:v>22606.035266757171</c:v>
                </c:pt>
                <c:pt idx="75">
                  <c:v>24414.898756474951</c:v>
                </c:pt>
                <c:pt idx="76">
                  <c:v>26268.733088088131</c:v>
                </c:pt>
                <c:pt idx="77">
                  <c:v>28154.156586446399</c:v>
                </c:pt>
                <c:pt idx="78">
                  <c:v>30056.825854664236</c:v>
                </c:pt>
                <c:pt idx="79">
                  <c:v>31961.862160437533</c:v>
                </c:pt>
                <c:pt idx="80">
                  <c:v>33854.31272765249</c:v>
                </c:pt>
                <c:pt idx="81">
                  <c:v>35719.616905838644</c:v>
                </c:pt>
                <c:pt idx="82">
                  <c:v>37544.046645102382</c:v>
                </c:pt>
                <c:pt idx="83">
                  <c:v>48332.963371186241</c:v>
                </c:pt>
                <c:pt idx="84">
                  <c:v>54879.296483850951</c:v>
                </c:pt>
                <c:pt idx="85">
                  <c:v>58148.532235244347</c:v>
                </c:pt>
                <c:pt idx="86">
                  <c:v>59622.892266281502</c:v>
                </c:pt>
                <c:pt idx="87">
                  <c:v>60257.091573028745</c:v>
                </c:pt>
                <c:pt idx="88">
                  <c:v>60524.327906229548</c:v>
                </c:pt>
                <c:pt idx="89">
                  <c:v>60635.955192486144</c:v>
                </c:pt>
                <c:pt idx="90">
                  <c:v>60682.412713966558</c:v>
                </c:pt>
              </c:numCache>
            </c:numRef>
          </c:yVal>
          <c:smooth val="0"/>
        </c:ser>
        <c:ser>
          <c:idx val="7"/>
          <c:order val="2"/>
          <c:tx>
            <c:strRef>
              <c:f>myData!SKoreaLabel</c:f>
              <c:strCache>
                <c:ptCount val="1"/>
                <c:pt idx="0">
                  <c:v>South Korea from 23-Feb</c:v>
                </c:pt>
              </c:strCache>
            </c:strRef>
          </c:tx>
          <c:spPr>
            <a:ln w="19050" cap="rnd">
              <a:solidFill>
                <a:schemeClr val="accent2">
                  <a:lumMod val="60000"/>
                </a:schemeClr>
              </a:solidFill>
              <a:round/>
            </a:ln>
            <a:effectLst/>
          </c:spPr>
          <c:marker>
            <c:symbol val="x"/>
            <c:size val="4"/>
            <c:spPr>
              <a:noFill/>
              <a:ln w="9525">
                <a:solidFill>
                  <a:schemeClr val="accent4">
                    <a:lumMod val="60000"/>
                  </a:schemeClr>
                </a:solidFill>
              </a:ln>
              <a:effectLst/>
            </c:spPr>
          </c:marker>
          <c:dLbls>
            <c:dLbl>
              <c:idx val="53"/>
              <c:tx>
                <c:rich>
                  <a:bodyPr rot="0" spcFirstLastPara="1" vertOverflow="ellipsis" vert="horz" wrap="square" anchor="ctr" anchorCtr="1"/>
                  <a:lstStyle/>
                  <a:p>
                    <a:pPr>
                      <a:defRPr sz="900" b="1" i="0" u="none" strike="noStrike" kern="1200" baseline="0">
                        <a:solidFill>
                          <a:srgbClr val="000000"/>
                        </a:solidFill>
                        <a:latin typeface="Calibri"/>
                        <a:ea typeface="Calibri"/>
                        <a:cs typeface="Calibri"/>
                      </a:defRPr>
                    </a:pPr>
                    <a:r>
                      <a:rPr lang="en-US"/>
                      <a:t>South Korea </a:t>
                    </a:r>
                  </a:p>
                </c:rich>
              </c:tx>
              <c:spPr>
                <a:noFill/>
                <a:ln>
                  <a:noFill/>
                </a:ln>
                <a:effectLst/>
              </c:spPr>
              <c:txPr>
                <a:bodyPr rot="0" spcFirstLastPara="1" vertOverflow="ellipsis" vert="horz" wrap="square" anchor="ctr" anchorCtr="1"/>
                <a:lstStyle/>
                <a:p>
                  <a:pPr>
                    <a:defRPr sz="900" b="1"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myData!SKorea100Dates</c:f>
              <c:numCache>
                <c:formatCode>0</c:formatCode>
                <c:ptCount val="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formatCode="0.0">
                  <c:v>73</c:v>
                </c:pt>
                <c:pt idx="73" formatCode="0.0">
                  <c:v>74</c:v>
                </c:pt>
                <c:pt idx="74" formatCode="0.0">
                  <c:v>81</c:v>
                </c:pt>
                <c:pt idx="75">
                  <c:v>88</c:v>
                </c:pt>
                <c:pt idx="76">
                  <c:v>95</c:v>
                </c:pt>
                <c:pt idx="77">
                  <c:v>102</c:v>
                </c:pt>
                <c:pt idx="78" formatCode="0.0">
                  <c:v>109</c:v>
                </c:pt>
                <c:pt idx="79" formatCode="0.0">
                  <c:v>116</c:v>
                </c:pt>
                <c:pt idx="80" formatCode="0.0">
                  <c:v>123</c:v>
                </c:pt>
                <c:pt idx="81" formatCode="0.0">
                  <c:v>130</c:v>
                </c:pt>
              </c:numCache>
            </c:numRef>
          </c:xVal>
          <c:yVal>
            <c:numRef>
              <c:f>myData!SKorea100Cases</c:f>
              <c:numCache>
                <c:formatCode>0.0</c:formatCode>
                <c:ptCount val="70"/>
                <c:pt idx="0">
                  <c:v>117.1206225680934</c:v>
                </c:pt>
                <c:pt idx="1">
                  <c:v>162.06225680933852</c:v>
                </c:pt>
                <c:pt idx="2">
                  <c:v>190.07782101167317</c:v>
                </c:pt>
                <c:pt idx="3">
                  <c:v>245.33073929961091</c:v>
                </c:pt>
                <c:pt idx="4">
                  <c:v>343.579766536965</c:v>
                </c:pt>
                <c:pt idx="5">
                  <c:v>454.66926070038915</c:v>
                </c:pt>
                <c:pt idx="6">
                  <c:v>612.84046692607012</c:v>
                </c:pt>
                <c:pt idx="7">
                  <c:v>726.84824902723744</c:v>
                </c:pt>
                <c:pt idx="8">
                  <c:v>843.38521400778211</c:v>
                </c:pt>
                <c:pt idx="9">
                  <c:v>1008.9494163424125</c:v>
                </c:pt>
                <c:pt idx="10">
                  <c:v>1093.5797665369651</c:v>
                </c:pt>
                <c:pt idx="11">
                  <c:v>1184.4357976653698</c:v>
                </c:pt>
                <c:pt idx="12">
                  <c:v>1282.6848249027239</c:v>
                </c:pt>
                <c:pt idx="13">
                  <c:v>1369.8443579766538</c:v>
                </c:pt>
                <c:pt idx="14">
                  <c:v>1422.95719844358</c:v>
                </c:pt>
                <c:pt idx="15">
                  <c:v>1454.8638132295721</c:v>
                </c:pt>
                <c:pt idx="16">
                  <c:v>1461.6731517509729</c:v>
                </c:pt>
                <c:pt idx="17">
                  <c:v>1508.7548638132296</c:v>
                </c:pt>
                <c:pt idx="18">
                  <c:v>1530.933852140078</c:v>
                </c:pt>
                <c:pt idx="19">
                  <c:v>1552.3346303501946</c:v>
                </c:pt>
                <c:pt idx="20">
                  <c:v>1573.1517509727628</c:v>
                </c:pt>
                <c:pt idx="21">
                  <c:v>1587.9377431906616</c:v>
                </c:pt>
                <c:pt idx="22">
                  <c:v>1602.3346303501946</c:v>
                </c:pt>
                <c:pt idx="23">
                  <c:v>1618.6770428015566</c:v>
                </c:pt>
                <c:pt idx="24">
                  <c:v>1636.7704280155642</c:v>
                </c:pt>
                <c:pt idx="25">
                  <c:v>1666.342412451362</c:v>
                </c:pt>
                <c:pt idx="26">
                  <c:v>1683.2684824902724</c:v>
                </c:pt>
                <c:pt idx="27">
                  <c:v>1711.8677042801557</c:v>
                </c:pt>
                <c:pt idx="28">
                  <c:v>1743.3852140077822</c:v>
                </c:pt>
                <c:pt idx="29">
                  <c:v>1743.3852140077822</c:v>
                </c:pt>
                <c:pt idx="30">
                  <c:v>1758.1712062256811</c:v>
                </c:pt>
                <c:pt idx="31">
                  <c:v>1777.626459143969</c:v>
                </c:pt>
                <c:pt idx="32">
                  <c:v>1797.8599221789884</c:v>
                </c:pt>
                <c:pt idx="33">
                  <c:v>1815.5642023346304</c:v>
                </c:pt>
                <c:pt idx="34">
                  <c:v>1843.9688715953309</c:v>
                </c:pt>
                <c:pt idx="35">
                  <c:v>1864.3968871595332</c:v>
                </c:pt>
                <c:pt idx="36">
                  <c:v>1879.5719844357977</c:v>
                </c:pt>
                <c:pt idx="37">
                  <c:v>1903.8910505836577</c:v>
                </c:pt>
                <c:pt idx="38">
                  <c:v>1923.5408560311284</c:v>
                </c:pt>
                <c:pt idx="39">
                  <c:v>1940.8560311284048</c:v>
                </c:pt>
                <c:pt idx="40">
                  <c:v>1957.5875486381324</c:v>
                </c:pt>
                <c:pt idx="41">
                  <c:v>1975.8754863813231</c:v>
                </c:pt>
                <c:pt idx="42">
                  <c:v>1991.6342412451363</c:v>
                </c:pt>
                <c:pt idx="43">
                  <c:v>2000.7782101167315</c:v>
                </c:pt>
                <c:pt idx="44">
                  <c:v>2009.922178988327</c:v>
                </c:pt>
                <c:pt idx="45">
                  <c:v>2020.2334630350197</c:v>
                </c:pt>
                <c:pt idx="46">
                  <c:v>2027.8210116731518</c:v>
                </c:pt>
                <c:pt idx="47">
                  <c:v>2033.0739299610896</c:v>
                </c:pt>
                <c:pt idx="48">
                  <c:v>2038.910505836576</c:v>
                </c:pt>
                <c:pt idx="49">
                  <c:v>2045.1361867704281</c:v>
                </c:pt>
                <c:pt idx="50">
                  <c:v>2050</c:v>
                </c:pt>
                <c:pt idx="51">
                  <c:v>2055.252918287938</c:v>
                </c:pt>
                <c:pt idx="52">
                  <c:v>2060.5058365758755</c:v>
                </c:pt>
                <c:pt idx="53">
                  <c:v>2064.7859922178991</c:v>
                </c:pt>
                <c:pt idx="54">
                  <c:v>2069.0661478599222</c:v>
                </c:pt>
                <c:pt idx="55">
                  <c:v>2072.5680933852141</c:v>
                </c:pt>
                <c:pt idx="56">
                  <c:v>2074.1245136186772</c:v>
                </c:pt>
                <c:pt idx="57">
                  <c:v>2076.6536964980546</c:v>
                </c:pt>
                <c:pt idx="58">
                  <c:v>2078.4046692607003</c:v>
                </c:pt>
                <c:pt idx="59">
                  <c:v>2080.5447470817121</c:v>
                </c:pt>
                <c:pt idx="60">
                  <c:v>2083.2684824902726</c:v>
                </c:pt>
                <c:pt idx="61">
                  <c:v>2085.2140077821014</c:v>
                </c:pt>
                <c:pt idx="62">
                  <c:v>2087.1595330739301</c:v>
                </c:pt>
                <c:pt idx="63">
                  <c:v>2089.1050583657589</c:v>
                </c:pt>
                <c:pt idx="64">
                  <c:v>2091.8287937743194</c:v>
                </c:pt>
                <c:pt idx="65">
                  <c:v>2093.5797665369651</c:v>
                </c:pt>
                <c:pt idx="66">
                  <c:v>2094.3579766536968</c:v>
                </c:pt>
                <c:pt idx="67">
                  <c:v>2096.1089494163425</c:v>
                </c:pt>
                <c:pt idx="68">
                  <c:v>2097.2762645914399</c:v>
                </c:pt>
                <c:pt idx="69">
                  <c:v>2099.8054474708174</c:v>
                </c:pt>
              </c:numCache>
            </c:numRef>
          </c:yVal>
          <c:smooth val="0"/>
        </c:ser>
        <c:ser>
          <c:idx val="1"/>
          <c:order val="3"/>
          <c:tx>
            <c:strRef>
              <c:f>myData!NSWLabel</c:f>
              <c:strCache>
                <c:ptCount val="1"/>
                <c:pt idx="0">
                  <c:v>NSW from 13-Mar</c:v>
                </c:pt>
              </c:strCache>
            </c:strRef>
          </c:tx>
          <c:spPr>
            <a:ln w="19050" cap="rnd">
              <a:solidFill>
                <a:schemeClr val="accent6">
                  <a:lumMod val="75000"/>
                </a:schemeClr>
              </a:solidFill>
              <a:round/>
            </a:ln>
            <a:effectLst/>
          </c:spPr>
          <c:marker>
            <c:symbol val="x"/>
            <c:size val="5"/>
            <c:spPr>
              <a:noFill/>
              <a:ln w="9525">
                <a:solidFill>
                  <a:schemeClr val="accent6">
                    <a:lumMod val="75000"/>
                    <a:alpha val="90000"/>
                  </a:schemeClr>
                </a:solidFill>
              </a:ln>
              <a:effectLst/>
            </c:spPr>
          </c:marker>
          <c:dLbls>
            <c:dLbl>
              <c:idx val="43"/>
              <c:tx>
                <c:rich>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Calibri"/>
                        <a:ea typeface="Calibri"/>
                        <a:cs typeface="Calibri"/>
                      </a:defRPr>
                    </a:pPr>
                    <a:r>
                      <a:rPr lang="en-US"/>
                      <a:t>NSW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myData!NSW100Dates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myData!NSW100Cases</c:f>
              <c:numCache>
                <c:formatCode>0</c:formatCode>
                <c:ptCount val="52"/>
                <c:pt idx="0">
                  <c:v>113.86138613861385</c:v>
                </c:pt>
                <c:pt idx="1">
                  <c:v>138.61386138613861</c:v>
                </c:pt>
                <c:pt idx="2">
                  <c:v>165.84158415841583</c:v>
                </c:pt>
                <c:pt idx="3">
                  <c:v>211.63366336633663</c:v>
                </c:pt>
                <c:pt idx="4">
                  <c:v>259.9009900990099</c:v>
                </c:pt>
                <c:pt idx="5">
                  <c:v>330.44554455445541</c:v>
                </c:pt>
                <c:pt idx="6">
                  <c:v>379.95049504950492</c:v>
                </c:pt>
                <c:pt idx="7">
                  <c:v>436.88118811881185</c:v>
                </c:pt>
                <c:pt idx="8">
                  <c:v>539.60396039603961</c:v>
                </c:pt>
                <c:pt idx="9">
                  <c:v>827.97029702970292</c:v>
                </c:pt>
                <c:pt idx="10">
                  <c:v>827.97029702970292</c:v>
                </c:pt>
                <c:pt idx="11">
                  <c:v>1012.3762376237623</c:v>
                </c:pt>
                <c:pt idx="12">
                  <c:v>1273.5148514851485</c:v>
                </c:pt>
                <c:pt idx="13">
                  <c:v>1508.6633663366335</c:v>
                </c:pt>
                <c:pt idx="14">
                  <c:v>1738.8613861386139</c:v>
                </c:pt>
                <c:pt idx="15">
                  <c:v>2001.2376237623762</c:v>
                </c:pt>
                <c:pt idx="16">
                  <c:v>2216.5841584158416</c:v>
                </c:pt>
                <c:pt idx="17">
                  <c:v>2373.7623762376238</c:v>
                </c:pt>
                <c:pt idx="18">
                  <c:v>2514.8514851485147</c:v>
                </c:pt>
                <c:pt idx="19">
                  <c:v>2700.4950495049502</c:v>
                </c:pt>
                <c:pt idx="20">
                  <c:v>2844.0594059405939</c:v>
                </c:pt>
                <c:pt idx="21">
                  <c:v>2956.6831683168316</c:v>
                </c:pt>
                <c:pt idx="22">
                  <c:v>3085.3960396039602</c:v>
                </c:pt>
                <c:pt idx="23">
                  <c:v>3193.0693069306931</c:v>
                </c:pt>
                <c:pt idx="24">
                  <c:v>3263.6138613861385</c:v>
                </c:pt>
                <c:pt idx="25">
                  <c:v>3324.257425742574</c:v>
                </c:pt>
                <c:pt idx="26">
                  <c:v>3383.6633663366333</c:v>
                </c:pt>
                <c:pt idx="27">
                  <c:v>3431.9306930693069</c:v>
                </c:pt>
                <c:pt idx="28">
                  <c:v>3492.5742574257424</c:v>
                </c:pt>
                <c:pt idx="29">
                  <c:v>3535.8910891089108</c:v>
                </c:pt>
                <c:pt idx="30">
                  <c:v>3532.1782178217818</c:v>
                </c:pt>
                <c:pt idx="31">
                  <c:v>3543.3168316831679</c:v>
                </c:pt>
                <c:pt idx="32">
                  <c:v>3551.9801980198017</c:v>
                </c:pt>
                <c:pt idx="33">
                  <c:v>3571.7821782178216</c:v>
                </c:pt>
                <c:pt idx="34">
                  <c:v>3585.3960396039602</c:v>
                </c:pt>
                <c:pt idx="35">
                  <c:v>3621.287128712871</c:v>
                </c:pt>
                <c:pt idx="36">
                  <c:v>3633.6633663366333</c:v>
                </c:pt>
                <c:pt idx="37">
                  <c:v>3659.6534653465346</c:v>
                </c:pt>
                <c:pt idx="38">
                  <c:v>3667.0792079207918</c:v>
                </c:pt>
                <c:pt idx="39">
                  <c:v>3674.5049504950493</c:v>
                </c:pt>
                <c:pt idx="40">
                  <c:v>3676.9801980198017</c:v>
                </c:pt>
                <c:pt idx="41">
                  <c:v>3683.1683168316831</c:v>
                </c:pt>
                <c:pt idx="42">
                  <c:v>3690.5940594059402</c:v>
                </c:pt>
                <c:pt idx="43">
                  <c:v>3705.4455445544554</c:v>
                </c:pt>
                <c:pt idx="44">
                  <c:v>3715.3465346534649</c:v>
                </c:pt>
                <c:pt idx="45">
                  <c:v>3717.8217821782177</c:v>
                </c:pt>
                <c:pt idx="46">
                  <c:v>3724.0099009900987</c:v>
                </c:pt>
                <c:pt idx="47">
                  <c:v>3732.6732673267325</c:v>
                </c:pt>
                <c:pt idx="48">
                  <c:v>3732.6732673267325</c:v>
                </c:pt>
                <c:pt idx="49">
                  <c:v>3743.8118811881186</c:v>
                </c:pt>
                <c:pt idx="50">
                  <c:v>3751.2376237623762</c:v>
                </c:pt>
                <c:pt idx="51">
                  <c:v>3756.1881188118809</c:v>
                </c:pt>
              </c:numCache>
            </c:numRef>
          </c:yVal>
          <c:smooth val="0"/>
        </c:ser>
        <c:ser>
          <c:idx val="0"/>
          <c:order val="4"/>
          <c:tx>
            <c:strRef>
              <c:f>myData!NSWSeries</c:f>
              <c:strCache>
                <c:ptCount val="1"/>
                <c:pt idx="0">
                  <c:v>NSW Limit 3.68 k r^2=99.95%</c:v>
                </c:pt>
              </c:strCache>
            </c:strRef>
          </c:tx>
          <c:spPr>
            <a:ln w="12700" cap="rnd">
              <a:solidFill>
                <a:schemeClr val="accent6">
                  <a:lumMod val="75000"/>
                </a:schemeClr>
              </a:solidFill>
              <a:prstDash val="sysDash"/>
              <a:round/>
            </a:ln>
            <a:effectLst/>
          </c:spPr>
          <c:marker>
            <c:symbol val="none"/>
          </c:marker>
          <c:dLbls>
            <c:dLbl>
              <c:idx val="53"/>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NSW Limit 3.65 k r^2=99.96%</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myData!NSW100LogiDates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myData!NSW100Logi</c:f>
              <c:numCache>
                <c:formatCode>0.000</c:formatCode>
                <c:ptCount val="63"/>
                <c:pt idx="0">
                  <c:v>113.44691941965432</c:v>
                </c:pt>
                <c:pt idx="1">
                  <c:v>142.24067232475451</c:v>
                </c:pt>
                <c:pt idx="2">
                  <c:v>177.97784543859348</c:v>
                </c:pt>
                <c:pt idx="3">
                  <c:v>222.13005070843221</c:v>
                </c:pt>
                <c:pt idx="4">
                  <c:v>276.37105102150247</c:v>
                </c:pt>
                <c:pt idx="5">
                  <c:v>342.54493196615931</c:v>
                </c:pt>
                <c:pt idx="6">
                  <c:v>422.59622556080308</c:v>
                </c:pt>
                <c:pt idx="7">
                  <c:v>518.44922906601766</c:v>
                </c:pt>
                <c:pt idx="8">
                  <c:v>631.82670201558562</c:v>
                </c:pt>
                <c:pt idx="9">
                  <c:v>764.00693957768237</c:v>
                </c:pt>
                <c:pt idx="10">
                  <c:v>915.53463390105367</c:v>
                </c:pt>
                <c:pt idx="11">
                  <c:v>1085.924158627887</c:v>
                </c:pt>
                <c:pt idx="12">
                  <c:v>1273.4183928070202</c:v>
                </c:pt>
                <c:pt idx="13">
                  <c:v>1474.8808053122495</c:v>
                </c:pt>
                <c:pt idx="14">
                  <c:v>1685.8896953354424</c:v>
                </c:pt>
                <c:pt idx="15">
                  <c:v>1901.0633540670383</c:v>
                </c:pt>
                <c:pt idx="16">
                  <c:v>2114.5805550109835</c:v>
                </c:pt>
                <c:pt idx="17">
                  <c:v>2320.7963855332187</c:v>
                </c:pt>
                <c:pt idx="18">
                  <c:v>2514.8194031077237</c:v>
                </c:pt>
                <c:pt idx="19">
                  <c:v>2692.9300903149101</c:v>
                </c:pt>
                <c:pt idx="20">
                  <c:v>2852.7752226636558</c:v>
                </c:pt>
                <c:pt idx="21">
                  <c:v>2993.3408699389606</c:v>
                </c:pt>
                <c:pt idx="22" formatCode="0.00E+00">
                  <c:v>3114.7593598942085</c:v>
                </c:pt>
                <c:pt idx="23" formatCode="0.00E+00">
                  <c:v>3218.027679989124</c:v>
                </c:pt>
                <c:pt idx="24" formatCode="0.00E+00">
                  <c:v>3304.7087959552191</c:v>
                </c:pt>
                <c:pt idx="25" formatCode="0.00E+00">
                  <c:v>3376.6655307539727</c:v>
                </c:pt>
                <c:pt idx="26" formatCode="0.00E+00">
                  <c:v>3435.8518546389728</c:v>
                </c:pt>
                <c:pt idx="27" formatCode="0.00E+00">
                  <c:v>3484.1667381930329</c:v>
                </c:pt>
                <c:pt idx="28" formatCode="0.00E+00">
                  <c:v>3523.3637239193954</c:v>
                </c:pt>
                <c:pt idx="29" formatCode="0.00E+00">
                  <c:v>3555.0041657368256</c:v>
                </c:pt>
                <c:pt idx="30" formatCode="0.00E+00">
                  <c:v>3580.4414251336939</c:v>
                </c:pt>
                <c:pt idx="31" formatCode="0.00E+00">
                  <c:v>3600.8250260570503</c:v>
                </c:pt>
                <c:pt idx="32" formatCode="0.00E+00">
                  <c:v>3617.1163168005223</c:v>
                </c:pt>
                <c:pt idx="33" formatCode="0.00E+00">
                  <c:v>3630.1096898980309</c:v>
                </c:pt>
                <c:pt idx="34" formatCode="0.00E+00">
                  <c:v>3640.4554843134551</c:v>
                </c:pt>
                <c:pt idx="35" formatCode="0.00E+00">
                  <c:v>3648.6822442442831</c:v>
                </c:pt>
                <c:pt idx="36" formatCode="0.00E+00">
                  <c:v>3655.2170842499941</c:v>
                </c:pt>
                <c:pt idx="37" formatCode="0.00E+00">
                  <c:v>3660.4036104462061</c:v>
                </c:pt>
                <c:pt idx="38" formatCode="0.00E+00">
                  <c:v>3664.5172748537816</c:v>
                </c:pt>
                <c:pt idx="39" formatCode="0.00E+00">
                  <c:v>3667.7782811959269</c:v>
                </c:pt>
                <c:pt idx="40" formatCode="0.00E+00">
                  <c:v>3670.3622810700244</c:v>
                </c:pt>
                <c:pt idx="41" formatCode="0.00E+00">
                  <c:v>3672.4091458764838</c:v>
                </c:pt>
                <c:pt idx="42" formatCode="0.00E+00">
                  <c:v>3674.0301033495602</c:v>
                </c:pt>
                <c:pt idx="43" formatCode="0.00E+00">
                  <c:v>3675.3135080819206</c:v>
                </c:pt>
                <c:pt idx="44" formatCode="0.00E+00">
                  <c:v>3676.3294854607248</c:v>
                </c:pt>
                <c:pt idx="45" formatCode="0.00E+00">
                  <c:v>3677.1336552397916</c:v>
                </c:pt>
                <c:pt idx="46" formatCode="0.00E+00">
                  <c:v>3677.7701086008828</c:v>
                </c:pt>
                <c:pt idx="47" formatCode="0.00E+00">
                  <c:v>3678.2737830326992</c:v>
                </c:pt>
                <c:pt idx="48" formatCode="0.00E+00">
                  <c:v>3678.6723535036722</c:v>
                </c:pt>
                <c:pt idx="49" formatCode="0.00E+00">
                  <c:v>3678.9877363680048</c:v>
                </c:pt>
                <c:pt idx="50" formatCode="0.00E+00">
                  <c:v>3679.2372840080629</c:v>
                </c:pt>
                <c:pt idx="51" formatCode="0.00E+00">
                  <c:v>3679.4347329976172</c:v>
                </c:pt>
                <c:pt idx="52" formatCode="0.00E+00">
                  <c:v>3679.5909561315093</c:v>
                </c:pt>
                <c:pt idx="53">
                  <c:v>3679.7145585754411</c:v>
                </c:pt>
                <c:pt idx="54">
                  <c:v>3679.8123502477015</c:v>
                </c:pt>
                <c:pt idx="55">
                  <c:v>3680.1109394698587</c:v>
                </c:pt>
                <c:pt idx="56" formatCode="0.00E+00">
                  <c:v>3680.1688632632272</c:v>
                </c:pt>
                <c:pt idx="57" formatCode="0.00E+00">
                  <c:v>3680.1800991137111</c:v>
                </c:pt>
                <c:pt idx="58" formatCode="0.00E+00">
                  <c:v>3680.1822785708309</c:v>
                </c:pt>
                <c:pt idx="59">
                  <c:v>3680.1827013264901</c:v>
                </c:pt>
                <c:pt idx="60">
                  <c:v>3680.1827833295929</c:v>
                </c:pt>
                <c:pt idx="61">
                  <c:v>3680.1827992359631</c:v>
                </c:pt>
                <c:pt idx="62">
                  <c:v>3680.1828023213657</c:v>
                </c:pt>
              </c:numCache>
            </c:numRef>
          </c:yVal>
          <c:smooth val="0"/>
        </c:ser>
        <c:ser>
          <c:idx val="10"/>
          <c:order val="5"/>
          <c:tx>
            <c:strRef>
              <c:f>myData!UKLabel</c:f>
              <c:strCache>
                <c:ptCount val="1"/>
                <c:pt idx="0">
                  <c:v>United Kingdom from 12-Mar</c:v>
                </c:pt>
              </c:strCache>
            </c:strRef>
          </c:tx>
          <c:spPr>
            <a:ln w="19050" cap="rnd">
              <a:solidFill>
                <a:schemeClr val="accent4">
                  <a:lumMod val="60000"/>
                  <a:lumOff val="40000"/>
                </a:schemeClr>
              </a:solidFill>
              <a:round/>
            </a:ln>
            <a:effectLst/>
          </c:spPr>
          <c:marker>
            <c:symbol val="circle"/>
            <c:size val="5"/>
            <c:spPr>
              <a:solidFill>
                <a:schemeClr val="accent4">
                  <a:lumMod val="75000"/>
                </a:schemeClr>
              </a:solidFill>
              <a:ln w="9525">
                <a:solidFill>
                  <a:schemeClr val="accent4">
                    <a:lumMod val="75000"/>
                  </a:schemeClr>
                </a:solidFill>
              </a:ln>
              <a:effectLst/>
            </c:spPr>
          </c:marker>
          <c:dLbls>
            <c:dLbl>
              <c:idx val="42"/>
              <c:tx>
                <c:rich>
                  <a:bodyPr rot="0" spcFirstLastPara="1" vertOverflow="ellipsis" vert="horz" wrap="square" anchor="ctr" anchorCtr="1"/>
                  <a:lstStyle/>
                  <a:p>
                    <a:pPr>
                      <a:defRPr sz="900" b="1" i="0" u="none" strike="noStrike" kern="1200" baseline="0">
                        <a:solidFill>
                          <a:srgbClr val="000000"/>
                        </a:solidFill>
                        <a:latin typeface="Calibri"/>
                        <a:ea typeface="Calibri"/>
                        <a:cs typeface="Calibri"/>
                      </a:defRPr>
                    </a:pPr>
                    <a:r>
                      <a:rPr lang="en-US"/>
                      <a:t>United Kingdom </a:t>
                    </a:r>
                  </a:p>
                </c:rich>
              </c:tx>
              <c:spPr>
                <a:noFill/>
                <a:ln>
                  <a:noFill/>
                </a:ln>
                <a:effectLst/>
              </c:spPr>
              <c:txPr>
                <a:bodyPr rot="0" spcFirstLastPara="1" vertOverflow="ellipsis" vert="horz" wrap="square" anchor="ctr" anchorCtr="1"/>
                <a:lstStyle/>
                <a:p>
                  <a:pPr>
                    <a:defRPr sz="900" b="1" i="0" u="none" strike="noStrike" kern="1200" baseline="0">
                      <a:solidFill>
                        <a:srgbClr val="000000"/>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myData!UK100Dates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myData!UK100Cases</c:f>
              <c:numCache>
                <c:formatCode>0.0</c:formatCode>
                <c:ptCount val="51"/>
                <c:pt idx="0">
                  <c:v>120.71041541240217</c:v>
                </c:pt>
                <c:pt idx="1">
                  <c:v>172.18543046357615</c:v>
                </c:pt>
                <c:pt idx="2">
                  <c:v>172.33594220349187</c:v>
                </c:pt>
                <c:pt idx="3">
                  <c:v>233.44370860927151</c:v>
                </c:pt>
                <c:pt idx="4">
                  <c:v>295.0030102347983</c:v>
                </c:pt>
                <c:pt idx="5">
                  <c:v>397.65201685731489</c:v>
                </c:pt>
                <c:pt idx="6">
                  <c:v>408.78988561107764</c:v>
                </c:pt>
                <c:pt idx="7">
                  <c:v>604.15412402167362</c:v>
                </c:pt>
                <c:pt idx="8">
                  <c:v>762.64298615291989</c:v>
                </c:pt>
                <c:pt idx="9">
                  <c:v>864.68994581577363</c:v>
                </c:pt>
                <c:pt idx="10">
                  <c:v>1012.3419626730885</c:v>
                </c:pt>
                <c:pt idx="11">
                  <c:v>1228.7778446718844</c:v>
                </c:pt>
                <c:pt idx="12">
                  <c:v>1450.9331727874774</c:v>
                </c:pt>
                <c:pt idx="13">
                  <c:v>1777.844671884407</c:v>
                </c:pt>
                <c:pt idx="14">
                  <c:v>2219.2956050571943</c:v>
                </c:pt>
                <c:pt idx="15">
                  <c:v>2605.6592414208308</c:v>
                </c:pt>
                <c:pt idx="16">
                  <c:v>2977.1222155328114</c:v>
                </c:pt>
                <c:pt idx="17">
                  <c:v>3379.4400963275134</c:v>
                </c:pt>
                <c:pt idx="18">
                  <c:v>3835.1896447922936</c:v>
                </c:pt>
                <c:pt idx="19">
                  <c:v>4495.0331125827815</c:v>
                </c:pt>
                <c:pt idx="20">
                  <c:v>5143.4376881396747</c:v>
                </c:pt>
                <c:pt idx="21">
                  <c:v>5823.1487055990365</c:v>
                </c:pt>
                <c:pt idx="22">
                  <c:v>6393.2871763997591</c:v>
                </c:pt>
                <c:pt idx="23">
                  <c:v>7290.1866345574954</c:v>
                </c:pt>
                <c:pt idx="24">
                  <c:v>7868.6032510535824</c:v>
                </c:pt>
                <c:pt idx="25">
                  <c:v>8420.9813365442496</c:v>
                </c:pt>
                <c:pt idx="26">
                  <c:v>9252.558699578567</c:v>
                </c:pt>
                <c:pt idx="27">
                  <c:v>9914.5093317278752</c:v>
                </c:pt>
                <c:pt idx="28">
                  <c:v>11228.9283564118</c:v>
                </c:pt>
                <c:pt idx="29">
                  <c:v>12021.974714027694</c:v>
                </c:pt>
                <c:pt idx="30">
                  <c:v>12824.503311258279</c:v>
                </c:pt>
                <c:pt idx="31">
                  <c:v>13481.336544250451</c:v>
                </c:pt>
                <c:pt idx="32">
                  <c:v>14275.285972305839</c:v>
                </c:pt>
                <c:pt idx="33">
                  <c:v>14973.359422034919</c:v>
                </c:pt>
                <c:pt idx="34">
                  <c:v>15675.045153521974</c:v>
                </c:pt>
                <c:pt idx="35">
                  <c:v>16521.523178807947</c:v>
                </c:pt>
                <c:pt idx="36">
                  <c:v>17356.110776640577</c:v>
                </c:pt>
                <c:pt idx="37">
                  <c:v>18237.808549066827</c:v>
                </c:pt>
                <c:pt idx="38">
                  <c:v>18942.805538832028</c:v>
                </c:pt>
                <c:pt idx="39">
                  <c:v>19592.414208308248</c:v>
                </c:pt>
                <c:pt idx="40">
                  <c:v>20264.599638771822</c:v>
                </c:pt>
                <c:pt idx="41">
                  <c:v>20958.15773630343</c:v>
                </c:pt>
                <c:pt idx="42">
                  <c:v>21770.018061408791</c:v>
                </c:pt>
                <c:pt idx="43" formatCode="0.000">
                  <c:v>22511.890427453342</c:v>
                </c:pt>
                <c:pt idx="44" formatCode="0.000">
                  <c:v>23184.376881396747</c:v>
                </c:pt>
                <c:pt idx="45" formatCode="0.000">
                  <c:v>23833.232992173391</c:v>
                </c:pt>
                <c:pt idx="46" formatCode="0.000">
                  <c:v>24435.580975316076</c:v>
                </c:pt>
                <c:pt idx="47" formatCode="0.000">
                  <c:v>25051.324503311258</c:v>
                </c:pt>
                <c:pt idx="48" formatCode="0.000">
                  <c:v>25960.415412402166</c:v>
                </c:pt>
                <c:pt idx="49" formatCode="0.000">
                  <c:v>26894.190246839255</c:v>
                </c:pt>
                <c:pt idx="50" formatCode="0.000">
                  <c:v>27618.904274533412</c:v>
                </c:pt>
              </c:numCache>
            </c:numRef>
          </c:yVal>
          <c:smooth val="0"/>
        </c:ser>
        <c:ser>
          <c:idx val="5"/>
          <c:order val="6"/>
          <c:tx>
            <c:strRef>
              <c:f>myData!UKSeries</c:f>
              <c:strCache>
                <c:ptCount val="1"/>
                <c:pt idx="0">
                  <c:v>United Kingdom Limit 21.5 k r^2=95.27%</c:v>
                </c:pt>
              </c:strCache>
            </c:strRef>
          </c:tx>
          <c:spPr>
            <a:ln w="19050" cap="rnd">
              <a:solidFill>
                <a:schemeClr val="accent4">
                  <a:lumMod val="75000"/>
                </a:schemeClr>
              </a:solidFill>
              <a:prstDash val="sysDot"/>
              <a:round/>
            </a:ln>
            <a:effectLst/>
          </c:spPr>
          <c:marker>
            <c:symbol val="none"/>
          </c:marker>
          <c:dLbls>
            <c:dLbl>
              <c:idx val="53"/>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United Kingdom Limit 18.8 k r^2=96.86%</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myData!UK100LogiDates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myData!UK100Logi</c:f>
              <c:numCache>
                <c:formatCode>0.0</c:formatCode>
                <c:ptCount val="63"/>
                <c:pt idx="0">
                  <c:v>126.14865233775289</c:v>
                </c:pt>
                <c:pt idx="1">
                  <c:v>155.90941016393225</c:v>
                </c:pt>
                <c:pt idx="2">
                  <c:v>192.62798786391878</c:v>
                </c:pt>
                <c:pt idx="3">
                  <c:v>237.89784468511706</c:v>
                </c:pt>
                <c:pt idx="4">
                  <c:v>293.66001063907123</c:v>
                </c:pt>
                <c:pt idx="5">
                  <c:v>362.2698514779313</c:v>
                </c:pt>
                <c:pt idx="6">
                  <c:v>446.57188981010859</c:v>
                </c:pt>
                <c:pt idx="7">
                  <c:v>549.98095874145224</c:v>
                </c:pt>
                <c:pt idx="8">
                  <c:v>676.56604261248731</c:v>
                </c:pt>
                <c:pt idx="9">
                  <c:v>831.13030670323838</c:v>
                </c:pt>
                <c:pt idx="10">
                  <c:v>1019.2767982227729</c:v>
                </c:pt>
                <c:pt idx="11">
                  <c:v>1247.4439608431844</c:v>
                </c:pt>
                <c:pt idx="12">
                  <c:v>1522.8885273904302</c:v>
                </c:pt>
                <c:pt idx="13">
                  <c:v>1853.586112565981</c:v>
                </c:pt>
                <c:pt idx="14">
                  <c:v>2248.0133373281064</c:v>
                </c:pt>
                <c:pt idx="15">
                  <c:v>2714.7722373881611</c:v>
                </c:pt>
                <c:pt idx="16">
                  <c:v>3262.0221812234736</c:v>
                </c:pt>
                <c:pt idx="17">
                  <c:v>3896.7018663366043</c:v>
                </c:pt>
                <c:pt idx="18">
                  <c:v>4623.5592505495733</c:v>
                </c:pt>
                <c:pt idx="19">
                  <c:v>5444.0623132270794</c:v>
                </c:pt>
                <c:pt idx="20" formatCode="0">
                  <c:v>6355.3324647392128</c:v>
                </c:pt>
                <c:pt idx="21" formatCode="0">
                  <c:v>7349.3077422706883</c:v>
                </c:pt>
                <c:pt idx="22" formatCode="0">
                  <c:v>8412.3757888611926</c:v>
                </c:pt>
                <c:pt idx="23" formatCode="0">
                  <c:v>9525.6853961896268</c:v>
                </c:pt>
                <c:pt idx="24" formatCode="0">
                  <c:v>10666.233099088557</c:v>
                </c:pt>
                <c:pt idx="25" formatCode="0">
                  <c:v>11808.644009415824</c:v>
                </c:pt>
                <c:pt idx="26" formatCode="0">
                  <c:v>12927.377936881545</c:v>
                </c:pt>
                <c:pt idx="27" formatCode="0">
                  <c:v>13998.965898189033</c:v>
                </c:pt>
                <c:pt idx="28" formatCode="0">
                  <c:v>15003.872840649332</c:v>
                </c:pt>
                <c:pt idx="29" formatCode="0">
                  <c:v>15927.693957025065</c:v>
                </c:pt>
                <c:pt idx="30" formatCode="0">
                  <c:v>16761.575657786372</c:v>
                </c:pt>
                <c:pt idx="31" formatCode="0">
                  <c:v>17501.935246524823</c:v>
                </c:pt>
                <c:pt idx="32" formatCode="0">
                  <c:v>18149.676943345767</c:v>
                </c:pt>
                <c:pt idx="33" formatCode="0">
                  <c:v>18709.144361659237</c:v>
                </c:pt>
                <c:pt idx="34" formatCode="0">
                  <c:v>19187.024095357261</c:v>
                </c:pt>
                <c:pt idx="35" formatCode="0">
                  <c:v>19591.352447872006</c:v>
                </c:pt>
                <c:pt idx="36" formatCode="0">
                  <c:v>19930.707550356765</c:v>
                </c:pt>
                <c:pt idx="37" formatCode="0">
                  <c:v>20213.611474405239</c:v>
                </c:pt>
                <c:pt idx="38" formatCode="0">
                  <c:v>20448.128792108924</c:v>
                </c:pt>
                <c:pt idx="39" formatCode="0">
                  <c:v>20641.628382984229</c:v>
                </c:pt>
                <c:pt idx="40" formatCode="0">
                  <c:v>20800.669303362563</c:v>
                </c:pt>
                <c:pt idx="41" formatCode="0">
                  <c:v>20930.973814520068</c:v>
                </c:pt>
                <c:pt idx="42" formatCode="0">
                  <c:v>21037.456862002084</c:v>
                </c:pt>
                <c:pt idx="43" formatCode="0">
                  <c:v>21124.288545296393</c:v>
                </c:pt>
                <c:pt idx="44" formatCode="0">
                  <c:v>21194.972841448161</c:v>
                </c:pt>
                <c:pt idx="45" formatCode="0">
                  <c:v>21252.431378061912</c:v>
                </c:pt>
                <c:pt idx="46" formatCode="0">
                  <c:v>21299.085255067221</c:v>
                </c:pt>
                <c:pt idx="47" formatCode="0">
                  <c:v>21336.930921772189</c:v>
                </c:pt>
                <c:pt idx="48" formatCode="0">
                  <c:v>21367.60815661326</c:v>
                </c:pt>
                <c:pt idx="49" formatCode="0">
                  <c:v>21392.459511432124</c:v>
                </c:pt>
                <c:pt idx="50" formatCode="0">
                  <c:v>21412.581378582086</c:v>
                </c:pt>
                <c:pt idx="51" formatCode="0">
                  <c:v>21428.867282392122</c:v>
                </c:pt>
                <c:pt idx="52" formatCode="0">
                  <c:v>21442.044208713502</c:v>
                </c:pt>
                <c:pt idx="53" formatCode="0">
                  <c:v>21452.702854050272</c:v>
                </c:pt>
                <c:pt idx="54" formatCode="0">
                  <c:v>21461.32265823142</c:v>
                </c:pt>
                <c:pt idx="55" formatCode="0">
                  <c:v>21489.488406742214</c:v>
                </c:pt>
                <c:pt idx="56" formatCode="0">
                  <c:v>21495.830822246149</c:v>
                </c:pt>
                <c:pt idx="57" formatCode="0">
                  <c:v>21497.257241881223</c:v>
                </c:pt>
                <c:pt idx="58" formatCode="0">
                  <c:v>21497.57795612379</c:v>
                </c:pt>
                <c:pt idx="59" formatCode="0">
                  <c:v>21497.650060533218</c:v>
                </c:pt>
                <c:pt idx="60" formatCode="0">
                  <c:v>21497.666271139198</c:v>
                </c:pt>
                <c:pt idx="61" formatCode="0">
                  <c:v>21497.669915616858</c:v>
                </c:pt>
                <c:pt idx="62" formatCode="0">
                  <c:v>21497.670734969808</c:v>
                </c:pt>
              </c:numCache>
            </c:numRef>
          </c:yVal>
          <c:smooth val="0"/>
        </c:ser>
        <c:ser>
          <c:idx val="4"/>
          <c:order val="7"/>
          <c:tx>
            <c:strRef>
              <c:f>myData!ItalyLabel</c:f>
              <c:strCache>
                <c:ptCount val="1"/>
                <c:pt idx="0">
                  <c:v>Italy from 27-Feb</c:v>
                </c:pt>
              </c:strCache>
            </c:strRef>
          </c:tx>
          <c:spPr>
            <a:ln w="19050" cap="rnd">
              <a:solidFill>
                <a:srgbClr val="FF0000"/>
              </a:solidFill>
              <a:round/>
            </a:ln>
            <a:effectLst/>
          </c:spPr>
          <c:marker>
            <c:symbol val="x"/>
            <c:size val="5"/>
            <c:spPr>
              <a:noFill/>
              <a:ln w="9525">
                <a:solidFill>
                  <a:srgbClr val="FF0000"/>
                </a:solidFill>
              </a:ln>
              <a:effectLst/>
            </c:spPr>
          </c:marker>
          <c:dLbls>
            <c:dLbl>
              <c:idx val="53"/>
              <c:tx>
                <c:rich>
                  <a:bodyPr rot="0" spcFirstLastPara="1" vertOverflow="ellipsis" vert="horz" wrap="square" anchor="ctr" anchorCtr="1"/>
                  <a:lstStyle/>
                  <a:p>
                    <a:pPr>
                      <a:defRPr sz="900" b="1" i="0" u="none" strike="noStrike" kern="1200" baseline="0">
                        <a:solidFill>
                          <a:srgbClr val="000000"/>
                        </a:solidFill>
                        <a:latin typeface="Calibri"/>
                        <a:ea typeface="Calibri"/>
                        <a:cs typeface="Calibri"/>
                      </a:defRPr>
                    </a:pPr>
                    <a:r>
                      <a:rPr lang="en-US"/>
                      <a:t>Italy </a:t>
                    </a:r>
                  </a:p>
                </c:rich>
              </c:tx>
              <c:spPr>
                <a:noFill/>
                <a:ln>
                  <a:noFill/>
                </a:ln>
                <a:effectLst/>
              </c:spPr>
              <c:txPr>
                <a:bodyPr rot="0" spcFirstLastPara="1" vertOverflow="ellipsis" vert="horz" wrap="square" anchor="ctr" anchorCtr="1"/>
                <a:lstStyle/>
                <a:p>
                  <a:pPr>
                    <a:defRPr sz="900" b="1"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myData!Italy100Dates</c:f>
              <c:numCache>
                <c:formatCode>0</c:formatCode>
                <c:ptCount val="7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77</c:v>
                </c:pt>
                <c:pt idx="71">
                  <c:v>84</c:v>
                </c:pt>
                <c:pt idx="72">
                  <c:v>91</c:v>
                </c:pt>
                <c:pt idx="73">
                  <c:v>98</c:v>
                </c:pt>
                <c:pt idx="74">
                  <c:v>105</c:v>
                </c:pt>
                <c:pt idx="75">
                  <c:v>112</c:v>
                </c:pt>
                <c:pt idx="76">
                  <c:v>119</c:v>
                </c:pt>
                <c:pt idx="77">
                  <c:v>126</c:v>
                </c:pt>
              </c:numCache>
            </c:numRef>
          </c:xVal>
          <c:yVal>
            <c:numRef>
              <c:f>myData!Italy100Cases</c:f>
              <c:numCache>
                <c:formatCode>0.0</c:formatCode>
                <c:ptCount val="66"/>
                <c:pt idx="0">
                  <c:v>108.29131189551129</c:v>
                </c:pt>
                <c:pt idx="1">
                  <c:v>146.81325948582293</c:v>
                </c:pt>
                <c:pt idx="2">
                  <c:v>186.49251880631562</c:v>
                </c:pt>
                <c:pt idx="3">
                  <c:v>280.06943870381087</c:v>
                </c:pt>
                <c:pt idx="4">
                  <c:v>336.61238323551294</c:v>
                </c:pt>
                <c:pt idx="5">
                  <c:v>413.65627841613627</c:v>
                </c:pt>
                <c:pt idx="6">
                  <c:v>510.70513350417463</c:v>
                </c:pt>
                <c:pt idx="7">
                  <c:v>637.84409357691993</c:v>
                </c:pt>
                <c:pt idx="8">
                  <c:v>766.47102587418374</c:v>
                </c:pt>
                <c:pt idx="9">
                  <c:v>972.63784409357697</c:v>
                </c:pt>
                <c:pt idx="10">
                  <c:v>1219.3105728693065</c:v>
                </c:pt>
                <c:pt idx="11">
                  <c:v>1516.4090270314955</c:v>
                </c:pt>
                <c:pt idx="12">
                  <c:v>1677.9366785153345</c:v>
                </c:pt>
                <c:pt idx="13">
                  <c:v>2060.3455402165828</c:v>
                </c:pt>
                <c:pt idx="14">
                  <c:v>2060.3455402165828</c:v>
                </c:pt>
                <c:pt idx="15">
                  <c:v>2919.732164999587</c:v>
                </c:pt>
                <c:pt idx="16">
                  <c:v>3497.8920393485992</c:v>
                </c:pt>
                <c:pt idx="17">
                  <c:v>4091.4276266843021</c:v>
                </c:pt>
                <c:pt idx="18">
                  <c:v>4625.9403157807719</c:v>
                </c:pt>
                <c:pt idx="19">
                  <c:v>5208.8947672976774</c:v>
                </c:pt>
                <c:pt idx="20">
                  <c:v>5904.4391171364805</c:v>
                </c:pt>
                <c:pt idx="21">
                  <c:v>6784.3266925684056</c:v>
                </c:pt>
                <c:pt idx="22">
                  <c:v>7773.9935521203606</c:v>
                </c:pt>
                <c:pt idx="23">
                  <c:v>8858.0639828056555</c:v>
                </c:pt>
                <c:pt idx="24">
                  <c:v>9777.3001570637352</c:v>
                </c:pt>
                <c:pt idx="25">
                  <c:v>10569.066710754732</c:v>
                </c:pt>
                <c:pt idx="26">
                  <c:v>11436.885178143342</c:v>
                </c:pt>
                <c:pt idx="27">
                  <c:v>12298.255765892371</c:v>
                </c:pt>
                <c:pt idx="28">
                  <c:v>13323.799289079938</c:v>
                </c:pt>
                <c:pt idx="29">
                  <c:v>14300.735719599901</c:v>
                </c:pt>
                <c:pt idx="30">
                  <c:v>15288.418616185832</c:v>
                </c:pt>
                <c:pt idx="31">
                  <c:v>16150.946515665042</c:v>
                </c:pt>
                <c:pt idx="32">
                  <c:v>16820.534016698355</c:v>
                </c:pt>
                <c:pt idx="33">
                  <c:v>17490.617508473177</c:v>
                </c:pt>
                <c:pt idx="34">
                  <c:v>18281.226750433994</c:v>
                </c:pt>
                <c:pt idx="35">
                  <c:v>19052.988344217574</c:v>
                </c:pt>
                <c:pt idx="36">
                  <c:v>19811.027527486156</c:v>
                </c:pt>
                <c:pt idx="37">
                  <c:v>20605.439365131853</c:v>
                </c:pt>
                <c:pt idx="38">
                  <c:v>21319.004711912046</c:v>
                </c:pt>
                <c:pt idx="39">
                  <c:v>21914.028271472267</c:v>
                </c:pt>
                <c:pt idx="40">
                  <c:v>22416.466892618006</c:v>
                </c:pt>
                <c:pt idx="41">
                  <c:v>23050.673720757215</c:v>
                </c:pt>
                <c:pt idx="42">
                  <c:v>23745.72207985451</c:v>
                </c:pt>
                <c:pt idx="43">
                  <c:v>24398.941886418121</c:v>
                </c:pt>
                <c:pt idx="44">
                  <c:v>25175.002066628091</c:v>
                </c:pt>
                <c:pt idx="45">
                  <c:v>25851.53343804249</c:v>
                </c:pt>
                <c:pt idx="46">
                  <c:v>26372.819707365463</c:v>
                </c:pt>
                <c:pt idx="47">
                  <c:v>26864.181201950898</c:v>
                </c:pt>
                <c:pt idx="48">
                  <c:v>27305.116971149873</c:v>
                </c:pt>
                <c:pt idx="49">
                  <c:v>27931.057286930645</c:v>
                </c:pt>
                <c:pt idx="50">
                  <c:v>28508.555840290981</c:v>
                </c:pt>
                <c:pt idx="51">
                  <c:v>29085.723733156981</c:v>
                </c:pt>
                <c:pt idx="52">
                  <c:v>29589.484996280069</c:v>
                </c:pt>
                <c:pt idx="53">
                  <c:v>29962.470033892703</c:v>
                </c:pt>
                <c:pt idx="54">
                  <c:v>30413.656278416136</c:v>
                </c:pt>
                <c:pt idx="55">
                  <c:v>30970.819211374721</c:v>
                </c:pt>
                <c:pt idx="56">
                  <c:v>31408.283045383156</c:v>
                </c:pt>
                <c:pt idx="57">
                  <c:v>31907.745722079857</c:v>
                </c:pt>
                <c:pt idx="58">
                  <c:v>32297.429114656527</c:v>
                </c:pt>
                <c:pt idx="59">
                  <c:v>32681.656609076632</c:v>
                </c:pt>
                <c:pt idx="60">
                  <c:v>32969.165908903036</c:v>
                </c:pt>
                <c:pt idx="61">
                  <c:v>33314.871455732828</c:v>
                </c:pt>
                <c:pt idx="62">
                  <c:v>33659.750351326773</c:v>
                </c:pt>
                <c:pt idx="63">
                  <c:v>33969.24857402662</c:v>
                </c:pt>
                <c:pt idx="64">
                  <c:v>34294.122509713154</c:v>
                </c:pt>
                <c:pt idx="65">
                  <c:v>34608.249979333719</c:v>
                </c:pt>
              </c:numCache>
            </c:numRef>
          </c:yVal>
          <c:smooth val="0"/>
        </c:ser>
        <c:ser>
          <c:idx val="3"/>
          <c:order val="8"/>
          <c:tx>
            <c:strRef>
              <c:f>myData!ItalySeries</c:f>
              <c:strCache>
                <c:ptCount val="1"/>
                <c:pt idx="0">
                  <c:v>Italy Limit 26.7 k r^2=90.76%</c:v>
                </c:pt>
              </c:strCache>
            </c:strRef>
          </c:tx>
          <c:spPr>
            <a:ln w="19050" cap="rnd">
              <a:solidFill>
                <a:srgbClr val="FF0000"/>
              </a:solidFill>
              <a:prstDash val="sysDot"/>
              <a:round/>
            </a:ln>
            <a:effectLst/>
          </c:spPr>
          <c:marker>
            <c:symbol val="none"/>
          </c:marker>
          <c:dLbls>
            <c:dLbl>
              <c:idx val="53"/>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Italy Limit 24.8 k r^2=91.64%</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myData!Italy100LogiDates</c:f>
              <c:numCache>
                <c:formatCode>0</c:formatCode>
                <c:ptCount val="7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77</c:v>
                </c:pt>
                <c:pt idx="71">
                  <c:v>84</c:v>
                </c:pt>
                <c:pt idx="72">
                  <c:v>91</c:v>
                </c:pt>
                <c:pt idx="73">
                  <c:v>98</c:v>
                </c:pt>
                <c:pt idx="74">
                  <c:v>105</c:v>
                </c:pt>
                <c:pt idx="75">
                  <c:v>112</c:v>
                </c:pt>
                <c:pt idx="76">
                  <c:v>119</c:v>
                </c:pt>
                <c:pt idx="77">
                  <c:v>126</c:v>
                </c:pt>
              </c:numCache>
            </c:numRef>
          </c:xVal>
          <c:yVal>
            <c:numRef>
              <c:f>myData!Italy100Logi</c:f>
              <c:numCache>
                <c:formatCode>0</c:formatCode>
                <c:ptCount val="78"/>
                <c:pt idx="0">
                  <c:v>87.494204228525732</c:v>
                </c:pt>
                <c:pt idx="1">
                  <c:v>112.59648035891601</c:v>
                </c:pt>
                <c:pt idx="2">
                  <c:v>144.86142442829504</c:v>
                </c:pt>
                <c:pt idx="3">
                  <c:v>186.30717761188527</c:v>
                </c:pt>
                <c:pt idx="4">
                  <c:v>239.50379734378745</c:v>
                </c:pt>
                <c:pt idx="5">
                  <c:v>307.71333696252458</c:v>
                </c:pt>
                <c:pt idx="6">
                  <c:v>395.05840021142262</c:v>
                </c:pt>
                <c:pt idx="7">
                  <c:v>506.72019530733627</c:v>
                </c:pt>
                <c:pt idx="8">
                  <c:v>649.163376127883</c:v>
                </c:pt>
                <c:pt idx="9">
                  <c:v>830.3782083809582</c:v>
                </c:pt>
                <c:pt idx="10">
                  <c:v>1060.1193946728774</c:v>
                </c:pt>
                <c:pt idx="11">
                  <c:v>1350.10361330397</c:v>
                </c:pt>
                <c:pt idx="12">
                  <c:v>1714.1032075128903</c:v>
                </c:pt>
                <c:pt idx="13">
                  <c:v>2167.8418193639991</c:v>
                </c:pt>
                <c:pt idx="14">
                  <c:v>2728.5632323224359</c:v>
                </c:pt>
                <c:pt idx="15">
                  <c:v>3414.118536188962</c:v>
                </c:pt>
                <c:pt idx="16">
                  <c:v>4241.4207285673319</c:v>
                </c:pt>
                <c:pt idx="17">
                  <c:v>5224.1825377232135</c:v>
                </c:pt>
                <c:pt idx="18">
                  <c:v>6370.0169233749111</c:v>
                </c:pt>
                <c:pt idx="19">
                  <c:v>7677.2518534716501</c:v>
                </c:pt>
                <c:pt idx="20">
                  <c:v>9132.141439709354</c:v>
                </c:pt>
                <c:pt idx="21">
                  <c:v>10707.403293036923</c:v>
                </c:pt>
                <c:pt idx="22">
                  <c:v>12362.972668598062</c:v>
                </c:pt>
                <c:pt idx="23">
                  <c:v>14049.389926771717</c:v>
                </c:pt>
                <c:pt idx="24">
                  <c:v>15713.4029658457</c:v>
                </c:pt>
                <c:pt idx="25">
                  <c:v>17304.524192570669</c:v>
                </c:pt>
                <c:pt idx="26">
                  <c:v>18780.888378182644</c:v>
                </c:pt>
                <c:pt idx="27">
                  <c:v>20113.047380114629</c:v>
                </c:pt>
                <c:pt idx="28">
                  <c:v>21285.136744478561</c:v>
                </c:pt>
                <c:pt idx="29">
                  <c:v>22293.715099281151</c:v>
                </c:pt>
                <c:pt idx="30">
                  <c:v>23145.121706068341</c:v>
                </c:pt>
                <c:pt idx="31">
                  <c:v>23852.300433501554</c:v>
                </c:pt>
                <c:pt idx="32">
                  <c:v>24431.822438348365</c:v>
                </c:pt>
                <c:pt idx="33">
                  <c:v>24901.51069681322</c:v>
                </c:pt>
                <c:pt idx="34">
                  <c:v>25278.782494527903</c:v>
                </c:pt>
                <c:pt idx="35">
                  <c:v>25579.6446071957</c:v>
                </c:pt>
                <c:pt idx="36">
                  <c:v>25818.195796411841</c:v>
                </c:pt>
                <c:pt idx="37">
                  <c:v>26006.479614044893</c:v>
                </c:pt>
                <c:pt idx="38">
                  <c:v>26154.553599475301</c:v>
                </c:pt>
                <c:pt idx="39">
                  <c:v>26270.675137727121</c:v>
                </c:pt>
                <c:pt idx="40">
                  <c:v>26361.536771338855</c:v>
                </c:pt>
                <c:pt idx="41">
                  <c:v>26432.509590004611</c:v>
                </c:pt>
                <c:pt idx="42">
                  <c:v>26487.871713755019</c:v>
                </c:pt>
                <c:pt idx="43">
                  <c:v>26531.010953830308</c:v>
                </c:pt>
                <c:pt idx="44">
                  <c:v>26564.598093789271</c:v>
                </c:pt>
                <c:pt idx="45">
                  <c:v>26590.731369834783</c:v>
                </c:pt>
                <c:pt idx="46">
                  <c:v>26611.054801604278</c:v>
                </c:pt>
                <c:pt idx="47">
                  <c:v>26626.853851255484</c:v>
                </c:pt>
                <c:pt idx="48">
                  <c:v>26639.132011378493</c:v>
                </c:pt>
                <c:pt idx="49">
                  <c:v>26648.671681402164</c:v>
                </c:pt>
                <c:pt idx="50">
                  <c:v>26656.082291287421</c:v>
                </c:pt>
                <c:pt idx="51">
                  <c:v>26661.838185741926</c:v>
                </c:pt>
                <c:pt idx="52">
                  <c:v>26666.308352721691</c:v>
                </c:pt>
                <c:pt idx="53">
                  <c:v>26669.779694972924</c:v>
                </c:pt>
                <c:pt idx="54">
                  <c:v>26672.475212785157</c:v>
                </c:pt>
                <c:pt idx="55">
                  <c:v>26674.568190112601</c:v>
                </c:pt>
                <c:pt idx="56">
                  <c:v>26676.193250135853</c:v>
                </c:pt>
                <c:pt idx="57">
                  <c:v>26677.454963643617</c:v>
                </c:pt>
                <c:pt idx="58">
                  <c:v>26678.434547429631</c:v>
                </c:pt>
                <c:pt idx="59">
                  <c:v>26679.195073775736</c:v>
                </c:pt>
                <c:pt idx="60">
                  <c:v>26679.78552034486</c:v>
                </c:pt>
                <c:pt idx="61">
                  <c:v>26680.24391761727</c:v>
                </c:pt>
                <c:pt idx="62">
                  <c:v>26680.599794376958</c:v>
                </c:pt>
                <c:pt idx="63">
                  <c:v>26680.876077442303</c:v>
                </c:pt>
                <c:pt idx="64">
                  <c:v>26681.090567221705</c:v>
                </c:pt>
                <c:pt idx="65">
                  <c:v>26681.257083675166</c:v>
                </c:pt>
                <c:pt idx="66">
                  <c:v>26681.386356225059</c:v>
                </c:pt>
                <c:pt idx="67">
                  <c:v>26681.486714780454</c:v>
                </c:pt>
                <c:pt idx="68">
                  <c:v>26681.564626295793</c:v>
                </c:pt>
                <c:pt idx="69">
                  <c:v>26681.625111374771</c:v>
                </c:pt>
                <c:pt idx="70">
                  <c:v>26681.799367527132</c:v>
                </c:pt>
                <c:pt idx="71">
                  <c:v>26681.828981854735</c:v>
                </c:pt>
                <c:pt idx="72">
                  <c:v>26681.834014691878</c:v>
                </c:pt>
                <c:pt idx="73">
                  <c:v>26681.83487000161</c:v>
                </c:pt>
                <c:pt idx="74">
                  <c:v>26681.835015357909</c:v>
                </c:pt>
                <c:pt idx="75">
                  <c:v>26681.835040060607</c:v>
                </c:pt>
                <c:pt idx="76">
                  <c:v>26681.835044258722</c:v>
                </c:pt>
                <c:pt idx="77">
                  <c:v>26681.835044972173</c:v>
                </c:pt>
              </c:numCache>
            </c:numRef>
          </c:yVal>
          <c:smooth val="0"/>
        </c:ser>
        <c:ser>
          <c:idx val="6"/>
          <c:order val="9"/>
          <c:tx>
            <c:strRef>
              <c:f>myData!USLabel</c:f>
              <c:strCache>
                <c:ptCount val="1"/>
                <c:pt idx="0">
                  <c:v>USA from 15-Mar</c:v>
                </c:pt>
              </c:strCache>
            </c:strRef>
          </c:tx>
          <c:spPr>
            <a:ln w="19050" cap="rnd">
              <a:solidFill>
                <a:schemeClr val="accent1">
                  <a:lumMod val="60000"/>
                </a:schemeClr>
              </a:solidFill>
              <a:round/>
            </a:ln>
            <a:effectLst/>
          </c:spPr>
          <c:marker>
            <c:symbol val="star"/>
            <c:size val="5"/>
            <c:spPr>
              <a:noFill/>
              <a:ln w="9525">
                <a:solidFill>
                  <a:schemeClr val="accent1">
                    <a:lumMod val="60000"/>
                  </a:schemeClr>
                </a:solidFill>
              </a:ln>
              <a:effectLst/>
            </c:spPr>
          </c:marker>
          <c:dLbls>
            <c:dLbl>
              <c:idx val="40"/>
              <c:tx>
                <c:rich>
                  <a:bodyPr rot="0" spcFirstLastPara="1" vertOverflow="ellipsis" vert="horz" wrap="square" anchor="ctr" anchorCtr="1"/>
                  <a:lstStyle/>
                  <a:p>
                    <a:pPr>
                      <a:defRPr sz="900" b="1" i="0" u="none" strike="noStrike" kern="1200" baseline="0">
                        <a:solidFill>
                          <a:srgbClr val="000000"/>
                        </a:solidFill>
                        <a:latin typeface="Calibri"/>
                        <a:ea typeface="Calibri"/>
                        <a:cs typeface="Calibri"/>
                      </a:defRPr>
                    </a:pPr>
                    <a:r>
                      <a:rPr lang="en-US"/>
                      <a:t>USA </a:t>
                    </a:r>
                  </a:p>
                </c:rich>
              </c:tx>
              <c:spPr>
                <a:noFill/>
                <a:ln>
                  <a:noFill/>
                </a:ln>
                <a:effectLst/>
              </c:spPr>
              <c:txPr>
                <a:bodyPr rot="0" spcFirstLastPara="1" vertOverflow="ellipsis" vert="horz" wrap="square" anchor="ctr" anchorCtr="1"/>
                <a:lstStyle/>
                <a:p>
                  <a:pPr>
                    <a:defRPr sz="900" b="1"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myData!US100Dates</c:f>
              <c:numCache>
                <c:formatCode>0</c:formatCode>
                <c:ptCount val="6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60</c:v>
                </c:pt>
                <c:pt idx="54">
                  <c:v>67</c:v>
                </c:pt>
                <c:pt idx="55">
                  <c:v>74</c:v>
                </c:pt>
                <c:pt idx="56">
                  <c:v>81</c:v>
                </c:pt>
                <c:pt idx="57">
                  <c:v>88</c:v>
                </c:pt>
                <c:pt idx="58">
                  <c:v>95</c:v>
                </c:pt>
                <c:pt idx="59">
                  <c:v>102</c:v>
                </c:pt>
                <c:pt idx="60">
                  <c:v>109</c:v>
                </c:pt>
              </c:numCache>
            </c:numRef>
          </c:xVal>
          <c:yVal>
            <c:numRef>
              <c:f>myData!US100Cases</c:f>
              <c:numCache>
                <c:formatCode>0.0</c:formatCode>
                <c:ptCount val="49"/>
                <c:pt idx="0">
                  <c:v>106.27901331256571</c:v>
                </c:pt>
                <c:pt idx="1">
                  <c:v>140.69288072700897</c:v>
                </c:pt>
                <c:pt idx="2">
                  <c:v>195.03216475564003</c:v>
                </c:pt>
                <c:pt idx="3">
                  <c:v>236.40170351863358</c:v>
                </c:pt>
                <c:pt idx="4">
                  <c:v>417.55289968786536</c:v>
                </c:pt>
                <c:pt idx="5">
                  <c:v>585.40023537384366</c:v>
                </c:pt>
                <c:pt idx="6">
                  <c:v>777.57723372440194</c:v>
                </c:pt>
                <c:pt idx="7">
                  <c:v>1010.7289073989531</c:v>
                </c:pt>
                <c:pt idx="8">
                  <c:v>1331.6921350851153</c:v>
                </c:pt>
                <c:pt idx="9">
                  <c:v>1632.1832121646273</c:v>
                </c:pt>
                <c:pt idx="10">
                  <c:v>1997.9482531220199</c:v>
                </c:pt>
                <c:pt idx="11">
                  <c:v>2546.4439440046467</c:v>
                </c:pt>
                <c:pt idx="12">
                  <c:v>3087.7409706531844</c:v>
                </c:pt>
                <c:pt idx="13">
                  <c:v>3689.3913552474405</c:v>
                </c:pt>
                <c:pt idx="14">
                  <c:v>4279.9855635496779</c:v>
                </c:pt>
                <c:pt idx="15">
                  <c:v>4915.472707455222</c:v>
                </c:pt>
                <c:pt idx="16">
                  <c:v>5715.557157202662</c:v>
                </c:pt>
                <c:pt idx="17">
                  <c:v>6477.0361122601134</c:v>
                </c:pt>
                <c:pt idx="18">
                  <c:v>7399.8015950939935</c:v>
                </c:pt>
                <c:pt idx="19">
                  <c:v>8364.0277390229439</c:v>
                </c:pt>
                <c:pt idx="20">
                  <c:v>9374.9692651967434</c:v>
                </c:pt>
                <c:pt idx="21">
                  <c:v>10230.061229408047</c:v>
                </c:pt>
                <c:pt idx="22">
                  <c:v>11126.553106493036</c:v>
                </c:pt>
                <c:pt idx="23">
                  <c:v>12062.197212260477</c:v>
                </c:pt>
                <c:pt idx="24">
                  <c:v>13019.984044722647</c:v>
                </c:pt>
                <c:pt idx="25">
                  <c:v>14056.530946210107</c:v>
                </c:pt>
                <c:pt idx="26">
                  <c:v>15081.809052630699</c:v>
                </c:pt>
                <c:pt idx="27">
                  <c:v>15988.810372015245</c:v>
                </c:pt>
                <c:pt idx="28">
                  <c:v>16867.138530906203</c:v>
                </c:pt>
                <c:pt idx="29">
                  <c:v>17635.78577608705</c:v>
                </c:pt>
                <c:pt idx="30">
                  <c:v>18457.435844426065</c:v>
                </c:pt>
                <c:pt idx="31">
                  <c:v>19328.565339082936</c:v>
                </c:pt>
                <c:pt idx="32">
                  <c:v>20277.513305333629</c:v>
                </c:pt>
                <c:pt idx="33">
                  <c:v>21252.94749610806</c:v>
                </c:pt>
                <c:pt idx="34">
                  <c:v>22239.832726613513</c:v>
                </c:pt>
                <c:pt idx="35">
                  <c:v>23048.148560358582</c:v>
                </c:pt>
                <c:pt idx="36">
                  <c:v>23823.204742895519</c:v>
                </c:pt>
                <c:pt idx="37">
                  <c:v>24659.677377252403</c:v>
                </c:pt>
                <c:pt idx="38">
                  <c:v>25524.914294434955</c:v>
                </c:pt>
                <c:pt idx="39">
                  <c:v>26400.265790478064</c:v>
                </c:pt>
                <c:pt idx="40">
                  <c:v>27499.444108213167</c:v>
                </c:pt>
                <c:pt idx="41">
                  <c:v>28495.593442479789</c:v>
                </c:pt>
                <c:pt idx="42">
                  <c:v>29334.86049502037</c:v>
                </c:pt>
                <c:pt idx="43">
                  <c:v>30015.605063857533</c:v>
                </c:pt>
                <c:pt idx="44">
                  <c:v>30756.277753090715</c:v>
                </c:pt>
                <c:pt idx="45">
                  <c:v>31586.311075980822</c:v>
                </c:pt>
                <c:pt idx="46">
                  <c:v>32482.802953065813</c:v>
                </c:pt>
                <c:pt idx="47">
                  <c:v>33516.64655870165</c:v>
                </c:pt>
                <c:pt idx="48">
                  <c:v>34399.864949414077</c:v>
                </c:pt>
              </c:numCache>
            </c:numRef>
          </c:yVal>
          <c:smooth val="0"/>
        </c:ser>
        <c:ser>
          <c:idx val="2"/>
          <c:order val="10"/>
          <c:tx>
            <c:strRef>
              <c:f>myData!USSeries</c:f>
              <c:strCache>
                <c:ptCount val="1"/>
                <c:pt idx="0">
                  <c:v>USA Limit 24.7 k r^2=92.46%</c:v>
                </c:pt>
              </c:strCache>
            </c:strRef>
          </c:tx>
          <c:spPr>
            <a:ln w="19050" cap="rnd">
              <a:solidFill>
                <a:schemeClr val="accent1">
                  <a:lumMod val="75000"/>
                </a:schemeClr>
              </a:solidFill>
              <a:prstDash val="sysDot"/>
              <a:round/>
            </a:ln>
            <a:effectLst/>
          </c:spPr>
          <c:marker>
            <c:symbol val="none"/>
          </c:marker>
          <c:dLbls>
            <c:dLbl>
              <c:idx val="53"/>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USA Limit 21.5 k r^2=94.66%</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myData!US100LogiDates</c:f>
              <c:numCache>
                <c:formatCode>0</c:formatCode>
                <c:ptCount val="6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60</c:v>
                </c:pt>
                <c:pt idx="54">
                  <c:v>67</c:v>
                </c:pt>
                <c:pt idx="55">
                  <c:v>74</c:v>
                </c:pt>
                <c:pt idx="56">
                  <c:v>81</c:v>
                </c:pt>
                <c:pt idx="57">
                  <c:v>88</c:v>
                </c:pt>
                <c:pt idx="58">
                  <c:v>95</c:v>
                </c:pt>
                <c:pt idx="59">
                  <c:v>102</c:v>
                </c:pt>
                <c:pt idx="60">
                  <c:v>109</c:v>
                </c:pt>
              </c:numCache>
            </c:numRef>
          </c:xVal>
          <c:yVal>
            <c:numRef>
              <c:f>myData!US100Logi</c:f>
              <c:numCache>
                <c:formatCode>0.0</c:formatCode>
                <c:ptCount val="61"/>
                <c:pt idx="0">
                  <c:v>102.89110561136106</c:v>
                </c:pt>
                <c:pt idx="1">
                  <c:v>136.46590035422193</c:v>
                </c:pt>
                <c:pt idx="2">
                  <c:v>180.91605414825486</c:v>
                </c:pt>
                <c:pt idx="3">
                  <c:v>239.7034166419875</c:v>
                </c:pt>
                <c:pt idx="4">
                  <c:v>317.34612994173438</c:v>
                </c:pt>
                <c:pt idx="5">
                  <c:v>419.70679796207605</c:v>
                </c:pt>
                <c:pt idx="6">
                  <c:v>554.33368492625448</c:v>
                </c:pt>
                <c:pt idx="7">
                  <c:v>730.84454884328738</c:v>
                </c:pt>
                <c:pt idx="8">
                  <c:v>961.322864186885</c:v>
                </c:pt>
                <c:pt idx="9">
                  <c:v>1260.6627673430748</c:v>
                </c:pt>
                <c:pt idx="10">
                  <c:v>1646.7479124482609</c:v>
                </c:pt>
                <c:pt idx="11">
                  <c:v>2140.279990136351</c:v>
                </c:pt>
                <c:pt idx="12">
                  <c:v>2763.994906946034</c:v>
                </c:pt>
                <c:pt idx="13">
                  <c:v>3540.9501020883458</c:v>
                </c:pt>
                <c:pt idx="14">
                  <c:v>4491.5995343139366</c:v>
                </c:pt>
                <c:pt idx="15">
                  <c:v>5629.5878912211256</c:v>
                </c:pt>
                <c:pt idx="16">
                  <c:v>6956.6738790963009</c:v>
                </c:pt>
                <c:pt idx="17">
                  <c:v>8457.8979909218742</c:v>
                </c:pt>
                <c:pt idx="18">
                  <c:v>10098.762284417062</c:v>
                </c:pt>
                <c:pt idx="19">
                  <c:v>11826.263685119791</c:v>
                </c:pt>
                <c:pt idx="20">
                  <c:v>13574.659840965507</c:v>
                </c:pt>
                <c:pt idx="21">
                  <c:v>15274.992599131874</c:v>
                </c:pt>
                <c:pt idx="22">
                  <c:v>16865.617760442015</c:v>
                </c:pt>
                <c:pt idx="23">
                  <c:v>18300.479076234064</c:v>
                </c:pt>
                <c:pt idx="24">
                  <c:v>19552.989871078098</c:v>
                </c:pt>
                <c:pt idx="25">
                  <c:v>20615.346380514362</c:v>
                </c:pt>
                <c:pt idx="26">
                  <c:v>21494.669534674089</c:v>
                </c:pt>
                <c:pt idx="27">
                  <c:v>22207.893397782344</c:v>
                </c:pt>
                <c:pt idx="28">
                  <c:v>22776.944387207401</c:v>
                </c:pt>
                <c:pt idx="29">
                  <c:v>23225.029717144425</c:v>
                </c:pt>
                <c:pt idx="30">
                  <c:v>23574.220877363194</c:v>
                </c:pt>
                <c:pt idx="31">
                  <c:v>23844.149807198261</c:v>
                </c:pt>
                <c:pt idx="32">
                  <c:v>24051.505026162646</c:v>
                </c:pt>
                <c:pt idx="33">
                  <c:v>24210.026838309092</c:v>
                </c:pt>
                <c:pt idx="34">
                  <c:v>24330.770198048624</c:v>
                </c:pt>
                <c:pt idx="35">
                  <c:v>24422.48055552072</c:v>
                </c:pt>
                <c:pt idx="36">
                  <c:v>24491.990547925245</c:v>
                </c:pt>
                <c:pt idx="37">
                  <c:v>24544.589108972894</c:v>
                </c:pt>
                <c:pt idx="38">
                  <c:v>24584.342025603743</c:v>
                </c:pt>
                <c:pt idx="39">
                  <c:v>24614.358686934051</c:v>
                </c:pt>
                <c:pt idx="40">
                  <c:v>24637.007861887476</c:v>
                </c:pt>
                <c:pt idx="41">
                  <c:v>24654.088867962506</c:v>
                </c:pt>
                <c:pt idx="42">
                  <c:v>24666.965486783713</c:v>
                </c:pt>
                <c:pt idx="43">
                  <c:v>24676.669693944634</c:v>
                </c:pt>
                <c:pt idx="44">
                  <c:v>24683.981424390706</c:v>
                </c:pt>
                <c:pt idx="45">
                  <c:v>24689.489582075796</c:v>
                </c:pt>
                <c:pt idx="46">
                  <c:v>24693.638519345615</c:v>
                </c:pt>
                <c:pt idx="47">
                  <c:v>24696.763342366979</c:v>
                </c:pt>
                <c:pt idx="48">
                  <c:v>24699.116669972147</c:v>
                </c:pt>
                <c:pt idx="49">
                  <c:v>24700.888881509723</c:v>
                </c:pt>
                <c:pt idx="50">
                  <c:v>24702.223419102193</c:v>
                </c:pt>
                <c:pt idx="51">
                  <c:v>24703.228341604692</c:v>
                </c:pt>
                <c:pt idx="52">
                  <c:v>24703.985042364446</c:v>
                </c:pt>
                <c:pt idx="53">
                  <c:v>24705.975011296989</c:v>
                </c:pt>
                <c:pt idx="54">
                  <c:v>24706.24804136507</c:v>
                </c:pt>
                <c:pt idx="55">
                  <c:v>24706.285498998466</c:v>
                </c:pt>
                <c:pt idx="56">
                  <c:v>24706.290637843045</c:v>
                </c:pt>
                <c:pt idx="57">
                  <c:v>24706.291342844459</c:v>
                </c:pt>
                <c:pt idx="58">
                  <c:v>24706.291439564036</c:v>
                </c:pt>
                <c:pt idx="59">
                  <c:v>24706.291452833055</c:v>
                </c:pt>
                <c:pt idx="60">
                  <c:v>24706.291454653438</c:v>
                </c:pt>
              </c:numCache>
            </c:numRef>
          </c:yVal>
          <c:smooth val="0"/>
        </c:ser>
        <c:ser>
          <c:idx val="12"/>
          <c:order val="11"/>
          <c:tx>
            <c:strRef>
              <c:f>myData!GenericLabel</c:f>
              <c:strCache>
                <c:ptCount val="1"/>
                <c:pt idx="0">
                  <c:v>Ireland from 15-Mar</c:v>
                </c:pt>
              </c:strCache>
            </c:strRef>
          </c:tx>
          <c:spPr>
            <a:ln w="38100" cap="rnd">
              <a:solidFill>
                <a:schemeClr val="tx2">
                  <a:lumMod val="50000"/>
                </a:schemeClr>
              </a:solidFill>
              <a:round/>
            </a:ln>
            <a:effectLst/>
          </c:spPr>
          <c:marker>
            <c:symbol val="star"/>
            <c:size val="5"/>
            <c:spPr>
              <a:noFill/>
              <a:ln w="9525">
                <a:solidFill>
                  <a:schemeClr val="accent1">
                    <a:lumMod val="80000"/>
                    <a:lumOff val="20000"/>
                  </a:schemeClr>
                </a:solidFill>
              </a:ln>
              <a:effectLst/>
            </c:spPr>
          </c:marker>
          <c:dLbls>
            <c:dLbl>
              <c:idx val="42"/>
              <c:tx>
                <c:rich>
                  <a:bodyPr rot="0" spcFirstLastPara="1" vertOverflow="ellipsis" vert="horz" wrap="square" lIns="38100" tIns="19050" rIns="38100" bIns="19050" anchor="ctr" anchorCtr="1">
                    <a:spAutoFit/>
                  </a:bodyPr>
                  <a:lstStyle/>
                  <a:p>
                    <a:pPr>
                      <a:defRPr sz="1100" b="0" i="0" u="none" strike="noStrike" kern="1200" baseline="0">
                        <a:solidFill>
                          <a:srgbClr val="000000"/>
                        </a:solidFill>
                        <a:latin typeface="Calibri"/>
                        <a:ea typeface="Calibri"/>
                        <a:cs typeface="Calibri"/>
                      </a:defRPr>
                    </a:pPr>
                    <a:r>
                      <a:rPr lang="en-US"/>
                      <a:t>Ireland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myData!Generic100Dates</c:f>
              <c:numCache>
                <c:formatCode>0</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myData!Generic100Cases</c:f>
              <c:numCache>
                <c:formatCode>0.0</c:formatCode>
                <c:ptCount val="51"/>
                <c:pt idx="0">
                  <c:v>183.67346938775512</c:v>
                </c:pt>
                <c:pt idx="1">
                  <c:v>263.26530612244898</c:v>
                </c:pt>
                <c:pt idx="2">
                  <c:v>263.26530612244898</c:v>
                </c:pt>
                <c:pt idx="3">
                  <c:v>344.89795918367349</c:v>
                </c:pt>
                <c:pt idx="4">
                  <c:v>455.10204081632656</c:v>
                </c:pt>
                <c:pt idx="5">
                  <c:v>595.91836734693879</c:v>
                </c:pt>
                <c:pt idx="6">
                  <c:v>1136.7346938775511</c:v>
                </c:pt>
                <c:pt idx="7">
                  <c:v>1393.8775510204082</c:v>
                </c:pt>
                <c:pt idx="8">
                  <c:v>1602.0408163265306</c:v>
                </c:pt>
                <c:pt idx="9">
                  <c:v>1848.9795918367347</c:v>
                </c:pt>
                <c:pt idx="10">
                  <c:v>2295.9183673469388</c:v>
                </c:pt>
                <c:pt idx="11">
                  <c:v>2712.2448979591836</c:v>
                </c:pt>
                <c:pt idx="12">
                  <c:v>3191.8367346938776</c:v>
                </c:pt>
                <c:pt idx="13">
                  <c:v>3712.2448979591836</c:v>
                </c:pt>
                <c:pt idx="14">
                  <c:v>4328.5714285714284</c:v>
                </c:pt>
                <c:pt idx="15">
                  <c:v>4928.5714285714284</c:v>
                </c:pt>
                <c:pt idx="16">
                  <c:v>5336.7346938775509</c:v>
                </c:pt>
                <c:pt idx="17">
                  <c:v>5938.7755102040819</c:v>
                </c:pt>
                <c:pt idx="18">
                  <c:v>6602.0408163265311</c:v>
                </c:pt>
                <c:pt idx="19">
                  <c:v>7034.6938775510207</c:v>
                </c:pt>
                <c:pt idx="20">
                  <c:v>7855.1020408163267</c:v>
                </c:pt>
                <c:pt idx="21">
                  <c:v>8720.4081632653069</c:v>
                </c:pt>
                <c:pt idx="22">
                  <c:v>9395.9183673469397</c:v>
                </c:pt>
                <c:pt idx="23">
                  <c:v>10191.836734693878</c:v>
                </c:pt>
                <c:pt idx="24">
                  <c:v>10946.938775510203</c:v>
                </c:pt>
                <c:pt idx="25">
                  <c:v>11651.020408163266</c:v>
                </c:pt>
                <c:pt idx="26">
                  <c:v>12395.91836734694</c:v>
                </c:pt>
                <c:pt idx="27">
                  <c:v>13416.326530612245</c:v>
                </c:pt>
                <c:pt idx="28">
                  <c:v>16508.163265306124</c:v>
                </c:pt>
                <c:pt idx="29">
                  <c:v>18220.408163265307</c:v>
                </c:pt>
                <c:pt idx="30">
                  <c:v>19704.081632653062</c:v>
                </c:pt>
                <c:pt idx="31" formatCode="0">
                  <c:v>21728.571428571428</c:v>
                </c:pt>
                <c:pt idx="32" formatCode="0">
                  <c:v>23426.5306122449</c:v>
                </c:pt>
                <c:pt idx="33" formatCode="0">
                  <c:v>25606.122448979593</c:v>
                </c:pt>
                <c:pt idx="34" formatCode="0">
                  <c:v>27083.673469387755</c:v>
                </c:pt>
                <c:pt idx="35" formatCode="0">
                  <c:v>28530.612244897959</c:v>
                </c:pt>
                <c:pt idx="36" formatCode="0">
                  <c:v>30118.367346938776</c:v>
                </c:pt>
                <c:pt idx="37" formatCode="0">
                  <c:v>31124.489795918369</c:v>
                </c:pt>
                <c:pt idx="38" formatCode="0">
                  <c:v>31942.857142857145</c:v>
                </c:pt>
                <c:pt idx="39" formatCode="0">
                  <c:v>32734.693877551021</c:v>
                </c:pt>
                <c:pt idx="40">
                  <c:v>34022.448979591834</c:v>
                </c:pt>
                <c:pt idx="41">
                  <c:v>35932.65306122449</c:v>
                </c:pt>
                <c:pt idx="42">
                  <c:v>37110.204081632655</c:v>
                </c:pt>
                <c:pt idx="43">
                  <c:v>37879.591836734697</c:v>
                </c:pt>
                <c:pt idx="44">
                  <c:v>39310.204081632655</c:v>
                </c:pt>
                <c:pt idx="45">
                  <c:v>40097.959183673469</c:v>
                </c:pt>
                <c:pt idx="46">
                  <c:v>40565.306122448979</c:v>
                </c:pt>
                <c:pt idx="47">
                  <c:v>41332.65306122449</c:v>
                </c:pt>
                <c:pt idx="48">
                  <c:v>42065.306122448979</c:v>
                </c:pt>
                <c:pt idx="49">
                  <c:v>42516.326530612248</c:v>
                </c:pt>
                <c:pt idx="50">
                  <c:v>43216.326530612248</c:v>
                </c:pt>
              </c:numCache>
            </c:numRef>
          </c:yVal>
          <c:smooth val="0"/>
        </c:ser>
        <c:ser>
          <c:idx val="13"/>
          <c:order val="12"/>
          <c:tx>
            <c:strRef>
              <c:f>myData!GenericSeries</c:f>
              <c:strCache>
                <c:ptCount val="1"/>
                <c:pt idx="0">
                  <c:v>Ireland Limit 51.9 k r^2=99.41%</c:v>
                </c:pt>
              </c:strCache>
            </c:strRef>
          </c:tx>
          <c:spPr>
            <a:ln w="19050" cap="rnd">
              <a:solidFill>
                <a:schemeClr val="tx1">
                  <a:lumMod val="85000"/>
                  <a:lumOff val="15000"/>
                </a:schemeClr>
              </a:solidFill>
              <a:prstDash val="sysDot"/>
              <a:round/>
            </a:ln>
            <a:effectLst/>
          </c:spPr>
          <c:marker>
            <c:symbol val="none"/>
          </c:marker>
          <c:dLbls>
            <c:dLbl>
              <c:idx val="53"/>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Ireland Limit 51.9 k r^2=99.59%</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myData!Generic100LogiDates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myData!Generic100Logi</c:f>
              <c:numCache>
                <c:formatCode>0</c:formatCode>
                <c:ptCount val="63"/>
                <c:pt idx="0">
                  <c:v>664.34914055277341</c:v>
                </c:pt>
                <c:pt idx="1">
                  <c:v>754.70260407756405</c:v>
                </c:pt>
                <c:pt idx="2">
                  <c:v>857.13872069556351</c:v>
                </c:pt>
                <c:pt idx="3">
                  <c:v>973.21382750951898</c:v>
                </c:pt>
                <c:pt idx="4">
                  <c:v>1104.6676355493507</c:v>
                </c:pt>
                <c:pt idx="5">
                  <c:v>1253.4399024745019</c:v>
                </c:pt>
                <c:pt idx="6">
                  <c:v>1421.687143057949</c:v>
                </c:pt>
                <c:pt idx="7">
                  <c:v>1611.7988391748288</c:v>
                </c:pt>
                <c:pt idx="8">
                  <c:v>1826.4124286083754</c:v>
                </c:pt>
                <c:pt idx="9">
                  <c:v>2068.4261331585362</c:v>
                </c:pt>
                <c:pt idx="10">
                  <c:v>2341.0084303140261</c:v>
                </c:pt>
                <c:pt idx="11">
                  <c:v>2647.6026813294525</c:v>
                </c:pt>
                <c:pt idx="12">
                  <c:v>2991.9251090409407</c:v>
                </c:pt>
                <c:pt idx="13">
                  <c:v>3377.9539853234373</c:v>
                </c:pt>
                <c:pt idx="14">
                  <c:v>3809.9075645026132</c:v>
                </c:pt>
                <c:pt idx="15">
                  <c:v>4292.2080213409708</c:v>
                </c:pt>
                <c:pt idx="16">
                  <c:v>4829.4284712233648</c:v>
                </c:pt>
                <c:pt idx="17">
                  <c:v>5426.2201329120262</c:v>
                </c:pt>
                <c:pt idx="18">
                  <c:v>6087.2169234905705</c:v>
                </c:pt>
                <c:pt idx="19">
                  <c:v>6816.9153454438274</c:v>
                </c:pt>
                <c:pt idx="20">
                  <c:v>7619.5285346770806</c:v>
                </c:pt>
                <c:pt idx="21">
                  <c:v>8498.8148705448002</c:v>
                </c:pt>
                <c:pt idx="22">
                  <c:v>9457.8836541703331</c:v>
                </c:pt>
                <c:pt idx="23">
                  <c:v>10498.98302434488</c:v>
                </c:pt>
                <c:pt idx="24">
                  <c:v>11623.278388707826</c:v>
                </c:pt>
                <c:pt idx="25">
                  <c:v>12830.632963128086</c:v>
                </c:pt>
                <c:pt idx="26">
                  <c:v>14119.405154420998</c:v>
                </c:pt>
                <c:pt idx="27">
                  <c:v>15486.279981412899</c:v>
                </c:pt>
                <c:pt idx="28">
                  <c:v>16926.152918136806</c:v>
                </c:pt>
                <c:pt idx="29">
                  <c:v>18432.083886381406</c:v>
                </c:pt>
                <c:pt idx="30">
                  <c:v>19995.336194400716</c:v>
                </c:pt>
                <c:pt idx="31">
                  <c:v>21605.509876590491</c:v>
                </c:pt>
                <c:pt idx="32">
                  <c:v>23250.771408588982</c:v>
                </c:pt>
                <c:pt idx="33">
                  <c:v>24918.172887025379</c:v>
                </c:pt>
                <c:pt idx="34">
                  <c:v>26594.044607654876</c:v>
                </c:pt>
                <c:pt idx="35">
                  <c:v>28264.436907772055</c:v>
                </c:pt>
                <c:pt idx="36">
                  <c:v>29915.581471515561</c:v>
                </c:pt>
                <c:pt idx="37">
                  <c:v>31534.340005396134</c:v>
                </c:pt>
                <c:pt idx="38">
                  <c:v>33108.609681521993</c:v>
                </c:pt>
                <c:pt idx="39">
                  <c:v>34627.659753197346</c:v>
                </c:pt>
                <c:pt idx="40">
                  <c:v>36082.381402942883</c:v>
                </c:pt>
                <c:pt idx="41">
                  <c:v>37465.441922208636</c:v>
                </c:pt>
                <c:pt idx="42">
                  <c:v>38771.343372221454</c:v>
                </c:pt>
                <c:pt idx="43">
                  <c:v>39996.393735086473</c:v>
                </c:pt>
                <c:pt idx="44">
                  <c:v>41138.604404616613</c:v>
                </c:pt>
                <c:pt idx="45">
                  <c:v>42197.531316122746</c:v>
                </c:pt>
                <c:pt idx="46">
                  <c:v>43174.078131362716</c:v>
                </c:pt>
                <c:pt idx="47">
                  <c:v>44070.279057102554</c:v>
                </c:pt>
                <c:pt idx="48">
                  <c:v>44889.076638204329</c:v>
                </c:pt>
                <c:pt idx="49">
                  <c:v>45634.10682387538</c:v>
                </c:pt>
                <c:pt idx="50">
                  <c:v>46309.50029080535</c:v>
                </c:pt>
                <c:pt idx="51">
                  <c:v>46919.705829179744</c:v>
                </c:pt>
                <c:pt idx="52">
                  <c:v>47469.338825390201</c:v>
                </c:pt>
                <c:pt idx="53">
                  <c:v>47963.055646039174</c:v>
                </c:pt>
                <c:pt idx="54">
                  <c:v>48405.453074857149</c:v>
                </c:pt>
                <c:pt idx="55">
                  <c:v>50411.616483966427</c:v>
                </c:pt>
                <c:pt idx="56">
                  <c:v>51271.265155326015</c:v>
                </c:pt>
                <c:pt idx="57">
                  <c:v>51627.425685881499</c:v>
                </c:pt>
                <c:pt idx="58">
                  <c:v>51772.921122309679</c:v>
                </c:pt>
                <c:pt idx="59">
                  <c:v>51832.014925310898</c:v>
                </c:pt>
                <c:pt idx="60">
                  <c:v>51855.959817972485</c:v>
                </c:pt>
                <c:pt idx="61">
                  <c:v>51865.653072127796</c:v>
                </c:pt>
                <c:pt idx="62">
                  <c:v>51869.575532489856</c:v>
                </c:pt>
              </c:numCache>
            </c:numRef>
          </c:yVal>
          <c:smooth val="0"/>
        </c:ser>
        <c:ser>
          <c:idx val="9"/>
          <c:order val="13"/>
          <c:tx>
            <c:strRef>
              <c:f>myData!TaiwanLabel</c:f>
              <c:strCache>
                <c:ptCount val="1"/>
                <c:pt idx="0">
                  <c:v>Taiwan from 15-Mar</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dLbls>
            <c:dLbl>
              <c:idx val="29"/>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Taiwan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myData!Taiwan100Dates</c:f>
              <c:numCache>
                <c:formatCode>0</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49</c:v>
                </c:pt>
                <c:pt idx="43">
                  <c:v>56</c:v>
                </c:pt>
                <c:pt idx="44">
                  <c:v>63</c:v>
                </c:pt>
                <c:pt idx="45">
                  <c:v>70</c:v>
                </c:pt>
                <c:pt idx="46">
                  <c:v>77</c:v>
                </c:pt>
                <c:pt idx="47">
                  <c:v>84</c:v>
                </c:pt>
                <c:pt idx="48">
                  <c:v>91</c:v>
                </c:pt>
                <c:pt idx="49">
                  <c:v>98</c:v>
                </c:pt>
              </c:numCache>
            </c:numRef>
          </c:xVal>
          <c:yVal>
            <c:numRef>
              <c:f>myData!Taiwan100Cases</c:f>
              <c:numCache>
                <c:formatCode>0.00</c:formatCode>
                <c:ptCount val="38"/>
                <c:pt idx="0">
                  <c:v>105.84996640943724</c:v>
                </c:pt>
                <c:pt idx="1">
                  <c:v>112.15055964809422</c:v>
                </c:pt>
                <c:pt idx="2">
                  <c:v>118.871192435995</c:v>
                </c:pt>
                <c:pt idx="3">
                  <c:v>125.17178567465199</c:v>
                </c:pt>
                <c:pt idx="4">
                  <c:v>128.53210206860237</c:v>
                </c:pt>
                <c:pt idx="5">
                  <c:v>135.25273485650314</c:v>
                </c:pt>
                <c:pt idx="6">
                  <c:v>138.19301170120974</c:v>
                </c:pt>
                <c:pt idx="7">
                  <c:v>142.39340719364773</c:v>
                </c:pt>
                <c:pt idx="8">
                  <c:v>146.1737631368419</c:v>
                </c:pt>
                <c:pt idx="9">
                  <c:v>149.1140399815485</c:v>
                </c:pt>
                <c:pt idx="10">
                  <c:v>152.4743563754989</c:v>
                </c:pt>
                <c:pt idx="11">
                  <c:v>156.67475186793686</c:v>
                </c:pt>
                <c:pt idx="12">
                  <c:v>157.93487051566828</c:v>
                </c:pt>
                <c:pt idx="13">
                  <c:v>159.19498916339967</c:v>
                </c:pt>
                <c:pt idx="14">
                  <c:v>159.61502871264346</c:v>
                </c:pt>
                <c:pt idx="15">
                  <c:v>160.45510781113106</c:v>
                </c:pt>
                <c:pt idx="16">
                  <c:v>161.71522645886245</c:v>
                </c:pt>
                <c:pt idx="17">
                  <c:v>162.97534510659386</c:v>
                </c:pt>
                <c:pt idx="18">
                  <c:v>165.07554285281284</c:v>
                </c:pt>
                <c:pt idx="19">
                  <c:v>165.07554285281284</c:v>
                </c:pt>
                <c:pt idx="20">
                  <c:v>165.91562195130044</c:v>
                </c:pt>
                <c:pt idx="21">
                  <c:v>165.91562195130044</c:v>
                </c:pt>
                <c:pt idx="22">
                  <c:v>165.91562195130044</c:v>
                </c:pt>
                <c:pt idx="23">
                  <c:v>167.17574059903183</c:v>
                </c:pt>
                <c:pt idx="24">
                  <c:v>176.4166106823954</c:v>
                </c:pt>
                <c:pt idx="25">
                  <c:v>177.25668978088299</c:v>
                </c:pt>
                <c:pt idx="26">
                  <c:v>178.51680842861441</c:v>
                </c:pt>
                <c:pt idx="27">
                  <c:v>178.93684797785821</c:v>
                </c:pt>
                <c:pt idx="28">
                  <c:v>179.356887527102</c:v>
                </c:pt>
                <c:pt idx="29">
                  <c:v>179.7769270763458</c:v>
                </c:pt>
                <c:pt idx="30">
                  <c:v>180.1969666255896</c:v>
                </c:pt>
                <c:pt idx="31">
                  <c:v>180.1969666255896</c:v>
                </c:pt>
                <c:pt idx="32">
                  <c:v>180.1969666255896</c:v>
                </c:pt>
                <c:pt idx="33">
                  <c:v>180.1969666255896</c:v>
                </c:pt>
                <c:pt idx="34">
                  <c:v>180.1969666255896</c:v>
                </c:pt>
                <c:pt idx="35">
                  <c:v>180.1969666255896</c:v>
                </c:pt>
                <c:pt idx="36">
                  <c:v>180.1969666255896</c:v>
                </c:pt>
                <c:pt idx="37">
                  <c:v>181.45708527332098</c:v>
                </c:pt>
              </c:numCache>
            </c:numRef>
          </c:yVal>
          <c:smooth val="0"/>
        </c:ser>
        <c:dLbls>
          <c:showLegendKey val="0"/>
          <c:showVal val="0"/>
          <c:showCatName val="0"/>
          <c:showSerName val="0"/>
          <c:showPercent val="0"/>
          <c:showBubbleSize val="0"/>
        </c:dLbls>
        <c:axId val="792701056"/>
        <c:axId val="792700272"/>
      </c:scatterChart>
      <c:valAx>
        <c:axId val="792701056"/>
        <c:scaling>
          <c:orientation val="minMax"/>
          <c:max val="5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myData!lblHorizAxisDays</c:f>
              <c:strCache>
                <c:ptCount val="1"/>
                <c:pt idx="0">
                  <c:v>Days Since 100 cases per 10m population</c:v>
                </c:pt>
              </c:strCache>
            </c:strRef>
          </c:tx>
          <c:layout>
            <c:manualLayout>
              <c:xMode val="edge"/>
              <c:yMode val="edge"/>
              <c:x val="0.2987676892239407"/>
              <c:y val="0.924620525954150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792700272"/>
        <c:crosses val="autoZero"/>
        <c:crossBetween val="midCat"/>
        <c:majorUnit val="7"/>
        <c:minorUnit val="1"/>
      </c:valAx>
      <c:valAx>
        <c:axId val="79270027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r>
                  <a:rPr lang="en-AU" sz="1100" b="1"/>
                  <a:t>Cases per 10m (log)</a:t>
                </a:r>
              </a:p>
            </c:rich>
          </c:tx>
          <c:layout>
            <c:manualLayout>
              <c:xMode val="edge"/>
              <c:yMode val="edge"/>
              <c:x val="9.5495491624540511E-3"/>
              <c:y val="0.43324149902521936"/>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92701056"/>
        <c:crosses val="autoZero"/>
        <c:crossBetween val="midCat"/>
        <c:majorUnit val="10"/>
      </c:valAx>
      <c:spPr>
        <a:noFill/>
        <a:ln>
          <a:noFill/>
        </a:ln>
        <a:effectLst/>
      </c:spPr>
    </c:plotArea>
    <c:legend>
      <c:legendPos val="b"/>
      <c:layout>
        <c:manualLayout>
          <c:xMode val="edge"/>
          <c:yMode val="edge"/>
          <c:x val="0.74922759655043114"/>
          <c:y val="0.11887135230695869"/>
          <c:w val="0.23563045285702316"/>
          <c:h val="0.77146791658428215"/>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userShapes r:id="rId3"/>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myData!$EJ$22</c:f>
          <c:strCache>
            <c:ptCount val="1"/>
            <c:pt idx="0">
              <c:v>COVID19 Taiwan P(t) = b / {d+[( b/Po - d ) ]* exp(-b*t)}
b=0.148, d=3.46E-04, P0=.639, r2=0.9922, Limit=70.5  =&gt;426   cases 
 (Fit: Wed 22-Jan - Sat 02-May)</c:v>
            </c:pt>
          </c:strCache>
        </c:strRef>
      </c:tx>
      <c:layout>
        <c:manualLayout>
          <c:xMode val="edge"/>
          <c:yMode val="edge"/>
          <c:x val="8.1045088920980987E-2"/>
          <c:y val="1.25230204999544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461628446254714"/>
          <c:w val="0.43460159270882204"/>
          <c:h val="0.67322394151716547"/>
        </c:manualLayout>
      </c:layout>
      <c:scatterChart>
        <c:scatterStyle val="lineMarker"/>
        <c:varyColors val="0"/>
        <c:ser>
          <c:idx val="5"/>
          <c:order val="0"/>
          <c:tx>
            <c:v>Taiwan Cases</c:v>
          </c:tx>
          <c:spPr>
            <a:ln w="12700" cap="rnd">
              <a:solidFill>
                <a:schemeClr val="tx1"/>
              </a:solidFill>
              <a:round/>
            </a:ln>
            <a:effectLst/>
          </c:spPr>
          <c:marker>
            <c:symbol val="x"/>
            <c:size val="2"/>
            <c:spPr>
              <a:solidFill>
                <a:schemeClr val="tx1">
                  <a:alpha val="99000"/>
                </a:schemeClr>
              </a:solidFill>
              <a:ln w="9525">
                <a:solidFill>
                  <a:schemeClr val="tx1"/>
                </a:solidFill>
              </a:ln>
              <a:effectLst/>
            </c:spPr>
          </c:marker>
          <c:xVal>
            <c:numRef>
              <c:f>myData!TaiwanDates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myData!TaiwanCases</c:f>
              <c:numCache>
                <c:formatCode>0.00</c:formatCode>
                <c:ptCount val="102"/>
                <c:pt idx="0">
                  <c:v>0.4200395492437986</c:v>
                </c:pt>
                <c:pt idx="1">
                  <c:v>0.4200395492437986</c:v>
                </c:pt>
                <c:pt idx="2">
                  <c:v>1.2601186477313957</c:v>
                </c:pt>
                <c:pt idx="3">
                  <c:v>1.2601186477313957</c:v>
                </c:pt>
                <c:pt idx="4">
                  <c:v>1.6801581969751944</c:v>
                </c:pt>
                <c:pt idx="5">
                  <c:v>2.1001977462189929</c:v>
                </c:pt>
                <c:pt idx="6">
                  <c:v>3.3603163939503888</c:v>
                </c:pt>
                <c:pt idx="7">
                  <c:v>3.3603163939503888</c:v>
                </c:pt>
                <c:pt idx="8">
                  <c:v>3.7803559431941873</c:v>
                </c:pt>
                <c:pt idx="9">
                  <c:v>4.2003954924379858</c:v>
                </c:pt>
                <c:pt idx="10">
                  <c:v>4.2003954924379858</c:v>
                </c:pt>
                <c:pt idx="11">
                  <c:v>4.2003954924379858</c:v>
                </c:pt>
                <c:pt idx="12">
                  <c:v>4.2003954924379858</c:v>
                </c:pt>
                <c:pt idx="13">
                  <c:v>4.6204350416817848</c:v>
                </c:pt>
                <c:pt idx="14">
                  <c:v>4.6204350416817848</c:v>
                </c:pt>
                <c:pt idx="15">
                  <c:v>6.7206327879007777</c:v>
                </c:pt>
                <c:pt idx="16">
                  <c:v>6.7206327879007777</c:v>
                </c:pt>
                <c:pt idx="17">
                  <c:v>7.1406723371445757</c:v>
                </c:pt>
                <c:pt idx="18">
                  <c:v>7.5607118863883747</c:v>
                </c:pt>
                <c:pt idx="19">
                  <c:v>7.5607118863883747</c:v>
                </c:pt>
                <c:pt idx="20">
                  <c:v>7.5607118863883747</c:v>
                </c:pt>
                <c:pt idx="21">
                  <c:v>7.5607118863883747</c:v>
                </c:pt>
                <c:pt idx="22">
                  <c:v>7.5607118863883747</c:v>
                </c:pt>
                <c:pt idx="23">
                  <c:v>7.5607118863883747</c:v>
                </c:pt>
                <c:pt idx="24">
                  <c:v>7.5607118863883747</c:v>
                </c:pt>
                <c:pt idx="25">
                  <c:v>8.4007909848759716</c:v>
                </c:pt>
                <c:pt idx="26">
                  <c:v>9.2408700833635695</c:v>
                </c:pt>
                <c:pt idx="27">
                  <c:v>9.2408700833635695</c:v>
                </c:pt>
                <c:pt idx="28">
                  <c:v>9.6609096326073676</c:v>
                </c:pt>
                <c:pt idx="29">
                  <c:v>10.080949181851166</c:v>
                </c:pt>
                <c:pt idx="30">
                  <c:v>10.921028280338763</c:v>
                </c:pt>
                <c:pt idx="31">
                  <c:v>10.921028280338763</c:v>
                </c:pt>
                <c:pt idx="32">
                  <c:v>11.76110737882636</c:v>
                </c:pt>
                <c:pt idx="33">
                  <c:v>12.601186477313957</c:v>
                </c:pt>
                <c:pt idx="34">
                  <c:v>13.021226026557756</c:v>
                </c:pt>
                <c:pt idx="35">
                  <c:v>13.441265575801555</c:v>
                </c:pt>
                <c:pt idx="36">
                  <c:v>13.441265575801555</c:v>
                </c:pt>
                <c:pt idx="37">
                  <c:v>14.281344674289151</c:v>
                </c:pt>
                <c:pt idx="38">
                  <c:v>16.381542420508143</c:v>
                </c:pt>
                <c:pt idx="39">
                  <c:v>16.801581969751943</c:v>
                </c:pt>
                <c:pt idx="40">
                  <c:v>17.221621518995743</c:v>
                </c:pt>
                <c:pt idx="41">
                  <c:v>17.641661068239539</c:v>
                </c:pt>
                <c:pt idx="42">
                  <c:v>17.641661068239539</c:v>
                </c:pt>
                <c:pt idx="43">
                  <c:v>18.481740166727139</c:v>
                </c:pt>
                <c:pt idx="44">
                  <c:v>18.901779715970935</c:v>
                </c:pt>
                <c:pt idx="45">
                  <c:v>18.901779715970935</c:v>
                </c:pt>
                <c:pt idx="46">
                  <c:v>18.901779715970935</c:v>
                </c:pt>
                <c:pt idx="47">
                  <c:v>18.901779715970935</c:v>
                </c:pt>
                <c:pt idx="48">
                  <c:v>19.741858814458535</c:v>
                </c:pt>
                <c:pt idx="49">
                  <c:v>20.161898363702331</c:v>
                </c:pt>
                <c:pt idx="50">
                  <c:v>20.581937912946131</c:v>
                </c:pt>
                <c:pt idx="51">
                  <c:v>21.001977462189931</c:v>
                </c:pt>
                <c:pt idx="52">
                  <c:v>22.262096109921327</c:v>
                </c:pt>
                <c:pt idx="53">
                  <c:v>24.782333405384115</c:v>
                </c:pt>
                <c:pt idx="54">
                  <c:v>28.142649799334507</c:v>
                </c:pt>
                <c:pt idx="55">
                  <c:v>32.343045291772491</c:v>
                </c:pt>
                <c:pt idx="56">
                  <c:v>42.003954924379862</c:v>
                </c:pt>
                <c:pt idx="57">
                  <c:v>45.364271318330246</c:v>
                </c:pt>
                <c:pt idx="58">
                  <c:v>56.705339147912809</c:v>
                </c:pt>
                <c:pt idx="59">
                  <c:v>64.266051034301185</c:v>
                </c:pt>
                <c:pt idx="60">
                  <c:v>70.986683822201968</c:v>
                </c:pt>
                <c:pt idx="61">
                  <c:v>81.907712102540728</c:v>
                </c:pt>
                <c:pt idx="62">
                  <c:v>90.308503087416696</c:v>
                </c:pt>
                <c:pt idx="63">
                  <c:v>98.709294072292664</c:v>
                </c:pt>
                <c:pt idx="64">
                  <c:v>105.84996640943724</c:v>
                </c:pt>
                <c:pt idx="65">
                  <c:v>112.15055964809422</c:v>
                </c:pt>
                <c:pt idx="66">
                  <c:v>118.871192435995</c:v>
                </c:pt>
                <c:pt idx="67">
                  <c:v>125.17178567465199</c:v>
                </c:pt>
                <c:pt idx="68">
                  <c:v>128.53210206860237</c:v>
                </c:pt>
                <c:pt idx="69">
                  <c:v>135.25273485650314</c:v>
                </c:pt>
                <c:pt idx="70">
                  <c:v>138.19301170120974</c:v>
                </c:pt>
                <c:pt idx="71">
                  <c:v>142.39340719364773</c:v>
                </c:pt>
                <c:pt idx="72">
                  <c:v>146.1737631368419</c:v>
                </c:pt>
                <c:pt idx="73">
                  <c:v>149.1140399815485</c:v>
                </c:pt>
                <c:pt idx="74">
                  <c:v>152.4743563754989</c:v>
                </c:pt>
                <c:pt idx="75">
                  <c:v>156.67475186793686</c:v>
                </c:pt>
                <c:pt idx="76">
                  <c:v>157.93487051566828</c:v>
                </c:pt>
                <c:pt idx="77">
                  <c:v>159.19498916339967</c:v>
                </c:pt>
                <c:pt idx="78">
                  <c:v>159.61502871264346</c:v>
                </c:pt>
                <c:pt idx="79">
                  <c:v>160.45510781113106</c:v>
                </c:pt>
                <c:pt idx="80">
                  <c:v>161.71522645886245</c:v>
                </c:pt>
                <c:pt idx="81">
                  <c:v>162.97534510659386</c:v>
                </c:pt>
                <c:pt idx="82">
                  <c:v>165.07554285281284</c:v>
                </c:pt>
                <c:pt idx="83">
                  <c:v>165.07554285281284</c:v>
                </c:pt>
                <c:pt idx="84">
                  <c:v>165.91562195130044</c:v>
                </c:pt>
                <c:pt idx="85">
                  <c:v>165.91562195130044</c:v>
                </c:pt>
                <c:pt idx="86">
                  <c:v>165.91562195130044</c:v>
                </c:pt>
                <c:pt idx="87">
                  <c:v>167.17574059903183</c:v>
                </c:pt>
                <c:pt idx="88">
                  <c:v>176.4166106823954</c:v>
                </c:pt>
                <c:pt idx="89">
                  <c:v>177.25668978088299</c:v>
                </c:pt>
                <c:pt idx="90">
                  <c:v>178.51680842861441</c:v>
                </c:pt>
                <c:pt idx="91">
                  <c:v>178.93684797785821</c:v>
                </c:pt>
                <c:pt idx="92">
                  <c:v>179.356887527102</c:v>
                </c:pt>
                <c:pt idx="93">
                  <c:v>179.7769270763458</c:v>
                </c:pt>
                <c:pt idx="94">
                  <c:v>180.1969666255896</c:v>
                </c:pt>
                <c:pt idx="95">
                  <c:v>180.1969666255896</c:v>
                </c:pt>
                <c:pt idx="96">
                  <c:v>180.1969666255896</c:v>
                </c:pt>
                <c:pt idx="97">
                  <c:v>180.1969666255896</c:v>
                </c:pt>
                <c:pt idx="98">
                  <c:v>180.1969666255896</c:v>
                </c:pt>
                <c:pt idx="99">
                  <c:v>180.1969666255896</c:v>
                </c:pt>
                <c:pt idx="100">
                  <c:v>180.1969666255896</c:v>
                </c:pt>
                <c:pt idx="101">
                  <c:v>181.45708527332098</c:v>
                </c:pt>
              </c:numCache>
            </c:numRef>
          </c:yVal>
          <c:smooth val="0"/>
        </c:ser>
        <c:dLbls>
          <c:showLegendKey val="0"/>
          <c:showVal val="0"/>
          <c:showCatName val="0"/>
          <c:showSerName val="0"/>
          <c:showPercent val="0"/>
          <c:showBubbleSize val="0"/>
        </c:dLbls>
        <c:axId val="792696352"/>
        <c:axId val="792701448"/>
      </c:scatterChart>
      <c:valAx>
        <c:axId val="792696352"/>
        <c:scaling>
          <c:orientation val="minMax"/>
          <c:max val="43950"/>
          <c:min val="43851"/>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701448"/>
        <c:crossesAt val="0.1"/>
        <c:crossBetween val="midCat"/>
        <c:majorUnit val="7"/>
        <c:minorUnit val="3.5"/>
      </c:valAx>
      <c:valAx>
        <c:axId val="79270144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Cases per 10M pop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696352"/>
        <c:crosses val="autoZero"/>
        <c:crossBetween val="midCat"/>
      </c:valAx>
      <c:spPr>
        <a:noFill/>
        <a:ln>
          <a:noFill/>
        </a:ln>
        <a:effectLst/>
      </c:spPr>
    </c:plotArea>
    <c:legend>
      <c:legendPos val="b"/>
      <c:layout>
        <c:manualLayout>
          <c:xMode val="edge"/>
          <c:yMode val="edge"/>
          <c:x val="0.39020130324971147"/>
          <c:y val="0.61970002368488475"/>
          <c:w val="0.60979868317395625"/>
          <c:h val="6.7311728219558456E-2"/>
        </c:manualLayout>
      </c:layout>
      <c:overlay val="0"/>
      <c:spPr>
        <a:solidFill>
          <a:schemeClr val="bg1">
            <a:alpha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myData!$EJ$21</c:f>
          <c:strCache>
            <c:ptCount val="1"/>
            <c:pt idx="0">
              <c:v>COVID19 NSWUnknown P(t) = b / {d+[( b/Po - d ) ]* exp(-b*t)}
b=0.199, d=1.69E-04, P0=.639, r2=0.9624, Limit=2.40 k=&gt;1.17 k cases 
 (Fit: Mon 30-Mar - Sun 03-May)</c:v>
            </c:pt>
          </c:strCache>
        </c:strRef>
      </c:tx>
      <c:layout>
        <c:manualLayout>
          <c:xMode val="edge"/>
          <c:yMode val="edge"/>
          <c:x val="7.2739432874775231E-2"/>
          <c:y val="2.71332110832347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4439803403919716E-2"/>
          <c:y val="0.17676555689477733"/>
          <c:w val="0.71672314522800895"/>
          <c:h val="0.60692079304574653"/>
        </c:manualLayout>
      </c:layout>
      <c:scatterChart>
        <c:scatterStyle val="lineMarker"/>
        <c:varyColors val="0"/>
        <c:ser>
          <c:idx val="2"/>
          <c:order val="0"/>
          <c:tx>
            <c:strRef>
              <c:f>myData!$HO$10</c:f>
              <c:strCache>
                <c:ptCount val="1"/>
                <c:pt idx="0">
                  <c:v>Known Locally</c:v>
                </c:pt>
              </c:strCache>
            </c:strRef>
          </c:tx>
          <c:spPr>
            <a:ln w="19050" cap="rnd">
              <a:solidFill>
                <a:schemeClr val="accent1">
                  <a:lumMod val="75000"/>
                </a:schemeClr>
              </a:solidFill>
              <a:prstDash val="sysDot"/>
              <a:round/>
            </a:ln>
            <a:effectLst/>
          </c:spPr>
          <c:marker>
            <c:symbol val="x"/>
            <c:size val="4"/>
            <c:spPr>
              <a:noFill/>
              <a:ln w="9525">
                <a:solidFill>
                  <a:schemeClr val="accent1">
                    <a:lumMod val="75000"/>
                  </a:schemeClr>
                </a:solidFill>
              </a:ln>
              <a:effectLst/>
            </c:spPr>
          </c:marker>
          <c:xVal>
            <c:numRef>
              <c:f>myData!NSWKnLclDt</c:f>
              <c:numCache>
                <c:formatCode>ddd\ dd/mm/yy</c:formatCode>
                <c:ptCount val="34"/>
                <c:pt idx="0">
                  <c:v>43921</c:v>
                </c:pt>
                <c:pt idx="1">
                  <c:v>43922</c:v>
                </c:pt>
                <c:pt idx="2">
                  <c:v>43923</c:v>
                </c:pt>
                <c:pt idx="3">
                  <c:v>43924</c:v>
                </c:pt>
                <c:pt idx="4">
                  <c:v>43925</c:v>
                </c:pt>
                <c:pt idx="5">
                  <c:v>43926</c:v>
                </c:pt>
                <c:pt idx="6">
                  <c:v>43927</c:v>
                </c:pt>
                <c:pt idx="7">
                  <c:v>43928</c:v>
                </c:pt>
                <c:pt idx="8">
                  <c:v>43929</c:v>
                </c:pt>
                <c:pt idx="9">
                  <c:v>43930</c:v>
                </c:pt>
                <c:pt idx="10">
                  <c:v>43931</c:v>
                </c:pt>
                <c:pt idx="11">
                  <c:v>43932</c:v>
                </c:pt>
                <c:pt idx="12">
                  <c:v>43933</c:v>
                </c:pt>
                <c:pt idx="13">
                  <c:v>43934</c:v>
                </c:pt>
                <c:pt idx="14">
                  <c:v>43935</c:v>
                </c:pt>
                <c:pt idx="15">
                  <c:v>43936</c:v>
                </c:pt>
                <c:pt idx="16">
                  <c:v>43937</c:v>
                </c:pt>
                <c:pt idx="17">
                  <c:v>43938</c:v>
                </c:pt>
                <c:pt idx="18">
                  <c:v>43939</c:v>
                </c:pt>
                <c:pt idx="19">
                  <c:v>43940</c:v>
                </c:pt>
                <c:pt idx="20">
                  <c:v>43941</c:v>
                </c:pt>
                <c:pt idx="21">
                  <c:v>43942</c:v>
                </c:pt>
                <c:pt idx="22">
                  <c:v>43943</c:v>
                </c:pt>
                <c:pt idx="23">
                  <c:v>43944</c:v>
                </c:pt>
                <c:pt idx="24">
                  <c:v>43945</c:v>
                </c:pt>
                <c:pt idx="25">
                  <c:v>43946</c:v>
                </c:pt>
                <c:pt idx="26">
                  <c:v>43947</c:v>
                </c:pt>
                <c:pt idx="27">
                  <c:v>43948</c:v>
                </c:pt>
                <c:pt idx="28">
                  <c:v>43949</c:v>
                </c:pt>
                <c:pt idx="29">
                  <c:v>43950</c:v>
                </c:pt>
                <c:pt idx="30">
                  <c:v>43951</c:v>
                </c:pt>
                <c:pt idx="31">
                  <c:v>43952</c:v>
                </c:pt>
                <c:pt idx="32">
                  <c:v>43953</c:v>
                </c:pt>
                <c:pt idx="33">
                  <c:v>43954</c:v>
                </c:pt>
              </c:numCache>
            </c:numRef>
          </c:xVal>
          <c:yVal>
            <c:numRef>
              <c:f>myData!NSWKnLcl</c:f>
              <c:numCache>
                <c:formatCode>General</c:formatCode>
                <c:ptCount val="34"/>
                <c:pt idx="0">
                  <c:v>418</c:v>
                </c:pt>
                <c:pt idx="1">
                  <c:v>434</c:v>
                </c:pt>
                <c:pt idx="2">
                  <c:v>467</c:v>
                </c:pt>
                <c:pt idx="3">
                  <c:v>505</c:v>
                </c:pt>
                <c:pt idx="4">
                  <c:v>551</c:v>
                </c:pt>
                <c:pt idx="5">
                  <c:v>578</c:v>
                </c:pt>
                <c:pt idx="6">
                  <c:v>595</c:v>
                </c:pt>
                <c:pt idx="7">
                  <c:v>614</c:v>
                </c:pt>
                <c:pt idx="8">
                  <c:v>641</c:v>
                </c:pt>
                <c:pt idx="9">
                  <c:v>667</c:v>
                </c:pt>
                <c:pt idx="10">
                  <c:v>682</c:v>
                </c:pt>
                <c:pt idx="11">
                  <c:v>699</c:v>
                </c:pt>
                <c:pt idx="12">
                  <c:v>708</c:v>
                </c:pt>
                <c:pt idx="13">
                  <c:v>722</c:v>
                </c:pt>
                <c:pt idx="14">
                  <c:v>730</c:v>
                </c:pt>
                <c:pt idx="15">
                  <c:v>738</c:v>
                </c:pt>
                <c:pt idx="16">
                  <c:v>754</c:v>
                </c:pt>
                <c:pt idx="17">
                  <c:v>770</c:v>
                </c:pt>
                <c:pt idx="18">
                  <c:v>773</c:v>
                </c:pt>
                <c:pt idx="19">
                  <c:v>783</c:v>
                </c:pt>
                <c:pt idx="20">
                  <c:v>790</c:v>
                </c:pt>
                <c:pt idx="21">
                  <c:v>795</c:v>
                </c:pt>
                <c:pt idx="22">
                  <c:v>799</c:v>
                </c:pt>
                <c:pt idx="23">
                  <c:v>797</c:v>
                </c:pt>
                <c:pt idx="24">
                  <c:v>804</c:v>
                </c:pt>
                <c:pt idx="25">
                  <c:v>807</c:v>
                </c:pt>
                <c:pt idx="26">
                  <c:v>813</c:v>
                </c:pt>
                <c:pt idx="27">
                  <c:v>816</c:v>
                </c:pt>
                <c:pt idx="28">
                  <c:v>824</c:v>
                </c:pt>
                <c:pt idx="29">
                  <c:v>830</c:v>
                </c:pt>
                <c:pt idx="30">
                  <c:v>833</c:v>
                </c:pt>
                <c:pt idx="31">
                  <c:v>840</c:v>
                </c:pt>
                <c:pt idx="32">
                  <c:v>844</c:v>
                </c:pt>
                <c:pt idx="33">
                  <c:v>846</c:v>
                </c:pt>
              </c:numCache>
            </c:numRef>
          </c:yVal>
          <c:smooth val="0"/>
        </c:ser>
        <c:ser>
          <c:idx val="0"/>
          <c:order val="1"/>
          <c:tx>
            <c:strRef>
              <c:f>myData!$HP$10</c:f>
              <c:strCache>
                <c:ptCount val="1"/>
                <c:pt idx="0">
                  <c:v>Unknown Locally</c:v>
                </c:pt>
              </c:strCache>
            </c:strRef>
          </c:tx>
          <c:spPr>
            <a:ln w="19050" cap="rnd">
              <a:solidFill>
                <a:schemeClr val="accent6">
                  <a:lumMod val="75000"/>
                </a:schemeClr>
              </a:solidFill>
              <a:prstDash val="sysDash"/>
              <a:round/>
            </a:ln>
            <a:effectLst/>
          </c:spPr>
          <c:marker>
            <c:symbol val="star"/>
            <c:size val="5"/>
            <c:spPr>
              <a:noFill/>
              <a:ln w="9525">
                <a:solidFill>
                  <a:schemeClr val="accent6">
                    <a:lumMod val="75000"/>
                  </a:schemeClr>
                </a:solidFill>
              </a:ln>
              <a:effectLst/>
            </c:spPr>
          </c:marker>
          <c:xVal>
            <c:numRef>
              <c:f>myData!NSWUnKnLclDt</c:f>
              <c:numCache>
                <c:formatCode>ddd\ dd/mm/yy</c:formatCode>
                <c:ptCount val="34"/>
                <c:pt idx="0">
                  <c:v>43921</c:v>
                </c:pt>
                <c:pt idx="1">
                  <c:v>43922</c:v>
                </c:pt>
                <c:pt idx="2">
                  <c:v>43923</c:v>
                </c:pt>
                <c:pt idx="3">
                  <c:v>43924</c:v>
                </c:pt>
                <c:pt idx="4">
                  <c:v>43925</c:v>
                </c:pt>
                <c:pt idx="5">
                  <c:v>43926</c:v>
                </c:pt>
                <c:pt idx="6">
                  <c:v>43927</c:v>
                </c:pt>
                <c:pt idx="7">
                  <c:v>43928</c:v>
                </c:pt>
                <c:pt idx="8">
                  <c:v>43929</c:v>
                </c:pt>
                <c:pt idx="9">
                  <c:v>43930</c:v>
                </c:pt>
                <c:pt idx="10">
                  <c:v>43931</c:v>
                </c:pt>
                <c:pt idx="11">
                  <c:v>43932</c:v>
                </c:pt>
                <c:pt idx="12">
                  <c:v>43933</c:v>
                </c:pt>
                <c:pt idx="13">
                  <c:v>43934</c:v>
                </c:pt>
                <c:pt idx="14">
                  <c:v>43935</c:v>
                </c:pt>
                <c:pt idx="15">
                  <c:v>43936</c:v>
                </c:pt>
                <c:pt idx="16">
                  <c:v>43937</c:v>
                </c:pt>
                <c:pt idx="17">
                  <c:v>43938</c:v>
                </c:pt>
                <c:pt idx="18">
                  <c:v>43939</c:v>
                </c:pt>
                <c:pt idx="19">
                  <c:v>43940</c:v>
                </c:pt>
                <c:pt idx="20">
                  <c:v>43941</c:v>
                </c:pt>
                <c:pt idx="21">
                  <c:v>43942</c:v>
                </c:pt>
                <c:pt idx="22">
                  <c:v>43943</c:v>
                </c:pt>
                <c:pt idx="23">
                  <c:v>43944</c:v>
                </c:pt>
                <c:pt idx="24">
                  <c:v>43945</c:v>
                </c:pt>
                <c:pt idx="25">
                  <c:v>43946</c:v>
                </c:pt>
                <c:pt idx="26">
                  <c:v>43947</c:v>
                </c:pt>
                <c:pt idx="27">
                  <c:v>43948</c:v>
                </c:pt>
                <c:pt idx="28">
                  <c:v>43949</c:v>
                </c:pt>
                <c:pt idx="29">
                  <c:v>43950</c:v>
                </c:pt>
                <c:pt idx="30">
                  <c:v>43951</c:v>
                </c:pt>
                <c:pt idx="31">
                  <c:v>43952</c:v>
                </c:pt>
                <c:pt idx="32">
                  <c:v>43953</c:v>
                </c:pt>
                <c:pt idx="33">
                  <c:v>43954</c:v>
                </c:pt>
              </c:numCache>
            </c:numRef>
          </c:xVal>
          <c:yVal>
            <c:numRef>
              <c:f>myData!NSWUnKnLcl</c:f>
              <c:numCache>
                <c:formatCode>General</c:formatCode>
                <c:ptCount val="34"/>
                <c:pt idx="0">
                  <c:v>250</c:v>
                </c:pt>
                <c:pt idx="1">
                  <c:v>275</c:v>
                </c:pt>
                <c:pt idx="2">
                  <c:v>307</c:v>
                </c:pt>
                <c:pt idx="3">
                  <c:v>336</c:v>
                </c:pt>
                <c:pt idx="4">
                  <c:v>365</c:v>
                </c:pt>
                <c:pt idx="5">
                  <c:v>380</c:v>
                </c:pt>
                <c:pt idx="6">
                  <c:v>397</c:v>
                </c:pt>
                <c:pt idx="7">
                  <c:v>406</c:v>
                </c:pt>
                <c:pt idx="8">
                  <c:v>410</c:v>
                </c:pt>
                <c:pt idx="9">
                  <c:v>416</c:v>
                </c:pt>
                <c:pt idx="10">
                  <c:v>427</c:v>
                </c:pt>
                <c:pt idx="11">
                  <c:v>356</c:v>
                </c:pt>
                <c:pt idx="12">
                  <c:v>354</c:v>
                </c:pt>
                <c:pt idx="13">
                  <c:v>351</c:v>
                </c:pt>
                <c:pt idx="14">
                  <c:v>350</c:v>
                </c:pt>
                <c:pt idx="15">
                  <c:v>351</c:v>
                </c:pt>
                <c:pt idx="16">
                  <c:v>349</c:v>
                </c:pt>
                <c:pt idx="17">
                  <c:v>347</c:v>
                </c:pt>
                <c:pt idx="18">
                  <c:v>350</c:v>
                </c:pt>
                <c:pt idx="19">
                  <c:v>357</c:v>
                </c:pt>
                <c:pt idx="20">
                  <c:v>358</c:v>
                </c:pt>
                <c:pt idx="21">
                  <c:v>360</c:v>
                </c:pt>
                <c:pt idx="22">
                  <c:v>356</c:v>
                </c:pt>
                <c:pt idx="23">
                  <c:v>360</c:v>
                </c:pt>
                <c:pt idx="24">
                  <c:v>360</c:v>
                </c:pt>
                <c:pt idx="25">
                  <c:v>366</c:v>
                </c:pt>
                <c:pt idx="26">
                  <c:v>368</c:v>
                </c:pt>
                <c:pt idx="27">
                  <c:v>366</c:v>
                </c:pt>
                <c:pt idx="28">
                  <c:v>366</c:v>
                </c:pt>
                <c:pt idx="29">
                  <c:v>366</c:v>
                </c:pt>
                <c:pt idx="30">
                  <c:v>362</c:v>
                </c:pt>
                <c:pt idx="31">
                  <c:v>363</c:v>
                </c:pt>
                <c:pt idx="32">
                  <c:v>362</c:v>
                </c:pt>
                <c:pt idx="33">
                  <c:v>363</c:v>
                </c:pt>
              </c:numCache>
            </c:numRef>
          </c:yVal>
          <c:smooth val="0"/>
        </c:ser>
        <c:ser>
          <c:idx val="1"/>
          <c:order val="2"/>
          <c:tx>
            <c:strRef>
              <c:f>myData!$HQ$10</c:f>
              <c:strCache>
                <c:ptCount val="1"/>
                <c:pt idx="0">
                  <c:v>Total Local</c:v>
                </c:pt>
              </c:strCache>
            </c:strRef>
          </c:tx>
          <c:spPr>
            <a:ln w="19050" cap="rnd">
              <a:solidFill>
                <a:srgbClr val="FF0000"/>
              </a:solidFill>
              <a:round/>
            </a:ln>
            <a:effectLst/>
          </c:spPr>
          <c:marker>
            <c:symbol val="x"/>
            <c:size val="5"/>
            <c:spPr>
              <a:noFill/>
              <a:ln w="9525">
                <a:solidFill>
                  <a:schemeClr val="accent2"/>
                </a:solidFill>
              </a:ln>
              <a:effectLst/>
            </c:spPr>
          </c:marker>
          <c:trendline>
            <c:spPr>
              <a:ln w="19050" cap="rnd">
                <a:solidFill>
                  <a:schemeClr val="accent2"/>
                </a:solidFill>
                <a:prstDash val="sysDot"/>
              </a:ln>
              <a:effectLst/>
            </c:spPr>
            <c:trendlineType val="linear"/>
            <c:forward val="7"/>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myData!NSWTtlLclDt</c:f>
              <c:numCache>
                <c:formatCode>ddd\ dd/mm/yy</c:formatCode>
                <c:ptCount val="34"/>
                <c:pt idx="0">
                  <c:v>43921</c:v>
                </c:pt>
                <c:pt idx="1">
                  <c:v>43922</c:v>
                </c:pt>
                <c:pt idx="2">
                  <c:v>43923</c:v>
                </c:pt>
                <c:pt idx="3">
                  <c:v>43924</c:v>
                </c:pt>
                <c:pt idx="4">
                  <c:v>43925</c:v>
                </c:pt>
                <c:pt idx="5">
                  <c:v>43926</c:v>
                </c:pt>
                <c:pt idx="6">
                  <c:v>43927</c:v>
                </c:pt>
                <c:pt idx="7">
                  <c:v>43928</c:v>
                </c:pt>
                <c:pt idx="8">
                  <c:v>43929</c:v>
                </c:pt>
                <c:pt idx="9">
                  <c:v>43930</c:v>
                </c:pt>
                <c:pt idx="10">
                  <c:v>43931</c:v>
                </c:pt>
                <c:pt idx="11">
                  <c:v>43932</c:v>
                </c:pt>
                <c:pt idx="12">
                  <c:v>43933</c:v>
                </c:pt>
                <c:pt idx="13">
                  <c:v>43934</c:v>
                </c:pt>
                <c:pt idx="14">
                  <c:v>43935</c:v>
                </c:pt>
                <c:pt idx="15">
                  <c:v>43936</c:v>
                </c:pt>
                <c:pt idx="16">
                  <c:v>43937</c:v>
                </c:pt>
                <c:pt idx="17">
                  <c:v>43938</c:v>
                </c:pt>
                <c:pt idx="18">
                  <c:v>43939</c:v>
                </c:pt>
                <c:pt idx="19">
                  <c:v>43940</c:v>
                </c:pt>
                <c:pt idx="20">
                  <c:v>43941</c:v>
                </c:pt>
                <c:pt idx="21">
                  <c:v>43942</c:v>
                </c:pt>
                <c:pt idx="22">
                  <c:v>43943</c:v>
                </c:pt>
                <c:pt idx="23">
                  <c:v>43944</c:v>
                </c:pt>
                <c:pt idx="24">
                  <c:v>43945</c:v>
                </c:pt>
                <c:pt idx="25">
                  <c:v>43946</c:v>
                </c:pt>
                <c:pt idx="26">
                  <c:v>43947</c:v>
                </c:pt>
                <c:pt idx="27">
                  <c:v>43948</c:v>
                </c:pt>
                <c:pt idx="28">
                  <c:v>43949</c:v>
                </c:pt>
                <c:pt idx="29">
                  <c:v>43950</c:v>
                </c:pt>
                <c:pt idx="30">
                  <c:v>43951</c:v>
                </c:pt>
                <c:pt idx="31">
                  <c:v>43952</c:v>
                </c:pt>
                <c:pt idx="32">
                  <c:v>43953</c:v>
                </c:pt>
                <c:pt idx="33">
                  <c:v>43954</c:v>
                </c:pt>
              </c:numCache>
            </c:numRef>
          </c:xVal>
          <c:yVal>
            <c:numRef>
              <c:f>myData!NSWTtlLcl</c:f>
              <c:numCache>
                <c:formatCode>General</c:formatCode>
                <c:ptCount val="34"/>
                <c:pt idx="0">
                  <c:v>668</c:v>
                </c:pt>
                <c:pt idx="1">
                  <c:v>709</c:v>
                </c:pt>
                <c:pt idx="2">
                  <c:v>774</c:v>
                </c:pt>
                <c:pt idx="3">
                  <c:v>841</c:v>
                </c:pt>
                <c:pt idx="4">
                  <c:v>916</c:v>
                </c:pt>
                <c:pt idx="5">
                  <c:v>958</c:v>
                </c:pt>
                <c:pt idx="6">
                  <c:v>992</c:v>
                </c:pt>
                <c:pt idx="7">
                  <c:v>1020</c:v>
                </c:pt>
                <c:pt idx="8">
                  <c:v>1051</c:v>
                </c:pt>
                <c:pt idx="9">
                  <c:v>1083</c:v>
                </c:pt>
                <c:pt idx="10">
                  <c:v>1109</c:v>
                </c:pt>
                <c:pt idx="11">
                  <c:v>1055</c:v>
                </c:pt>
                <c:pt idx="12">
                  <c:v>1062</c:v>
                </c:pt>
                <c:pt idx="13">
                  <c:v>1073</c:v>
                </c:pt>
                <c:pt idx="14">
                  <c:v>1080</c:v>
                </c:pt>
                <c:pt idx="15">
                  <c:v>1089</c:v>
                </c:pt>
                <c:pt idx="16">
                  <c:v>1103</c:v>
                </c:pt>
                <c:pt idx="17">
                  <c:v>1117</c:v>
                </c:pt>
                <c:pt idx="18">
                  <c:v>1123</c:v>
                </c:pt>
                <c:pt idx="19">
                  <c:v>1140</c:v>
                </c:pt>
                <c:pt idx="20">
                  <c:v>1148</c:v>
                </c:pt>
                <c:pt idx="21">
                  <c:v>1155</c:v>
                </c:pt>
                <c:pt idx="22">
                  <c:v>1155</c:v>
                </c:pt>
                <c:pt idx="23">
                  <c:v>1157</c:v>
                </c:pt>
                <c:pt idx="24">
                  <c:v>1164</c:v>
                </c:pt>
                <c:pt idx="25">
                  <c:v>1173</c:v>
                </c:pt>
                <c:pt idx="26">
                  <c:v>1181</c:v>
                </c:pt>
                <c:pt idx="27">
                  <c:v>1182</c:v>
                </c:pt>
                <c:pt idx="28">
                  <c:v>1190</c:v>
                </c:pt>
                <c:pt idx="29">
                  <c:v>1196</c:v>
                </c:pt>
                <c:pt idx="30">
                  <c:v>1195</c:v>
                </c:pt>
                <c:pt idx="31">
                  <c:v>1203</c:v>
                </c:pt>
                <c:pt idx="32">
                  <c:v>1206</c:v>
                </c:pt>
                <c:pt idx="33">
                  <c:v>1209</c:v>
                </c:pt>
              </c:numCache>
            </c:numRef>
          </c:yVal>
          <c:smooth val="0"/>
        </c:ser>
        <c:ser>
          <c:idx val="3"/>
          <c:order val="3"/>
          <c:tx>
            <c:strRef>
              <c:f>myData!NSWUnknownSeries</c:f>
              <c:strCache>
                <c:ptCount val="1"/>
                <c:pt idx="0">
                  <c:v>NSWUnknown Limit 2.40 k r^2=96.24%</c:v>
                </c:pt>
              </c:strCache>
            </c:strRef>
          </c:tx>
          <c:spPr>
            <a:ln w="22225" cap="rnd">
              <a:solidFill>
                <a:schemeClr val="accent4"/>
              </a:solidFill>
              <a:prstDash val="sysDash"/>
              <a:round/>
            </a:ln>
            <a:effectLst/>
          </c:spPr>
          <c:marker>
            <c:symbol val="none"/>
          </c:marker>
          <c:xVal>
            <c:numRef>
              <c:f>myData!NSWTtlLclLogiDt</c:f>
              <c:numCache>
                <c:formatCode>ddd\ dd/mm/yy</c:formatCode>
                <c:ptCount val="45"/>
                <c:pt idx="0">
                  <c:v>43921</c:v>
                </c:pt>
                <c:pt idx="1">
                  <c:v>43922</c:v>
                </c:pt>
                <c:pt idx="2">
                  <c:v>43923</c:v>
                </c:pt>
                <c:pt idx="3">
                  <c:v>43924</c:v>
                </c:pt>
                <c:pt idx="4">
                  <c:v>43925</c:v>
                </c:pt>
                <c:pt idx="5">
                  <c:v>43926</c:v>
                </c:pt>
                <c:pt idx="6">
                  <c:v>43927</c:v>
                </c:pt>
                <c:pt idx="7">
                  <c:v>43928</c:v>
                </c:pt>
                <c:pt idx="8">
                  <c:v>43929</c:v>
                </c:pt>
                <c:pt idx="9">
                  <c:v>43930</c:v>
                </c:pt>
                <c:pt idx="10">
                  <c:v>43931</c:v>
                </c:pt>
                <c:pt idx="11">
                  <c:v>43932</c:v>
                </c:pt>
                <c:pt idx="12">
                  <c:v>43933</c:v>
                </c:pt>
                <c:pt idx="13">
                  <c:v>43934</c:v>
                </c:pt>
                <c:pt idx="14">
                  <c:v>43935</c:v>
                </c:pt>
                <c:pt idx="15">
                  <c:v>43936</c:v>
                </c:pt>
                <c:pt idx="16">
                  <c:v>43937</c:v>
                </c:pt>
                <c:pt idx="17">
                  <c:v>43938</c:v>
                </c:pt>
                <c:pt idx="18">
                  <c:v>43939</c:v>
                </c:pt>
                <c:pt idx="19">
                  <c:v>43940</c:v>
                </c:pt>
                <c:pt idx="20">
                  <c:v>43941</c:v>
                </c:pt>
                <c:pt idx="21">
                  <c:v>43942</c:v>
                </c:pt>
                <c:pt idx="22">
                  <c:v>43943</c:v>
                </c:pt>
                <c:pt idx="23">
                  <c:v>43944</c:v>
                </c:pt>
                <c:pt idx="24">
                  <c:v>43945</c:v>
                </c:pt>
                <c:pt idx="25">
                  <c:v>43946</c:v>
                </c:pt>
                <c:pt idx="26">
                  <c:v>43947</c:v>
                </c:pt>
                <c:pt idx="27">
                  <c:v>43948</c:v>
                </c:pt>
                <c:pt idx="28">
                  <c:v>43949</c:v>
                </c:pt>
                <c:pt idx="29">
                  <c:v>43950</c:v>
                </c:pt>
                <c:pt idx="30">
                  <c:v>43951</c:v>
                </c:pt>
                <c:pt idx="31">
                  <c:v>43952</c:v>
                </c:pt>
                <c:pt idx="32">
                  <c:v>43953</c:v>
                </c:pt>
                <c:pt idx="33">
                  <c:v>43954</c:v>
                </c:pt>
                <c:pt idx="34">
                  <c:v>43955</c:v>
                </c:pt>
                <c:pt idx="35">
                  <c:v>43956</c:v>
                </c:pt>
                <c:pt idx="36">
                  <c:v>43957</c:v>
                </c:pt>
                <c:pt idx="37">
                  <c:v>43958</c:v>
                </c:pt>
                <c:pt idx="38">
                  <c:v>43965</c:v>
                </c:pt>
                <c:pt idx="39">
                  <c:v>43972</c:v>
                </c:pt>
                <c:pt idx="40">
                  <c:v>43979</c:v>
                </c:pt>
                <c:pt idx="41">
                  <c:v>43986</c:v>
                </c:pt>
                <c:pt idx="42">
                  <c:v>43993</c:v>
                </c:pt>
                <c:pt idx="43">
                  <c:v>44000</c:v>
                </c:pt>
                <c:pt idx="44">
                  <c:v>44007</c:v>
                </c:pt>
              </c:numCache>
            </c:numRef>
          </c:xVal>
          <c:yVal>
            <c:numRef>
              <c:f>myData!NSWTtlLclLogi</c:f>
              <c:numCache>
                <c:formatCode>General</c:formatCode>
                <c:ptCount val="45"/>
                <c:pt idx="0">
                  <c:v>683.65051940507112</c:v>
                </c:pt>
                <c:pt idx="1">
                  <c:v>739.28815539764094</c:v>
                </c:pt>
                <c:pt idx="2">
                  <c:v>792.14271316452812</c:v>
                </c:pt>
                <c:pt idx="3">
                  <c:v>841.46572849641609</c:v>
                </c:pt>
                <c:pt idx="4">
                  <c:v>886.73291561991573</c:v>
                </c:pt>
                <c:pt idx="5">
                  <c:v>927.64714537271755</c:v>
                </c:pt>
                <c:pt idx="6">
                  <c:v>964.11889826970241</c:v>
                </c:pt>
                <c:pt idx="7">
                  <c:v>996.23173624772528</c:v>
                </c:pt>
                <c:pt idx="8">
                  <c:v>1024.2007844640355</c:v>
                </c:pt>
                <c:pt idx="9">
                  <c:v>1048.3309450331531</c:v>
                </c:pt>
                <c:pt idx="10">
                  <c:v>1068.9794666206717</c:v>
                </c:pt>
                <c:pt idx="11">
                  <c:v>1086.5253365543485</c:v>
                </c:pt>
                <c:pt idx="12">
                  <c:v>1101.3462133337116</c:v>
                </c:pt>
                <c:pt idx="13">
                  <c:v>1113.8024455743216</c:v>
                </c:pt>
                <c:pt idx="14">
                  <c:v>1124.2270929229257</c:v>
                </c:pt>
                <c:pt idx="15">
                  <c:v>1132.920643532907</c:v>
                </c:pt>
                <c:pt idx="16">
                  <c:v>1140.1491621376301</c:v>
                </c:pt>
                <c:pt idx="17">
                  <c:v>1146.1447777788148</c:v>
                </c:pt>
                <c:pt idx="18">
                  <c:v>1151.1076436787209</c:v>
                </c:pt>
                <c:pt idx="19">
                  <c:v>1155.2087215021909</c:v>
                </c:pt>
                <c:pt idx="20">
                  <c:v>1158.5929325513619</c:v>
                </c:pt>
                <c:pt idx="21">
                  <c:v>1161.3823704713652</c:v>
                </c:pt>
                <c:pt idx="22">
                  <c:v>1163.6793845509778</c:v>
                </c:pt>
                <c:pt idx="23">
                  <c:v>1165.5694248564284</c:v>
                </c:pt>
                <c:pt idx="24">
                  <c:v>1167.1235968047854</c:v>
                </c:pt>
                <c:pt idx="25">
                  <c:v>1168.4009097013131</c:v>
                </c:pt>
                <c:pt idx="26">
                  <c:v>1169.450226633804</c:v>
                </c:pt>
                <c:pt idx="27">
                  <c:v>1170.3119362118614</c:v>
                </c:pt>
                <c:pt idx="28">
                  <c:v>1171.0193731772549</c:v>
                </c:pt>
                <c:pt idx="29">
                  <c:v>1171.6000172206668</c:v>
                </c:pt>
                <c:pt idx="30">
                  <c:v>1172.0764990510754</c:v>
                </c:pt>
                <c:pt idx="31">
                  <c:v>1172.4674409854892</c:v>
                </c:pt>
                <c:pt idx="32">
                  <c:v>1172.4674409854892</c:v>
                </c:pt>
                <c:pt idx="33">
                  <c:v>1172.4674409854892</c:v>
                </c:pt>
                <c:pt idx="34">
                  <c:v>1172.4674409854892</c:v>
                </c:pt>
                <c:pt idx="35">
                  <c:v>1172.4674409854892</c:v>
                </c:pt>
                <c:pt idx="36">
                  <c:v>1172.4674409854892</c:v>
                </c:pt>
                <c:pt idx="37">
                  <c:v>1172.4674409854892</c:v>
                </c:pt>
                <c:pt idx="38">
                  <c:v>1172.4674409854892</c:v>
                </c:pt>
                <c:pt idx="39">
                  <c:v>1172.4674409854892</c:v>
                </c:pt>
                <c:pt idx="40">
                  <c:v>1172.4674409854892</c:v>
                </c:pt>
                <c:pt idx="41">
                  <c:v>1172.4674409854892</c:v>
                </c:pt>
                <c:pt idx="42">
                  <c:v>1172.4674409854892</c:v>
                </c:pt>
                <c:pt idx="43">
                  <c:v>1172.4674409854892</c:v>
                </c:pt>
                <c:pt idx="44">
                  <c:v>1172.4674409854892</c:v>
                </c:pt>
              </c:numCache>
            </c:numRef>
          </c:yVal>
          <c:smooth val="0"/>
        </c:ser>
        <c:ser>
          <c:idx val="6"/>
          <c:order val="4"/>
          <c:tx>
            <c:strRef>
              <c:f>NSWLikely!$L$1</c:f>
              <c:strCache>
                <c:ptCount val="1"/>
                <c:pt idx="0">
                  <c:v>Total Local</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NSWLikely!NotifDates</c:f>
              <c:numCache>
                <c:formatCode>m/d/yyyy</c:formatCode>
                <c:ptCount val="53"/>
                <c:pt idx="0">
                  <c:v>43899</c:v>
                </c:pt>
                <c:pt idx="1">
                  <c:v>43900</c:v>
                </c:pt>
                <c:pt idx="2">
                  <c:v>43901</c:v>
                </c:pt>
                <c:pt idx="3">
                  <c:v>43902</c:v>
                </c:pt>
                <c:pt idx="4">
                  <c:v>43903</c:v>
                </c:pt>
                <c:pt idx="5">
                  <c:v>43904</c:v>
                </c:pt>
                <c:pt idx="6">
                  <c:v>43905</c:v>
                </c:pt>
                <c:pt idx="7">
                  <c:v>43906</c:v>
                </c:pt>
                <c:pt idx="8">
                  <c:v>43907</c:v>
                </c:pt>
                <c:pt idx="9">
                  <c:v>43908</c:v>
                </c:pt>
                <c:pt idx="10">
                  <c:v>43909</c:v>
                </c:pt>
                <c:pt idx="11">
                  <c:v>43910</c:v>
                </c:pt>
                <c:pt idx="12">
                  <c:v>43911</c:v>
                </c:pt>
                <c:pt idx="13">
                  <c:v>43912</c:v>
                </c:pt>
                <c:pt idx="14">
                  <c:v>43913</c:v>
                </c:pt>
                <c:pt idx="15">
                  <c:v>43914</c:v>
                </c:pt>
                <c:pt idx="16">
                  <c:v>43915</c:v>
                </c:pt>
                <c:pt idx="17">
                  <c:v>43916</c:v>
                </c:pt>
                <c:pt idx="18">
                  <c:v>43917</c:v>
                </c:pt>
                <c:pt idx="19">
                  <c:v>43918</c:v>
                </c:pt>
                <c:pt idx="20">
                  <c:v>43919</c:v>
                </c:pt>
                <c:pt idx="21">
                  <c:v>43920</c:v>
                </c:pt>
                <c:pt idx="22">
                  <c:v>43921</c:v>
                </c:pt>
                <c:pt idx="23">
                  <c:v>43922</c:v>
                </c:pt>
                <c:pt idx="24">
                  <c:v>43923</c:v>
                </c:pt>
                <c:pt idx="25">
                  <c:v>43924</c:v>
                </c:pt>
                <c:pt idx="26">
                  <c:v>43925</c:v>
                </c:pt>
                <c:pt idx="27">
                  <c:v>43926</c:v>
                </c:pt>
                <c:pt idx="28">
                  <c:v>43927</c:v>
                </c:pt>
                <c:pt idx="29">
                  <c:v>43928</c:v>
                </c:pt>
                <c:pt idx="30">
                  <c:v>43929</c:v>
                </c:pt>
                <c:pt idx="31">
                  <c:v>43930</c:v>
                </c:pt>
                <c:pt idx="32">
                  <c:v>43931</c:v>
                </c:pt>
                <c:pt idx="33">
                  <c:v>43932</c:v>
                </c:pt>
                <c:pt idx="34">
                  <c:v>43933</c:v>
                </c:pt>
                <c:pt idx="35">
                  <c:v>43934</c:v>
                </c:pt>
                <c:pt idx="36">
                  <c:v>43935</c:v>
                </c:pt>
                <c:pt idx="37">
                  <c:v>43936</c:v>
                </c:pt>
                <c:pt idx="38">
                  <c:v>43937</c:v>
                </c:pt>
                <c:pt idx="39">
                  <c:v>43938</c:v>
                </c:pt>
                <c:pt idx="40">
                  <c:v>43939</c:v>
                </c:pt>
                <c:pt idx="41">
                  <c:v>43940</c:v>
                </c:pt>
                <c:pt idx="42">
                  <c:v>43941</c:v>
                </c:pt>
                <c:pt idx="43">
                  <c:v>43942</c:v>
                </c:pt>
                <c:pt idx="44">
                  <c:v>43943</c:v>
                </c:pt>
                <c:pt idx="45">
                  <c:v>43944</c:v>
                </c:pt>
                <c:pt idx="46">
                  <c:v>43945</c:v>
                </c:pt>
                <c:pt idx="47">
                  <c:v>43946</c:v>
                </c:pt>
                <c:pt idx="48">
                  <c:v>43947</c:v>
                </c:pt>
                <c:pt idx="49">
                  <c:v>43948</c:v>
                </c:pt>
                <c:pt idx="50">
                  <c:v>43949</c:v>
                </c:pt>
                <c:pt idx="51">
                  <c:v>43950</c:v>
                </c:pt>
                <c:pt idx="52">
                  <c:v>43951</c:v>
                </c:pt>
              </c:numCache>
            </c:numRef>
          </c:xVal>
          <c:yVal>
            <c:numRef>
              <c:f>NSWLikely!TotalLocal</c:f>
              <c:numCache>
                <c:formatCode>General</c:formatCode>
                <c:ptCount val="53"/>
                <c:pt idx="0">
                  <c:v>3</c:v>
                </c:pt>
                <c:pt idx="1">
                  <c:v>3</c:v>
                </c:pt>
                <c:pt idx="2">
                  <c:v>13</c:v>
                </c:pt>
                <c:pt idx="3">
                  <c:v>24</c:v>
                </c:pt>
                <c:pt idx="4">
                  <c:v>41</c:v>
                </c:pt>
                <c:pt idx="5">
                  <c:v>54</c:v>
                </c:pt>
                <c:pt idx="6">
                  <c:v>70</c:v>
                </c:pt>
                <c:pt idx="7">
                  <c:v>84</c:v>
                </c:pt>
                <c:pt idx="8">
                  <c:v>112</c:v>
                </c:pt>
                <c:pt idx="9">
                  <c:v>136</c:v>
                </c:pt>
                <c:pt idx="10">
                  <c:v>155</c:v>
                </c:pt>
                <c:pt idx="11">
                  <c:v>203</c:v>
                </c:pt>
                <c:pt idx="12">
                  <c:v>232</c:v>
                </c:pt>
                <c:pt idx="13">
                  <c:v>266</c:v>
                </c:pt>
                <c:pt idx="14">
                  <c:v>315</c:v>
                </c:pt>
                <c:pt idx="15">
                  <c:v>365</c:v>
                </c:pt>
                <c:pt idx="16">
                  <c:v>413</c:v>
                </c:pt>
                <c:pt idx="17">
                  <c:v>467</c:v>
                </c:pt>
                <c:pt idx="18">
                  <c:v>540</c:v>
                </c:pt>
                <c:pt idx="19">
                  <c:v>574</c:v>
                </c:pt>
                <c:pt idx="20">
                  <c:v>625</c:v>
                </c:pt>
                <c:pt idx="21">
                  <c:v>658</c:v>
                </c:pt>
                <c:pt idx="22">
                  <c:v>717</c:v>
                </c:pt>
                <c:pt idx="23">
                  <c:v>784</c:v>
                </c:pt>
                <c:pt idx="24">
                  <c:v>835</c:v>
                </c:pt>
                <c:pt idx="25">
                  <c:v>883</c:v>
                </c:pt>
                <c:pt idx="26">
                  <c:v>914</c:v>
                </c:pt>
                <c:pt idx="27">
                  <c:v>941</c:v>
                </c:pt>
                <c:pt idx="28">
                  <c:v>958</c:v>
                </c:pt>
                <c:pt idx="29">
                  <c:v>981</c:v>
                </c:pt>
                <c:pt idx="30">
                  <c:v>1016</c:v>
                </c:pt>
                <c:pt idx="31">
                  <c:v>1027</c:v>
                </c:pt>
                <c:pt idx="32">
                  <c:v>1037</c:v>
                </c:pt>
                <c:pt idx="33">
                  <c:v>1042</c:v>
                </c:pt>
                <c:pt idx="34">
                  <c:v>1047</c:v>
                </c:pt>
                <c:pt idx="35">
                  <c:v>1052</c:v>
                </c:pt>
                <c:pt idx="36">
                  <c:v>1103</c:v>
                </c:pt>
                <c:pt idx="37">
                  <c:v>1107</c:v>
                </c:pt>
                <c:pt idx="38">
                  <c:v>1112</c:v>
                </c:pt>
                <c:pt idx="39">
                  <c:v>1124</c:v>
                </c:pt>
                <c:pt idx="40">
                  <c:v>1135</c:v>
                </c:pt>
                <c:pt idx="41">
                  <c:v>1143</c:v>
                </c:pt>
                <c:pt idx="42">
                  <c:v>1143</c:v>
                </c:pt>
                <c:pt idx="43">
                  <c:v>1147</c:v>
                </c:pt>
                <c:pt idx="44">
                  <c:v>1151</c:v>
                </c:pt>
                <c:pt idx="45">
                  <c:v>1153</c:v>
                </c:pt>
                <c:pt idx="46">
                  <c:v>1158</c:v>
                </c:pt>
                <c:pt idx="47">
                  <c:v>1160</c:v>
                </c:pt>
                <c:pt idx="48">
                  <c:v>1161</c:v>
                </c:pt>
                <c:pt idx="49">
                  <c:v>1163</c:v>
                </c:pt>
                <c:pt idx="50">
                  <c:v>1164</c:v>
                </c:pt>
                <c:pt idx="51">
                  <c:v>1165</c:v>
                </c:pt>
                <c:pt idx="52">
                  <c:v>1168</c:v>
                </c:pt>
              </c:numCache>
            </c:numRef>
          </c:yVal>
          <c:smooth val="0"/>
        </c:ser>
        <c:ser>
          <c:idx val="4"/>
          <c:order val="5"/>
          <c:tx>
            <c:strRef>
              <c:f>NSWLikely!$J$1</c:f>
              <c:strCache>
                <c:ptCount val="1"/>
                <c:pt idx="0">
                  <c:v>Unknown Local</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NSWLikely!NotifDates</c:f>
              <c:numCache>
                <c:formatCode>m/d/yyyy</c:formatCode>
                <c:ptCount val="53"/>
                <c:pt idx="0">
                  <c:v>43899</c:v>
                </c:pt>
                <c:pt idx="1">
                  <c:v>43900</c:v>
                </c:pt>
                <c:pt idx="2">
                  <c:v>43901</c:v>
                </c:pt>
                <c:pt idx="3">
                  <c:v>43902</c:v>
                </c:pt>
                <c:pt idx="4">
                  <c:v>43903</c:v>
                </c:pt>
                <c:pt idx="5">
                  <c:v>43904</c:v>
                </c:pt>
                <c:pt idx="6">
                  <c:v>43905</c:v>
                </c:pt>
                <c:pt idx="7">
                  <c:v>43906</c:v>
                </c:pt>
                <c:pt idx="8">
                  <c:v>43907</c:v>
                </c:pt>
                <c:pt idx="9">
                  <c:v>43908</c:v>
                </c:pt>
                <c:pt idx="10">
                  <c:v>43909</c:v>
                </c:pt>
                <c:pt idx="11">
                  <c:v>43910</c:v>
                </c:pt>
                <c:pt idx="12">
                  <c:v>43911</c:v>
                </c:pt>
                <c:pt idx="13">
                  <c:v>43912</c:v>
                </c:pt>
                <c:pt idx="14">
                  <c:v>43913</c:v>
                </c:pt>
                <c:pt idx="15">
                  <c:v>43914</c:v>
                </c:pt>
                <c:pt idx="16">
                  <c:v>43915</c:v>
                </c:pt>
                <c:pt idx="17">
                  <c:v>43916</c:v>
                </c:pt>
                <c:pt idx="18">
                  <c:v>43917</c:v>
                </c:pt>
                <c:pt idx="19">
                  <c:v>43918</c:v>
                </c:pt>
                <c:pt idx="20">
                  <c:v>43919</c:v>
                </c:pt>
                <c:pt idx="21">
                  <c:v>43920</c:v>
                </c:pt>
                <c:pt idx="22">
                  <c:v>43921</c:v>
                </c:pt>
                <c:pt idx="23">
                  <c:v>43922</c:v>
                </c:pt>
                <c:pt idx="24">
                  <c:v>43923</c:v>
                </c:pt>
                <c:pt idx="25">
                  <c:v>43924</c:v>
                </c:pt>
                <c:pt idx="26">
                  <c:v>43925</c:v>
                </c:pt>
                <c:pt idx="27">
                  <c:v>43926</c:v>
                </c:pt>
                <c:pt idx="28">
                  <c:v>43927</c:v>
                </c:pt>
                <c:pt idx="29">
                  <c:v>43928</c:v>
                </c:pt>
                <c:pt idx="30">
                  <c:v>43929</c:v>
                </c:pt>
                <c:pt idx="31">
                  <c:v>43930</c:v>
                </c:pt>
                <c:pt idx="32">
                  <c:v>43931</c:v>
                </c:pt>
                <c:pt idx="33">
                  <c:v>43932</c:v>
                </c:pt>
                <c:pt idx="34">
                  <c:v>43933</c:v>
                </c:pt>
                <c:pt idx="35">
                  <c:v>43934</c:v>
                </c:pt>
                <c:pt idx="36">
                  <c:v>43935</c:v>
                </c:pt>
                <c:pt idx="37">
                  <c:v>43936</c:v>
                </c:pt>
                <c:pt idx="38">
                  <c:v>43937</c:v>
                </c:pt>
                <c:pt idx="39">
                  <c:v>43938</c:v>
                </c:pt>
                <c:pt idx="40">
                  <c:v>43939</c:v>
                </c:pt>
                <c:pt idx="41">
                  <c:v>43940</c:v>
                </c:pt>
                <c:pt idx="42">
                  <c:v>43941</c:v>
                </c:pt>
                <c:pt idx="43">
                  <c:v>43942</c:v>
                </c:pt>
                <c:pt idx="44">
                  <c:v>43943</c:v>
                </c:pt>
                <c:pt idx="45">
                  <c:v>43944</c:v>
                </c:pt>
                <c:pt idx="46">
                  <c:v>43945</c:v>
                </c:pt>
                <c:pt idx="47">
                  <c:v>43946</c:v>
                </c:pt>
                <c:pt idx="48">
                  <c:v>43947</c:v>
                </c:pt>
                <c:pt idx="49">
                  <c:v>43948</c:v>
                </c:pt>
                <c:pt idx="50">
                  <c:v>43949</c:v>
                </c:pt>
                <c:pt idx="51">
                  <c:v>43950</c:v>
                </c:pt>
                <c:pt idx="52">
                  <c:v>43951</c:v>
                </c:pt>
              </c:numCache>
            </c:numRef>
          </c:xVal>
          <c:yVal>
            <c:numRef>
              <c:f>NSWLikely!LikelyUnkn</c:f>
              <c:numCache>
                <c:formatCode>General</c:formatCode>
                <c:ptCount val="53"/>
                <c:pt idx="0">
                  <c:v>0</c:v>
                </c:pt>
                <c:pt idx="1">
                  <c:v>0</c:v>
                </c:pt>
                <c:pt idx="2">
                  <c:v>5</c:v>
                </c:pt>
                <c:pt idx="3">
                  <c:v>8</c:v>
                </c:pt>
                <c:pt idx="4">
                  <c:v>12</c:v>
                </c:pt>
                <c:pt idx="5">
                  <c:v>16</c:v>
                </c:pt>
                <c:pt idx="6">
                  <c:v>19</c:v>
                </c:pt>
                <c:pt idx="7">
                  <c:v>20</c:v>
                </c:pt>
                <c:pt idx="8">
                  <c:v>26</c:v>
                </c:pt>
                <c:pt idx="9">
                  <c:v>27</c:v>
                </c:pt>
                <c:pt idx="10">
                  <c:v>32</c:v>
                </c:pt>
                <c:pt idx="11">
                  <c:v>45</c:v>
                </c:pt>
                <c:pt idx="12">
                  <c:v>55</c:v>
                </c:pt>
                <c:pt idx="13">
                  <c:v>63</c:v>
                </c:pt>
                <c:pt idx="14">
                  <c:v>75</c:v>
                </c:pt>
                <c:pt idx="15">
                  <c:v>87</c:v>
                </c:pt>
                <c:pt idx="16">
                  <c:v>102</c:v>
                </c:pt>
                <c:pt idx="17">
                  <c:v>120</c:v>
                </c:pt>
                <c:pt idx="18">
                  <c:v>144</c:v>
                </c:pt>
                <c:pt idx="19">
                  <c:v>154</c:v>
                </c:pt>
                <c:pt idx="20">
                  <c:v>171</c:v>
                </c:pt>
                <c:pt idx="21">
                  <c:v>183</c:v>
                </c:pt>
                <c:pt idx="22">
                  <c:v>204</c:v>
                </c:pt>
                <c:pt idx="23">
                  <c:v>231</c:v>
                </c:pt>
                <c:pt idx="24">
                  <c:v>254</c:v>
                </c:pt>
                <c:pt idx="25">
                  <c:v>272</c:v>
                </c:pt>
                <c:pt idx="26">
                  <c:v>286</c:v>
                </c:pt>
                <c:pt idx="27">
                  <c:v>294</c:v>
                </c:pt>
                <c:pt idx="28">
                  <c:v>300</c:v>
                </c:pt>
                <c:pt idx="29">
                  <c:v>307</c:v>
                </c:pt>
                <c:pt idx="30">
                  <c:v>317</c:v>
                </c:pt>
                <c:pt idx="31">
                  <c:v>321</c:v>
                </c:pt>
                <c:pt idx="32">
                  <c:v>325</c:v>
                </c:pt>
                <c:pt idx="33">
                  <c:v>327</c:v>
                </c:pt>
                <c:pt idx="34">
                  <c:v>328</c:v>
                </c:pt>
                <c:pt idx="35">
                  <c:v>329</c:v>
                </c:pt>
                <c:pt idx="36">
                  <c:v>332</c:v>
                </c:pt>
                <c:pt idx="37">
                  <c:v>332</c:v>
                </c:pt>
                <c:pt idx="38">
                  <c:v>334</c:v>
                </c:pt>
                <c:pt idx="39">
                  <c:v>342</c:v>
                </c:pt>
                <c:pt idx="40">
                  <c:v>343</c:v>
                </c:pt>
                <c:pt idx="41">
                  <c:v>345</c:v>
                </c:pt>
                <c:pt idx="42">
                  <c:v>345</c:v>
                </c:pt>
                <c:pt idx="43">
                  <c:v>347</c:v>
                </c:pt>
                <c:pt idx="44">
                  <c:v>350</c:v>
                </c:pt>
                <c:pt idx="45">
                  <c:v>351</c:v>
                </c:pt>
                <c:pt idx="46">
                  <c:v>351</c:v>
                </c:pt>
                <c:pt idx="47">
                  <c:v>353</c:v>
                </c:pt>
                <c:pt idx="48">
                  <c:v>354</c:v>
                </c:pt>
                <c:pt idx="49">
                  <c:v>355</c:v>
                </c:pt>
                <c:pt idx="50">
                  <c:v>356</c:v>
                </c:pt>
                <c:pt idx="51">
                  <c:v>357</c:v>
                </c:pt>
                <c:pt idx="52">
                  <c:v>360</c:v>
                </c:pt>
              </c:numCache>
            </c:numRef>
          </c:yVal>
          <c:smooth val="0"/>
        </c:ser>
        <c:ser>
          <c:idx val="5"/>
          <c:order val="6"/>
          <c:tx>
            <c:strRef>
              <c:f>NSWLikely!$K$1</c:f>
              <c:strCache>
                <c:ptCount val="1"/>
                <c:pt idx="0">
                  <c:v>Known Local</c:v>
                </c:pt>
              </c:strCache>
            </c:strRef>
          </c:tx>
          <c:spPr>
            <a:ln w="19050" cap="rnd" cmpd="sng">
              <a:solidFill>
                <a:schemeClr val="accent2">
                  <a:lumMod val="75000"/>
                </a:schemeClr>
              </a:solidFill>
              <a:prstDash val="solid"/>
              <a:round/>
            </a:ln>
            <a:effectLst/>
          </c:spPr>
          <c:marker>
            <c:symbol val="circle"/>
            <c:size val="5"/>
            <c:spPr>
              <a:noFill/>
              <a:ln w="9525">
                <a:solidFill>
                  <a:schemeClr val="accent2">
                    <a:lumMod val="75000"/>
                  </a:schemeClr>
                </a:solidFill>
              </a:ln>
              <a:effectLst/>
            </c:spPr>
          </c:marker>
          <c:xVal>
            <c:numRef>
              <c:f>NSWLikely!NotifDates</c:f>
              <c:numCache>
                <c:formatCode>m/d/yyyy</c:formatCode>
                <c:ptCount val="53"/>
                <c:pt idx="0">
                  <c:v>43899</c:v>
                </c:pt>
                <c:pt idx="1">
                  <c:v>43900</c:v>
                </c:pt>
                <c:pt idx="2">
                  <c:v>43901</c:v>
                </c:pt>
                <c:pt idx="3">
                  <c:v>43902</c:v>
                </c:pt>
                <c:pt idx="4">
                  <c:v>43903</c:v>
                </c:pt>
                <c:pt idx="5">
                  <c:v>43904</c:v>
                </c:pt>
                <c:pt idx="6">
                  <c:v>43905</c:v>
                </c:pt>
                <c:pt idx="7">
                  <c:v>43906</c:v>
                </c:pt>
                <c:pt idx="8">
                  <c:v>43907</c:v>
                </c:pt>
                <c:pt idx="9">
                  <c:v>43908</c:v>
                </c:pt>
                <c:pt idx="10">
                  <c:v>43909</c:v>
                </c:pt>
                <c:pt idx="11">
                  <c:v>43910</c:v>
                </c:pt>
                <c:pt idx="12">
                  <c:v>43911</c:v>
                </c:pt>
                <c:pt idx="13">
                  <c:v>43912</c:v>
                </c:pt>
                <c:pt idx="14">
                  <c:v>43913</c:v>
                </c:pt>
                <c:pt idx="15">
                  <c:v>43914</c:v>
                </c:pt>
                <c:pt idx="16">
                  <c:v>43915</c:v>
                </c:pt>
                <c:pt idx="17">
                  <c:v>43916</c:v>
                </c:pt>
                <c:pt idx="18">
                  <c:v>43917</c:v>
                </c:pt>
                <c:pt idx="19">
                  <c:v>43918</c:v>
                </c:pt>
                <c:pt idx="20">
                  <c:v>43919</c:v>
                </c:pt>
                <c:pt idx="21">
                  <c:v>43920</c:v>
                </c:pt>
                <c:pt idx="22">
                  <c:v>43921</c:v>
                </c:pt>
                <c:pt idx="23">
                  <c:v>43922</c:v>
                </c:pt>
                <c:pt idx="24">
                  <c:v>43923</c:v>
                </c:pt>
                <c:pt idx="25">
                  <c:v>43924</c:v>
                </c:pt>
                <c:pt idx="26">
                  <c:v>43925</c:v>
                </c:pt>
                <c:pt idx="27">
                  <c:v>43926</c:v>
                </c:pt>
                <c:pt idx="28">
                  <c:v>43927</c:v>
                </c:pt>
                <c:pt idx="29">
                  <c:v>43928</c:v>
                </c:pt>
                <c:pt idx="30">
                  <c:v>43929</c:v>
                </c:pt>
                <c:pt idx="31">
                  <c:v>43930</c:v>
                </c:pt>
                <c:pt idx="32">
                  <c:v>43931</c:v>
                </c:pt>
                <c:pt idx="33">
                  <c:v>43932</c:v>
                </c:pt>
                <c:pt idx="34">
                  <c:v>43933</c:v>
                </c:pt>
                <c:pt idx="35">
                  <c:v>43934</c:v>
                </c:pt>
                <c:pt idx="36">
                  <c:v>43935</c:v>
                </c:pt>
                <c:pt idx="37">
                  <c:v>43936</c:v>
                </c:pt>
                <c:pt idx="38">
                  <c:v>43937</c:v>
                </c:pt>
                <c:pt idx="39">
                  <c:v>43938</c:v>
                </c:pt>
                <c:pt idx="40">
                  <c:v>43939</c:v>
                </c:pt>
                <c:pt idx="41">
                  <c:v>43940</c:v>
                </c:pt>
                <c:pt idx="42">
                  <c:v>43941</c:v>
                </c:pt>
                <c:pt idx="43">
                  <c:v>43942</c:v>
                </c:pt>
                <c:pt idx="44">
                  <c:v>43943</c:v>
                </c:pt>
                <c:pt idx="45">
                  <c:v>43944</c:v>
                </c:pt>
                <c:pt idx="46">
                  <c:v>43945</c:v>
                </c:pt>
                <c:pt idx="47">
                  <c:v>43946</c:v>
                </c:pt>
                <c:pt idx="48">
                  <c:v>43947</c:v>
                </c:pt>
                <c:pt idx="49">
                  <c:v>43948</c:v>
                </c:pt>
                <c:pt idx="50">
                  <c:v>43949</c:v>
                </c:pt>
                <c:pt idx="51">
                  <c:v>43950</c:v>
                </c:pt>
                <c:pt idx="52">
                  <c:v>43951</c:v>
                </c:pt>
              </c:numCache>
            </c:numRef>
          </c:xVal>
          <c:yVal>
            <c:numRef>
              <c:f>NSWLikely!LikelyKn</c:f>
              <c:numCache>
                <c:formatCode>General</c:formatCode>
                <c:ptCount val="53"/>
                <c:pt idx="0">
                  <c:v>3</c:v>
                </c:pt>
                <c:pt idx="1">
                  <c:v>3</c:v>
                </c:pt>
                <c:pt idx="2">
                  <c:v>8</c:v>
                </c:pt>
                <c:pt idx="3">
                  <c:v>16</c:v>
                </c:pt>
                <c:pt idx="4">
                  <c:v>29</c:v>
                </c:pt>
                <c:pt idx="5">
                  <c:v>38</c:v>
                </c:pt>
                <c:pt idx="6">
                  <c:v>51</c:v>
                </c:pt>
                <c:pt idx="7">
                  <c:v>64</c:v>
                </c:pt>
                <c:pt idx="8">
                  <c:v>86</c:v>
                </c:pt>
                <c:pt idx="9">
                  <c:v>109</c:v>
                </c:pt>
                <c:pt idx="10">
                  <c:v>123</c:v>
                </c:pt>
                <c:pt idx="11">
                  <c:v>158</c:v>
                </c:pt>
                <c:pt idx="12">
                  <c:v>177</c:v>
                </c:pt>
                <c:pt idx="13">
                  <c:v>203</c:v>
                </c:pt>
                <c:pt idx="14">
                  <c:v>240</c:v>
                </c:pt>
                <c:pt idx="15">
                  <c:v>278</c:v>
                </c:pt>
                <c:pt idx="16">
                  <c:v>311</c:v>
                </c:pt>
                <c:pt idx="17">
                  <c:v>347</c:v>
                </c:pt>
                <c:pt idx="18">
                  <c:v>396</c:v>
                </c:pt>
                <c:pt idx="19">
                  <c:v>420</c:v>
                </c:pt>
                <c:pt idx="20">
                  <c:v>454</c:v>
                </c:pt>
                <c:pt idx="21">
                  <c:v>475</c:v>
                </c:pt>
                <c:pt idx="22">
                  <c:v>513</c:v>
                </c:pt>
                <c:pt idx="23">
                  <c:v>553</c:v>
                </c:pt>
                <c:pt idx="24">
                  <c:v>581</c:v>
                </c:pt>
                <c:pt idx="25">
                  <c:v>611</c:v>
                </c:pt>
                <c:pt idx="26">
                  <c:v>628</c:v>
                </c:pt>
                <c:pt idx="27">
                  <c:v>647</c:v>
                </c:pt>
                <c:pt idx="28">
                  <c:v>658</c:v>
                </c:pt>
                <c:pt idx="29">
                  <c:v>674</c:v>
                </c:pt>
                <c:pt idx="30">
                  <c:v>699</c:v>
                </c:pt>
                <c:pt idx="31">
                  <c:v>706</c:v>
                </c:pt>
                <c:pt idx="32">
                  <c:v>712</c:v>
                </c:pt>
                <c:pt idx="33">
                  <c:v>715</c:v>
                </c:pt>
                <c:pt idx="34">
                  <c:v>719</c:v>
                </c:pt>
                <c:pt idx="35">
                  <c:v>723</c:v>
                </c:pt>
                <c:pt idx="36">
                  <c:v>771</c:v>
                </c:pt>
                <c:pt idx="37">
                  <c:v>775</c:v>
                </c:pt>
                <c:pt idx="38">
                  <c:v>778</c:v>
                </c:pt>
                <c:pt idx="39">
                  <c:v>782</c:v>
                </c:pt>
                <c:pt idx="40">
                  <c:v>792</c:v>
                </c:pt>
                <c:pt idx="41">
                  <c:v>798</c:v>
                </c:pt>
                <c:pt idx="42">
                  <c:v>798</c:v>
                </c:pt>
                <c:pt idx="43">
                  <c:v>800</c:v>
                </c:pt>
                <c:pt idx="44">
                  <c:v>801</c:v>
                </c:pt>
                <c:pt idx="45">
                  <c:v>802</c:v>
                </c:pt>
                <c:pt idx="46">
                  <c:v>807</c:v>
                </c:pt>
                <c:pt idx="47">
                  <c:v>807</c:v>
                </c:pt>
                <c:pt idx="48">
                  <c:v>807</c:v>
                </c:pt>
                <c:pt idx="49">
                  <c:v>808</c:v>
                </c:pt>
                <c:pt idx="50">
                  <c:v>808</c:v>
                </c:pt>
                <c:pt idx="51">
                  <c:v>808</c:v>
                </c:pt>
                <c:pt idx="52">
                  <c:v>808</c:v>
                </c:pt>
              </c:numCache>
            </c:numRef>
          </c:yVal>
          <c:smooth val="0"/>
        </c:ser>
        <c:dLbls>
          <c:showLegendKey val="0"/>
          <c:showVal val="0"/>
          <c:showCatName val="0"/>
          <c:showSerName val="0"/>
          <c:showPercent val="0"/>
          <c:showBubbleSize val="0"/>
        </c:dLbls>
        <c:axId val="792693216"/>
        <c:axId val="792694784"/>
      </c:scatterChart>
      <c:valAx>
        <c:axId val="792693216"/>
        <c:scaling>
          <c:orientation val="minMax"/>
          <c:max val="43954"/>
          <c:min val="4391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AU" sz="1600" b="1"/>
                  <a:t>Date</a:t>
                </a:r>
              </a:p>
            </c:rich>
          </c:tx>
          <c:layout>
            <c:manualLayout>
              <c:xMode val="edge"/>
              <c:yMode val="edge"/>
              <c:x val="0.362268054167873"/>
              <c:y val="0.9149972866788916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ddd\ dd/mm/yy"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792694784"/>
        <c:crosses val="autoZero"/>
        <c:crossBetween val="midCat"/>
        <c:majorUnit val="7"/>
        <c:minorUnit val="1"/>
      </c:valAx>
      <c:valAx>
        <c:axId val="792694784"/>
        <c:scaling>
          <c:orientation val="minMax"/>
          <c:max val="1400"/>
          <c:min val="2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sz="1400" b="1"/>
                  <a:t>Tests (log scale)</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792693216"/>
        <c:crosses val="autoZero"/>
        <c:crossBetween val="midCat"/>
      </c:valAx>
      <c:spPr>
        <a:noFill/>
        <a:ln>
          <a:noFill/>
        </a:ln>
        <a:effectLst/>
      </c:spPr>
    </c:plotArea>
    <c:legend>
      <c:legendPos val="b"/>
      <c:layout>
        <c:manualLayout>
          <c:xMode val="edge"/>
          <c:yMode val="edge"/>
          <c:x val="0.79302045728038506"/>
          <c:y val="0.16715619296232545"/>
          <c:w val="0.20537505014039309"/>
          <c:h val="0.6658708545409725"/>
        </c:manualLayout>
      </c:layout>
      <c:overlay val="0"/>
      <c:spPr>
        <a:solidFill>
          <a:schemeClr val="bg1"/>
        </a:solid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myData!$EJ$12</c:f>
          <c:strCache>
            <c:ptCount val="1"/>
            <c:pt idx="0">
              <c:v>COVID19 NSW P(t) = b / {d+[( b/Po - d ) ]* exp(-b*t)}
b=0.234, d=7.88E-05, P0=.639, r2=0.9995, Limit=3.68 k=&gt;2.97 k cases 
 (Fit: Sat 25-Jan - Sun 03-May)</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9.1142658878072991E-2"/>
          <c:y val="0.17791892379594115"/>
          <c:w val="0.63923479000659555"/>
          <c:h val="0.68992130218377157"/>
        </c:manualLayout>
      </c:layout>
      <c:scatterChart>
        <c:scatterStyle val="lineMarker"/>
        <c:varyColors val="0"/>
        <c:ser>
          <c:idx val="11"/>
          <c:order val="0"/>
          <c:tx>
            <c:strRef>
              <c:f>myData!SingaporeLabel</c:f>
              <c:strCache>
                <c:ptCount val="1"/>
                <c:pt idx="0">
                  <c:v>Singapore from 14-Feb</c:v>
                </c:pt>
              </c:strCache>
            </c:strRef>
          </c:tx>
          <c:spPr>
            <a:ln w="19050" cap="rnd">
              <a:solidFill>
                <a:schemeClr val="bg1">
                  <a:lumMod val="50000"/>
                </a:schemeClr>
              </a:solidFill>
              <a:round/>
            </a:ln>
            <a:effectLst/>
          </c:spPr>
          <c:marker>
            <c:symbol val="x"/>
            <c:size val="3"/>
            <c:spPr>
              <a:noFill/>
              <a:ln w="9525">
                <a:solidFill>
                  <a:schemeClr val="bg1">
                    <a:lumMod val="50000"/>
                  </a:schemeClr>
                </a:solidFill>
              </a:ln>
              <a:effectLst/>
            </c:spPr>
          </c:marker>
          <c:dLbls>
            <c:dLbl>
              <c:idx val="53"/>
              <c:layout>
                <c:manualLayout>
                  <c:x val="-4.5394517763880149E-2"/>
                  <c:y val="-5.4492703117654216E-2"/>
                </c:manualLayout>
              </c:layout>
              <c:tx>
                <c:rich>
                  <a:bodyPr rot="0" spcFirstLastPara="1" vertOverflow="ellipsis" vert="horz" wrap="square" anchor="ctr" anchorCtr="1"/>
                  <a:lstStyle/>
                  <a:p>
                    <a:pPr>
                      <a:defRPr sz="1000" b="1" i="0" u="none" strike="noStrike" kern="1200" baseline="0">
                        <a:solidFill>
                          <a:schemeClr val="bg2">
                            <a:lumMod val="25000"/>
                          </a:schemeClr>
                        </a:solidFill>
                        <a:latin typeface="Calibri"/>
                        <a:ea typeface="Calibri"/>
                        <a:cs typeface="Calibri"/>
                      </a:defRPr>
                    </a:pPr>
                    <a:r>
                      <a:rPr lang="en-US" sz="1000" b="1">
                        <a:solidFill>
                          <a:schemeClr val="bg2">
                            <a:lumMod val="25000"/>
                          </a:schemeClr>
                        </a:solidFill>
                      </a:rPr>
                      <a:t>Singapore </a:t>
                    </a:r>
                  </a:p>
                </c:rich>
              </c:tx>
              <c:spPr>
                <a:noFill/>
                <a:ln>
                  <a:noFill/>
                </a:ln>
                <a:effectLst/>
              </c:spPr>
              <c:txPr>
                <a:bodyPr rot="0" spcFirstLastPara="1" vertOverflow="ellipsis" vert="horz" wrap="square" anchor="ctr" anchorCtr="1"/>
                <a:lstStyle/>
                <a:p>
                  <a:pPr>
                    <a:defRPr sz="1000" b="1" i="0" u="none" strike="noStrike" kern="1200" baseline="0">
                      <a:solidFill>
                        <a:schemeClr val="bg2">
                          <a:lumMod val="25000"/>
                        </a:schemeClr>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000" b="1" i="0" u="none" strike="noStrike" kern="1200" baseline="0">
                    <a:solidFill>
                      <a:schemeClr val="bg2">
                        <a:lumMod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myData!Singapore100Dates</c:f>
              <c:numCache>
                <c:formatCode>0</c:formatCode>
                <c:ptCount val="9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90</c:v>
                </c:pt>
                <c:pt idx="84">
                  <c:v>97</c:v>
                </c:pt>
                <c:pt idx="85">
                  <c:v>104</c:v>
                </c:pt>
                <c:pt idx="86">
                  <c:v>111</c:v>
                </c:pt>
                <c:pt idx="87">
                  <c:v>118</c:v>
                </c:pt>
                <c:pt idx="88">
                  <c:v>125</c:v>
                </c:pt>
                <c:pt idx="89">
                  <c:v>132</c:v>
                </c:pt>
                <c:pt idx="90">
                  <c:v>139</c:v>
                </c:pt>
              </c:numCache>
            </c:numRef>
          </c:xVal>
          <c:yVal>
            <c:numRef>
              <c:f>myData!Singapore100Cases</c:f>
              <c:numCache>
                <c:formatCode>0.0</c:formatCode>
                <c:ptCount val="79"/>
                <c:pt idx="0">
                  <c:v>114.52991452991454</c:v>
                </c:pt>
                <c:pt idx="1">
                  <c:v>123.07692307692308</c:v>
                </c:pt>
                <c:pt idx="2">
                  <c:v>128.2051282051282</c:v>
                </c:pt>
                <c:pt idx="3">
                  <c:v>131.62393162393164</c:v>
                </c:pt>
                <c:pt idx="4">
                  <c:v>138.46153846153848</c:v>
                </c:pt>
                <c:pt idx="5">
                  <c:v>143.58974358974359</c:v>
                </c:pt>
                <c:pt idx="6">
                  <c:v>143.58974358974359</c:v>
                </c:pt>
                <c:pt idx="7">
                  <c:v>145.29914529914529</c:v>
                </c:pt>
                <c:pt idx="8">
                  <c:v>145.29914529914529</c:v>
                </c:pt>
                <c:pt idx="9">
                  <c:v>152.13675213675214</c:v>
                </c:pt>
                <c:pt idx="10">
                  <c:v>152.13675213675214</c:v>
                </c:pt>
                <c:pt idx="11">
                  <c:v>155.55555555555557</c:v>
                </c:pt>
                <c:pt idx="12">
                  <c:v>158.97435897435898</c:v>
                </c:pt>
                <c:pt idx="13">
                  <c:v>158.97435897435898</c:v>
                </c:pt>
                <c:pt idx="14">
                  <c:v>158.97435897435898</c:v>
                </c:pt>
                <c:pt idx="15">
                  <c:v>174.35897435897436</c:v>
                </c:pt>
                <c:pt idx="16">
                  <c:v>181.19658119658121</c:v>
                </c:pt>
                <c:pt idx="17">
                  <c:v>184.61538461538461</c:v>
                </c:pt>
                <c:pt idx="18">
                  <c:v>188.03418803418805</c:v>
                </c:pt>
                <c:pt idx="19">
                  <c:v>188.03418803418805</c:v>
                </c:pt>
                <c:pt idx="20">
                  <c:v>200</c:v>
                </c:pt>
                <c:pt idx="21">
                  <c:v>222.22222222222223</c:v>
                </c:pt>
                <c:pt idx="22">
                  <c:v>235.89743589743591</c:v>
                </c:pt>
                <c:pt idx="23">
                  <c:v>256.41025641025641</c:v>
                </c:pt>
                <c:pt idx="24">
                  <c:v>256.41025641025641</c:v>
                </c:pt>
                <c:pt idx="25">
                  <c:v>273.5042735042735</c:v>
                </c:pt>
                <c:pt idx="26">
                  <c:v>304.27350427350427</c:v>
                </c:pt>
                <c:pt idx="27">
                  <c:v>304.27350427350427</c:v>
                </c:pt>
                <c:pt idx="28">
                  <c:v>341.88034188034192</c:v>
                </c:pt>
                <c:pt idx="29">
                  <c:v>362.39316239316241</c:v>
                </c:pt>
                <c:pt idx="30">
                  <c:v>386.32478632478637</c:v>
                </c:pt>
                <c:pt idx="31">
                  <c:v>415.38461538461542</c:v>
                </c:pt>
                <c:pt idx="32">
                  <c:v>454.70085470085473</c:v>
                </c:pt>
                <c:pt idx="33">
                  <c:v>535.0427350427351</c:v>
                </c:pt>
                <c:pt idx="34">
                  <c:v>589.74358974358972</c:v>
                </c:pt>
                <c:pt idx="35">
                  <c:v>658.1196581196582</c:v>
                </c:pt>
                <c:pt idx="36">
                  <c:v>738.46153846153845</c:v>
                </c:pt>
                <c:pt idx="37">
                  <c:v>777.77777777777783</c:v>
                </c:pt>
                <c:pt idx="38">
                  <c:v>870.08547008547009</c:v>
                </c:pt>
                <c:pt idx="39">
                  <c:v>953.84615384615392</c:v>
                </c:pt>
                <c:pt idx="40">
                  <c:v>1078.6324786324788</c:v>
                </c:pt>
                <c:pt idx="41">
                  <c:v>1167.5213675213677</c:v>
                </c:pt>
                <c:pt idx="42">
                  <c:v>1251.2820512820513</c:v>
                </c:pt>
                <c:pt idx="43">
                  <c:v>1370.9401709401711</c:v>
                </c:pt>
                <c:pt idx="44">
                  <c:v>1442.7350427350427</c:v>
                </c:pt>
                <c:pt idx="45">
                  <c:v>1502.5641025641028</c:v>
                </c:pt>
                <c:pt idx="46">
                  <c:v>1582.9059829059829</c:v>
                </c:pt>
                <c:pt idx="47">
                  <c:v>1709.4017094017095</c:v>
                </c:pt>
                <c:pt idx="48">
                  <c:v>1793.1623931623933</c:v>
                </c:pt>
                <c:pt idx="49">
                  <c:v>1904.2735042735044</c:v>
                </c:pt>
                <c:pt idx="50">
                  <c:v>2032.4786324786326</c:v>
                </c:pt>
                <c:pt idx="51">
                  <c:v>2237.6068376068379</c:v>
                </c:pt>
                <c:pt idx="52">
                  <c:v>2350.4273504273506</c:v>
                </c:pt>
                <c:pt idx="53">
                  <c:v>2531.6239316239316</c:v>
                </c:pt>
                <c:pt idx="54">
                  <c:v>2774.3589743589746</c:v>
                </c:pt>
                <c:pt idx="55">
                  <c:v>3264.9572649572651</c:v>
                </c:pt>
                <c:pt idx="56">
                  <c:v>3603.4188034188037</c:v>
                </c:pt>
                <c:pt idx="57">
                  <c:v>3929.9145299145302</c:v>
                </c:pt>
                <c:pt idx="58" formatCode="0">
                  <c:v>4328.2051282051289</c:v>
                </c:pt>
                <c:pt idx="59" formatCode="0">
                  <c:v>4988.0341880341884</c:v>
                </c:pt>
                <c:pt idx="60" formatCode="0">
                  <c:v>5558.9743589743593</c:v>
                </c:pt>
                <c:pt idx="61" formatCode="0">
                  <c:v>6323.0769230769238</c:v>
                </c:pt>
                <c:pt idx="62" formatCode="0">
                  <c:v>7567.5213675213681</c:v>
                </c:pt>
                <c:pt idx="63" formatCode="0">
                  <c:v>8632.4786324786328</c:v>
                </c:pt>
                <c:pt idx="64" formatCode="0">
                  <c:v>10242.735042735043</c:v>
                </c:pt>
                <c:pt idx="65" formatCode="0">
                  <c:v>11261.538461538463</c:v>
                </c:pt>
                <c:pt idx="66" formatCode="0">
                  <c:v>13699.145299145301</c:v>
                </c:pt>
                <c:pt idx="67" formatCode="0">
                  <c:v>15598.2905982906</c:v>
                </c:pt>
                <c:pt idx="68">
                  <c:v>17335.042735042734</c:v>
                </c:pt>
                <c:pt idx="69">
                  <c:v>19107.692307692309</c:v>
                </c:pt>
                <c:pt idx="70">
                  <c:v>20641.025641025641</c:v>
                </c:pt>
                <c:pt idx="71">
                  <c:v>21697.435897435898</c:v>
                </c:pt>
                <c:pt idx="72">
                  <c:v>23288.888888888891</c:v>
                </c:pt>
                <c:pt idx="73">
                  <c:v>24654.700854700855</c:v>
                </c:pt>
                <c:pt idx="74">
                  <c:v>25557.264957264957</c:v>
                </c:pt>
                <c:pt idx="75">
                  <c:v>26736.752136752137</c:v>
                </c:pt>
                <c:pt idx="76">
                  <c:v>27639.316239316242</c:v>
                </c:pt>
                <c:pt idx="77">
                  <c:v>29232.478632478633</c:v>
                </c:pt>
                <c:pt idx="78">
                  <c:v>29996.581196581199</c:v>
                </c:pt>
              </c:numCache>
            </c:numRef>
          </c:yVal>
          <c:smooth val="0"/>
        </c:ser>
        <c:ser>
          <c:idx val="8"/>
          <c:order val="1"/>
          <c:tx>
            <c:strRef>
              <c:f>myData!SingaporeSeries</c:f>
              <c:strCache>
                <c:ptCount val="1"/>
                <c:pt idx="0">
                  <c:v>Singapore Limit 60.7 k r^2=97.39%</c:v>
                </c:pt>
              </c:strCache>
            </c:strRef>
          </c:tx>
          <c:spPr>
            <a:ln w="12700" cap="rnd">
              <a:solidFill>
                <a:schemeClr val="bg1">
                  <a:lumMod val="50000"/>
                </a:schemeClr>
              </a:solidFill>
              <a:prstDash val="sysDash"/>
              <a:round/>
            </a:ln>
            <a:effectLst/>
          </c:spPr>
          <c:marker>
            <c:symbol val="none"/>
          </c:marker>
          <c:xVal>
            <c:numRef>
              <c:f>myData!Singapore100LogiDates</c:f>
              <c:numCache>
                <c:formatCode>0</c:formatCode>
                <c:ptCount val="9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90</c:v>
                </c:pt>
                <c:pt idx="84">
                  <c:v>97</c:v>
                </c:pt>
                <c:pt idx="85">
                  <c:v>104</c:v>
                </c:pt>
                <c:pt idx="86">
                  <c:v>111</c:v>
                </c:pt>
                <c:pt idx="87">
                  <c:v>118</c:v>
                </c:pt>
                <c:pt idx="88">
                  <c:v>125</c:v>
                </c:pt>
                <c:pt idx="89">
                  <c:v>132</c:v>
                </c:pt>
                <c:pt idx="90">
                  <c:v>139</c:v>
                </c:pt>
              </c:numCache>
            </c:numRef>
          </c:xVal>
          <c:yVal>
            <c:numRef>
              <c:f>myData!Singapore100Logi</c:f>
              <c:numCache>
                <c:formatCode>0.0</c:formatCode>
                <c:ptCount val="91"/>
                <c:pt idx="0">
                  <c:v>3.3097669781008117</c:v>
                </c:pt>
                <c:pt idx="1">
                  <c:v>3.7527000190432296</c:v>
                </c:pt>
                <c:pt idx="2">
                  <c:v>4.2549048849927722</c:v>
                </c:pt>
                <c:pt idx="3">
                  <c:v>4.8243119479855894</c:v>
                </c:pt>
                <c:pt idx="4">
                  <c:v>5.4699122985858653</c:v>
                </c:pt>
                <c:pt idx="5">
                  <c:v>6.2018995244440198</c:v>
                </c:pt>
                <c:pt idx="6">
                  <c:v>7.0318304117443367</c:v>
                </c:pt>
                <c:pt idx="7">
                  <c:v>7.9728070872497385</c:v>
                </c:pt>
                <c:pt idx="8">
                  <c:v>9.0396834513787621</c:v>
                </c:pt>
                <c:pt idx="9">
                  <c:v>10.249299128801972</c:v>
                </c:pt>
                <c:pt idx="10">
                  <c:v>11.62074458787766</c:v>
                </c:pt>
                <c:pt idx="11">
                  <c:v>13.175661559947139</c:v>
                </c:pt>
                <c:pt idx="12">
                  <c:v>14.938583430856303</c:v>
                </c:pt>
                <c:pt idx="13">
                  <c:v>16.937320887585265</c:v>
                </c:pt>
                <c:pt idx="14">
                  <c:v>19.203398790878076</c:v>
                </c:pt>
                <c:pt idx="15">
                  <c:v>21.772551019443043</c:v>
                </c:pt>
                <c:pt idx="16">
                  <c:v>24.685280902707401</c:v>
                </c:pt>
                <c:pt idx="17">
                  <c:v>27.987495838233276</c:v>
                </c:pt>
                <c:pt idx="18">
                  <c:v>31.731225788628574</c:v>
                </c:pt>
                <c:pt idx="19">
                  <c:v>35.975436583885227</c:v>
                </c:pt>
                <c:pt idx="20">
                  <c:v>40.786950332122792</c:v>
                </c:pt>
                <c:pt idx="21">
                  <c:v>46.241486778926813</c:v>
                </c:pt>
                <c:pt idx="22">
                  <c:v>52.424841167493959</c:v>
                </c:pt>
                <c:pt idx="23">
                  <c:v>59.434216053331937</c:v>
                </c:pt>
                <c:pt idx="24">
                  <c:v>67.379726632562281</c:v>
                </c:pt>
                <c:pt idx="25">
                  <c:v>76.386101465023444</c:v>
                </c:pt>
                <c:pt idx="26">
                  <c:v>86.594603023271446</c:v>
                </c:pt>
                <c:pt idx="27">
                  <c:v>98.16519528362582</c:v>
                </c:pt>
                <c:pt idx="28">
                  <c:v>111.27898859767242</c:v>
                </c:pt>
                <c:pt idx="29">
                  <c:v>126.14099533646683</c:v>
                </c:pt>
                <c:pt idx="30">
                  <c:v>142.98323326860009</c:v>
                </c:pt>
                <c:pt idx="31">
                  <c:v>162.06821728588349</c:v>
                </c:pt>
                <c:pt idx="32">
                  <c:v>183.69288387513714</c:v>
                </c:pt>
                <c:pt idx="33">
                  <c:v>208.19299657301141</c:v>
                </c:pt>
                <c:pt idx="34">
                  <c:v>235.94808441917743</c:v>
                </c:pt>
                <c:pt idx="35">
                  <c:v>267.38696898176227</c:v>
                </c:pt>
                <c:pt idx="36">
                  <c:v>302.993938648393</c:v>
                </c:pt>
                <c:pt idx="37">
                  <c:v>343.31563126160341</c:v>
                </c:pt>
                <c:pt idx="38">
                  <c:v>388.96868743765293</c:v>
                </c:pt>
                <c:pt idx="39">
                  <c:v>440.64823653188995</c:v>
                </c:pt>
                <c:pt idx="40">
                  <c:v>499.1372745415926</c:v>
                </c:pt>
                <c:pt idx="41">
                  <c:v>565.3169874264571</c:v>
                </c:pt>
                <c:pt idx="42">
                  <c:v>640.17806331505312</c:v>
                </c:pt>
                <c:pt idx="43">
                  <c:v>724.83302152858403</c:v>
                </c:pt>
                <c:pt idx="44">
                  <c:v>820.52956366223839</c:v>
                </c:pt>
                <c:pt idx="45">
                  <c:v>928.66492014428968</c:v>
                </c:pt>
                <c:pt idx="46">
                  <c:v>1050.8011223887431</c:v>
                </c:pt>
                <c:pt idx="47">
                  <c:v>1188.6810731156438</c:v>
                </c:pt>
                <c:pt idx="48">
                  <c:v>1344.2452124953845</c:v>
                </c:pt>
                <c:pt idx="49">
                  <c:v>1519.6484820142061</c:v>
                </c:pt>
                <c:pt idx="50">
                  <c:v>1717.2771677006065</c:v>
                </c:pt>
                <c:pt idx="51">
                  <c:v>1939.7650559889198</c:v>
                </c:pt>
                <c:pt idx="52">
                  <c:v>2190.008155861382</c:v>
                </c:pt>
                <c:pt idx="53">
                  <c:v>2471.1770278754029</c:v>
                </c:pt>
                <c:pt idx="54">
                  <c:v>2786.7255140086477</c:v>
                </c:pt>
                <c:pt idx="55">
                  <c:v>3140.3943847564333</c:v>
                </c:pt>
                <c:pt idx="56">
                  <c:v>3536.2081189780988</c:v>
                </c:pt>
                <c:pt idx="57">
                  <c:v>3978.4627214317843</c:v>
                </c:pt>
                <c:pt idx="58">
                  <c:v>4471.7021851649042</c:v>
                </c:pt>
                <c:pt idx="59">
                  <c:v>5020.6809541685288</c:v>
                </c:pt>
                <c:pt idx="60">
                  <c:v>5630.3095819887285</c:v>
                </c:pt>
                <c:pt idx="61">
                  <c:v>6305.5807742803954</c:v>
                </c:pt>
                <c:pt idx="62">
                  <c:v>7051.4732209110016</c:v>
                </c:pt>
                <c:pt idx="63">
                  <c:v>7872.8311494742966</c:v>
                </c:pt>
                <c:pt idx="64">
                  <c:v>8774.2184527636891</c:v>
                </c:pt>
                <c:pt idx="65">
                  <c:v>9759.747633459172</c:v>
                </c:pt>
                <c:pt idx="66">
                  <c:v>10832.885716686174</c:v>
                </c:pt>
                <c:pt idx="67">
                  <c:v>11996.241698920954</c:v>
                </c:pt>
                <c:pt idx="68">
                  <c:v>13251.342943642769</c:v>
                </c:pt>
                <c:pt idx="69">
                  <c:v>14598.411008870913</c:v>
                </c:pt>
                <c:pt idx="70">
                  <c:v>16036.150387927775</c:v>
                </c:pt>
                <c:pt idx="71">
                  <c:v>17561.566135752069</c:v>
                </c:pt>
                <c:pt idx="72">
                  <c:v>19169.827830982562</c:v>
                </c:pt>
                <c:pt idx="73">
                  <c:v>20854.197269265806</c:v>
                </c:pt>
                <c:pt idx="74">
                  <c:v>22606.035266757171</c:v>
                </c:pt>
                <c:pt idx="75">
                  <c:v>24414.898756474951</c:v>
                </c:pt>
                <c:pt idx="76">
                  <c:v>26268.733088088131</c:v>
                </c:pt>
                <c:pt idx="77">
                  <c:v>28154.156586446399</c:v>
                </c:pt>
                <c:pt idx="78">
                  <c:v>30056.825854664236</c:v>
                </c:pt>
                <c:pt idx="79">
                  <c:v>31961.862160437533</c:v>
                </c:pt>
                <c:pt idx="80">
                  <c:v>33854.31272765249</c:v>
                </c:pt>
                <c:pt idx="81">
                  <c:v>35719.616905838644</c:v>
                </c:pt>
                <c:pt idx="82">
                  <c:v>37544.046645102382</c:v>
                </c:pt>
                <c:pt idx="83">
                  <c:v>48332.963371186241</c:v>
                </c:pt>
                <c:pt idx="84">
                  <c:v>54879.296483850951</c:v>
                </c:pt>
                <c:pt idx="85">
                  <c:v>58148.532235244347</c:v>
                </c:pt>
                <c:pt idx="86">
                  <c:v>59622.892266281502</c:v>
                </c:pt>
                <c:pt idx="87">
                  <c:v>60257.091573028745</c:v>
                </c:pt>
                <c:pt idx="88">
                  <c:v>60524.327906229548</c:v>
                </c:pt>
                <c:pt idx="89">
                  <c:v>60635.955192486144</c:v>
                </c:pt>
                <c:pt idx="90">
                  <c:v>60682.412713966558</c:v>
                </c:pt>
              </c:numCache>
            </c:numRef>
          </c:yVal>
          <c:smooth val="0"/>
        </c:ser>
        <c:ser>
          <c:idx val="7"/>
          <c:order val="2"/>
          <c:tx>
            <c:strRef>
              <c:f>myData!SKoreaLabel</c:f>
              <c:strCache>
                <c:ptCount val="1"/>
                <c:pt idx="0">
                  <c:v>South Korea from 23-Feb</c:v>
                </c:pt>
              </c:strCache>
            </c:strRef>
          </c:tx>
          <c:spPr>
            <a:ln w="19050" cap="rnd">
              <a:solidFill>
                <a:schemeClr val="accent2">
                  <a:lumMod val="60000"/>
                </a:schemeClr>
              </a:solidFill>
              <a:round/>
            </a:ln>
            <a:effectLst/>
          </c:spPr>
          <c:marker>
            <c:symbol val="x"/>
            <c:size val="4"/>
            <c:spPr>
              <a:noFill/>
              <a:ln w="9525">
                <a:solidFill>
                  <a:schemeClr val="accent4">
                    <a:lumMod val="60000"/>
                  </a:schemeClr>
                </a:solidFill>
              </a:ln>
              <a:effectLst/>
            </c:spPr>
          </c:marker>
          <c:dLbls>
            <c:dLbl>
              <c:idx val="53"/>
              <c:layout>
                <c:manualLayout>
                  <c:x val="-5.3098930751267009E-2"/>
                  <c:y val="4.3856087529711985E-2"/>
                </c:manualLayout>
              </c:layout>
              <c:tx>
                <c:rich>
                  <a:bodyPr rot="0" spcFirstLastPara="1" vertOverflow="ellipsis" vert="horz" wrap="square" anchor="ctr" anchorCtr="1"/>
                  <a:lstStyle/>
                  <a:p>
                    <a:pPr>
                      <a:defRPr sz="1050" b="1" i="0" u="none" strike="noStrike" kern="1200" baseline="0">
                        <a:solidFill>
                          <a:schemeClr val="accent4">
                            <a:lumMod val="75000"/>
                          </a:schemeClr>
                        </a:solidFill>
                        <a:latin typeface="Calibri"/>
                        <a:ea typeface="Calibri"/>
                        <a:cs typeface="Calibri"/>
                      </a:defRPr>
                    </a:pPr>
                    <a:r>
                      <a:rPr lang="en-US" sz="1050">
                        <a:solidFill>
                          <a:schemeClr val="accent4">
                            <a:lumMod val="75000"/>
                          </a:schemeClr>
                        </a:solidFill>
                      </a:rPr>
                      <a:t>South Korea </a:t>
                    </a:r>
                  </a:p>
                </c:rich>
              </c:tx>
              <c:spPr>
                <a:solidFill>
                  <a:schemeClr val="bg1"/>
                </a:solidFill>
                <a:ln>
                  <a:noFill/>
                </a:ln>
                <a:effectLst/>
              </c:spPr>
              <c:txPr>
                <a:bodyPr rot="0" spcFirstLastPara="1" vertOverflow="ellipsis" vert="horz" wrap="square" anchor="ctr" anchorCtr="1"/>
                <a:lstStyle/>
                <a:p>
                  <a:pPr>
                    <a:defRPr sz="1050" b="1" i="0" u="none" strike="noStrike" kern="1200" baseline="0">
                      <a:solidFill>
                        <a:schemeClr val="accent4">
                          <a:lumMod val="75000"/>
                        </a:schemeClr>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myData!SKorea100Dates</c:f>
              <c:numCache>
                <c:formatCode>0</c:formatCode>
                <c:ptCount val="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formatCode="0.0">
                  <c:v>73</c:v>
                </c:pt>
                <c:pt idx="73" formatCode="0.0">
                  <c:v>74</c:v>
                </c:pt>
                <c:pt idx="74" formatCode="0.0">
                  <c:v>81</c:v>
                </c:pt>
                <c:pt idx="75">
                  <c:v>88</c:v>
                </c:pt>
                <c:pt idx="76">
                  <c:v>95</c:v>
                </c:pt>
                <c:pt idx="77">
                  <c:v>102</c:v>
                </c:pt>
                <c:pt idx="78" formatCode="0.0">
                  <c:v>109</c:v>
                </c:pt>
                <c:pt idx="79" formatCode="0.0">
                  <c:v>116</c:v>
                </c:pt>
                <c:pt idx="80" formatCode="0.0">
                  <c:v>123</c:v>
                </c:pt>
                <c:pt idx="81" formatCode="0.0">
                  <c:v>130</c:v>
                </c:pt>
              </c:numCache>
            </c:numRef>
          </c:xVal>
          <c:yVal>
            <c:numRef>
              <c:f>myData!SKorea100Cases</c:f>
              <c:numCache>
                <c:formatCode>0.0</c:formatCode>
                <c:ptCount val="70"/>
                <c:pt idx="0">
                  <c:v>117.1206225680934</c:v>
                </c:pt>
                <c:pt idx="1">
                  <c:v>162.06225680933852</c:v>
                </c:pt>
                <c:pt idx="2">
                  <c:v>190.07782101167317</c:v>
                </c:pt>
                <c:pt idx="3">
                  <c:v>245.33073929961091</c:v>
                </c:pt>
                <c:pt idx="4">
                  <c:v>343.579766536965</c:v>
                </c:pt>
                <c:pt idx="5">
                  <c:v>454.66926070038915</c:v>
                </c:pt>
                <c:pt idx="6">
                  <c:v>612.84046692607012</c:v>
                </c:pt>
                <c:pt idx="7">
                  <c:v>726.84824902723744</c:v>
                </c:pt>
                <c:pt idx="8">
                  <c:v>843.38521400778211</c:v>
                </c:pt>
                <c:pt idx="9">
                  <c:v>1008.9494163424125</c:v>
                </c:pt>
                <c:pt idx="10">
                  <c:v>1093.5797665369651</c:v>
                </c:pt>
                <c:pt idx="11">
                  <c:v>1184.4357976653698</c:v>
                </c:pt>
                <c:pt idx="12">
                  <c:v>1282.6848249027239</c:v>
                </c:pt>
                <c:pt idx="13">
                  <c:v>1369.8443579766538</c:v>
                </c:pt>
                <c:pt idx="14">
                  <c:v>1422.95719844358</c:v>
                </c:pt>
                <c:pt idx="15">
                  <c:v>1454.8638132295721</c:v>
                </c:pt>
                <c:pt idx="16">
                  <c:v>1461.6731517509729</c:v>
                </c:pt>
                <c:pt idx="17">
                  <c:v>1508.7548638132296</c:v>
                </c:pt>
                <c:pt idx="18">
                  <c:v>1530.933852140078</c:v>
                </c:pt>
                <c:pt idx="19">
                  <c:v>1552.3346303501946</c:v>
                </c:pt>
                <c:pt idx="20">
                  <c:v>1573.1517509727628</c:v>
                </c:pt>
                <c:pt idx="21">
                  <c:v>1587.9377431906616</c:v>
                </c:pt>
                <c:pt idx="22">
                  <c:v>1602.3346303501946</c:v>
                </c:pt>
                <c:pt idx="23">
                  <c:v>1618.6770428015566</c:v>
                </c:pt>
                <c:pt idx="24">
                  <c:v>1636.7704280155642</c:v>
                </c:pt>
                <c:pt idx="25">
                  <c:v>1666.342412451362</c:v>
                </c:pt>
                <c:pt idx="26">
                  <c:v>1683.2684824902724</c:v>
                </c:pt>
                <c:pt idx="27">
                  <c:v>1711.8677042801557</c:v>
                </c:pt>
                <c:pt idx="28">
                  <c:v>1743.3852140077822</c:v>
                </c:pt>
                <c:pt idx="29">
                  <c:v>1743.3852140077822</c:v>
                </c:pt>
                <c:pt idx="30">
                  <c:v>1758.1712062256811</c:v>
                </c:pt>
                <c:pt idx="31">
                  <c:v>1777.626459143969</c:v>
                </c:pt>
                <c:pt idx="32">
                  <c:v>1797.8599221789884</c:v>
                </c:pt>
                <c:pt idx="33">
                  <c:v>1815.5642023346304</c:v>
                </c:pt>
                <c:pt idx="34">
                  <c:v>1843.9688715953309</c:v>
                </c:pt>
                <c:pt idx="35">
                  <c:v>1864.3968871595332</c:v>
                </c:pt>
                <c:pt idx="36">
                  <c:v>1879.5719844357977</c:v>
                </c:pt>
                <c:pt idx="37">
                  <c:v>1903.8910505836577</c:v>
                </c:pt>
                <c:pt idx="38">
                  <c:v>1923.5408560311284</c:v>
                </c:pt>
                <c:pt idx="39">
                  <c:v>1940.8560311284048</c:v>
                </c:pt>
                <c:pt idx="40">
                  <c:v>1957.5875486381324</c:v>
                </c:pt>
                <c:pt idx="41">
                  <c:v>1975.8754863813231</c:v>
                </c:pt>
                <c:pt idx="42">
                  <c:v>1991.6342412451363</c:v>
                </c:pt>
                <c:pt idx="43">
                  <c:v>2000.7782101167315</c:v>
                </c:pt>
                <c:pt idx="44">
                  <c:v>2009.922178988327</c:v>
                </c:pt>
                <c:pt idx="45">
                  <c:v>2020.2334630350197</c:v>
                </c:pt>
                <c:pt idx="46">
                  <c:v>2027.8210116731518</c:v>
                </c:pt>
                <c:pt idx="47">
                  <c:v>2033.0739299610896</c:v>
                </c:pt>
                <c:pt idx="48">
                  <c:v>2038.910505836576</c:v>
                </c:pt>
                <c:pt idx="49">
                  <c:v>2045.1361867704281</c:v>
                </c:pt>
                <c:pt idx="50">
                  <c:v>2050</c:v>
                </c:pt>
                <c:pt idx="51">
                  <c:v>2055.252918287938</c:v>
                </c:pt>
                <c:pt idx="52">
                  <c:v>2060.5058365758755</c:v>
                </c:pt>
                <c:pt idx="53">
                  <c:v>2064.7859922178991</c:v>
                </c:pt>
                <c:pt idx="54">
                  <c:v>2069.0661478599222</c:v>
                </c:pt>
                <c:pt idx="55">
                  <c:v>2072.5680933852141</c:v>
                </c:pt>
                <c:pt idx="56">
                  <c:v>2074.1245136186772</c:v>
                </c:pt>
                <c:pt idx="57">
                  <c:v>2076.6536964980546</c:v>
                </c:pt>
                <c:pt idx="58">
                  <c:v>2078.4046692607003</c:v>
                </c:pt>
                <c:pt idx="59">
                  <c:v>2080.5447470817121</c:v>
                </c:pt>
                <c:pt idx="60">
                  <c:v>2083.2684824902726</c:v>
                </c:pt>
                <c:pt idx="61">
                  <c:v>2085.2140077821014</c:v>
                </c:pt>
                <c:pt idx="62">
                  <c:v>2087.1595330739301</c:v>
                </c:pt>
                <c:pt idx="63">
                  <c:v>2089.1050583657589</c:v>
                </c:pt>
                <c:pt idx="64">
                  <c:v>2091.8287937743194</c:v>
                </c:pt>
                <c:pt idx="65">
                  <c:v>2093.5797665369651</c:v>
                </c:pt>
                <c:pt idx="66">
                  <c:v>2094.3579766536968</c:v>
                </c:pt>
                <c:pt idx="67">
                  <c:v>2096.1089494163425</c:v>
                </c:pt>
                <c:pt idx="68">
                  <c:v>2097.2762645914399</c:v>
                </c:pt>
                <c:pt idx="69">
                  <c:v>2099.8054474708174</c:v>
                </c:pt>
              </c:numCache>
            </c:numRef>
          </c:yVal>
          <c:smooth val="0"/>
        </c:ser>
        <c:ser>
          <c:idx val="1"/>
          <c:order val="3"/>
          <c:tx>
            <c:strRef>
              <c:f>myData!NSWLabel</c:f>
              <c:strCache>
                <c:ptCount val="1"/>
                <c:pt idx="0">
                  <c:v>NSW from 13-Mar</c:v>
                </c:pt>
              </c:strCache>
            </c:strRef>
          </c:tx>
          <c:spPr>
            <a:ln w="19050" cap="rnd">
              <a:solidFill>
                <a:schemeClr val="accent6">
                  <a:lumMod val="75000"/>
                </a:schemeClr>
              </a:solidFill>
              <a:round/>
            </a:ln>
            <a:effectLst/>
          </c:spPr>
          <c:marker>
            <c:symbol val="x"/>
            <c:size val="5"/>
            <c:spPr>
              <a:noFill/>
              <a:ln w="9525">
                <a:solidFill>
                  <a:schemeClr val="accent6">
                    <a:lumMod val="75000"/>
                    <a:alpha val="90000"/>
                  </a:schemeClr>
                </a:solidFill>
              </a:ln>
              <a:effectLst/>
            </c:spPr>
          </c:marker>
          <c:dLbls>
            <c:dLbl>
              <c:idx val="43"/>
              <c:tx>
                <c:rich>
                  <a:bodyPr rot="0" spcFirstLastPara="1" vertOverflow="ellipsis" vert="horz" wrap="square" lIns="38100" tIns="19050" rIns="38100" bIns="19050" anchor="ctr" anchorCtr="1">
                    <a:spAutoFit/>
                  </a:bodyPr>
                  <a:lstStyle/>
                  <a:p>
                    <a:pPr>
                      <a:defRPr sz="1050" b="1" i="0" u="none" strike="noStrike" kern="1200" baseline="0">
                        <a:solidFill>
                          <a:schemeClr val="accent6">
                            <a:lumMod val="75000"/>
                          </a:schemeClr>
                        </a:solidFill>
                        <a:latin typeface="Calibri"/>
                        <a:ea typeface="Calibri"/>
                        <a:cs typeface="Calibri"/>
                      </a:defRPr>
                    </a:pPr>
                    <a:r>
                      <a:rPr lang="en-US" sz="1050" b="1">
                        <a:solidFill>
                          <a:schemeClr val="accent6">
                            <a:lumMod val="75000"/>
                          </a:schemeClr>
                        </a:solidFill>
                      </a:rPr>
                      <a:t>NSW </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lumMod val="75000"/>
                        </a:schemeClr>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myData!NSW100Dates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myData!NSW100Cases</c:f>
              <c:numCache>
                <c:formatCode>0</c:formatCode>
                <c:ptCount val="52"/>
                <c:pt idx="0">
                  <c:v>113.86138613861385</c:v>
                </c:pt>
                <c:pt idx="1">
                  <c:v>138.61386138613861</c:v>
                </c:pt>
                <c:pt idx="2">
                  <c:v>165.84158415841583</c:v>
                </c:pt>
                <c:pt idx="3">
                  <c:v>211.63366336633663</c:v>
                </c:pt>
                <c:pt idx="4">
                  <c:v>259.9009900990099</c:v>
                </c:pt>
                <c:pt idx="5">
                  <c:v>330.44554455445541</c:v>
                </c:pt>
                <c:pt idx="6">
                  <c:v>379.95049504950492</c:v>
                </c:pt>
                <c:pt idx="7">
                  <c:v>436.88118811881185</c:v>
                </c:pt>
                <c:pt idx="8">
                  <c:v>539.60396039603961</c:v>
                </c:pt>
                <c:pt idx="9">
                  <c:v>827.97029702970292</c:v>
                </c:pt>
                <c:pt idx="10">
                  <c:v>827.97029702970292</c:v>
                </c:pt>
                <c:pt idx="11">
                  <c:v>1012.3762376237623</c:v>
                </c:pt>
                <c:pt idx="12">
                  <c:v>1273.5148514851485</c:v>
                </c:pt>
                <c:pt idx="13">
                  <c:v>1508.6633663366335</c:v>
                </c:pt>
                <c:pt idx="14">
                  <c:v>1738.8613861386139</c:v>
                </c:pt>
                <c:pt idx="15">
                  <c:v>2001.2376237623762</c:v>
                </c:pt>
                <c:pt idx="16">
                  <c:v>2216.5841584158416</c:v>
                </c:pt>
                <c:pt idx="17">
                  <c:v>2373.7623762376238</c:v>
                </c:pt>
                <c:pt idx="18">
                  <c:v>2514.8514851485147</c:v>
                </c:pt>
                <c:pt idx="19">
                  <c:v>2700.4950495049502</c:v>
                </c:pt>
                <c:pt idx="20">
                  <c:v>2844.0594059405939</c:v>
                </c:pt>
                <c:pt idx="21">
                  <c:v>2956.6831683168316</c:v>
                </c:pt>
                <c:pt idx="22">
                  <c:v>3085.3960396039602</c:v>
                </c:pt>
                <c:pt idx="23">
                  <c:v>3193.0693069306931</c:v>
                </c:pt>
                <c:pt idx="24">
                  <c:v>3263.6138613861385</c:v>
                </c:pt>
                <c:pt idx="25">
                  <c:v>3324.257425742574</c:v>
                </c:pt>
                <c:pt idx="26">
                  <c:v>3383.6633663366333</c:v>
                </c:pt>
                <c:pt idx="27">
                  <c:v>3431.9306930693069</c:v>
                </c:pt>
                <c:pt idx="28">
                  <c:v>3492.5742574257424</c:v>
                </c:pt>
                <c:pt idx="29">
                  <c:v>3535.8910891089108</c:v>
                </c:pt>
                <c:pt idx="30">
                  <c:v>3532.1782178217818</c:v>
                </c:pt>
                <c:pt idx="31">
                  <c:v>3543.3168316831679</c:v>
                </c:pt>
                <c:pt idx="32">
                  <c:v>3551.9801980198017</c:v>
                </c:pt>
                <c:pt idx="33">
                  <c:v>3571.7821782178216</c:v>
                </c:pt>
                <c:pt idx="34">
                  <c:v>3585.3960396039602</c:v>
                </c:pt>
                <c:pt idx="35">
                  <c:v>3621.287128712871</c:v>
                </c:pt>
                <c:pt idx="36">
                  <c:v>3633.6633663366333</c:v>
                </c:pt>
                <c:pt idx="37">
                  <c:v>3659.6534653465346</c:v>
                </c:pt>
                <c:pt idx="38">
                  <c:v>3667.0792079207918</c:v>
                </c:pt>
                <c:pt idx="39">
                  <c:v>3674.5049504950493</c:v>
                </c:pt>
                <c:pt idx="40">
                  <c:v>3676.9801980198017</c:v>
                </c:pt>
                <c:pt idx="41">
                  <c:v>3683.1683168316831</c:v>
                </c:pt>
                <c:pt idx="42">
                  <c:v>3690.5940594059402</c:v>
                </c:pt>
                <c:pt idx="43">
                  <c:v>3705.4455445544554</c:v>
                </c:pt>
                <c:pt idx="44">
                  <c:v>3715.3465346534649</c:v>
                </c:pt>
                <c:pt idx="45">
                  <c:v>3717.8217821782177</c:v>
                </c:pt>
                <c:pt idx="46">
                  <c:v>3724.0099009900987</c:v>
                </c:pt>
                <c:pt idx="47">
                  <c:v>3732.6732673267325</c:v>
                </c:pt>
                <c:pt idx="48">
                  <c:v>3732.6732673267325</c:v>
                </c:pt>
                <c:pt idx="49">
                  <c:v>3743.8118811881186</c:v>
                </c:pt>
                <c:pt idx="50">
                  <c:v>3751.2376237623762</c:v>
                </c:pt>
                <c:pt idx="51">
                  <c:v>3756.1881188118809</c:v>
                </c:pt>
              </c:numCache>
            </c:numRef>
          </c:yVal>
          <c:smooth val="0"/>
        </c:ser>
        <c:ser>
          <c:idx val="0"/>
          <c:order val="4"/>
          <c:tx>
            <c:strRef>
              <c:f>myData!NSWSeries</c:f>
              <c:strCache>
                <c:ptCount val="1"/>
                <c:pt idx="0">
                  <c:v>NSW Limit 3.68 k r^2=99.95%</c:v>
                </c:pt>
              </c:strCache>
            </c:strRef>
          </c:tx>
          <c:spPr>
            <a:ln w="12700" cap="rnd">
              <a:solidFill>
                <a:schemeClr val="accent6">
                  <a:lumMod val="75000"/>
                </a:schemeClr>
              </a:solidFill>
              <a:prstDash val="sysDash"/>
              <a:round/>
            </a:ln>
            <a:effectLst/>
          </c:spPr>
          <c:marker>
            <c:symbol val="none"/>
          </c:marker>
          <c:dLbls>
            <c:dLbl>
              <c:idx val="53"/>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NSW Limit 3.65 k r^2=99.96%</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myData!NSW100LogiDates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myData!NSW100Logi</c:f>
              <c:numCache>
                <c:formatCode>0.000</c:formatCode>
                <c:ptCount val="63"/>
                <c:pt idx="0">
                  <c:v>113.44691941965432</c:v>
                </c:pt>
                <c:pt idx="1">
                  <c:v>142.24067232475451</c:v>
                </c:pt>
                <c:pt idx="2">
                  <c:v>177.97784543859348</c:v>
                </c:pt>
                <c:pt idx="3">
                  <c:v>222.13005070843221</c:v>
                </c:pt>
                <c:pt idx="4">
                  <c:v>276.37105102150247</c:v>
                </c:pt>
                <c:pt idx="5">
                  <c:v>342.54493196615931</c:v>
                </c:pt>
                <c:pt idx="6">
                  <c:v>422.59622556080308</c:v>
                </c:pt>
                <c:pt idx="7">
                  <c:v>518.44922906601766</c:v>
                </c:pt>
                <c:pt idx="8">
                  <c:v>631.82670201558562</c:v>
                </c:pt>
                <c:pt idx="9">
                  <c:v>764.00693957768237</c:v>
                </c:pt>
                <c:pt idx="10">
                  <c:v>915.53463390105367</c:v>
                </c:pt>
                <c:pt idx="11">
                  <c:v>1085.924158627887</c:v>
                </c:pt>
                <c:pt idx="12">
                  <c:v>1273.4183928070202</c:v>
                </c:pt>
                <c:pt idx="13">
                  <c:v>1474.8808053122495</c:v>
                </c:pt>
                <c:pt idx="14">
                  <c:v>1685.8896953354424</c:v>
                </c:pt>
                <c:pt idx="15">
                  <c:v>1901.0633540670383</c:v>
                </c:pt>
                <c:pt idx="16">
                  <c:v>2114.5805550109835</c:v>
                </c:pt>
                <c:pt idx="17">
                  <c:v>2320.7963855332187</c:v>
                </c:pt>
                <c:pt idx="18">
                  <c:v>2514.8194031077237</c:v>
                </c:pt>
                <c:pt idx="19">
                  <c:v>2692.9300903149101</c:v>
                </c:pt>
                <c:pt idx="20">
                  <c:v>2852.7752226636558</c:v>
                </c:pt>
                <c:pt idx="21">
                  <c:v>2993.3408699389606</c:v>
                </c:pt>
                <c:pt idx="22" formatCode="0.00E+00">
                  <c:v>3114.7593598942085</c:v>
                </c:pt>
                <c:pt idx="23" formatCode="0.00E+00">
                  <c:v>3218.027679989124</c:v>
                </c:pt>
                <c:pt idx="24" formatCode="0.00E+00">
                  <c:v>3304.7087959552191</c:v>
                </c:pt>
                <c:pt idx="25" formatCode="0.00E+00">
                  <c:v>3376.6655307539727</c:v>
                </c:pt>
                <c:pt idx="26" formatCode="0.00E+00">
                  <c:v>3435.8518546389728</c:v>
                </c:pt>
                <c:pt idx="27" formatCode="0.00E+00">
                  <c:v>3484.1667381930329</c:v>
                </c:pt>
                <c:pt idx="28" formatCode="0.00E+00">
                  <c:v>3523.3637239193954</c:v>
                </c:pt>
                <c:pt idx="29" formatCode="0.00E+00">
                  <c:v>3555.0041657368256</c:v>
                </c:pt>
                <c:pt idx="30" formatCode="0.00E+00">
                  <c:v>3580.4414251336939</c:v>
                </c:pt>
                <c:pt idx="31" formatCode="0.00E+00">
                  <c:v>3600.8250260570503</c:v>
                </c:pt>
                <c:pt idx="32" formatCode="0.00E+00">
                  <c:v>3617.1163168005223</c:v>
                </c:pt>
                <c:pt idx="33" formatCode="0.00E+00">
                  <c:v>3630.1096898980309</c:v>
                </c:pt>
                <c:pt idx="34" formatCode="0.00E+00">
                  <c:v>3640.4554843134551</c:v>
                </c:pt>
                <c:pt idx="35" formatCode="0.00E+00">
                  <c:v>3648.6822442442831</c:v>
                </c:pt>
                <c:pt idx="36" formatCode="0.00E+00">
                  <c:v>3655.2170842499941</c:v>
                </c:pt>
                <c:pt idx="37" formatCode="0.00E+00">
                  <c:v>3660.4036104462061</c:v>
                </c:pt>
                <c:pt idx="38" formatCode="0.00E+00">
                  <c:v>3664.5172748537816</c:v>
                </c:pt>
                <c:pt idx="39" formatCode="0.00E+00">
                  <c:v>3667.7782811959269</c:v>
                </c:pt>
                <c:pt idx="40" formatCode="0.00E+00">
                  <c:v>3670.3622810700244</c:v>
                </c:pt>
                <c:pt idx="41" formatCode="0.00E+00">
                  <c:v>3672.4091458764838</c:v>
                </c:pt>
                <c:pt idx="42" formatCode="0.00E+00">
                  <c:v>3674.0301033495602</c:v>
                </c:pt>
                <c:pt idx="43" formatCode="0.00E+00">
                  <c:v>3675.3135080819206</c:v>
                </c:pt>
                <c:pt idx="44" formatCode="0.00E+00">
                  <c:v>3676.3294854607248</c:v>
                </c:pt>
                <c:pt idx="45" formatCode="0.00E+00">
                  <c:v>3677.1336552397916</c:v>
                </c:pt>
                <c:pt idx="46" formatCode="0.00E+00">
                  <c:v>3677.7701086008828</c:v>
                </c:pt>
                <c:pt idx="47" formatCode="0.00E+00">
                  <c:v>3678.2737830326992</c:v>
                </c:pt>
                <c:pt idx="48" formatCode="0.00E+00">
                  <c:v>3678.6723535036722</c:v>
                </c:pt>
                <c:pt idx="49" formatCode="0.00E+00">
                  <c:v>3678.9877363680048</c:v>
                </c:pt>
                <c:pt idx="50" formatCode="0.00E+00">
                  <c:v>3679.2372840080629</c:v>
                </c:pt>
                <c:pt idx="51" formatCode="0.00E+00">
                  <c:v>3679.4347329976172</c:v>
                </c:pt>
                <c:pt idx="52" formatCode="0.00E+00">
                  <c:v>3679.5909561315093</c:v>
                </c:pt>
                <c:pt idx="53">
                  <c:v>3679.7145585754411</c:v>
                </c:pt>
                <c:pt idx="54">
                  <c:v>3679.8123502477015</c:v>
                </c:pt>
                <c:pt idx="55">
                  <c:v>3680.1109394698587</c:v>
                </c:pt>
                <c:pt idx="56" formatCode="0.00E+00">
                  <c:v>3680.1688632632272</c:v>
                </c:pt>
                <c:pt idx="57" formatCode="0.00E+00">
                  <c:v>3680.1800991137111</c:v>
                </c:pt>
                <c:pt idx="58" formatCode="0.00E+00">
                  <c:v>3680.1822785708309</c:v>
                </c:pt>
                <c:pt idx="59">
                  <c:v>3680.1827013264901</c:v>
                </c:pt>
                <c:pt idx="60">
                  <c:v>3680.1827833295929</c:v>
                </c:pt>
                <c:pt idx="61">
                  <c:v>3680.1827992359631</c:v>
                </c:pt>
                <c:pt idx="62">
                  <c:v>3680.1828023213657</c:v>
                </c:pt>
              </c:numCache>
            </c:numRef>
          </c:yVal>
          <c:smooth val="0"/>
        </c:ser>
        <c:ser>
          <c:idx val="10"/>
          <c:order val="5"/>
          <c:tx>
            <c:strRef>
              <c:f>myData!UKLabel</c:f>
              <c:strCache>
                <c:ptCount val="1"/>
                <c:pt idx="0">
                  <c:v>United Kingdom from 12-Mar</c:v>
                </c:pt>
              </c:strCache>
            </c:strRef>
          </c:tx>
          <c:spPr>
            <a:ln w="19050" cap="rnd">
              <a:solidFill>
                <a:schemeClr val="accent4">
                  <a:lumMod val="60000"/>
                  <a:lumOff val="40000"/>
                </a:schemeClr>
              </a:solidFill>
              <a:round/>
            </a:ln>
            <a:effectLst/>
          </c:spPr>
          <c:marker>
            <c:symbol val="circle"/>
            <c:size val="5"/>
            <c:spPr>
              <a:solidFill>
                <a:schemeClr val="accent4">
                  <a:lumMod val="75000"/>
                </a:schemeClr>
              </a:solidFill>
              <a:ln w="9525">
                <a:solidFill>
                  <a:schemeClr val="accent4">
                    <a:lumMod val="75000"/>
                  </a:schemeClr>
                </a:solidFill>
              </a:ln>
              <a:effectLst/>
            </c:spPr>
          </c:marker>
          <c:dLbls>
            <c:dLbl>
              <c:idx val="42"/>
              <c:layout>
                <c:manualLayout>
                  <c:x val="-8.1853278535320446E-3"/>
                  <c:y val="6.2629244734047629E-2"/>
                </c:manualLayout>
              </c:layout>
              <c:tx>
                <c:rich>
                  <a:bodyPr rot="0" spcFirstLastPara="1" vertOverflow="ellipsis" vert="horz" wrap="square" anchor="ctr" anchorCtr="1"/>
                  <a:lstStyle/>
                  <a:p>
                    <a:pPr>
                      <a:defRPr sz="1000" b="1" i="0" u="none" strike="noStrike" kern="1200" baseline="0">
                        <a:solidFill>
                          <a:schemeClr val="accent4">
                            <a:lumMod val="75000"/>
                          </a:schemeClr>
                        </a:solidFill>
                        <a:latin typeface="Calibri"/>
                        <a:ea typeface="Calibri"/>
                        <a:cs typeface="Calibri"/>
                      </a:defRPr>
                    </a:pPr>
                    <a:r>
                      <a:rPr lang="en-US" sz="1000">
                        <a:solidFill>
                          <a:schemeClr val="accent4">
                            <a:lumMod val="75000"/>
                          </a:schemeClr>
                        </a:solidFill>
                      </a:rPr>
                      <a:t>United Kingdom </a:t>
                    </a:r>
                  </a:p>
                </c:rich>
              </c:tx>
              <c:spPr>
                <a:noFill/>
                <a:ln>
                  <a:noFill/>
                </a:ln>
                <a:effectLst/>
              </c:spPr>
              <c:txPr>
                <a:bodyPr rot="0" spcFirstLastPara="1" vertOverflow="ellipsis" vert="horz" wrap="square" anchor="ctr" anchorCtr="1"/>
                <a:lstStyle/>
                <a:p>
                  <a:pPr>
                    <a:defRPr sz="1000" b="1" i="0" u="none" strike="noStrike" kern="1200" baseline="0">
                      <a:solidFill>
                        <a:schemeClr val="accent4">
                          <a:lumMod val="75000"/>
                        </a:schemeClr>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myData!UK100Dates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myData!UK100Cases</c:f>
              <c:numCache>
                <c:formatCode>0.0</c:formatCode>
                <c:ptCount val="51"/>
                <c:pt idx="0">
                  <c:v>120.71041541240217</c:v>
                </c:pt>
                <c:pt idx="1">
                  <c:v>172.18543046357615</c:v>
                </c:pt>
                <c:pt idx="2">
                  <c:v>172.33594220349187</c:v>
                </c:pt>
                <c:pt idx="3">
                  <c:v>233.44370860927151</c:v>
                </c:pt>
                <c:pt idx="4">
                  <c:v>295.0030102347983</c:v>
                </c:pt>
                <c:pt idx="5">
                  <c:v>397.65201685731489</c:v>
                </c:pt>
                <c:pt idx="6">
                  <c:v>408.78988561107764</c:v>
                </c:pt>
                <c:pt idx="7">
                  <c:v>604.15412402167362</c:v>
                </c:pt>
                <c:pt idx="8">
                  <c:v>762.64298615291989</c:v>
                </c:pt>
                <c:pt idx="9">
                  <c:v>864.68994581577363</c:v>
                </c:pt>
                <c:pt idx="10">
                  <c:v>1012.3419626730885</c:v>
                </c:pt>
                <c:pt idx="11">
                  <c:v>1228.7778446718844</c:v>
                </c:pt>
                <c:pt idx="12">
                  <c:v>1450.9331727874774</c:v>
                </c:pt>
                <c:pt idx="13">
                  <c:v>1777.844671884407</c:v>
                </c:pt>
                <c:pt idx="14">
                  <c:v>2219.2956050571943</c:v>
                </c:pt>
                <c:pt idx="15">
                  <c:v>2605.6592414208308</c:v>
                </c:pt>
                <c:pt idx="16">
                  <c:v>2977.1222155328114</c:v>
                </c:pt>
                <c:pt idx="17">
                  <c:v>3379.4400963275134</c:v>
                </c:pt>
                <c:pt idx="18">
                  <c:v>3835.1896447922936</c:v>
                </c:pt>
                <c:pt idx="19">
                  <c:v>4495.0331125827815</c:v>
                </c:pt>
                <c:pt idx="20">
                  <c:v>5143.4376881396747</c:v>
                </c:pt>
                <c:pt idx="21">
                  <c:v>5823.1487055990365</c:v>
                </c:pt>
                <c:pt idx="22">
                  <c:v>6393.2871763997591</c:v>
                </c:pt>
                <c:pt idx="23">
                  <c:v>7290.1866345574954</c:v>
                </c:pt>
                <c:pt idx="24">
                  <c:v>7868.6032510535824</c:v>
                </c:pt>
                <c:pt idx="25">
                  <c:v>8420.9813365442496</c:v>
                </c:pt>
                <c:pt idx="26">
                  <c:v>9252.558699578567</c:v>
                </c:pt>
                <c:pt idx="27">
                  <c:v>9914.5093317278752</c:v>
                </c:pt>
                <c:pt idx="28">
                  <c:v>11228.9283564118</c:v>
                </c:pt>
                <c:pt idx="29">
                  <c:v>12021.974714027694</c:v>
                </c:pt>
                <c:pt idx="30">
                  <c:v>12824.503311258279</c:v>
                </c:pt>
                <c:pt idx="31">
                  <c:v>13481.336544250451</c:v>
                </c:pt>
                <c:pt idx="32">
                  <c:v>14275.285972305839</c:v>
                </c:pt>
                <c:pt idx="33">
                  <c:v>14973.359422034919</c:v>
                </c:pt>
                <c:pt idx="34">
                  <c:v>15675.045153521974</c:v>
                </c:pt>
                <c:pt idx="35">
                  <c:v>16521.523178807947</c:v>
                </c:pt>
                <c:pt idx="36">
                  <c:v>17356.110776640577</c:v>
                </c:pt>
                <c:pt idx="37">
                  <c:v>18237.808549066827</c:v>
                </c:pt>
                <c:pt idx="38">
                  <c:v>18942.805538832028</c:v>
                </c:pt>
                <c:pt idx="39">
                  <c:v>19592.414208308248</c:v>
                </c:pt>
                <c:pt idx="40">
                  <c:v>20264.599638771822</c:v>
                </c:pt>
                <c:pt idx="41">
                  <c:v>20958.15773630343</c:v>
                </c:pt>
                <c:pt idx="42">
                  <c:v>21770.018061408791</c:v>
                </c:pt>
                <c:pt idx="43" formatCode="0.000">
                  <c:v>22511.890427453342</c:v>
                </c:pt>
                <c:pt idx="44" formatCode="0.000">
                  <c:v>23184.376881396747</c:v>
                </c:pt>
                <c:pt idx="45" formatCode="0.000">
                  <c:v>23833.232992173391</c:v>
                </c:pt>
                <c:pt idx="46" formatCode="0.000">
                  <c:v>24435.580975316076</c:v>
                </c:pt>
                <c:pt idx="47" formatCode="0.000">
                  <c:v>25051.324503311258</c:v>
                </c:pt>
                <c:pt idx="48" formatCode="0.000">
                  <c:v>25960.415412402166</c:v>
                </c:pt>
                <c:pt idx="49" formatCode="0.000">
                  <c:v>26894.190246839255</c:v>
                </c:pt>
                <c:pt idx="50" formatCode="0.000">
                  <c:v>27618.904274533412</c:v>
                </c:pt>
              </c:numCache>
            </c:numRef>
          </c:yVal>
          <c:smooth val="0"/>
        </c:ser>
        <c:ser>
          <c:idx val="5"/>
          <c:order val="6"/>
          <c:tx>
            <c:strRef>
              <c:f>myData!UKSeries</c:f>
              <c:strCache>
                <c:ptCount val="1"/>
                <c:pt idx="0">
                  <c:v>United Kingdom Limit 21.5 k r^2=95.27%</c:v>
                </c:pt>
              </c:strCache>
            </c:strRef>
          </c:tx>
          <c:spPr>
            <a:ln w="19050" cap="rnd">
              <a:solidFill>
                <a:schemeClr val="accent4">
                  <a:lumMod val="75000"/>
                </a:schemeClr>
              </a:solidFill>
              <a:prstDash val="sysDot"/>
              <a:round/>
            </a:ln>
            <a:effectLst/>
          </c:spPr>
          <c:marker>
            <c:symbol val="none"/>
          </c:marker>
          <c:dLbls>
            <c:dLbl>
              <c:idx val="53"/>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United Kingdom Limit 18.8 k r^2=96.86%</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myData!UK100LogiDates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myData!UK100Logi</c:f>
              <c:numCache>
                <c:formatCode>0.0</c:formatCode>
                <c:ptCount val="63"/>
                <c:pt idx="0">
                  <c:v>126.14865233775289</c:v>
                </c:pt>
                <c:pt idx="1">
                  <c:v>155.90941016393225</c:v>
                </c:pt>
                <c:pt idx="2">
                  <c:v>192.62798786391878</c:v>
                </c:pt>
                <c:pt idx="3">
                  <c:v>237.89784468511706</c:v>
                </c:pt>
                <c:pt idx="4">
                  <c:v>293.66001063907123</c:v>
                </c:pt>
                <c:pt idx="5">
                  <c:v>362.2698514779313</c:v>
                </c:pt>
                <c:pt idx="6">
                  <c:v>446.57188981010859</c:v>
                </c:pt>
                <c:pt idx="7">
                  <c:v>549.98095874145224</c:v>
                </c:pt>
                <c:pt idx="8">
                  <c:v>676.56604261248731</c:v>
                </c:pt>
                <c:pt idx="9">
                  <c:v>831.13030670323838</c:v>
                </c:pt>
                <c:pt idx="10">
                  <c:v>1019.2767982227729</c:v>
                </c:pt>
                <c:pt idx="11">
                  <c:v>1247.4439608431844</c:v>
                </c:pt>
                <c:pt idx="12">
                  <c:v>1522.8885273904302</c:v>
                </c:pt>
                <c:pt idx="13">
                  <c:v>1853.586112565981</c:v>
                </c:pt>
                <c:pt idx="14">
                  <c:v>2248.0133373281064</c:v>
                </c:pt>
                <c:pt idx="15">
                  <c:v>2714.7722373881611</c:v>
                </c:pt>
                <c:pt idx="16">
                  <c:v>3262.0221812234736</c:v>
                </c:pt>
                <c:pt idx="17">
                  <c:v>3896.7018663366043</c:v>
                </c:pt>
                <c:pt idx="18">
                  <c:v>4623.5592505495733</c:v>
                </c:pt>
                <c:pt idx="19">
                  <c:v>5444.0623132270794</c:v>
                </c:pt>
                <c:pt idx="20" formatCode="0">
                  <c:v>6355.3324647392128</c:v>
                </c:pt>
                <c:pt idx="21" formatCode="0">
                  <c:v>7349.3077422706883</c:v>
                </c:pt>
                <c:pt idx="22" formatCode="0">
                  <c:v>8412.3757888611926</c:v>
                </c:pt>
                <c:pt idx="23" formatCode="0">
                  <c:v>9525.6853961896268</c:v>
                </c:pt>
                <c:pt idx="24" formatCode="0">
                  <c:v>10666.233099088557</c:v>
                </c:pt>
                <c:pt idx="25" formatCode="0">
                  <c:v>11808.644009415824</c:v>
                </c:pt>
                <c:pt idx="26" formatCode="0">
                  <c:v>12927.377936881545</c:v>
                </c:pt>
                <c:pt idx="27" formatCode="0">
                  <c:v>13998.965898189033</c:v>
                </c:pt>
                <c:pt idx="28" formatCode="0">
                  <c:v>15003.872840649332</c:v>
                </c:pt>
                <c:pt idx="29" formatCode="0">
                  <c:v>15927.693957025065</c:v>
                </c:pt>
                <c:pt idx="30" formatCode="0">
                  <c:v>16761.575657786372</c:v>
                </c:pt>
                <c:pt idx="31" formatCode="0">
                  <c:v>17501.935246524823</c:v>
                </c:pt>
                <c:pt idx="32" formatCode="0">
                  <c:v>18149.676943345767</c:v>
                </c:pt>
                <c:pt idx="33" formatCode="0">
                  <c:v>18709.144361659237</c:v>
                </c:pt>
                <c:pt idx="34" formatCode="0">
                  <c:v>19187.024095357261</c:v>
                </c:pt>
                <c:pt idx="35" formatCode="0">
                  <c:v>19591.352447872006</c:v>
                </c:pt>
                <c:pt idx="36" formatCode="0">
                  <c:v>19930.707550356765</c:v>
                </c:pt>
                <c:pt idx="37" formatCode="0">
                  <c:v>20213.611474405239</c:v>
                </c:pt>
                <c:pt idx="38" formatCode="0">
                  <c:v>20448.128792108924</c:v>
                </c:pt>
                <c:pt idx="39" formatCode="0">
                  <c:v>20641.628382984229</c:v>
                </c:pt>
                <c:pt idx="40" formatCode="0">
                  <c:v>20800.669303362563</c:v>
                </c:pt>
                <c:pt idx="41" formatCode="0">
                  <c:v>20930.973814520068</c:v>
                </c:pt>
                <c:pt idx="42" formatCode="0">
                  <c:v>21037.456862002084</c:v>
                </c:pt>
                <c:pt idx="43" formatCode="0">
                  <c:v>21124.288545296393</c:v>
                </c:pt>
                <c:pt idx="44" formatCode="0">
                  <c:v>21194.972841448161</c:v>
                </c:pt>
                <c:pt idx="45" formatCode="0">
                  <c:v>21252.431378061912</c:v>
                </c:pt>
                <c:pt idx="46" formatCode="0">
                  <c:v>21299.085255067221</c:v>
                </c:pt>
                <c:pt idx="47" formatCode="0">
                  <c:v>21336.930921772189</c:v>
                </c:pt>
                <c:pt idx="48" formatCode="0">
                  <c:v>21367.60815661326</c:v>
                </c:pt>
                <c:pt idx="49" formatCode="0">
                  <c:v>21392.459511432124</c:v>
                </c:pt>
                <c:pt idx="50" formatCode="0">
                  <c:v>21412.581378582086</c:v>
                </c:pt>
                <c:pt idx="51" formatCode="0">
                  <c:v>21428.867282392122</c:v>
                </c:pt>
                <c:pt idx="52" formatCode="0">
                  <c:v>21442.044208713502</c:v>
                </c:pt>
                <c:pt idx="53" formatCode="0">
                  <c:v>21452.702854050272</c:v>
                </c:pt>
                <c:pt idx="54" formatCode="0">
                  <c:v>21461.32265823142</c:v>
                </c:pt>
                <c:pt idx="55" formatCode="0">
                  <c:v>21489.488406742214</c:v>
                </c:pt>
                <c:pt idx="56" formatCode="0">
                  <c:v>21495.830822246149</c:v>
                </c:pt>
                <c:pt idx="57" formatCode="0">
                  <c:v>21497.257241881223</c:v>
                </c:pt>
                <c:pt idx="58" formatCode="0">
                  <c:v>21497.57795612379</c:v>
                </c:pt>
                <c:pt idx="59" formatCode="0">
                  <c:v>21497.650060533218</c:v>
                </c:pt>
                <c:pt idx="60" formatCode="0">
                  <c:v>21497.666271139198</c:v>
                </c:pt>
                <c:pt idx="61" formatCode="0">
                  <c:v>21497.669915616858</c:v>
                </c:pt>
                <c:pt idx="62" formatCode="0">
                  <c:v>21497.670734969808</c:v>
                </c:pt>
              </c:numCache>
            </c:numRef>
          </c:yVal>
          <c:smooth val="0"/>
        </c:ser>
        <c:ser>
          <c:idx val="4"/>
          <c:order val="7"/>
          <c:tx>
            <c:strRef>
              <c:f>myData!ItalyLabel</c:f>
              <c:strCache>
                <c:ptCount val="1"/>
                <c:pt idx="0">
                  <c:v>Italy from 27-Feb</c:v>
                </c:pt>
              </c:strCache>
            </c:strRef>
          </c:tx>
          <c:spPr>
            <a:ln w="19050" cap="rnd">
              <a:solidFill>
                <a:srgbClr val="FF0000"/>
              </a:solidFill>
              <a:round/>
            </a:ln>
            <a:effectLst/>
          </c:spPr>
          <c:marker>
            <c:symbol val="x"/>
            <c:size val="5"/>
            <c:spPr>
              <a:noFill/>
              <a:ln w="9525">
                <a:solidFill>
                  <a:srgbClr val="FF0000"/>
                </a:solidFill>
              </a:ln>
              <a:effectLst/>
            </c:spPr>
          </c:marker>
          <c:dLbls>
            <c:dLbl>
              <c:idx val="53"/>
              <c:tx>
                <c:rich>
                  <a:bodyPr rot="0" spcFirstLastPara="1" vertOverflow="ellipsis" vert="horz" wrap="square" anchor="ctr" anchorCtr="1"/>
                  <a:lstStyle/>
                  <a:p>
                    <a:pPr>
                      <a:defRPr sz="1000" b="1" i="0" u="none" strike="noStrike" kern="1200" baseline="0">
                        <a:solidFill>
                          <a:srgbClr val="FF0000"/>
                        </a:solidFill>
                        <a:latin typeface="Calibri"/>
                        <a:ea typeface="Calibri"/>
                        <a:cs typeface="Calibri"/>
                      </a:defRPr>
                    </a:pPr>
                    <a:r>
                      <a:rPr lang="en-US" sz="1000">
                        <a:solidFill>
                          <a:srgbClr val="FF0000"/>
                        </a:solidFill>
                      </a:rPr>
                      <a:t>Italy </a:t>
                    </a:r>
                  </a:p>
                </c:rich>
              </c:tx>
              <c:spPr>
                <a:noFill/>
                <a:ln>
                  <a:noFill/>
                </a:ln>
                <a:effectLst/>
              </c:spPr>
              <c:txPr>
                <a:bodyPr rot="0" spcFirstLastPara="1" vertOverflow="ellipsis" vert="horz" wrap="square" anchor="ctr" anchorCtr="1"/>
                <a:lstStyle/>
                <a:p>
                  <a:pPr>
                    <a:defRPr sz="1000" b="1" i="0" u="none" strike="noStrike" kern="1200" baseline="0">
                      <a:solidFill>
                        <a:srgbClr val="FF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000" b="1"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myData!Italy100Dates</c:f>
              <c:numCache>
                <c:formatCode>0</c:formatCode>
                <c:ptCount val="7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77</c:v>
                </c:pt>
                <c:pt idx="71">
                  <c:v>84</c:v>
                </c:pt>
                <c:pt idx="72">
                  <c:v>91</c:v>
                </c:pt>
                <c:pt idx="73">
                  <c:v>98</c:v>
                </c:pt>
                <c:pt idx="74">
                  <c:v>105</c:v>
                </c:pt>
                <c:pt idx="75">
                  <c:v>112</c:v>
                </c:pt>
                <c:pt idx="76">
                  <c:v>119</c:v>
                </c:pt>
                <c:pt idx="77">
                  <c:v>126</c:v>
                </c:pt>
              </c:numCache>
            </c:numRef>
          </c:xVal>
          <c:yVal>
            <c:numRef>
              <c:f>myData!Italy100Cases</c:f>
              <c:numCache>
                <c:formatCode>0.0</c:formatCode>
                <c:ptCount val="66"/>
                <c:pt idx="0">
                  <c:v>108.29131189551129</c:v>
                </c:pt>
                <c:pt idx="1">
                  <c:v>146.81325948582293</c:v>
                </c:pt>
                <c:pt idx="2">
                  <c:v>186.49251880631562</c:v>
                </c:pt>
                <c:pt idx="3">
                  <c:v>280.06943870381087</c:v>
                </c:pt>
                <c:pt idx="4">
                  <c:v>336.61238323551294</c:v>
                </c:pt>
                <c:pt idx="5">
                  <c:v>413.65627841613627</c:v>
                </c:pt>
                <c:pt idx="6">
                  <c:v>510.70513350417463</c:v>
                </c:pt>
                <c:pt idx="7">
                  <c:v>637.84409357691993</c:v>
                </c:pt>
                <c:pt idx="8">
                  <c:v>766.47102587418374</c:v>
                </c:pt>
                <c:pt idx="9">
                  <c:v>972.63784409357697</c:v>
                </c:pt>
                <c:pt idx="10">
                  <c:v>1219.3105728693065</c:v>
                </c:pt>
                <c:pt idx="11">
                  <c:v>1516.4090270314955</c:v>
                </c:pt>
                <c:pt idx="12">
                  <c:v>1677.9366785153345</c:v>
                </c:pt>
                <c:pt idx="13">
                  <c:v>2060.3455402165828</c:v>
                </c:pt>
                <c:pt idx="14">
                  <c:v>2060.3455402165828</c:v>
                </c:pt>
                <c:pt idx="15">
                  <c:v>2919.732164999587</c:v>
                </c:pt>
                <c:pt idx="16">
                  <c:v>3497.8920393485992</c:v>
                </c:pt>
                <c:pt idx="17">
                  <c:v>4091.4276266843021</c:v>
                </c:pt>
                <c:pt idx="18">
                  <c:v>4625.9403157807719</c:v>
                </c:pt>
                <c:pt idx="19">
                  <c:v>5208.8947672976774</c:v>
                </c:pt>
                <c:pt idx="20">
                  <c:v>5904.4391171364805</c:v>
                </c:pt>
                <c:pt idx="21">
                  <c:v>6784.3266925684056</c:v>
                </c:pt>
                <c:pt idx="22">
                  <c:v>7773.9935521203606</c:v>
                </c:pt>
                <c:pt idx="23">
                  <c:v>8858.0639828056555</c:v>
                </c:pt>
                <c:pt idx="24">
                  <c:v>9777.3001570637352</c:v>
                </c:pt>
                <c:pt idx="25">
                  <c:v>10569.066710754732</c:v>
                </c:pt>
                <c:pt idx="26">
                  <c:v>11436.885178143342</c:v>
                </c:pt>
                <c:pt idx="27">
                  <c:v>12298.255765892371</c:v>
                </c:pt>
                <c:pt idx="28">
                  <c:v>13323.799289079938</c:v>
                </c:pt>
                <c:pt idx="29">
                  <c:v>14300.735719599901</c:v>
                </c:pt>
                <c:pt idx="30">
                  <c:v>15288.418616185832</c:v>
                </c:pt>
                <c:pt idx="31">
                  <c:v>16150.946515665042</c:v>
                </c:pt>
                <c:pt idx="32">
                  <c:v>16820.534016698355</c:v>
                </c:pt>
                <c:pt idx="33">
                  <c:v>17490.617508473177</c:v>
                </c:pt>
                <c:pt idx="34">
                  <c:v>18281.226750433994</c:v>
                </c:pt>
                <c:pt idx="35">
                  <c:v>19052.988344217574</c:v>
                </c:pt>
                <c:pt idx="36">
                  <c:v>19811.027527486156</c:v>
                </c:pt>
                <c:pt idx="37">
                  <c:v>20605.439365131853</c:v>
                </c:pt>
                <c:pt idx="38">
                  <c:v>21319.004711912046</c:v>
                </c:pt>
                <c:pt idx="39">
                  <c:v>21914.028271472267</c:v>
                </c:pt>
                <c:pt idx="40">
                  <c:v>22416.466892618006</c:v>
                </c:pt>
                <c:pt idx="41">
                  <c:v>23050.673720757215</c:v>
                </c:pt>
                <c:pt idx="42">
                  <c:v>23745.72207985451</c:v>
                </c:pt>
                <c:pt idx="43">
                  <c:v>24398.941886418121</c:v>
                </c:pt>
                <c:pt idx="44">
                  <c:v>25175.002066628091</c:v>
                </c:pt>
                <c:pt idx="45">
                  <c:v>25851.53343804249</c:v>
                </c:pt>
                <c:pt idx="46">
                  <c:v>26372.819707365463</c:v>
                </c:pt>
                <c:pt idx="47">
                  <c:v>26864.181201950898</c:v>
                </c:pt>
                <c:pt idx="48">
                  <c:v>27305.116971149873</c:v>
                </c:pt>
                <c:pt idx="49">
                  <c:v>27931.057286930645</c:v>
                </c:pt>
                <c:pt idx="50">
                  <c:v>28508.555840290981</c:v>
                </c:pt>
                <c:pt idx="51">
                  <c:v>29085.723733156981</c:v>
                </c:pt>
                <c:pt idx="52">
                  <c:v>29589.484996280069</c:v>
                </c:pt>
                <c:pt idx="53">
                  <c:v>29962.470033892703</c:v>
                </c:pt>
                <c:pt idx="54">
                  <c:v>30413.656278416136</c:v>
                </c:pt>
                <c:pt idx="55">
                  <c:v>30970.819211374721</c:v>
                </c:pt>
                <c:pt idx="56">
                  <c:v>31408.283045383156</c:v>
                </c:pt>
                <c:pt idx="57">
                  <c:v>31907.745722079857</c:v>
                </c:pt>
                <c:pt idx="58">
                  <c:v>32297.429114656527</c:v>
                </c:pt>
                <c:pt idx="59">
                  <c:v>32681.656609076632</c:v>
                </c:pt>
                <c:pt idx="60">
                  <c:v>32969.165908903036</c:v>
                </c:pt>
                <c:pt idx="61">
                  <c:v>33314.871455732828</c:v>
                </c:pt>
                <c:pt idx="62">
                  <c:v>33659.750351326773</c:v>
                </c:pt>
                <c:pt idx="63">
                  <c:v>33969.24857402662</c:v>
                </c:pt>
                <c:pt idx="64">
                  <c:v>34294.122509713154</c:v>
                </c:pt>
                <c:pt idx="65">
                  <c:v>34608.249979333719</c:v>
                </c:pt>
              </c:numCache>
            </c:numRef>
          </c:yVal>
          <c:smooth val="0"/>
        </c:ser>
        <c:ser>
          <c:idx val="3"/>
          <c:order val="8"/>
          <c:tx>
            <c:strRef>
              <c:f>myData!ItalySeries</c:f>
              <c:strCache>
                <c:ptCount val="1"/>
                <c:pt idx="0">
                  <c:v>Italy Limit 26.7 k r^2=90.76%</c:v>
                </c:pt>
              </c:strCache>
            </c:strRef>
          </c:tx>
          <c:spPr>
            <a:ln w="19050" cap="rnd">
              <a:solidFill>
                <a:srgbClr val="FF0000"/>
              </a:solidFill>
              <a:prstDash val="sysDot"/>
              <a:round/>
            </a:ln>
            <a:effectLst/>
          </c:spPr>
          <c:marker>
            <c:symbol val="none"/>
          </c:marker>
          <c:xVal>
            <c:numRef>
              <c:f>myData!Italy100LogiDates</c:f>
              <c:numCache>
                <c:formatCode>0</c:formatCode>
                <c:ptCount val="7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77</c:v>
                </c:pt>
                <c:pt idx="71">
                  <c:v>84</c:v>
                </c:pt>
                <c:pt idx="72">
                  <c:v>91</c:v>
                </c:pt>
                <c:pt idx="73">
                  <c:v>98</c:v>
                </c:pt>
                <c:pt idx="74">
                  <c:v>105</c:v>
                </c:pt>
                <c:pt idx="75">
                  <c:v>112</c:v>
                </c:pt>
                <c:pt idx="76">
                  <c:v>119</c:v>
                </c:pt>
                <c:pt idx="77">
                  <c:v>126</c:v>
                </c:pt>
              </c:numCache>
            </c:numRef>
          </c:xVal>
          <c:yVal>
            <c:numRef>
              <c:f>myData!Italy100Logi</c:f>
              <c:numCache>
                <c:formatCode>0</c:formatCode>
                <c:ptCount val="78"/>
                <c:pt idx="0">
                  <c:v>87.494204228525732</c:v>
                </c:pt>
                <c:pt idx="1">
                  <c:v>112.59648035891601</c:v>
                </c:pt>
                <c:pt idx="2">
                  <c:v>144.86142442829504</c:v>
                </c:pt>
                <c:pt idx="3">
                  <c:v>186.30717761188527</c:v>
                </c:pt>
                <c:pt idx="4">
                  <c:v>239.50379734378745</c:v>
                </c:pt>
                <c:pt idx="5">
                  <c:v>307.71333696252458</c:v>
                </c:pt>
                <c:pt idx="6">
                  <c:v>395.05840021142262</c:v>
                </c:pt>
                <c:pt idx="7">
                  <c:v>506.72019530733627</c:v>
                </c:pt>
                <c:pt idx="8">
                  <c:v>649.163376127883</c:v>
                </c:pt>
                <c:pt idx="9">
                  <c:v>830.3782083809582</c:v>
                </c:pt>
                <c:pt idx="10">
                  <c:v>1060.1193946728774</c:v>
                </c:pt>
                <c:pt idx="11">
                  <c:v>1350.10361330397</c:v>
                </c:pt>
                <c:pt idx="12">
                  <c:v>1714.1032075128903</c:v>
                </c:pt>
                <c:pt idx="13">
                  <c:v>2167.8418193639991</c:v>
                </c:pt>
                <c:pt idx="14">
                  <c:v>2728.5632323224359</c:v>
                </c:pt>
                <c:pt idx="15">
                  <c:v>3414.118536188962</c:v>
                </c:pt>
                <c:pt idx="16">
                  <c:v>4241.4207285673319</c:v>
                </c:pt>
                <c:pt idx="17">
                  <c:v>5224.1825377232135</c:v>
                </c:pt>
                <c:pt idx="18">
                  <c:v>6370.0169233749111</c:v>
                </c:pt>
                <c:pt idx="19">
                  <c:v>7677.2518534716501</c:v>
                </c:pt>
                <c:pt idx="20">
                  <c:v>9132.141439709354</c:v>
                </c:pt>
                <c:pt idx="21">
                  <c:v>10707.403293036923</c:v>
                </c:pt>
                <c:pt idx="22">
                  <c:v>12362.972668598062</c:v>
                </c:pt>
                <c:pt idx="23">
                  <c:v>14049.389926771717</c:v>
                </c:pt>
                <c:pt idx="24">
                  <c:v>15713.4029658457</c:v>
                </c:pt>
                <c:pt idx="25">
                  <c:v>17304.524192570669</c:v>
                </c:pt>
                <c:pt idx="26">
                  <c:v>18780.888378182644</c:v>
                </c:pt>
                <c:pt idx="27">
                  <c:v>20113.047380114629</c:v>
                </c:pt>
                <c:pt idx="28">
                  <c:v>21285.136744478561</c:v>
                </c:pt>
                <c:pt idx="29">
                  <c:v>22293.715099281151</c:v>
                </c:pt>
                <c:pt idx="30">
                  <c:v>23145.121706068341</c:v>
                </c:pt>
                <c:pt idx="31">
                  <c:v>23852.300433501554</c:v>
                </c:pt>
                <c:pt idx="32">
                  <c:v>24431.822438348365</c:v>
                </c:pt>
                <c:pt idx="33">
                  <c:v>24901.51069681322</c:v>
                </c:pt>
                <c:pt idx="34">
                  <c:v>25278.782494527903</c:v>
                </c:pt>
                <c:pt idx="35">
                  <c:v>25579.6446071957</c:v>
                </c:pt>
                <c:pt idx="36">
                  <c:v>25818.195796411841</c:v>
                </c:pt>
                <c:pt idx="37">
                  <c:v>26006.479614044893</c:v>
                </c:pt>
                <c:pt idx="38">
                  <c:v>26154.553599475301</c:v>
                </c:pt>
                <c:pt idx="39">
                  <c:v>26270.675137727121</c:v>
                </c:pt>
                <c:pt idx="40">
                  <c:v>26361.536771338855</c:v>
                </c:pt>
                <c:pt idx="41">
                  <c:v>26432.509590004611</c:v>
                </c:pt>
                <c:pt idx="42">
                  <c:v>26487.871713755019</c:v>
                </c:pt>
                <c:pt idx="43">
                  <c:v>26531.010953830308</c:v>
                </c:pt>
                <c:pt idx="44">
                  <c:v>26564.598093789271</c:v>
                </c:pt>
                <c:pt idx="45">
                  <c:v>26590.731369834783</c:v>
                </c:pt>
                <c:pt idx="46">
                  <c:v>26611.054801604278</c:v>
                </c:pt>
                <c:pt idx="47">
                  <c:v>26626.853851255484</c:v>
                </c:pt>
                <c:pt idx="48">
                  <c:v>26639.132011378493</c:v>
                </c:pt>
                <c:pt idx="49">
                  <c:v>26648.671681402164</c:v>
                </c:pt>
                <c:pt idx="50">
                  <c:v>26656.082291287421</c:v>
                </c:pt>
                <c:pt idx="51">
                  <c:v>26661.838185741926</c:v>
                </c:pt>
                <c:pt idx="52">
                  <c:v>26666.308352721691</c:v>
                </c:pt>
                <c:pt idx="53">
                  <c:v>26669.779694972924</c:v>
                </c:pt>
                <c:pt idx="54">
                  <c:v>26672.475212785157</c:v>
                </c:pt>
                <c:pt idx="55">
                  <c:v>26674.568190112601</c:v>
                </c:pt>
                <c:pt idx="56">
                  <c:v>26676.193250135853</c:v>
                </c:pt>
                <c:pt idx="57">
                  <c:v>26677.454963643617</c:v>
                </c:pt>
                <c:pt idx="58">
                  <c:v>26678.434547429631</c:v>
                </c:pt>
                <c:pt idx="59">
                  <c:v>26679.195073775736</c:v>
                </c:pt>
                <c:pt idx="60">
                  <c:v>26679.78552034486</c:v>
                </c:pt>
                <c:pt idx="61">
                  <c:v>26680.24391761727</c:v>
                </c:pt>
                <c:pt idx="62">
                  <c:v>26680.599794376958</c:v>
                </c:pt>
                <c:pt idx="63">
                  <c:v>26680.876077442303</c:v>
                </c:pt>
                <c:pt idx="64">
                  <c:v>26681.090567221705</c:v>
                </c:pt>
                <c:pt idx="65">
                  <c:v>26681.257083675166</c:v>
                </c:pt>
                <c:pt idx="66">
                  <c:v>26681.386356225059</c:v>
                </c:pt>
                <c:pt idx="67">
                  <c:v>26681.486714780454</c:v>
                </c:pt>
                <c:pt idx="68">
                  <c:v>26681.564626295793</c:v>
                </c:pt>
                <c:pt idx="69">
                  <c:v>26681.625111374771</c:v>
                </c:pt>
                <c:pt idx="70">
                  <c:v>26681.799367527132</c:v>
                </c:pt>
                <c:pt idx="71">
                  <c:v>26681.828981854735</c:v>
                </c:pt>
                <c:pt idx="72">
                  <c:v>26681.834014691878</c:v>
                </c:pt>
                <c:pt idx="73">
                  <c:v>26681.83487000161</c:v>
                </c:pt>
                <c:pt idx="74">
                  <c:v>26681.835015357909</c:v>
                </c:pt>
                <c:pt idx="75">
                  <c:v>26681.835040060607</c:v>
                </c:pt>
                <c:pt idx="76">
                  <c:v>26681.835044258722</c:v>
                </c:pt>
                <c:pt idx="77">
                  <c:v>26681.835044972173</c:v>
                </c:pt>
              </c:numCache>
            </c:numRef>
          </c:yVal>
          <c:smooth val="0"/>
        </c:ser>
        <c:ser>
          <c:idx val="6"/>
          <c:order val="9"/>
          <c:tx>
            <c:strRef>
              <c:f>myData!USLabel</c:f>
              <c:strCache>
                <c:ptCount val="1"/>
                <c:pt idx="0">
                  <c:v>USA from 15-Mar</c:v>
                </c:pt>
              </c:strCache>
            </c:strRef>
          </c:tx>
          <c:spPr>
            <a:ln w="19050" cap="rnd">
              <a:solidFill>
                <a:schemeClr val="accent1">
                  <a:lumMod val="60000"/>
                </a:schemeClr>
              </a:solidFill>
              <a:round/>
            </a:ln>
            <a:effectLst/>
          </c:spPr>
          <c:marker>
            <c:symbol val="star"/>
            <c:size val="5"/>
            <c:spPr>
              <a:noFill/>
              <a:ln w="9525">
                <a:solidFill>
                  <a:schemeClr val="accent1">
                    <a:lumMod val="60000"/>
                  </a:schemeClr>
                </a:solidFill>
              </a:ln>
              <a:effectLst/>
            </c:spPr>
          </c:marker>
          <c:dLbls>
            <c:dLbl>
              <c:idx val="40"/>
              <c:layout>
                <c:manualLayout>
                  <c:x val="6.0990897313880466E-2"/>
                  <c:y val="-3.6518109878982581E-2"/>
                </c:manualLayout>
              </c:layout>
              <c:tx>
                <c:rich>
                  <a:bodyPr rot="0" spcFirstLastPara="1" vertOverflow="ellipsis" vert="horz" wrap="square" anchor="ctr" anchorCtr="1"/>
                  <a:lstStyle/>
                  <a:p>
                    <a:pPr>
                      <a:defRPr sz="1000" b="1" i="0" u="none" strike="noStrike" kern="1200" baseline="0">
                        <a:solidFill>
                          <a:schemeClr val="accent1">
                            <a:lumMod val="75000"/>
                          </a:schemeClr>
                        </a:solidFill>
                        <a:latin typeface="Calibri"/>
                        <a:ea typeface="Calibri"/>
                        <a:cs typeface="Calibri"/>
                      </a:defRPr>
                    </a:pPr>
                    <a:r>
                      <a:rPr lang="en-US" sz="1000">
                        <a:solidFill>
                          <a:schemeClr val="accent1">
                            <a:lumMod val="75000"/>
                          </a:schemeClr>
                        </a:solidFill>
                      </a:rPr>
                      <a:t>USA </a:t>
                    </a:r>
                  </a:p>
                </c:rich>
              </c:tx>
              <c:spPr>
                <a:noFill/>
                <a:ln>
                  <a:noFill/>
                </a:ln>
                <a:effectLst/>
              </c:spPr>
              <c:txPr>
                <a:bodyPr rot="0" spcFirstLastPara="1" vertOverflow="ellipsis" vert="horz" wrap="square" anchor="ctr" anchorCtr="1"/>
                <a:lstStyle/>
                <a:p>
                  <a:pPr>
                    <a:defRPr sz="1000" b="1" i="0" u="none" strike="noStrike" kern="1200" baseline="0">
                      <a:solidFill>
                        <a:schemeClr val="accent1">
                          <a:lumMod val="75000"/>
                        </a:schemeClr>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myData!US100Dates</c:f>
              <c:numCache>
                <c:formatCode>0</c:formatCode>
                <c:ptCount val="6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60</c:v>
                </c:pt>
                <c:pt idx="54">
                  <c:v>67</c:v>
                </c:pt>
                <c:pt idx="55">
                  <c:v>74</c:v>
                </c:pt>
                <c:pt idx="56">
                  <c:v>81</c:v>
                </c:pt>
                <c:pt idx="57">
                  <c:v>88</c:v>
                </c:pt>
                <c:pt idx="58">
                  <c:v>95</c:v>
                </c:pt>
                <c:pt idx="59">
                  <c:v>102</c:v>
                </c:pt>
                <c:pt idx="60">
                  <c:v>109</c:v>
                </c:pt>
              </c:numCache>
            </c:numRef>
          </c:xVal>
          <c:yVal>
            <c:numRef>
              <c:f>myData!US100Cases</c:f>
              <c:numCache>
                <c:formatCode>0.0</c:formatCode>
                <c:ptCount val="49"/>
                <c:pt idx="0">
                  <c:v>106.27901331256571</c:v>
                </c:pt>
                <c:pt idx="1">
                  <c:v>140.69288072700897</c:v>
                </c:pt>
                <c:pt idx="2">
                  <c:v>195.03216475564003</c:v>
                </c:pt>
                <c:pt idx="3">
                  <c:v>236.40170351863358</c:v>
                </c:pt>
                <c:pt idx="4">
                  <c:v>417.55289968786536</c:v>
                </c:pt>
                <c:pt idx="5">
                  <c:v>585.40023537384366</c:v>
                </c:pt>
                <c:pt idx="6">
                  <c:v>777.57723372440194</c:v>
                </c:pt>
                <c:pt idx="7">
                  <c:v>1010.7289073989531</c:v>
                </c:pt>
                <c:pt idx="8">
                  <c:v>1331.6921350851153</c:v>
                </c:pt>
                <c:pt idx="9">
                  <c:v>1632.1832121646273</c:v>
                </c:pt>
                <c:pt idx="10">
                  <c:v>1997.9482531220199</c:v>
                </c:pt>
                <c:pt idx="11">
                  <c:v>2546.4439440046467</c:v>
                </c:pt>
                <c:pt idx="12">
                  <c:v>3087.7409706531844</c:v>
                </c:pt>
                <c:pt idx="13">
                  <c:v>3689.3913552474405</c:v>
                </c:pt>
                <c:pt idx="14">
                  <c:v>4279.9855635496779</c:v>
                </c:pt>
                <c:pt idx="15">
                  <c:v>4915.472707455222</c:v>
                </c:pt>
                <c:pt idx="16">
                  <c:v>5715.557157202662</c:v>
                </c:pt>
                <c:pt idx="17">
                  <c:v>6477.0361122601134</c:v>
                </c:pt>
                <c:pt idx="18">
                  <c:v>7399.8015950939935</c:v>
                </c:pt>
                <c:pt idx="19">
                  <c:v>8364.0277390229439</c:v>
                </c:pt>
                <c:pt idx="20">
                  <c:v>9374.9692651967434</c:v>
                </c:pt>
                <c:pt idx="21">
                  <c:v>10230.061229408047</c:v>
                </c:pt>
                <c:pt idx="22">
                  <c:v>11126.553106493036</c:v>
                </c:pt>
                <c:pt idx="23">
                  <c:v>12062.197212260477</c:v>
                </c:pt>
                <c:pt idx="24">
                  <c:v>13019.984044722647</c:v>
                </c:pt>
                <c:pt idx="25">
                  <c:v>14056.530946210107</c:v>
                </c:pt>
                <c:pt idx="26">
                  <c:v>15081.809052630699</c:v>
                </c:pt>
                <c:pt idx="27">
                  <c:v>15988.810372015245</c:v>
                </c:pt>
                <c:pt idx="28">
                  <c:v>16867.138530906203</c:v>
                </c:pt>
                <c:pt idx="29">
                  <c:v>17635.78577608705</c:v>
                </c:pt>
                <c:pt idx="30">
                  <c:v>18457.435844426065</c:v>
                </c:pt>
                <c:pt idx="31">
                  <c:v>19328.565339082936</c:v>
                </c:pt>
                <c:pt idx="32">
                  <c:v>20277.513305333629</c:v>
                </c:pt>
                <c:pt idx="33">
                  <c:v>21252.94749610806</c:v>
                </c:pt>
                <c:pt idx="34">
                  <c:v>22239.832726613513</c:v>
                </c:pt>
                <c:pt idx="35">
                  <c:v>23048.148560358582</c:v>
                </c:pt>
                <c:pt idx="36">
                  <c:v>23823.204742895519</c:v>
                </c:pt>
                <c:pt idx="37">
                  <c:v>24659.677377252403</c:v>
                </c:pt>
                <c:pt idx="38">
                  <c:v>25524.914294434955</c:v>
                </c:pt>
                <c:pt idx="39">
                  <c:v>26400.265790478064</c:v>
                </c:pt>
                <c:pt idx="40">
                  <c:v>27499.444108213167</c:v>
                </c:pt>
                <c:pt idx="41">
                  <c:v>28495.593442479789</c:v>
                </c:pt>
                <c:pt idx="42">
                  <c:v>29334.86049502037</c:v>
                </c:pt>
                <c:pt idx="43">
                  <c:v>30015.605063857533</c:v>
                </c:pt>
                <c:pt idx="44">
                  <c:v>30756.277753090715</c:v>
                </c:pt>
                <c:pt idx="45">
                  <c:v>31586.311075980822</c:v>
                </c:pt>
                <c:pt idx="46">
                  <c:v>32482.802953065813</c:v>
                </c:pt>
                <c:pt idx="47">
                  <c:v>33516.64655870165</c:v>
                </c:pt>
                <c:pt idx="48">
                  <c:v>34399.864949414077</c:v>
                </c:pt>
              </c:numCache>
            </c:numRef>
          </c:yVal>
          <c:smooth val="0"/>
        </c:ser>
        <c:ser>
          <c:idx val="2"/>
          <c:order val="10"/>
          <c:tx>
            <c:strRef>
              <c:f>myData!USSeries</c:f>
              <c:strCache>
                <c:ptCount val="1"/>
                <c:pt idx="0">
                  <c:v>USA Limit 24.7 k r^2=92.46%</c:v>
                </c:pt>
              </c:strCache>
            </c:strRef>
          </c:tx>
          <c:spPr>
            <a:ln w="19050" cap="rnd">
              <a:solidFill>
                <a:schemeClr val="accent1">
                  <a:lumMod val="75000"/>
                </a:schemeClr>
              </a:solidFill>
              <a:prstDash val="sysDot"/>
              <a:round/>
            </a:ln>
            <a:effectLst/>
          </c:spPr>
          <c:marker>
            <c:symbol val="none"/>
          </c:marker>
          <c:dLbls>
            <c:dLbl>
              <c:idx val="53"/>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USA Limit 21.5 k r^2=94.66%</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myData!US100LogiDates</c:f>
              <c:numCache>
                <c:formatCode>0</c:formatCode>
                <c:ptCount val="6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60</c:v>
                </c:pt>
                <c:pt idx="54">
                  <c:v>67</c:v>
                </c:pt>
                <c:pt idx="55">
                  <c:v>74</c:v>
                </c:pt>
                <c:pt idx="56">
                  <c:v>81</c:v>
                </c:pt>
                <c:pt idx="57">
                  <c:v>88</c:v>
                </c:pt>
                <c:pt idx="58">
                  <c:v>95</c:v>
                </c:pt>
                <c:pt idx="59">
                  <c:v>102</c:v>
                </c:pt>
                <c:pt idx="60">
                  <c:v>109</c:v>
                </c:pt>
              </c:numCache>
            </c:numRef>
          </c:xVal>
          <c:yVal>
            <c:numRef>
              <c:f>myData!US100Logi</c:f>
              <c:numCache>
                <c:formatCode>0.0</c:formatCode>
                <c:ptCount val="61"/>
                <c:pt idx="0">
                  <c:v>102.89110561136106</c:v>
                </c:pt>
                <c:pt idx="1">
                  <c:v>136.46590035422193</c:v>
                </c:pt>
                <c:pt idx="2">
                  <c:v>180.91605414825486</c:v>
                </c:pt>
                <c:pt idx="3">
                  <c:v>239.7034166419875</c:v>
                </c:pt>
                <c:pt idx="4">
                  <c:v>317.34612994173438</c:v>
                </c:pt>
                <c:pt idx="5">
                  <c:v>419.70679796207605</c:v>
                </c:pt>
                <c:pt idx="6">
                  <c:v>554.33368492625448</c:v>
                </c:pt>
                <c:pt idx="7">
                  <c:v>730.84454884328738</c:v>
                </c:pt>
                <c:pt idx="8">
                  <c:v>961.322864186885</c:v>
                </c:pt>
                <c:pt idx="9">
                  <c:v>1260.6627673430748</c:v>
                </c:pt>
                <c:pt idx="10">
                  <c:v>1646.7479124482609</c:v>
                </c:pt>
                <c:pt idx="11">
                  <c:v>2140.279990136351</c:v>
                </c:pt>
                <c:pt idx="12">
                  <c:v>2763.994906946034</c:v>
                </c:pt>
                <c:pt idx="13">
                  <c:v>3540.9501020883458</c:v>
                </c:pt>
                <c:pt idx="14">
                  <c:v>4491.5995343139366</c:v>
                </c:pt>
                <c:pt idx="15">
                  <c:v>5629.5878912211256</c:v>
                </c:pt>
                <c:pt idx="16">
                  <c:v>6956.6738790963009</c:v>
                </c:pt>
                <c:pt idx="17">
                  <c:v>8457.8979909218742</c:v>
                </c:pt>
                <c:pt idx="18">
                  <c:v>10098.762284417062</c:v>
                </c:pt>
                <c:pt idx="19">
                  <c:v>11826.263685119791</c:v>
                </c:pt>
                <c:pt idx="20">
                  <c:v>13574.659840965507</c:v>
                </c:pt>
                <c:pt idx="21">
                  <c:v>15274.992599131874</c:v>
                </c:pt>
                <c:pt idx="22">
                  <c:v>16865.617760442015</c:v>
                </c:pt>
                <c:pt idx="23">
                  <c:v>18300.479076234064</c:v>
                </c:pt>
                <c:pt idx="24">
                  <c:v>19552.989871078098</c:v>
                </c:pt>
                <c:pt idx="25">
                  <c:v>20615.346380514362</c:v>
                </c:pt>
                <c:pt idx="26">
                  <c:v>21494.669534674089</c:v>
                </c:pt>
                <c:pt idx="27">
                  <c:v>22207.893397782344</c:v>
                </c:pt>
                <c:pt idx="28">
                  <c:v>22776.944387207401</c:v>
                </c:pt>
                <c:pt idx="29">
                  <c:v>23225.029717144425</c:v>
                </c:pt>
                <c:pt idx="30">
                  <c:v>23574.220877363194</c:v>
                </c:pt>
                <c:pt idx="31">
                  <c:v>23844.149807198261</c:v>
                </c:pt>
                <c:pt idx="32">
                  <c:v>24051.505026162646</c:v>
                </c:pt>
                <c:pt idx="33">
                  <c:v>24210.026838309092</c:v>
                </c:pt>
                <c:pt idx="34">
                  <c:v>24330.770198048624</c:v>
                </c:pt>
                <c:pt idx="35">
                  <c:v>24422.48055552072</c:v>
                </c:pt>
                <c:pt idx="36">
                  <c:v>24491.990547925245</c:v>
                </c:pt>
                <c:pt idx="37">
                  <c:v>24544.589108972894</c:v>
                </c:pt>
                <c:pt idx="38">
                  <c:v>24584.342025603743</c:v>
                </c:pt>
                <c:pt idx="39">
                  <c:v>24614.358686934051</c:v>
                </c:pt>
                <c:pt idx="40">
                  <c:v>24637.007861887476</c:v>
                </c:pt>
                <c:pt idx="41">
                  <c:v>24654.088867962506</c:v>
                </c:pt>
                <c:pt idx="42">
                  <c:v>24666.965486783713</c:v>
                </c:pt>
                <c:pt idx="43">
                  <c:v>24676.669693944634</c:v>
                </c:pt>
                <c:pt idx="44">
                  <c:v>24683.981424390706</c:v>
                </c:pt>
                <c:pt idx="45">
                  <c:v>24689.489582075796</c:v>
                </c:pt>
                <c:pt idx="46">
                  <c:v>24693.638519345615</c:v>
                </c:pt>
                <c:pt idx="47">
                  <c:v>24696.763342366979</c:v>
                </c:pt>
                <c:pt idx="48">
                  <c:v>24699.116669972147</c:v>
                </c:pt>
                <c:pt idx="49">
                  <c:v>24700.888881509723</c:v>
                </c:pt>
                <c:pt idx="50">
                  <c:v>24702.223419102193</c:v>
                </c:pt>
                <c:pt idx="51">
                  <c:v>24703.228341604692</c:v>
                </c:pt>
                <c:pt idx="52">
                  <c:v>24703.985042364446</c:v>
                </c:pt>
                <c:pt idx="53">
                  <c:v>24705.975011296989</c:v>
                </c:pt>
                <c:pt idx="54">
                  <c:v>24706.24804136507</c:v>
                </c:pt>
                <c:pt idx="55">
                  <c:v>24706.285498998466</c:v>
                </c:pt>
                <c:pt idx="56">
                  <c:v>24706.290637843045</c:v>
                </c:pt>
                <c:pt idx="57">
                  <c:v>24706.291342844459</c:v>
                </c:pt>
                <c:pt idx="58">
                  <c:v>24706.291439564036</c:v>
                </c:pt>
                <c:pt idx="59">
                  <c:v>24706.291452833055</c:v>
                </c:pt>
                <c:pt idx="60">
                  <c:v>24706.291454653438</c:v>
                </c:pt>
              </c:numCache>
            </c:numRef>
          </c:yVal>
          <c:smooth val="0"/>
        </c:ser>
        <c:ser>
          <c:idx val="12"/>
          <c:order val="11"/>
          <c:tx>
            <c:strRef>
              <c:f>myData!GenericLabel</c:f>
              <c:strCache>
                <c:ptCount val="1"/>
                <c:pt idx="0">
                  <c:v>Ireland from 15-Mar</c:v>
                </c:pt>
              </c:strCache>
            </c:strRef>
          </c:tx>
          <c:spPr>
            <a:ln w="38100" cap="rnd">
              <a:solidFill>
                <a:schemeClr val="tx2">
                  <a:lumMod val="50000"/>
                </a:schemeClr>
              </a:solidFill>
              <a:round/>
            </a:ln>
            <a:effectLst/>
          </c:spPr>
          <c:marker>
            <c:symbol val="star"/>
            <c:size val="5"/>
            <c:spPr>
              <a:noFill/>
              <a:ln w="9525">
                <a:solidFill>
                  <a:schemeClr val="accent1">
                    <a:lumMod val="80000"/>
                    <a:lumOff val="20000"/>
                  </a:schemeClr>
                </a:solidFill>
              </a:ln>
              <a:effectLst/>
            </c:spPr>
          </c:marker>
          <c:dLbls>
            <c:dLbl>
              <c:idx val="42"/>
              <c:tx>
                <c:rich>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Calibri"/>
                        <a:ea typeface="Calibri"/>
                        <a:cs typeface="Calibri"/>
                      </a:defRPr>
                    </a:pPr>
                    <a:r>
                      <a:rPr lang="en-US"/>
                      <a:t>Ireland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myData!Generic100Dates</c:f>
              <c:numCache>
                <c:formatCode>0</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myData!Generic100Cases</c:f>
              <c:numCache>
                <c:formatCode>0.0</c:formatCode>
                <c:ptCount val="51"/>
                <c:pt idx="0">
                  <c:v>183.67346938775512</c:v>
                </c:pt>
                <c:pt idx="1">
                  <c:v>263.26530612244898</c:v>
                </c:pt>
                <c:pt idx="2">
                  <c:v>263.26530612244898</c:v>
                </c:pt>
                <c:pt idx="3">
                  <c:v>344.89795918367349</c:v>
                </c:pt>
                <c:pt idx="4">
                  <c:v>455.10204081632656</c:v>
                </c:pt>
                <c:pt idx="5">
                  <c:v>595.91836734693879</c:v>
                </c:pt>
                <c:pt idx="6">
                  <c:v>1136.7346938775511</c:v>
                </c:pt>
                <c:pt idx="7">
                  <c:v>1393.8775510204082</c:v>
                </c:pt>
                <c:pt idx="8">
                  <c:v>1602.0408163265306</c:v>
                </c:pt>
                <c:pt idx="9">
                  <c:v>1848.9795918367347</c:v>
                </c:pt>
                <c:pt idx="10">
                  <c:v>2295.9183673469388</c:v>
                </c:pt>
                <c:pt idx="11">
                  <c:v>2712.2448979591836</c:v>
                </c:pt>
                <c:pt idx="12">
                  <c:v>3191.8367346938776</c:v>
                </c:pt>
                <c:pt idx="13">
                  <c:v>3712.2448979591836</c:v>
                </c:pt>
                <c:pt idx="14">
                  <c:v>4328.5714285714284</c:v>
                </c:pt>
                <c:pt idx="15">
                  <c:v>4928.5714285714284</c:v>
                </c:pt>
                <c:pt idx="16">
                  <c:v>5336.7346938775509</c:v>
                </c:pt>
                <c:pt idx="17">
                  <c:v>5938.7755102040819</c:v>
                </c:pt>
                <c:pt idx="18">
                  <c:v>6602.0408163265311</c:v>
                </c:pt>
                <c:pt idx="19">
                  <c:v>7034.6938775510207</c:v>
                </c:pt>
                <c:pt idx="20">
                  <c:v>7855.1020408163267</c:v>
                </c:pt>
                <c:pt idx="21">
                  <c:v>8720.4081632653069</c:v>
                </c:pt>
                <c:pt idx="22">
                  <c:v>9395.9183673469397</c:v>
                </c:pt>
                <c:pt idx="23">
                  <c:v>10191.836734693878</c:v>
                </c:pt>
                <c:pt idx="24">
                  <c:v>10946.938775510203</c:v>
                </c:pt>
                <c:pt idx="25">
                  <c:v>11651.020408163266</c:v>
                </c:pt>
                <c:pt idx="26">
                  <c:v>12395.91836734694</c:v>
                </c:pt>
                <c:pt idx="27">
                  <c:v>13416.326530612245</c:v>
                </c:pt>
                <c:pt idx="28">
                  <c:v>16508.163265306124</c:v>
                </c:pt>
                <c:pt idx="29">
                  <c:v>18220.408163265307</c:v>
                </c:pt>
                <c:pt idx="30">
                  <c:v>19704.081632653062</c:v>
                </c:pt>
                <c:pt idx="31" formatCode="0">
                  <c:v>21728.571428571428</c:v>
                </c:pt>
                <c:pt idx="32" formatCode="0">
                  <c:v>23426.5306122449</c:v>
                </c:pt>
                <c:pt idx="33" formatCode="0">
                  <c:v>25606.122448979593</c:v>
                </c:pt>
                <c:pt idx="34" formatCode="0">
                  <c:v>27083.673469387755</c:v>
                </c:pt>
                <c:pt idx="35" formatCode="0">
                  <c:v>28530.612244897959</c:v>
                </c:pt>
                <c:pt idx="36" formatCode="0">
                  <c:v>30118.367346938776</c:v>
                </c:pt>
                <c:pt idx="37" formatCode="0">
                  <c:v>31124.489795918369</c:v>
                </c:pt>
                <c:pt idx="38" formatCode="0">
                  <c:v>31942.857142857145</c:v>
                </c:pt>
                <c:pt idx="39" formatCode="0">
                  <c:v>32734.693877551021</c:v>
                </c:pt>
                <c:pt idx="40">
                  <c:v>34022.448979591834</c:v>
                </c:pt>
                <c:pt idx="41">
                  <c:v>35932.65306122449</c:v>
                </c:pt>
                <c:pt idx="42">
                  <c:v>37110.204081632655</c:v>
                </c:pt>
                <c:pt idx="43">
                  <c:v>37879.591836734697</c:v>
                </c:pt>
                <c:pt idx="44">
                  <c:v>39310.204081632655</c:v>
                </c:pt>
                <c:pt idx="45">
                  <c:v>40097.959183673469</c:v>
                </c:pt>
                <c:pt idx="46">
                  <c:v>40565.306122448979</c:v>
                </c:pt>
                <c:pt idx="47">
                  <c:v>41332.65306122449</c:v>
                </c:pt>
                <c:pt idx="48">
                  <c:v>42065.306122448979</c:v>
                </c:pt>
                <c:pt idx="49">
                  <c:v>42516.326530612248</c:v>
                </c:pt>
                <c:pt idx="50">
                  <c:v>43216.326530612248</c:v>
                </c:pt>
              </c:numCache>
            </c:numRef>
          </c:yVal>
          <c:smooth val="0"/>
        </c:ser>
        <c:ser>
          <c:idx val="13"/>
          <c:order val="12"/>
          <c:tx>
            <c:strRef>
              <c:f>myData!GenericSeries</c:f>
              <c:strCache>
                <c:ptCount val="1"/>
                <c:pt idx="0">
                  <c:v>Ireland Limit 51.9 k r^2=99.41%</c:v>
                </c:pt>
              </c:strCache>
            </c:strRef>
          </c:tx>
          <c:spPr>
            <a:ln w="19050" cap="rnd">
              <a:solidFill>
                <a:schemeClr val="tx1">
                  <a:lumMod val="85000"/>
                  <a:lumOff val="15000"/>
                </a:schemeClr>
              </a:solidFill>
              <a:prstDash val="sysDot"/>
              <a:round/>
            </a:ln>
            <a:effectLst/>
          </c:spPr>
          <c:marker>
            <c:symbol val="none"/>
          </c:marker>
          <c:dLbls>
            <c:dLbl>
              <c:idx val="53"/>
              <c:tx>
                <c:rich>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r>
                      <a:rPr lang="en-US"/>
                      <a:t>Ireland Limit 51.9 k r^2=99.59%</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dk1"/>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myData!Generic100LogiDates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myData!Generic100Logi</c:f>
              <c:numCache>
                <c:formatCode>0</c:formatCode>
                <c:ptCount val="63"/>
                <c:pt idx="0">
                  <c:v>664.34914055277341</c:v>
                </c:pt>
                <c:pt idx="1">
                  <c:v>754.70260407756405</c:v>
                </c:pt>
                <c:pt idx="2">
                  <c:v>857.13872069556351</c:v>
                </c:pt>
                <c:pt idx="3">
                  <c:v>973.21382750951898</c:v>
                </c:pt>
                <c:pt idx="4">
                  <c:v>1104.6676355493507</c:v>
                </c:pt>
                <c:pt idx="5">
                  <c:v>1253.4399024745019</c:v>
                </c:pt>
                <c:pt idx="6">
                  <c:v>1421.687143057949</c:v>
                </c:pt>
                <c:pt idx="7">
                  <c:v>1611.7988391748288</c:v>
                </c:pt>
                <c:pt idx="8">
                  <c:v>1826.4124286083754</c:v>
                </c:pt>
                <c:pt idx="9">
                  <c:v>2068.4261331585362</c:v>
                </c:pt>
                <c:pt idx="10">
                  <c:v>2341.0084303140261</c:v>
                </c:pt>
                <c:pt idx="11">
                  <c:v>2647.6026813294525</c:v>
                </c:pt>
                <c:pt idx="12">
                  <c:v>2991.9251090409407</c:v>
                </c:pt>
                <c:pt idx="13">
                  <c:v>3377.9539853234373</c:v>
                </c:pt>
                <c:pt idx="14">
                  <c:v>3809.9075645026132</c:v>
                </c:pt>
                <c:pt idx="15">
                  <c:v>4292.2080213409708</c:v>
                </c:pt>
                <c:pt idx="16">
                  <c:v>4829.4284712233648</c:v>
                </c:pt>
                <c:pt idx="17">
                  <c:v>5426.2201329120262</c:v>
                </c:pt>
                <c:pt idx="18">
                  <c:v>6087.2169234905705</c:v>
                </c:pt>
                <c:pt idx="19">
                  <c:v>6816.9153454438274</c:v>
                </c:pt>
                <c:pt idx="20">
                  <c:v>7619.5285346770806</c:v>
                </c:pt>
                <c:pt idx="21">
                  <c:v>8498.8148705448002</c:v>
                </c:pt>
                <c:pt idx="22">
                  <c:v>9457.8836541703331</c:v>
                </c:pt>
                <c:pt idx="23">
                  <c:v>10498.98302434488</c:v>
                </c:pt>
                <c:pt idx="24">
                  <c:v>11623.278388707826</c:v>
                </c:pt>
                <c:pt idx="25">
                  <c:v>12830.632963128086</c:v>
                </c:pt>
                <c:pt idx="26">
                  <c:v>14119.405154420998</c:v>
                </c:pt>
                <c:pt idx="27">
                  <c:v>15486.279981412899</c:v>
                </c:pt>
                <c:pt idx="28">
                  <c:v>16926.152918136806</c:v>
                </c:pt>
                <c:pt idx="29">
                  <c:v>18432.083886381406</c:v>
                </c:pt>
                <c:pt idx="30">
                  <c:v>19995.336194400716</c:v>
                </c:pt>
                <c:pt idx="31">
                  <c:v>21605.509876590491</c:v>
                </c:pt>
                <c:pt idx="32">
                  <c:v>23250.771408588982</c:v>
                </c:pt>
                <c:pt idx="33">
                  <c:v>24918.172887025379</c:v>
                </c:pt>
                <c:pt idx="34">
                  <c:v>26594.044607654876</c:v>
                </c:pt>
                <c:pt idx="35">
                  <c:v>28264.436907772055</c:v>
                </c:pt>
                <c:pt idx="36">
                  <c:v>29915.581471515561</c:v>
                </c:pt>
                <c:pt idx="37">
                  <c:v>31534.340005396134</c:v>
                </c:pt>
                <c:pt idx="38">
                  <c:v>33108.609681521993</c:v>
                </c:pt>
                <c:pt idx="39">
                  <c:v>34627.659753197346</c:v>
                </c:pt>
                <c:pt idx="40">
                  <c:v>36082.381402942883</c:v>
                </c:pt>
                <c:pt idx="41">
                  <c:v>37465.441922208636</c:v>
                </c:pt>
                <c:pt idx="42">
                  <c:v>38771.343372221454</c:v>
                </c:pt>
                <c:pt idx="43">
                  <c:v>39996.393735086473</c:v>
                </c:pt>
                <c:pt idx="44">
                  <c:v>41138.604404616613</c:v>
                </c:pt>
                <c:pt idx="45">
                  <c:v>42197.531316122746</c:v>
                </c:pt>
                <c:pt idx="46">
                  <c:v>43174.078131362716</c:v>
                </c:pt>
                <c:pt idx="47">
                  <c:v>44070.279057102554</c:v>
                </c:pt>
                <c:pt idx="48">
                  <c:v>44889.076638204329</c:v>
                </c:pt>
                <c:pt idx="49">
                  <c:v>45634.10682387538</c:v>
                </c:pt>
                <c:pt idx="50">
                  <c:v>46309.50029080535</c:v>
                </c:pt>
                <c:pt idx="51">
                  <c:v>46919.705829179744</c:v>
                </c:pt>
                <c:pt idx="52">
                  <c:v>47469.338825390201</c:v>
                </c:pt>
                <c:pt idx="53">
                  <c:v>47963.055646039174</c:v>
                </c:pt>
                <c:pt idx="54">
                  <c:v>48405.453074857149</c:v>
                </c:pt>
                <c:pt idx="55">
                  <c:v>50411.616483966427</c:v>
                </c:pt>
                <c:pt idx="56">
                  <c:v>51271.265155326015</c:v>
                </c:pt>
                <c:pt idx="57">
                  <c:v>51627.425685881499</c:v>
                </c:pt>
                <c:pt idx="58">
                  <c:v>51772.921122309679</c:v>
                </c:pt>
                <c:pt idx="59">
                  <c:v>51832.014925310898</c:v>
                </c:pt>
                <c:pt idx="60">
                  <c:v>51855.959817972485</c:v>
                </c:pt>
                <c:pt idx="61">
                  <c:v>51865.653072127796</c:v>
                </c:pt>
                <c:pt idx="62">
                  <c:v>51869.575532489856</c:v>
                </c:pt>
              </c:numCache>
            </c:numRef>
          </c:yVal>
          <c:smooth val="0"/>
        </c:ser>
        <c:ser>
          <c:idx val="9"/>
          <c:order val="13"/>
          <c:tx>
            <c:strRef>
              <c:f>myData!TaiwanLabel</c:f>
              <c:strCache>
                <c:ptCount val="1"/>
                <c:pt idx="0">
                  <c:v>Taiwan from 15-Mar</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dLbls>
            <c:dLbl>
              <c:idx val="29"/>
              <c:layout>
                <c:manualLayout>
                  <c:x val="4.5019303194426145E-2"/>
                  <c:y val="1.8788773420214289E-2"/>
                </c:manualLayout>
              </c:layout>
              <c:tx>
                <c:rich>
                  <a:bodyPr rot="0" spcFirstLastPara="1" vertOverflow="ellipsis" vert="horz" wrap="square" lIns="38100" tIns="19050" rIns="38100" bIns="19050" anchor="ctr" anchorCtr="1">
                    <a:spAutoFit/>
                  </a:bodyPr>
                  <a:lstStyle/>
                  <a:p>
                    <a:pPr>
                      <a:defRPr sz="1100" b="0" i="0" u="none" strike="noStrike" kern="1200" baseline="0">
                        <a:solidFill>
                          <a:schemeClr val="accent4">
                            <a:lumMod val="75000"/>
                          </a:schemeClr>
                        </a:solidFill>
                        <a:latin typeface="Calibri"/>
                        <a:ea typeface="Calibri"/>
                        <a:cs typeface="Calibri"/>
                      </a:defRPr>
                    </a:pPr>
                    <a:r>
                      <a:rPr lang="en-US">
                        <a:solidFill>
                          <a:schemeClr val="accent4">
                            <a:lumMod val="75000"/>
                          </a:schemeClr>
                        </a:solidFill>
                      </a:rPr>
                      <a:t>Taiwan </a:t>
                    </a:r>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4">
                          <a:lumMod val="75000"/>
                        </a:schemeClr>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myData!Taiwan100Dates</c:f>
              <c:numCache>
                <c:formatCode>0</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49</c:v>
                </c:pt>
                <c:pt idx="43">
                  <c:v>56</c:v>
                </c:pt>
                <c:pt idx="44">
                  <c:v>63</c:v>
                </c:pt>
                <c:pt idx="45">
                  <c:v>70</c:v>
                </c:pt>
                <c:pt idx="46">
                  <c:v>77</c:v>
                </c:pt>
                <c:pt idx="47">
                  <c:v>84</c:v>
                </c:pt>
                <c:pt idx="48">
                  <c:v>91</c:v>
                </c:pt>
                <c:pt idx="49">
                  <c:v>98</c:v>
                </c:pt>
              </c:numCache>
            </c:numRef>
          </c:xVal>
          <c:yVal>
            <c:numRef>
              <c:f>myData!Taiwan100Cases</c:f>
              <c:numCache>
                <c:formatCode>0.00</c:formatCode>
                <c:ptCount val="38"/>
                <c:pt idx="0">
                  <c:v>105.84996640943724</c:v>
                </c:pt>
                <c:pt idx="1">
                  <c:v>112.15055964809422</c:v>
                </c:pt>
                <c:pt idx="2">
                  <c:v>118.871192435995</c:v>
                </c:pt>
                <c:pt idx="3">
                  <c:v>125.17178567465199</c:v>
                </c:pt>
                <c:pt idx="4">
                  <c:v>128.53210206860237</c:v>
                </c:pt>
                <c:pt idx="5">
                  <c:v>135.25273485650314</c:v>
                </c:pt>
                <c:pt idx="6">
                  <c:v>138.19301170120974</c:v>
                </c:pt>
                <c:pt idx="7">
                  <c:v>142.39340719364773</c:v>
                </c:pt>
                <c:pt idx="8">
                  <c:v>146.1737631368419</c:v>
                </c:pt>
                <c:pt idx="9">
                  <c:v>149.1140399815485</c:v>
                </c:pt>
                <c:pt idx="10">
                  <c:v>152.4743563754989</c:v>
                </c:pt>
                <c:pt idx="11">
                  <c:v>156.67475186793686</c:v>
                </c:pt>
                <c:pt idx="12">
                  <c:v>157.93487051566828</c:v>
                </c:pt>
                <c:pt idx="13">
                  <c:v>159.19498916339967</c:v>
                </c:pt>
                <c:pt idx="14">
                  <c:v>159.61502871264346</c:v>
                </c:pt>
                <c:pt idx="15">
                  <c:v>160.45510781113106</c:v>
                </c:pt>
                <c:pt idx="16">
                  <c:v>161.71522645886245</c:v>
                </c:pt>
                <c:pt idx="17">
                  <c:v>162.97534510659386</c:v>
                </c:pt>
                <c:pt idx="18">
                  <c:v>165.07554285281284</c:v>
                </c:pt>
                <c:pt idx="19">
                  <c:v>165.07554285281284</c:v>
                </c:pt>
                <c:pt idx="20">
                  <c:v>165.91562195130044</c:v>
                </c:pt>
                <c:pt idx="21">
                  <c:v>165.91562195130044</c:v>
                </c:pt>
                <c:pt idx="22">
                  <c:v>165.91562195130044</c:v>
                </c:pt>
                <c:pt idx="23">
                  <c:v>167.17574059903183</c:v>
                </c:pt>
                <c:pt idx="24">
                  <c:v>176.4166106823954</c:v>
                </c:pt>
                <c:pt idx="25">
                  <c:v>177.25668978088299</c:v>
                </c:pt>
                <c:pt idx="26">
                  <c:v>178.51680842861441</c:v>
                </c:pt>
                <c:pt idx="27">
                  <c:v>178.93684797785821</c:v>
                </c:pt>
                <c:pt idx="28">
                  <c:v>179.356887527102</c:v>
                </c:pt>
                <c:pt idx="29">
                  <c:v>179.7769270763458</c:v>
                </c:pt>
                <c:pt idx="30">
                  <c:v>180.1969666255896</c:v>
                </c:pt>
                <c:pt idx="31">
                  <c:v>180.1969666255896</c:v>
                </c:pt>
                <c:pt idx="32">
                  <c:v>180.1969666255896</c:v>
                </c:pt>
                <c:pt idx="33">
                  <c:v>180.1969666255896</c:v>
                </c:pt>
                <c:pt idx="34">
                  <c:v>180.1969666255896</c:v>
                </c:pt>
                <c:pt idx="35">
                  <c:v>180.1969666255896</c:v>
                </c:pt>
                <c:pt idx="36">
                  <c:v>180.1969666255896</c:v>
                </c:pt>
                <c:pt idx="37">
                  <c:v>181.45708527332098</c:v>
                </c:pt>
              </c:numCache>
            </c:numRef>
          </c:yVal>
          <c:smooth val="0"/>
        </c:ser>
        <c:dLbls>
          <c:showLegendKey val="0"/>
          <c:showVal val="0"/>
          <c:showCatName val="0"/>
          <c:showSerName val="0"/>
          <c:showPercent val="0"/>
          <c:showBubbleSize val="0"/>
        </c:dLbls>
        <c:axId val="792699488"/>
        <c:axId val="792699880"/>
      </c:scatterChart>
      <c:valAx>
        <c:axId val="792699488"/>
        <c:scaling>
          <c:orientation val="minMax"/>
          <c:max val="5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myData!lblHorizAxisDays</c:f>
              <c:strCache>
                <c:ptCount val="1"/>
                <c:pt idx="0">
                  <c:v>Days Since 100 cases per 10m population</c:v>
                </c:pt>
              </c:strCache>
            </c:strRef>
          </c:tx>
          <c:layout>
            <c:manualLayout>
              <c:xMode val="edge"/>
              <c:yMode val="edge"/>
              <c:x val="0.2987676892239407"/>
              <c:y val="0.924620525954150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792699880"/>
        <c:crosses val="autoZero"/>
        <c:crossBetween val="midCat"/>
        <c:majorUnit val="7"/>
        <c:minorUnit val="1"/>
      </c:valAx>
      <c:valAx>
        <c:axId val="79269988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layout>
            <c:manualLayout>
              <c:xMode val="edge"/>
              <c:yMode val="edge"/>
              <c:x val="9.5495491624540511E-3"/>
              <c:y val="0.43324149902521936"/>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92699488"/>
        <c:crosses val="autoZero"/>
        <c:crossBetween val="midCat"/>
        <c:majorUnit val="10"/>
      </c:valAx>
      <c:spPr>
        <a:noFill/>
        <a:ln>
          <a:noFill/>
        </a:ln>
        <a:effectLst/>
      </c:spPr>
    </c:plotArea>
    <c:legend>
      <c:legendPos val="b"/>
      <c:layout>
        <c:manualLayout>
          <c:xMode val="edge"/>
          <c:yMode val="edge"/>
          <c:x val="0.76832664829085628"/>
          <c:y val="0.12690673995877316"/>
          <c:w val="0.21393847469315766"/>
          <c:h val="0.63855857396004223"/>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myData!$EJ$12</c:f>
          <c:strCache>
            <c:ptCount val="1"/>
            <c:pt idx="0">
              <c:v>COVID19 NSW P(t) = b / {d+[( b/Po - d ) ]* exp(-b*t)}
b=0.234, d=7.88E-05, P0=.639, r2=0.9995, Limit=3.68 k=&gt;2.97 k cases 
 (Fit: Sat 25-Jan - Sun 03-May)</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9.1142658878072991E-2"/>
          <c:y val="0.17791892379594115"/>
          <c:w val="0.63923479000659555"/>
          <c:h val="0.68992130218377157"/>
        </c:manualLayout>
      </c:layout>
      <c:scatterChart>
        <c:scatterStyle val="lineMarker"/>
        <c:varyColors val="0"/>
        <c:ser>
          <c:idx val="11"/>
          <c:order val="0"/>
          <c:tx>
            <c:strRef>
              <c:f>myData!SingaporeLabel</c:f>
              <c:strCache>
                <c:ptCount val="1"/>
                <c:pt idx="0">
                  <c:v>Singapore from 14-Feb</c:v>
                </c:pt>
              </c:strCache>
            </c:strRef>
          </c:tx>
          <c:spPr>
            <a:ln w="19050" cap="rnd">
              <a:solidFill>
                <a:schemeClr val="bg1">
                  <a:lumMod val="50000"/>
                </a:schemeClr>
              </a:solidFill>
              <a:round/>
            </a:ln>
            <a:effectLst/>
          </c:spPr>
          <c:marker>
            <c:symbol val="x"/>
            <c:size val="3"/>
            <c:spPr>
              <a:noFill/>
              <a:ln w="9525">
                <a:solidFill>
                  <a:schemeClr val="bg1">
                    <a:lumMod val="50000"/>
                  </a:schemeClr>
                </a:solidFill>
              </a:ln>
              <a:effectLst/>
            </c:spPr>
          </c:marker>
          <c:dLbls>
            <c:dLbl>
              <c:idx val="19"/>
              <c:layout>
                <c:manualLayout>
                  <c:x val="4.8835685451385336E-2"/>
                  <c:y val="-4.4868675843522228E-2"/>
                </c:manualLayout>
              </c:layout>
              <c:tx>
                <c:rich>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r>
                      <a:rPr lang="en-US" b="1"/>
                      <a:t>Singapore</a:t>
                    </a:r>
                  </a:p>
                </c:rich>
              </c:tx>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myData!Singapore100Dates</c:f>
              <c:numCache>
                <c:formatCode>0</c:formatCode>
                <c:ptCount val="9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90</c:v>
                </c:pt>
                <c:pt idx="84">
                  <c:v>97</c:v>
                </c:pt>
                <c:pt idx="85">
                  <c:v>104</c:v>
                </c:pt>
                <c:pt idx="86">
                  <c:v>111</c:v>
                </c:pt>
                <c:pt idx="87">
                  <c:v>118</c:v>
                </c:pt>
                <c:pt idx="88">
                  <c:v>125</c:v>
                </c:pt>
                <c:pt idx="89">
                  <c:v>132</c:v>
                </c:pt>
                <c:pt idx="90">
                  <c:v>139</c:v>
                </c:pt>
              </c:numCache>
            </c:numRef>
          </c:xVal>
          <c:yVal>
            <c:numRef>
              <c:f>myData!Singapore100Cases</c:f>
              <c:numCache>
                <c:formatCode>0.0</c:formatCode>
                <c:ptCount val="79"/>
                <c:pt idx="0">
                  <c:v>114.52991452991454</c:v>
                </c:pt>
                <c:pt idx="1">
                  <c:v>123.07692307692308</c:v>
                </c:pt>
                <c:pt idx="2">
                  <c:v>128.2051282051282</c:v>
                </c:pt>
                <c:pt idx="3">
                  <c:v>131.62393162393164</c:v>
                </c:pt>
                <c:pt idx="4">
                  <c:v>138.46153846153848</c:v>
                </c:pt>
                <c:pt idx="5">
                  <c:v>143.58974358974359</c:v>
                </c:pt>
                <c:pt idx="6">
                  <c:v>143.58974358974359</c:v>
                </c:pt>
                <c:pt idx="7">
                  <c:v>145.29914529914529</c:v>
                </c:pt>
                <c:pt idx="8">
                  <c:v>145.29914529914529</c:v>
                </c:pt>
                <c:pt idx="9">
                  <c:v>152.13675213675214</c:v>
                </c:pt>
                <c:pt idx="10">
                  <c:v>152.13675213675214</c:v>
                </c:pt>
                <c:pt idx="11">
                  <c:v>155.55555555555557</c:v>
                </c:pt>
                <c:pt idx="12">
                  <c:v>158.97435897435898</c:v>
                </c:pt>
                <c:pt idx="13">
                  <c:v>158.97435897435898</c:v>
                </c:pt>
                <c:pt idx="14">
                  <c:v>158.97435897435898</c:v>
                </c:pt>
                <c:pt idx="15">
                  <c:v>174.35897435897436</c:v>
                </c:pt>
                <c:pt idx="16">
                  <c:v>181.19658119658121</c:v>
                </c:pt>
                <c:pt idx="17">
                  <c:v>184.61538461538461</c:v>
                </c:pt>
                <c:pt idx="18">
                  <c:v>188.03418803418805</c:v>
                </c:pt>
                <c:pt idx="19">
                  <c:v>188.03418803418805</c:v>
                </c:pt>
                <c:pt idx="20">
                  <c:v>200</c:v>
                </c:pt>
                <c:pt idx="21">
                  <c:v>222.22222222222223</c:v>
                </c:pt>
                <c:pt idx="22">
                  <c:v>235.89743589743591</c:v>
                </c:pt>
                <c:pt idx="23">
                  <c:v>256.41025641025641</c:v>
                </c:pt>
                <c:pt idx="24">
                  <c:v>256.41025641025641</c:v>
                </c:pt>
                <c:pt idx="25">
                  <c:v>273.5042735042735</c:v>
                </c:pt>
                <c:pt idx="26">
                  <c:v>304.27350427350427</c:v>
                </c:pt>
                <c:pt idx="27">
                  <c:v>304.27350427350427</c:v>
                </c:pt>
                <c:pt idx="28">
                  <c:v>341.88034188034192</c:v>
                </c:pt>
                <c:pt idx="29">
                  <c:v>362.39316239316241</c:v>
                </c:pt>
                <c:pt idx="30">
                  <c:v>386.32478632478637</c:v>
                </c:pt>
                <c:pt idx="31">
                  <c:v>415.38461538461542</c:v>
                </c:pt>
                <c:pt idx="32">
                  <c:v>454.70085470085473</c:v>
                </c:pt>
                <c:pt idx="33">
                  <c:v>535.0427350427351</c:v>
                </c:pt>
                <c:pt idx="34">
                  <c:v>589.74358974358972</c:v>
                </c:pt>
                <c:pt idx="35">
                  <c:v>658.1196581196582</c:v>
                </c:pt>
                <c:pt idx="36">
                  <c:v>738.46153846153845</c:v>
                </c:pt>
                <c:pt idx="37">
                  <c:v>777.77777777777783</c:v>
                </c:pt>
                <c:pt idx="38">
                  <c:v>870.08547008547009</c:v>
                </c:pt>
                <c:pt idx="39">
                  <c:v>953.84615384615392</c:v>
                </c:pt>
                <c:pt idx="40">
                  <c:v>1078.6324786324788</c:v>
                </c:pt>
                <c:pt idx="41">
                  <c:v>1167.5213675213677</c:v>
                </c:pt>
                <c:pt idx="42">
                  <c:v>1251.2820512820513</c:v>
                </c:pt>
                <c:pt idx="43">
                  <c:v>1370.9401709401711</c:v>
                </c:pt>
                <c:pt idx="44">
                  <c:v>1442.7350427350427</c:v>
                </c:pt>
                <c:pt idx="45">
                  <c:v>1502.5641025641028</c:v>
                </c:pt>
                <c:pt idx="46">
                  <c:v>1582.9059829059829</c:v>
                </c:pt>
                <c:pt idx="47">
                  <c:v>1709.4017094017095</c:v>
                </c:pt>
                <c:pt idx="48">
                  <c:v>1793.1623931623933</c:v>
                </c:pt>
                <c:pt idx="49">
                  <c:v>1904.2735042735044</c:v>
                </c:pt>
                <c:pt idx="50">
                  <c:v>2032.4786324786326</c:v>
                </c:pt>
                <c:pt idx="51">
                  <c:v>2237.6068376068379</c:v>
                </c:pt>
                <c:pt idx="52">
                  <c:v>2350.4273504273506</c:v>
                </c:pt>
                <c:pt idx="53">
                  <c:v>2531.6239316239316</c:v>
                </c:pt>
                <c:pt idx="54">
                  <c:v>2774.3589743589746</c:v>
                </c:pt>
                <c:pt idx="55">
                  <c:v>3264.9572649572651</c:v>
                </c:pt>
                <c:pt idx="56">
                  <c:v>3603.4188034188037</c:v>
                </c:pt>
                <c:pt idx="57">
                  <c:v>3929.9145299145302</c:v>
                </c:pt>
                <c:pt idx="58" formatCode="0">
                  <c:v>4328.2051282051289</c:v>
                </c:pt>
                <c:pt idx="59" formatCode="0">
                  <c:v>4988.0341880341884</c:v>
                </c:pt>
                <c:pt idx="60" formatCode="0">
                  <c:v>5558.9743589743593</c:v>
                </c:pt>
                <c:pt idx="61" formatCode="0">
                  <c:v>6323.0769230769238</c:v>
                </c:pt>
                <c:pt idx="62" formatCode="0">
                  <c:v>7567.5213675213681</c:v>
                </c:pt>
                <c:pt idx="63" formatCode="0">
                  <c:v>8632.4786324786328</c:v>
                </c:pt>
                <c:pt idx="64" formatCode="0">
                  <c:v>10242.735042735043</c:v>
                </c:pt>
                <c:pt idx="65" formatCode="0">
                  <c:v>11261.538461538463</c:v>
                </c:pt>
                <c:pt idx="66" formatCode="0">
                  <c:v>13699.145299145301</c:v>
                </c:pt>
                <c:pt idx="67" formatCode="0">
                  <c:v>15598.2905982906</c:v>
                </c:pt>
                <c:pt idx="68">
                  <c:v>17335.042735042734</c:v>
                </c:pt>
                <c:pt idx="69">
                  <c:v>19107.692307692309</c:v>
                </c:pt>
                <c:pt idx="70">
                  <c:v>20641.025641025641</c:v>
                </c:pt>
                <c:pt idx="71">
                  <c:v>21697.435897435898</c:v>
                </c:pt>
                <c:pt idx="72">
                  <c:v>23288.888888888891</c:v>
                </c:pt>
                <c:pt idx="73">
                  <c:v>24654.700854700855</c:v>
                </c:pt>
                <c:pt idx="74">
                  <c:v>25557.264957264957</c:v>
                </c:pt>
                <c:pt idx="75">
                  <c:v>26736.752136752137</c:v>
                </c:pt>
                <c:pt idx="76">
                  <c:v>27639.316239316242</c:v>
                </c:pt>
                <c:pt idx="77">
                  <c:v>29232.478632478633</c:v>
                </c:pt>
                <c:pt idx="78">
                  <c:v>29996.581196581199</c:v>
                </c:pt>
              </c:numCache>
            </c:numRef>
          </c:yVal>
          <c:smooth val="0"/>
        </c:ser>
        <c:ser>
          <c:idx val="8"/>
          <c:order val="1"/>
          <c:tx>
            <c:strRef>
              <c:f>myData!SingaporeSeries</c:f>
              <c:strCache>
                <c:ptCount val="1"/>
                <c:pt idx="0">
                  <c:v>Singapore Limit 60.7 k r^2=97.39%</c:v>
                </c:pt>
              </c:strCache>
            </c:strRef>
          </c:tx>
          <c:spPr>
            <a:ln w="12700" cap="rnd">
              <a:solidFill>
                <a:schemeClr val="bg1">
                  <a:lumMod val="50000"/>
                </a:schemeClr>
              </a:solidFill>
              <a:prstDash val="sysDash"/>
              <a:round/>
            </a:ln>
            <a:effectLst/>
          </c:spPr>
          <c:marker>
            <c:symbol val="none"/>
          </c:marker>
          <c:dLbls>
            <c:dLbl>
              <c:idx val="68"/>
              <c:tx>
                <c:rich>
                  <a:bodyPr/>
                  <a:lstStyle/>
                  <a:p>
                    <a:r>
                      <a:rPr lang="en-US"/>
                      <a:t>SKorea</a:t>
                    </a:r>
                  </a:p>
                </c:rich>
              </c:tx>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myData!Singapore100LogiDates</c:f>
              <c:numCache>
                <c:formatCode>0</c:formatCode>
                <c:ptCount val="9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90</c:v>
                </c:pt>
                <c:pt idx="84">
                  <c:v>97</c:v>
                </c:pt>
                <c:pt idx="85">
                  <c:v>104</c:v>
                </c:pt>
                <c:pt idx="86">
                  <c:v>111</c:v>
                </c:pt>
                <c:pt idx="87">
                  <c:v>118</c:v>
                </c:pt>
                <c:pt idx="88">
                  <c:v>125</c:v>
                </c:pt>
                <c:pt idx="89">
                  <c:v>132</c:v>
                </c:pt>
                <c:pt idx="90">
                  <c:v>139</c:v>
                </c:pt>
              </c:numCache>
            </c:numRef>
          </c:xVal>
          <c:yVal>
            <c:numRef>
              <c:f>myData!Singapore100Logi</c:f>
              <c:numCache>
                <c:formatCode>0.0</c:formatCode>
                <c:ptCount val="91"/>
                <c:pt idx="0">
                  <c:v>3.3097669781008117</c:v>
                </c:pt>
                <c:pt idx="1">
                  <c:v>3.7527000190432296</c:v>
                </c:pt>
                <c:pt idx="2">
                  <c:v>4.2549048849927722</c:v>
                </c:pt>
                <c:pt idx="3">
                  <c:v>4.8243119479855894</c:v>
                </c:pt>
                <c:pt idx="4">
                  <c:v>5.4699122985858653</c:v>
                </c:pt>
                <c:pt idx="5">
                  <c:v>6.2018995244440198</c:v>
                </c:pt>
                <c:pt idx="6">
                  <c:v>7.0318304117443367</c:v>
                </c:pt>
                <c:pt idx="7">
                  <c:v>7.9728070872497385</c:v>
                </c:pt>
                <c:pt idx="8">
                  <c:v>9.0396834513787621</c:v>
                </c:pt>
                <c:pt idx="9">
                  <c:v>10.249299128801972</c:v>
                </c:pt>
                <c:pt idx="10">
                  <c:v>11.62074458787766</c:v>
                </c:pt>
                <c:pt idx="11">
                  <c:v>13.175661559947139</c:v>
                </c:pt>
                <c:pt idx="12">
                  <c:v>14.938583430856303</c:v>
                </c:pt>
                <c:pt idx="13">
                  <c:v>16.937320887585265</c:v>
                </c:pt>
                <c:pt idx="14">
                  <c:v>19.203398790878076</c:v>
                </c:pt>
                <c:pt idx="15">
                  <c:v>21.772551019443043</c:v>
                </c:pt>
                <c:pt idx="16">
                  <c:v>24.685280902707401</c:v>
                </c:pt>
                <c:pt idx="17">
                  <c:v>27.987495838233276</c:v>
                </c:pt>
                <c:pt idx="18">
                  <c:v>31.731225788628574</c:v>
                </c:pt>
                <c:pt idx="19">
                  <c:v>35.975436583885227</c:v>
                </c:pt>
                <c:pt idx="20">
                  <c:v>40.786950332122792</c:v>
                </c:pt>
                <c:pt idx="21">
                  <c:v>46.241486778926813</c:v>
                </c:pt>
                <c:pt idx="22">
                  <c:v>52.424841167493959</c:v>
                </c:pt>
                <c:pt idx="23">
                  <c:v>59.434216053331937</c:v>
                </c:pt>
                <c:pt idx="24">
                  <c:v>67.379726632562281</c:v>
                </c:pt>
                <c:pt idx="25">
                  <c:v>76.386101465023444</c:v>
                </c:pt>
                <c:pt idx="26">
                  <c:v>86.594603023271446</c:v>
                </c:pt>
                <c:pt idx="27">
                  <c:v>98.16519528362582</c:v>
                </c:pt>
                <c:pt idx="28">
                  <c:v>111.27898859767242</c:v>
                </c:pt>
                <c:pt idx="29">
                  <c:v>126.14099533646683</c:v>
                </c:pt>
                <c:pt idx="30">
                  <c:v>142.98323326860009</c:v>
                </c:pt>
                <c:pt idx="31">
                  <c:v>162.06821728588349</c:v>
                </c:pt>
                <c:pt idx="32">
                  <c:v>183.69288387513714</c:v>
                </c:pt>
                <c:pt idx="33">
                  <c:v>208.19299657301141</c:v>
                </c:pt>
                <c:pt idx="34">
                  <c:v>235.94808441917743</c:v>
                </c:pt>
                <c:pt idx="35">
                  <c:v>267.38696898176227</c:v>
                </c:pt>
                <c:pt idx="36">
                  <c:v>302.993938648393</c:v>
                </c:pt>
                <c:pt idx="37">
                  <c:v>343.31563126160341</c:v>
                </c:pt>
                <c:pt idx="38">
                  <c:v>388.96868743765293</c:v>
                </c:pt>
                <c:pt idx="39">
                  <c:v>440.64823653188995</c:v>
                </c:pt>
                <c:pt idx="40">
                  <c:v>499.1372745415926</c:v>
                </c:pt>
                <c:pt idx="41">
                  <c:v>565.3169874264571</c:v>
                </c:pt>
                <c:pt idx="42">
                  <c:v>640.17806331505312</c:v>
                </c:pt>
                <c:pt idx="43">
                  <c:v>724.83302152858403</c:v>
                </c:pt>
                <c:pt idx="44">
                  <c:v>820.52956366223839</c:v>
                </c:pt>
                <c:pt idx="45">
                  <c:v>928.66492014428968</c:v>
                </c:pt>
                <c:pt idx="46">
                  <c:v>1050.8011223887431</c:v>
                </c:pt>
                <c:pt idx="47">
                  <c:v>1188.6810731156438</c:v>
                </c:pt>
                <c:pt idx="48">
                  <c:v>1344.2452124953845</c:v>
                </c:pt>
                <c:pt idx="49">
                  <c:v>1519.6484820142061</c:v>
                </c:pt>
                <c:pt idx="50">
                  <c:v>1717.2771677006065</c:v>
                </c:pt>
                <c:pt idx="51">
                  <c:v>1939.7650559889198</c:v>
                </c:pt>
                <c:pt idx="52">
                  <c:v>2190.008155861382</c:v>
                </c:pt>
                <c:pt idx="53">
                  <c:v>2471.1770278754029</c:v>
                </c:pt>
                <c:pt idx="54">
                  <c:v>2786.7255140086477</c:v>
                </c:pt>
                <c:pt idx="55">
                  <c:v>3140.3943847564333</c:v>
                </c:pt>
                <c:pt idx="56">
                  <c:v>3536.2081189780988</c:v>
                </c:pt>
                <c:pt idx="57">
                  <c:v>3978.4627214317843</c:v>
                </c:pt>
                <c:pt idx="58">
                  <c:v>4471.7021851649042</c:v>
                </c:pt>
                <c:pt idx="59">
                  <c:v>5020.6809541685288</c:v>
                </c:pt>
                <c:pt idx="60">
                  <c:v>5630.3095819887285</c:v>
                </c:pt>
                <c:pt idx="61">
                  <c:v>6305.5807742803954</c:v>
                </c:pt>
                <c:pt idx="62">
                  <c:v>7051.4732209110016</c:v>
                </c:pt>
                <c:pt idx="63">
                  <c:v>7872.8311494742966</c:v>
                </c:pt>
                <c:pt idx="64">
                  <c:v>8774.2184527636891</c:v>
                </c:pt>
                <c:pt idx="65">
                  <c:v>9759.747633459172</c:v>
                </c:pt>
                <c:pt idx="66">
                  <c:v>10832.885716686174</c:v>
                </c:pt>
                <c:pt idx="67">
                  <c:v>11996.241698920954</c:v>
                </c:pt>
                <c:pt idx="68">
                  <c:v>13251.342943642769</c:v>
                </c:pt>
                <c:pt idx="69">
                  <c:v>14598.411008870913</c:v>
                </c:pt>
                <c:pt idx="70">
                  <c:v>16036.150387927775</c:v>
                </c:pt>
                <c:pt idx="71">
                  <c:v>17561.566135752069</c:v>
                </c:pt>
                <c:pt idx="72">
                  <c:v>19169.827830982562</c:v>
                </c:pt>
                <c:pt idx="73">
                  <c:v>20854.197269265806</c:v>
                </c:pt>
                <c:pt idx="74">
                  <c:v>22606.035266757171</c:v>
                </c:pt>
                <c:pt idx="75">
                  <c:v>24414.898756474951</c:v>
                </c:pt>
                <c:pt idx="76">
                  <c:v>26268.733088088131</c:v>
                </c:pt>
                <c:pt idx="77">
                  <c:v>28154.156586446399</c:v>
                </c:pt>
                <c:pt idx="78">
                  <c:v>30056.825854664236</c:v>
                </c:pt>
                <c:pt idx="79">
                  <c:v>31961.862160437533</c:v>
                </c:pt>
                <c:pt idx="80">
                  <c:v>33854.31272765249</c:v>
                </c:pt>
                <c:pt idx="81">
                  <c:v>35719.616905838644</c:v>
                </c:pt>
                <c:pt idx="82">
                  <c:v>37544.046645102382</c:v>
                </c:pt>
                <c:pt idx="83">
                  <c:v>48332.963371186241</c:v>
                </c:pt>
                <c:pt idx="84">
                  <c:v>54879.296483850951</c:v>
                </c:pt>
                <c:pt idx="85">
                  <c:v>58148.532235244347</c:v>
                </c:pt>
                <c:pt idx="86">
                  <c:v>59622.892266281502</c:v>
                </c:pt>
                <c:pt idx="87">
                  <c:v>60257.091573028745</c:v>
                </c:pt>
                <c:pt idx="88">
                  <c:v>60524.327906229548</c:v>
                </c:pt>
                <c:pt idx="89">
                  <c:v>60635.955192486144</c:v>
                </c:pt>
                <c:pt idx="90">
                  <c:v>60682.412713966558</c:v>
                </c:pt>
              </c:numCache>
            </c:numRef>
          </c:yVal>
          <c:smooth val="0"/>
        </c:ser>
        <c:ser>
          <c:idx val="7"/>
          <c:order val="2"/>
          <c:tx>
            <c:strRef>
              <c:f>myData!SKoreaLabel</c:f>
              <c:strCache>
                <c:ptCount val="1"/>
                <c:pt idx="0">
                  <c:v>South Korea from 23-Feb</c:v>
                </c:pt>
              </c:strCache>
            </c:strRef>
          </c:tx>
          <c:spPr>
            <a:ln w="19050" cap="rnd">
              <a:solidFill>
                <a:schemeClr val="accent2">
                  <a:lumMod val="60000"/>
                </a:schemeClr>
              </a:solidFill>
              <a:round/>
            </a:ln>
            <a:effectLst/>
          </c:spPr>
          <c:marker>
            <c:symbol val="x"/>
            <c:size val="4"/>
            <c:spPr>
              <a:noFill/>
              <a:ln w="9525">
                <a:solidFill>
                  <a:schemeClr val="accent4">
                    <a:lumMod val="60000"/>
                  </a:schemeClr>
                </a:solidFill>
              </a:ln>
              <a:effectLst/>
            </c:spPr>
          </c:marker>
          <c:dLbls>
            <c:dLbl>
              <c:idx val="38"/>
              <c:layout>
                <c:manualLayout>
                  <c:x val="-5.3866332092285862E-2"/>
                  <c:y val="4.1752829822698415E-2"/>
                </c:manualLayout>
              </c:layout>
              <c:tx>
                <c:rich>
                  <a:bodyPr/>
                  <a:lstStyle/>
                  <a:p>
                    <a:r>
                      <a:rPr lang="en-US"/>
                      <a:t>SKorea</a:t>
                    </a:r>
                  </a:p>
                </c:rich>
              </c:tx>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myData!SKorea100Dates</c:f>
              <c:numCache>
                <c:formatCode>0</c:formatCode>
                <c:ptCount val="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formatCode="0.0">
                  <c:v>73</c:v>
                </c:pt>
                <c:pt idx="73" formatCode="0.0">
                  <c:v>74</c:v>
                </c:pt>
                <c:pt idx="74" formatCode="0.0">
                  <c:v>81</c:v>
                </c:pt>
                <c:pt idx="75">
                  <c:v>88</c:v>
                </c:pt>
                <c:pt idx="76">
                  <c:v>95</c:v>
                </c:pt>
                <c:pt idx="77">
                  <c:v>102</c:v>
                </c:pt>
                <c:pt idx="78" formatCode="0.0">
                  <c:v>109</c:v>
                </c:pt>
                <c:pt idx="79" formatCode="0.0">
                  <c:v>116</c:v>
                </c:pt>
                <c:pt idx="80" formatCode="0.0">
                  <c:v>123</c:v>
                </c:pt>
                <c:pt idx="81" formatCode="0.0">
                  <c:v>130</c:v>
                </c:pt>
              </c:numCache>
            </c:numRef>
          </c:xVal>
          <c:yVal>
            <c:numRef>
              <c:f>myData!SKorea100Cases</c:f>
              <c:numCache>
                <c:formatCode>0.0</c:formatCode>
                <c:ptCount val="70"/>
                <c:pt idx="0">
                  <c:v>117.1206225680934</c:v>
                </c:pt>
                <c:pt idx="1">
                  <c:v>162.06225680933852</c:v>
                </c:pt>
                <c:pt idx="2">
                  <c:v>190.07782101167317</c:v>
                </c:pt>
                <c:pt idx="3">
                  <c:v>245.33073929961091</c:v>
                </c:pt>
                <c:pt idx="4">
                  <c:v>343.579766536965</c:v>
                </c:pt>
                <c:pt idx="5">
                  <c:v>454.66926070038915</c:v>
                </c:pt>
                <c:pt idx="6">
                  <c:v>612.84046692607012</c:v>
                </c:pt>
                <c:pt idx="7">
                  <c:v>726.84824902723744</c:v>
                </c:pt>
                <c:pt idx="8">
                  <c:v>843.38521400778211</c:v>
                </c:pt>
                <c:pt idx="9">
                  <c:v>1008.9494163424125</c:v>
                </c:pt>
                <c:pt idx="10">
                  <c:v>1093.5797665369651</c:v>
                </c:pt>
                <c:pt idx="11">
                  <c:v>1184.4357976653698</c:v>
                </c:pt>
                <c:pt idx="12">
                  <c:v>1282.6848249027239</c:v>
                </c:pt>
                <c:pt idx="13">
                  <c:v>1369.8443579766538</c:v>
                </c:pt>
                <c:pt idx="14">
                  <c:v>1422.95719844358</c:v>
                </c:pt>
                <c:pt idx="15">
                  <c:v>1454.8638132295721</c:v>
                </c:pt>
                <c:pt idx="16">
                  <c:v>1461.6731517509729</c:v>
                </c:pt>
                <c:pt idx="17">
                  <c:v>1508.7548638132296</c:v>
                </c:pt>
                <c:pt idx="18">
                  <c:v>1530.933852140078</c:v>
                </c:pt>
                <c:pt idx="19">
                  <c:v>1552.3346303501946</c:v>
                </c:pt>
                <c:pt idx="20">
                  <c:v>1573.1517509727628</c:v>
                </c:pt>
                <c:pt idx="21">
                  <c:v>1587.9377431906616</c:v>
                </c:pt>
                <c:pt idx="22">
                  <c:v>1602.3346303501946</c:v>
                </c:pt>
                <c:pt idx="23">
                  <c:v>1618.6770428015566</c:v>
                </c:pt>
                <c:pt idx="24">
                  <c:v>1636.7704280155642</c:v>
                </c:pt>
                <c:pt idx="25">
                  <c:v>1666.342412451362</c:v>
                </c:pt>
                <c:pt idx="26">
                  <c:v>1683.2684824902724</c:v>
                </c:pt>
                <c:pt idx="27">
                  <c:v>1711.8677042801557</c:v>
                </c:pt>
                <c:pt idx="28">
                  <c:v>1743.3852140077822</c:v>
                </c:pt>
                <c:pt idx="29">
                  <c:v>1743.3852140077822</c:v>
                </c:pt>
                <c:pt idx="30">
                  <c:v>1758.1712062256811</c:v>
                </c:pt>
                <c:pt idx="31">
                  <c:v>1777.626459143969</c:v>
                </c:pt>
                <c:pt idx="32">
                  <c:v>1797.8599221789884</c:v>
                </c:pt>
                <c:pt idx="33">
                  <c:v>1815.5642023346304</c:v>
                </c:pt>
                <c:pt idx="34">
                  <c:v>1843.9688715953309</c:v>
                </c:pt>
                <c:pt idx="35">
                  <c:v>1864.3968871595332</c:v>
                </c:pt>
                <c:pt idx="36">
                  <c:v>1879.5719844357977</c:v>
                </c:pt>
                <c:pt idx="37">
                  <c:v>1903.8910505836577</c:v>
                </c:pt>
                <c:pt idx="38">
                  <c:v>1923.5408560311284</c:v>
                </c:pt>
                <c:pt idx="39">
                  <c:v>1940.8560311284048</c:v>
                </c:pt>
                <c:pt idx="40">
                  <c:v>1957.5875486381324</c:v>
                </c:pt>
                <c:pt idx="41">
                  <c:v>1975.8754863813231</c:v>
                </c:pt>
                <c:pt idx="42">
                  <c:v>1991.6342412451363</c:v>
                </c:pt>
                <c:pt idx="43">
                  <c:v>2000.7782101167315</c:v>
                </c:pt>
                <c:pt idx="44">
                  <c:v>2009.922178988327</c:v>
                </c:pt>
                <c:pt idx="45">
                  <c:v>2020.2334630350197</c:v>
                </c:pt>
                <c:pt idx="46">
                  <c:v>2027.8210116731518</c:v>
                </c:pt>
                <c:pt idx="47">
                  <c:v>2033.0739299610896</c:v>
                </c:pt>
                <c:pt idx="48">
                  <c:v>2038.910505836576</c:v>
                </c:pt>
                <c:pt idx="49">
                  <c:v>2045.1361867704281</c:v>
                </c:pt>
                <c:pt idx="50">
                  <c:v>2050</c:v>
                </c:pt>
                <c:pt idx="51">
                  <c:v>2055.252918287938</c:v>
                </c:pt>
                <c:pt idx="52">
                  <c:v>2060.5058365758755</c:v>
                </c:pt>
                <c:pt idx="53">
                  <c:v>2064.7859922178991</c:v>
                </c:pt>
                <c:pt idx="54">
                  <c:v>2069.0661478599222</c:v>
                </c:pt>
                <c:pt idx="55">
                  <c:v>2072.5680933852141</c:v>
                </c:pt>
                <c:pt idx="56">
                  <c:v>2074.1245136186772</c:v>
                </c:pt>
                <c:pt idx="57">
                  <c:v>2076.6536964980546</c:v>
                </c:pt>
                <c:pt idx="58">
                  <c:v>2078.4046692607003</c:v>
                </c:pt>
                <c:pt idx="59">
                  <c:v>2080.5447470817121</c:v>
                </c:pt>
                <c:pt idx="60">
                  <c:v>2083.2684824902726</c:v>
                </c:pt>
                <c:pt idx="61">
                  <c:v>2085.2140077821014</c:v>
                </c:pt>
                <c:pt idx="62">
                  <c:v>2087.1595330739301</c:v>
                </c:pt>
                <c:pt idx="63">
                  <c:v>2089.1050583657589</c:v>
                </c:pt>
                <c:pt idx="64">
                  <c:v>2091.8287937743194</c:v>
                </c:pt>
                <c:pt idx="65">
                  <c:v>2093.5797665369651</c:v>
                </c:pt>
                <c:pt idx="66">
                  <c:v>2094.3579766536968</c:v>
                </c:pt>
                <c:pt idx="67">
                  <c:v>2096.1089494163425</c:v>
                </c:pt>
                <c:pt idx="68">
                  <c:v>2097.2762645914399</c:v>
                </c:pt>
                <c:pt idx="69">
                  <c:v>2099.8054474708174</c:v>
                </c:pt>
              </c:numCache>
            </c:numRef>
          </c:yVal>
          <c:smooth val="0"/>
        </c:ser>
        <c:ser>
          <c:idx val="9"/>
          <c:order val="3"/>
          <c:tx>
            <c:strRef>
              <c:f>myData!SKoreaSeries</c:f>
              <c:strCache>
                <c:ptCount val="1"/>
                <c:pt idx="0">
                  <c:v>South Korea Limit 1.99 k r^2=98.75%</c:v>
                </c:pt>
              </c:strCache>
            </c:strRef>
          </c:tx>
          <c:spPr>
            <a:ln w="15875" cap="rnd">
              <a:solidFill>
                <a:schemeClr val="accent4">
                  <a:lumMod val="60000"/>
                </a:schemeClr>
              </a:solidFill>
              <a:prstDash val="sysDot"/>
              <a:round/>
            </a:ln>
            <a:effectLst/>
          </c:spPr>
          <c:marker>
            <c:symbol val="none"/>
          </c:marker>
          <c:xVal>
            <c:numRef>
              <c:f>myData!SKorea100LogiDates</c:f>
              <c:numCache>
                <c:formatCode>0</c:formatCode>
                <c:ptCount val="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formatCode="0.0">
                  <c:v>73</c:v>
                </c:pt>
                <c:pt idx="73" formatCode="0.0">
                  <c:v>74</c:v>
                </c:pt>
                <c:pt idx="74" formatCode="0.0">
                  <c:v>81</c:v>
                </c:pt>
                <c:pt idx="75">
                  <c:v>88</c:v>
                </c:pt>
                <c:pt idx="76">
                  <c:v>95</c:v>
                </c:pt>
                <c:pt idx="77">
                  <c:v>102</c:v>
                </c:pt>
                <c:pt idx="78" formatCode="0.0">
                  <c:v>109</c:v>
                </c:pt>
                <c:pt idx="79" formatCode="0.0">
                  <c:v>116</c:v>
                </c:pt>
                <c:pt idx="80" formatCode="0.0">
                  <c:v>123</c:v>
                </c:pt>
                <c:pt idx="81" formatCode="0.0">
                  <c:v>130</c:v>
                </c:pt>
              </c:numCache>
            </c:numRef>
          </c:xVal>
          <c:yVal>
            <c:numRef>
              <c:f>myData!SKorea100Logi</c:f>
              <c:numCache>
                <c:formatCode>0.0</c:formatCode>
                <c:ptCount val="82"/>
                <c:pt idx="0">
                  <c:v>254.69643905109643</c:v>
                </c:pt>
                <c:pt idx="1">
                  <c:v>296.74607217588897</c:v>
                </c:pt>
                <c:pt idx="2">
                  <c:v>344.36118494805879</c:v>
                </c:pt>
                <c:pt idx="3">
                  <c:v>397.8226178429897</c:v>
                </c:pt>
                <c:pt idx="4">
                  <c:v>457.27907315312348</c:v>
                </c:pt>
                <c:pt idx="5">
                  <c:v>522.70630863791064</c:v>
                </c:pt>
                <c:pt idx="6">
                  <c:v>593.8702697075388</c:v>
                </c:pt>
                <c:pt idx="7">
                  <c:v>670.30010921559074</c:v>
                </c:pt>
                <c:pt idx="8">
                  <c:v>751.27734378847913</c:v>
                </c:pt>
                <c:pt idx="9">
                  <c:v>835.84638466633533</c:v>
                </c:pt>
                <c:pt idx="10">
                  <c:v>922.84916299760357</c:v>
                </c:pt>
                <c:pt idx="11">
                  <c:v>1010.982802982084</c:v>
                </c:pt>
                <c:pt idx="12">
                  <c:v>1098.87505340558</c:v>
                </c:pt>
                <c:pt idx="13">
                  <c:v>1185.1685828949983</c:v>
                </c:pt>
                <c:pt idx="14">
                  <c:v>1268.603349977923</c:v>
                </c:pt>
                <c:pt idx="15">
                  <c:v>1348.0866754988899</c:v>
                </c:pt>
                <c:pt idx="16">
                  <c:v>1422.7432383760945</c:v>
                </c:pt>
                <c:pt idx="17">
                  <c:v>1491.9411777337341</c:v>
                </c:pt>
                <c:pt idx="18">
                  <c:v>1555.2946762715164</c:v>
                </c:pt>
                <c:pt idx="19">
                  <c:v>1612.6467921408887</c:v>
                </c:pt>
                <c:pt idx="20">
                  <c:v>1664.0383003295658</c:v>
                </c:pt>
                <c:pt idx="21">
                  <c:v>1709.6688165858886</c:v>
                </c:pt>
                <c:pt idx="22">
                  <c:v>1749.8558193010992</c:v>
                </c:pt>
                <c:pt idx="23">
                  <c:v>1784.995848818307</c:v>
                </c:pt>
                <c:pt idx="24">
                  <c:v>1815.5306235507221</c:v>
                </c:pt>
                <c:pt idx="25">
                  <c:v>1841.9194100941224</c:v>
                </c:pt>
                <c:pt idx="26">
                  <c:v>1864.6179005792389</c:v>
                </c:pt>
                <c:pt idx="27">
                  <c:v>1884.0631307644464</c:v>
                </c:pt>
                <c:pt idx="28">
                  <c:v>1900.6635775757175</c:v>
                </c:pt>
                <c:pt idx="29">
                  <c:v>1914.7934272137225</c:v>
                </c:pt>
                <c:pt idx="30">
                  <c:v>1926.7900212373675</c:v>
                </c:pt>
                <c:pt idx="31">
                  <c:v>1936.9535971780681</c:v>
                </c:pt>
                <c:pt idx="32">
                  <c:v>1945.5485899450921</c:v>
                </c:pt>
                <c:pt idx="33">
                  <c:v>1952.8059165268937</c:v>
                </c:pt>
                <c:pt idx="34">
                  <c:v>1958.925809952899</c:v>
                </c:pt>
                <c:pt idx="35">
                  <c:v>1964.0808902328693</c:v>
                </c:pt>
                <c:pt idx="36">
                  <c:v>1968.419257708503</c:v>
                </c:pt>
                <c:pt idx="37">
                  <c:v>1972.0674693120775</c:v>
                </c:pt>
                <c:pt idx="38">
                  <c:v>1975.1333137512049</c:v>
                </c:pt>
                <c:pt idx="39">
                  <c:v>1977.7083412831498</c:v>
                </c:pt>
                <c:pt idx="40">
                  <c:v>1979.8701310277763</c:v>
                </c:pt>
                <c:pt idx="41">
                  <c:v>1981.6842967659679</c:v>
                </c:pt>
                <c:pt idx="42">
                  <c:v>1983.2062433971976</c:v>
                </c:pt>
                <c:pt idx="43">
                  <c:v>1984.4826926607625</c:v>
                </c:pt>
                <c:pt idx="44">
                  <c:v>1985.5529998582801</c:v>
                </c:pt>
                <c:pt idx="45">
                  <c:v>1986.4502842563377</c:v>
                </c:pt>
                <c:pt idx="46">
                  <c:v>1987.2023953940397</c:v>
                </c:pt>
                <c:pt idx="47">
                  <c:v>1987.8327362308569</c:v>
                </c:pt>
                <c:pt idx="48">
                  <c:v>1988.3609623302725</c:v>
                </c:pt>
                <c:pt idx="49">
                  <c:v>1988.8035743410901</c:v>
                </c:pt>
                <c:pt idx="50">
                  <c:v>1989.1744190765799</c:v>
                </c:pt>
                <c:pt idx="51">
                  <c:v>1989.4851126039287</c:v>
                </c:pt>
                <c:pt idx="52">
                  <c:v>1989.745397000903</c:v>
                </c:pt>
                <c:pt idx="53">
                  <c:v>1989.9634408422226</c:v>
                </c:pt>
                <c:pt idx="54">
                  <c:v>1990.146092054774</c:v>
                </c:pt>
                <c:pt idx="55">
                  <c:v>1990.2990905263268</c:v>
                </c:pt>
                <c:pt idx="56">
                  <c:v>1990.4272467577271</c:v>
                </c:pt>
                <c:pt idx="57">
                  <c:v>1990.5345919006045</c:v>
                </c:pt>
                <c:pt idx="58">
                  <c:v>1990.6245037067431</c:v>
                </c:pt>
                <c:pt idx="59">
                  <c:v>1990.6998122165287</c:v>
                </c:pt>
                <c:pt idx="60">
                  <c:v>1990.762888417742</c:v>
                </c:pt>
                <c:pt idx="61">
                  <c:v>1990.8157185990644</c:v>
                </c:pt>
                <c:pt idx="62">
                  <c:v>1990.8599666927098</c:v>
                </c:pt>
                <c:pt idx="63">
                  <c:v>1990.8970265367409</c:v>
                </c:pt>
                <c:pt idx="64">
                  <c:v>1990.9280656801971</c:v>
                </c:pt>
                <c:pt idx="65">
                  <c:v>1990.9540620948464</c:v>
                </c:pt>
                <c:pt idx="66">
                  <c:v>1990.975834938866</c:v>
                </c:pt>
                <c:pt idx="67">
                  <c:v>1990.9940703338266</c:v>
                </c:pt>
                <c:pt idx="68">
                  <c:v>1991.0093429616627</c:v>
                </c:pt>
                <c:pt idx="69">
                  <c:v>1991.0221341583265</c:v>
                </c:pt>
                <c:pt idx="70">
                  <c:v>1991.0328470715945</c:v>
                </c:pt>
                <c:pt idx="71">
                  <c:v>1991.0418193588296</c:v>
                </c:pt>
                <c:pt idx="72">
                  <c:v>1991.0493338235597</c:v>
                </c:pt>
                <c:pt idx="73">
                  <c:v>1991.0556273251748</c:v>
                </c:pt>
                <c:pt idx="74">
                  <c:v>1991.0786907017034</c:v>
                </c:pt>
                <c:pt idx="75">
                  <c:v>1991.0853567487459</c:v>
                </c:pt>
                <c:pt idx="76">
                  <c:v>1991.0872834272357</c:v>
                </c:pt>
                <c:pt idx="77">
                  <c:v>1991.087840290784</c:v>
                </c:pt>
                <c:pt idx="78" formatCode="0">
                  <c:v>1991.0880012396599</c:v>
                </c:pt>
                <c:pt idx="79" formatCode="0">
                  <c:v>1991.0880477582984</c:v>
                </c:pt>
                <c:pt idx="80" formatCode="0">
                  <c:v>1991.0880612034591</c:v>
                </c:pt>
                <c:pt idx="81" formatCode="0">
                  <c:v>1991.088065089479</c:v>
                </c:pt>
              </c:numCache>
            </c:numRef>
          </c:yVal>
          <c:smooth val="0"/>
        </c:ser>
        <c:ser>
          <c:idx val="1"/>
          <c:order val="4"/>
          <c:tx>
            <c:strRef>
              <c:f>myData!NSWLabel</c:f>
              <c:strCache>
                <c:ptCount val="1"/>
                <c:pt idx="0">
                  <c:v>NSW from 13-Mar</c:v>
                </c:pt>
              </c:strCache>
            </c:strRef>
          </c:tx>
          <c:spPr>
            <a:ln w="19050" cap="rnd">
              <a:solidFill>
                <a:schemeClr val="accent6">
                  <a:lumMod val="75000"/>
                </a:schemeClr>
              </a:solidFill>
              <a:round/>
            </a:ln>
            <a:effectLst/>
          </c:spPr>
          <c:marker>
            <c:symbol val="x"/>
            <c:size val="5"/>
            <c:spPr>
              <a:noFill/>
              <a:ln w="9525">
                <a:solidFill>
                  <a:schemeClr val="accent6">
                    <a:lumMod val="75000"/>
                    <a:alpha val="90000"/>
                  </a:schemeClr>
                </a:solidFill>
              </a:ln>
              <a:effectLst/>
            </c:spPr>
          </c:marker>
          <c:dLbls>
            <c:dLbl>
              <c:idx val="19"/>
              <c:layout>
                <c:manualLayout>
                  <c:x val="-6.8211065446099868E-3"/>
                  <c:y val="-4.1752829822698491E-2"/>
                </c:manualLayout>
              </c:layout>
              <c:tx>
                <c:rich>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r>
                      <a:rPr lang="en-US" b="1"/>
                      <a:t>NSW</a:t>
                    </a:r>
                  </a:p>
                </c:rich>
              </c:tx>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myData!NSW100Dates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myData!NSW100Cases</c:f>
              <c:numCache>
                <c:formatCode>0</c:formatCode>
                <c:ptCount val="52"/>
                <c:pt idx="0">
                  <c:v>113.86138613861385</c:v>
                </c:pt>
                <c:pt idx="1">
                  <c:v>138.61386138613861</c:v>
                </c:pt>
                <c:pt idx="2">
                  <c:v>165.84158415841583</c:v>
                </c:pt>
                <c:pt idx="3">
                  <c:v>211.63366336633663</c:v>
                </c:pt>
                <c:pt idx="4">
                  <c:v>259.9009900990099</c:v>
                </c:pt>
                <c:pt idx="5">
                  <c:v>330.44554455445541</c:v>
                </c:pt>
                <c:pt idx="6">
                  <c:v>379.95049504950492</c:v>
                </c:pt>
                <c:pt idx="7">
                  <c:v>436.88118811881185</c:v>
                </c:pt>
                <c:pt idx="8">
                  <c:v>539.60396039603961</c:v>
                </c:pt>
                <c:pt idx="9">
                  <c:v>827.97029702970292</c:v>
                </c:pt>
                <c:pt idx="10">
                  <c:v>827.97029702970292</c:v>
                </c:pt>
                <c:pt idx="11">
                  <c:v>1012.3762376237623</c:v>
                </c:pt>
                <c:pt idx="12">
                  <c:v>1273.5148514851485</c:v>
                </c:pt>
                <c:pt idx="13">
                  <c:v>1508.6633663366335</c:v>
                </c:pt>
                <c:pt idx="14">
                  <c:v>1738.8613861386139</c:v>
                </c:pt>
                <c:pt idx="15">
                  <c:v>2001.2376237623762</c:v>
                </c:pt>
                <c:pt idx="16">
                  <c:v>2216.5841584158416</c:v>
                </c:pt>
                <c:pt idx="17">
                  <c:v>2373.7623762376238</c:v>
                </c:pt>
                <c:pt idx="18">
                  <c:v>2514.8514851485147</c:v>
                </c:pt>
                <c:pt idx="19">
                  <c:v>2700.4950495049502</c:v>
                </c:pt>
                <c:pt idx="20">
                  <c:v>2844.0594059405939</c:v>
                </c:pt>
                <c:pt idx="21">
                  <c:v>2956.6831683168316</c:v>
                </c:pt>
                <c:pt idx="22">
                  <c:v>3085.3960396039602</c:v>
                </c:pt>
                <c:pt idx="23">
                  <c:v>3193.0693069306931</c:v>
                </c:pt>
                <c:pt idx="24">
                  <c:v>3263.6138613861385</c:v>
                </c:pt>
                <c:pt idx="25">
                  <c:v>3324.257425742574</c:v>
                </c:pt>
                <c:pt idx="26">
                  <c:v>3383.6633663366333</c:v>
                </c:pt>
                <c:pt idx="27">
                  <c:v>3431.9306930693069</c:v>
                </c:pt>
                <c:pt idx="28">
                  <c:v>3492.5742574257424</c:v>
                </c:pt>
                <c:pt idx="29">
                  <c:v>3535.8910891089108</c:v>
                </c:pt>
                <c:pt idx="30">
                  <c:v>3532.1782178217818</c:v>
                </c:pt>
                <c:pt idx="31">
                  <c:v>3543.3168316831679</c:v>
                </c:pt>
                <c:pt idx="32">
                  <c:v>3551.9801980198017</c:v>
                </c:pt>
                <c:pt idx="33">
                  <c:v>3571.7821782178216</c:v>
                </c:pt>
                <c:pt idx="34">
                  <c:v>3585.3960396039602</c:v>
                </c:pt>
                <c:pt idx="35">
                  <c:v>3621.287128712871</c:v>
                </c:pt>
                <c:pt idx="36">
                  <c:v>3633.6633663366333</c:v>
                </c:pt>
                <c:pt idx="37">
                  <c:v>3659.6534653465346</c:v>
                </c:pt>
                <c:pt idx="38">
                  <c:v>3667.0792079207918</c:v>
                </c:pt>
                <c:pt idx="39">
                  <c:v>3674.5049504950493</c:v>
                </c:pt>
                <c:pt idx="40">
                  <c:v>3676.9801980198017</c:v>
                </c:pt>
                <c:pt idx="41">
                  <c:v>3683.1683168316831</c:v>
                </c:pt>
                <c:pt idx="42">
                  <c:v>3690.5940594059402</c:v>
                </c:pt>
                <c:pt idx="43">
                  <c:v>3705.4455445544554</c:v>
                </c:pt>
                <c:pt idx="44">
                  <c:v>3715.3465346534649</c:v>
                </c:pt>
                <c:pt idx="45">
                  <c:v>3717.8217821782177</c:v>
                </c:pt>
                <c:pt idx="46">
                  <c:v>3724.0099009900987</c:v>
                </c:pt>
                <c:pt idx="47">
                  <c:v>3732.6732673267325</c:v>
                </c:pt>
                <c:pt idx="48">
                  <c:v>3732.6732673267325</c:v>
                </c:pt>
                <c:pt idx="49">
                  <c:v>3743.8118811881186</c:v>
                </c:pt>
                <c:pt idx="50">
                  <c:v>3751.2376237623762</c:v>
                </c:pt>
                <c:pt idx="51">
                  <c:v>3756.1881188118809</c:v>
                </c:pt>
              </c:numCache>
            </c:numRef>
          </c:yVal>
          <c:smooth val="0"/>
        </c:ser>
        <c:ser>
          <c:idx val="0"/>
          <c:order val="5"/>
          <c:tx>
            <c:strRef>
              <c:f>myData!NSWSeries</c:f>
              <c:strCache>
                <c:ptCount val="1"/>
                <c:pt idx="0">
                  <c:v>NSW Limit 3.68 k r^2=99.95%</c:v>
                </c:pt>
              </c:strCache>
            </c:strRef>
          </c:tx>
          <c:spPr>
            <a:ln w="12700" cap="rnd">
              <a:solidFill>
                <a:schemeClr val="accent6">
                  <a:lumMod val="75000"/>
                </a:schemeClr>
              </a:solidFill>
              <a:prstDash val="sysDash"/>
              <a:round/>
            </a:ln>
            <a:effectLst/>
          </c:spPr>
          <c:marker>
            <c:symbol val="none"/>
          </c:marker>
          <c:xVal>
            <c:numRef>
              <c:f>myData!NSW100LogiDates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myData!NSW100Logi</c:f>
              <c:numCache>
                <c:formatCode>0.000</c:formatCode>
                <c:ptCount val="63"/>
                <c:pt idx="0">
                  <c:v>113.44691941965432</c:v>
                </c:pt>
                <c:pt idx="1">
                  <c:v>142.24067232475451</c:v>
                </c:pt>
                <c:pt idx="2">
                  <c:v>177.97784543859348</c:v>
                </c:pt>
                <c:pt idx="3">
                  <c:v>222.13005070843221</c:v>
                </c:pt>
                <c:pt idx="4">
                  <c:v>276.37105102150247</c:v>
                </c:pt>
                <c:pt idx="5">
                  <c:v>342.54493196615931</c:v>
                </c:pt>
                <c:pt idx="6">
                  <c:v>422.59622556080308</c:v>
                </c:pt>
                <c:pt idx="7">
                  <c:v>518.44922906601766</c:v>
                </c:pt>
                <c:pt idx="8">
                  <c:v>631.82670201558562</c:v>
                </c:pt>
                <c:pt idx="9">
                  <c:v>764.00693957768237</c:v>
                </c:pt>
                <c:pt idx="10">
                  <c:v>915.53463390105367</c:v>
                </c:pt>
                <c:pt idx="11">
                  <c:v>1085.924158627887</c:v>
                </c:pt>
                <c:pt idx="12">
                  <c:v>1273.4183928070202</c:v>
                </c:pt>
                <c:pt idx="13">
                  <c:v>1474.8808053122495</c:v>
                </c:pt>
                <c:pt idx="14">
                  <c:v>1685.8896953354424</c:v>
                </c:pt>
                <c:pt idx="15">
                  <c:v>1901.0633540670383</c:v>
                </c:pt>
                <c:pt idx="16">
                  <c:v>2114.5805550109835</c:v>
                </c:pt>
                <c:pt idx="17">
                  <c:v>2320.7963855332187</c:v>
                </c:pt>
                <c:pt idx="18">
                  <c:v>2514.8194031077237</c:v>
                </c:pt>
                <c:pt idx="19">
                  <c:v>2692.9300903149101</c:v>
                </c:pt>
                <c:pt idx="20">
                  <c:v>2852.7752226636558</c:v>
                </c:pt>
                <c:pt idx="21">
                  <c:v>2993.3408699389606</c:v>
                </c:pt>
                <c:pt idx="22" formatCode="0.00E+00">
                  <c:v>3114.7593598942085</c:v>
                </c:pt>
                <c:pt idx="23" formatCode="0.00E+00">
                  <c:v>3218.027679989124</c:v>
                </c:pt>
                <c:pt idx="24" formatCode="0.00E+00">
                  <c:v>3304.7087959552191</c:v>
                </c:pt>
                <c:pt idx="25" formatCode="0.00E+00">
                  <c:v>3376.6655307539727</c:v>
                </c:pt>
                <c:pt idx="26" formatCode="0.00E+00">
                  <c:v>3435.8518546389728</c:v>
                </c:pt>
                <c:pt idx="27" formatCode="0.00E+00">
                  <c:v>3484.1667381930329</c:v>
                </c:pt>
                <c:pt idx="28" formatCode="0.00E+00">
                  <c:v>3523.3637239193954</c:v>
                </c:pt>
                <c:pt idx="29" formatCode="0.00E+00">
                  <c:v>3555.0041657368256</c:v>
                </c:pt>
                <c:pt idx="30" formatCode="0.00E+00">
                  <c:v>3580.4414251336939</c:v>
                </c:pt>
                <c:pt idx="31" formatCode="0.00E+00">
                  <c:v>3600.8250260570503</c:v>
                </c:pt>
                <c:pt idx="32" formatCode="0.00E+00">
                  <c:v>3617.1163168005223</c:v>
                </c:pt>
                <c:pt idx="33" formatCode="0.00E+00">
                  <c:v>3630.1096898980309</c:v>
                </c:pt>
                <c:pt idx="34" formatCode="0.00E+00">
                  <c:v>3640.4554843134551</c:v>
                </c:pt>
                <c:pt idx="35" formatCode="0.00E+00">
                  <c:v>3648.6822442442831</c:v>
                </c:pt>
                <c:pt idx="36" formatCode="0.00E+00">
                  <c:v>3655.2170842499941</c:v>
                </c:pt>
                <c:pt idx="37" formatCode="0.00E+00">
                  <c:v>3660.4036104462061</c:v>
                </c:pt>
                <c:pt idx="38" formatCode="0.00E+00">
                  <c:v>3664.5172748537816</c:v>
                </c:pt>
                <c:pt idx="39" formatCode="0.00E+00">
                  <c:v>3667.7782811959269</c:v>
                </c:pt>
                <c:pt idx="40" formatCode="0.00E+00">
                  <c:v>3670.3622810700244</c:v>
                </c:pt>
                <c:pt idx="41" formatCode="0.00E+00">
                  <c:v>3672.4091458764838</c:v>
                </c:pt>
                <c:pt idx="42" formatCode="0.00E+00">
                  <c:v>3674.0301033495602</c:v>
                </c:pt>
                <c:pt idx="43" formatCode="0.00E+00">
                  <c:v>3675.3135080819206</c:v>
                </c:pt>
                <c:pt idx="44" formatCode="0.00E+00">
                  <c:v>3676.3294854607248</c:v>
                </c:pt>
                <c:pt idx="45" formatCode="0.00E+00">
                  <c:v>3677.1336552397916</c:v>
                </c:pt>
                <c:pt idx="46" formatCode="0.00E+00">
                  <c:v>3677.7701086008828</c:v>
                </c:pt>
                <c:pt idx="47" formatCode="0.00E+00">
                  <c:v>3678.2737830326992</c:v>
                </c:pt>
                <c:pt idx="48" formatCode="0.00E+00">
                  <c:v>3678.6723535036722</c:v>
                </c:pt>
                <c:pt idx="49" formatCode="0.00E+00">
                  <c:v>3678.9877363680048</c:v>
                </c:pt>
                <c:pt idx="50" formatCode="0.00E+00">
                  <c:v>3679.2372840080629</c:v>
                </c:pt>
                <c:pt idx="51" formatCode="0.00E+00">
                  <c:v>3679.4347329976172</c:v>
                </c:pt>
                <c:pt idx="52" formatCode="0.00E+00">
                  <c:v>3679.5909561315093</c:v>
                </c:pt>
                <c:pt idx="53">
                  <c:v>3679.7145585754411</c:v>
                </c:pt>
                <c:pt idx="54">
                  <c:v>3679.8123502477015</c:v>
                </c:pt>
                <c:pt idx="55">
                  <c:v>3680.1109394698587</c:v>
                </c:pt>
                <c:pt idx="56" formatCode="0.00E+00">
                  <c:v>3680.1688632632272</c:v>
                </c:pt>
                <c:pt idx="57" formatCode="0.00E+00">
                  <c:v>3680.1800991137111</c:v>
                </c:pt>
                <c:pt idx="58" formatCode="0.00E+00">
                  <c:v>3680.1822785708309</c:v>
                </c:pt>
                <c:pt idx="59">
                  <c:v>3680.1827013264901</c:v>
                </c:pt>
                <c:pt idx="60">
                  <c:v>3680.1827833295929</c:v>
                </c:pt>
                <c:pt idx="61">
                  <c:v>3680.1827992359631</c:v>
                </c:pt>
                <c:pt idx="62">
                  <c:v>3680.1828023213657</c:v>
                </c:pt>
              </c:numCache>
            </c:numRef>
          </c:yVal>
          <c:smooth val="0"/>
        </c:ser>
        <c:ser>
          <c:idx val="10"/>
          <c:order val="6"/>
          <c:tx>
            <c:strRef>
              <c:f>myData!UKLabel</c:f>
              <c:strCache>
                <c:ptCount val="1"/>
                <c:pt idx="0">
                  <c:v>United Kingdom from 12-Mar</c:v>
                </c:pt>
              </c:strCache>
            </c:strRef>
          </c:tx>
          <c:spPr>
            <a:ln w="19050" cap="rnd">
              <a:solidFill>
                <a:schemeClr val="accent4">
                  <a:lumMod val="60000"/>
                  <a:lumOff val="40000"/>
                </a:schemeClr>
              </a:solidFill>
              <a:round/>
            </a:ln>
            <a:effectLst/>
          </c:spPr>
          <c:marker>
            <c:symbol val="circle"/>
            <c:size val="5"/>
            <c:spPr>
              <a:solidFill>
                <a:schemeClr val="accent4">
                  <a:lumMod val="75000"/>
                </a:schemeClr>
              </a:solidFill>
              <a:ln w="9525">
                <a:solidFill>
                  <a:schemeClr val="accent4">
                    <a:lumMod val="75000"/>
                  </a:schemeClr>
                </a:solidFill>
              </a:ln>
              <a:effectLst/>
            </c:spPr>
          </c:marker>
          <c:dLbls>
            <c:dLbl>
              <c:idx val="18"/>
              <c:tx>
                <c:rich>
                  <a:bodyPr/>
                  <a:lstStyle/>
                  <a:p>
                    <a:r>
                      <a:rPr lang="en-US"/>
                      <a:t>UK</a:t>
                    </a:r>
                  </a:p>
                </c:rich>
              </c:tx>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myData!UK100Dates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myData!UK100Cases</c:f>
              <c:numCache>
                <c:formatCode>0.0</c:formatCode>
                <c:ptCount val="51"/>
                <c:pt idx="0">
                  <c:v>120.71041541240217</c:v>
                </c:pt>
                <c:pt idx="1">
                  <c:v>172.18543046357615</c:v>
                </c:pt>
                <c:pt idx="2">
                  <c:v>172.33594220349187</c:v>
                </c:pt>
                <c:pt idx="3">
                  <c:v>233.44370860927151</c:v>
                </c:pt>
                <c:pt idx="4">
                  <c:v>295.0030102347983</c:v>
                </c:pt>
                <c:pt idx="5">
                  <c:v>397.65201685731489</c:v>
                </c:pt>
                <c:pt idx="6">
                  <c:v>408.78988561107764</c:v>
                </c:pt>
                <c:pt idx="7">
                  <c:v>604.15412402167362</c:v>
                </c:pt>
                <c:pt idx="8">
                  <c:v>762.64298615291989</c:v>
                </c:pt>
                <c:pt idx="9">
                  <c:v>864.68994581577363</c:v>
                </c:pt>
                <c:pt idx="10">
                  <c:v>1012.3419626730885</c:v>
                </c:pt>
                <c:pt idx="11">
                  <c:v>1228.7778446718844</c:v>
                </c:pt>
                <c:pt idx="12">
                  <c:v>1450.9331727874774</c:v>
                </c:pt>
                <c:pt idx="13">
                  <c:v>1777.844671884407</c:v>
                </c:pt>
                <c:pt idx="14">
                  <c:v>2219.2956050571943</c:v>
                </c:pt>
                <c:pt idx="15">
                  <c:v>2605.6592414208308</c:v>
                </c:pt>
                <c:pt idx="16">
                  <c:v>2977.1222155328114</c:v>
                </c:pt>
                <c:pt idx="17">
                  <c:v>3379.4400963275134</c:v>
                </c:pt>
                <c:pt idx="18">
                  <c:v>3835.1896447922936</c:v>
                </c:pt>
                <c:pt idx="19">
                  <c:v>4495.0331125827815</c:v>
                </c:pt>
                <c:pt idx="20">
                  <c:v>5143.4376881396747</c:v>
                </c:pt>
                <c:pt idx="21">
                  <c:v>5823.1487055990365</c:v>
                </c:pt>
                <c:pt idx="22">
                  <c:v>6393.2871763997591</c:v>
                </c:pt>
                <c:pt idx="23">
                  <c:v>7290.1866345574954</c:v>
                </c:pt>
                <c:pt idx="24">
                  <c:v>7868.6032510535824</c:v>
                </c:pt>
                <c:pt idx="25">
                  <c:v>8420.9813365442496</c:v>
                </c:pt>
                <c:pt idx="26">
                  <c:v>9252.558699578567</c:v>
                </c:pt>
                <c:pt idx="27">
                  <c:v>9914.5093317278752</c:v>
                </c:pt>
                <c:pt idx="28">
                  <c:v>11228.9283564118</c:v>
                </c:pt>
                <c:pt idx="29">
                  <c:v>12021.974714027694</c:v>
                </c:pt>
                <c:pt idx="30">
                  <c:v>12824.503311258279</c:v>
                </c:pt>
                <c:pt idx="31">
                  <c:v>13481.336544250451</c:v>
                </c:pt>
                <c:pt idx="32">
                  <c:v>14275.285972305839</c:v>
                </c:pt>
                <c:pt idx="33">
                  <c:v>14973.359422034919</c:v>
                </c:pt>
                <c:pt idx="34">
                  <c:v>15675.045153521974</c:v>
                </c:pt>
                <c:pt idx="35">
                  <c:v>16521.523178807947</c:v>
                </c:pt>
                <c:pt idx="36">
                  <c:v>17356.110776640577</c:v>
                </c:pt>
                <c:pt idx="37">
                  <c:v>18237.808549066827</c:v>
                </c:pt>
                <c:pt idx="38">
                  <c:v>18942.805538832028</c:v>
                </c:pt>
                <c:pt idx="39">
                  <c:v>19592.414208308248</c:v>
                </c:pt>
                <c:pt idx="40">
                  <c:v>20264.599638771822</c:v>
                </c:pt>
                <c:pt idx="41">
                  <c:v>20958.15773630343</c:v>
                </c:pt>
                <c:pt idx="42">
                  <c:v>21770.018061408791</c:v>
                </c:pt>
                <c:pt idx="43" formatCode="0.000">
                  <c:v>22511.890427453342</c:v>
                </c:pt>
                <c:pt idx="44" formatCode="0.000">
                  <c:v>23184.376881396747</c:v>
                </c:pt>
                <c:pt idx="45" formatCode="0.000">
                  <c:v>23833.232992173391</c:v>
                </c:pt>
                <c:pt idx="46" formatCode="0.000">
                  <c:v>24435.580975316076</c:v>
                </c:pt>
                <c:pt idx="47" formatCode="0.000">
                  <c:v>25051.324503311258</c:v>
                </c:pt>
                <c:pt idx="48" formatCode="0.000">
                  <c:v>25960.415412402166</c:v>
                </c:pt>
                <c:pt idx="49" formatCode="0.000">
                  <c:v>26894.190246839255</c:v>
                </c:pt>
                <c:pt idx="50" formatCode="0.000">
                  <c:v>27618.904274533412</c:v>
                </c:pt>
              </c:numCache>
            </c:numRef>
          </c:yVal>
          <c:smooth val="0"/>
        </c:ser>
        <c:ser>
          <c:idx val="5"/>
          <c:order val="7"/>
          <c:tx>
            <c:strRef>
              <c:f>myData!UKSeries</c:f>
              <c:strCache>
                <c:ptCount val="1"/>
                <c:pt idx="0">
                  <c:v>United Kingdom Limit 21.5 k r^2=95.27%</c:v>
                </c:pt>
              </c:strCache>
            </c:strRef>
          </c:tx>
          <c:spPr>
            <a:ln w="19050" cap="rnd">
              <a:solidFill>
                <a:schemeClr val="accent4">
                  <a:lumMod val="75000"/>
                </a:schemeClr>
              </a:solidFill>
              <a:prstDash val="sysDot"/>
              <a:round/>
            </a:ln>
            <a:effectLst/>
          </c:spPr>
          <c:marker>
            <c:symbol val="none"/>
          </c:marker>
          <c:xVal>
            <c:numRef>
              <c:f>myData!UK100LogiDates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myData!UK100Logi</c:f>
              <c:numCache>
                <c:formatCode>0.0</c:formatCode>
                <c:ptCount val="63"/>
                <c:pt idx="0">
                  <c:v>126.14865233775289</c:v>
                </c:pt>
                <c:pt idx="1">
                  <c:v>155.90941016393225</c:v>
                </c:pt>
                <c:pt idx="2">
                  <c:v>192.62798786391878</c:v>
                </c:pt>
                <c:pt idx="3">
                  <c:v>237.89784468511706</c:v>
                </c:pt>
                <c:pt idx="4">
                  <c:v>293.66001063907123</c:v>
                </c:pt>
                <c:pt idx="5">
                  <c:v>362.2698514779313</c:v>
                </c:pt>
                <c:pt idx="6">
                  <c:v>446.57188981010859</c:v>
                </c:pt>
                <c:pt idx="7">
                  <c:v>549.98095874145224</c:v>
                </c:pt>
                <c:pt idx="8">
                  <c:v>676.56604261248731</c:v>
                </c:pt>
                <c:pt idx="9">
                  <c:v>831.13030670323838</c:v>
                </c:pt>
                <c:pt idx="10">
                  <c:v>1019.2767982227729</c:v>
                </c:pt>
                <c:pt idx="11">
                  <c:v>1247.4439608431844</c:v>
                </c:pt>
                <c:pt idx="12">
                  <c:v>1522.8885273904302</c:v>
                </c:pt>
                <c:pt idx="13">
                  <c:v>1853.586112565981</c:v>
                </c:pt>
                <c:pt idx="14">
                  <c:v>2248.0133373281064</c:v>
                </c:pt>
                <c:pt idx="15">
                  <c:v>2714.7722373881611</c:v>
                </c:pt>
                <c:pt idx="16">
                  <c:v>3262.0221812234736</c:v>
                </c:pt>
                <c:pt idx="17">
                  <c:v>3896.7018663366043</c:v>
                </c:pt>
                <c:pt idx="18">
                  <c:v>4623.5592505495733</c:v>
                </c:pt>
                <c:pt idx="19">
                  <c:v>5444.0623132270794</c:v>
                </c:pt>
                <c:pt idx="20" formatCode="0">
                  <c:v>6355.3324647392128</c:v>
                </c:pt>
                <c:pt idx="21" formatCode="0">
                  <c:v>7349.3077422706883</c:v>
                </c:pt>
                <c:pt idx="22" formatCode="0">
                  <c:v>8412.3757888611926</c:v>
                </c:pt>
                <c:pt idx="23" formatCode="0">
                  <c:v>9525.6853961896268</c:v>
                </c:pt>
                <c:pt idx="24" formatCode="0">
                  <c:v>10666.233099088557</c:v>
                </c:pt>
                <c:pt idx="25" formatCode="0">
                  <c:v>11808.644009415824</c:v>
                </c:pt>
                <c:pt idx="26" formatCode="0">
                  <c:v>12927.377936881545</c:v>
                </c:pt>
                <c:pt idx="27" formatCode="0">
                  <c:v>13998.965898189033</c:v>
                </c:pt>
                <c:pt idx="28" formatCode="0">
                  <c:v>15003.872840649332</c:v>
                </c:pt>
                <c:pt idx="29" formatCode="0">
                  <c:v>15927.693957025065</c:v>
                </c:pt>
                <c:pt idx="30" formatCode="0">
                  <c:v>16761.575657786372</c:v>
                </c:pt>
                <c:pt idx="31" formatCode="0">
                  <c:v>17501.935246524823</c:v>
                </c:pt>
                <c:pt idx="32" formatCode="0">
                  <c:v>18149.676943345767</c:v>
                </c:pt>
                <c:pt idx="33" formatCode="0">
                  <c:v>18709.144361659237</c:v>
                </c:pt>
                <c:pt idx="34" formatCode="0">
                  <c:v>19187.024095357261</c:v>
                </c:pt>
                <c:pt idx="35" formatCode="0">
                  <c:v>19591.352447872006</c:v>
                </c:pt>
                <c:pt idx="36" formatCode="0">
                  <c:v>19930.707550356765</c:v>
                </c:pt>
                <c:pt idx="37" formatCode="0">
                  <c:v>20213.611474405239</c:v>
                </c:pt>
                <c:pt idx="38" formatCode="0">
                  <c:v>20448.128792108924</c:v>
                </c:pt>
                <c:pt idx="39" formatCode="0">
                  <c:v>20641.628382984229</c:v>
                </c:pt>
                <c:pt idx="40" formatCode="0">
                  <c:v>20800.669303362563</c:v>
                </c:pt>
                <c:pt idx="41" formatCode="0">
                  <c:v>20930.973814520068</c:v>
                </c:pt>
                <c:pt idx="42" formatCode="0">
                  <c:v>21037.456862002084</c:v>
                </c:pt>
                <c:pt idx="43" formatCode="0">
                  <c:v>21124.288545296393</c:v>
                </c:pt>
                <c:pt idx="44" formatCode="0">
                  <c:v>21194.972841448161</c:v>
                </c:pt>
                <c:pt idx="45" formatCode="0">
                  <c:v>21252.431378061912</c:v>
                </c:pt>
                <c:pt idx="46" formatCode="0">
                  <c:v>21299.085255067221</c:v>
                </c:pt>
                <c:pt idx="47" formatCode="0">
                  <c:v>21336.930921772189</c:v>
                </c:pt>
                <c:pt idx="48" formatCode="0">
                  <c:v>21367.60815661326</c:v>
                </c:pt>
                <c:pt idx="49" formatCode="0">
                  <c:v>21392.459511432124</c:v>
                </c:pt>
                <c:pt idx="50" formatCode="0">
                  <c:v>21412.581378582086</c:v>
                </c:pt>
                <c:pt idx="51" formatCode="0">
                  <c:v>21428.867282392122</c:v>
                </c:pt>
                <c:pt idx="52" formatCode="0">
                  <c:v>21442.044208713502</c:v>
                </c:pt>
                <c:pt idx="53" formatCode="0">
                  <c:v>21452.702854050272</c:v>
                </c:pt>
                <c:pt idx="54" formatCode="0">
                  <c:v>21461.32265823142</c:v>
                </c:pt>
                <c:pt idx="55" formatCode="0">
                  <c:v>21489.488406742214</c:v>
                </c:pt>
                <c:pt idx="56" formatCode="0">
                  <c:v>21495.830822246149</c:v>
                </c:pt>
                <c:pt idx="57" formatCode="0">
                  <c:v>21497.257241881223</c:v>
                </c:pt>
                <c:pt idx="58" formatCode="0">
                  <c:v>21497.57795612379</c:v>
                </c:pt>
                <c:pt idx="59" formatCode="0">
                  <c:v>21497.650060533218</c:v>
                </c:pt>
                <c:pt idx="60" formatCode="0">
                  <c:v>21497.666271139198</c:v>
                </c:pt>
                <c:pt idx="61" formatCode="0">
                  <c:v>21497.669915616858</c:v>
                </c:pt>
                <c:pt idx="62" formatCode="0">
                  <c:v>21497.670734969808</c:v>
                </c:pt>
              </c:numCache>
            </c:numRef>
          </c:yVal>
          <c:smooth val="0"/>
        </c:ser>
        <c:ser>
          <c:idx val="4"/>
          <c:order val="8"/>
          <c:tx>
            <c:strRef>
              <c:f>myData!ItalyLabel</c:f>
              <c:strCache>
                <c:ptCount val="1"/>
                <c:pt idx="0">
                  <c:v>Italy from 27-Feb</c:v>
                </c:pt>
              </c:strCache>
            </c:strRef>
          </c:tx>
          <c:spPr>
            <a:ln w="19050" cap="rnd">
              <a:solidFill>
                <a:srgbClr val="FF0000"/>
              </a:solidFill>
              <a:round/>
            </a:ln>
            <a:effectLst/>
          </c:spPr>
          <c:marker>
            <c:symbol val="x"/>
            <c:size val="5"/>
            <c:spPr>
              <a:noFill/>
              <a:ln w="9525">
                <a:solidFill>
                  <a:srgbClr val="FF0000"/>
                </a:solidFill>
              </a:ln>
              <a:effectLst/>
            </c:spPr>
          </c:marker>
          <c:dLbls>
            <c:dLbl>
              <c:idx val="31"/>
              <c:layout>
                <c:manualLayout>
                  <c:x val="-3.5971078508250903E-2"/>
                  <c:y val="-4.2781034352387309E-2"/>
                </c:manualLayout>
              </c:layout>
              <c:tx>
                <c:rich>
                  <a:bodyPr/>
                  <a:lstStyle/>
                  <a:p>
                    <a:r>
                      <a:rPr lang="en-US">
                        <a:solidFill>
                          <a:srgbClr val="FF0000"/>
                        </a:solidFill>
                      </a:rPr>
                      <a:t>Italy</a:t>
                    </a:r>
                  </a:p>
                </c:rich>
              </c:tx>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myData!Italy100Dates</c:f>
              <c:numCache>
                <c:formatCode>0</c:formatCode>
                <c:ptCount val="7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77</c:v>
                </c:pt>
                <c:pt idx="71">
                  <c:v>84</c:v>
                </c:pt>
                <c:pt idx="72">
                  <c:v>91</c:v>
                </c:pt>
                <c:pt idx="73">
                  <c:v>98</c:v>
                </c:pt>
                <c:pt idx="74">
                  <c:v>105</c:v>
                </c:pt>
                <c:pt idx="75">
                  <c:v>112</c:v>
                </c:pt>
                <c:pt idx="76">
                  <c:v>119</c:v>
                </c:pt>
                <c:pt idx="77">
                  <c:v>126</c:v>
                </c:pt>
              </c:numCache>
            </c:numRef>
          </c:xVal>
          <c:yVal>
            <c:numRef>
              <c:f>myData!Italy100Cases</c:f>
              <c:numCache>
                <c:formatCode>0.0</c:formatCode>
                <c:ptCount val="66"/>
                <c:pt idx="0">
                  <c:v>108.29131189551129</c:v>
                </c:pt>
                <c:pt idx="1">
                  <c:v>146.81325948582293</c:v>
                </c:pt>
                <c:pt idx="2">
                  <c:v>186.49251880631562</c:v>
                </c:pt>
                <c:pt idx="3">
                  <c:v>280.06943870381087</c:v>
                </c:pt>
                <c:pt idx="4">
                  <c:v>336.61238323551294</c:v>
                </c:pt>
                <c:pt idx="5">
                  <c:v>413.65627841613627</c:v>
                </c:pt>
                <c:pt idx="6">
                  <c:v>510.70513350417463</c:v>
                </c:pt>
                <c:pt idx="7">
                  <c:v>637.84409357691993</c:v>
                </c:pt>
                <c:pt idx="8">
                  <c:v>766.47102587418374</c:v>
                </c:pt>
                <c:pt idx="9">
                  <c:v>972.63784409357697</c:v>
                </c:pt>
                <c:pt idx="10">
                  <c:v>1219.3105728693065</c:v>
                </c:pt>
                <c:pt idx="11">
                  <c:v>1516.4090270314955</c:v>
                </c:pt>
                <c:pt idx="12">
                  <c:v>1677.9366785153345</c:v>
                </c:pt>
                <c:pt idx="13">
                  <c:v>2060.3455402165828</c:v>
                </c:pt>
                <c:pt idx="14">
                  <c:v>2060.3455402165828</c:v>
                </c:pt>
                <c:pt idx="15">
                  <c:v>2919.732164999587</c:v>
                </c:pt>
                <c:pt idx="16">
                  <c:v>3497.8920393485992</c:v>
                </c:pt>
                <c:pt idx="17">
                  <c:v>4091.4276266843021</c:v>
                </c:pt>
                <c:pt idx="18">
                  <c:v>4625.9403157807719</c:v>
                </c:pt>
                <c:pt idx="19">
                  <c:v>5208.8947672976774</c:v>
                </c:pt>
                <c:pt idx="20">
                  <c:v>5904.4391171364805</c:v>
                </c:pt>
                <c:pt idx="21">
                  <c:v>6784.3266925684056</c:v>
                </c:pt>
                <c:pt idx="22">
                  <c:v>7773.9935521203606</c:v>
                </c:pt>
                <c:pt idx="23">
                  <c:v>8858.0639828056555</c:v>
                </c:pt>
                <c:pt idx="24">
                  <c:v>9777.3001570637352</c:v>
                </c:pt>
                <c:pt idx="25">
                  <c:v>10569.066710754732</c:v>
                </c:pt>
                <c:pt idx="26">
                  <c:v>11436.885178143342</c:v>
                </c:pt>
                <c:pt idx="27">
                  <c:v>12298.255765892371</c:v>
                </c:pt>
                <c:pt idx="28">
                  <c:v>13323.799289079938</c:v>
                </c:pt>
                <c:pt idx="29">
                  <c:v>14300.735719599901</c:v>
                </c:pt>
                <c:pt idx="30">
                  <c:v>15288.418616185832</c:v>
                </c:pt>
                <c:pt idx="31">
                  <c:v>16150.946515665042</c:v>
                </c:pt>
                <c:pt idx="32">
                  <c:v>16820.534016698355</c:v>
                </c:pt>
                <c:pt idx="33">
                  <c:v>17490.617508473177</c:v>
                </c:pt>
                <c:pt idx="34">
                  <c:v>18281.226750433994</c:v>
                </c:pt>
                <c:pt idx="35">
                  <c:v>19052.988344217574</c:v>
                </c:pt>
                <c:pt idx="36">
                  <c:v>19811.027527486156</c:v>
                </c:pt>
                <c:pt idx="37">
                  <c:v>20605.439365131853</c:v>
                </c:pt>
                <c:pt idx="38">
                  <c:v>21319.004711912046</c:v>
                </c:pt>
                <c:pt idx="39">
                  <c:v>21914.028271472267</c:v>
                </c:pt>
                <c:pt idx="40">
                  <c:v>22416.466892618006</c:v>
                </c:pt>
                <c:pt idx="41">
                  <c:v>23050.673720757215</c:v>
                </c:pt>
                <c:pt idx="42">
                  <c:v>23745.72207985451</c:v>
                </c:pt>
                <c:pt idx="43">
                  <c:v>24398.941886418121</c:v>
                </c:pt>
                <c:pt idx="44">
                  <c:v>25175.002066628091</c:v>
                </c:pt>
                <c:pt idx="45">
                  <c:v>25851.53343804249</c:v>
                </c:pt>
                <c:pt idx="46">
                  <c:v>26372.819707365463</c:v>
                </c:pt>
                <c:pt idx="47">
                  <c:v>26864.181201950898</c:v>
                </c:pt>
                <c:pt idx="48">
                  <c:v>27305.116971149873</c:v>
                </c:pt>
                <c:pt idx="49">
                  <c:v>27931.057286930645</c:v>
                </c:pt>
                <c:pt idx="50">
                  <c:v>28508.555840290981</c:v>
                </c:pt>
                <c:pt idx="51">
                  <c:v>29085.723733156981</c:v>
                </c:pt>
                <c:pt idx="52">
                  <c:v>29589.484996280069</c:v>
                </c:pt>
                <c:pt idx="53">
                  <c:v>29962.470033892703</c:v>
                </c:pt>
                <c:pt idx="54">
                  <c:v>30413.656278416136</c:v>
                </c:pt>
                <c:pt idx="55">
                  <c:v>30970.819211374721</c:v>
                </c:pt>
                <c:pt idx="56">
                  <c:v>31408.283045383156</c:v>
                </c:pt>
                <c:pt idx="57">
                  <c:v>31907.745722079857</c:v>
                </c:pt>
                <c:pt idx="58">
                  <c:v>32297.429114656527</c:v>
                </c:pt>
                <c:pt idx="59">
                  <c:v>32681.656609076632</c:v>
                </c:pt>
                <c:pt idx="60">
                  <c:v>32969.165908903036</c:v>
                </c:pt>
                <c:pt idx="61">
                  <c:v>33314.871455732828</c:v>
                </c:pt>
                <c:pt idx="62">
                  <c:v>33659.750351326773</c:v>
                </c:pt>
                <c:pt idx="63">
                  <c:v>33969.24857402662</c:v>
                </c:pt>
                <c:pt idx="64">
                  <c:v>34294.122509713154</c:v>
                </c:pt>
                <c:pt idx="65">
                  <c:v>34608.249979333719</c:v>
                </c:pt>
              </c:numCache>
            </c:numRef>
          </c:yVal>
          <c:smooth val="0"/>
        </c:ser>
        <c:ser>
          <c:idx val="3"/>
          <c:order val="9"/>
          <c:tx>
            <c:strRef>
              <c:f>myData!ItalySeries</c:f>
              <c:strCache>
                <c:ptCount val="1"/>
                <c:pt idx="0">
                  <c:v>Italy Limit 26.7 k r^2=90.76%</c:v>
                </c:pt>
              </c:strCache>
            </c:strRef>
          </c:tx>
          <c:spPr>
            <a:ln w="19050" cap="rnd">
              <a:solidFill>
                <a:srgbClr val="FF0000"/>
              </a:solidFill>
              <a:prstDash val="sysDot"/>
              <a:round/>
            </a:ln>
            <a:effectLst/>
          </c:spPr>
          <c:marker>
            <c:symbol val="none"/>
          </c:marker>
          <c:xVal>
            <c:numRef>
              <c:f>myData!Italy100LogiDates</c:f>
              <c:numCache>
                <c:formatCode>0</c:formatCode>
                <c:ptCount val="7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77</c:v>
                </c:pt>
                <c:pt idx="71">
                  <c:v>84</c:v>
                </c:pt>
                <c:pt idx="72">
                  <c:v>91</c:v>
                </c:pt>
                <c:pt idx="73">
                  <c:v>98</c:v>
                </c:pt>
                <c:pt idx="74">
                  <c:v>105</c:v>
                </c:pt>
                <c:pt idx="75">
                  <c:v>112</c:v>
                </c:pt>
                <c:pt idx="76">
                  <c:v>119</c:v>
                </c:pt>
                <c:pt idx="77">
                  <c:v>126</c:v>
                </c:pt>
              </c:numCache>
            </c:numRef>
          </c:xVal>
          <c:yVal>
            <c:numRef>
              <c:f>myData!Italy100Logi</c:f>
              <c:numCache>
                <c:formatCode>0</c:formatCode>
                <c:ptCount val="78"/>
                <c:pt idx="0">
                  <c:v>87.494204228525732</c:v>
                </c:pt>
                <c:pt idx="1">
                  <c:v>112.59648035891601</c:v>
                </c:pt>
                <c:pt idx="2">
                  <c:v>144.86142442829504</c:v>
                </c:pt>
                <c:pt idx="3">
                  <c:v>186.30717761188527</c:v>
                </c:pt>
                <c:pt idx="4">
                  <c:v>239.50379734378745</c:v>
                </c:pt>
                <c:pt idx="5">
                  <c:v>307.71333696252458</c:v>
                </c:pt>
                <c:pt idx="6">
                  <c:v>395.05840021142262</c:v>
                </c:pt>
                <c:pt idx="7">
                  <c:v>506.72019530733627</c:v>
                </c:pt>
                <c:pt idx="8">
                  <c:v>649.163376127883</c:v>
                </c:pt>
                <c:pt idx="9">
                  <c:v>830.3782083809582</c:v>
                </c:pt>
                <c:pt idx="10">
                  <c:v>1060.1193946728774</c:v>
                </c:pt>
                <c:pt idx="11">
                  <c:v>1350.10361330397</c:v>
                </c:pt>
                <c:pt idx="12">
                  <c:v>1714.1032075128903</c:v>
                </c:pt>
                <c:pt idx="13">
                  <c:v>2167.8418193639991</c:v>
                </c:pt>
                <c:pt idx="14">
                  <c:v>2728.5632323224359</c:v>
                </c:pt>
                <c:pt idx="15">
                  <c:v>3414.118536188962</c:v>
                </c:pt>
                <c:pt idx="16">
                  <c:v>4241.4207285673319</c:v>
                </c:pt>
                <c:pt idx="17">
                  <c:v>5224.1825377232135</c:v>
                </c:pt>
                <c:pt idx="18">
                  <c:v>6370.0169233749111</c:v>
                </c:pt>
                <c:pt idx="19">
                  <c:v>7677.2518534716501</c:v>
                </c:pt>
                <c:pt idx="20">
                  <c:v>9132.141439709354</c:v>
                </c:pt>
                <c:pt idx="21">
                  <c:v>10707.403293036923</c:v>
                </c:pt>
                <c:pt idx="22">
                  <c:v>12362.972668598062</c:v>
                </c:pt>
                <c:pt idx="23">
                  <c:v>14049.389926771717</c:v>
                </c:pt>
                <c:pt idx="24">
                  <c:v>15713.4029658457</c:v>
                </c:pt>
                <c:pt idx="25">
                  <c:v>17304.524192570669</c:v>
                </c:pt>
                <c:pt idx="26">
                  <c:v>18780.888378182644</c:v>
                </c:pt>
                <c:pt idx="27">
                  <c:v>20113.047380114629</c:v>
                </c:pt>
                <c:pt idx="28">
                  <c:v>21285.136744478561</c:v>
                </c:pt>
                <c:pt idx="29">
                  <c:v>22293.715099281151</c:v>
                </c:pt>
                <c:pt idx="30">
                  <c:v>23145.121706068341</c:v>
                </c:pt>
                <c:pt idx="31">
                  <c:v>23852.300433501554</c:v>
                </c:pt>
                <c:pt idx="32">
                  <c:v>24431.822438348365</c:v>
                </c:pt>
                <c:pt idx="33">
                  <c:v>24901.51069681322</c:v>
                </c:pt>
                <c:pt idx="34">
                  <c:v>25278.782494527903</c:v>
                </c:pt>
                <c:pt idx="35">
                  <c:v>25579.6446071957</c:v>
                </c:pt>
                <c:pt idx="36">
                  <c:v>25818.195796411841</c:v>
                </c:pt>
                <c:pt idx="37">
                  <c:v>26006.479614044893</c:v>
                </c:pt>
                <c:pt idx="38">
                  <c:v>26154.553599475301</c:v>
                </c:pt>
                <c:pt idx="39">
                  <c:v>26270.675137727121</c:v>
                </c:pt>
                <c:pt idx="40">
                  <c:v>26361.536771338855</c:v>
                </c:pt>
                <c:pt idx="41">
                  <c:v>26432.509590004611</c:v>
                </c:pt>
                <c:pt idx="42">
                  <c:v>26487.871713755019</c:v>
                </c:pt>
                <c:pt idx="43">
                  <c:v>26531.010953830308</c:v>
                </c:pt>
                <c:pt idx="44">
                  <c:v>26564.598093789271</c:v>
                </c:pt>
                <c:pt idx="45">
                  <c:v>26590.731369834783</c:v>
                </c:pt>
                <c:pt idx="46">
                  <c:v>26611.054801604278</c:v>
                </c:pt>
                <c:pt idx="47">
                  <c:v>26626.853851255484</c:v>
                </c:pt>
                <c:pt idx="48">
                  <c:v>26639.132011378493</c:v>
                </c:pt>
                <c:pt idx="49">
                  <c:v>26648.671681402164</c:v>
                </c:pt>
                <c:pt idx="50">
                  <c:v>26656.082291287421</c:v>
                </c:pt>
                <c:pt idx="51">
                  <c:v>26661.838185741926</c:v>
                </c:pt>
                <c:pt idx="52">
                  <c:v>26666.308352721691</c:v>
                </c:pt>
                <c:pt idx="53">
                  <c:v>26669.779694972924</c:v>
                </c:pt>
                <c:pt idx="54">
                  <c:v>26672.475212785157</c:v>
                </c:pt>
                <c:pt idx="55">
                  <c:v>26674.568190112601</c:v>
                </c:pt>
                <c:pt idx="56">
                  <c:v>26676.193250135853</c:v>
                </c:pt>
                <c:pt idx="57">
                  <c:v>26677.454963643617</c:v>
                </c:pt>
                <c:pt idx="58">
                  <c:v>26678.434547429631</c:v>
                </c:pt>
                <c:pt idx="59">
                  <c:v>26679.195073775736</c:v>
                </c:pt>
                <c:pt idx="60">
                  <c:v>26679.78552034486</c:v>
                </c:pt>
                <c:pt idx="61">
                  <c:v>26680.24391761727</c:v>
                </c:pt>
                <c:pt idx="62">
                  <c:v>26680.599794376958</c:v>
                </c:pt>
                <c:pt idx="63">
                  <c:v>26680.876077442303</c:v>
                </c:pt>
                <c:pt idx="64">
                  <c:v>26681.090567221705</c:v>
                </c:pt>
                <c:pt idx="65">
                  <c:v>26681.257083675166</c:v>
                </c:pt>
                <c:pt idx="66">
                  <c:v>26681.386356225059</c:v>
                </c:pt>
                <c:pt idx="67">
                  <c:v>26681.486714780454</c:v>
                </c:pt>
                <c:pt idx="68">
                  <c:v>26681.564626295793</c:v>
                </c:pt>
                <c:pt idx="69">
                  <c:v>26681.625111374771</c:v>
                </c:pt>
                <c:pt idx="70">
                  <c:v>26681.799367527132</c:v>
                </c:pt>
                <c:pt idx="71">
                  <c:v>26681.828981854735</c:v>
                </c:pt>
                <c:pt idx="72">
                  <c:v>26681.834014691878</c:v>
                </c:pt>
                <c:pt idx="73">
                  <c:v>26681.83487000161</c:v>
                </c:pt>
                <c:pt idx="74">
                  <c:v>26681.835015357909</c:v>
                </c:pt>
                <c:pt idx="75">
                  <c:v>26681.835040060607</c:v>
                </c:pt>
                <c:pt idx="76">
                  <c:v>26681.835044258722</c:v>
                </c:pt>
                <c:pt idx="77">
                  <c:v>26681.835044972173</c:v>
                </c:pt>
              </c:numCache>
            </c:numRef>
          </c:yVal>
          <c:smooth val="0"/>
        </c:ser>
        <c:ser>
          <c:idx val="6"/>
          <c:order val="10"/>
          <c:tx>
            <c:strRef>
              <c:f>myData!USLabel</c:f>
              <c:strCache>
                <c:ptCount val="1"/>
                <c:pt idx="0">
                  <c:v>USA from 15-Mar</c:v>
                </c:pt>
              </c:strCache>
            </c:strRef>
          </c:tx>
          <c:spPr>
            <a:ln w="19050" cap="rnd">
              <a:solidFill>
                <a:schemeClr val="accent1">
                  <a:lumMod val="60000"/>
                </a:schemeClr>
              </a:solidFill>
              <a:round/>
            </a:ln>
            <a:effectLst/>
          </c:spPr>
          <c:marker>
            <c:symbol val="star"/>
            <c:size val="5"/>
            <c:spPr>
              <a:noFill/>
              <a:ln w="9525">
                <a:solidFill>
                  <a:schemeClr val="accent1">
                    <a:lumMod val="60000"/>
                  </a:schemeClr>
                </a:solidFill>
              </a:ln>
              <a:effectLst/>
            </c:spPr>
          </c:marker>
          <c:dLbls>
            <c:dLbl>
              <c:idx val="17"/>
              <c:tx>
                <c:rich>
                  <a:bodyPr/>
                  <a:lstStyle/>
                  <a:p>
                    <a:r>
                      <a:rPr lang="en-US"/>
                      <a:t>USA</a:t>
                    </a:r>
                  </a:p>
                </c:rich>
              </c:tx>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myData!US100Dates</c:f>
              <c:numCache>
                <c:formatCode>0</c:formatCode>
                <c:ptCount val="6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60</c:v>
                </c:pt>
                <c:pt idx="54">
                  <c:v>67</c:v>
                </c:pt>
                <c:pt idx="55">
                  <c:v>74</c:v>
                </c:pt>
                <c:pt idx="56">
                  <c:v>81</c:v>
                </c:pt>
                <c:pt idx="57">
                  <c:v>88</c:v>
                </c:pt>
                <c:pt idx="58">
                  <c:v>95</c:v>
                </c:pt>
                <c:pt idx="59">
                  <c:v>102</c:v>
                </c:pt>
                <c:pt idx="60">
                  <c:v>109</c:v>
                </c:pt>
              </c:numCache>
            </c:numRef>
          </c:xVal>
          <c:yVal>
            <c:numRef>
              <c:f>myData!US100Cases</c:f>
              <c:numCache>
                <c:formatCode>0.0</c:formatCode>
                <c:ptCount val="49"/>
                <c:pt idx="0">
                  <c:v>106.27901331256571</c:v>
                </c:pt>
                <c:pt idx="1">
                  <c:v>140.69288072700897</c:v>
                </c:pt>
                <c:pt idx="2">
                  <c:v>195.03216475564003</c:v>
                </c:pt>
                <c:pt idx="3">
                  <c:v>236.40170351863358</c:v>
                </c:pt>
                <c:pt idx="4">
                  <c:v>417.55289968786536</c:v>
                </c:pt>
                <c:pt idx="5">
                  <c:v>585.40023537384366</c:v>
                </c:pt>
                <c:pt idx="6">
                  <c:v>777.57723372440194</c:v>
                </c:pt>
                <c:pt idx="7">
                  <c:v>1010.7289073989531</c:v>
                </c:pt>
                <c:pt idx="8">
                  <c:v>1331.6921350851153</c:v>
                </c:pt>
                <c:pt idx="9">
                  <c:v>1632.1832121646273</c:v>
                </c:pt>
                <c:pt idx="10">
                  <c:v>1997.9482531220199</c:v>
                </c:pt>
                <c:pt idx="11">
                  <c:v>2546.4439440046467</c:v>
                </c:pt>
                <c:pt idx="12">
                  <c:v>3087.7409706531844</c:v>
                </c:pt>
                <c:pt idx="13">
                  <c:v>3689.3913552474405</c:v>
                </c:pt>
                <c:pt idx="14">
                  <c:v>4279.9855635496779</c:v>
                </c:pt>
                <c:pt idx="15">
                  <c:v>4915.472707455222</c:v>
                </c:pt>
                <c:pt idx="16">
                  <c:v>5715.557157202662</c:v>
                </c:pt>
                <c:pt idx="17">
                  <c:v>6477.0361122601134</c:v>
                </c:pt>
                <c:pt idx="18">
                  <c:v>7399.8015950939935</c:v>
                </c:pt>
                <c:pt idx="19">
                  <c:v>8364.0277390229439</c:v>
                </c:pt>
                <c:pt idx="20">
                  <c:v>9374.9692651967434</c:v>
                </c:pt>
                <c:pt idx="21">
                  <c:v>10230.061229408047</c:v>
                </c:pt>
                <c:pt idx="22">
                  <c:v>11126.553106493036</c:v>
                </c:pt>
                <c:pt idx="23">
                  <c:v>12062.197212260477</c:v>
                </c:pt>
                <c:pt idx="24">
                  <c:v>13019.984044722647</c:v>
                </c:pt>
                <c:pt idx="25">
                  <c:v>14056.530946210107</c:v>
                </c:pt>
                <c:pt idx="26">
                  <c:v>15081.809052630699</c:v>
                </c:pt>
                <c:pt idx="27">
                  <c:v>15988.810372015245</c:v>
                </c:pt>
                <c:pt idx="28">
                  <c:v>16867.138530906203</c:v>
                </c:pt>
                <c:pt idx="29">
                  <c:v>17635.78577608705</c:v>
                </c:pt>
                <c:pt idx="30">
                  <c:v>18457.435844426065</c:v>
                </c:pt>
                <c:pt idx="31">
                  <c:v>19328.565339082936</c:v>
                </c:pt>
                <c:pt idx="32">
                  <c:v>20277.513305333629</c:v>
                </c:pt>
                <c:pt idx="33">
                  <c:v>21252.94749610806</c:v>
                </c:pt>
                <c:pt idx="34">
                  <c:v>22239.832726613513</c:v>
                </c:pt>
                <c:pt idx="35">
                  <c:v>23048.148560358582</c:v>
                </c:pt>
                <c:pt idx="36">
                  <c:v>23823.204742895519</c:v>
                </c:pt>
                <c:pt idx="37">
                  <c:v>24659.677377252403</c:v>
                </c:pt>
                <c:pt idx="38">
                  <c:v>25524.914294434955</c:v>
                </c:pt>
                <c:pt idx="39">
                  <c:v>26400.265790478064</c:v>
                </c:pt>
                <c:pt idx="40">
                  <c:v>27499.444108213167</c:v>
                </c:pt>
                <c:pt idx="41">
                  <c:v>28495.593442479789</c:v>
                </c:pt>
                <c:pt idx="42">
                  <c:v>29334.86049502037</c:v>
                </c:pt>
                <c:pt idx="43">
                  <c:v>30015.605063857533</c:v>
                </c:pt>
                <c:pt idx="44">
                  <c:v>30756.277753090715</c:v>
                </c:pt>
                <c:pt idx="45">
                  <c:v>31586.311075980822</c:v>
                </c:pt>
                <c:pt idx="46">
                  <c:v>32482.802953065813</c:v>
                </c:pt>
                <c:pt idx="47">
                  <c:v>33516.64655870165</c:v>
                </c:pt>
                <c:pt idx="48">
                  <c:v>34399.864949414077</c:v>
                </c:pt>
              </c:numCache>
            </c:numRef>
          </c:yVal>
          <c:smooth val="0"/>
        </c:ser>
        <c:ser>
          <c:idx val="2"/>
          <c:order val="11"/>
          <c:tx>
            <c:strRef>
              <c:f>myData!USSeries</c:f>
              <c:strCache>
                <c:ptCount val="1"/>
                <c:pt idx="0">
                  <c:v>USA Limit 24.7 k r^2=92.46%</c:v>
                </c:pt>
              </c:strCache>
            </c:strRef>
          </c:tx>
          <c:spPr>
            <a:ln w="19050" cap="rnd">
              <a:solidFill>
                <a:schemeClr val="accent1">
                  <a:lumMod val="75000"/>
                </a:schemeClr>
              </a:solidFill>
              <a:prstDash val="sysDot"/>
              <a:round/>
            </a:ln>
            <a:effectLst/>
          </c:spPr>
          <c:marker>
            <c:symbol val="none"/>
          </c:marker>
          <c:xVal>
            <c:numRef>
              <c:f>myData!US100LogiDates</c:f>
              <c:numCache>
                <c:formatCode>0</c:formatCode>
                <c:ptCount val="6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60</c:v>
                </c:pt>
                <c:pt idx="54">
                  <c:v>67</c:v>
                </c:pt>
                <c:pt idx="55">
                  <c:v>74</c:v>
                </c:pt>
                <c:pt idx="56">
                  <c:v>81</c:v>
                </c:pt>
                <c:pt idx="57">
                  <c:v>88</c:v>
                </c:pt>
                <c:pt idx="58">
                  <c:v>95</c:v>
                </c:pt>
                <c:pt idx="59">
                  <c:v>102</c:v>
                </c:pt>
                <c:pt idx="60">
                  <c:v>109</c:v>
                </c:pt>
              </c:numCache>
            </c:numRef>
          </c:xVal>
          <c:yVal>
            <c:numRef>
              <c:f>myData!US100Logi</c:f>
              <c:numCache>
                <c:formatCode>0.0</c:formatCode>
                <c:ptCount val="61"/>
                <c:pt idx="0">
                  <c:v>102.89110561136106</c:v>
                </c:pt>
                <c:pt idx="1">
                  <c:v>136.46590035422193</c:v>
                </c:pt>
                <c:pt idx="2">
                  <c:v>180.91605414825486</c:v>
                </c:pt>
                <c:pt idx="3">
                  <c:v>239.7034166419875</c:v>
                </c:pt>
                <c:pt idx="4">
                  <c:v>317.34612994173438</c:v>
                </c:pt>
                <c:pt idx="5">
                  <c:v>419.70679796207605</c:v>
                </c:pt>
                <c:pt idx="6">
                  <c:v>554.33368492625448</c:v>
                </c:pt>
                <c:pt idx="7">
                  <c:v>730.84454884328738</c:v>
                </c:pt>
                <c:pt idx="8">
                  <c:v>961.322864186885</c:v>
                </c:pt>
                <c:pt idx="9">
                  <c:v>1260.6627673430748</c:v>
                </c:pt>
                <c:pt idx="10">
                  <c:v>1646.7479124482609</c:v>
                </c:pt>
                <c:pt idx="11">
                  <c:v>2140.279990136351</c:v>
                </c:pt>
                <c:pt idx="12">
                  <c:v>2763.994906946034</c:v>
                </c:pt>
                <c:pt idx="13">
                  <c:v>3540.9501020883458</c:v>
                </c:pt>
                <c:pt idx="14">
                  <c:v>4491.5995343139366</c:v>
                </c:pt>
                <c:pt idx="15">
                  <c:v>5629.5878912211256</c:v>
                </c:pt>
                <c:pt idx="16">
                  <c:v>6956.6738790963009</c:v>
                </c:pt>
                <c:pt idx="17">
                  <c:v>8457.8979909218742</c:v>
                </c:pt>
                <c:pt idx="18">
                  <c:v>10098.762284417062</c:v>
                </c:pt>
                <c:pt idx="19">
                  <c:v>11826.263685119791</c:v>
                </c:pt>
                <c:pt idx="20">
                  <c:v>13574.659840965507</c:v>
                </c:pt>
                <c:pt idx="21">
                  <c:v>15274.992599131874</c:v>
                </c:pt>
                <c:pt idx="22">
                  <c:v>16865.617760442015</c:v>
                </c:pt>
                <c:pt idx="23">
                  <c:v>18300.479076234064</c:v>
                </c:pt>
                <c:pt idx="24">
                  <c:v>19552.989871078098</c:v>
                </c:pt>
                <c:pt idx="25">
                  <c:v>20615.346380514362</c:v>
                </c:pt>
                <c:pt idx="26">
                  <c:v>21494.669534674089</c:v>
                </c:pt>
                <c:pt idx="27">
                  <c:v>22207.893397782344</c:v>
                </c:pt>
                <c:pt idx="28">
                  <c:v>22776.944387207401</c:v>
                </c:pt>
                <c:pt idx="29">
                  <c:v>23225.029717144425</c:v>
                </c:pt>
                <c:pt idx="30">
                  <c:v>23574.220877363194</c:v>
                </c:pt>
                <c:pt idx="31">
                  <c:v>23844.149807198261</c:v>
                </c:pt>
                <c:pt idx="32">
                  <c:v>24051.505026162646</c:v>
                </c:pt>
                <c:pt idx="33">
                  <c:v>24210.026838309092</c:v>
                </c:pt>
                <c:pt idx="34">
                  <c:v>24330.770198048624</c:v>
                </c:pt>
                <c:pt idx="35">
                  <c:v>24422.48055552072</c:v>
                </c:pt>
                <c:pt idx="36">
                  <c:v>24491.990547925245</c:v>
                </c:pt>
                <c:pt idx="37">
                  <c:v>24544.589108972894</c:v>
                </c:pt>
                <c:pt idx="38">
                  <c:v>24584.342025603743</c:v>
                </c:pt>
                <c:pt idx="39">
                  <c:v>24614.358686934051</c:v>
                </c:pt>
                <c:pt idx="40">
                  <c:v>24637.007861887476</c:v>
                </c:pt>
                <c:pt idx="41">
                  <c:v>24654.088867962506</c:v>
                </c:pt>
                <c:pt idx="42">
                  <c:v>24666.965486783713</c:v>
                </c:pt>
                <c:pt idx="43">
                  <c:v>24676.669693944634</c:v>
                </c:pt>
                <c:pt idx="44">
                  <c:v>24683.981424390706</c:v>
                </c:pt>
                <c:pt idx="45">
                  <c:v>24689.489582075796</c:v>
                </c:pt>
                <c:pt idx="46">
                  <c:v>24693.638519345615</c:v>
                </c:pt>
                <c:pt idx="47">
                  <c:v>24696.763342366979</c:v>
                </c:pt>
                <c:pt idx="48">
                  <c:v>24699.116669972147</c:v>
                </c:pt>
                <c:pt idx="49">
                  <c:v>24700.888881509723</c:v>
                </c:pt>
                <c:pt idx="50">
                  <c:v>24702.223419102193</c:v>
                </c:pt>
                <c:pt idx="51">
                  <c:v>24703.228341604692</c:v>
                </c:pt>
                <c:pt idx="52">
                  <c:v>24703.985042364446</c:v>
                </c:pt>
                <c:pt idx="53">
                  <c:v>24705.975011296989</c:v>
                </c:pt>
                <c:pt idx="54">
                  <c:v>24706.24804136507</c:v>
                </c:pt>
                <c:pt idx="55">
                  <c:v>24706.285498998466</c:v>
                </c:pt>
                <c:pt idx="56">
                  <c:v>24706.290637843045</c:v>
                </c:pt>
                <c:pt idx="57">
                  <c:v>24706.291342844459</c:v>
                </c:pt>
                <c:pt idx="58">
                  <c:v>24706.291439564036</c:v>
                </c:pt>
                <c:pt idx="59">
                  <c:v>24706.291452833055</c:v>
                </c:pt>
                <c:pt idx="60">
                  <c:v>24706.291454653438</c:v>
                </c:pt>
              </c:numCache>
            </c:numRef>
          </c:yVal>
          <c:smooth val="0"/>
        </c:ser>
        <c:ser>
          <c:idx val="12"/>
          <c:order val="12"/>
          <c:tx>
            <c:strRef>
              <c:f>myData!GenericLabel</c:f>
              <c:strCache>
                <c:ptCount val="1"/>
                <c:pt idx="0">
                  <c:v>Ireland from 15-Mar</c:v>
                </c:pt>
              </c:strCache>
            </c:strRef>
          </c:tx>
          <c:spPr>
            <a:ln w="19050" cap="rnd">
              <a:solidFill>
                <a:schemeClr val="tx2">
                  <a:lumMod val="5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Lbls>
            <c:dLbl>
              <c:idx val="5"/>
              <c:layout>
                <c:manualLayout>
                  <c:x val="-5.1175378705686975E-2"/>
                  <c:y val="-1.9816977949903256E-2"/>
                </c:manualLayout>
              </c:layout>
              <c:tx>
                <c:strRef>
                  <c:f>myData!GenName</c:f>
                  <c:strCache>
                    <c:ptCount val="1"/>
                    <c:pt idx="0">
                      <c:v>Ireland</c:v>
                    </c:pt>
                  </c:strCache>
                </c:strRef>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{6495C089-2F3A-40B7-BC09-0BAC3AA1B1D7}</c15:txfldGUID>
                      <c15:f>myData!GenName</c15:f>
                      <c15:dlblFieldTableCache>
                        <c:ptCount val="1"/>
                        <c:pt idx="0">
                          <c:v>Ireland</c:v>
                        </c:pt>
                      </c15:dlblFieldTableCache>
                    </c15:dlblFTEntry>
                  </c15:dlblFieldTable>
                  <c15:showDataLabelsRange val="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myData!Generic100Dates</c:f>
              <c:numCache>
                <c:formatCode>0</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myData!Generic100Cases</c:f>
              <c:numCache>
                <c:formatCode>0.0</c:formatCode>
                <c:ptCount val="51"/>
                <c:pt idx="0">
                  <c:v>183.67346938775512</c:v>
                </c:pt>
                <c:pt idx="1">
                  <c:v>263.26530612244898</c:v>
                </c:pt>
                <c:pt idx="2">
                  <c:v>263.26530612244898</c:v>
                </c:pt>
                <c:pt idx="3">
                  <c:v>344.89795918367349</c:v>
                </c:pt>
                <c:pt idx="4">
                  <c:v>455.10204081632656</c:v>
                </c:pt>
                <c:pt idx="5">
                  <c:v>595.91836734693879</c:v>
                </c:pt>
                <c:pt idx="6">
                  <c:v>1136.7346938775511</c:v>
                </c:pt>
                <c:pt idx="7">
                  <c:v>1393.8775510204082</c:v>
                </c:pt>
                <c:pt idx="8">
                  <c:v>1602.0408163265306</c:v>
                </c:pt>
                <c:pt idx="9">
                  <c:v>1848.9795918367347</c:v>
                </c:pt>
                <c:pt idx="10">
                  <c:v>2295.9183673469388</c:v>
                </c:pt>
                <c:pt idx="11">
                  <c:v>2712.2448979591836</c:v>
                </c:pt>
                <c:pt idx="12">
                  <c:v>3191.8367346938776</c:v>
                </c:pt>
                <c:pt idx="13">
                  <c:v>3712.2448979591836</c:v>
                </c:pt>
                <c:pt idx="14">
                  <c:v>4328.5714285714284</c:v>
                </c:pt>
                <c:pt idx="15">
                  <c:v>4928.5714285714284</c:v>
                </c:pt>
                <c:pt idx="16">
                  <c:v>5336.7346938775509</c:v>
                </c:pt>
                <c:pt idx="17">
                  <c:v>5938.7755102040819</c:v>
                </c:pt>
                <c:pt idx="18">
                  <c:v>6602.0408163265311</c:v>
                </c:pt>
                <c:pt idx="19">
                  <c:v>7034.6938775510207</c:v>
                </c:pt>
                <c:pt idx="20">
                  <c:v>7855.1020408163267</c:v>
                </c:pt>
                <c:pt idx="21">
                  <c:v>8720.4081632653069</c:v>
                </c:pt>
                <c:pt idx="22">
                  <c:v>9395.9183673469397</c:v>
                </c:pt>
                <c:pt idx="23">
                  <c:v>10191.836734693878</c:v>
                </c:pt>
                <c:pt idx="24">
                  <c:v>10946.938775510203</c:v>
                </c:pt>
                <c:pt idx="25">
                  <c:v>11651.020408163266</c:v>
                </c:pt>
                <c:pt idx="26">
                  <c:v>12395.91836734694</c:v>
                </c:pt>
                <c:pt idx="27">
                  <c:v>13416.326530612245</c:v>
                </c:pt>
                <c:pt idx="28">
                  <c:v>16508.163265306124</c:v>
                </c:pt>
                <c:pt idx="29">
                  <c:v>18220.408163265307</c:v>
                </c:pt>
                <c:pt idx="30">
                  <c:v>19704.081632653062</c:v>
                </c:pt>
                <c:pt idx="31" formatCode="0">
                  <c:v>21728.571428571428</c:v>
                </c:pt>
                <c:pt idx="32" formatCode="0">
                  <c:v>23426.5306122449</c:v>
                </c:pt>
                <c:pt idx="33" formatCode="0">
                  <c:v>25606.122448979593</c:v>
                </c:pt>
                <c:pt idx="34" formatCode="0">
                  <c:v>27083.673469387755</c:v>
                </c:pt>
                <c:pt idx="35" formatCode="0">
                  <c:v>28530.612244897959</c:v>
                </c:pt>
                <c:pt idx="36" formatCode="0">
                  <c:v>30118.367346938776</c:v>
                </c:pt>
                <c:pt idx="37" formatCode="0">
                  <c:v>31124.489795918369</c:v>
                </c:pt>
                <c:pt idx="38" formatCode="0">
                  <c:v>31942.857142857145</c:v>
                </c:pt>
                <c:pt idx="39" formatCode="0">
                  <c:v>32734.693877551021</c:v>
                </c:pt>
                <c:pt idx="40">
                  <c:v>34022.448979591834</c:v>
                </c:pt>
                <c:pt idx="41">
                  <c:v>35932.65306122449</c:v>
                </c:pt>
                <c:pt idx="42">
                  <c:v>37110.204081632655</c:v>
                </c:pt>
                <c:pt idx="43">
                  <c:v>37879.591836734697</c:v>
                </c:pt>
                <c:pt idx="44">
                  <c:v>39310.204081632655</c:v>
                </c:pt>
                <c:pt idx="45">
                  <c:v>40097.959183673469</c:v>
                </c:pt>
                <c:pt idx="46">
                  <c:v>40565.306122448979</c:v>
                </c:pt>
                <c:pt idx="47">
                  <c:v>41332.65306122449</c:v>
                </c:pt>
                <c:pt idx="48">
                  <c:v>42065.306122448979</c:v>
                </c:pt>
                <c:pt idx="49">
                  <c:v>42516.326530612248</c:v>
                </c:pt>
                <c:pt idx="50">
                  <c:v>43216.326530612248</c:v>
                </c:pt>
              </c:numCache>
            </c:numRef>
          </c:yVal>
          <c:smooth val="0"/>
        </c:ser>
        <c:dLbls>
          <c:showLegendKey val="0"/>
          <c:showVal val="0"/>
          <c:showCatName val="0"/>
          <c:showSerName val="0"/>
          <c:showPercent val="0"/>
          <c:showBubbleSize val="0"/>
        </c:dLbls>
        <c:axId val="792695568"/>
        <c:axId val="792698312"/>
      </c:scatterChart>
      <c:valAx>
        <c:axId val="792695568"/>
        <c:scaling>
          <c:orientation val="minMax"/>
          <c:max val="49"/>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myData!lblHorizAxisDays</c:f>
              <c:strCache>
                <c:ptCount val="1"/>
                <c:pt idx="0">
                  <c:v>Days Since 100 cases per 10m population</c:v>
                </c:pt>
              </c:strCache>
            </c:strRef>
          </c:tx>
          <c:layout>
            <c:manualLayout>
              <c:xMode val="edge"/>
              <c:yMode val="edge"/>
              <c:x val="0.2987676892239407"/>
              <c:y val="0.924620525954150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792698312"/>
        <c:crosses val="autoZero"/>
        <c:crossBetween val="midCat"/>
        <c:majorUnit val="7"/>
        <c:minorUnit val="1"/>
      </c:valAx>
      <c:valAx>
        <c:axId val="792698312"/>
        <c:scaling>
          <c:orientation val="minMax"/>
          <c:max val="12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myData!lblVertLin</c:f>
              <c:strCache>
                <c:ptCount val="1"/>
                <c:pt idx="0">
                  <c:v>Cases per 10 M population</c:v>
                </c:pt>
              </c:strCache>
            </c:strRef>
          </c:tx>
          <c:layout>
            <c:manualLayout>
              <c:xMode val="edge"/>
              <c:yMode val="edge"/>
              <c:x val="9.5495491624540511E-3"/>
              <c:y val="0.43324149902521936"/>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92695568"/>
        <c:crosses val="autoZero"/>
        <c:crossBetween val="midCat"/>
      </c:valAx>
      <c:spPr>
        <a:noFill/>
        <a:ln>
          <a:noFill/>
        </a:ln>
        <a:effectLst/>
      </c:spPr>
    </c:plotArea>
    <c:legend>
      <c:legendPos val="b"/>
      <c:layout>
        <c:manualLayout>
          <c:xMode val="edge"/>
          <c:yMode val="edge"/>
          <c:x val="0.74922754996594831"/>
          <c:y val="0.16239664530806686"/>
          <c:w val="0.20698180536966101"/>
          <c:h val="0.76016319767499207"/>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userShapes r:id="rId3"/>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myData!$EX$12</c:f>
          <c:strCache>
            <c:ptCount val="1"/>
            <c:pt idx="0">
              <c:v>COVID19 NSW P(t) = b / {d+[( b/Po - d ) ]* exp(-b*t)}
b=0.234, d=7.88E-05, P0=.639, r2=0.9995, Limit=3.68 k=&gt;2.97 k cases 
 (Fit: Sat 25-Jan - Sun 03-May)</c:v>
            </c:pt>
          </c:strCache>
        </c:strRef>
      </c:tx>
      <c:layout>
        <c:manualLayout>
          <c:xMode val="edge"/>
          <c:yMode val="edge"/>
          <c:x val="8.1045088920980987E-2"/>
          <c:y val="1.25230204999544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461628446254714"/>
          <c:w val="0.5327965113731743"/>
          <c:h val="0.67322394151716547"/>
        </c:manualLayout>
      </c:layout>
      <c:scatterChart>
        <c:scatterStyle val="lineMarker"/>
        <c:varyColors val="0"/>
        <c:ser>
          <c:idx val="1"/>
          <c:order val="0"/>
          <c:tx>
            <c:v>NSW Confirmed Cases</c:v>
          </c:tx>
          <c:spPr>
            <a:ln w="22225" cap="rnd">
              <a:solidFill>
                <a:schemeClr val="accent6"/>
              </a:solidFill>
              <a:round/>
            </a:ln>
            <a:effectLst/>
          </c:spPr>
          <c:marker>
            <c:symbol val="x"/>
            <c:size val="5"/>
            <c:spPr>
              <a:noFill/>
              <a:ln w="9525">
                <a:solidFill>
                  <a:schemeClr val="accent6">
                    <a:lumMod val="75000"/>
                  </a:schemeClr>
                </a:solidFill>
              </a:ln>
              <a:effectLst/>
            </c:spPr>
          </c:marker>
          <c:xVal>
            <c:numRef>
              <c:f>myData!NSWDates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myData!NSWCases</c:f>
              <c:numCache>
                <c:formatCode>0</c:formatCode>
                <c:ptCount val="9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2956.6831683168316</c:v>
                </c:pt>
                <c:pt idx="69">
                  <c:v>3085.3960396039602</c:v>
                </c:pt>
                <c:pt idx="70">
                  <c:v>3193.0693069306931</c:v>
                </c:pt>
                <c:pt idx="71">
                  <c:v>3263.6138613861385</c:v>
                </c:pt>
                <c:pt idx="72">
                  <c:v>3324.257425742574</c:v>
                </c:pt>
                <c:pt idx="73">
                  <c:v>3383.6633663366333</c:v>
                </c:pt>
                <c:pt idx="74">
                  <c:v>3431.9306930693069</c:v>
                </c:pt>
                <c:pt idx="75">
                  <c:v>3492.5742574257424</c:v>
                </c:pt>
                <c:pt idx="76">
                  <c:v>3535.8910891089108</c:v>
                </c:pt>
                <c:pt idx="77">
                  <c:v>3532.1782178217818</c:v>
                </c:pt>
                <c:pt idx="78">
                  <c:v>3543.3168316831679</c:v>
                </c:pt>
                <c:pt idx="79">
                  <c:v>3551.9801980198017</c:v>
                </c:pt>
                <c:pt idx="80">
                  <c:v>3571.7821782178216</c:v>
                </c:pt>
                <c:pt idx="81">
                  <c:v>3585.3960396039602</c:v>
                </c:pt>
                <c:pt idx="82">
                  <c:v>3621.287128712871</c:v>
                </c:pt>
                <c:pt idx="83">
                  <c:v>3633.6633663366333</c:v>
                </c:pt>
                <c:pt idx="84">
                  <c:v>3659.6534653465346</c:v>
                </c:pt>
                <c:pt idx="85">
                  <c:v>3667.0792079207918</c:v>
                </c:pt>
                <c:pt idx="86">
                  <c:v>3674.5049504950493</c:v>
                </c:pt>
                <c:pt idx="87">
                  <c:v>3676.9801980198017</c:v>
                </c:pt>
                <c:pt idx="88">
                  <c:v>3683.1683168316831</c:v>
                </c:pt>
                <c:pt idx="89">
                  <c:v>3690.5940594059402</c:v>
                </c:pt>
                <c:pt idx="90">
                  <c:v>3705.4455445544554</c:v>
                </c:pt>
                <c:pt idx="91">
                  <c:v>3715.3465346534649</c:v>
                </c:pt>
                <c:pt idx="92">
                  <c:v>3717.8217821782177</c:v>
                </c:pt>
                <c:pt idx="93">
                  <c:v>3724.0099009900987</c:v>
                </c:pt>
                <c:pt idx="94">
                  <c:v>3732.6732673267325</c:v>
                </c:pt>
                <c:pt idx="95">
                  <c:v>3732.6732673267325</c:v>
                </c:pt>
                <c:pt idx="96">
                  <c:v>3743.8118811881186</c:v>
                </c:pt>
                <c:pt idx="97">
                  <c:v>3751.2376237623762</c:v>
                </c:pt>
                <c:pt idx="98">
                  <c:v>3756.1881188118809</c:v>
                </c:pt>
              </c:numCache>
            </c:numRef>
          </c:yVal>
          <c:smooth val="0"/>
        </c:ser>
        <c:ser>
          <c:idx val="0"/>
          <c:order val="1"/>
          <c:tx>
            <c:strRef>
              <c:f>myData!NSWSeries</c:f>
              <c:strCache>
                <c:ptCount val="1"/>
                <c:pt idx="0">
                  <c:v>NSW Limit 3.68 k r^2=99.95%</c:v>
                </c:pt>
              </c:strCache>
            </c:strRef>
          </c:tx>
          <c:spPr>
            <a:ln w="12700" cap="rnd">
              <a:solidFill>
                <a:schemeClr val="accent6">
                  <a:lumMod val="75000"/>
                </a:schemeClr>
              </a:solidFill>
              <a:prstDash val="sysDash"/>
              <a:round/>
            </a:ln>
            <a:effectLst/>
          </c:spPr>
          <c:marker>
            <c:symbol val="none"/>
          </c:marker>
          <c:xVal>
            <c:numRef>
              <c:f>myData!NSWLogiDates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myData!NSWLogi</c:f>
              <c:numCache>
                <c:formatCode>0.000</c:formatCode>
                <c:ptCount val="110"/>
                <c:pt idx="0">
                  <c:v>1.9323202711800784E-3</c:v>
                </c:pt>
                <c:pt idx="1">
                  <c:v>2.4424763363982659E-3</c:v>
                </c:pt>
                <c:pt idx="2">
                  <c:v>3.0873196977277656E-3</c:v>
                </c:pt>
                <c:pt idx="3">
                  <c:v>3.9024093429296958E-3</c:v>
                </c:pt>
                <c:pt idx="4">
                  <c:v>4.9326921991622672E-3</c:v>
                </c:pt>
                <c:pt idx="5">
                  <c:v>6.234981621645843E-3</c:v>
                </c:pt>
                <c:pt idx="6">
                  <c:v>7.8810902080967277E-3</c:v>
                </c:pt>
                <c:pt idx="7">
                  <c:v>9.9617896735686873E-3</c:v>
                </c:pt>
                <c:pt idx="8">
                  <c:v>1.2591816115188897E-2</c:v>
                </c:pt>
                <c:pt idx="9">
                  <c:v>1.5916196623209006E-2</c:v>
                </c:pt>
                <c:pt idx="10">
                  <c:v>2.0118246027134322E-2</c:v>
                </c:pt>
                <c:pt idx="11">
                  <c:v>2.542967461259309E-2</c:v>
                </c:pt>
                <c:pt idx="12">
                  <c:v>3.2143363970527056E-2</c:v>
                </c:pt>
                <c:pt idx="13">
                  <c:v>4.0629515141740402E-2</c:v>
                </c:pt>
                <c:pt idx="14">
                  <c:v>5.1356058974076475E-2</c:v>
                </c:pt>
                <c:pt idx="15">
                  <c:v>6.4914453313394321E-2</c:v>
                </c:pt>
                <c:pt idx="16">
                  <c:v>8.2052288171588814E-2</c:v>
                </c:pt>
                <c:pt idx="17">
                  <c:v>0.10371449458831744</c:v>
                </c:pt>
                <c:pt idx="18">
                  <c:v>0.13109542599449503</c:v>
                </c:pt>
                <c:pt idx="19">
                  <c:v>0.16570467828149141</c:v>
                </c:pt>
                <c:pt idx="20">
                  <c:v>0.20945026894132809</c:v>
                </c:pt>
                <c:pt idx="21">
                  <c:v>0.26474374738801643</c:v>
                </c:pt>
                <c:pt idx="22">
                  <c:v>0.33463300915271144</c:v>
                </c:pt>
                <c:pt idx="23">
                  <c:v>0.42297010030836435</c:v>
                </c:pt>
                <c:pt idx="24">
                  <c:v>0.53462320555979392</c:v>
                </c:pt>
                <c:pt idx="25">
                  <c:v>0.67574441409610775</c:v>
                </c:pt>
                <c:pt idx="26">
                  <c:v>0.85410787594612181</c:v>
                </c:pt>
                <c:pt idx="27">
                  <c:v>1.0795367519324917</c:v>
                </c:pt>
                <c:pt idx="28">
                  <c:v>1.3644421110984533</c:v>
                </c:pt>
                <c:pt idx="29">
                  <c:v>1.7245028702952629</c:v>
                </c:pt>
                <c:pt idx="30">
                  <c:v>2.1795232775130127</c:v>
                </c:pt>
                <c:pt idx="31">
                  <c:v>2.7545136398933274</c:v>
                </c:pt>
                <c:pt idx="32">
                  <c:v>3.4810513659712528</c:v>
                </c:pt>
                <c:pt idx="33">
                  <c:v>4.3989933492133915</c:v>
                </c:pt>
                <c:pt idx="34">
                  <c:v>5.5586277073989905</c:v>
                </c:pt>
                <c:pt idx="35">
                  <c:v>7.0233733265760696</c:v>
                </c:pt>
                <c:pt idx="36">
                  <c:v>8.873159845319508</c:v>
                </c:pt>
                <c:pt idx="37">
                  <c:v>11.20864869757489</c:v>
                </c:pt>
                <c:pt idx="38">
                  <c:v>14.15648713140942</c:v>
                </c:pt>
                <c:pt idx="39">
                  <c:v>17.875820312454383</c:v>
                </c:pt>
                <c:pt idx="40">
                  <c:v>22.566318662855505</c:v>
                </c:pt>
                <c:pt idx="41">
                  <c:v>28.478002779700734</c:v>
                </c:pt>
                <c:pt idx="42">
                  <c:v>35.923156707193385</c:v>
                </c:pt>
                <c:pt idx="43">
                  <c:v>45.290595633376824</c:v>
                </c:pt>
                <c:pt idx="44">
                  <c:v>57.062470354452074</c:v>
                </c:pt>
                <c:pt idx="45">
                  <c:v>71.833608831354113</c:v>
                </c:pt>
                <c:pt idx="46">
                  <c:v>90.33305802354559</c:v>
                </c:pt>
                <c:pt idx="47">
                  <c:v>113.44691941965432</c:v>
                </c:pt>
                <c:pt idx="48">
                  <c:v>142.24067232475451</c:v>
                </c:pt>
                <c:pt idx="49">
                  <c:v>177.97784543859348</c:v>
                </c:pt>
                <c:pt idx="50">
                  <c:v>222.13005070843221</c:v>
                </c:pt>
                <c:pt idx="51">
                  <c:v>276.37105102150247</c:v>
                </c:pt>
                <c:pt idx="52">
                  <c:v>342.54493196615931</c:v>
                </c:pt>
                <c:pt idx="53">
                  <c:v>422.59622556080308</c:v>
                </c:pt>
                <c:pt idx="54">
                  <c:v>518.44922906601766</c:v>
                </c:pt>
                <c:pt idx="55">
                  <c:v>631.82670201558562</c:v>
                </c:pt>
                <c:pt idx="56">
                  <c:v>764.00693957768237</c:v>
                </c:pt>
                <c:pt idx="57">
                  <c:v>915.53463390105367</c:v>
                </c:pt>
                <c:pt idx="58">
                  <c:v>1085.924158627887</c:v>
                </c:pt>
                <c:pt idx="59">
                  <c:v>1273.4183928070202</c:v>
                </c:pt>
                <c:pt idx="60">
                  <c:v>1474.8808053122495</c:v>
                </c:pt>
                <c:pt idx="61">
                  <c:v>1685.8896953354424</c:v>
                </c:pt>
                <c:pt idx="62">
                  <c:v>1901.0633540670383</c:v>
                </c:pt>
                <c:pt idx="63">
                  <c:v>2114.5805550109835</c:v>
                </c:pt>
                <c:pt idx="64">
                  <c:v>2320.7963855332187</c:v>
                </c:pt>
                <c:pt idx="65">
                  <c:v>2514.8194031077237</c:v>
                </c:pt>
                <c:pt idx="66">
                  <c:v>2692.9300903149101</c:v>
                </c:pt>
                <c:pt idx="67">
                  <c:v>2852.7752226636558</c:v>
                </c:pt>
                <c:pt idx="68">
                  <c:v>2993.3408699389606</c:v>
                </c:pt>
                <c:pt idx="69" formatCode="0.00E+00">
                  <c:v>3114.7593598942085</c:v>
                </c:pt>
                <c:pt idx="70" formatCode="0.00E+00">
                  <c:v>3218.027679989124</c:v>
                </c:pt>
                <c:pt idx="71" formatCode="0.00E+00">
                  <c:v>3304.7087959552191</c:v>
                </c:pt>
                <c:pt idx="72" formatCode="0.00E+00">
                  <c:v>3376.6655307539727</c:v>
                </c:pt>
                <c:pt idx="73" formatCode="0.00E+00">
                  <c:v>3435.8518546389728</c:v>
                </c:pt>
                <c:pt idx="74" formatCode="0.00E+00">
                  <c:v>3484.1667381930329</c:v>
                </c:pt>
                <c:pt idx="75" formatCode="0.00E+00">
                  <c:v>3523.3637239193954</c:v>
                </c:pt>
                <c:pt idx="76" formatCode="0.00E+00">
                  <c:v>3555.0041657368256</c:v>
                </c:pt>
                <c:pt idx="77" formatCode="0.00E+00">
                  <c:v>3580.4414251336939</c:v>
                </c:pt>
                <c:pt idx="78" formatCode="0.00E+00">
                  <c:v>3600.8250260570503</c:v>
                </c:pt>
                <c:pt idx="79" formatCode="0.00E+00">
                  <c:v>3617.1163168005223</c:v>
                </c:pt>
                <c:pt idx="80" formatCode="0.00E+00">
                  <c:v>3630.1096898980309</c:v>
                </c:pt>
                <c:pt idx="81" formatCode="0.00E+00">
                  <c:v>3640.4554843134551</c:v>
                </c:pt>
                <c:pt idx="82" formatCode="0.00E+00">
                  <c:v>3648.6822442442831</c:v>
                </c:pt>
                <c:pt idx="83" formatCode="0.00E+00">
                  <c:v>3655.2170842499941</c:v>
                </c:pt>
                <c:pt idx="84" formatCode="0.00E+00">
                  <c:v>3660.4036104462061</c:v>
                </c:pt>
                <c:pt idx="85" formatCode="0.00E+00">
                  <c:v>3664.5172748537816</c:v>
                </c:pt>
                <c:pt idx="86" formatCode="0.00E+00">
                  <c:v>3667.7782811959269</c:v>
                </c:pt>
                <c:pt idx="87" formatCode="0.00E+00">
                  <c:v>3670.3622810700244</c:v>
                </c:pt>
                <c:pt idx="88" formatCode="0.00E+00">
                  <c:v>3672.4091458764838</c:v>
                </c:pt>
                <c:pt idx="89" formatCode="0.00E+00">
                  <c:v>3674.0301033495602</c:v>
                </c:pt>
                <c:pt idx="90" formatCode="0.00E+00">
                  <c:v>3675.3135080819206</c:v>
                </c:pt>
                <c:pt idx="91" formatCode="0.00E+00">
                  <c:v>3676.3294854607248</c:v>
                </c:pt>
                <c:pt idx="92" formatCode="0.00E+00">
                  <c:v>3677.1336552397916</c:v>
                </c:pt>
                <c:pt idx="93" formatCode="0.00E+00">
                  <c:v>3677.7701086008828</c:v>
                </c:pt>
                <c:pt idx="94" formatCode="0.00E+00">
                  <c:v>3678.2737830326992</c:v>
                </c:pt>
                <c:pt idx="95" formatCode="0.00E+00">
                  <c:v>3678.6723535036722</c:v>
                </c:pt>
                <c:pt idx="96" formatCode="0.00E+00">
                  <c:v>3678.9877363680048</c:v>
                </c:pt>
                <c:pt idx="97" formatCode="0.00E+00">
                  <c:v>3679.2372840080629</c:v>
                </c:pt>
                <c:pt idx="98" formatCode="0.00E+00">
                  <c:v>3679.4347329976172</c:v>
                </c:pt>
                <c:pt idx="99" formatCode="0.00E+00">
                  <c:v>3679.5909561315093</c:v>
                </c:pt>
                <c:pt idx="100">
                  <c:v>3679.7145585754411</c:v>
                </c:pt>
                <c:pt idx="101">
                  <c:v>3679.8123502477015</c:v>
                </c:pt>
                <c:pt idx="102">
                  <c:v>3680.1109394698587</c:v>
                </c:pt>
                <c:pt idx="103" formatCode="0.00E+00">
                  <c:v>3680.1688632632272</c:v>
                </c:pt>
                <c:pt idx="104" formatCode="0.00E+00">
                  <c:v>3680.1800991137111</c:v>
                </c:pt>
                <c:pt idx="105" formatCode="0.00E+00">
                  <c:v>3680.1822785708309</c:v>
                </c:pt>
                <c:pt idx="106">
                  <c:v>3680.1827013264901</c:v>
                </c:pt>
                <c:pt idx="107">
                  <c:v>3680.1827833295929</c:v>
                </c:pt>
                <c:pt idx="108">
                  <c:v>3680.1827992359631</c:v>
                </c:pt>
                <c:pt idx="109">
                  <c:v>3680.1828023213657</c:v>
                </c:pt>
              </c:numCache>
            </c:numRef>
          </c:yVal>
          <c:smooth val="0"/>
        </c:ser>
        <c:ser>
          <c:idx val="3"/>
          <c:order val="2"/>
          <c:tx>
            <c:v>Au Confirmed Cases</c:v>
          </c:tx>
          <c:spPr>
            <a:ln w="19050" cap="rnd">
              <a:solidFill>
                <a:srgbClr val="FF0000"/>
              </a:solidFill>
              <a:round/>
            </a:ln>
            <a:effectLst/>
          </c:spPr>
          <c:marker>
            <c:symbol val="x"/>
            <c:size val="5"/>
            <c:spPr>
              <a:noFill/>
              <a:ln w="9525">
                <a:solidFill>
                  <a:srgbClr val="FF0000"/>
                </a:solidFill>
              </a:ln>
              <a:effectLst/>
            </c:spPr>
          </c:marker>
          <c:xVal>
            <c:numRef>
              <c:f>myData!AuDates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myData!AuCases</c:f>
              <c:numCache>
                <c:formatCode>0.000</c:formatCode>
                <c:ptCount val="9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2114.0198706828578</c:v>
                </c:pt>
                <c:pt idx="69">
                  <c:v>2188.929190979341</c:v>
                </c:pt>
                <c:pt idx="70">
                  <c:v>2244.5197918309414</c:v>
                </c:pt>
                <c:pt idx="71">
                  <c:v>2286.7055669452766</c:v>
                </c:pt>
                <c:pt idx="72">
                  <c:v>2333.6224570257059</c:v>
                </c:pt>
                <c:pt idx="73">
                  <c:v>2376.5967513010564</c:v>
                </c:pt>
                <c:pt idx="74">
                  <c:v>2412.474373127267</c:v>
                </c:pt>
                <c:pt idx="75">
                  <c:v>2454.6601482416022</c:v>
                </c:pt>
                <c:pt idx="76">
                  <c:v>2487.7779530042581</c:v>
                </c:pt>
                <c:pt idx="77">
                  <c:v>2496.0574041949221</c:v>
                </c:pt>
                <c:pt idx="78">
                  <c:v>2515.7703832203124</c:v>
                </c:pt>
                <c:pt idx="79">
                  <c:v>2530.752247279609</c:v>
                </c:pt>
                <c:pt idx="80">
                  <c:v>2544.9455921778899</c:v>
                </c:pt>
                <c:pt idx="81">
                  <c:v>2555.9848604321087</c:v>
                </c:pt>
                <c:pt idx="82">
                  <c:v>2574.5150607159753</c:v>
                </c:pt>
                <c:pt idx="83">
                  <c:v>2590.2854439362877</c:v>
                </c:pt>
                <c:pt idx="84">
                  <c:v>2606.8443463176154</c:v>
                </c:pt>
                <c:pt idx="85">
                  <c:v>2611.1812017032016</c:v>
                </c:pt>
                <c:pt idx="86">
                  <c:v>2619.8549124743731</c:v>
                </c:pt>
                <c:pt idx="87">
                  <c:v>2622.6147295379278</c:v>
                </c:pt>
                <c:pt idx="88">
                  <c:v>2625.7688061819904</c:v>
                </c:pt>
                <c:pt idx="89">
                  <c:v>2631.6826998896072</c:v>
                </c:pt>
                <c:pt idx="90">
                  <c:v>2638.3851127582402</c:v>
                </c:pt>
                <c:pt idx="91">
                  <c:v>2647.0588235294117</c:v>
                </c:pt>
                <c:pt idx="92">
                  <c:v>2649.0301214319506</c:v>
                </c:pt>
                <c:pt idx="93">
                  <c:v>2654.54975555906</c:v>
                </c:pt>
                <c:pt idx="94">
                  <c:v>2659.6751301056615</c:v>
                </c:pt>
                <c:pt idx="95">
                  <c:v>2662.8292067497241</c:v>
                </c:pt>
                <c:pt idx="96">
                  <c:v>2667.1660621353099</c:v>
                </c:pt>
                <c:pt idx="97">
                  <c:v>2672.6856962624192</c:v>
                </c:pt>
                <c:pt idx="98">
                  <c:v>2679.7823687115597</c:v>
                </c:pt>
              </c:numCache>
            </c:numRef>
          </c:yVal>
          <c:smooth val="0"/>
        </c:ser>
        <c:ser>
          <c:idx val="4"/>
          <c:order val="3"/>
          <c:tx>
            <c:strRef>
              <c:f>myData!AuSeries</c:f>
              <c:strCache>
                <c:ptCount val="1"/>
                <c:pt idx="0">
                  <c:v>Australia Limit 2.62 k r^2=99.94%</c:v>
                </c:pt>
              </c:strCache>
            </c:strRef>
          </c:tx>
          <c:spPr>
            <a:ln w="12700" cap="rnd">
              <a:solidFill>
                <a:srgbClr val="FF0000"/>
              </a:solidFill>
              <a:prstDash val="sysDash"/>
              <a:round/>
            </a:ln>
            <a:effectLst/>
          </c:spPr>
          <c:marker>
            <c:symbol val="none"/>
          </c:marker>
          <c:xVal>
            <c:numRef>
              <c:f>myData!AuLogiDates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myData!AuLogi</c:f>
              <c:numCache>
                <c:formatCode>0.000</c:formatCode>
                <c:ptCount val="110"/>
                <c:pt idx="0">
                  <c:v>2.3188278729988315E-3</c:v>
                </c:pt>
                <c:pt idx="1">
                  <c:v>2.9073388959562382E-3</c:v>
                </c:pt>
                <c:pt idx="2">
                  <c:v>3.6452119074376014E-3</c:v>
                </c:pt>
                <c:pt idx="3">
                  <c:v>4.5703543259517166E-3</c:v>
                </c:pt>
                <c:pt idx="4">
                  <c:v>5.730294238788158E-3</c:v>
                </c:pt>
                <c:pt idx="5">
                  <c:v>7.1846220294552038E-3</c:v>
                </c:pt>
                <c:pt idx="6">
                  <c:v>9.0080516429624207E-3</c:v>
                </c:pt>
                <c:pt idx="7">
                  <c:v>1.1294258728326371E-2</c:v>
                </c:pt>
                <c:pt idx="8">
                  <c:v>1.416069279148187E-2</c:v>
                </c:pt>
                <c:pt idx="9">
                  <c:v>1.775461050302966E-2</c:v>
                </c:pt>
                <c:pt idx="10">
                  <c:v>2.2260639997440781E-2</c:v>
                </c:pt>
                <c:pt idx="11">
                  <c:v>2.7910264585124179E-2</c:v>
                </c:pt>
                <c:pt idx="12">
                  <c:v>3.4993712799062618E-2</c:v>
                </c:pt>
                <c:pt idx="13">
                  <c:v>4.3874865151404242E-2</c:v>
                </c:pt>
                <c:pt idx="14">
                  <c:v>5.5009942689421588E-2</c:v>
                </c:pt>
                <c:pt idx="15">
                  <c:v>6.897093630732111E-2</c:v>
                </c:pt>
                <c:pt idx="16">
                  <c:v>8.6474978662865146E-2</c:v>
                </c:pt>
                <c:pt idx="17">
                  <c:v>0.10842116480668629</c:v>
                </c:pt>
                <c:pt idx="18">
                  <c:v>0.13593670867268079</c:v>
                </c:pt>
                <c:pt idx="19">
                  <c:v>0.17043479963630248</c:v>
                </c:pt>
                <c:pt idx="20">
                  <c:v>0.21368712039924725</c:v>
                </c:pt>
                <c:pt idx="21">
                  <c:v>0.26791473433919627</c:v>
                </c:pt>
                <c:pt idx="22" formatCode="0.0">
                  <c:v>0.33590198422618112</c:v>
                </c:pt>
                <c:pt idx="23" formatCode="0.0">
                  <c:v>0.42113921075668181</c:v>
                </c:pt>
                <c:pt idx="24" formatCode="0.0">
                  <c:v>0.52800155537659232</c:v>
                </c:pt>
                <c:pt idx="25" formatCode="0.0">
                  <c:v>0.66197292705905852</c:v>
                </c:pt>
                <c:pt idx="26" formatCode="0.0">
                  <c:v>0.82992647232639705</c:v>
                </c:pt>
                <c:pt idx="27" formatCode="0.0">
                  <c:v>1.040475695390817</c:v>
                </c:pt>
                <c:pt idx="28" formatCode="0.0">
                  <c:v>1.3044138553905029</c:v>
                </c:pt>
                <c:pt idx="29" formatCode="0.0">
                  <c:v>1.6352635682569125</c:v>
                </c:pt>
                <c:pt idx="30" formatCode="0.0">
                  <c:v>2.0499638344026363</c:v>
                </c:pt>
                <c:pt idx="31" formatCode="0.0">
                  <c:v>2.5697281965668943</c:v>
                </c:pt>
                <c:pt idx="32" formatCode="0">
                  <c:v>3.2211156198200408</c:v>
                </c:pt>
                <c:pt idx="33" formatCode="0">
                  <c:v>4.0373651990027684</c:v>
                </c:pt>
                <c:pt idx="34" formatCode="0">
                  <c:v>5.0600571398640071</c:v>
                </c:pt>
                <c:pt idx="35" formatCode="0">
                  <c:v>6.3411757664315225</c:v>
                </c:pt>
                <c:pt idx="36" formatCode="0">
                  <c:v>7.945665573452076</c:v>
                </c:pt>
                <c:pt idx="37" formatCode="0">
                  <c:v>9.9545882915729518</c:v>
                </c:pt>
                <c:pt idx="38" formatCode="0">
                  <c:v>12.46900680692597</c:v>
                </c:pt>
                <c:pt idx="39" formatCode="0">
                  <c:v>15.614739014416774</c:v>
                </c:pt>
                <c:pt idx="40" formatCode="0">
                  <c:v>19.548138426621428</c:v>
                </c:pt>
                <c:pt idx="41" formatCode="0">
                  <c:v>24.463063723787876</c:v>
                </c:pt>
                <c:pt idx="42" formatCode="0">
                  <c:v>30.599188468791834</c:v>
                </c:pt>
                <c:pt idx="43" formatCode="0">
                  <c:v>38.251762508268072</c:v>
                </c:pt>
                <c:pt idx="44" formatCode="0">
                  <c:v>47.782849476414434</c:v>
                </c:pt>
                <c:pt idx="45" formatCode="0">
                  <c:v>59.633903428766914</c:v>
                </c:pt>
                <c:pt idx="46" formatCode="0">
                  <c:v>74.339275212779953</c:v>
                </c:pt>
                <c:pt idx="47" formatCode="0">
                  <c:v>92.539809038600183</c:v>
                </c:pt>
                <c:pt idx="48" formatCode="0">
                  <c:v>114.99504911497115</c:v>
                </c:pt>
                <c:pt idx="49" formatCode="0">
                  <c:v>142.59167847691626</c:v>
                </c:pt>
                <c:pt idx="50" formatCode="0">
                  <c:v>176.34464318788378</c:v>
                </c:pt>
                <c:pt idx="51" formatCode="0">
                  <c:v>217.38604211570967</c:v>
                </c:pt>
                <c:pt idx="52" formatCode="0">
                  <c:v>266.93550945431411</c:v>
                </c:pt>
                <c:pt idx="53" formatCode="0">
                  <c:v>326.24496017939964</c:v>
                </c:pt>
                <c:pt idx="54" formatCode="0">
                  <c:v>396.51101380735787</c:v>
                </c:pt>
                <c:pt idx="55" formatCode="0">
                  <c:v>478.75126813074223</c:v>
                </c:pt>
                <c:pt idx="56" formatCode="0">
                  <c:v>573.64699806741282</c:v>
                </c:pt>
                <c:pt idx="57" formatCode="0">
                  <c:v>681.36530092804173</c:v>
                </c:pt>
                <c:pt idx="58" formatCode="0">
                  <c:v>801.38701807846428</c:v>
                </c:pt>
                <c:pt idx="59" formatCode="0">
                  <c:v>932.3791225046034</c:v>
                </c:pt>
                <c:pt idx="60" formatCode="0">
                  <c:v>1072.1553405639772</c:v>
                </c:pt>
                <c:pt idx="61" formatCode="0">
                  <c:v>1217.7599744150418</c:v>
                </c:pt>
                <c:pt idx="62" formatCode="0">
                  <c:v>1365.6846659933269</c:v>
                </c:pt>
                <c:pt idx="63" formatCode="0">
                  <c:v>1512.1917398417318</c:v>
                </c:pt>
                <c:pt idx="64" formatCode="0">
                  <c:v>1653.6842699547524</c:v>
                </c:pt>
                <c:pt idx="65" formatCode="0">
                  <c:v>1787.0473001577361</c:v>
                </c:pt>
                <c:pt idx="66" formatCode="0">
                  <c:v>1909.8944188893768</c:v>
                </c:pt>
                <c:pt idx="67" formatCode="0">
                  <c:v>2020.6843145817807</c:v>
                </c:pt>
                <c:pt idx="68" formatCode="0">
                  <c:v>2118.7088589502237</c:v>
                </c:pt>
                <c:pt idx="69" formatCode="0">
                  <c:v>2203.9830009755624</c:v>
                </c:pt>
                <c:pt idx="70" formatCode="0">
                  <c:v>2277.0795780082394</c:v>
                </c:pt>
                <c:pt idx="71" formatCode="0">
                  <c:v>2338.9499144648839</c:v>
                </c:pt>
                <c:pt idx="72" formatCode="0">
                  <c:v>2390.759841123886</c:v>
                </c:pt>
                <c:pt idx="73" formatCode="0">
                  <c:v>2433.7572283194595</c:v>
                </c:pt>
                <c:pt idx="74" formatCode="0">
                  <c:v>2469.1757865939749</c:v>
                </c:pt>
                <c:pt idx="75" formatCode="0">
                  <c:v>2498.1725018782945</c:v>
                </c:pt>
                <c:pt idx="76" formatCode="0">
                  <c:v>2521.7924473362295</c:v>
                </c:pt>
                <c:pt idx="77" formatCode="0">
                  <c:v>2540.9537923237012</c:v>
                </c:pt>
                <c:pt idx="78" formatCode="0">
                  <c:v>2556.4464565137037</c:v>
                </c:pt>
                <c:pt idx="79" formatCode="0">
                  <c:v>2568.9391450524281</c:v>
                </c:pt>
                <c:pt idx="80" formatCode="0">
                  <c:v>2578.9908973220035</c:v>
                </c:pt>
                <c:pt idx="81" formatCode="0">
                  <c:v>2587.0645111847912</c:v>
                </c:pt>
                <c:pt idx="82" formatCode="0">
                  <c:v>2593.540169122015</c:v>
                </c:pt>
                <c:pt idx="83" formatCode="0">
                  <c:v>2598.7282922214154</c:v>
                </c:pt>
                <c:pt idx="84" formatCode="0">
                  <c:v>2602.8811244210742</c:v>
                </c:pt>
                <c:pt idx="85" formatCode="0">
                  <c:v>2606.2028555843967</c:v>
                </c:pt>
                <c:pt idx="86" formatCode="0">
                  <c:v>2608.8582766121476</c:v>
                </c:pt>
                <c:pt idx="87" formatCode="0">
                  <c:v>2610.9800621511981</c:v>
                </c:pt>
                <c:pt idx="88" formatCode="0">
                  <c:v>2612.6748257001937</c:v>
                </c:pt>
                <c:pt idx="89" formatCode="0">
                  <c:v>2614.028108519648</c:v>
                </c:pt>
                <c:pt idx="90" formatCode="0">
                  <c:v>2615.1084614878873</c:v>
                </c:pt>
                <c:pt idx="91" formatCode="0">
                  <c:v>2615.9707667943894</c:v>
                </c:pt>
                <c:pt idx="92" formatCode="0">
                  <c:v>2616.6589296488069</c:v>
                </c:pt>
                <c:pt idx="93" formatCode="0">
                  <c:v>2617.2080522813549</c:v>
                </c:pt>
                <c:pt idx="94" formatCode="0">
                  <c:v>2617.6461852423276</c:v>
                </c:pt>
                <c:pt idx="95" formatCode="0">
                  <c:v>2617.9957352930619</c:v>
                </c:pt>
                <c:pt idx="96" formatCode="0">
                  <c:v>2618.2745953891331</c:v>
                </c:pt>
                <c:pt idx="97" formatCode="0">
                  <c:v>2618.4970504461385</c:v>
                </c:pt>
                <c:pt idx="98" formatCode="0">
                  <c:v>2618.6745026373965</c:v>
                </c:pt>
                <c:pt idx="99" formatCode="0">
                  <c:v>2618.8160517097999</c:v>
                </c:pt>
                <c:pt idx="100" formatCode="0">
                  <c:v>2618.9289589993732</c:v>
                </c:pt>
                <c:pt idx="101" formatCode="0">
                  <c:v>2619.0190182638667</c:v>
                </c:pt>
                <c:pt idx="102" formatCode="0">
                  <c:v>2619.3010522732375</c:v>
                </c:pt>
                <c:pt idx="103" formatCode="0">
                  <c:v>2619.3589640834371</c:v>
                </c:pt>
                <c:pt idx="104" formatCode="0">
                  <c:v>2619.3708542518293</c:v>
                </c:pt>
                <c:pt idx="105" formatCode="0">
                  <c:v>2619.3732954310976</c:v>
                </c:pt>
                <c:pt idx="106" formatCode="0">
                  <c:v>2619.3737966292401</c:v>
                </c:pt>
                <c:pt idx="107" formatCode="0">
                  <c:v>2619.3738995300619</c:v>
                </c:pt>
                <c:pt idx="108" formatCode="0">
                  <c:v>2619.3739206565911</c:v>
                </c:pt>
                <c:pt idx="109" formatCode="0">
                  <c:v>2619.3739249940709</c:v>
                </c:pt>
              </c:numCache>
            </c:numRef>
          </c:yVal>
          <c:smooth val="0"/>
        </c:ser>
        <c:ser>
          <c:idx val="5"/>
          <c:order val="4"/>
          <c:tx>
            <c:v>Taiwan Cases</c:v>
          </c:tx>
          <c:spPr>
            <a:ln w="12700" cap="rnd">
              <a:solidFill>
                <a:schemeClr val="tx1"/>
              </a:solidFill>
              <a:round/>
            </a:ln>
            <a:effectLst/>
          </c:spPr>
          <c:marker>
            <c:symbol val="x"/>
            <c:size val="2"/>
            <c:spPr>
              <a:solidFill>
                <a:schemeClr val="tx1">
                  <a:alpha val="99000"/>
                </a:schemeClr>
              </a:solidFill>
              <a:ln w="9525">
                <a:solidFill>
                  <a:schemeClr val="tx1"/>
                </a:solidFill>
              </a:ln>
              <a:effectLst/>
            </c:spPr>
          </c:marker>
          <c:xVal>
            <c:numRef>
              <c:f>myData!TaiwanDates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myData!TaiwanCases</c:f>
              <c:numCache>
                <c:formatCode>0.00</c:formatCode>
                <c:ptCount val="102"/>
                <c:pt idx="0">
                  <c:v>0.4200395492437986</c:v>
                </c:pt>
                <c:pt idx="1">
                  <c:v>0.4200395492437986</c:v>
                </c:pt>
                <c:pt idx="2">
                  <c:v>1.2601186477313957</c:v>
                </c:pt>
                <c:pt idx="3">
                  <c:v>1.2601186477313957</c:v>
                </c:pt>
                <c:pt idx="4">
                  <c:v>1.6801581969751944</c:v>
                </c:pt>
                <c:pt idx="5">
                  <c:v>2.1001977462189929</c:v>
                </c:pt>
                <c:pt idx="6">
                  <c:v>3.3603163939503888</c:v>
                </c:pt>
                <c:pt idx="7">
                  <c:v>3.3603163939503888</c:v>
                </c:pt>
                <c:pt idx="8">
                  <c:v>3.7803559431941873</c:v>
                </c:pt>
                <c:pt idx="9">
                  <c:v>4.2003954924379858</c:v>
                </c:pt>
                <c:pt idx="10">
                  <c:v>4.2003954924379858</c:v>
                </c:pt>
                <c:pt idx="11">
                  <c:v>4.2003954924379858</c:v>
                </c:pt>
                <c:pt idx="12">
                  <c:v>4.2003954924379858</c:v>
                </c:pt>
                <c:pt idx="13">
                  <c:v>4.6204350416817848</c:v>
                </c:pt>
                <c:pt idx="14">
                  <c:v>4.6204350416817848</c:v>
                </c:pt>
                <c:pt idx="15">
                  <c:v>6.7206327879007777</c:v>
                </c:pt>
                <c:pt idx="16">
                  <c:v>6.7206327879007777</c:v>
                </c:pt>
                <c:pt idx="17">
                  <c:v>7.1406723371445757</c:v>
                </c:pt>
                <c:pt idx="18">
                  <c:v>7.5607118863883747</c:v>
                </c:pt>
                <c:pt idx="19">
                  <c:v>7.5607118863883747</c:v>
                </c:pt>
                <c:pt idx="20">
                  <c:v>7.5607118863883747</c:v>
                </c:pt>
                <c:pt idx="21">
                  <c:v>7.5607118863883747</c:v>
                </c:pt>
                <c:pt idx="22">
                  <c:v>7.5607118863883747</c:v>
                </c:pt>
                <c:pt idx="23">
                  <c:v>7.5607118863883747</c:v>
                </c:pt>
                <c:pt idx="24">
                  <c:v>7.5607118863883747</c:v>
                </c:pt>
                <c:pt idx="25">
                  <c:v>8.4007909848759716</c:v>
                </c:pt>
                <c:pt idx="26">
                  <c:v>9.2408700833635695</c:v>
                </c:pt>
                <c:pt idx="27">
                  <c:v>9.2408700833635695</c:v>
                </c:pt>
                <c:pt idx="28">
                  <c:v>9.6609096326073676</c:v>
                </c:pt>
                <c:pt idx="29">
                  <c:v>10.080949181851166</c:v>
                </c:pt>
                <c:pt idx="30">
                  <c:v>10.921028280338763</c:v>
                </c:pt>
                <c:pt idx="31">
                  <c:v>10.921028280338763</c:v>
                </c:pt>
                <c:pt idx="32">
                  <c:v>11.76110737882636</c:v>
                </c:pt>
                <c:pt idx="33">
                  <c:v>12.601186477313957</c:v>
                </c:pt>
                <c:pt idx="34">
                  <c:v>13.021226026557756</c:v>
                </c:pt>
                <c:pt idx="35">
                  <c:v>13.441265575801555</c:v>
                </c:pt>
                <c:pt idx="36">
                  <c:v>13.441265575801555</c:v>
                </c:pt>
                <c:pt idx="37">
                  <c:v>14.281344674289151</c:v>
                </c:pt>
                <c:pt idx="38">
                  <c:v>16.381542420508143</c:v>
                </c:pt>
                <c:pt idx="39">
                  <c:v>16.801581969751943</c:v>
                </c:pt>
                <c:pt idx="40">
                  <c:v>17.221621518995743</c:v>
                </c:pt>
                <c:pt idx="41">
                  <c:v>17.641661068239539</c:v>
                </c:pt>
                <c:pt idx="42">
                  <c:v>17.641661068239539</c:v>
                </c:pt>
                <c:pt idx="43">
                  <c:v>18.481740166727139</c:v>
                </c:pt>
                <c:pt idx="44">
                  <c:v>18.901779715970935</c:v>
                </c:pt>
                <c:pt idx="45">
                  <c:v>18.901779715970935</c:v>
                </c:pt>
                <c:pt idx="46">
                  <c:v>18.901779715970935</c:v>
                </c:pt>
                <c:pt idx="47">
                  <c:v>18.901779715970935</c:v>
                </c:pt>
                <c:pt idx="48">
                  <c:v>19.741858814458535</c:v>
                </c:pt>
                <c:pt idx="49">
                  <c:v>20.161898363702331</c:v>
                </c:pt>
                <c:pt idx="50">
                  <c:v>20.581937912946131</c:v>
                </c:pt>
                <c:pt idx="51">
                  <c:v>21.001977462189931</c:v>
                </c:pt>
                <c:pt idx="52">
                  <c:v>22.262096109921327</c:v>
                </c:pt>
                <c:pt idx="53">
                  <c:v>24.782333405384115</c:v>
                </c:pt>
                <c:pt idx="54">
                  <c:v>28.142649799334507</c:v>
                </c:pt>
                <c:pt idx="55">
                  <c:v>32.343045291772491</c:v>
                </c:pt>
                <c:pt idx="56">
                  <c:v>42.003954924379862</c:v>
                </c:pt>
                <c:pt idx="57">
                  <c:v>45.364271318330246</c:v>
                </c:pt>
                <c:pt idx="58">
                  <c:v>56.705339147912809</c:v>
                </c:pt>
                <c:pt idx="59">
                  <c:v>64.266051034301185</c:v>
                </c:pt>
                <c:pt idx="60">
                  <c:v>70.986683822201968</c:v>
                </c:pt>
                <c:pt idx="61">
                  <c:v>81.907712102540728</c:v>
                </c:pt>
                <c:pt idx="62">
                  <c:v>90.308503087416696</c:v>
                </c:pt>
                <c:pt idx="63">
                  <c:v>98.709294072292664</c:v>
                </c:pt>
                <c:pt idx="64">
                  <c:v>105.84996640943724</c:v>
                </c:pt>
                <c:pt idx="65">
                  <c:v>112.15055964809422</c:v>
                </c:pt>
                <c:pt idx="66">
                  <c:v>118.871192435995</c:v>
                </c:pt>
                <c:pt idx="67">
                  <c:v>125.17178567465199</c:v>
                </c:pt>
                <c:pt idx="68">
                  <c:v>128.53210206860237</c:v>
                </c:pt>
                <c:pt idx="69">
                  <c:v>135.25273485650314</c:v>
                </c:pt>
                <c:pt idx="70">
                  <c:v>138.19301170120974</c:v>
                </c:pt>
                <c:pt idx="71">
                  <c:v>142.39340719364773</c:v>
                </c:pt>
                <c:pt idx="72">
                  <c:v>146.1737631368419</c:v>
                </c:pt>
                <c:pt idx="73">
                  <c:v>149.1140399815485</c:v>
                </c:pt>
                <c:pt idx="74">
                  <c:v>152.4743563754989</c:v>
                </c:pt>
                <c:pt idx="75">
                  <c:v>156.67475186793686</c:v>
                </c:pt>
                <c:pt idx="76">
                  <c:v>157.93487051566828</c:v>
                </c:pt>
                <c:pt idx="77">
                  <c:v>159.19498916339967</c:v>
                </c:pt>
                <c:pt idx="78">
                  <c:v>159.61502871264346</c:v>
                </c:pt>
                <c:pt idx="79">
                  <c:v>160.45510781113106</c:v>
                </c:pt>
                <c:pt idx="80">
                  <c:v>161.71522645886245</c:v>
                </c:pt>
                <c:pt idx="81">
                  <c:v>162.97534510659386</c:v>
                </c:pt>
                <c:pt idx="82">
                  <c:v>165.07554285281284</c:v>
                </c:pt>
                <c:pt idx="83">
                  <c:v>165.07554285281284</c:v>
                </c:pt>
                <c:pt idx="84">
                  <c:v>165.91562195130044</c:v>
                </c:pt>
                <c:pt idx="85">
                  <c:v>165.91562195130044</c:v>
                </c:pt>
                <c:pt idx="86">
                  <c:v>165.91562195130044</c:v>
                </c:pt>
                <c:pt idx="87">
                  <c:v>167.17574059903183</c:v>
                </c:pt>
                <c:pt idx="88">
                  <c:v>176.4166106823954</c:v>
                </c:pt>
                <c:pt idx="89">
                  <c:v>177.25668978088299</c:v>
                </c:pt>
                <c:pt idx="90">
                  <c:v>178.51680842861441</c:v>
                </c:pt>
                <c:pt idx="91">
                  <c:v>178.93684797785821</c:v>
                </c:pt>
                <c:pt idx="92">
                  <c:v>179.356887527102</c:v>
                </c:pt>
                <c:pt idx="93">
                  <c:v>179.7769270763458</c:v>
                </c:pt>
                <c:pt idx="94">
                  <c:v>180.1969666255896</c:v>
                </c:pt>
                <c:pt idx="95">
                  <c:v>180.1969666255896</c:v>
                </c:pt>
                <c:pt idx="96">
                  <c:v>180.1969666255896</c:v>
                </c:pt>
                <c:pt idx="97">
                  <c:v>180.1969666255896</c:v>
                </c:pt>
                <c:pt idx="98">
                  <c:v>180.1969666255896</c:v>
                </c:pt>
                <c:pt idx="99">
                  <c:v>180.1969666255896</c:v>
                </c:pt>
                <c:pt idx="100">
                  <c:v>180.1969666255896</c:v>
                </c:pt>
                <c:pt idx="101">
                  <c:v>181.45708527332098</c:v>
                </c:pt>
              </c:numCache>
            </c:numRef>
          </c:yVal>
          <c:smooth val="0"/>
        </c:ser>
        <c:ser>
          <c:idx val="2"/>
          <c:order val="5"/>
          <c:tx>
            <c:strRef>
              <c:f>myData!TaiwanSeries</c:f>
              <c:strCache>
                <c:ptCount val="1"/>
                <c:pt idx="0">
                  <c:v>Taiwan Limit 70.5   r^2=99.22%</c:v>
                </c:pt>
              </c:strCache>
            </c:strRef>
          </c:tx>
          <c:spPr>
            <a:ln w="19050" cap="rnd">
              <a:solidFill>
                <a:schemeClr val="tx1">
                  <a:lumMod val="95000"/>
                  <a:lumOff val="5000"/>
                </a:schemeClr>
              </a:solidFill>
              <a:prstDash val="sysDot"/>
              <a:round/>
            </a:ln>
            <a:effectLst/>
          </c:spPr>
          <c:marker>
            <c:symbol val="none"/>
          </c:marker>
          <c:xVal>
            <c:numRef>
              <c:f>myData!TaiwanLogiDates</c:f>
              <c:numCache>
                <c:formatCode>m/d/yyyy</c:formatCode>
                <c:ptCount val="113"/>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43926</c:v>
                </c:pt>
                <c:pt idx="74">
                  <c:v>43927</c:v>
                </c:pt>
                <c:pt idx="75">
                  <c:v>43928</c:v>
                </c:pt>
                <c:pt idx="76">
                  <c:v>43929</c:v>
                </c:pt>
                <c:pt idx="77">
                  <c:v>43930</c:v>
                </c:pt>
                <c:pt idx="78">
                  <c:v>43931</c:v>
                </c:pt>
                <c:pt idx="79">
                  <c:v>43932</c:v>
                </c:pt>
                <c:pt idx="80">
                  <c:v>43933</c:v>
                </c:pt>
                <c:pt idx="81">
                  <c:v>43934</c:v>
                </c:pt>
                <c:pt idx="82">
                  <c:v>43935</c:v>
                </c:pt>
                <c:pt idx="83">
                  <c:v>43936</c:v>
                </c:pt>
                <c:pt idx="84">
                  <c:v>43937</c:v>
                </c:pt>
                <c:pt idx="85">
                  <c:v>43938</c:v>
                </c:pt>
                <c:pt idx="86">
                  <c:v>43939</c:v>
                </c:pt>
                <c:pt idx="87">
                  <c:v>43940</c:v>
                </c:pt>
                <c:pt idx="88">
                  <c:v>43941</c:v>
                </c:pt>
                <c:pt idx="89">
                  <c:v>43942</c:v>
                </c:pt>
                <c:pt idx="90">
                  <c:v>43943</c:v>
                </c:pt>
                <c:pt idx="91">
                  <c:v>43944</c:v>
                </c:pt>
                <c:pt idx="92">
                  <c:v>43945</c:v>
                </c:pt>
                <c:pt idx="93">
                  <c:v>43946</c:v>
                </c:pt>
                <c:pt idx="94">
                  <c:v>43947</c:v>
                </c:pt>
                <c:pt idx="95">
                  <c:v>43948</c:v>
                </c:pt>
                <c:pt idx="96">
                  <c:v>43949</c:v>
                </c:pt>
                <c:pt idx="97">
                  <c:v>43950</c:v>
                </c:pt>
                <c:pt idx="98">
                  <c:v>43951</c:v>
                </c:pt>
                <c:pt idx="99">
                  <c:v>43952</c:v>
                </c:pt>
                <c:pt idx="100">
                  <c:v>43953</c:v>
                </c:pt>
                <c:pt idx="101">
                  <c:v>43954</c:v>
                </c:pt>
                <c:pt idx="102">
                  <c:v>43955</c:v>
                </c:pt>
                <c:pt idx="103">
                  <c:v>43956</c:v>
                </c:pt>
                <c:pt idx="104">
                  <c:v>43957</c:v>
                </c:pt>
                <c:pt idx="105">
                  <c:v>43964</c:v>
                </c:pt>
                <c:pt idx="106">
                  <c:v>43971</c:v>
                </c:pt>
                <c:pt idx="107">
                  <c:v>43978</c:v>
                </c:pt>
                <c:pt idx="108">
                  <c:v>43985</c:v>
                </c:pt>
                <c:pt idx="109">
                  <c:v>43992</c:v>
                </c:pt>
                <c:pt idx="110">
                  <c:v>43999</c:v>
                </c:pt>
                <c:pt idx="111">
                  <c:v>44006</c:v>
                </c:pt>
                <c:pt idx="112">
                  <c:v>44013</c:v>
                </c:pt>
              </c:numCache>
            </c:numRef>
          </c:xVal>
          <c:yVal>
            <c:numRef>
              <c:f>myData!TaiwanLogi</c:f>
              <c:numCache>
                <c:formatCode>0.0</c:formatCode>
                <c:ptCount val="113"/>
                <c:pt idx="0">
                  <c:v>2.0760376610062435E-2</c:v>
                </c:pt>
                <c:pt idx="1">
                  <c:v>2.406034571920301E-2</c:v>
                </c:pt>
                <c:pt idx="2">
                  <c:v>2.788478025643408E-2</c:v>
                </c:pt>
                <c:pt idx="3">
                  <c:v>3.2317005685690743E-2</c:v>
                </c:pt>
                <c:pt idx="4">
                  <c:v>3.7453576344574711E-2</c:v>
                </c:pt>
                <c:pt idx="5">
                  <c:v>4.3406372378427177E-2</c:v>
                </c:pt>
                <c:pt idx="6">
                  <c:v>5.0305027930383578E-2</c:v>
                </c:pt>
                <c:pt idx="7">
                  <c:v>5.8299742527313722E-2</c:v>
                </c:pt>
                <c:pt idx="8">
                  <c:v>6.7564535611662674E-2</c:v>
                </c:pt>
                <c:pt idx="9">
                  <c:v>7.8301013368315589E-2</c:v>
                </c:pt>
                <c:pt idx="10">
                  <c:v>9.074272754397425E-2</c:v>
                </c:pt>
                <c:pt idx="11">
                  <c:v>0.10516021803014776</c:v>
                </c:pt>
                <c:pt idx="12">
                  <c:v>0.12186684477066077</c:v>
                </c:pt>
                <c:pt idx="13">
                  <c:v>0.14122553026446683</c:v>
                </c:pt>
                <c:pt idx="14">
                  <c:v>0.16365655177761926</c:v>
                </c:pt>
                <c:pt idx="15">
                  <c:v>0.18964654257055302</c:v>
                </c:pt>
                <c:pt idx="16">
                  <c:v>0.21975888419761136</c:v>
                </c:pt>
                <c:pt idx="17">
                  <c:v>0.25464569743284765</c:v>
                </c:pt>
                <c:pt idx="18">
                  <c:v>0.29506166776472736</c:v>
                </c:pt>
                <c:pt idx="19">
                  <c:v>0.3418799727547398</c:v>
                </c:pt>
                <c:pt idx="20">
                  <c:v>0.39611061282822263</c:v>
                </c:pt>
                <c:pt idx="21">
                  <c:v>0.45892148404344646</c:v>
                </c:pt>
                <c:pt idx="22">
                  <c:v>0.53166257059770461</c:v>
                </c:pt>
                <c:pt idx="23">
                  <c:v>0.61589367544702578</c:v>
                </c:pt>
                <c:pt idx="24">
                  <c:v>0.71341614810645104</c:v>
                </c:pt>
                <c:pt idx="25">
                  <c:v>0.82630910743661801</c:v>
                </c:pt>
                <c:pt idx="26">
                  <c:v>0.95697069104945065</c:v>
                </c:pt>
                <c:pt idx="27">
                  <c:v>1.108164887669516</c:v>
                </c:pt>
                <c:pt idx="28">
                  <c:v>1.2830745185059889</c:v>
                </c:pt>
                <c:pt idx="29">
                  <c:v>1.4853609204144207</c:v>
                </c:pt>
                <c:pt idx="30">
                  <c:v>1.7192308365982087</c:v>
                </c:pt>
                <c:pt idx="31">
                  <c:v>1.9895109255939449</c:v>
                </c:pt>
                <c:pt idx="32">
                  <c:v>2.3017301378078785</c:v>
                </c:pt>
                <c:pt idx="33">
                  <c:v>2.6622099572932831</c:v>
                </c:pt>
                <c:pt idx="34">
                  <c:v>3.0781621351880966</c:v>
                </c:pt>
                <c:pt idx="35">
                  <c:v>3.5577930140744751</c:v>
                </c:pt>
                <c:pt idx="36">
                  <c:v>4.1104128164970515</c:v>
                </c:pt>
                <c:pt idx="37">
                  <c:v>4.7465472969027944</c:v>
                </c:pt>
                <c:pt idx="38">
                  <c:v>5.4780478813199984</c:v>
                </c:pt>
                <c:pt idx="39">
                  <c:v>6.3181947907209919</c:v>
                </c:pt>
                <c:pt idx="40">
                  <c:v>7.281785618314025</c:v>
                </c:pt>
                <c:pt idx="41">
                  <c:v>8.385199385531525</c:v>
                </c:pt>
                <c:pt idx="42">
                  <c:v>9.6464232545278463</c:v>
                </c:pt>
                <c:pt idx="43">
                  <c:v>11.085025912709837</c:v>
                </c:pt>
                <c:pt idx="44">
                  <c:v>12.722058356521918</c:v>
                </c:pt>
                <c:pt idx="45">
                  <c:v>14.579859722121805</c:v>
                </c:pt>
                <c:pt idx="46">
                  <c:v>16.681743464069065</c:v>
                </c:pt>
                <c:pt idx="47">
                  <c:v>19.051538319554819</c:v>
                </c:pt>
                <c:pt idx="48">
                  <c:v>21.712960100045041</c:v>
                </c:pt>
                <c:pt idx="49">
                  <c:v>24.688795601816349</c:v>
                </c:pt>
                <c:pt idx="50">
                  <c:v>27.999890062923487</c:v>
                </c:pt>
                <c:pt idx="51">
                  <c:v>31.663945674998704</c:v>
                </c:pt>
                <c:pt idx="52">
                  <c:v>35.69416117696381</c:v>
                </c:pt>
                <c:pt idx="53">
                  <c:v>40.09777094463896</c:v>
                </c:pt>
                <c:pt idx="54">
                  <c:v>44.874574087823014</c:v>
                </c:pt>
                <c:pt idx="55">
                  <c:v>50.015575747891845</c:v>
                </c:pt>
                <c:pt idx="56">
                  <c:v>55.5018879683251</c:v>
                </c:pt>
                <c:pt idx="57">
                  <c:v>61.304048805010503</c:v>
                </c:pt>
                <c:pt idx="58">
                  <c:v>67.381908537731917</c:v>
                </c:pt>
                <c:pt idx="59">
                  <c:v>73.685196039316452</c:v>
                </c:pt>
                <c:pt idx="60">
                  <c:v>80.154816296011703</c:v>
                </c:pt>
                <c:pt idx="61">
                  <c:v>86.724847786864885</c:v>
                </c:pt>
                <c:pt idx="62">
                  <c:v>93.325118299379625</c:v>
                </c:pt>
                <c:pt idx="63">
                  <c:v>99.884156397786811</c:v>
                </c:pt>
                <c:pt idx="64">
                  <c:v>106.33226000865405</c:v>
                </c:pt>
                <c:pt idx="65">
                  <c:v>112.60440577176843</c:v>
                </c:pt>
                <c:pt idx="66">
                  <c:v>118.64274697877721</c:v>
                </c:pt>
                <c:pt idx="67">
                  <c:v>124.3985085971732</c:v>
                </c:pt>
                <c:pt idx="68">
                  <c:v>129.83317174031725</c:v>
                </c:pt>
                <c:pt idx="69">
                  <c:v>134.9189298805959</c:v>
                </c:pt>
                <c:pt idx="70">
                  <c:v>139.63847892881287</c:v>
                </c:pt>
                <c:pt idx="71">
                  <c:v>143.98426153794261</c:v>
                </c:pt>
                <c:pt idx="72">
                  <c:v>147.95731762277677</c:v>
                </c:pt>
                <c:pt idx="73">
                  <c:v>151.56589922976485</c:v>
                </c:pt>
                <c:pt idx="74">
                  <c:v>154.82399395630199</c:v>
                </c:pt>
                <c:pt idx="75">
                  <c:v>157.74987447353104</c:v>
                </c:pt>
                <c:pt idx="76">
                  <c:v>160.36475960914925</c:v>
                </c:pt>
                <c:pt idx="77">
                  <c:v>162.6916407045033</c:v>
                </c:pt>
                <c:pt idx="78">
                  <c:v>164.75429938389189</c:v>
                </c:pt>
                <c:pt idx="79">
                  <c:v>166.57652134482342</c:v>
                </c:pt>
                <c:pt idx="80">
                  <c:v>168.18149566643581</c:v>
                </c:pt>
                <c:pt idx="81">
                  <c:v>169.59137982891082</c:v>
                </c:pt>
                <c:pt idx="82">
                  <c:v>170.82700603139301</c:v>
                </c:pt>
                <c:pt idx="83">
                  <c:v>171.90770324551795</c:v>
                </c:pt>
                <c:pt idx="84">
                  <c:v>172.85121059269323</c:v>
                </c:pt>
                <c:pt idx="85">
                  <c:v>173.67366013592755</c:v>
                </c:pt>
                <c:pt idx="86">
                  <c:v>174.38961031777603</c:v>
                </c:pt>
                <c:pt idx="87">
                  <c:v>175.01211456249467</c:v>
                </c:pt>
                <c:pt idx="88">
                  <c:v>175.55281268341565</c:v>
                </c:pt>
                <c:pt idx="89">
                  <c:v>176.02203552508644</c:v>
                </c:pt>
                <c:pt idx="90">
                  <c:v>176.42891565029649</c:v>
                </c:pt>
                <c:pt idx="91">
                  <c:v>176.78149884429055</c:v>
                </c:pt>
                <c:pt idx="92">
                  <c:v>177.08685277908521</c:v>
                </c:pt>
                <c:pt idx="93">
                  <c:v>177.35117040578172</c:v>
                </c:pt>
                <c:pt idx="94">
                  <c:v>177.5798665750707</c:v>
                </c:pt>
                <c:pt idx="95">
                  <c:v>177.77766707838433</c:v>
                </c:pt>
                <c:pt idx="96">
                  <c:v>177.9486898026112</c:v>
                </c:pt>
                <c:pt idx="97">
                  <c:v>178.09651804189122</c:v>
                </c:pt>
                <c:pt idx="98">
                  <c:v>178.22426624590511</c:v>
                </c:pt>
                <c:pt idx="99">
                  <c:v>178.33463863388695</c:v>
                </c:pt>
                <c:pt idx="100">
                  <c:v>178.42998119009715</c:v>
                </c:pt>
                <c:pt idx="101">
                  <c:v>178.51232759748154</c:v>
                </c:pt>
                <c:pt idx="102">
                  <c:v>178.5834396753414</c:v>
                </c:pt>
                <c:pt idx="103">
                  <c:v>178.64484287434743</c:v>
                </c:pt>
                <c:pt idx="104">
                  <c:v>178.69785735578097</c:v>
                </c:pt>
                <c:pt idx="105">
                  <c:v>178.91292912274574</c:v>
                </c:pt>
                <c:pt idx="106">
                  <c:v>178.98962454151928</c:v>
                </c:pt>
                <c:pt idx="107">
                  <c:v>179.01694571497271</c:v>
                </c:pt>
                <c:pt idx="108">
                  <c:v>179.02667468229248</c:v>
                </c:pt>
                <c:pt idx="109">
                  <c:v>179.03013866932534</c:v>
                </c:pt>
                <c:pt idx="110">
                  <c:v>179.03137195918464</c:v>
                </c:pt>
                <c:pt idx="111">
                  <c:v>179.0318110422885</c:v>
                </c:pt>
                <c:pt idx="112">
                  <c:v>179.03196736629528</c:v>
                </c:pt>
              </c:numCache>
            </c:numRef>
          </c:yVal>
          <c:smooth val="0"/>
        </c:ser>
        <c:ser>
          <c:idx val="6"/>
          <c:order val="6"/>
          <c:tx>
            <c:strRef>
              <c:f>myData!SingaporeSeries</c:f>
              <c:strCache>
                <c:ptCount val="1"/>
                <c:pt idx="0">
                  <c:v>Singapore Limit 60.7 k r^2=97.39%</c:v>
                </c:pt>
              </c:strCache>
            </c:strRef>
          </c:tx>
          <c:spPr>
            <a:ln w="9525" cap="rnd">
              <a:solidFill>
                <a:schemeClr val="accent1">
                  <a:lumMod val="60000"/>
                </a:schemeClr>
              </a:solidFill>
              <a:round/>
            </a:ln>
            <a:effectLst/>
          </c:spPr>
          <c:marker>
            <c:symbol val="x"/>
            <c:size val="3"/>
            <c:spPr>
              <a:noFill/>
              <a:ln w="9525">
                <a:solidFill>
                  <a:schemeClr val="accent1">
                    <a:lumMod val="60000"/>
                  </a:schemeClr>
                </a:solidFill>
              </a:ln>
              <a:effectLst/>
            </c:spPr>
          </c:marker>
          <c:xVal>
            <c:numRef>
              <c:f>myData!SingaporeDates</c:f>
              <c:numCache>
                <c:formatCode>m/d/yyyy</c:formatCode>
                <c:ptCount val="100"/>
                <c:pt idx="0">
                  <c:v>43854</c:v>
                </c:pt>
                <c:pt idx="1">
                  <c:v>43855</c:v>
                </c:pt>
                <c:pt idx="2">
                  <c:v>43856</c:v>
                </c:pt>
                <c:pt idx="3">
                  <c:v>43857</c:v>
                </c:pt>
                <c:pt idx="4">
                  <c:v>43858</c:v>
                </c:pt>
                <c:pt idx="5">
                  <c:v>43859</c:v>
                </c:pt>
                <c:pt idx="6">
                  <c:v>43860</c:v>
                </c:pt>
                <c:pt idx="7">
                  <c:v>43861</c:v>
                </c:pt>
                <c:pt idx="8">
                  <c:v>43862</c:v>
                </c:pt>
                <c:pt idx="9">
                  <c:v>43863</c:v>
                </c:pt>
                <c:pt idx="10">
                  <c:v>43864</c:v>
                </c:pt>
                <c:pt idx="11">
                  <c:v>43865</c:v>
                </c:pt>
                <c:pt idx="12">
                  <c:v>43866</c:v>
                </c:pt>
                <c:pt idx="13">
                  <c:v>43867</c:v>
                </c:pt>
                <c:pt idx="14">
                  <c:v>43868</c:v>
                </c:pt>
                <c:pt idx="15">
                  <c:v>43869</c:v>
                </c:pt>
                <c:pt idx="16">
                  <c:v>43870</c:v>
                </c:pt>
                <c:pt idx="17">
                  <c:v>43871</c:v>
                </c:pt>
                <c:pt idx="18">
                  <c:v>43872</c:v>
                </c:pt>
                <c:pt idx="19">
                  <c:v>43873</c:v>
                </c:pt>
                <c:pt idx="20">
                  <c:v>43874</c:v>
                </c:pt>
                <c:pt idx="21">
                  <c:v>43875</c:v>
                </c:pt>
                <c:pt idx="22">
                  <c:v>43876</c:v>
                </c:pt>
                <c:pt idx="23">
                  <c:v>43877</c:v>
                </c:pt>
                <c:pt idx="24">
                  <c:v>43878</c:v>
                </c:pt>
                <c:pt idx="25">
                  <c:v>43879</c:v>
                </c:pt>
                <c:pt idx="26">
                  <c:v>43880</c:v>
                </c:pt>
                <c:pt idx="27">
                  <c:v>43881</c:v>
                </c:pt>
                <c:pt idx="28">
                  <c:v>43882</c:v>
                </c:pt>
                <c:pt idx="29">
                  <c:v>43883</c:v>
                </c:pt>
                <c:pt idx="30">
                  <c:v>43884</c:v>
                </c:pt>
                <c:pt idx="31">
                  <c:v>43885</c:v>
                </c:pt>
                <c:pt idx="32">
                  <c:v>43886</c:v>
                </c:pt>
                <c:pt idx="33">
                  <c:v>43887</c:v>
                </c:pt>
                <c:pt idx="34">
                  <c:v>43888</c:v>
                </c:pt>
                <c:pt idx="35">
                  <c:v>43889</c:v>
                </c:pt>
                <c:pt idx="36">
                  <c:v>43890</c:v>
                </c:pt>
                <c:pt idx="37">
                  <c:v>43891</c:v>
                </c:pt>
                <c:pt idx="38">
                  <c:v>43892</c:v>
                </c:pt>
                <c:pt idx="39">
                  <c:v>43893</c:v>
                </c:pt>
                <c:pt idx="40">
                  <c:v>43894</c:v>
                </c:pt>
                <c:pt idx="41">
                  <c:v>43895</c:v>
                </c:pt>
                <c:pt idx="42">
                  <c:v>43896</c:v>
                </c:pt>
                <c:pt idx="43">
                  <c:v>43897</c:v>
                </c:pt>
                <c:pt idx="44">
                  <c:v>43898</c:v>
                </c:pt>
                <c:pt idx="45">
                  <c:v>43899</c:v>
                </c:pt>
                <c:pt idx="46">
                  <c:v>43900</c:v>
                </c:pt>
                <c:pt idx="47">
                  <c:v>43901</c:v>
                </c:pt>
                <c:pt idx="48">
                  <c:v>43902</c:v>
                </c:pt>
                <c:pt idx="49">
                  <c:v>43903</c:v>
                </c:pt>
                <c:pt idx="50">
                  <c:v>43904</c:v>
                </c:pt>
                <c:pt idx="51">
                  <c:v>43905</c:v>
                </c:pt>
                <c:pt idx="52">
                  <c:v>43906</c:v>
                </c:pt>
                <c:pt idx="53">
                  <c:v>43907</c:v>
                </c:pt>
                <c:pt idx="54">
                  <c:v>43908</c:v>
                </c:pt>
                <c:pt idx="55">
                  <c:v>43909</c:v>
                </c:pt>
                <c:pt idx="56">
                  <c:v>43910</c:v>
                </c:pt>
                <c:pt idx="57">
                  <c:v>43911</c:v>
                </c:pt>
                <c:pt idx="58">
                  <c:v>43912</c:v>
                </c:pt>
                <c:pt idx="59">
                  <c:v>43913</c:v>
                </c:pt>
                <c:pt idx="60">
                  <c:v>43914</c:v>
                </c:pt>
                <c:pt idx="61">
                  <c:v>43915</c:v>
                </c:pt>
                <c:pt idx="62">
                  <c:v>43916</c:v>
                </c:pt>
                <c:pt idx="63">
                  <c:v>43917</c:v>
                </c:pt>
                <c:pt idx="64">
                  <c:v>43918</c:v>
                </c:pt>
                <c:pt idx="65">
                  <c:v>43919</c:v>
                </c:pt>
                <c:pt idx="66">
                  <c:v>43920</c:v>
                </c:pt>
                <c:pt idx="67">
                  <c:v>43921</c:v>
                </c:pt>
                <c:pt idx="68">
                  <c:v>43922</c:v>
                </c:pt>
                <c:pt idx="69">
                  <c:v>43923</c:v>
                </c:pt>
                <c:pt idx="70">
                  <c:v>43924</c:v>
                </c:pt>
                <c:pt idx="71">
                  <c:v>43925</c:v>
                </c:pt>
                <c:pt idx="72">
                  <c:v>43926</c:v>
                </c:pt>
                <c:pt idx="73">
                  <c:v>43927</c:v>
                </c:pt>
                <c:pt idx="74">
                  <c:v>43928</c:v>
                </c:pt>
                <c:pt idx="75">
                  <c:v>43929</c:v>
                </c:pt>
                <c:pt idx="76">
                  <c:v>43930</c:v>
                </c:pt>
                <c:pt idx="77">
                  <c:v>43931</c:v>
                </c:pt>
                <c:pt idx="78">
                  <c:v>43932</c:v>
                </c:pt>
                <c:pt idx="79">
                  <c:v>43933</c:v>
                </c:pt>
                <c:pt idx="80">
                  <c:v>43934</c:v>
                </c:pt>
                <c:pt idx="81">
                  <c:v>43935</c:v>
                </c:pt>
                <c:pt idx="82">
                  <c:v>43936</c:v>
                </c:pt>
                <c:pt idx="83">
                  <c:v>43937</c:v>
                </c:pt>
                <c:pt idx="84">
                  <c:v>43938</c:v>
                </c:pt>
                <c:pt idx="85">
                  <c:v>43939</c:v>
                </c:pt>
                <c:pt idx="86">
                  <c:v>43940</c:v>
                </c:pt>
                <c:pt idx="87">
                  <c:v>43941</c:v>
                </c:pt>
                <c:pt idx="88">
                  <c:v>43942</c:v>
                </c:pt>
                <c:pt idx="89">
                  <c:v>43943</c:v>
                </c:pt>
                <c:pt idx="90">
                  <c:v>43944</c:v>
                </c:pt>
                <c:pt idx="91">
                  <c:v>43945</c:v>
                </c:pt>
                <c:pt idx="92">
                  <c:v>43946</c:v>
                </c:pt>
                <c:pt idx="93">
                  <c:v>43947</c:v>
                </c:pt>
                <c:pt idx="94">
                  <c:v>43948</c:v>
                </c:pt>
                <c:pt idx="95">
                  <c:v>43949</c:v>
                </c:pt>
                <c:pt idx="96">
                  <c:v>43950</c:v>
                </c:pt>
                <c:pt idx="97">
                  <c:v>43951</c:v>
                </c:pt>
                <c:pt idx="98">
                  <c:v>43952</c:v>
                </c:pt>
                <c:pt idx="99">
                  <c:v>43953</c:v>
                </c:pt>
              </c:numCache>
            </c:numRef>
          </c:xVal>
          <c:yVal>
            <c:numRef>
              <c:f>myData!SingaporeCases</c:f>
              <c:numCache>
                <c:formatCode>0.0</c:formatCode>
                <c:ptCount val="101"/>
                <c:pt idx="0">
                  <c:v>1.7094017094017095</c:v>
                </c:pt>
                <c:pt idx="1">
                  <c:v>5.1282051282051286</c:v>
                </c:pt>
                <c:pt idx="2">
                  <c:v>5.1282051282051286</c:v>
                </c:pt>
                <c:pt idx="3">
                  <c:v>6.8376068376068382</c:v>
                </c:pt>
                <c:pt idx="4">
                  <c:v>8.5470085470085468</c:v>
                </c:pt>
                <c:pt idx="5">
                  <c:v>11.965811965811966</c:v>
                </c:pt>
                <c:pt idx="6">
                  <c:v>11.965811965811966</c:v>
                </c:pt>
                <c:pt idx="7">
                  <c:v>17.094017094017094</c:v>
                </c:pt>
                <c:pt idx="8">
                  <c:v>22.222222222222225</c:v>
                </c:pt>
                <c:pt idx="9">
                  <c:v>27.350427350427353</c:v>
                </c:pt>
                <c:pt idx="10">
                  <c:v>30.76923076923077</c:v>
                </c:pt>
                <c:pt idx="11">
                  <c:v>30.76923076923077</c:v>
                </c:pt>
                <c:pt idx="12">
                  <c:v>41.025641025641029</c:v>
                </c:pt>
                <c:pt idx="13">
                  <c:v>47.863247863247864</c:v>
                </c:pt>
                <c:pt idx="14">
                  <c:v>47.863247863247864</c:v>
                </c:pt>
                <c:pt idx="15">
                  <c:v>51.282051282051285</c:v>
                </c:pt>
                <c:pt idx="16">
                  <c:v>56.410256410256416</c:v>
                </c:pt>
                <c:pt idx="17">
                  <c:v>68.376068376068375</c:v>
                </c:pt>
                <c:pt idx="18">
                  <c:v>76.923076923076934</c:v>
                </c:pt>
                <c:pt idx="19">
                  <c:v>80.341880341880341</c:v>
                </c:pt>
                <c:pt idx="20">
                  <c:v>85.470085470085479</c:v>
                </c:pt>
                <c:pt idx="21">
                  <c:v>99.145299145299148</c:v>
                </c:pt>
                <c:pt idx="22">
                  <c:v>114.52991452991454</c:v>
                </c:pt>
                <c:pt idx="23">
                  <c:v>123.07692307692308</c:v>
                </c:pt>
                <c:pt idx="24">
                  <c:v>128.2051282051282</c:v>
                </c:pt>
                <c:pt idx="25">
                  <c:v>131.62393162393164</c:v>
                </c:pt>
                <c:pt idx="26">
                  <c:v>138.46153846153848</c:v>
                </c:pt>
                <c:pt idx="27">
                  <c:v>143.58974358974359</c:v>
                </c:pt>
                <c:pt idx="28">
                  <c:v>143.58974358974359</c:v>
                </c:pt>
                <c:pt idx="29">
                  <c:v>145.29914529914529</c:v>
                </c:pt>
                <c:pt idx="30">
                  <c:v>145.29914529914529</c:v>
                </c:pt>
                <c:pt idx="31">
                  <c:v>152.13675213675214</c:v>
                </c:pt>
                <c:pt idx="32">
                  <c:v>152.13675213675214</c:v>
                </c:pt>
                <c:pt idx="33">
                  <c:v>155.55555555555557</c:v>
                </c:pt>
                <c:pt idx="34">
                  <c:v>158.97435897435898</c:v>
                </c:pt>
                <c:pt idx="35">
                  <c:v>158.97435897435898</c:v>
                </c:pt>
                <c:pt idx="36">
                  <c:v>158.97435897435898</c:v>
                </c:pt>
                <c:pt idx="37">
                  <c:v>174.35897435897436</c:v>
                </c:pt>
                <c:pt idx="38">
                  <c:v>181.19658119658121</c:v>
                </c:pt>
                <c:pt idx="39">
                  <c:v>184.61538461538461</c:v>
                </c:pt>
                <c:pt idx="40">
                  <c:v>188.03418803418805</c:v>
                </c:pt>
                <c:pt idx="41">
                  <c:v>188.03418803418805</c:v>
                </c:pt>
                <c:pt idx="42">
                  <c:v>200</c:v>
                </c:pt>
                <c:pt idx="43">
                  <c:v>222.22222222222223</c:v>
                </c:pt>
                <c:pt idx="44">
                  <c:v>235.89743589743591</c:v>
                </c:pt>
                <c:pt idx="45">
                  <c:v>256.41025641025641</c:v>
                </c:pt>
                <c:pt idx="46">
                  <c:v>256.41025641025641</c:v>
                </c:pt>
                <c:pt idx="47">
                  <c:v>273.5042735042735</c:v>
                </c:pt>
                <c:pt idx="48">
                  <c:v>304.27350427350427</c:v>
                </c:pt>
                <c:pt idx="49">
                  <c:v>304.27350427350427</c:v>
                </c:pt>
                <c:pt idx="50">
                  <c:v>341.88034188034192</c:v>
                </c:pt>
                <c:pt idx="51">
                  <c:v>362.39316239316241</c:v>
                </c:pt>
                <c:pt idx="52">
                  <c:v>386.32478632478637</c:v>
                </c:pt>
                <c:pt idx="53">
                  <c:v>415.38461538461542</c:v>
                </c:pt>
                <c:pt idx="54">
                  <c:v>454.70085470085473</c:v>
                </c:pt>
                <c:pt idx="55">
                  <c:v>535.0427350427351</c:v>
                </c:pt>
                <c:pt idx="56">
                  <c:v>589.74358974358972</c:v>
                </c:pt>
                <c:pt idx="57">
                  <c:v>658.1196581196582</c:v>
                </c:pt>
                <c:pt idx="58">
                  <c:v>738.46153846153845</c:v>
                </c:pt>
                <c:pt idx="59">
                  <c:v>777.77777777777783</c:v>
                </c:pt>
                <c:pt idx="60">
                  <c:v>870.08547008547009</c:v>
                </c:pt>
                <c:pt idx="61">
                  <c:v>953.84615384615392</c:v>
                </c:pt>
                <c:pt idx="62">
                  <c:v>1078.6324786324788</c:v>
                </c:pt>
                <c:pt idx="63">
                  <c:v>1167.5213675213677</c:v>
                </c:pt>
                <c:pt idx="64">
                  <c:v>1251.2820512820513</c:v>
                </c:pt>
                <c:pt idx="65">
                  <c:v>1370.9401709401711</c:v>
                </c:pt>
                <c:pt idx="66">
                  <c:v>1442.7350427350427</c:v>
                </c:pt>
                <c:pt idx="67">
                  <c:v>1502.5641025641028</c:v>
                </c:pt>
                <c:pt idx="68">
                  <c:v>1582.9059829059829</c:v>
                </c:pt>
                <c:pt idx="69">
                  <c:v>1709.4017094017095</c:v>
                </c:pt>
                <c:pt idx="70">
                  <c:v>1793.1623931623933</c:v>
                </c:pt>
                <c:pt idx="71">
                  <c:v>1904.2735042735044</c:v>
                </c:pt>
                <c:pt idx="72">
                  <c:v>2032.4786324786326</c:v>
                </c:pt>
                <c:pt idx="73">
                  <c:v>2237.6068376068379</c:v>
                </c:pt>
                <c:pt idx="74">
                  <c:v>2350.4273504273506</c:v>
                </c:pt>
                <c:pt idx="75">
                  <c:v>2531.6239316239316</c:v>
                </c:pt>
                <c:pt idx="76">
                  <c:v>2774.3589743589746</c:v>
                </c:pt>
                <c:pt idx="77">
                  <c:v>3264.9572649572651</c:v>
                </c:pt>
                <c:pt idx="78">
                  <c:v>3603.4188034188037</c:v>
                </c:pt>
                <c:pt idx="79">
                  <c:v>3929.9145299145302</c:v>
                </c:pt>
                <c:pt idx="80" formatCode="0">
                  <c:v>4328.2051282051289</c:v>
                </c:pt>
                <c:pt idx="81" formatCode="0">
                  <c:v>4988.0341880341884</c:v>
                </c:pt>
                <c:pt idx="82" formatCode="0">
                  <c:v>5558.9743589743593</c:v>
                </c:pt>
                <c:pt idx="83" formatCode="0">
                  <c:v>6323.0769230769238</c:v>
                </c:pt>
                <c:pt idx="84" formatCode="0">
                  <c:v>7567.5213675213681</c:v>
                </c:pt>
                <c:pt idx="85" formatCode="0">
                  <c:v>8632.4786324786328</c:v>
                </c:pt>
                <c:pt idx="86" formatCode="0">
                  <c:v>10242.735042735043</c:v>
                </c:pt>
                <c:pt idx="87" formatCode="0">
                  <c:v>11261.538461538463</c:v>
                </c:pt>
                <c:pt idx="88" formatCode="0">
                  <c:v>13699.145299145301</c:v>
                </c:pt>
                <c:pt idx="89" formatCode="0">
                  <c:v>15598.2905982906</c:v>
                </c:pt>
                <c:pt idx="90">
                  <c:v>17335.042735042734</c:v>
                </c:pt>
                <c:pt idx="91">
                  <c:v>19107.692307692309</c:v>
                </c:pt>
                <c:pt idx="92">
                  <c:v>20641.025641025641</c:v>
                </c:pt>
                <c:pt idx="93">
                  <c:v>21697.435897435898</c:v>
                </c:pt>
                <c:pt idx="94">
                  <c:v>23288.888888888891</c:v>
                </c:pt>
                <c:pt idx="95">
                  <c:v>24654.700854700855</c:v>
                </c:pt>
                <c:pt idx="96">
                  <c:v>25557.264957264957</c:v>
                </c:pt>
                <c:pt idx="97">
                  <c:v>26736.752136752137</c:v>
                </c:pt>
                <c:pt idx="98">
                  <c:v>27639.316239316242</c:v>
                </c:pt>
                <c:pt idx="99">
                  <c:v>29232.478632478633</c:v>
                </c:pt>
                <c:pt idx="100">
                  <c:v>29996.581196581199</c:v>
                </c:pt>
              </c:numCache>
            </c:numRef>
          </c:yVal>
          <c:smooth val="0"/>
        </c:ser>
        <c:ser>
          <c:idx val="7"/>
          <c:order val="7"/>
          <c:tx>
            <c:strRef>
              <c:f>myData!SingaporeSeries</c:f>
              <c:strCache>
                <c:ptCount val="1"/>
                <c:pt idx="0">
                  <c:v>Singapore Limit 60.7 k r^2=97.39%</c:v>
                </c:pt>
              </c:strCache>
            </c:strRef>
          </c:tx>
          <c:spPr>
            <a:ln w="12700" cap="rnd">
              <a:solidFill>
                <a:schemeClr val="accent1">
                  <a:lumMod val="75000"/>
                </a:schemeClr>
              </a:solidFill>
              <a:prstDash val="sysDot"/>
              <a:round/>
            </a:ln>
            <a:effectLst/>
          </c:spPr>
          <c:marker>
            <c:symbol val="none"/>
          </c:marker>
          <c:xVal>
            <c:numRef>
              <c:f>myData!SingaporeLogiDates</c:f>
              <c:numCache>
                <c:formatCode>m/d/yyyy</c:formatCode>
                <c:ptCount val="113"/>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43926</c:v>
                </c:pt>
                <c:pt idx="74">
                  <c:v>43927</c:v>
                </c:pt>
                <c:pt idx="75">
                  <c:v>43928</c:v>
                </c:pt>
                <c:pt idx="76">
                  <c:v>43929</c:v>
                </c:pt>
                <c:pt idx="77">
                  <c:v>43930</c:v>
                </c:pt>
                <c:pt idx="78">
                  <c:v>43931</c:v>
                </c:pt>
                <c:pt idx="79">
                  <c:v>43932</c:v>
                </c:pt>
                <c:pt idx="80">
                  <c:v>43933</c:v>
                </c:pt>
                <c:pt idx="81">
                  <c:v>43934</c:v>
                </c:pt>
                <c:pt idx="82">
                  <c:v>43935</c:v>
                </c:pt>
                <c:pt idx="83">
                  <c:v>43936</c:v>
                </c:pt>
                <c:pt idx="84">
                  <c:v>43937</c:v>
                </c:pt>
                <c:pt idx="85">
                  <c:v>43938</c:v>
                </c:pt>
                <c:pt idx="86">
                  <c:v>43939</c:v>
                </c:pt>
                <c:pt idx="87">
                  <c:v>43940</c:v>
                </c:pt>
                <c:pt idx="88">
                  <c:v>43941</c:v>
                </c:pt>
                <c:pt idx="89">
                  <c:v>43942</c:v>
                </c:pt>
                <c:pt idx="90">
                  <c:v>43943</c:v>
                </c:pt>
                <c:pt idx="91">
                  <c:v>43944</c:v>
                </c:pt>
                <c:pt idx="92">
                  <c:v>43945</c:v>
                </c:pt>
                <c:pt idx="93">
                  <c:v>43946</c:v>
                </c:pt>
                <c:pt idx="94">
                  <c:v>43947</c:v>
                </c:pt>
                <c:pt idx="95">
                  <c:v>43948</c:v>
                </c:pt>
                <c:pt idx="96">
                  <c:v>43949</c:v>
                </c:pt>
                <c:pt idx="97">
                  <c:v>43950</c:v>
                </c:pt>
                <c:pt idx="98">
                  <c:v>43951</c:v>
                </c:pt>
                <c:pt idx="99">
                  <c:v>43952</c:v>
                </c:pt>
                <c:pt idx="100">
                  <c:v>43953</c:v>
                </c:pt>
                <c:pt idx="101">
                  <c:v>43954</c:v>
                </c:pt>
                <c:pt idx="102">
                  <c:v>43955</c:v>
                </c:pt>
                <c:pt idx="103">
                  <c:v>43956</c:v>
                </c:pt>
                <c:pt idx="104">
                  <c:v>43957</c:v>
                </c:pt>
                <c:pt idx="105">
                  <c:v>43964</c:v>
                </c:pt>
                <c:pt idx="106">
                  <c:v>43971</c:v>
                </c:pt>
                <c:pt idx="107">
                  <c:v>43978</c:v>
                </c:pt>
                <c:pt idx="108">
                  <c:v>43985</c:v>
                </c:pt>
                <c:pt idx="109">
                  <c:v>43992</c:v>
                </c:pt>
                <c:pt idx="110">
                  <c:v>43999</c:v>
                </c:pt>
                <c:pt idx="111">
                  <c:v>44006</c:v>
                </c:pt>
                <c:pt idx="112">
                  <c:v>44013</c:v>
                </c:pt>
              </c:numCache>
            </c:numRef>
          </c:xVal>
          <c:yVal>
            <c:numRef>
              <c:f>myData!SingaporeLogi</c:f>
              <c:numCache>
                <c:formatCode>0.0</c:formatCode>
                <c:ptCount val="113"/>
                <c:pt idx="0">
                  <c:v>0.20879900106378507</c:v>
                </c:pt>
                <c:pt idx="1">
                  <c:v>0.23674336484067357</c:v>
                </c:pt>
                <c:pt idx="2">
                  <c:v>0.26842761247974861</c:v>
                </c:pt>
                <c:pt idx="3">
                  <c:v>0.30435225991560877</c:v>
                </c:pt>
                <c:pt idx="4">
                  <c:v>0.34508480675584996</c:v>
                </c:pt>
                <c:pt idx="5">
                  <c:v>0.39126870027080629</c:v>
                </c:pt>
                <c:pt idx="6">
                  <c:v>0.44363349886582043</c:v>
                </c:pt>
                <c:pt idx="7">
                  <c:v>0.50300639550887427</c:v>
                </c:pt>
                <c:pt idx="8">
                  <c:v>0.57032528304630625</c:v>
                </c:pt>
                <c:pt idx="9">
                  <c:v>0.64665356766648741</c:v>
                </c:pt>
                <c:pt idx="10">
                  <c:v>0.73319696434809023</c:v>
                </c:pt>
                <c:pt idx="11">
                  <c:v>0.83132253938909406</c:v>
                </c:pt>
                <c:pt idx="12">
                  <c:v>0.94258030054554443</c:v>
                </c:pt>
                <c:pt idx="13">
                  <c:v>1.0687276754709218</c:v>
                </c:pt>
                <c:pt idx="14">
                  <c:v>1.2117572646669466</c:v>
                </c:pt>
                <c:pt idx="15">
                  <c:v>1.3739283067469774</c:v>
                </c:pt>
                <c:pt idx="16">
                  <c:v>1.5578023522801221</c:v>
                </c:pt>
                <c:pt idx="17">
                  <c:v>1.7662837087400691</c:v>
                </c:pt>
                <c:pt idx="18">
                  <c:v>2.0026652941596761</c:v>
                </c:pt>
                <c:pt idx="19">
                  <c:v>2.2706806221578764</c:v>
                </c:pt>
                <c:pt idx="20">
                  <c:v>2.5745627373793356</c:v>
                </c:pt>
                <c:pt idx="21">
                  <c:v>2.9191110295612694</c:v>
                </c:pt>
                <c:pt idx="22">
                  <c:v>3.3097669781008117</c:v>
                </c:pt>
                <c:pt idx="23">
                  <c:v>3.7527000190432296</c:v>
                </c:pt>
                <c:pt idx="24">
                  <c:v>4.2549048849927722</c:v>
                </c:pt>
                <c:pt idx="25">
                  <c:v>4.8243119479855894</c:v>
                </c:pt>
                <c:pt idx="26">
                  <c:v>5.4699122985858653</c:v>
                </c:pt>
                <c:pt idx="27">
                  <c:v>6.2018995244440198</c:v>
                </c:pt>
                <c:pt idx="28">
                  <c:v>7.0318304117443367</c:v>
                </c:pt>
                <c:pt idx="29">
                  <c:v>7.9728070872497385</c:v>
                </c:pt>
                <c:pt idx="30">
                  <c:v>9.0396834513787621</c:v>
                </c:pt>
                <c:pt idx="31">
                  <c:v>10.249299128801972</c:v>
                </c:pt>
                <c:pt idx="32">
                  <c:v>11.62074458787766</c:v>
                </c:pt>
                <c:pt idx="33">
                  <c:v>13.175661559947139</c:v>
                </c:pt>
                <c:pt idx="34">
                  <c:v>14.938583430856303</c:v>
                </c:pt>
                <c:pt idx="35">
                  <c:v>16.937320887585265</c:v>
                </c:pt>
                <c:pt idx="36">
                  <c:v>19.203398790878076</c:v>
                </c:pt>
                <c:pt idx="37">
                  <c:v>21.772551019443043</c:v>
                </c:pt>
                <c:pt idx="38">
                  <c:v>24.685280902707401</c:v>
                </c:pt>
                <c:pt idx="39">
                  <c:v>27.987495838233276</c:v>
                </c:pt>
                <c:pt idx="40">
                  <c:v>31.731225788628574</c:v>
                </c:pt>
                <c:pt idx="41">
                  <c:v>35.975436583885227</c:v>
                </c:pt>
                <c:pt idx="42">
                  <c:v>40.786950332122792</c:v>
                </c:pt>
                <c:pt idx="43">
                  <c:v>46.241486778926813</c:v>
                </c:pt>
                <c:pt idx="44">
                  <c:v>52.424841167493959</c:v>
                </c:pt>
                <c:pt idx="45">
                  <c:v>59.434216053331937</c:v>
                </c:pt>
                <c:pt idx="46">
                  <c:v>67.379726632562281</c:v>
                </c:pt>
                <c:pt idx="47">
                  <c:v>76.386101465023444</c:v>
                </c:pt>
                <c:pt idx="48">
                  <c:v>86.594603023271446</c:v>
                </c:pt>
                <c:pt idx="49">
                  <c:v>98.16519528362582</c:v>
                </c:pt>
                <c:pt idx="50">
                  <c:v>111.27898859767242</c:v>
                </c:pt>
                <c:pt idx="51">
                  <c:v>126.14099533646683</c:v>
                </c:pt>
                <c:pt idx="52">
                  <c:v>142.98323326860009</c:v>
                </c:pt>
                <c:pt idx="53">
                  <c:v>162.06821728588349</c:v>
                </c:pt>
                <c:pt idx="54">
                  <c:v>183.69288387513714</c:v>
                </c:pt>
                <c:pt idx="55">
                  <c:v>208.19299657301141</c:v>
                </c:pt>
                <c:pt idx="56">
                  <c:v>235.94808441917743</c:v>
                </c:pt>
                <c:pt idx="57">
                  <c:v>267.38696898176227</c:v>
                </c:pt>
                <c:pt idx="58">
                  <c:v>302.993938648393</c:v>
                </c:pt>
                <c:pt idx="59">
                  <c:v>343.31563126160341</c:v>
                </c:pt>
                <c:pt idx="60">
                  <c:v>388.96868743765293</c:v>
                </c:pt>
                <c:pt idx="61">
                  <c:v>440.64823653188995</c:v>
                </c:pt>
                <c:pt idx="62">
                  <c:v>499.1372745415926</c:v>
                </c:pt>
                <c:pt idx="63">
                  <c:v>565.3169874264571</c:v>
                </c:pt>
                <c:pt idx="64">
                  <c:v>640.17806331505312</c:v>
                </c:pt>
                <c:pt idx="65">
                  <c:v>724.83302152858403</c:v>
                </c:pt>
                <c:pt idx="66">
                  <c:v>820.52956366223839</c:v>
                </c:pt>
                <c:pt idx="67">
                  <c:v>928.66492014428968</c:v>
                </c:pt>
                <c:pt idx="68">
                  <c:v>1050.8011223887431</c:v>
                </c:pt>
                <c:pt idx="69">
                  <c:v>1188.6810731156438</c:v>
                </c:pt>
                <c:pt idx="70">
                  <c:v>1344.2452124953845</c:v>
                </c:pt>
                <c:pt idx="71">
                  <c:v>1519.6484820142061</c:v>
                </c:pt>
                <c:pt idx="72">
                  <c:v>1717.2771677006065</c:v>
                </c:pt>
                <c:pt idx="73">
                  <c:v>1939.7650559889198</c:v>
                </c:pt>
                <c:pt idx="74">
                  <c:v>2190.008155861382</c:v>
                </c:pt>
                <c:pt idx="75">
                  <c:v>2471.1770278754029</c:v>
                </c:pt>
                <c:pt idx="76">
                  <c:v>2786.7255140086477</c:v>
                </c:pt>
                <c:pt idx="77">
                  <c:v>3140.3943847564333</c:v>
                </c:pt>
                <c:pt idx="78">
                  <c:v>3536.2081189780988</c:v>
                </c:pt>
                <c:pt idx="79">
                  <c:v>3978.4627214317843</c:v>
                </c:pt>
                <c:pt idx="80">
                  <c:v>4471.7021851649042</c:v>
                </c:pt>
                <c:pt idx="81">
                  <c:v>5020.6809541685288</c:v>
                </c:pt>
                <c:pt idx="82">
                  <c:v>5630.3095819887285</c:v>
                </c:pt>
                <c:pt idx="83">
                  <c:v>6305.5807742803954</c:v>
                </c:pt>
                <c:pt idx="84">
                  <c:v>7051.4732209110016</c:v>
                </c:pt>
                <c:pt idx="85">
                  <c:v>7872.8311494742966</c:v>
                </c:pt>
                <c:pt idx="86">
                  <c:v>8774.2184527636891</c:v>
                </c:pt>
                <c:pt idx="87">
                  <c:v>9759.747633459172</c:v>
                </c:pt>
                <c:pt idx="88">
                  <c:v>10832.885716686174</c:v>
                </c:pt>
                <c:pt idx="89">
                  <c:v>11996.241698920954</c:v>
                </c:pt>
                <c:pt idx="90">
                  <c:v>13251.342943642769</c:v>
                </c:pt>
                <c:pt idx="91">
                  <c:v>14598.411008870913</c:v>
                </c:pt>
                <c:pt idx="92">
                  <c:v>16036.150387927775</c:v>
                </c:pt>
                <c:pt idx="93">
                  <c:v>17561.566135752069</c:v>
                </c:pt>
                <c:pt idx="94">
                  <c:v>19169.827830982562</c:v>
                </c:pt>
                <c:pt idx="95">
                  <c:v>20854.197269265806</c:v>
                </c:pt>
                <c:pt idx="96">
                  <c:v>22606.035266757171</c:v>
                </c:pt>
                <c:pt idx="97">
                  <c:v>24414.898756474951</c:v>
                </c:pt>
                <c:pt idx="98">
                  <c:v>26268.733088088131</c:v>
                </c:pt>
                <c:pt idx="99">
                  <c:v>28154.156586446399</c:v>
                </c:pt>
                <c:pt idx="100">
                  <c:v>30056.825854664236</c:v>
                </c:pt>
                <c:pt idx="101">
                  <c:v>31961.862160437533</c:v>
                </c:pt>
                <c:pt idx="102">
                  <c:v>33854.31272765249</c:v>
                </c:pt>
                <c:pt idx="103">
                  <c:v>35719.616905838644</c:v>
                </c:pt>
                <c:pt idx="104">
                  <c:v>37544.046645102382</c:v>
                </c:pt>
                <c:pt idx="105">
                  <c:v>48332.963371186241</c:v>
                </c:pt>
                <c:pt idx="106">
                  <c:v>54879.296483850951</c:v>
                </c:pt>
                <c:pt idx="107">
                  <c:v>58148.532235244347</c:v>
                </c:pt>
                <c:pt idx="108">
                  <c:v>59622.892266281502</c:v>
                </c:pt>
                <c:pt idx="109">
                  <c:v>60257.091573028745</c:v>
                </c:pt>
                <c:pt idx="110">
                  <c:v>60524.327906229548</c:v>
                </c:pt>
                <c:pt idx="111">
                  <c:v>60635.955192486144</c:v>
                </c:pt>
                <c:pt idx="112">
                  <c:v>60682.412713966558</c:v>
                </c:pt>
              </c:numCache>
            </c:numRef>
          </c:yVal>
          <c:smooth val="0"/>
        </c:ser>
        <c:dLbls>
          <c:showLegendKey val="0"/>
          <c:showVal val="0"/>
          <c:showCatName val="0"/>
          <c:showSerName val="0"/>
          <c:showPercent val="0"/>
          <c:showBubbleSize val="0"/>
        </c:dLbls>
        <c:axId val="792696744"/>
        <c:axId val="792697136"/>
      </c:scatterChart>
      <c:valAx>
        <c:axId val="792696744"/>
        <c:scaling>
          <c:orientation val="minMax"/>
          <c:max val="43954"/>
          <c:min val="4384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697136"/>
        <c:crossesAt val="0.1"/>
        <c:crossBetween val="midCat"/>
        <c:majorUnit val="14"/>
        <c:minorUnit val="7"/>
      </c:valAx>
      <c:valAx>
        <c:axId val="792697136"/>
        <c:scaling>
          <c:logBase val="10"/>
          <c:orientation val="minMax"/>
          <c:max val="1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696744"/>
        <c:crosses val="autoZero"/>
        <c:crossBetween val="midCat"/>
      </c:valAx>
      <c:spPr>
        <a:noFill/>
        <a:ln>
          <a:noFill/>
        </a:ln>
        <a:effectLst/>
      </c:spPr>
    </c:plotArea>
    <c:legend>
      <c:legendPos val="b"/>
      <c:layout>
        <c:manualLayout>
          <c:xMode val="edge"/>
          <c:yMode val="edge"/>
          <c:x val="0.68069470563422496"/>
          <c:y val="0.15217392733426963"/>
          <c:w val="0.27157163892781083"/>
          <c:h val="0.71224728396721404"/>
        </c:manualLayout>
      </c:layout>
      <c:overlay val="0"/>
      <c:spPr>
        <a:solidFill>
          <a:schemeClr val="bg1">
            <a:alpha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myData!$EJ$12</c:f>
          <c:strCache>
            <c:ptCount val="1"/>
            <c:pt idx="0">
              <c:v>COVID19 NSW P(t) = b / {d+[( b/Po - d ) ]* exp(-b*t)}
b=0.234, d=7.88E-05, P0=.639, r2=0.9995, Limit=3.68 k=&gt;2.97 k cases 
 (Fit: Sat 25-Jan - Sun 03-May)</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9.1142658878072991E-2"/>
          <c:y val="0.17791892379594115"/>
          <c:w val="0.63923479000659555"/>
          <c:h val="0.68992130218377157"/>
        </c:manualLayout>
      </c:layout>
      <c:scatterChart>
        <c:scatterStyle val="lineMarker"/>
        <c:varyColors val="0"/>
        <c:ser>
          <c:idx val="11"/>
          <c:order val="0"/>
          <c:tx>
            <c:strRef>
              <c:f>myData!SingaporeLabel</c:f>
              <c:strCache>
                <c:ptCount val="1"/>
                <c:pt idx="0">
                  <c:v>Singapore from 14-Feb</c:v>
                </c:pt>
              </c:strCache>
            </c:strRef>
          </c:tx>
          <c:spPr>
            <a:ln w="19050" cap="rnd">
              <a:solidFill>
                <a:schemeClr val="bg1">
                  <a:lumMod val="50000"/>
                </a:schemeClr>
              </a:solidFill>
              <a:round/>
            </a:ln>
            <a:effectLst/>
          </c:spPr>
          <c:marker>
            <c:symbol val="x"/>
            <c:size val="3"/>
            <c:spPr>
              <a:noFill/>
              <a:ln w="9525">
                <a:solidFill>
                  <a:schemeClr val="bg1">
                    <a:lumMod val="50000"/>
                  </a:schemeClr>
                </a:solidFill>
              </a:ln>
              <a:effectLst/>
            </c:spPr>
          </c:marker>
          <c:dLbls>
            <c:dLbl>
              <c:idx val="19"/>
              <c:layout>
                <c:manualLayout>
                  <c:x val="-4.9388248790999144E-2"/>
                  <c:y val="-4.6956317334657147E-2"/>
                </c:manualLayout>
              </c:layout>
              <c:tx>
                <c:rich>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r>
                      <a:rPr lang="en-US" b="1"/>
                      <a:t>Singapore</a:t>
                    </a:r>
                  </a:p>
                </c:rich>
              </c:tx>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myData!Singapore100Dates</c:f>
              <c:numCache>
                <c:formatCode>0</c:formatCode>
                <c:ptCount val="9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90</c:v>
                </c:pt>
                <c:pt idx="84">
                  <c:v>97</c:v>
                </c:pt>
                <c:pt idx="85">
                  <c:v>104</c:v>
                </c:pt>
                <c:pt idx="86">
                  <c:v>111</c:v>
                </c:pt>
                <c:pt idx="87">
                  <c:v>118</c:v>
                </c:pt>
                <c:pt idx="88">
                  <c:v>125</c:v>
                </c:pt>
                <c:pt idx="89">
                  <c:v>132</c:v>
                </c:pt>
                <c:pt idx="90">
                  <c:v>139</c:v>
                </c:pt>
              </c:numCache>
            </c:numRef>
          </c:xVal>
          <c:yVal>
            <c:numRef>
              <c:f>myData!Singapore100Cases</c:f>
              <c:numCache>
                <c:formatCode>0.0</c:formatCode>
                <c:ptCount val="79"/>
                <c:pt idx="0">
                  <c:v>114.52991452991454</c:v>
                </c:pt>
                <c:pt idx="1">
                  <c:v>123.07692307692308</c:v>
                </c:pt>
                <c:pt idx="2">
                  <c:v>128.2051282051282</c:v>
                </c:pt>
                <c:pt idx="3">
                  <c:v>131.62393162393164</c:v>
                </c:pt>
                <c:pt idx="4">
                  <c:v>138.46153846153848</c:v>
                </c:pt>
                <c:pt idx="5">
                  <c:v>143.58974358974359</c:v>
                </c:pt>
                <c:pt idx="6">
                  <c:v>143.58974358974359</c:v>
                </c:pt>
                <c:pt idx="7">
                  <c:v>145.29914529914529</c:v>
                </c:pt>
                <c:pt idx="8">
                  <c:v>145.29914529914529</c:v>
                </c:pt>
                <c:pt idx="9">
                  <c:v>152.13675213675214</c:v>
                </c:pt>
                <c:pt idx="10">
                  <c:v>152.13675213675214</c:v>
                </c:pt>
                <c:pt idx="11">
                  <c:v>155.55555555555557</c:v>
                </c:pt>
                <c:pt idx="12">
                  <c:v>158.97435897435898</c:v>
                </c:pt>
                <c:pt idx="13">
                  <c:v>158.97435897435898</c:v>
                </c:pt>
                <c:pt idx="14">
                  <c:v>158.97435897435898</c:v>
                </c:pt>
                <c:pt idx="15">
                  <c:v>174.35897435897436</c:v>
                </c:pt>
                <c:pt idx="16">
                  <c:v>181.19658119658121</c:v>
                </c:pt>
                <c:pt idx="17">
                  <c:v>184.61538461538461</c:v>
                </c:pt>
                <c:pt idx="18">
                  <c:v>188.03418803418805</c:v>
                </c:pt>
                <c:pt idx="19">
                  <c:v>188.03418803418805</c:v>
                </c:pt>
                <c:pt idx="20">
                  <c:v>200</c:v>
                </c:pt>
                <c:pt idx="21">
                  <c:v>222.22222222222223</c:v>
                </c:pt>
                <c:pt idx="22">
                  <c:v>235.89743589743591</c:v>
                </c:pt>
                <c:pt idx="23">
                  <c:v>256.41025641025641</c:v>
                </c:pt>
                <c:pt idx="24">
                  <c:v>256.41025641025641</c:v>
                </c:pt>
                <c:pt idx="25">
                  <c:v>273.5042735042735</c:v>
                </c:pt>
                <c:pt idx="26">
                  <c:v>304.27350427350427</c:v>
                </c:pt>
                <c:pt idx="27">
                  <c:v>304.27350427350427</c:v>
                </c:pt>
                <c:pt idx="28">
                  <c:v>341.88034188034192</c:v>
                </c:pt>
                <c:pt idx="29">
                  <c:v>362.39316239316241</c:v>
                </c:pt>
                <c:pt idx="30">
                  <c:v>386.32478632478637</c:v>
                </c:pt>
                <c:pt idx="31">
                  <c:v>415.38461538461542</c:v>
                </c:pt>
                <c:pt idx="32">
                  <c:v>454.70085470085473</c:v>
                </c:pt>
                <c:pt idx="33">
                  <c:v>535.0427350427351</c:v>
                </c:pt>
                <c:pt idx="34">
                  <c:v>589.74358974358972</c:v>
                </c:pt>
                <c:pt idx="35">
                  <c:v>658.1196581196582</c:v>
                </c:pt>
                <c:pt idx="36">
                  <c:v>738.46153846153845</c:v>
                </c:pt>
                <c:pt idx="37">
                  <c:v>777.77777777777783</c:v>
                </c:pt>
                <c:pt idx="38">
                  <c:v>870.08547008547009</c:v>
                </c:pt>
                <c:pt idx="39">
                  <c:v>953.84615384615392</c:v>
                </c:pt>
                <c:pt idx="40">
                  <c:v>1078.6324786324788</c:v>
                </c:pt>
                <c:pt idx="41">
                  <c:v>1167.5213675213677</c:v>
                </c:pt>
                <c:pt idx="42">
                  <c:v>1251.2820512820513</c:v>
                </c:pt>
                <c:pt idx="43">
                  <c:v>1370.9401709401711</c:v>
                </c:pt>
                <c:pt idx="44">
                  <c:v>1442.7350427350427</c:v>
                </c:pt>
                <c:pt idx="45">
                  <c:v>1502.5641025641028</c:v>
                </c:pt>
                <c:pt idx="46">
                  <c:v>1582.9059829059829</c:v>
                </c:pt>
                <c:pt idx="47">
                  <c:v>1709.4017094017095</c:v>
                </c:pt>
                <c:pt idx="48">
                  <c:v>1793.1623931623933</c:v>
                </c:pt>
                <c:pt idx="49">
                  <c:v>1904.2735042735044</c:v>
                </c:pt>
                <c:pt idx="50">
                  <c:v>2032.4786324786326</c:v>
                </c:pt>
                <c:pt idx="51">
                  <c:v>2237.6068376068379</c:v>
                </c:pt>
                <c:pt idx="52">
                  <c:v>2350.4273504273506</c:v>
                </c:pt>
                <c:pt idx="53">
                  <c:v>2531.6239316239316</c:v>
                </c:pt>
                <c:pt idx="54">
                  <c:v>2774.3589743589746</c:v>
                </c:pt>
                <c:pt idx="55">
                  <c:v>3264.9572649572651</c:v>
                </c:pt>
                <c:pt idx="56">
                  <c:v>3603.4188034188037</c:v>
                </c:pt>
                <c:pt idx="57">
                  <c:v>3929.9145299145302</c:v>
                </c:pt>
                <c:pt idx="58" formatCode="0">
                  <c:v>4328.2051282051289</c:v>
                </c:pt>
                <c:pt idx="59" formatCode="0">
                  <c:v>4988.0341880341884</c:v>
                </c:pt>
                <c:pt idx="60" formatCode="0">
                  <c:v>5558.9743589743593</c:v>
                </c:pt>
                <c:pt idx="61" formatCode="0">
                  <c:v>6323.0769230769238</c:v>
                </c:pt>
                <c:pt idx="62" formatCode="0">
                  <c:v>7567.5213675213681</c:v>
                </c:pt>
                <c:pt idx="63" formatCode="0">
                  <c:v>8632.4786324786328</c:v>
                </c:pt>
                <c:pt idx="64" formatCode="0">
                  <c:v>10242.735042735043</c:v>
                </c:pt>
                <c:pt idx="65" formatCode="0">
                  <c:v>11261.538461538463</c:v>
                </c:pt>
                <c:pt idx="66" formatCode="0">
                  <c:v>13699.145299145301</c:v>
                </c:pt>
                <c:pt idx="67" formatCode="0">
                  <c:v>15598.2905982906</c:v>
                </c:pt>
                <c:pt idx="68">
                  <c:v>17335.042735042734</c:v>
                </c:pt>
                <c:pt idx="69">
                  <c:v>19107.692307692309</c:v>
                </c:pt>
                <c:pt idx="70">
                  <c:v>20641.025641025641</c:v>
                </c:pt>
                <c:pt idx="71">
                  <c:v>21697.435897435898</c:v>
                </c:pt>
                <c:pt idx="72">
                  <c:v>23288.888888888891</c:v>
                </c:pt>
                <c:pt idx="73">
                  <c:v>24654.700854700855</c:v>
                </c:pt>
                <c:pt idx="74">
                  <c:v>25557.264957264957</c:v>
                </c:pt>
                <c:pt idx="75">
                  <c:v>26736.752136752137</c:v>
                </c:pt>
                <c:pt idx="76">
                  <c:v>27639.316239316242</c:v>
                </c:pt>
                <c:pt idx="77">
                  <c:v>29232.478632478633</c:v>
                </c:pt>
                <c:pt idx="78">
                  <c:v>29996.581196581199</c:v>
                </c:pt>
              </c:numCache>
            </c:numRef>
          </c:yVal>
          <c:smooth val="0"/>
        </c:ser>
        <c:ser>
          <c:idx val="8"/>
          <c:order val="1"/>
          <c:tx>
            <c:strRef>
              <c:f>myData!SingaporeSeries</c:f>
              <c:strCache>
                <c:ptCount val="1"/>
                <c:pt idx="0">
                  <c:v>Singapore Limit 60.7 k r^2=97.39%</c:v>
                </c:pt>
              </c:strCache>
            </c:strRef>
          </c:tx>
          <c:spPr>
            <a:ln w="12700" cap="rnd">
              <a:solidFill>
                <a:schemeClr val="bg1">
                  <a:lumMod val="50000"/>
                </a:schemeClr>
              </a:solidFill>
              <a:prstDash val="sysDash"/>
              <a:round/>
            </a:ln>
            <a:effectLst/>
          </c:spPr>
          <c:marker>
            <c:symbol val="none"/>
          </c:marker>
          <c:dLbls>
            <c:dLbl>
              <c:idx val="68"/>
              <c:tx>
                <c:rich>
                  <a:bodyPr/>
                  <a:lstStyle/>
                  <a:p>
                    <a:r>
                      <a:rPr lang="en-US"/>
                      <a:t>SKorea</a:t>
                    </a:r>
                  </a:p>
                </c:rich>
              </c:tx>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myData!Singapore100LogiDates</c:f>
              <c:numCache>
                <c:formatCode>0</c:formatCode>
                <c:ptCount val="9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90</c:v>
                </c:pt>
                <c:pt idx="84">
                  <c:v>97</c:v>
                </c:pt>
                <c:pt idx="85">
                  <c:v>104</c:v>
                </c:pt>
                <c:pt idx="86">
                  <c:v>111</c:v>
                </c:pt>
                <c:pt idx="87">
                  <c:v>118</c:v>
                </c:pt>
                <c:pt idx="88">
                  <c:v>125</c:v>
                </c:pt>
                <c:pt idx="89">
                  <c:v>132</c:v>
                </c:pt>
                <c:pt idx="90">
                  <c:v>139</c:v>
                </c:pt>
              </c:numCache>
            </c:numRef>
          </c:xVal>
          <c:yVal>
            <c:numRef>
              <c:f>myData!Singapore100Logi</c:f>
              <c:numCache>
                <c:formatCode>0.0</c:formatCode>
                <c:ptCount val="91"/>
                <c:pt idx="0">
                  <c:v>3.3097669781008117</c:v>
                </c:pt>
                <c:pt idx="1">
                  <c:v>3.7527000190432296</c:v>
                </c:pt>
                <c:pt idx="2">
                  <c:v>4.2549048849927722</c:v>
                </c:pt>
                <c:pt idx="3">
                  <c:v>4.8243119479855894</c:v>
                </c:pt>
                <c:pt idx="4">
                  <c:v>5.4699122985858653</c:v>
                </c:pt>
                <c:pt idx="5">
                  <c:v>6.2018995244440198</c:v>
                </c:pt>
                <c:pt idx="6">
                  <c:v>7.0318304117443367</c:v>
                </c:pt>
                <c:pt idx="7">
                  <c:v>7.9728070872497385</c:v>
                </c:pt>
                <c:pt idx="8">
                  <c:v>9.0396834513787621</c:v>
                </c:pt>
                <c:pt idx="9">
                  <c:v>10.249299128801972</c:v>
                </c:pt>
                <c:pt idx="10">
                  <c:v>11.62074458787766</c:v>
                </c:pt>
                <c:pt idx="11">
                  <c:v>13.175661559947139</c:v>
                </c:pt>
                <c:pt idx="12">
                  <c:v>14.938583430856303</c:v>
                </c:pt>
                <c:pt idx="13">
                  <c:v>16.937320887585265</c:v>
                </c:pt>
                <c:pt idx="14">
                  <c:v>19.203398790878076</c:v>
                </c:pt>
                <c:pt idx="15">
                  <c:v>21.772551019443043</c:v>
                </c:pt>
                <c:pt idx="16">
                  <c:v>24.685280902707401</c:v>
                </c:pt>
                <c:pt idx="17">
                  <c:v>27.987495838233276</c:v>
                </c:pt>
                <c:pt idx="18">
                  <c:v>31.731225788628574</c:v>
                </c:pt>
                <c:pt idx="19">
                  <c:v>35.975436583885227</c:v>
                </c:pt>
                <c:pt idx="20">
                  <c:v>40.786950332122792</c:v>
                </c:pt>
                <c:pt idx="21">
                  <c:v>46.241486778926813</c:v>
                </c:pt>
                <c:pt idx="22">
                  <c:v>52.424841167493959</c:v>
                </c:pt>
                <c:pt idx="23">
                  <c:v>59.434216053331937</c:v>
                </c:pt>
                <c:pt idx="24">
                  <c:v>67.379726632562281</c:v>
                </c:pt>
                <c:pt idx="25">
                  <c:v>76.386101465023444</c:v>
                </c:pt>
                <c:pt idx="26">
                  <c:v>86.594603023271446</c:v>
                </c:pt>
                <c:pt idx="27">
                  <c:v>98.16519528362582</c:v>
                </c:pt>
                <c:pt idx="28">
                  <c:v>111.27898859767242</c:v>
                </c:pt>
                <c:pt idx="29">
                  <c:v>126.14099533646683</c:v>
                </c:pt>
                <c:pt idx="30">
                  <c:v>142.98323326860009</c:v>
                </c:pt>
                <c:pt idx="31">
                  <c:v>162.06821728588349</c:v>
                </c:pt>
                <c:pt idx="32">
                  <c:v>183.69288387513714</c:v>
                </c:pt>
                <c:pt idx="33">
                  <c:v>208.19299657301141</c:v>
                </c:pt>
                <c:pt idx="34">
                  <c:v>235.94808441917743</c:v>
                </c:pt>
                <c:pt idx="35">
                  <c:v>267.38696898176227</c:v>
                </c:pt>
                <c:pt idx="36">
                  <c:v>302.993938648393</c:v>
                </c:pt>
                <c:pt idx="37">
                  <c:v>343.31563126160341</c:v>
                </c:pt>
                <c:pt idx="38">
                  <c:v>388.96868743765293</c:v>
                </c:pt>
                <c:pt idx="39">
                  <c:v>440.64823653188995</c:v>
                </c:pt>
                <c:pt idx="40">
                  <c:v>499.1372745415926</c:v>
                </c:pt>
                <c:pt idx="41">
                  <c:v>565.3169874264571</c:v>
                </c:pt>
                <c:pt idx="42">
                  <c:v>640.17806331505312</c:v>
                </c:pt>
                <c:pt idx="43">
                  <c:v>724.83302152858403</c:v>
                </c:pt>
                <c:pt idx="44">
                  <c:v>820.52956366223839</c:v>
                </c:pt>
                <c:pt idx="45">
                  <c:v>928.66492014428968</c:v>
                </c:pt>
                <c:pt idx="46">
                  <c:v>1050.8011223887431</c:v>
                </c:pt>
                <c:pt idx="47">
                  <c:v>1188.6810731156438</c:v>
                </c:pt>
                <c:pt idx="48">
                  <c:v>1344.2452124953845</c:v>
                </c:pt>
                <c:pt idx="49">
                  <c:v>1519.6484820142061</c:v>
                </c:pt>
                <c:pt idx="50">
                  <c:v>1717.2771677006065</c:v>
                </c:pt>
                <c:pt idx="51">
                  <c:v>1939.7650559889198</c:v>
                </c:pt>
                <c:pt idx="52">
                  <c:v>2190.008155861382</c:v>
                </c:pt>
                <c:pt idx="53">
                  <c:v>2471.1770278754029</c:v>
                </c:pt>
                <c:pt idx="54">
                  <c:v>2786.7255140086477</c:v>
                </c:pt>
                <c:pt idx="55">
                  <c:v>3140.3943847564333</c:v>
                </c:pt>
                <c:pt idx="56">
                  <c:v>3536.2081189780988</c:v>
                </c:pt>
                <c:pt idx="57">
                  <c:v>3978.4627214317843</c:v>
                </c:pt>
                <c:pt idx="58">
                  <c:v>4471.7021851649042</c:v>
                </c:pt>
                <c:pt idx="59">
                  <c:v>5020.6809541685288</c:v>
                </c:pt>
                <c:pt idx="60">
                  <c:v>5630.3095819887285</c:v>
                </c:pt>
                <c:pt idx="61">
                  <c:v>6305.5807742803954</c:v>
                </c:pt>
                <c:pt idx="62">
                  <c:v>7051.4732209110016</c:v>
                </c:pt>
                <c:pt idx="63">
                  <c:v>7872.8311494742966</c:v>
                </c:pt>
                <c:pt idx="64">
                  <c:v>8774.2184527636891</c:v>
                </c:pt>
                <c:pt idx="65">
                  <c:v>9759.747633459172</c:v>
                </c:pt>
                <c:pt idx="66">
                  <c:v>10832.885716686174</c:v>
                </c:pt>
                <c:pt idx="67">
                  <c:v>11996.241698920954</c:v>
                </c:pt>
                <c:pt idx="68">
                  <c:v>13251.342943642769</c:v>
                </c:pt>
                <c:pt idx="69">
                  <c:v>14598.411008870913</c:v>
                </c:pt>
                <c:pt idx="70">
                  <c:v>16036.150387927775</c:v>
                </c:pt>
                <c:pt idx="71">
                  <c:v>17561.566135752069</c:v>
                </c:pt>
                <c:pt idx="72">
                  <c:v>19169.827830982562</c:v>
                </c:pt>
                <c:pt idx="73">
                  <c:v>20854.197269265806</c:v>
                </c:pt>
                <c:pt idx="74">
                  <c:v>22606.035266757171</c:v>
                </c:pt>
                <c:pt idx="75">
                  <c:v>24414.898756474951</c:v>
                </c:pt>
                <c:pt idx="76">
                  <c:v>26268.733088088131</c:v>
                </c:pt>
                <c:pt idx="77">
                  <c:v>28154.156586446399</c:v>
                </c:pt>
                <c:pt idx="78">
                  <c:v>30056.825854664236</c:v>
                </c:pt>
                <c:pt idx="79">
                  <c:v>31961.862160437533</c:v>
                </c:pt>
                <c:pt idx="80">
                  <c:v>33854.31272765249</c:v>
                </c:pt>
                <c:pt idx="81">
                  <c:v>35719.616905838644</c:v>
                </c:pt>
                <c:pt idx="82">
                  <c:v>37544.046645102382</c:v>
                </c:pt>
                <c:pt idx="83">
                  <c:v>48332.963371186241</c:v>
                </c:pt>
                <c:pt idx="84">
                  <c:v>54879.296483850951</c:v>
                </c:pt>
                <c:pt idx="85">
                  <c:v>58148.532235244347</c:v>
                </c:pt>
                <c:pt idx="86">
                  <c:v>59622.892266281502</c:v>
                </c:pt>
                <c:pt idx="87">
                  <c:v>60257.091573028745</c:v>
                </c:pt>
                <c:pt idx="88">
                  <c:v>60524.327906229548</c:v>
                </c:pt>
                <c:pt idx="89">
                  <c:v>60635.955192486144</c:v>
                </c:pt>
                <c:pt idx="90">
                  <c:v>60682.412713966558</c:v>
                </c:pt>
              </c:numCache>
            </c:numRef>
          </c:yVal>
          <c:smooth val="0"/>
        </c:ser>
        <c:ser>
          <c:idx val="7"/>
          <c:order val="2"/>
          <c:tx>
            <c:strRef>
              <c:f>myData!SKoreaLabel</c:f>
              <c:strCache>
                <c:ptCount val="1"/>
                <c:pt idx="0">
                  <c:v>South Korea from 23-Feb</c:v>
                </c:pt>
              </c:strCache>
            </c:strRef>
          </c:tx>
          <c:spPr>
            <a:ln w="19050" cap="rnd">
              <a:solidFill>
                <a:schemeClr val="accent2">
                  <a:lumMod val="60000"/>
                </a:schemeClr>
              </a:solidFill>
              <a:round/>
            </a:ln>
            <a:effectLst/>
          </c:spPr>
          <c:marker>
            <c:symbol val="x"/>
            <c:size val="4"/>
            <c:spPr>
              <a:noFill/>
              <a:ln w="9525">
                <a:solidFill>
                  <a:schemeClr val="accent4">
                    <a:lumMod val="60000"/>
                  </a:schemeClr>
                </a:solidFill>
              </a:ln>
              <a:effectLst/>
            </c:spPr>
          </c:marker>
          <c:dLbls>
            <c:dLbl>
              <c:idx val="38"/>
              <c:layout>
                <c:manualLayout>
                  <c:x val="-5.3866332092285862E-2"/>
                  <c:y val="4.1752829822698415E-2"/>
                </c:manualLayout>
              </c:layout>
              <c:tx>
                <c:rich>
                  <a:bodyPr/>
                  <a:lstStyle/>
                  <a:p>
                    <a:r>
                      <a:rPr lang="en-US"/>
                      <a:t>SKorea</a:t>
                    </a:r>
                  </a:p>
                </c:rich>
              </c:tx>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accent2">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myData!SKorea100Dates</c:f>
              <c:numCache>
                <c:formatCode>0</c:formatCode>
                <c:ptCount val="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formatCode="0.0">
                  <c:v>73</c:v>
                </c:pt>
                <c:pt idx="73" formatCode="0.0">
                  <c:v>74</c:v>
                </c:pt>
                <c:pt idx="74" formatCode="0.0">
                  <c:v>81</c:v>
                </c:pt>
                <c:pt idx="75">
                  <c:v>88</c:v>
                </c:pt>
                <c:pt idx="76">
                  <c:v>95</c:v>
                </c:pt>
                <c:pt idx="77">
                  <c:v>102</c:v>
                </c:pt>
                <c:pt idx="78" formatCode="0.0">
                  <c:v>109</c:v>
                </c:pt>
                <c:pt idx="79" formatCode="0.0">
                  <c:v>116</c:v>
                </c:pt>
                <c:pt idx="80" formatCode="0.0">
                  <c:v>123</c:v>
                </c:pt>
                <c:pt idx="81" formatCode="0.0">
                  <c:v>130</c:v>
                </c:pt>
              </c:numCache>
            </c:numRef>
          </c:xVal>
          <c:yVal>
            <c:numRef>
              <c:f>myData!SKorea100Cases</c:f>
              <c:numCache>
                <c:formatCode>0.0</c:formatCode>
                <c:ptCount val="70"/>
                <c:pt idx="0">
                  <c:v>117.1206225680934</c:v>
                </c:pt>
                <c:pt idx="1">
                  <c:v>162.06225680933852</c:v>
                </c:pt>
                <c:pt idx="2">
                  <c:v>190.07782101167317</c:v>
                </c:pt>
                <c:pt idx="3">
                  <c:v>245.33073929961091</c:v>
                </c:pt>
                <c:pt idx="4">
                  <c:v>343.579766536965</c:v>
                </c:pt>
                <c:pt idx="5">
                  <c:v>454.66926070038915</c:v>
                </c:pt>
                <c:pt idx="6">
                  <c:v>612.84046692607012</c:v>
                </c:pt>
                <c:pt idx="7">
                  <c:v>726.84824902723744</c:v>
                </c:pt>
                <c:pt idx="8">
                  <c:v>843.38521400778211</c:v>
                </c:pt>
                <c:pt idx="9">
                  <c:v>1008.9494163424125</c:v>
                </c:pt>
                <c:pt idx="10">
                  <c:v>1093.5797665369651</c:v>
                </c:pt>
                <c:pt idx="11">
                  <c:v>1184.4357976653698</c:v>
                </c:pt>
                <c:pt idx="12">
                  <c:v>1282.6848249027239</c:v>
                </c:pt>
                <c:pt idx="13">
                  <c:v>1369.8443579766538</c:v>
                </c:pt>
                <c:pt idx="14">
                  <c:v>1422.95719844358</c:v>
                </c:pt>
                <c:pt idx="15">
                  <c:v>1454.8638132295721</c:v>
                </c:pt>
                <c:pt idx="16">
                  <c:v>1461.6731517509729</c:v>
                </c:pt>
                <c:pt idx="17">
                  <c:v>1508.7548638132296</c:v>
                </c:pt>
                <c:pt idx="18">
                  <c:v>1530.933852140078</c:v>
                </c:pt>
                <c:pt idx="19">
                  <c:v>1552.3346303501946</c:v>
                </c:pt>
                <c:pt idx="20">
                  <c:v>1573.1517509727628</c:v>
                </c:pt>
                <c:pt idx="21">
                  <c:v>1587.9377431906616</c:v>
                </c:pt>
                <c:pt idx="22">
                  <c:v>1602.3346303501946</c:v>
                </c:pt>
                <c:pt idx="23">
                  <c:v>1618.6770428015566</c:v>
                </c:pt>
                <c:pt idx="24">
                  <c:v>1636.7704280155642</c:v>
                </c:pt>
                <c:pt idx="25">
                  <c:v>1666.342412451362</c:v>
                </c:pt>
                <c:pt idx="26">
                  <c:v>1683.2684824902724</c:v>
                </c:pt>
                <c:pt idx="27">
                  <c:v>1711.8677042801557</c:v>
                </c:pt>
                <c:pt idx="28">
                  <c:v>1743.3852140077822</c:v>
                </c:pt>
                <c:pt idx="29">
                  <c:v>1743.3852140077822</c:v>
                </c:pt>
                <c:pt idx="30">
                  <c:v>1758.1712062256811</c:v>
                </c:pt>
                <c:pt idx="31">
                  <c:v>1777.626459143969</c:v>
                </c:pt>
                <c:pt idx="32">
                  <c:v>1797.8599221789884</c:v>
                </c:pt>
                <c:pt idx="33">
                  <c:v>1815.5642023346304</c:v>
                </c:pt>
                <c:pt idx="34">
                  <c:v>1843.9688715953309</c:v>
                </c:pt>
                <c:pt idx="35">
                  <c:v>1864.3968871595332</c:v>
                </c:pt>
                <c:pt idx="36">
                  <c:v>1879.5719844357977</c:v>
                </c:pt>
                <c:pt idx="37">
                  <c:v>1903.8910505836577</c:v>
                </c:pt>
                <c:pt idx="38">
                  <c:v>1923.5408560311284</c:v>
                </c:pt>
                <c:pt idx="39">
                  <c:v>1940.8560311284048</c:v>
                </c:pt>
                <c:pt idx="40">
                  <c:v>1957.5875486381324</c:v>
                </c:pt>
                <c:pt idx="41">
                  <c:v>1975.8754863813231</c:v>
                </c:pt>
                <c:pt idx="42">
                  <c:v>1991.6342412451363</c:v>
                </c:pt>
                <c:pt idx="43">
                  <c:v>2000.7782101167315</c:v>
                </c:pt>
                <c:pt idx="44">
                  <c:v>2009.922178988327</c:v>
                </c:pt>
                <c:pt idx="45">
                  <c:v>2020.2334630350197</c:v>
                </c:pt>
                <c:pt idx="46">
                  <c:v>2027.8210116731518</c:v>
                </c:pt>
                <c:pt idx="47">
                  <c:v>2033.0739299610896</c:v>
                </c:pt>
                <c:pt idx="48">
                  <c:v>2038.910505836576</c:v>
                </c:pt>
                <c:pt idx="49">
                  <c:v>2045.1361867704281</c:v>
                </c:pt>
                <c:pt idx="50">
                  <c:v>2050</c:v>
                </c:pt>
                <c:pt idx="51">
                  <c:v>2055.252918287938</c:v>
                </c:pt>
                <c:pt idx="52">
                  <c:v>2060.5058365758755</c:v>
                </c:pt>
                <c:pt idx="53">
                  <c:v>2064.7859922178991</c:v>
                </c:pt>
                <c:pt idx="54">
                  <c:v>2069.0661478599222</c:v>
                </c:pt>
                <c:pt idx="55">
                  <c:v>2072.5680933852141</c:v>
                </c:pt>
                <c:pt idx="56">
                  <c:v>2074.1245136186772</c:v>
                </c:pt>
                <c:pt idx="57">
                  <c:v>2076.6536964980546</c:v>
                </c:pt>
                <c:pt idx="58">
                  <c:v>2078.4046692607003</c:v>
                </c:pt>
                <c:pt idx="59">
                  <c:v>2080.5447470817121</c:v>
                </c:pt>
                <c:pt idx="60">
                  <c:v>2083.2684824902726</c:v>
                </c:pt>
                <c:pt idx="61">
                  <c:v>2085.2140077821014</c:v>
                </c:pt>
                <c:pt idx="62">
                  <c:v>2087.1595330739301</c:v>
                </c:pt>
                <c:pt idx="63">
                  <c:v>2089.1050583657589</c:v>
                </c:pt>
                <c:pt idx="64">
                  <c:v>2091.8287937743194</c:v>
                </c:pt>
                <c:pt idx="65">
                  <c:v>2093.5797665369651</c:v>
                </c:pt>
                <c:pt idx="66">
                  <c:v>2094.3579766536968</c:v>
                </c:pt>
                <c:pt idx="67">
                  <c:v>2096.1089494163425</c:v>
                </c:pt>
                <c:pt idx="68">
                  <c:v>2097.2762645914399</c:v>
                </c:pt>
                <c:pt idx="69">
                  <c:v>2099.8054474708174</c:v>
                </c:pt>
              </c:numCache>
            </c:numRef>
          </c:yVal>
          <c:smooth val="0"/>
        </c:ser>
        <c:ser>
          <c:idx val="9"/>
          <c:order val="3"/>
          <c:tx>
            <c:strRef>
              <c:f>myData!SKoreaSeries</c:f>
              <c:strCache>
                <c:ptCount val="1"/>
                <c:pt idx="0">
                  <c:v>South Korea Limit 1.99 k r^2=98.75%</c:v>
                </c:pt>
              </c:strCache>
            </c:strRef>
          </c:tx>
          <c:spPr>
            <a:ln w="15875" cap="rnd">
              <a:solidFill>
                <a:schemeClr val="accent4">
                  <a:lumMod val="60000"/>
                </a:schemeClr>
              </a:solidFill>
              <a:prstDash val="sysDot"/>
              <a:round/>
            </a:ln>
            <a:effectLst/>
          </c:spPr>
          <c:marker>
            <c:symbol val="none"/>
          </c:marker>
          <c:xVal>
            <c:numRef>
              <c:f>myData!SKorea100LogiDates</c:f>
              <c:numCache>
                <c:formatCode>0</c:formatCode>
                <c:ptCount val="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formatCode="0.0">
                  <c:v>73</c:v>
                </c:pt>
                <c:pt idx="73" formatCode="0.0">
                  <c:v>74</c:v>
                </c:pt>
                <c:pt idx="74" formatCode="0.0">
                  <c:v>81</c:v>
                </c:pt>
                <c:pt idx="75">
                  <c:v>88</c:v>
                </c:pt>
                <c:pt idx="76">
                  <c:v>95</c:v>
                </c:pt>
                <c:pt idx="77">
                  <c:v>102</c:v>
                </c:pt>
                <c:pt idx="78" formatCode="0.0">
                  <c:v>109</c:v>
                </c:pt>
                <c:pt idx="79" formatCode="0.0">
                  <c:v>116</c:v>
                </c:pt>
                <c:pt idx="80" formatCode="0.0">
                  <c:v>123</c:v>
                </c:pt>
                <c:pt idx="81" formatCode="0.0">
                  <c:v>130</c:v>
                </c:pt>
              </c:numCache>
            </c:numRef>
          </c:xVal>
          <c:yVal>
            <c:numRef>
              <c:f>myData!SKorea100Logi</c:f>
              <c:numCache>
                <c:formatCode>0.0</c:formatCode>
                <c:ptCount val="82"/>
                <c:pt idx="0">
                  <c:v>254.69643905109643</c:v>
                </c:pt>
                <c:pt idx="1">
                  <c:v>296.74607217588897</c:v>
                </c:pt>
                <c:pt idx="2">
                  <c:v>344.36118494805879</c:v>
                </c:pt>
                <c:pt idx="3">
                  <c:v>397.8226178429897</c:v>
                </c:pt>
                <c:pt idx="4">
                  <c:v>457.27907315312348</c:v>
                </c:pt>
                <c:pt idx="5">
                  <c:v>522.70630863791064</c:v>
                </c:pt>
                <c:pt idx="6">
                  <c:v>593.8702697075388</c:v>
                </c:pt>
                <c:pt idx="7">
                  <c:v>670.30010921559074</c:v>
                </c:pt>
                <c:pt idx="8">
                  <c:v>751.27734378847913</c:v>
                </c:pt>
                <c:pt idx="9">
                  <c:v>835.84638466633533</c:v>
                </c:pt>
                <c:pt idx="10">
                  <c:v>922.84916299760357</c:v>
                </c:pt>
                <c:pt idx="11">
                  <c:v>1010.982802982084</c:v>
                </c:pt>
                <c:pt idx="12">
                  <c:v>1098.87505340558</c:v>
                </c:pt>
                <c:pt idx="13">
                  <c:v>1185.1685828949983</c:v>
                </c:pt>
                <c:pt idx="14">
                  <c:v>1268.603349977923</c:v>
                </c:pt>
                <c:pt idx="15">
                  <c:v>1348.0866754988899</c:v>
                </c:pt>
                <c:pt idx="16">
                  <c:v>1422.7432383760945</c:v>
                </c:pt>
                <c:pt idx="17">
                  <c:v>1491.9411777337341</c:v>
                </c:pt>
                <c:pt idx="18">
                  <c:v>1555.2946762715164</c:v>
                </c:pt>
                <c:pt idx="19">
                  <c:v>1612.6467921408887</c:v>
                </c:pt>
                <c:pt idx="20">
                  <c:v>1664.0383003295658</c:v>
                </c:pt>
                <c:pt idx="21">
                  <c:v>1709.6688165858886</c:v>
                </c:pt>
                <c:pt idx="22">
                  <c:v>1749.8558193010992</c:v>
                </c:pt>
                <c:pt idx="23">
                  <c:v>1784.995848818307</c:v>
                </c:pt>
                <c:pt idx="24">
                  <c:v>1815.5306235507221</c:v>
                </c:pt>
                <c:pt idx="25">
                  <c:v>1841.9194100941224</c:v>
                </c:pt>
                <c:pt idx="26">
                  <c:v>1864.6179005792389</c:v>
                </c:pt>
                <c:pt idx="27">
                  <c:v>1884.0631307644464</c:v>
                </c:pt>
                <c:pt idx="28">
                  <c:v>1900.6635775757175</c:v>
                </c:pt>
                <c:pt idx="29">
                  <c:v>1914.7934272137225</c:v>
                </c:pt>
                <c:pt idx="30">
                  <c:v>1926.7900212373675</c:v>
                </c:pt>
                <c:pt idx="31">
                  <c:v>1936.9535971780681</c:v>
                </c:pt>
                <c:pt idx="32">
                  <c:v>1945.5485899450921</c:v>
                </c:pt>
                <c:pt idx="33">
                  <c:v>1952.8059165268937</c:v>
                </c:pt>
                <c:pt idx="34">
                  <c:v>1958.925809952899</c:v>
                </c:pt>
                <c:pt idx="35">
                  <c:v>1964.0808902328693</c:v>
                </c:pt>
                <c:pt idx="36">
                  <c:v>1968.419257708503</c:v>
                </c:pt>
                <c:pt idx="37">
                  <c:v>1972.0674693120775</c:v>
                </c:pt>
                <c:pt idx="38">
                  <c:v>1975.1333137512049</c:v>
                </c:pt>
                <c:pt idx="39">
                  <c:v>1977.7083412831498</c:v>
                </c:pt>
                <c:pt idx="40">
                  <c:v>1979.8701310277763</c:v>
                </c:pt>
                <c:pt idx="41">
                  <c:v>1981.6842967659679</c:v>
                </c:pt>
                <c:pt idx="42">
                  <c:v>1983.2062433971976</c:v>
                </c:pt>
                <c:pt idx="43">
                  <c:v>1984.4826926607625</c:v>
                </c:pt>
                <c:pt idx="44">
                  <c:v>1985.5529998582801</c:v>
                </c:pt>
                <c:pt idx="45">
                  <c:v>1986.4502842563377</c:v>
                </c:pt>
                <c:pt idx="46">
                  <c:v>1987.2023953940397</c:v>
                </c:pt>
                <c:pt idx="47">
                  <c:v>1987.8327362308569</c:v>
                </c:pt>
                <c:pt idx="48">
                  <c:v>1988.3609623302725</c:v>
                </c:pt>
                <c:pt idx="49">
                  <c:v>1988.8035743410901</c:v>
                </c:pt>
                <c:pt idx="50">
                  <c:v>1989.1744190765799</c:v>
                </c:pt>
                <c:pt idx="51">
                  <c:v>1989.4851126039287</c:v>
                </c:pt>
                <c:pt idx="52">
                  <c:v>1989.745397000903</c:v>
                </c:pt>
                <c:pt idx="53">
                  <c:v>1989.9634408422226</c:v>
                </c:pt>
                <c:pt idx="54">
                  <c:v>1990.146092054774</c:v>
                </c:pt>
                <c:pt idx="55">
                  <c:v>1990.2990905263268</c:v>
                </c:pt>
                <c:pt idx="56">
                  <c:v>1990.4272467577271</c:v>
                </c:pt>
                <c:pt idx="57">
                  <c:v>1990.5345919006045</c:v>
                </c:pt>
                <c:pt idx="58">
                  <c:v>1990.6245037067431</c:v>
                </c:pt>
                <c:pt idx="59">
                  <c:v>1990.6998122165287</c:v>
                </c:pt>
                <c:pt idx="60">
                  <c:v>1990.762888417742</c:v>
                </c:pt>
                <c:pt idx="61">
                  <c:v>1990.8157185990644</c:v>
                </c:pt>
                <c:pt idx="62">
                  <c:v>1990.8599666927098</c:v>
                </c:pt>
                <c:pt idx="63">
                  <c:v>1990.8970265367409</c:v>
                </c:pt>
                <c:pt idx="64">
                  <c:v>1990.9280656801971</c:v>
                </c:pt>
                <c:pt idx="65">
                  <c:v>1990.9540620948464</c:v>
                </c:pt>
                <c:pt idx="66">
                  <c:v>1990.975834938866</c:v>
                </c:pt>
                <c:pt idx="67">
                  <c:v>1990.9940703338266</c:v>
                </c:pt>
                <c:pt idx="68">
                  <c:v>1991.0093429616627</c:v>
                </c:pt>
                <c:pt idx="69">
                  <c:v>1991.0221341583265</c:v>
                </c:pt>
                <c:pt idx="70">
                  <c:v>1991.0328470715945</c:v>
                </c:pt>
                <c:pt idx="71">
                  <c:v>1991.0418193588296</c:v>
                </c:pt>
                <c:pt idx="72">
                  <c:v>1991.0493338235597</c:v>
                </c:pt>
                <c:pt idx="73">
                  <c:v>1991.0556273251748</c:v>
                </c:pt>
                <c:pt idx="74">
                  <c:v>1991.0786907017034</c:v>
                </c:pt>
                <c:pt idx="75">
                  <c:v>1991.0853567487459</c:v>
                </c:pt>
                <c:pt idx="76">
                  <c:v>1991.0872834272357</c:v>
                </c:pt>
                <c:pt idx="77">
                  <c:v>1991.087840290784</c:v>
                </c:pt>
                <c:pt idx="78" formatCode="0">
                  <c:v>1991.0880012396599</c:v>
                </c:pt>
                <c:pt idx="79" formatCode="0">
                  <c:v>1991.0880477582984</c:v>
                </c:pt>
                <c:pt idx="80" formatCode="0">
                  <c:v>1991.0880612034591</c:v>
                </c:pt>
                <c:pt idx="81" formatCode="0">
                  <c:v>1991.088065089479</c:v>
                </c:pt>
              </c:numCache>
            </c:numRef>
          </c:yVal>
          <c:smooth val="0"/>
        </c:ser>
        <c:ser>
          <c:idx val="1"/>
          <c:order val="4"/>
          <c:tx>
            <c:strRef>
              <c:f>myData!NSWLabel</c:f>
              <c:strCache>
                <c:ptCount val="1"/>
                <c:pt idx="0">
                  <c:v>NSW from 13-Mar</c:v>
                </c:pt>
              </c:strCache>
            </c:strRef>
          </c:tx>
          <c:spPr>
            <a:ln w="19050" cap="rnd">
              <a:solidFill>
                <a:schemeClr val="accent6">
                  <a:lumMod val="75000"/>
                </a:schemeClr>
              </a:solidFill>
              <a:round/>
            </a:ln>
            <a:effectLst/>
          </c:spPr>
          <c:marker>
            <c:symbol val="x"/>
            <c:size val="5"/>
            <c:spPr>
              <a:noFill/>
              <a:ln w="9525">
                <a:solidFill>
                  <a:schemeClr val="accent6">
                    <a:lumMod val="75000"/>
                    <a:alpha val="90000"/>
                  </a:schemeClr>
                </a:solidFill>
              </a:ln>
              <a:effectLst/>
            </c:spPr>
          </c:marker>
          <c:dLbls>
            <c:dLbl>
              <c:idx val="19"/>
              <c:layout>
                <c:manualLayout>
                  <c:x val="2.4555983560596132E-2"/>
                  <c:y val="-3.9665188331563496E-2"/>
                </c:manualLayout>
              </c:layout>
              <c:tx>
                <c:rich>
                  <a:bodyPr rot="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r>
                      <a:rPr lang="en-US" b="1">
                        <a:solidFill>
                          <a:schemeClr val="accent6">
                            <a:lumMod val="75000"/>
                          </a:schemeClr>
                        </a:solidFill>
                      </a:rPr>
                      <a:t>NSW</a:t>
                    </a:r>
                  </a:p>
                </c:rich>
              </c:tx>
              <c:spPr>
                <a:noFill/>
                <a:ln>
                  <a:noFill/>
                </a:ln>
                <a:effectLst/>
              </c:spPr>
              <c:txPr>
                <a:bodyPr rot="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0" i="0" u="none" strike="noStrike" kern="1200" baseline="0">
                    <a:solidFill>
                      <a:schemeClr val="accent6">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myData!NSW100Dates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myData!NSW100Cases</c:f>
              <c:numCache>
                <c:formatCode>0</c:formatCode>
                <c:ptCount val="52"/>
                <c:pt idx="0">
                  <c:v>113.86138613861385</c:v>
                </c:pt>
                <c:pt idx="1">
                  <c:v>138.61386138613861</c:v>
                </c:pt>
                <c:pt idx="2">
                  <c:v>165.84158415841583</c:v>
                </c:pt>
                <c:pt idx="3">
                  <c:v>211.63366336633663</c:v>
                </c:pt>
                <c:pt idx="4">
                  <c:v>259.9009900990099</c:v>
                </c:pt>
                <c:pt idx="5">
                  <c:v>330.44554455445541</c:v>
                </c:pt>
                <c:pt idx="6">
                  <c:v>379.95049504950492</c:v>
                </c:pt>
                <c:pt idx="7">
                  <c:v>436.88118811881185</c:v>
                </c:pt>
                <c:pt idx="8">
                  <c:v>539.60396039603961</c:v>
                </c:pt>
                <c:pt idx="9">
                  <c:v>827.97029702970292</c:v>
                </c:pt>
                <c:pt idx="10">
                  <c:v>827.97029702970292</c:v>
                </c:pt>
                <c:pt idx="11">
                  <c:v>1012.3762376237623</c:v>
                </c:pt>
                <c:pt idx="12">
                  <c:v>1273.5148514851485</c:v>
                </c:pt>
                <c:pt idx="13">
                  <c:v>1508.6633663366335</c:v>
                </c:pt>
                <c:pt idx="14">
                  <c:v>1738.8613861386139</c:v>
                </c:pt>
                <c:pt idx="15">
                  <c:v>2001.2376237623762</c:v>
                </c:pt>
                <c:pt idx="16">
                  <c:v>2216.5841584158416</c:v>
                </c:pt>
                <c:pt idx="17">
                  <c:v>2373.7623762376238</c:v>
                </c:pt>
                <c:pt idx="18">
                  <c:v>2514.8514851485147</c:v>
                </c:pt>
                <c:pt idx="19">
                  <c:v>2700.4950495049502</c:v>
                </c:pt>
                <c:pt idx="20">
                  <c:v>2844.0594059405939</c:v>
                </c:pt>
                <c:pt idx="21">
                  <c:v>2956.6831683168316</c:v>
                </c:pt>
                <c:pt idx="22">
                  <c:v>3085.3960396039602</c:v>
                </c:pt>
                <c:pt idx="23">
                  <c:v>3193.0693069306931</c:v>
                </c:pt>
                <c:pt idx="24">
                  <c:v>3263.6138613861385</c:v>
                </c:pt>
                <c:pt idx="25">
                  <c:v>3324.257425742574</c:v>
                </c:pt>
                <c:pt idx="26">
                  <c:v>3383.6633663366333</c:v>
                </c:pt>
                <c:pt idx="27">
                  <c:v>3431.9306930693069</c:v>
                </c:pt>
                <c:pt idx="28">
                  <c:v>3492.5742574257424</c:v>
                </c:pt>
                <c:pt idx="29">
                  <c:v>3535.8910891089108</c:v>
                </c:pt>
                <c:pt idx="30">
                  <c:v>3532.1782178217818</c:v>
                </c:pt>
                <c:pt idx="31">
                  <c:v>3543.3168316831679</c:v>
                </c:pt>
                <c:pt idx="32">
                  <c:v>3551.9801980198017</c:v>
                </c:pt>
                <c:pt idx="33">
                  <c:v>3571.7821782178216</c:v>
                </c:pt>
                <c:pt idx="34">
                  <c:v>3585.3960396039602</c:v>
                </c:pt>
                <c:pt idx="35">
                  <c:v>3621.287128712871</c:v>
                </c:pt>
                <c:pt idx="36">
                  <c:v>3633.6633663366333</c:v>
                </c:pt>
                <c:pt idx="37">
                  <c:v>3659.6534653465346</c:v>
                </c:pt>
                <c:pt idx="38">
                  <c:v>3667.0792079207918</c:v>
                </c:pt>
                <c:pt idx="39">
                  <c:v>3674.5049504950493</c:v>
                </c:pt>
                <c:pt idx="40">
                  <c:v>3676.9801980198017</c:v>
                </c:pt>
                <c:pt idx="41">
                  <c:v>3683.1683168316831</c:v>
                </c:pt>
                <c:pt idx="42">
                  <c:v>3690.5940594059402</c:v>
                </c:pt>
                <c:pt idx="43">
                  <c:v>3705.4455445544554</c:v>
                </c:pt>
                <c:pt idx="44">
                  <c:v>3715.3465346534649</c:v>
                </c:pt>
                <c:pt idx="45">
                  <c:v>3717.8217821782177</c:v>
                </c:pt>
                <c:pt idx="46">
                  <c:v>3724.0099009900987</c:v>
                </c:pt>
                <c:pt idx="47">
                  <c:v>3732.6732673267325</c:v>
                </c:pt>
                <c:pt idx="48">
                  <c:v>3732.6732673267325</c:v>
                </c:pt>
                <c:pt idx="49">
                  <c:v>3743.8118811881186</c:v>
                </c:pt>
                <c:pt idx="50">
                  <c:v>3751.2376237623762</c:v>
                </c:pt>
                <c:pt idx="51">
                  <c:v>3756.1881188118809</c:v>
                </c:pt>
              </c:numCache>
            </c:numRef>
          </c:yVal>
          <c:smooth val="0"/>
        </c:ser>
        <c:ser>
          <c:idx val="0"/>
          <c:order val="5"/>
          <c:tx>
            <c:strRef>
              <c:f>myData!NSWSeries</c:f>
              <c:strCache>
                <c:ptCount val="1"/>
                <c:pt idx="0">
                  <c:v>NSW Limit 3.68 k r^2=99.95%</c:v>
                </c:pt>
              </c:strCache>
            </c:strRef>
          </c:tx>
          <c:spPr>
            <a:ln w="12700" cap="rnd">
              <a:solidFill>
                <a:schemeClr val="accent6">
                  <a:lumMod val="75000"/>
                </a:schemeClr>
              </a:solidFill>
              <a:prstDash val="sysDash"/>
              <a:round/>
            </a:ln>
            <a:effectLst/>
          </c:spPr>
          <c:marker>
            <c:symbol val="none"/>
          </c:marker>
          <c:xVal>
            <c:numRef>
              <c:f>myData!NSW100LogiDates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myData!NSW100Logi</c:f>
              <c:numCache>
                <c:formatCode>0.000</c:formatCode>
                <c:ptCount val="63"/>
                <c:pt idx="0">
                  <c:v>113.44691941965432</c:v>
                </c:pt>
                <c:pt idx="1">
                  <c:v>142.24067232475451</c:v>
                </c:pt>
                <c:pt idx="2">
                  <c:v>177.97784543859348</c:v>
                </c:pt>
                <c:pt idx="3">
                  <c:v>222.13005070843221</c:v>
                </c:pt>
                <c:pt idx="4">
                  <c:v>276.37105102150247</c:v>
                </c:pt>
                <c:pt idx="5">
                  <c:v>342.54493196615931</c:v>
                </c:pt>
                <c:pt idx="6">
                  <c:v>422.59622556080308</c:v>
                </c:pt>
                <c:pt idx="7">
                  <c:v>518.44922906601766</c:v>
                </c:pt>
                <c:pt idx="8">
                  <c:v>631.82670201558562</c:v>
                </c:pt>
                <c:pt idx="9">
                  <c:v>764.00693957768237</c:v>
                </c:pt>
                <c:pt idx="10">
                  <c:v>915.53463390105367</c:v>
                </c:pt>
                <c:pt idx="11">
                  <c:v>1085.924158627887</c:v>
                </c:pt>
                <c:pt idx="12">
                  <c:v>1273.4183928070202</c:v>
                </c:pt>
                <c:pt idx="13">
                  <c:v>1474.8808053122495</c:v>
                </c:pt>
                <c:pt idx="14">
                  <c:v>1685.8896953354424</c:v>
                </c:pt>
                <c:pt idx="15">
                  <c:v>1901.0633540670383</c:v>
                </c:pt>
                <c:pt idx="16">
                  <c:v>2114.5805550109835</c:v>
                </c:pt>
                <c:pt idx="17">
                  <c:v>2320.7963855332187</c:v>
                </c:pt>
                <c:pt idx="18">
                  <c:v>2514.8194031077237</c:v>
                </c:pt>
                <c:pt idx="19">
                  <c:v>2692.9300903149101</c:v>
                </c:pt>
                <c:pt idx="20">
                  <c:v>2852.7752226636558</c:v>
                </c:pt>
                <c:pt idx="21">
                  <c:v>2993.3408699389606</c:v>
                </c:pt>
                <c:pt idx="22" formatCode="0.00E+00">
                  <c:v>3114.7593598942085</c:v>
                </c:pt>
                <c:pt idx="23" formatCode="0.00E+00">
                  <c:v>3218.027679989124</c:v>
                </c:pt>
                <c:pt idx="24" formatCode="0.00E+00">
                  <c:v>3304.7087959552191</c:v>
                </c:pt>
                <c:pt idx="25" formatCode="0.00E+00">
                  <c:v>3376.6655307539727</c:v>
                </c:pt>
                <c:pt idx="26" formatCode="0.00E+00">
                  <c:v>3435.8518546389728</c:v>
                </c:pt>
                <c:pt idx="27" formatCode="0.00E+00">
                  <c:v>3484.1667381930329</c:v>
                </c:pt>
                <c:pt idx="28" formatCode="0.00E+00">
                  <c:v>3523.3637239193954</c:v>
                </c:pt>
                <c:pt idx="29" formatCode="0.00E+00">
                  <c:v>3555.0041657368256</c:v>
                </c:pt>
                <c:pt idx="30" formatCode="0.00E+00">
                  <c:v>3580.4414251336939</c:v>
                </c:pt>
                <c:pt idx="31" formatCode="0.00E+00">
                  <c:v>3600.8250260570503</c:v>
                </c:pt>
                <c:pt idx="32" formatCode="0.00E+00">
                  <c:v>3617.1163168005223</c:v>
                </c:pt>
                <c:pt idx="33" formatCode="0.00E+00">
                  <c:v>3630.1096898980309</c:v>
                </c:pt>
                <c:pt idx="34" formatCode="0.00E+00">
                  <c:v>3640.4554843134551</c:v>
                </c:pt>
                <c:pt idx="35" formatCode="0.00E+00">
                  <c:v>3648.6822442442831</c:v>
                </c:pt>
                <c:pt idx="36" formatCode="0.00E+00">
                  <c:v>3655.2170842499941</c:v>
                </c:pt>
                <c:pt idx="37" formatCode="0.00E+00">
                  <c:v>3660.4036104462061</c:v>
                </c:pt>
                <c:pt idx="38" formatCode="0.00E+00">
                  <c:v>3664.5172748537816</c:v>
                </c:pt>
                <c:pt idx="39" formatCode="0.00E+00">
                  <c:v>3667.7782811959269</c:v>
                </c:pt>
                <c:pt idx="40" formatCode="0.00E+00">
                  <c:v>3670.3622810700244</c:v>
                </c:pt>
                <c:pt idx="41" formatCode="0.00E+00">
                  <c:v>3672.4091458764838</c:v>
                </c:pt>
                <c:pt idx="42" formatCode="0.00E+00">
                  <c:v>3674.0301033495602</c:v>
                </c:pt>
                <c:pt idx="43" formatCode="0.00E+00">
                  <c:v>3675.3135080819206</c:v>
                </c:pt>
                <c:pt idx="44" formatCode="0.00E+00">
                  <c:v>3676.3294854607248</c:v>
                </c:pt>
                <c:pt idx="45" formatCode="0.00E+00">
                  <c:v>3677.1336552397916</c:v>
                </c:pt>
                <c:pt idx="46" formatCode="0.00E+00">
                  <c:v>3677.7701086008828</c:v>
                </c:pt>
                <c:pt idx="47" formatCode="0.00E+00">
                  <c:v>3678.2737830326992</c:v>
                </c:pt>
                <c:pt idx="48" formatCode="0.00E+00">
                  <c:v>3678.6723535036722</c:v>
                </c:pt>
                <c:pt idx="49" formatCode="0.00E+00">
                  <c:v>3678.9877363680048</c:v>
                </c:pt>
                <c:pt idx="50" formatCode="0.00E+00">
                  <c:v>3679.2372840080629</c:v>
                </c:pt>
                <c:pt idx="51" formatCode="0.00E+00">
                  <c:v>3679.4347329976172</c:v>
                </c:pt>
                <c:pt idx="52" formatCode="0.00E+00">
                  <c:v>3679.5909561315093</c:v>
                </c:pt>
                <c:pt idx="53">
                  <c:v>3679.7145585754411</c:v>
                </c:pt>
                <c:pt idx="54">
                  <c:v>3679.8123502477015</c:v>
                </c:pt>
                <c:pt idx="55">
                  <c:v>3680.1109394698587</c:v>
                </c:pt>
                <c:pt idx="56" formatCode="0.00E+00">
                  <c:v>3680.1688632632272</c:v>
                </c:pt>
                <c:pt idx="57" formatCode="0.00E+00">
                  <c:v>3680.1800991137111</c:v>
                </c:pt>
                <c:pt idx="58" formatCode="0.00E+00">
                  <c:v>3680.1822785708309</c:v>
                </c:pt>
                <c:pt idx="59">
                  <c:v>3680.1827013264901</c:v>
                </c:pt>
                <c:pt idx="60">
                  <c:v>3680.1827833295929</c:v>
                </c:pt>
                <c:pt idx="61">
                  <c:v>3680.1827992359631</c:v>
                </c:pt>
                <c:pt idx="62">
                  <c:v>3680.1828023213657</c:v>
                </c:pt>
              </c:numCache>
            </c:numRef>
          </c:yVal>
          <c:smooth val="0"/>
        </c:ser>
        <c:ser>
          <c:idx val="10"/>
          <c:order val="6"/>
          <c:tx>
            <c:strRef>
              <c:f>myData!UKLabel</c:f>
              <c:strCache>
                <c:ptCount val="1"/>
                <c:pt idx="0">
                  <c:v>United Kingdom from 12-Mar</c:v>
                </c:pt>
              </c:strCache>
            </c:strRef>
          </c:tx>
          <c:spPr>
            <a:ln w="19050" cap="rnd">
              <a:solidFill>
                <a:schemeClr val="accent4">
                  <a:lumMod val="60000"/>
                  <a:lumOff val="40000"/>
                </a:schemeClr>
              </a:solidFill>
              <a:round/>
            </a:ln>
            <a:effectLst/>
          </c:spPr>
          <c:marker>
            <c:symbol val="circle"/>
            <c:size val="5"/>
            <c:spPr>
              <a:solidFill>
                <a:schemeClr val="accent4">
                  <a:lumMod val="75000"/>
                </a:schemeClr>
              </a:solidFill>
              <a:ln w="9525">
                <a:solidFill>
                  <a:schemeClr val="accent4">
                    <a:lumMod val="75000"/>
                  </a:schemeClr>
                </a:solidFill>
              </a:ln>
              <a:effectLst/>
            </c:spPr>
          </c:marker>
          <c:dLbls>
            <c:dLbl>
              <c:idx val="18"/>
              <c:tx>
                <c:rich>
                  <a:bodyPr/>
                  <a:lstStyle/>
                  <a:p>
                    <a:r>
                      <a:rPr lang="en-US"/>
                      <a:t>UK</a:t>
                    </a:r>
                  </a:p>
                </c:rich>
              </c:tx>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myData!UK100Dates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myData!UK100Cases</c:f>
              <c:numCache>
                <c:formatCode>0.0</c:formatCode>
                <c:ptCount val="51"/>
                <c:pt idx="0">
                  <c:v>120.71041541240217</c:v>
                </c:pt>
                <c:pt idx="1">
                  <c:v>172.18543046357615</c:v>
                </c:pt>
                <c:pt idx="2">
                  <c:v>172.33594220349187</c:v>
                </c:pt>
                <c:pt idx="3">
                  <c:v>233.44370860927151</c:v>
                </c:pt>
                <c:pt idx="4">
                  <c:v>295.0030102347983</c:v>
                </c:pt>
                <c:pt idx="5">
                  <c:v>397.65201685731489</c:v>
                </c:pt>
                <c:pt idx="6">
                  <c:v>408.78988561107764</c:v>
                </c:pt>
                <c:pt idx="7">
                  <c:v>604.15412402167362</c:v>
                </c:pt>
                <c:pt idx="8">
                  <c:v>762.64298615291989</c:v>
                </c:pt>
                <c:pt idx="9">
                  <c:v>864.68994581577363</c:v>
                </c:pt>
                <c:pt idx="10">
                  <c:v>1012.3419626730885</c:v>
                </c:pt>
                <c:pt idx="11">
                  <c:v>1228.7778446718844</c:v>
                </c:pt>
                <c:pt idx="12">
                  <c:v>1450.9331727874774</c:v>
                </c:pt>
                <c:pt idx="13">
                  <c:v>1777.844671884407</c:v>
                </c:pt>
                <c:pt idx="14">
                  <c:v>2219.2956050571943</c:v>
                </c:pt>
                <c:pt idx="15">
                  <c:v>2605.6592414208308</c:v>
                </c:pt>
                <c:pt idx="16">
                  <c:v>2977.1222155328114</c:v>
                </c:pt>
                <c:pt idx="17">
                  <c:v>3379.4400963275134</c:v>
                </c:pt>
                <c:pt idx="18">
                  <c:v>3835.1896447922936</c:v>
                </c:pt>
                <c:pt idx="19">
                  <c:v>4495.0331125827815</c:v>
                </c:pt>
                <c:pt idx="20">
                  <c:v>5143.4376881396747</c:v>
                </c:pt>
                <c:pt idx="21">
                  <c:v>5823.1487055990365</c:v>
                </c:pt>
                <c:pt idx="22">
                  <c:v>6393.2871763997591</c:v>
                </c:pt>
                <c:pt idx="23">
                  <c:v>7290.1866345574954</c:v>
                </c:pt>
                <c:pt idx="24">
                  <c:v>7868.6032510535824</c:v>
                </c:pt>
                <c:pt idx="25">
                  <c:v>8420.9813365442496</c:v>
                </c:pt>
                <c:pt idx="26">
                  <c:v>9252.558699578567</c:v>
                </c:pt>
                <c:pt idx="27">
                  <c:v>9914.5093317278752</c:v>
                </c:pt>
                <c:pt idx="28">
                  <c:v>11228.9283564118</c:v>
                </c:pt>
                <c:pt idx="29">
                  <c:v>12021.974714027694</c:v>
                </c:pt>
                <c:pt idx="30">
                  <c:v>12824.503311258279</c:v>
                </c:pt>
                <c:pt idx="31">
                  <c:v>13481.336544250451</c:v>
                </c:pt>
                <c:pt idx="32">
                  <c:v>14275.285972305839</c:v>
                </c:pt>
                <c:pt idx="33">
                  <c:v>14973.359422034919</c:v>
                </c:pt>
                <c:pt idx="34">
                  <c:v>15675.045153521974</c:v>
                </c:pt>
                <c:pt idx="35">
                  <c:v>16521.523178807947</c:v>
                </c:pt>
                <c:pt idx="36">
                  <c:v>17356.110776640577</c:v>
                </c:pt>
                <c:pt idx="37">
                  <c:v>18237.808549066827</c:v>
                </c:pt>
                <c:pt idx="38">
                  <c:v>18942.805538832028</c:v>
                </c:pt>
                <c:pt idx="39">
                  <c:v>19592.414208308248</c:v>
                </c:pt>
                <c:pt idx="40">
                  <c:v>20264.599638771822</c:v>
                </c:pt>
                <c:pt idx="41">
                  <c:v>20958.15773630343</c:v>
                </c:pt>
                <c:pt idx="42">
                  <c:v>21770.018061408791</c:v>
                </c:pt>
                <c:pt idx="43" formatCode="0.000">
                  <c:v>22511.890427453342</c:v>
                </c:pt>
                <c:pt idx="44" formatCode="0.000">
                  <c:v>23184.376881396747</c:v>
                </c:pt>
                <c:pt idx="45" formatCode="0.000">
                  <c:v>23833.232992173391</c:v>
                </c:pt>
                <c:pt idx="46" formatCode="0.000">
                  <c:v>24435.580975316076</c:v>
                </c:pt>
                <c:pt idx="47" formatCode="0.000">
                  <c:v>25051.324503311258</c:v>
                </c:pt>
                <c:pt idx="48" formatCode="0.000">
                  <c:v>25960.415412402166</c:v>
                </c:pt>
                <c:pt idx="49" formatCode="0.000">
                  <c:v>26894.190246839255</c:v>
                </c:pt>
                <c:pt idx="50" formatCode="0.000">
                  <c:v>27618.904274533412</c:v>
                </c:pt>
              </c:numCache>
            </c:numRef>
          </c:yVal>
          <c:smooth val="0"/>
        </c:ser>
        <c:ser>
          <c:idx val="5"/>
          <c:order val="7"/>
          <c:tx>
            <c:strRef>
              <c:f>myData!UKSeries</c:f>
              <c:strCache>
                <c:ptCount val="1"/>
                <c:pt idx="0">
                  <c:v>United Kingdom Limit 21.5 k r^2=95.27%</c:v>
                </c:pt>
              </c:strCache>
            </c:strRef>
          </c:tx>
          <c:spPr>
            <a:ln w="19050" cap="rnd">
              <a:solidFill>
                <a:schemeClr val="accent4">
                  <a:lumMod val="75000"/>
                </a:schemeClr>
              </a:solidFill>
              <a:prstDash val="sysDot"/>
              <a:round/>
            </a:ln>
            <a:effectLst/>
          </c:spPr>
          <c:marker>
            <c:symbol val="none"/>
          </c:marker>
          <c:xVal>
            <c:numRef>
              <c:f>myData!UK100LogiDates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myData!UK100Logi</c:f>
              <c:numCache>
                <c:formatCode>0.0</c:formatCode>
                <c:ptCount val="63"/>
                <c:pt idx="0">
                  <c:v>126.14865233775289</c:v>
                </c:pt>
                <c:pt idx="1">
                  <c:v>155.90941016393225</c:v>
                </c:pt>
                <c:pt idx="2">
                  <c:v>192.62798786391878</c:v>
                </c:pt>
                <c:pt idx="3">
                  <c:v>237.89784468511706</c:v>
                </c:pt>
                <c:pt idx="4">
                  <c:v>293.66001063907123</c:v>
                </c:pt>
                <c:pt idx="5">
                  <c:v>362.2698514779313</c:v>
                </c:pt>
                <c:pt idx="6">
                  <c:v>446.57188981010859</c:v>
                </c:pt>
                <c:pt idx="7">
                  <c:v>549.98095874145224</c:v>
                </c:pt>
                <c:pt idx="8">
                  <c:v>676.56604261248731</c:v>
                </c:pt>
                <c:pt idx="9">
                  <c:v>831.13030670323838</c:v>
                </c:pt>
                <c:pt idx="10">
                  <c:v>1019.2767982227729</c:v>
                </c:pt>
                <c:pt idx="11">
                  <c:v>1247.4439608431844</c:v>
                </c:pt>
                <c:pt idx="12">
                  <c:v>1522.8885273904302</c:v>
                </c:pt>
                <c:pt idx="13">
                  <c:v>1853.586112565981</c:v>
                </c:pt>
                <c:pt idx="14">
                  <c:v>2248.0133373281064</c:v>
                </c:pt>
                <c:pt idx="15">
                  <c:v>2714.7722373881611</c:v>
                </c:pt>
                <c:pt idx="16">
                  <c:v>3262.0221812234736</c:v>
                </c:pt>
                <c:pt idx="17">
                  <c:v>3896.7018663366043</c:v>
                </c:pt>
                <c:pt idx="18">
                  <c:v>4623.5592505495733</c:v>
                </c:pt>
                <c:pt idx="19">
                  <c:v>5444.0623132270794</c:v>
                </c:pt>
                <c:pt idx="20" formatCode="0">
                  <c:v>6355.3324647392128</c:v>
                </c:pt>
                <c:pt idx="21" formatCode="0">
                  <c:v>7349.3077422706883</c:v>
                </c:pt>
                <c:pt idx="22" formatCode="0">
                  <c:v>8412.3757888611926</c:v>
                </c:pt>
                <c:pt idx="23" formatCode="0">
                  <c:v>9525.6853961896268</c:v>
                </c:pt>
                <c:pt idx="24" formatCode="0">
                  <c:v>10666.233099088557</c:v>
                </c:pt>
                <c:pt idx="25" formatCode="0">
                  <c:v>11808.644009415824</c:v>
                </c:pt>
                <c:pt idx="26" formatCode="0">
                  <c:v>12927.377936881545</c:v>
                </c:pt>
                <c:pt idx="27" formatCode="0">
                  <c:v>13998.965898189033</c:v>
                </c:pt>
                <c:pt idx="28" formatCode="0">
                  <c:v>15003.872840649332</c:v>
                </c:pt>
                <c:pt idx="29" formatCode="0">
                  <c:v>15927.693957025065</c:v>
                </c:pt>
                <c:pt idx="30" formatCode="0">
                  <c:v>16761.575657786372</c:v>
                </c:pt>
                <c:pt idx="31" formatCode="0">
                  <c:v>17501.935246524823</c:v>
                </c:pt>
                <c:pt idx="32" formatCode="0">
                  <c:v>18149.676943345767</c:v>
                </c:pt>
                <c:pt idx="33" formatCode="0">
                  <c:v>18709.144361659237</c:v>
                </c:pt>
                <c:pt idx="34" formatCode="0">
                  <c:v>19187.024095357261</c:v>
                </c:pt>
                <c:pt idx="35" formatCode="0">
                  <c:v>19591.352447872006</c:v>
                </c:pt>
                <c:pt idx="36" formatCode="0">
                  <c:v>19930.707550356765</c:v>
                </c:pt>
                <c:pt idx="37" formatCode="0">
                  <c:v>20213.611474405239</c:v>
                </c:pt>
                <c:pt idx="38" formatCode="0">
                  <c:v>20448.128792108924</c:v>
                </c:pt>
                <c:pt idx="39" formatCode="0">
                  <c:v>20641.628382984229</c:v>
                </c:pt>
                <c:pt idx="40" formatCode="0">
                  <c:v>20800.669303362563</c:v>
                </c:pt>
                <c:pt idx="41" formatCode="0">
                  <c:v>20930.973814520068</c:v>
                </c:pt>
                <c:pt idx="42" formatCode="0">
                  <c:v>21037.456862002084</c:v>
                </c:pt>
                <c:pt idx="43" formatCode="0">
                  <c:v>21124.288545296393</c:v>
                </c:pt>
                <c:pt idx="44" formatCode="0">
                  <c:v>21194.972841448161</c:v>
                </c:pt>
                <c:pt idx="45" formatCode="0">
                  <c:v>21252.431378061912</c:v>
                </c:pt>
                <c:pt idx="46" formatCode="0">
                  <c:v>21299.085255067221</c:v>
                </c:pt>
                <c:pt idx="47" formatCode="0">
                  <c:v>21336.930921772189</c:v>
                </c:pt>
                <c:pt idx="48" formatCode="0">
                  <c:v>21367.60815661326</c:v>
                </c:pt>
                <c:pt idx="49" formatCode="0">
                  <c:v>21392.459511432124</c:v>
                </c:pt>
                <c:pt idx="50" formatCode="0">
                  <c:v>21412.581378582086</c:v>
                </c:pt>
                <c:pt idx="51" formatCode="0">
                  <c:v>21428.867282392122</c:v>
                </c:pt>
                <c:pt idx="52" formatCode="0">
                  <c:v>21442.044208713502</c:v>
                </c:pt>
                <c:pt idx="53" formatCode="0">
                  <c:v>21452.702854050272</c:v>
                </c:pt>
                <c:pt idx="54" formatCode="0">
                  <c:v>21461.32265823142</c:v>
                </c:pt>
                <c:pt idx="55" formatCode="0">
                  <c:v>21489.488406742214</c:v>
                </c:pt>
                <c:pt idx="56" formatCode="0">
                  <c:v>21495.830822246149</c:v>
                </c:pt>
                <c:pt idx="57" formatCode="0">
                  <c:v>21497.257241881223</c:v>
                </c:pt>
                <c:pt idx="58" formatCode="0">
                  <c:v>21497.57795612379</c:v>
                </c:pt>
                <c:pt idx="59" formatCode="0">
                  <c:v>21497.650060533218</c:v>
                </c:pt>
                <c:pt idx="60" formatCode="0">
                  <c:v>21497.666271139198</c:v>
                </c:pt>
                <c:pt idx="61" formatCode="0">
                  <c:v>21497.669915616858</c:v>
                </c:pt>
                <c:pt idx="62" formatCode="0">
                  <c:v>21497.670734969808</c:v>
                </c:pt>
              </c:numCache>
            </c:numRef>
          </c:yVal>
          <c:smooth val="0"/>
        </c:ser>
        <c:ser>
          <c:idx val="4"/>
          <c:order val="8"/>
          <c:tx>
            <c:strRef>
              <c:f>myData!ItalyLabel</c:f>
              <c:strCache>
                <c:ptCount val="1"/>
                <c:pt idx="0">
                  <c:v>Italy from 27-Feb</c:v>
                </c:pt>
              </c:strCache>
            </c:strRef>
          </c:tx>
          <c:spPr>
            <a:ln w="19050" cap="rnd">
              <a:solidFill>
                <a:srgbClr val="FF0000"/>
              </a:solidFill>
              <a:round/>
            </a:ln>
            <a:effectLst/>
          </c:spPr>
          <c:marker>
            <c:symbol val="x"/>
            <c:size val="5"/>
            <c:spPr>
              <a:noFill/>
              <a:ln w="9525">
                <a:solidFill>
                  <a:srgbClr val="FF0000"/>
                </a:solidFill>
              </a:ln>
              <a:effectLst/>
            </c:spPr>
          </c:marker>
          <c:dLbls>
            <c:dLbl>
              <c:idx val="31"/>
              <c:layout>
                <c:manualLayout>
                  <c:x val="-3.5971078508250903E-2"/>
                  <c:y val="-4.2781034352387309E-2"/>
                </c:manualLayout>
              </c:layout>
              <c:tx>
                <c:rich>
                  <a:bodyPr/>
                  <a:lstStyle/>
                  <a:p>
                    <a:r>
                      <a:rPr lang="en-US">
                        <a:solidFill>
                          <a:srgbClr val="FF0000"/>
                        </a:solidFill>
                      </a:rPr>
                      <a:t>Italy</a:t>
                    </a:r>
                  </a:p>
                </c:rich>
              </c:tx>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myData!Italy100Dates</c:f>
              <c:numCache>
                <c:formatCode>0</c:formatCode>
                <c:ptCount val="7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77</c:v>
                </c:pt>
                <c:pt idx="71">
                  <c:v>84</c:v>
                </c:pt>
                <c:pt idx="72">
                  <c:v>91</c:v>
                </c:pt>
                <c:pt idx="73">
                  <c:v>98</c:v>
                </c:pt>
                <c:pt idx="74">
                  <c:v>105</c:v>
                </c:pt>
                <c:pt idx="75">
                  <c:v>112</c:v>
                </c:pt>
                <c:pt idx="76">
                  <c:v>119</c:v>
                </c:pt>
                <c:pt idx="77">
                  <c:v>126</c:v>
                </c:pt>
              </c:numCache>
            </c:numRef>
          </c:xVal>
          <c:yVal>
            <c:numRef>
              <c:f>myData!Italy100Cases</c:f>
              <c:numCache>
                <c:formatCode>0.0</c:formatCode>
                <c:ptCount val="66"/>
                <c:pt idx="0">
                  <c:v>108.29131189551129</c:v>
                </c:pt>
                <c:pt idx="1">
                  <c:v>146.81325948582293</c:v>
                </c:pt>
                <c:pt idx="2">
                  <c:v>186.49251880631562</c:v>
                </c:pt>
                <c:pt idx="3">
                  <c:v>280.06943870381087</c:v>
                </c:pt>
                <c:pt idx="4">
                  <c:v>336.61238323551294</c:v>
                </c:pt>
                <c:pt idx="5">
                  <c:v>413.65627841613627</c:v>
                </c:pt>
                <c:pt idx="6">
                  <c:v>510.70513350417463</c:v>
                </c:pt>
                <c:pt idx="7">
                  <c:v>637.84409357691993</c:v>
                </c:pt>
                <c:pt idx="8">
                  <c:v>766.47102587418374</c:v>
                </c:pt>
                <c:pt idx="9">
                  <c:v>972.63784409357697</c:v>
                </c:pt>
                <c:pt idx="10">
                  <c:v>1219.3105728693065</c:v>
                </c:pt>
                <c:pt idx="11">
                  <c:v>1516.4090270314955</c:v>
                </c:pt>
                <c:pt idx="12">
                  <c:v>1677.9366785153345</c:v>
                </c:pt>
                <c:pt idx="13">
                  <c:v>2060.3455402165828</c:v>
                </c:pt>
                <c:pt idx="14">
                  <c:v>2060.3455402165828</c:v>
                </c:pt>
                <c:pt idx="15">
                  <c:v>2919.732164999587</c:v>
                </c:pt>
                <c:pt idx="16">
                  <c:v>3497.8920393485992</c:v>
                </c:pt>
                <c:pt idx="17">
                  <c:v>4091.4276266843021</c:v>
                </c:pt>
                <c:pt idx="18">
                  <c:v>4625.9403157807719</c:v>
                </c:pt>
                <c:pt idx="19">
                  <c:v>5208.8947672976774</c:v>
                </c:pt>
                <c:pt idx="20">
                  <c:v>5904.4391171364805</c:v>
                </c:pt>
                <c:pt idx="21">
                  <c:v>6784.3266925684056</c:v>
                </c:pt>
                <c:pt idx="22">
                  <c:v>7773.9935521203606</c:v>
                </c:pt>
                <c:pt idx="23">
                  <c:v>8858.0639828056555</c:v>
                </c:pt>
                <c:pt idx="24">
                  <c:v>9777.3001570637352</c:v>
                </c:pt>
                <c:pt idx="25">
                  <c:v>10569.066710754732</c:v>
                </c:pt>
                <c:pt idx="26">
                  <c:v>11436.885178143342</c:v>
                </c:pt>
                <c:pt idx="27">
                  <c:v>12298.255765892371</c:v>
                </c:pt>
                <c:pt idx="28">
                  <c:v>13323.799289079938</c:v>
                </c:pt>
                <c:pt idx="29">
                  <c:v>14300.735719599901</c:v>
                </c:pt>
                <c:pt idx="30">
                  <c:v>15288.418616185832</c:v>
                </c:pt>
                <c:pt idx="31">
                  <c:v>16150.946515665042</c:v>
                </c:pt>
                <c:pt idx="32">
                  <c:v>16820.534016698355</c:v>
                </c:pt>
                <c:pt idx="33">
                  <c:v>17490.617508473177</c:v>
                </c:pt>
                <c:pt idx="34">
                  <c:v>18281.226750433994</c:v>
                </c:pt>
                <c:pt idx="35">
                  <c:v>19052.988344217574</c:v>
                </c:pt>
                <c:pt idx="36">
                  <c:v>19811.027527486156</c:v>
                </c:pt>
                <c:pt idx="37">
                  <c:v>20605.439365131853</c:v>
                </c:pt>
                <c:pt idx="38">
                  <c:v>21319.004711912046</c:v>
                </c:pt>
                <c:pt idx="39">
                  <c:v>21914.028271472267</c:v>
                </c:pt>
                <c:pt idx="40">
                  <c:v>22416.466892618006</c:v>
                </c:pt>
                <c:pt idx="41">
                  <c:v>23050.673720757215</c:v>
                </c:pt>
                <c:pt idx="42">
                  <c:v>23745.72207985451</c:v>
                </c:pt>
                <c:pt idx="43">
                  <c:v>24398.941886418121</c:v>
                </c:pt>
                <c:pt idx="44">
                  <c:v>25175.002066628091</c:v>
                </c:pt>
                <c:pt idx="45">
                  <c:v>25851.53343804249</c:v>
                </c:pt>
                <c:pt idx="46">
                  <c:v>26372.819707365463</c:v>
                </c:pt>
                <c:pt idx="47">
                  <c:v>26864.181201950898</c:v>
                </c:pt>
                <c:pt idx="48">
                  <c:v>27305.116971149873</c:v>
                </c:pt>
                <c:pt idx="49">
                  <c:v>27931.057286930645</c:v>
                </c:pt>
                <c:pt idx="50">
                  <c:v>28508.555840290981</c:v>
                </c:pt>
                <c:pt idx="51">
                  <c:v>29085.723733156981</c:v>
                </c:pt>
                <c:pt idx="52">
                  <c:v>29589.484996280069</c:v>
                </c:pt>
                <c:pt idx="53">
                  <c:v>29962.470033892703</c:v>
                </c:pt>
                <c:pt idx="54">
                  <c:v>30413.656278416136</c:v>
                </c:pt>
                <c:pt idx="55">
                  <c:v>30970.819211374721</c:v>
                </c:pt>
                <c:pt idx="56">
                  <c:v>31408.283045383156</c:v>
                </c:pt>
                <c:pt idx="57">
                  <c:v>31907.745722079857</c:v>
                </c:pt>
                <c:pt idx="58">
                  <c:v>32297.429114656527</c:v>
                </c:pt>
                <c:pt idx="59">
                  <c:v>32681.656609076632</c:v>
                </c:pt>
                <c:pt idx="60">
                  <c:v>32969.165908903036</c:v>
                </c:pt>
                <c:pt idx="61">
                  <c:v>33314.871455732828</c:v>
                </c:pt>
                <c:pt idx="62">
                  <c:v>33659.750351326773</c:v>
                </c:pt>
                <c:pt idx="63">
                  <c:v>33969.24857402662</c:v>
                </c:pt>
                <c:pt idx="64">
                  <c:v>34294.122509713154</c:v>
                </c:pt>
                <c:pt idx="65">
                  <c:v>34608.249979333719</c:v>
                </c:pt>
              </c:numCache>
            </c:numRef>
          </c:yVal>
          <c:smooth val="0"/>
        </c:ser>
        <c:ser>
          <c:idx val="3"/>
          <c:order val="9"/>
          <c:tx>
            <c:strRef>
              <c:f>myData!ItalySeries</c:f>
              <c:strCache>
                <c:ptCount val="1"/>
                <c:pt idx="0">
                  <c:v>Italy Limit 26.7 k r^2=90.76%</c:v>
                </c:pt>
              </c:strCache>
            </c:strRef>
          </c:tx>
          <c:spPr>
            <a:ln w="19050" cap="rnd">
              <a:solidFill>
                <a:srgbClr val="FF0000"/>
              </a:solidFill>
              <a:prstDash val="sysDot"/>
              <a:round/>
            </a:ln>
            <a:effectLst/>
          </c:spPr>
          <c:marker>
            <c:symbol val="none"/>
          </c:marker>
          <c:xVal>
            <c:numRef>
              <c:f>myData!Italy100LogiDates</c:f>
              <c:numCache>
                <c:formatCode>0</c:formatCode>
                <c:ptCount val="7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77</c:v>
                </c:pt>
                <c:pt idx="71">
                  <c:v>84</c:v>
                </c:pt>
                <c:pt idx="72">
                  <c:v>91</c:v>
                </c:pt>
                <c:pt idx="73">
                  <c:v>98</c:v>
                </c:pt>
                <c:pt idx="74">
                  <c:v>105</c:v>
                </c:pt>
                <c:pt idx="75">
                  <c:v>112</c:v>
                </c:pt>
                <c:pt idx="76">
                  <c:v>119</c:v>
                </c:pt>
                <c:pt idx="77">
                  <c:v>126</c:v>
                </c:pt>
              </c:numCache>
            </c:numRef>
          </c:xVal>
          <c:yVal>
            <c:numRef>
              <c:f>myData!Italy100Logi</c:f>
              <c:numCache>
                <c:formatCode>0</c:formatCode>
                <c:ptCount val="78"/>
                <c:pt idx="0">
                  <c:v>87.494204228525732</c:v>
                </c:pt>
                <c:pt idx="1">
                  <c:v>112.59648035891601</c:v>
                </c:pt>
                <c:pt idx="2">
                  <c:v>144.86142442829504</c:v>
                </c:pt>
                <c:pt idx="3">
                  <c:v>186.30717761188527</c:v>
                </c:pt>
                <c:pt idx="4">
                  <c:v>239.50379734378745</c:v>
                </c:pt>
                <c:pt idx="5">
                  <c:v>307.71333696252458</c:v>
                </c:pt>
                <c:pt idx="6">
                  <c:v>395.05840021142262</c:v>
                </c:pt>
                <c:pt idx="7">
                  <c:v>506.72019530733627</c:v>
                </c:pt>
                <c:pt idx="8">
                  <c:v>649.163376127883</c:v>
                </c:pt>
                <c:pt idx="9">
                  <c:v>830.3782083809582</c:v>
                </c:pt>
                <c:pt idx="10">
                  <c:v>1060.1193946728774</c:v>
                </c:pt>
                <c:pt idx="11">
                  <c:v>1350.10361330397</c:v>
                </c:pt>
                <c:pt idx="12">
                  <c:v>1714.1032075128903</c:v>
                </c:pt>
                <c:pt idx="13">
                  <c:v>2167.8418193639991</c:v>
                </c:pt>
                <c:pt idx="14">
                  <c:v>2728.5632323224359</c:v>
                </c:pt>
                <c:pt idx="15">
                  <c:v>3414.118536188962</c:v>
                </c:pt>
                <c:pt idx="16">
                  <c:v>4241.4207285673319</c:v>
                </c:pt>
                <c:pt idx="17">
                  <c:v>5224.1825377232135</c:v>
                </c:pt>
                <c:pt idx="18">
                  <c:v>6370.0169233749111</c:v>
                </c:pt>
                <c:pt idx="19">
                  <c:v>7677.2518534716501</c:v>
                </c:pt>
                <c:pt idx="20">
                  <c:v>9132.141439709354</c:v>
                </c:pt>
                <c:pt idx="21">
                  <c:v>10707.403293036923</c:v>
                </c:pt>
                <c:pt idx="22">
                  <c:v>12362.972668598062</c:v>
                </c:pt>
                <c:pt idx="23">
                  <c:v>14049.389926771717</c:v>
                </c:pt>
                <c:pt idx="24">
                  <c:v>15713.4029658457</c:v>
                </c:pt>
                <c:pt idx="25">
                  <c:v>17304.524192570669</c:v>
                </c:pt>
                <c:pt idx="26">
                  <c:v>18780.888378182644</c:v>
                </c:pt>
                <c:pt idx="27">
                  <c:v>20113.047380114629</c:v>
                </c:pt>
                <c:pt idx="28">
                  <c:v>21285.136744478561</c:v>
                </c:pt>
                <c:pt idx="29">
                  <c:v>22293.715099281151</c:v>
                </c:pt>
                <c:pt idx="30">
                  <c:v>23145.121706068341</c:v>
                </c:pt>
                <c:pt idx="31">
                  <c:v>23852.300433501554</c:v>
                </c:pt>
                <c:pt idx="32">
                  <c:v>24431.822438348365</c:v>
                </c:pt>
                <c:pt idx="33">
                  <c:v>24901.51069681322</c:v>
                </c:pt>
                <c:pt idx="34">
                  <c:v>25278.782494527903</c:v>
                </c:pt>
                <c:pt idx="35">
                  <c:v>25579.6446071957</c:v>
                </c:pt>
                <c:pt idx="36">
                  <c:v>25818.195796411841</c:v>
                </c:pt>
                <c:pt idx="37">
                  <c:v>26006.479614044893</c:v>
                </c:pt>
                <c:pt idx="38">
                  <c:v>26154.553599475301</c:v>
                </c:pt>
                <c:pt idx="39">
                  <c:v>26270.675137727121</c:v>
                </c:pt>
                <c:pt idx="40">
                  <c:v>26361.536771338855</c:v>
                </c:pt>
                <c:pt idx="41">
                  <c:v>26432.509590004611</c:v>
                </c:pt>
                <c:pt idx="42">
                  <c:v>26487.871713755019</c:v>
                </c:pt>
                <c:pt idx="43">
                  <c:v>26531.010953830308</c:v>
                </c:pt>
                <c:pt idx="44">
                  <c:v>26564.598093789271</c:v>
                </c:pt>
                <c:pt idx="45">
                  <c:v>26590.731369834783</c:v>
                </c:pt>
                <c:pt idx="46">
                  <c:v>26611.054801604278</c:v>
                </c:pt>
                <c:pt idx="47">
                  <c:v>26626.853851255484</c:v>
                </c:pt>
                <c:pt idx="48">
                  <c:v>26639.132011378493</c:v>
                </c:pt>
                <c:pt idx="49">
                  <c:v>26648.671681402164</c:v>
                </c:pt>
                <c:pt idx="50">
                  <c:v>26656.082291287421</c:v>
                </c:pt>
                <c:pt idx="51">
                  <c:v>26661.838185741926</c:v>
                </c:pt>
                <c:pt idx="52">
                  <c:v>26666.308352721691</c:v>
                </c:pt>
                <c:pt idx="53">
                  <c:v>26669.779694972924</c:v>
                </c:pt>
                <c:pt idx="54">
                  <c:v>26672.475212785157</c:v>
                </c:pt>
                <c:pt idx="55">
                  <c:v>26674.568190112601</c:v>
                </c:pt>
                <c:pt idx="56">
                  <c:v>26676.193250135853</c:v>
                </c:pt>
                <c:pt idx="57">
                  <c:v>26677.454963643617</c:v>
                </c:pt>
                <c:pt idx="58">
                  <c:v>26678.434547429631</c:v>
                </c:pt>
                <c:pt idx="59">
                  <c:v>26679.195073775736</c:v>
                </c:pt>
                <c:pt idx="60">
                  <c:v>26679.78552034486</c:v>
                </c:pt>
                <c:pt idx="61">
                  <c:v>26680.24391761727</c:v>
                </c:pt>
                <c:pt idx="62">
                  <c:v>26680.599794376958</c:v>
                </c:pt>
                <c:pt idx="63">
                  <c:v>26680.876077442303</c:v>
                </c:pt>
                <c:pt idx="64">
                  <c:v>26681.090567221705</c:v>
                </c:pt>
                <c:pt idx="65">
                  <c:v>26681.257083675166</c:v>
                </c:pt>
                <c:pt idx="66">
                  <c:v>26681.386356225059</c:v>
                </c:pt>
                <c:pt idx="67">
                  <c:v>26681.486714780454</c:v>
                </c:pt>
                <c:pt idx="68">
                  <c:v>26681.564626295793</c:v>
                </c:pt>
                <c:pt idx="69">
                  <c:v>26681.625111374771</c:v>
                </c:pt>
                <c:pt idx="70">
                  <c:v>26681.799367527132</c:v>
                </c:pt>
                <c:pt idx="71">
                  <c:v>26681.828981854735</c:v>
                </c:pt>
                <c:pt idx="72">
                  <c:v>26681.834014691878</c:v>
                </c:pt>
                <c:pt idx="73">
                  <c:v>26681.83487000161</c:v>
                </c:pt>
                <c:pt idx="74">
                  <c:v>26681.835015357909</c:v>
                </c:pt>
                <c:pt idx="75">
                  <c:v>26681.835040060607</c:v>
                </c:pt>
                <c:pt idx="76">
                  <c:v>26681.835044258722</c:v>
                </c:pt>
                <c:pt idx="77">
                  <c:v>26681.835044972173</c:v>
                </c:pt>
              </c:numCache>
            </c:numRef>
          </c:yVal>
          <c:smooth val="0"/>
        </c:ser>
        <c:ser>
          <c:idx val="6"/>
          <c:order val="10"/>
          <c:tx>
            <c:strRef>
              <c:f>myData!USLabel</c:f>
              <c:strCache>
                <c:ptCount val="1"/>
                <c:pt idx="0">
                  <c:v>USA from 15-Mar</c:v>
                </c:pt>
              </c:strCache>
            </c:strRef>
          </c:tx>
          <c:spPr>
            <a:ln w="19050" cap="rnd">
              <a:solidFill>
                <a:schemeClr val="accent1">
                  <a:lumMod val="60000"/>
                </a:schemeClr>
              </a:solidFill>
              <a:round/>
            </a:ln>
            <a:effectLst/>
          </c:spPr>
          <c:marker>
            <c:symbol val="star"/>
            <c:size val="5"/>
            <c:spPr>
              <a:noFill/>
              <a:ln w="9525">
                <a:solidFill>
                  <a:schemeClr val="accent1">
                    <a:lumMod val="60000"/>
                  </a:schemeClr>
                </a:solidFill>
              </a:ln>
              <a:effectLst/>
            </c:spPr>
          </c:marker>
          <c:dLbls>
            <c:dLbl>
              <c:idx val="17"/>
              <c:tx>
                <c:rich>
                  <a:bodyPr/>
                  <a:lstStyle/>
                  <a:p>
                    <a:r>
                      <a:rPr lang="en-US"/>
                      <a:t>USA</a:t>
                    </a:r>
                  </a:p>
                </c:rich>
              </c:tx>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myData!US100Dates</c:f>
              <c:numCache>
                <c:formatCode>0</c:formatCode>
                <c:ptCount val="6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60</c:v>
                </c:pt>
                <c:pt idx="54">
                  <c:v>67</c:v>
                </c:pt>
                <c:pt idx="55">
                  <c:v>74</c:v>
                </c:pt>
                <c:pt idx="56">
                  <c:v>81</c:v>
                </c:pt>
                <c:pt idx="57">
                  <c:v>88</c:v>
                </c:pt>
                <c:pt idx="58">
                  <c:v>95</c:v>
                </c:pt>
                <c:pt idx="59">
                  <c:v>102</c:v>
                </c:pt>
                <c:pt idx="60">
                  <c:v>109</c:v>
                </c:pt>
              </c:numCache>
            </c:numRef>
          </c:xVal>
          <c:yVal>
            <c:numRef>
              <c:f>myData!US100Cases</c:f>
              <c:numCache>
                <c:formatCode>0.0</c:formatCode>
                <c:ptCount val="49"/>
                <c:pt idx="0">
                  <c:v>106.27901331256571</c:v>
                </c:pt>
                <c:pt idx="1">
                  <c:v>140.69288072700897</c:v>
                </c:pt>
                <c:pt idx="2">
                  <c:v>195.03216475564003</c:v>
                </c:pt>
                <c:pt idx="3">
                  <c:v>236.40170351863358</c:v>
                </c:pt>
                <c:pt idx="4">
                  <c:v>417.55289968786536</c:v>
                </c:pt>
                <c:pt idx="5">
                  <c:v>585.40023537384366</c:v>
                </c:pt>
                <c:pt idx="6">
                  <c:v>777.57723372440194</c:v>
                </c:pt>
                <c:pt idx="7">
                  <c:v>1010.7289073989531</c:v>
                </c:pt>
                <c:pt idx="8">
                  <c:v>1331.6921350851153</c:v>
                </c:pt>
                <c:pt idx="9">
                  <c:v>1632.1832121646273</c:v>
                </c:pt>
                <c:pt idx="10">
                  <c:v>1997.9482531220199</c:v>
                </c:pt>
                <c:pt idx="11">
                  <c:v>2546.4439440046467</c:v>
                </c:pt>
                <c:pt idx="12">
                  <c:v>3087.7409706531844</c:v>
                </c:pt>
                <c:pt idx="13">
                  <c:v>3689.3913552474405</c:v>
                </c:pt>
                <c:pt idx="14">
                  <c:v>4279.9855635496779</c:v>
                </c:pt>
                <c:pt idx="15">
                  <c:v>4915.472707455222</c:v>
                </c:pt>
                <c:pt idx="16">
                  <c:v>5715.557157202662</c:v>
                </c:pt>
                <c:pt idx="17">
                  <c:v>6477.0361122601134</c:v>
                </c:pt>
                <c:pt idx="18">
                  <c:v>7399.8015950939935</c:v>
                </c:pt>
                <c:pt idx="19">
                  <c:v>8364.0277390229439</c:v>
                </c:pt>
                <c:pt idx="20">
                  <c:v>9374.9692651967434</c:v>
                </c:pt>
                <c:pt idx="21">
                  <c:v>10230.061229408047</c:v>
                </c:pt>
                <c:pt idx="22">
                  <c:v>11126.553106493036</c:v>
                </c:pt>
                <c:pt idx="23">
                  <c:v>12062.197212260477</c:v>
                </c:pt>
                <c:pt idx="24">
                  <c:v>13019.984044722647</c:v>
                </c:pt>
                <c:pt idx="25">
                  <c:v>14056.530946210107</c:v>
                </c:pt>
                <c:pt idx="26">
                  <c:v>15081.809052630699</c:v>
                </c:pt>
                <c:pt idx="27">
                  <c:v>15988.810372015245</c:v>
                </c:pt>
                <c:pt idx="28">
                  <c:v>16867.138530906203</c:v>
                </c:pt>
                <c:pt idx="29">
                  <c:v>17635.78577608705</c:v>
                </c:pt>
                <c:pt idx="30">
                  <c:v>18457.435844426065</c:v>
                </c:pt>
                <c:pt idx="31">
                  <c:v>19328.565339082936</c:v>
                </c:pt>
                <c:pt idx="32">
                  <c:v>20277.513305333629</c:v>
                </c:pt>
                <c:pt idx="33">
                  <c:v>21252.94749610806</c:v>
                </c:pt>
                <c:pt idx="34">
                  <c:v>22239.832726613513</c:v>
                </c:pt>
                <c:pt idx="35">
                  <c:v>23048.148560358582</c:v>
                </c:pt>
                <c:pt idx="36">
                  <c:v>23823.204742895519</c:v>
                </c:pt>
                <c:pt idx="37">
                  <c:v>24659.677377252403</c:v>
                </c:pt>
                <c:pt idx="38">
                  <c:v>25524.914294434955</c:v>
                </c:pt>
                <c:pt idx="39">
                  <c:v>26400.265790478064</c:v>
                </c:pt>
                <c:pt idx="40">
                  <c:v>27499.444108213167</c:v>
                </c:pt>
                <c:pt idx="41">
                  <c:v>28495.593442479789</c:v>
                </c:pt>
                <c:pt idx="42">
                  <c:v>29334.86049502037</c:v>
                </c:pt>
                <c:pt idx="43">
                  <c:v>30015.605063857533</c:v>
                </c:pt>
                <c:pt idx="44">
                  <c:v>30756.277753090715</c:v>
                </c:pt>
                <c:pt idx="45">
                  <c:v>31586.311075980822</c:v>
                </c:pt>
                <c:pt idx="46">
                  <c:v>32482.802953065813</c:v>
                </c:pt>
                <c:pt idx="47">
                  <c:v>33516.64655870165</c:v>
                </c:pt>
                <c:pt idx="48">
                  <c:v>34399.864949414077</c:v>
                </c:pt>
              </c:numCache>
            </c:numRef>
          </c:yVal>
          <c:smooth val="0"/>
        </c:ser>
        <c:ser>
          <c:idx val="2"/>
          <c:order val="11"/>
          <c:tx>
            <c:strRef>
              <c:f>myData!USSeries</c:f>
              <c:strCache>
                <c:ptCount val="1"/>
                <c:pt idx="0">
                  <c:v>USA Limit 24.7 k r^2=92.46%</c:v>
                </c:pt>
              </c:strCache>
            </c:strRef>
          </c:tx>
          <c:spPr>
            <a:ln w="19050" cap="rnd">
              <a:solidFill>
                <a:schemeClr val="accent1">
                  <a:lumMod val="75000"/>
                </a:schemeClr>
              </a:solidFill>
              <a:prstDash val="sysDot"/>
              <a:round/>
            </a:ln>
            <a:effectLst/>
          </c:spPr>
          <c:marker>
            <c:symbol val="none"/>
          </c:marker>
          <c:xVal>
            <c:numRef>
              <c:f>myData!US100LogiDates</c:f>
              <c:numCache>
                <c:formatCode>0</c:formatCode>
                <c:ptCount val="6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60</c:v>
                </c:pt>
                <c:pt idx="54">
                  <c:v>67</c:v>
                </c:pt>
                <c:pt idx="55">
                  <c:v>74</c:v>
                </c:pt>
                <c:pt idx="56">
                  <c:v>81</c:v>
                </c:pt>
                <c:pt idx="57">
                  <c:v>88</c:v>
                </c:pt>
                <c:pt idx="58">
                  <c:v>95</c:v>
                </c:pt>
                <c:pt idx="59">
                  <c:v>102</c:v>
                </c:pt>
                <c:pt idx="60">
                  <c:v>109</c:v>
                </c:pt>
              </c:numCache>
            </c:numRef>
          </c:xVal>
          <c:yVal>
            <c:numRef>
              <c:f>myData!US100Logi</c:f>
              <c:numCache>
                <c:formatCode>0.0</c:formatCode>
                <c:ptCount val="61"/>
                <c:pt idx="0">
                  <c:v>102.89110561136106</c:v>
                </c:pt>
                <c:pt idx="1">
                  <c:v>136.46590035422193</c:v>
                </c:pt>
                <c:pt idx="2">
                  <c:v>180.91605414825486</c:v>
                </c:pt>
                <c:pt idx="3">
                  <c:v>239.7034166419875</c:v>
                </c:pt>
                <c:pt idx="4">
                  <c:v>317.34612994173438</c:v>
                </c:pt>
                <c:pt idx="5">
                  <c:v>419.70679796207605</c:v>
                </c:pt>
                <c:pt idx="6">
                  <c:v>554.33368492625448</c:v>
                </c:pt>
                <c:pt idx="7">
                  <c:v>730.84454884328738</c:v>
                </c:pt>
                <c:pt idx="8">
                  <c:v>961.322864186885</c:v>
                </c:pt>
                <c:pt idx="9">
                  <c:v>1260.6627673430748</c:v>
                </c:pt>
                <c:pt idx="10">
                  <c:v>1646.7479124482609</c:v>
                </c:pt>
                <c:pt idx="11">
                  <c:v>2140.279990136351</c:v>
                </c:pt>
                <c:pt idx="12">
                  <c:v>2763.994906946034</c:v>
                </c:pt>
                <c:pt idx="13">
                  <c:v>3540.9501020883458</c:v>
                </c:pt>
                <c:pt idx="14">
                  <c:v>4491.5995343139366</c:v>
                </c:pt>
                <c:pt idx="15">
                  <c:v>5629.5878912211256</c:v>
                </c:pt>
                <c:pt idx="16">
                  <c:v>6956.6738790963009</c:v>
                </c:pt>
                <c:pt idx="17">
                  <c:v>8457.8979909218742</c:v>
                </c:pt>
                <c:pt idx="18">
                  <c:v>10098.762284417062</c:v>
                </c:pt>
                <c:pt idx="19">
                  <c:v>11826.263685119791</c:v>
                </c:pt>
                <c:pt idx="20">
                  <c:v>13574.659840965507</c:v>
                </c:pt>
                <c:pt idx="21">
                  <c:v>15274.992599131874</c:v>
                </c:pt>
                <c:pt idx="22">
                  <c:v>16865.617760442015</c:v>
                </c:pt>
                <c:pt idx="23">
                  <c:v>18300.479076234064</c:v>
                </c:pt>
                <c:pt idx="24">
                  <c:v>19552.989871078098</c:v>
                </c:pt>
                <c:pt idx="25">
                  <c:v>20615.346380514362</c:v>
                </c:pt>
                <c:pt idx="26">
                  <c:v>21494.669534674089</c:v>
                </c:pt>
                <c:pt idx="27">
                  <c:v>22207.893397782344</c:v>
                </c:pt>
                <c:pt idx="28">
                  <c:v>22776.944387207401</c:v>
                </c:pt>
                <c:pt idx="29">
                  <c:v>23225.029717144425</c:v>
                </c:pt>
                <c:pt idx="30">
                  <c:v>23574.220877363194</c:v>
                </c:pt>
                <c:pt idx="31">
                  <c:v>23844.149807198261</c:v>
                </c:pt>
                <c:pt idx="32">
                  <c:v>24051.505026162646</c:v>
                </c:pt>
                <c:pt idx="33">
                  <c:v>24210.026838309092</c:v>
                </c:pt>
                <c:pt idx="34">
                  <c:v>24330.770198048624</c:v>
                </c:pt>
                <c:pt idx="35">
                  <c:v>24422.48055552072</c:v>
                </c:pt>
                <c:pt idx="36">
                  <c:v>24491.990547925245</c:v>
                </c:pt>
                <c:pt idx="37">
                  <c:v>24544.589108972894</c:v>
                </c:pt>
                <c:pt idx="38">
                  <c:v>24584.342025603743</c:v>
                </c:pt>
                <c:pt idx="39">
                  <c:v>24614.358686934051</c:v>
                </c:pt>
                <c:pt idx="40">
                  <c:v>24637.007861887476</c:v>
                </c:pt>
                <c:pt idx="41">
                  <c:v>24654.088867962506</c:v>
                </c:pt>
                <c:pt idx="42">
                  <c:v>24666.965486783713</c:v>
                </c:pt>
                <c:pt idx="43">
                  <c:v>24676.669693944634</c:v>
                </c:pt>
                <c:pt idx="44">
                  <c:v>24683.981424390706</c:v>
                </c:pt>
                <c:pt idx="45">
                  <c:v>24689.489582075796</c:v>
                </c:pt>
                <c:pt idx="46">
                  <c:v>24693.638519345615</c:v>
                </c:pt>
                <c:pt idx="47">
                  <c:v>24696.763342366979</c:v>
                </c:pt>
                <c:pt idx="48">
                  <c:v>24699.116669972147</c:v>
                </c:pt>
                <c:pt idx="49">
                  <c:v>24700.888881509723</c:v>
                </c:pt>
                <c:pt idx="50">
                  <c:v>24702.223419102193</c:v>
                </c:pt>
                <c:pt idx="51">
                  <c:v>24703.228341604692</c:v>
                </c:pt>
                <c:pt idx="52">
                  <c:v>24703.985042364446</c:v>
                </c:pt>
                <c:pt idx="53">
                  <c:v>24705.975011296989</c:v>
                </c:pt>
                <c:pt idx="54">
                  <c:v>24706.24804136507</c:v>
                </c:pt>
                <c:pt idx="55">
                  <c:v>24706.285498998466</c:v>
                </c:pt>
                <c:pt idx="56">
                  <c:v>24706.290637843045</c:v>
                </c:pt>
                <c:pt idx="57">
                  <c:v>24706.291342844459</c:v>
                </c:pt>
                <c:pt idx="58">
                  <c:v>24706.291439564036</c:v>
                </c:pt>
                <c:pt idx="59">
                  <c:v>24706.291452833055</c:v>
                </c:pt>
                <c:pt idx="60">
                  <c:v>24706.291454653438</c:v>
                </c:pt>
              </c:numCache>
            </c:numRef>
          </c:yVal>
          <c:smooth val="0"/>
        </c:ser>
        <c:ser>
          <c:idx val="12"/>
          <c:order val="12"/>
          <c:tx>
            <c:strRef>
              <c:f>myData!TaiwanLabel</c:f>
              <c:strCache>
                <c:ptCount val="1"/>
                <c:pt idx="0">
                  <c:v>Taiwan from 15-Mar</c:v>
                </c:pt>
              </c:strCache>
            </c:strRef>
          </c:tx>
          <c:spPr>
            <a:ln w="19050" cap="rnd">
              <a:solidFill>
                <a:schemeClr val="tx2">
                  <a:lumMod val="5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Lbls>
            <c:dLbl>
              <c:idx val="31"/>
              <c:tx>
                <c:rich>
                  <a:bodyPr/>
                  <a:lstStyle/>
                  <a:p>
                    <a:r>
                      <a:rPr lang="en-US"/>
                      <a:t>Taiwan</a:t>
                    </a:r>
                  </a:p>
                </c:rich>
              </c:tx>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myData!Taiwan100Dates</c:f>
              <c:numCache>
                <c:formatCode>0</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49</c:v>
                </c:pt>
                <c:pt idx="43">
                  <c:v>56</c:v>
                </c:pt>
                <c:pt idx="44">
                  <c:v>63</c:v>
                </c:pt>
                <c:pt idx="45">
                  <c:v>70</c:v>
                </c:pt>
                <c:pt idx="46">
                  <c:v>77</c:v>
                </c:pt>
                <c:pt idx="47">
                  <c:v>84</c:v>
                </c:pt>
                <c:pt idx="48">
                  <c:v>91</c:v>
                </c:pt>
                <c:pt idx="49">
                  <c:v>98</c:v>
                </c:pt>
              </c:numCache>
            </c:numRef>
          </c:xVal>
          <c:yVal>
            <c:numRef>
              <c:f>myData!Taiwan100Cases</c:f>
              <c:numCache>
                <c:formatCode>0.00</c:formatCode>
                <c:ptCount val="38"/>
                <c:pt idx="0">
                  <c:v>105.84996640943724</c:v>
                </c:pt>
                <c:pt idx="1">
                  <c:v>112.15055964809422</c:v>
                </c:pt>
                <c:pt idx="2">
                  <c:v>118.871192435995</c:v>
                </c:pt>
                <c:pt idx="3">
                  <c:v>125.17178567465199</c:v>
                </c:pt>
                <c:pt idx="4">
                  <c:v>128.53210206860237</c:v>
                </c:pt>
                <c:pt idx="5">
                  <c:v>135.25273485650314</c:v>
                </c:pt>
                <c:pt idx="6">
                  <c:v>138.19301170120974</c:v>
                </c:pt>
                <c:pt idx="7">
                  <c:v>142.39340719364773</c:v>
                </c:pt>
                <c:pt idx="8">
                  <c:v>146.1737631368419</c:v>
                </c:pt>
                <c:pt idx="9">
                  <c:v>149.1140399815485</c:v>
                </c:pt>
                <c:pt idx="10">
                  <c:v>152.4743563754989</c:v>
                </c:pt>
                <c:pt idx="11">
                  <c:v>156.67475186793686</c:v>
                </c:pt>
                <c:pt idx="12">
                  <c:v>157.93487051566828</c:v>
                </c:pt>
                <c:pt idx="13">
                  <c:v>159.19498916339967</c:v>
                </c:pt>
                <c:pt idx="14">
                  <c:v>159.61502871264346</c:v>
                </c:pt>
                <c:pt idx="15">
                  <c:v>160.45510781113106</c:v>
                </c:pt>
                <c:pt idx="16">
                  <c:v>161.71522645886245</c:v>
                </c:pt>
                <c:pt idx="17">
                  <c:v>162.97534510659386</c:v>
                </c:pt>
                <c:pt idx="18">
                  <c:v>165.07554285281284</c:v>
                </c:pt>
                <c:pt idx="19">
                  <c:v>165.07554285281284</c:v>
                </c:pt>
                <c:pt idx="20">
                  <c:v>165.91562195130044</c:v>
                </c:pt>
                <c:pt idx="21">
                  <c:v>165.91562195130044</c:v>
                </c:pt>
                <c:pt idx="22">
                  <c:v>165.91562195130044</c:v>
                </c:pt>
                <c:pt idx="23">
                  <c:v>167.17574059903183</c:v>
                </c:pt>
                <c:pt idx="24">
                  <c:v>176.4166106823954</c:v>
                </c:pt>
                <c:pt idx="25">
                  <c:v>177.25668978088299</c:v>
                </c:pt>
                <c:pt idx="26">
                  <c:v>178.51680842861441</c:v>
                </c:pt>
                <c:pt idx="27">
                  <c:v>178.93684797785821</c:v>
                </c:pt>
                <c:pt idx="28">
                  <c:v>179.356887527102</c:v>
                </c:pt>
                <c:pt idx="29">
                  <c:v>179.7769270763458</c:v>
                </c:pt>
                <c:pt idx="30">
                  <c:v>180.1969666255896</c:v>
                </c:pt>
                <c:pt idx="31">
                  <c:v>180.1969666255896</c:v>
                </c:pt>
                <c:pt idx="32">
                  <c:v>180.1969666255896</c:v>
                </c:pt>
                <c:pt idx="33">
                  <c:v>180.1969666255896</c:v>
                </c:pt>
                <c:pt idx="34">
                  <c:v>180.1969666255896</c:v>
                </c:pt>
                <c:pt idx="35">
                  <c:v>180.1969666255896</c:v>
                </c:pt>
                <c:pt idx="36">
                  <c:v>180.1969666255896</c:v>
                </c:pt>
                <c:pt idx="37">
                  <c:v>181.45708527332098</c:v>
                </c:pt>
              </c:numCache>
            </c:numRef>
          </c:yVal>
          <c:smooth val="0"/>
        </c:ser>
        <c:ser>
          <c:idx val="13"/>
          <c:order val="13"/>
          <c:tx>
            <c:strRef>
              <c:f>myData!GenericSeries</c:f>
              <c:strCache>
                <c:ptCount val="1"/>
                <c:pt idx="0">
                  <c:v>Ireland Limit 51.9 k r^2=99.41%</c:v>
                </c:pt>
              </c:strCache>
            </c:strRef>
          </c:tx>
          <c:spPr>
            <a:ln w="19050" cap="rnd">
              <a:solidFill>
                <a:schemeClr val="tx1">
                  <a:lumMod val="85000"/>
                  <a:lumOff val="15000"/>
                </a:schemeClr>
              </a:solidFill>
              <a:prstDash val="sysDot"/>
              <a:round/>
            </a:ln>
            <a:effectLst/>
          </c:spPr>
          <c:marker>
            <c:symbol val="none"/>
          </c:marker>
          <c:xVal>
            <c:numRef>
              <c:f>myData!Generic100LogiDates</c:f>
              <c:numCache>
                <c:formatCode>0</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62</c:v>
                </c:pt>
                <c:pt idx="56">
                  <c:v>69</c:v>
                </c:pt>
                <c:pt idx="57">
                  <c:v>76</c:v>
                </c:pt>
                <c:pt idx="58">
                  <c:v>83</c:v>
                </c:pt>
                <c:pt idx="59">
                  <c:v>90</c:v>
                </c:pt>
                <c:pt idx="60">
                  <c:v>97</c:v>
                </c:pt>
                <c:pt idx="61">
                  <c:v>104</c:v>
                </c:pt>
                <c:pt idx="62">
                  <c:v>111</c:v>
                </c:pt>
              </c:numCache>
            </c:numRef>
          </c:xVal>
          <c:yVal>
            <c:numRef>
              <c:f>myData!Generic100Logi</c:f>
              <c:numCache>
                <c:formatCode>0</c:formatCode>
                <c:ptCount val="63"/>
                <c:pt idx="0">
                  <c:v>664.34914055277341</c:v>
                </c:pt>
                <c:pt idx="1">
                  <c:v>754.70260407756405</c:v>
                </c:pt>
                <c:pt idx="2">
                  <c:v>857.13872069556351</c:v>
                </c:pt>
                <c:pt idx="3">
                  <c:v>973.21382750951898</c:v>
                </c:pt>
                <c:pt idx="4">
                  <c:v>1104.6676355493507</c:v>
                </c:pt>
                <c:pt idx="5">
                  <c:v>1253.4399024745019</c:v>
                </c:pt>
                <c:pt idx="6">
                  <c:v>1421.687143057949</c:v>
                </c:pt>
                <c:pt idx="7">
                  <c:v>1611.7988391748288</c:v>
                </c:pt>
                <c:pt idx="8">
                  <c:v>1826.4124286083754</c:v>
                </c:pt>
                <c:pt idx="9">
                  <c:v>2068.4261331585362</c:v>
                </c:pt>
                <c:pt idx="10">
                  <c:v>2341.0084303140261</c:v>
                </c:pt>
                <c:pt idx="11">
                  <c:v>2647.6026813294525</c:v>
                </c:pt>
                <c:pt idx="12">
                  <c:v>2991.9251090409407</c:v>
                </c:pt>
                <c:pt idx="13">
                  <c:v>3377.9539853234373</c:v>
                </c:pt>
                <c:pt idx="14">
                  <c:v>3809.9075645026132</c:v>
                </c:pt>
                <c:pt idx="15">
                  <c:v>4292.2080213409708</c:v>
                </c:pt>
                <c:pt idx="16">
                  <c:v>4829.4284712233648</c:v>
                </c:pt>
                <c:pt idx="17">
                  <c:v>5426.2201329120262</c:v>
                </c:pt>
                <c:pt idx="18">
                  <c:v>6087.2169234905705</c:v>
                </c:pt>
                <c:pt idx="19">
                  <c:v>6816.9153454438274</c:v>
                </c:pt>
                <c:pt idx="20">
                  <c:v>7619.5285346770806</c:v>
                </c:pt>
                <c:pt idx="21">
                  <c:v>8498.8148705448002</c:v>
                </c:pt>
                <c:pt idx="22">
                  <c:v>9457.8836541703331</c:v>
                </c:pt>
                <c:pt idx="23">
                  <c:v>10498.98302434488</c:v>
                </c:pt>
                <c:pt idx="24">
                  <c:v>11623.278388707826</c:v>
                </c:pt>
                <c:pt idx="25">
                  <c:v>12830.632963128086</c:v>
                </c:pt>
                <c:pt idx="26">
                  <c:v>14119.405154420998</c:v>
                </c:pt>
                <c:pt idx="27">
                  <c:v>15486.279981412899</c:v>
                </c:pt>
                <c:pt idx="28">
                  <c:v>16926.152918136806</c:v>
                </c:pt>
                <c:pt idx="29">
                  <c:v>18432.083886381406</c:v>
                </c:pt>
                <c:pt idx="30">
                  <c:v>19995.336194400716</c:v>
                </c:pt>
                <c:pt idx="31">
                  <c:v>21605.509876590491</c:v>
                </c:pt>
                <c:pt idx="32">
                  <c:v>23250.771408588982</c:v>
                </c:pt>
                <c:pt idx="33">
                  <c:v>24918.172887025379</c:v>
                </c:pt>
                <c:pt idx="34">
                  <c:v>26594.044607654876</c:v>
                </c:pt>
                <c:pt idx="35">
                  <c:v>28264.436907772055</c:v>
                </c:pt>
                <c:pt idx="36">
                  <c:v>29915.581471515561</c:v>
                </c:pt>
                <c:pt idx="37">
                  <c:v>31534.340005396134</c:v>
                </c:pt>
                <c:pt idx="38">
                  <c:v>33108.609681521993</c:v>
                </c:pt>
                <c:pt idx="39">
                  <c:v>34627.659753197346</c:v>
                </c:pt>
                <c:pt idx="40">
                  <c:v>36082.381402942883</c:v>
                </c:pt>
                <c:pt idx="41">
                  <c:v>37465.441922208636</c:v>
                </c:pt>
                <c:pt idx="42">
                  <c:v>38771.343372221454</c:v>
                </c:pt>
                <c:pt idx="43">
                  <c:v>39996.393735086473</c:v>
                </c:pt>
                <c:pt idx="44">
                  <c:v>41138.604404616613</c:v>
                </c:pt>
                <c:pt idx="45">
                  <c:v>42197.531316122746</c:v>
                </c:pt>
                <c:pt idx="46">
                  <c:v>43174.078131362716</c:v>
                </c:pt>
                <c:pt idx="47">
                  <c:v>44070.279057102554</c:v>
                </c:pt>
                <c:pt idx="48">
                  <c:v>44889.076638204329</c:v>
                </c:pt>
                <c:pt idx="49">
                  <c:v>45634.10682387538</c:v>
                </c:pt>
                <c:pt idx="50">
                  <c:v>46309.50029080535</c:v>
                </c:pt>
                <c:pt idx="51">
                  <c:v>46919.705829179744</c:v>
                </c:pt>
                <c:pt idx="52">
                  <c:v>47469.338825390201</c:v>
                </c:pt>
                <c:pt idx="53">
                  <c:v>47963.055646039174</c:v>
                </c:pt>
                <c:pt idx="54">
                  <c:v>48405.453074857149</c:v>
                </c:pt>
                <c:pt idx="55">
                  <c:v>50411.616483966427</c:v>
                </c:pt>
                <c:pt idx="56">
                  <c:v>51271.265155326015</c:v>
                </c:pt>
                <c:pt idx="57">
                  <c:v>51627.425685881499</c:v>
                </c:pt>
                <c:pt idx="58">
                  <c:v>51772.921122309679</c:v>
                </c:pt>
                <c:pt idx="59">
                  <c:v>51832.014925310898</c:v>
                </c:pt>
                <c:pt idx="60">
                  <c:v>51855.959817972485</c:v>
                </c:pt>
                <c:pt idx="61">
                  <c:v>51865.653072127796</c:v>
                </c:pt>
                <c:pt idx="62">
                  <c:v>51869.575532489856</c:v>
                </c:pt>
              </c:numCache>
            </c:numRef>
          </c:yVal>
          <c:smooth val="0"/>
        </c:ser>
        <c:dLbls>
          <c:showLegendKey val="0"/>
          <c:showVal val="0"/>
          <c:showCatName val="0"/>
          <c:showSerName val="0"/>
          <c:showPercent val="0"/>
          <c:showBubbleSize val="0"/>
        </c:dLbls>
        <c:axId val="983143584"/>
        <c:axId val="983141624"/>
      </c:scatterChart>
      <c:valAx>
        <c:axId val="983143584"/>
        <c:scaling>
          <c:orientation val="minMax"/>
          <c:max val="56"/>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myData!lblHorizAxisDays</c:f>
              <c:strCache>
                <c:ptCount val="1"/>
                <c:pt idx="0">
                  <c:v>Days Since 100 cases per 10m population</c:v>
                </c:pt>
              </c:strCache>
            </c:strRef>
          </c:tx>
          <c:layout>
            <c:manualLayout>
              <c:xMode val="edge"/>
              <c:yMode val="edge"/>
              <c:x val="0.2987676892239407"/>
              <c:y val="0.924620525954150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983141624"/>
        <c:crosses val="autoZero"/>
        <c:crossBetween val="midCat"/>
        <c:majorUnit val="7"/>
        <c:minorUnit val="1"/>
      </c:valAx>
      <c:valAx>
        <c:axId val="98314162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layout>
            <c:manualLayout>
              <c:xMode val="edge"/>
              <c:yMode val="edge"/>
              <c:x val="9.5495491624540511E-3"/>
              <c:y val="0.43324149902521936"/>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983143584"/>
        <c:crosses val="autoZero"/>
        <c:crossBetween val="midCat"/>
        <c:majorUnit val="10"/>
      </c:valAx>
      <c:spPr>
        <a:noFill/>
        <a:ln>
          <a:noFill/>
        </a:ln>
        <a:effectLst/>
      </c:spPr>
    </c:plotArea>
    <c:legend>
      <c:legendPos val="b"/>
      <c:layout>
        <c:manualLayout>
          <c:xMode val="edge"/>
          <c:yMode val="edge"/>
          <c:x val="0.74922754996594809"/>
          <c:y val="0.19371126767509064"/>
          <c:w val="0.23563045285702316"/>
          <c:h val="0.71632272636115868"/>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userShapes r:id="rId3"/>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myData!$EX$12</c:f>
          <c:strCache>
            <c:ptCount val="1"/>
            <c:pt idx="0">
              <c:v>COVID19 NSW P(t) = b / {d+[( b/Po - d ) ]* exp(-b*t)}
b=0.234, d=7.88E-05, P0=.639, r2=0.9995, Limit=3.68 k=&gt;2.97 k cases 
 (Fit: Sat 25-Jan - Sun 03-May)</c:v>
            </c:pt>
          </c:strCache>
        </c:strRef>
      </c:tx>
      <c:layout>
        <c:manualLayout>
          <c:xMode val="edge"/>
          <c:yMode val="edge"/>
          <c:x val="8.1045088920980987E-2"/>
          <c:y val="1.25230204999544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461628446254714"/>
          <c:w val="0.43460159270882204"/>
          <c:h val="0.67322394151716547"/>
        </c:manualLayout>
      </c:layout>
      <c:scatterChart>
        <c:scatterStyle val="lineMarker"/>
        <c:varyColors val="0"/>
        <c:ser>
          <c:idx val="1"/>
          <c:order val="0"/>
          <c:tx>
            <c:v>NSW Confirmed Cases</c:v>
          </c:tx>
          <c:spPr>
            <a:ln w="22225" cap="rnd">
              <a:solidFill>
                <a:schemeClr val="accent6"/>
              </a:solidFill>
              <a:round/>
            </a:ln>
            <a:effectLst/>
          </c:spPr>
          <c:marker>
            <c:symbol val="x"/>
            <c:size val="5"/>
            <c:spPr>
              <a:noFill/>
              <a:ln w="9525">
                <a:solidFill>
                  <a:schemeClr val="accent6">
                    <a:lumMod val="75000"/>
                  </a:schemeClr>
                </a:solidFill>
              </a:ln>
              <a:effectLst/>
            </c:spPr>
          </c:marker>
          <c:xVal>
            <c:numRef>
              <c:f>myData!NSWDates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myData!NSWCases</c:f>
              <c:numCache>
                <c:formatCode>0</c:formatCode>
                <c:ptCount val="9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2956.6831683168316</c:v>
                </c:pt>
                <c:pt idx="69">
                  <c:v>3085.3960396039602</c:v>
                </c:pt>
                <c:pt idx="70">
                  <c:v>3193.0693069306931</c:v>
                </c:pt>
                <c:pt idx="71">
                  <c:v>3263.6138613861385</c:v>
                </c:pt>
                <c:pt idx="72">
                  <c:v>3324.257425742574</c:v>
                </c:pt>
                <c:pt idx="73">
                  <c:v>3383.6633663366333</c:v>
                </c:pt>
                <c:pt idx="74">
                  <c:v>3431.9306930693069</c:v>
                </c:pt>
                <c:pt idx="75">
                  <c:v>3492.5742574257424</c:v>
                </c:pt>
                <c:pt idx="76">
                  <c:v>3535.8910891089108</c:v>
                </c:pt>
                <c:pt idx="77">
                  <c:v>3532.1782178217818</c:v>
                </c:pt>
                <c:pt idx="78">
                  <c:v>3543.3168316831679</c:v>
                </c:pt>
                <c:pt idx="79">
                  <c:v>3551.9801980198017</c:v>
                </c:pt>
                <c:pt idx="80">
                  <c:v>3571.7821782178216</c:v>
                </c:pt>
                <c:pt idx="81">
                  <c:v>3585.3960396039602</c:v>
                </c:pt>
                <c:pt idx="82">
                  <c:v>3621.287128712871</c:v>
                </c:pt>
                <c:pt idx="83">
                  <c:v>3633.6633663366333</c:v>
                </c:pt>
                <c:pt idx="84">
                  <c:v>3659.6534653465346</c:v>
                </c:pt>
                <c:pt idx="85">
                  <c:v>3667.0792079207918</c:v>
                </c:pt>
                <c:pt idx="86">
                  <c:v>3674.5049504950493</c:v>
                </c:pt>
                <c:pt idx="87">
                  <c:v>3676.9801980198017</c:v>
                </c:pt>
                <c:pt idx="88">
                  <c:v>3683.1683168316831</c:v>
                </c:pt>
                <c:pt idx="89">
                  <c:v>3690.5940594059402</c:v>
                </c:pt>
                <c:pt idx="90">
                  <c:v>3705.4455445544554</c:v>
                </c:pt>
                <c:pt idx="91">
                  <c:v>3715.3465346534649</c:v>
                </c:pt>
                <c:pt idx="92">
                  <c:v>3717.8217821782177</c:v>
                </c:pt>
                <c:pt idx="93">
                  <c:v>3724.0099009900987</c:v>
                </c:pt>
                <c:pt idx="94">
                  <c:v>3732.6732673267325</c:v>
                </c:pt>
                <c:pt idx="95">
                  <c:v>3732.6732673267325</c:v>
                </c:pt>
                <c:pt idx="96">
                  <c:v>3743.8118811881186</c:v>
                </c:pt>
                <c:pt idx="97">
                  <c:v>3751.2376237623762</c:v>
                </c:pt>
                <c:pt idx="98">
                  <c:v>3756.1881188118809</c:v>
                </c:pt>
              </c:numCache>
            </c:numRef>
          </c:yVal>
          <c:smooth val="0"/>
        </c:ser>
        <c:ser>
          <c:idx val="0"/>
          <c:order val="1"/>
          <c:tx>
            <c:strRef>
              <c:f>myData!NSWSeries</c:f>
              <c:strCache>
                <c:ptCount val="1"/>
                <c:pt idx="0">
                  <c:v>NSW Limit 3.68 k r^2=99.95%</c:v>
                </c:pt>
              </c:strCache>
            </c:strRef>
          </c:tx>
          <c:spPr>
            <a:ln w="19050" cap="rnd">
              <a:solidFill>
                <a:schemeClr val="accent6">
                  <a:lumMod val="75000"/>
                </a:schemeClr>
              </a:solidFill>
              <a:prstDash val="sysDash"/>
              <a:round/>
            </a:ln>
            <a:effectLst/>
          </c:spPr>
          <c:marker>
            <c:symbol val="none"/>
          </c:marker>
          <c:xVal>
            <c:numRef>
              <c:f>myData!NSWLogiDates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myData!NSWLogi</c:f>
              <c:numCache>
                <c:formatCode>0.000</c:formatCode>
                <c:ptCount val="110"/>
                <c:pt idx="0">
                  <c:v>1.9323202711800784E-3</c:v>
                </c:pt>
                <c:pt idx="1">
                  <c:v>2.4424763363982659E-3</c:v>
                </c:pt>
                <c:pt idx="2">
                  <c:v>3.0873196977277656E-3</c:v>
                </c:pt>
                <c:pt idx="3">
                  <c:v>3.9024093429296958E-3</c:v>
                </c:pt>
                <c:pt idx="4">
                  <c:v>4.9326921991622672E-3</c:v>
                </c:pt>
                <c:pt idx="5">
                  <c:v>6.234981621645843E-3</c:v>
                </c:pt>
                <c:pt idx="6">
                  <c:v>7.8810902080967277E-3</c:v>
                </c:pt>
                <c:pt idx="7">
                  <c:v>9.9617896735686873E-3</c:v>
                </c:pt>
                <c:pt idx="8">
                  <c:v>1.2591816115188897E-2</c:v>
                </c:pt>
                <c:pt idx="9">
                  <c:v>1.5916196623209006E-2</c:v>
                </c:pt>
                <c:pt idx="10">
                  <c:v>2.0118246027134322E-2</c:v>
                </c:pt>
                <c:pt idx="11">
                  <c:v>2.542967461259309E-2</c:v>
                </c:pt>
                <c:pt idx="12">
                  <c:v>3.2143363970527056E-2</c:v>
                </c:pt>
                <c:pt idx="13">
                  <c:v>4.0629515141740402E-2</c:v>
                </c:pt>
                <c:pt idx="14">
                  <c:v>5.1356058974076475E-2</c:v>
                </c:pt>
                <c:pt idx="15">
                  <c:v>6.4914453313394321E-2</c:v>
                </c:pt>
                <c:pt idx="16">
                  <c:v>8.2052288171588814E-2</c:v>
                </c:pt>
                <c:pt idx="17">
                  <c:v>0.10371449458831744</c:v>
                </c:pt>
                <c:pt idx="18">
                  <c:v>0.13109542599449503</c:v>
                </c:pt>
                <c:pt idx="19">
                  <c:v>0.16570467828149141</c:v>
                </c:pt>
                <c:pt idx="20">
                  <c:v>0.20945026894132809</c:v>
                </c:pt>
                <c:pt idx="21">
                  <c:v>0.26474374738801643</c:v>
                </c:pt>
                <c:pt idx="22">
                  <c:v>0.33463300915271144</c:v>
                </c:pt>
                <c:pt idx="23">
                  <c:v>0.42297010030836435</c:v>
                </c:pt>
                <c:pt idx="24">
                  <c:v>0.53462320555979392</c:v>
                </c:pt>
                <c:pt idx="25">
                  <c:v>0.67574441409610775</c:v>
                </c:pt>
                <c:pt idx="26">
                  <c:v>0.85410787594612181</c:v>
                </c:pt>
                <c:pt idx="27">
                  <c:v>1.0795367519324917</c:v>
                </c:pt>
                <c:pt idx="28">
                  <c:v>1.3644421110984533</c:v>
                </c:pt>
                <c:pt idx="29">
                  <c:v>1.7245028702952629</c:v>
                </c:pt>
                <c:pt idx="30">
                  <c:v>2.1795232775130127</c:v>
                </c:pt>
                <c:pt idx="31">
                  <c:v>2.7545136398933274</c:v>
                </c:pt>
                <c:pt idx="32">
                  <c:v>3.4810513659712528</c:v>
                </c:pt>
                <c:pt idx="33">
                  <c:v>4.3989933492133915</c:v>
                </c:pt>
                <c:pt idx="34">
                  <c:v>5.5586277073989905</c:v>
                </c:pt>
                <c:pt idx="35">
                  <c:v>7.0233733265760696</c:v>
                </c:pt>
                <c:pt idx="36">
                  <c:v>8.873159845319508</c:v>
                </c:pt>
                <c:pt idx="37">
                  <c:v>11.20864869757489</c:v>
                </c:pt>
                <c:pt idx="38">
                  <c:v>14.15648713140942</c:v>
                </c:pt>
                <c:pt idx="39">
                  <c:v>17.875820312454383</c:v>
                </c:pt>
                <c:pt idx="40">
                  <c:v>22.566318662855505</c:v>
                </c:pt>
                <c:pt idx="41">
                  <c:v>28.478002779700734</c:v>
                </c:pt>
                <c:pt idx="42">
                  <c:v>35.923156707193385</c:v>
                </c:pt>
                <c:pt idx="43">
                  <c:v>45.290595633376824</c:v>
                </c:pt>
                <c:pt idx="44">
                  <c:v>57.062470354452074</c:v>
                </c:pt>
                <c:pt idx="45">
                  <c:v>71.833608831354113</c:v>
                </c:pt>
                <c:pt idx="46">
                  <c:v>90.33305802354559</c:v>
                </c:pt>
                <c:pt idx="47">
                  <c:v>113.44691941965432</c:v>
                </c:pt>
                <c:pt idx="48">
                  <c:v>142.24067232475451</c:v>
                </c:pt>
                <c:pt idx="49">
                  <c:v>177.97784543859348</c:v>
                </c:pt>
                <c:pt idx="50">
                  <c:v>222.13005070843221</c:v>
                </c:pt>
                <c:pt idx="51">
                  <c:v>276.37105102150247</c:v>
                </c:pt>
                <c:pt idx="52">
                  <c:v>342.54493196615931</c:v>
                </c:pt>
                <c:pt idx="53">
                  <c:v>422.59622556080308</c:v>
                </c:pt>
                <c:pt idx="54">
                  <c:v>518.44922906601766</c:v>
                </c:pt>
                <c:pt idx="55">
                  <c:v>631.82670201558562</c:v>
                </c:pt>
                <c:pt idx="56">
                  <c:v>764.00693957768237</c:v>
                </c:pt>
                <c:pt idx="57">
                  <c:v>915.53463390105367</c:v>
                </c:pt>
                <c:pt idx="58">
                  <c:v>1085.924158627887</c:v>
                </c:pt>
                <c:pt idx="59">
                  <c:v>1273.4183928070202</c:v>
                </c:pt>
                <c:pt idx="60">
                  <c:v>1474.8808053122495</c:v>
                </c:pt>
                <c:pt idx="61">
                  <c:v>1685.8896953354424</c:v>
                </c:pt>
                <c:pt idx="62">
                  <c:v>1901.0633540670383</c:v>
                </c:pt>
                <c:pt idx="63">
                  <c:v>2114.5805550109835</c:v>
                </c:pt>
                <c:pt idx="64">
                  <c:v>2320.7963855332187</c:v>
                </c:pt>
                <c:pt idx="65">
                  <c:v>2514.8194031077237</c:v>
                </c:pt>
                <c:pt idx="66">
                  <c:v>2692.9300903149101</c:v>
                </c:pt>
                <c:pt idx="67">
                  <c:v>2852.7752226636558</c:v>
                </c:pt>
                <c:pt idx="68">
                  <c:v>2993.3408699389606</c:v>
                </c:pt>
                <c:pt idx="69" formatCode="0.00E+00">
                  <c:v>3114.7593598942085</c:v>
                </c:pt>
                <c:pt idx="70" formatCode="0.00E+00">
                  <c:v>3218.027679989124</c:v>
                </c:pt>
                <c:pt idx="71" formatCode="0.00E+00">
                  <c:v>3304.7087959552191</c:v>
                </c:pt>
                <c:pt idx="72" formatCode="0.00E+00">
                  <c:v>3376.6655307539727</c:v>
                </c:pt>
                <c:pt idx="73" formatCode="0.00E+00">
                  <c:v>3435.8518546389728</c:v>
                </c:pt>
                <c:pt idx="74" formatCode="0.00E+00">
                  <c:v>3484.1667381930329</c:v>
                </c:pt>
                <c:pt idx="75" formatCode="0.00E+00">
                  <c:v>3523.3637239193954</c:v>
                </c:pt>
                <c:pt idx="76" formatCode="0.00E+00">
                  <c:v>3555.0041657368256</c:v>
                </c:pt>
                <c:pt idx="77" formatCode="0.00E+00">
                  <c:v>3580.4414251336939</c:v>
                </c:pt>
                <c:pt idx="78" formatCode="0.00E+00">
                  <c:v>3600.8250260570503</c:v>
                </c:pt>
                <c:pt idx="79" formatCode="0.00E+00">
                  <c:v>3617.1163168005223</c:v>
                </c:pt>
                <c:pt idx="80" formatCode="0.00E+00">
                  <c:v>3630.1096898980309</c:v>
                </c:pt>
                <c:pt idx="81" formatCode="0.00E+00">
                  <c:v>3640.4554843134551</c:v>
                </c:pt>
                <c:pt idx="82" formatCode="0.00E+00">
                  <c:v>3648.6822442442831</c:v>
                </c:pt>
                <c:pt idx="83" formatCode="0.00E+00">
                  <c:v>3655.2170842499941</c:v>
                </c:pt>
                <c:pt idx="84" formatCode="0.00E+00">
                  <c:v>3660.4036104462061</c:v>
                </c:pt>
                <c:pt idx="85" formatCode="0.00E+00">
                  <c:v>3664.5172748537816</c:v>
                </c:pt>
                <c:pt idx="86" formatCode="0.00E+00">
                  <c:v>3667.7782811959269</c:v>
                </c:pt>
                <c:pt idx="87" formatCode="0.00E+00">
                  <c:v>3670.3622810700244</c:v>
                </c:pt>
                <c:pt idx="88" formatCode="0.00E+00">
                  <c:v>3672.4091458764838</c:v>
                </c:pt>
                <c:pt idx="89" formatCode="0.00E+00">
                  <c:v>3674.0301033495602</c:v>
                </c:pt>
                <c:pt idx="90" formatCode="0.00E+00">
                  <c:v>3675.3135080819206</c:v>
                </c:pt>
                <c:pt idx="91" formatCode="0.00E+00">
                  <c:v>3676.3294854607248</c:v>
                </c:pt>
                <c:pt idx="92" formatCode="0.00E+00">
                  <c:v>3677.1336552397916</c:v>
                </c:pt>
                <c:pt idx="93" formatCode="0.00E+00">
                  <c:v>3677.7701086008828</c:v>
                </c:pt>
                <c:pt idx="94" formatCode="0.00E+00">
                  <c:v>3678.2737830326992</c:v>
                </c:pt>
                <c:pt idx="95" formatCode="0.00E+00">
                  <c:v>3678.6723535036722</c:v>
                </c:pt>
                <c:pt idx="96" formatCode="0.00E+00">
                  <c:v>3678.9877363680048</c:v>
                </c:pt>
                <c:pt idx="97" formatCode="0.00E+00">
                  <c:v>3679.2372840080629</c:v>
                </c:pt>
                <c:pt idx="98" formatCode="0.00E+00">
                  <c:v>3679.4347329976172</c:v>
                </c:pt>
                <c:pt idx="99" formatCode="0.00E+00">
                  <c:v>3679.5909561315093</c:v>
                </c:pt>
                <c:pt idx="100">
                  <c:v>3679.7145585754411</c:v>
                </c:pt>
                <c:pt idx="101">
                  <c:v>3679.8123502477015</c:v>
                </c:pt>
                <c:pt idx="102">
                  <c:v>3680.1109394698587</c:v>
                </c:pt>
                <c:pt idx="103" formatCode="0.00E+00">
                  <c:v>3680.1688632632272</c:v>
                </c:pt>
                <c:pt idx="104" formatCode="0.00E+00">
                  <c:v>3680.1800991137111</c:v>
                </c:pt>
                <c:pt idx="105" formatCode="0.00E+00">
                  <c:v>3680.1822785708309</c:v>
                </c:pt>
                <c:pt idx="106">
                  <c:v>3680.1827013264901</c:v>
                </c:pt>
                <c:pt idx="107">
                  <c:v>3680.1827833295929</c:v>
                </c:pt>
                <c:pt idx="108">
                  <c:v>3680.1827992359631</c:v>
                </c:pt>
                <c:pt idx="109">
                  <c:v>3680.1828023213657</c:v>
                </c:pt>
              </c:numCache>
            </c:numRef>
          </c:yVal>
          <c:smooth val="0"/>
        </c:ser>
        <c:ser>
          <c:idx val="3"/>
          <c:order val="2"/>
          <c:tx>
            <c:v>Au Confirmed Cases</c:v>
          </c:tx>
          <c:spPr>
            <a:ln w="19050" cap="rnd">
              <a:solidFill>
                <a:srgbClr val="FF0000"/>
              </a:solidFill>
              <a:round/>
            </a:ln>
            <a:effectLst/>
          </c:spPr>
          <c:marker>
            <c:symbol val="x"/>
            <c:size val="5"/>
            <c:spPr>
              <a:noFill/>
              <a:ln w="9525">
                <a:solidFill>
                  <a:srgbClr val="FF0000"/>
                </a:solidFill>
              </a:ln>
              <a:effectLst/>
            </c:spPr>
          </c:marker>
          <c:xVal>
            <c:numRef>
              <c:f>myData!AuDates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myData!AuCases</c:f>
              <c:numCache>
                <c:formatCode>0.000</c:formatCode>
                <c:ptCount val="9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2114.0198706828578</c:v>
                </c:pt>
                <c:pt idx="69">
                  <c:v>2188.929190979341</c:v>
                </c:pt>
                <c:pt idx="70">
                  <c:v>2244.5197918309414</c:v>
                </c:pt>
                <c:pt idx="71">
                  <c:v>2286.7055669452766</c:v>
                </c:pt>
                <c:pt idx="72">
                  <c:v>2333.6224570257059</c:v>
                </c:pt>
                <c:pt idx="73">
                  <c:v>2376.5967513010564</c:v>
                </c:pt>
                <c:pt idx="74">
                  <c:v>2412.474373127267</c:v>
                </c:pt>
                <c:pt idx="75">
                  <c:v>2454.6601482416022</c:v>
                </c:pt>
                <c:pt idx="76">
                  <c:v>2487.7779530042581</c:v>
                </c:pt>
                <c:pt idx="77">
                  <c:v>2496.0574041949221</c:v>
                </c:pt>
                <c:pt idx="78">
                  <c:v>2515.7703832203124</c:v>
                </c:pt>
                <c:pt idx="79">
                  <c:v>2530.752247279609</c:v>
                </c:pt>
                <c:pt idx="80">
                  <c:v>2544.9455921778899</c:v>
                </c:pt>
                <c:pt idx="81">
                  <c:v>2555.9848604321087</c:v>
                </c:pt>
                <c:pt idx="82">
                  <c:v>2574.5150607159753</c:v>
                </c:pt>
                <c:pt idx="83">
                  <c:v>2590.2854439362877</c:v>
                </c:pt>
                <c:pt idx="84">
                  <c:v>2606.8443463176154</c:v>
                </c:pt>
                <c:pt idx="85">
                  <c:v>2611.1812017032016</c:v>
                </c:pt>
                <c:pt idx="86">
                  <c:v>2619.8549124743731</c:v>
                </c:pt>
                <c:pt idx="87">
                  <c:v>2622.6147295379278</c:v>
                </c:pt>
                <c:pt idx="88">
                  <c:v>2625.7688061819904</c:v>
                </c:pt>
                <c:pt idx="89">
                  <c:v>2631.6826998896072</c:v>
                </c:pt>
                <c:pt idx="90">
                  <c:v>2638.3851127582402</c:v>
                </c:pt>
                <c:pt idx="91">
                  <c:v>2647.0588235294117</c:v>
                </c:pt>
                <c:pt idx="92">
                  <c:v>2649.0301214319506</c:v>
                </c:pt>
                <c:pt idx="93">
                  <c:v>2654.54975555906</c:v>
                </c:pt>
                <c:pt idx="94">
                  <c:v>2659.6751301056615</c:v>
                </c:pt>
                <c:pt idx="95">
                  <c:v>2662.8292067497241</c:v>
                </c:pt>
                <c:pt idx="96">
                  <c:v>2667.1660621353099</c:v>
                </c:pt>
                <c:pt idx="97">
                  <c:v>2672.6856962624192</c:v>
                </c:pt>
                <c:pt idx="98">
                  <c:v>2679.7823687115597</c:v>
                </c:pt>
              </c:numCache>
            </c:numRef>
          </c:yVal>
          <c:smooth val="0"/>
        </c:ser>
        <c:ser>
          <c:idx val="4"/>
          <c:order val="3"/>
          <c:tx>
            <c:strRef>
              <c:f>myData!AuSeries</c:f>
              <c:strCache>
                <c:ptCount val="1"/>
                <c:pt idx="0">
                  <c:v>Australia Limit 2.62 k r^2=99.94%</c:v>
                </c:pt>
              </c:strCache>
            </c:strRef>
          </c:tx>
          <c:spPr>
            <a:ln w="12700" cap="rnd">
              <a:solidFill>
                <a:srgbClr val="FF0000"/>
              </a:solidFill>
              <a:prstDash val="sysDash"/>
              <a:round/>
            </a:ln>
            <a:effectLst/>
          </c:spPr>
          <c:marker>
            <c:symbol val="none"/>
          </c:marker>
          <c:xVal>
            <c:numRef>
              <c:f>myData!AuLogiDates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myData!AuLogi</c:f>
              <c:numCache>
                <c:formatCode>0.000</c:formatCode>
                <c:ptCount val="110"/>
                <c:pt idx="0">
                  <c:v>2.3188278729988315E-3</c:v>
                </c:pt>
                <c:pt idx="1">
                  <c:v>2.9073388959562382E-3</c:v>
                </c:pt>
                <c:pt idx="2">
                  <c:v>3.6452119074376014E-3</c:v>
                </c:pt>
                <c:pt idx="3">
                  <c:v>4.5703543259517166E-3</c:v>
                </c:pt>
                <c:pt idx="4">
                  <c:v>5.730294238788158E-3</c:v>
                </c:pt>
                <c:pt idx="5">
                  <c:v>7.1846220294552038E-3</c:v>
                </c:pt>
                <c:pt idx="6">
                  <c:v>9.0080516429624207E-3</c:v>
                </c:pt>
                <c:pt idx="7">
                  <c:v>1.1294258728326371E-2</c:v>
                </c:pt>
                <c:pt idx="8">
                  <c:v>1.416069279148187E-2</c:v>
                </c:pt>
                <c:pt idx="9">
                  <c:v>1.775461050302966E-2</c:v>
                </c:pt>
                <c:pt idx="10">
                  <c:v>2.2260639997440781E-2</c:v>
                </c:pt>
                <c:pt idx="11">
                  <c:v>2.7910264585124179E-2</c:v>
                </c:pt>
                <c:pt idx="12">
                  <c:v>3.4993712799062618E-2</c:v>
                </c:pt>
                <c:pt idx="13">
                  <c:v>4.3874865151404242E-2</c:v>
                </c:pt>
                <c:pt idx="14">
                  <c:v>5.5009942689421588E-2</c:v>
                </c:pt>
                <c:pt idx="15">
                  <c:v>6.897093630732111E-2</c:v>
                </c:pt>
                <c:pt idx="16">
                  <c:v>8.6474978662865146E-2</c:v>
                </c:pt>
                <c:pt idx="17">
                  <c:v>0.10842116480668629</c:v>
                </c:pt>
                <c:pt idx="18">
                  <c:v>0.13593670867268079</c:v>
                </c:pt>
                <c:pt idx="19">
                  <c:v>0.17043479963630248</c:v>
                </c:pt>
                <c:pt idx="20">
                  <c:v>0.21368712039924725</c:v>
                </c:pt>
                <c:pt idx="21">
                  <c:v>0.26791473433919627</c:v>
                </c:pt>
                <c:pt idx="22" formatCode="0.0">
                  <c:v>0.33590198422618112</c:v>
                </c:pt>
                <c:pt idx="23" formatCode="0.0">
                  <c:v>0.42113921075668181</c:v>
                </c:pt>
                <c:pt idx="24" formatCode="0.0">
                  <c:v>0.52800155537659232</c:v>
                </c:pt>
                <c:pt idx="25" formatCode="0.0">
                  <c:v>0.66197292705905852</c:v>
                </c:pt>
                <c:pt idx="26" formatCode="0.0">
                  <c:v>0.82992647232639705</c:v>
                </c:pt>
                <c:pt idx="27" formatCode="0.0">
                  <c:v>1.040475695390817</c:v>
                </c:pt>
                <c:pt idx="28" formatCode="0.0">
                  <c:v>1.3044138553905029</c:v>
                </c:pt>
                <c:pt idx="29" formatCode="0.0">
                  <c:v>1.6352635682569125</c:v>
                </c:pt>
                <c:pt idx="30" formatCode="0.0">
                  <c:v>2.0499638344026363</c:v>
                </c:pt>
                <c:pt idx="31" formatCode="0.0">
                  <c:v>2.5697281965668943</c:v>
                </c:pt>
                <c:pt idx="32" formatCode="0">
                  <c:v>3.2211156198200408</c:v>
                </c:pt>
                <c:pt idx="33" formatCode="0">
                  <c:v>4.0373651990027684</c:v>
                </c:pt>
                <c:pt idx="34" formatCode="0">
                  <c:v>5.0600571398640071</c:v>
                </c:pt>
                <c:pt idx="35" formatCode="0">
                  <c:v>6.3411757664315225</c:v>
                </c:pt>
                <c:pt idx="36" formatCode="0">
                  <c:v>7.945665573452076</c:v>
                </c:pt>
                <c:pt idx="37" formatCode="0">
                  <c:v>9.9545882915729518</c:v>
                </c:pt>
                <c:pt idx="38" formatCode="0">
                  <c:v>12.46900680692597</c:v>
                </c:pt>
                <c:pt idx="39" formatCode="0">
                  <c:v>15.614739014416774</c:v>
                </c:pt>
                <c:pt idx="40" formatCode="0">
                  <c:v>19.548138426621428</c:v>
                </c:pt>
                <c:pt idx="41" formatCode="0">
                  <c:v>24.463063723787876</c:v>
                </c:pt>
                <c:pt idx="42" formatCode="0">
                  <c:v>30.599188468791834</c:v>
                </c:pt>
                <c:pt idx="43" formatCode="0">
                  <c:v>38.251762508268072</c:v>
                </c:pt>
                <c:pt idx="44" formatCode="0">
                  <c:v>47.782849476414434</c:v>
                </c:pt>
                <c:pt idx="45" formatCode="0">
                  <c:v>59.633903428766914</c:v>
                </c:pt>
                <c:pt idx="46" formatCode="0">
                  <c:v>74.339275212779953</c:v>
                </c:pt>
                <c:pt idx="47" formatCode="0">
                  <c:v>92.539809038600183</c:v>
                </c:pt>
                <c:pt idx="48" formatCode="0">
                  <c:v>114.99504911497115</c:v>
                </c:pt>
                <c:pt idx="49" formatCode="0">
                  <c:v>142.59167847691626</c:v>
                </c:pt>
                <c:pt idx="50" formatCode="0">
                  <c:v>176.34464318788378</c:v>
                </c:pt>
                <c:pt idx="51" formatCode="0">
                  <c:v>217.38604211570967</c:v>
                </c:pt>
                <c:pt idx="52" formatCode="0">
                  <c:v>266.93550945431411</c:v>
                </c:pt>
                <c:pt idx="53" formatCode="0">
                  <c:v>326.24496017939964</c:v>
                </c:pt>
                <c:pt idx="54" formatCode="0">
                  <c:v>396.51101380735787</c:v>
                </c:pt>
                <c:pt idx="55" formatCode="0">
                  <c:v>478.75126813074223</c:v>
                </c:pt>
                <c:pt idx="56" formatCode="0">
                  <c:v>573.64699806741282</c:v>
                </c:pt>
                <c:pt idx="57" formatCode="0">
                  <c:v>681.36530092804173</c:v>
                </c:pt>
                <c:pt idx="58" formatCode="0">
                  <c:v>801.38701807846428</c:v>
                </c:pt>
                <c:pt idx="59" formatCode="0">
                  <c:v>932.3791225046034</c:v>
                </c:pt>
                <c:pt idx="60" formatCode="0">
                  <c:v>1072.1553405639772</c:v>
                </c:pt>
                <c:pt idx="61" formatCode="0">
                  <c:v>1217.7599744150418</c:v>
                </c:pt>
                <c:pt idx="62" formatCode="0">
                  <c:v>1365.6846659933269</c:v>
                </c:pt>
                <c:pt idx="63" formatCode="0">
                  <c:v>1512.1917398417318</c:v>
                </c:pt>
                <c:pt idx="64" formatCode="0">
                  <c:v>1653.6842699547524</c:v>
                </c:pt>
                <c:pt idx="65" formatCode="0">
                  <c:v>1787.0473001577361</c:v>
                </c:pt>
                <c:pt idx="66" formatCode="0">
                  <c:v>1909.8944188893768</c:v>
                </c:pt>
                <c:pt idx="67" formatCode="0">
                  <c:v>2020.6843145817807</c:v>
                </c:pt>
                <c:pt idx="68" formatCode="0">
                  <c:v>2118.7088589502237</c:v>
                </c:pt>
                <c:pt idx="69" formatCode="0">
                  <c:v>2203.9830009755624</c:v>
                </c:pt>
                <c:pt idx="70" formatCode="0">
                  <c:v>2277.0795780082394</c:v>
                </c:pt>
                <c:pt idx="71" formatCode="0">
                  <c:v>2338.9499144648839</c:v>
                </c:pt>
                <c:pt idx="72" formatCode="0">
                  <c:v>2390.759841123886</c:v>
                </c:pt>
                <c:pt idx="73" formatCode="0">
                  <c:v>2433.7572283194595</c:v>
                </c:pt>
                <c:pt idx="74" formatCode="0">
                  <c:v>2469.1757865939749</c:v>
                </c:pt>
                <c:pt idx="75" formatCode="0">
                  <c:v>2498.1725018782945</c:v>
                </c:pt>
                <c:pt idx="76" formatCode="0">
                  <c:v>2521.7924473362295</c:v>
                </c:pt>
                <c:pt idx="77" formatCode="0">
                  <c:v>2540.9537923237012</c:v>
                </c:pt>
                <c:pt idx="78" formatCode="0">
                  <c:v>2556.4464565137037</c:v>
                </c:pt>
                <c:pt idx="79" formatCode="0">
                  <c:v>2568.9391450524281</c:v>
                </c:pt>
                <c:pt idx="80" formatCode="0">
                  <c:v>2578.9908973220035</c:v>
                </c:pt>
                <c:pt idx="81" formatCode="0">
                  <c:v>2587.0645111847912</c:v>
                </c:pt>
                <c:pt idx="82" formatCode="0">
                  <c:v>2593.540169122015</c:v>
                </c:pt>
                <c:pt idx="83" formatCode="0">
                  <c:v>2598.7282922214154</c:v>
                </c:pt>
                <c:pt idx="84" formatCode="0">
                  <c:v>2602.8811244210742</c:v>
                </c:pt>
                <c:pt idx="85" formatCode="0">
                  <c:v>2606.2028555843967</c:v>
                </c:pt>
                <c:pt idx="86" formatCode="0">
                  <c:v>2608.8582766121476</c:v>
                </c:pt>
                <c:pt idx="87" formatCode="0">
                  <c:v>2610.9800621511981</c:v>
                </c:pt>
                <c:pt idx="88" formatCode="0">
                  <c:v>2612.6748257001937</c:v>
                </c:pt>
                <c:pt idx="89" formatCode="0">
                  <c:v>2614.028108519648</c:v>
                </c:pt>
                <c:pt idx="90" formatCode="0">
                  <c:v>2615.1084614878873</c:v>
                </c:pt>
                <c:pt idx="91" formatCode="0">
                  <c:v>2615.9707667943894</c:v>
                </c:pt>
                <c:pt idx="92" formatCode="0">
                  <c:v>2616.6589296488069</c:v>
                </c:pt>
                <c:pt idx="93" formatCode="0">
                  <c:v>2617.2080522813549</c:v>
                </c:pt>
                <c:pt idx="94" formatCode="0">
                  <c:v>2617.6461852423276</c:v>
                </c:pt>
                <c:pt idx="95" formatCode="0">
                  <c:v>2617.9957352930619</c:v>
                </c:pt>
                <c:pt idx="96" formatCode="0">
                  <c:v>2618.2745953891331</c:v>
                </c:pt>
                <c:pt idx="97" formatCode="0">
                  <c:v>2618.4970504461385</c:v>
                </c:pt>
                <c:pt idx="98" formatCode="0">
                  <c:v>2618.6745026373965</c:v>
                </c:pt>
                <c:pt idx="99" formatCode="0">
                  <c:v>2618.8160517097999</c:v>
                </c:pt>
                <c:pt idx="100" formatCode="0">
                  <c:v>2618.9289589993732</c:v>
                </c:pt>
                <c:pt idx="101" formatCode="0">
                  <c:v>2619.0190182638667</c:v>
                </c:pt>
                <c:pt idx="102" formatCode="0">
                  <c:v>2619.3010522732375</c:v>
                </c:pt>
                <c:pt idx="103" formatCode="0">
                  <c:v>2619.3589640834371</c:v>
                </c:pt>
                <c:pt idx="104" formatCode="0">
                  <c:v>2619.3708542518293</c:v>
                </c:pt>
                <c:pt idx="105" formatCode="0">
                  <c:v>2619.3732954310976</c:v>
                </c:pt>
                <c:pt idx="106" formatCode="0">
                  <c:v>2619.3737966292401</c:v>
                </c:pt>
                <c:pt idx="107" formatCode="0">
                  <c:v>2619.3738995300619</c:v>
                </c:pt>
                <c:pt idx="108" formatCode="0">
                  <c:v>2619.3739206565911</c:v>
                </c:pt>
                <c:pt idx="109" formatCode="0">
                  <c:v>2619.3739249940709</c:v>
                </c:pt>
              </c:numCache>
            </c:numRef>
          </c:yVal>
          <c:smooth val="0"/>
        </c:ser>
        <c:ser>
          <c:idx val="5"/>
          <c:order val="4"/>
          <c:tx>
            <c:strRef>
              <c:f>myData!GenName</c:f>
              <c:strCache>
                <c:ptCount val="1"/>
                <c:pt idx="0">
                  <c:v>Ireland</c:v>
                </c:pt>
              </c:strCache>
            </c:strRef>
          </c:tx>
          <c:spPr>
            <a:ln w="19050" cap="rnd">
              <a:solidFill>
                <a:schemeClr val="bg2">
                  <a:lumMod val="10000"/>
                </a:schemeClr>
              </a:solidFill>
              <a:round/>
            </a:ln>
            <a:effectLst/>
          </c:spPr>
          <c:marker>
            <c:symbol val="x"/>
            <c:size val="3"/>
            <c:spPr>
              <a:solidFill>
                <a:schemeClr val="tx1">
                  <a:lumMod val="95000"/>
                  <a:lumOff val="5000"/>
                </a:schemeClr>
              </a:solidFill>
              <a:ln w="9525">
                <a:solidFill>
                  <a:schemeClr val="tx1">
                    <a:lumMod val="95000"/>
                    <a:lumOff val="5000"/>
                  </a:schemeClr>
                </a:solidFill>
              </a:ln>
              <a:effectLst/>
            </c:spPr>
          </c:marker>
          <c:xVal>
            <c:numRef>
              <c:f>myData!GenericDates</c:f>
              <c:numCache>
                <c:formatCode>m/d/yyyy</c:formatCode>
                <c:ptCount val="64"/>
                <c:pt idx="0">
                  <c:v>43890</c:v>
                </c:pt>
                <c:pt idx="1">
                  <c:v>43891</c:v>
                </c:pt>
                <c:pt idx="2">
                  <c:v>43892</c:v>
                </c:pt>
                <c:pt idx="3">
                  <c:v>43893</c:v>
                </c:pt>
                <c:pt idx="4">
                  <c:v>43894</c:v>
                </c:pt>
                <c:pt idx="5">
                  <c:v>43895</c:v>
                </c:pt>
                <c:pt idx="6">
                  <c:v>43896</c:v>
                </c:pt>
                <c:pt idx="7">
                  <c:v>43897</c:v>
                </c:pt>
                <c:pt idx="8">
                  <c:v>43898</c:v>
                </c:pt>
                <c:pt idx="9">
                  <c:v>43899</c:v>
                </c:pt>
                <c:pt idx="10">
                  <c:v>43900</c:v>
                </c:pt>
                <c:pt idx="11">
                  <c:v>43901</c:v>
                </c:pt>
                <c:pt idx="12">
                  <c:v>43902</c:v>
                </c:pt>
                <c:pt idx="13">
                  <c:v>43903</c:v>
                </c:pt>
                <c:pt idx="14">
                  <c:v>43904</c:v>
                </c:pt>
                <c:pt idx="15">
                  <c:v>43905</c:v>
                </c:pt>
                <c:pt idx="16">
                  <c:v>43906</c:v>
                </c:pt>
                <c:pt idx="17">
                  <c:v>43907</c:v>
                </c:pt>
                <c:pt idx="18">
                  <c:v>43908</c:v>
                </c:pt>
                <c:pt idx="19">
                  <c:v>43909</c:v>
                </c:pt>
                <c:pt idx="20">
                  <c:v>43910</c:v>
                </c:pt>
                <c:pt idx="21">
                  <c:v>43911</c:v>
                </c:pt>
                <c:pt idx="22">
                  <c:v>43912</c:v>
                </c:pt>
                <c:pt idx="23">
                  <c:v>43913</c:v>
                </c:pt>
                <c:pt idx="24">
                  <c:v>43914</c:v>
                </c:pt>
                <c:pt idx="25">
                  <c:v>43915</c:v>
                </c:pt>
                <c:pt idx="26">
                  <c:v>43916</c:v>
                </c:pt>
                <c:pt idx="27">
                  <c:v>43917</c:v>
                </c:pt>
                <c:pt idx="28">
                  <c:v>43918</c:v>
                </c:pt>
                <c:pt idx="29">
                  <c:v>43919</c:v>
                </c:pt>
                <c:pt idx="30">
                  <c:v>43920</c:v>
                </c:pt>
                <c:pt idx="31">
                  <c:v>43921</c:v>
                </c:pt>
                <c:pt idx="32">
                  <c:v>43922</c:v>
                </c:pt>
                <c:pt idx="33">
                  <c:v>43923</c:v>
                </c:pt>
                <c:pt idx="34">
                  <c:v>43924</c:v>
                </c:pt>
                <c:pt idx="35">
                  <c:v>43925</c:v>
                </c:pt>
                <c:pt idx="36">
                  <c:v>43926</c:v>
                </c:pt>
                <c:pt idx="37">
                  <c:v>43927</c:v>
                </c:pt>
                <c:pt idx="38">
                  <c:v>43928</c:v>
                </c:pt>
                <c:pt idx="39">
                  <c:v>43929</c:v>
                </c:pt>
                <c:pt idx="40">
                  <c:v>43930</c:v>
                </c:pt>
                <c:pt idx="41">
                  <c:v>43931</c:v>
                </c:pt>
                <c:pt idx="42">
                  <c:v>43932</c:v>
                </c:pt>
                <c:pt idx="43">
                  <c:v>43933</c:v>
                </c:pt>
                <c:pt idx="44">
                  <c:v>43934</c:v>
                </c:pt>
                <c:pt idx="45">
                  <c:v>43935</c:v>
                </c:pt>
                <c:pt idx="46">
                  <c:v>43936</c:v>
                </c:pt>
                <c:pt idx="47">
                  <c:v>43937</c:v>
                </c:pt>
                <c:pt idx="48">
                  <c:v>43938</c:v>
                </c:pt>
                <c:pt idx="49">
                  <c:v>43939</c:v>
                </c:pt>
                <c:pt idx="50">
                  <c:v>43940</c:v>
                </c:pt>
                <c:pt idx="51">
                  <c:v>43941</c:v>
                </c:pt>
                <c:pt idx="52">
                  <c:v>43942</c:v>
                </c:pt>
                <c:pt idx="53">
                  <c:v>43943</c:v>
                </c:pt>
                <c:pt idx="54">
                  <c:v>43944</c:v>
                </c:pt>
                <c:pt idx="55">
                  <c:v>43945</c:v>
                </c:pt>
                <c:pt idx="56">
                  <c:v>43946</c:v>
                </c:pt>
                <c:pt idx="57">
                  <c:v>43947</c:v>
                </c:pt>
                <c:pt idx="58">
                  <c:v>43948</c:v>
                </c:pt>
                <c:pt idx="59">
                  <c:v>43949</c:v>
                </c:pt>
                <c:pt idx="60">
                  <c:v>43950</c:v>
                </c:pt>
                <c:pt idx="61">
                  <c:v>43951</c:v>
                </c:pt>
                <c:pt idx="62">
                  <c:v>43952</c:v>
                </c:pt>
                <c:pt idx="63">
                  <c:v>43953</c:v>
                </c:pt>
              </c:numCache>
            </c:numRef>
          </c:xVal>
          <c:yVal>
            <c:numRef>
              <c:f>myData!GenericCases</c:f>
              <c:numCache>
                <c:formatCode>0.0</c:formatCode>
                <c:ptCount val="64"/>
                <c:pt idx="0">
                  <c:v>2.0408163265306123</c:v>
                </c:pt>
                <c:pt idx="1">
                  <c:v>2.0408163265306123</c:v>
                </c:pt>
                <c:pt idx="2">
                  <c:v>2.0408163265306123</c:v>
                </c:pt>
                <c:pt idx="3">
                  <c:v>4.0816326530612246</c:v>
                </c:pt>
                <c:pt idx="4">
                  <c:v>12.244897959183673</c:v>
                </c:pt>
                <c:pt idx="5">
                  <c:v>12.244897959183673</c:v>
                </c:pt>
                <c:pt idx="6">
                  <c:v>36.734693877551024</c:v>
                </c:pt>
                <c:pt idx="7">
                  <c:v>36.734693877551024</c:v>
                </c:pt>
                <c:pt idx="8">
                  <c:v>38.775510204081634</c:v>
                </c:pt>
                <c:pt idx="9">
                  <c:v>42.857142857142861</c:v>
                </c:pt>
                <c:pt idx="10">
                  <c:v>69.387755102040813</c:v>
                </c:pt>
                <c:pt idx="11">
                  <c:v>87.755102040816325</c:v>
                </c:pt>
                <c:pt idx="12">
                  <c:v>87.755102040816325</c:v>
                </c:pt>
                <c:pt idx="13">
                  <c:v>183.67346938775512</c:v>
                </c:pt>
                <c:pt idx="14">
                  <c:v>263.26530612244898</c:v>
                </c:pt>
                <c:pt idx="15">
                  <c:v>263.26530612244898</c:v>
                </c:pt>
                <c:pt idx="16">
                  <c:v>344.89795918367349</c:v>
                </c:pt>
                <c:pt idx="17">
                  <c:v>455.10204081632656</c:v>
                </c:pt>
                <c:pt idx="18">
                  <c:v>595.91836734693879</c:v>
                </c:pt>
                <c:pt idx="19">
                  <c:v>1136.7346938775511</c:v>
                </c:pt>
                <c:pt idx="20">
                  <c:v>1393.8775510204082</c:v>
                </c:pt>
                <c:pt idx="21">
                  <c:v>1602.0408163265306</c:v>
                </c:pt>
                <c:pt idx="22">
                  <c:v>1848.9795918367347</c:v>
                </c:pt>
                <c:pt idx="23">
                  <c:v>2295.9183673469388</c:v>
                </c:pt>
                <c:pt idx="24">
                  <c:v>2712.2448979591836</c:v>
                </c:pt>
                <c:pt idx="25">
                  <c:v>3191.8367346938776</c:v>
                </c:pt>
                <c:pt idx="26">
                  <c:v>3712.2448979591836</c:v>
                </c:pt>
                <c:pt idx="27">
                  <c:v>4328.5714285714284</c:v>
                </c:pt>
                <c:pt idx="28">
                  <c:v>4928.5714285714284</c:v>
                </c:pt>
                <c:pt idx="29">
                  <c:v>5336.7346938775509</c:v>
                </c:pt>
                <c:pt idx="30">
                  <c:v>5938.7755102040819</c:v>
                </c:pt>
                <c:pt idx="31">
                  <c:v>6602.0408163265311</c:v>
                </c:pt>
                <c:pt idx="32">
                  <c:v>7034.6938775510207</c:v>
                </c:pt>
                <c:pt idx="33">
                  <c:v>7855.1020408163267</c:v>
                </c:pt>
                <c:pt idx="34">
                  <c:v>8720.4081632653069</c:v>
                </c:pt>
                <c:pt idx="35">
                  <c:v>9395.9183673469397</c:v>
                </c:pt>
                <c:pt idx="36">
                  <c:v>10191.836734693878</c:v>
                </c:pt>
                <c:pt idx="37">
                  <c:v>10946.938775510203</c:v>
                </c:pt>
                <c:pt idx="38">
                  <c:v>11651.020408163266</c:v>
                </c:pt>
                <c:pt idx="39">
                  <c:v>12395.91836734694</c:v>
                </c:pt>
                <c:pt idx="40">
                  <c:v>13416.326530612245</c:v>
                </c:pt>
                <c:pt idx="41">
                  <c:v>16508.163265306124</c:v>
                </c:pt>
                <c:pt idx="42">
                  <c:v>18220.408163265307</c:v>
                </c:pt>
                <c:pt idx="43">
                  <c:v>19704.081632653062</c:v>
                </c:pt>
                <c:pt idx="44" formatCode="0">
                  <c:v>21728.571428571428</c:v>
                </c:pt>
                <c:pt idx="45" formatCode="0">
                  <c:v>23426.5306122449</c:v>
                </c:pt>
                <c:pt idx="46" formatCode="0">
                  <c:v>25606.122448979593</c:v>
                </c:pt>
                <c:pt idx="47" formatCode="0">
                  <c:v>27083.673469387755</c:v>
                </c:pt>
                <c:pt idx="48" formatCode="0">
                  <c:v>28530.612244897959</c:v>
                </c:pt>
                <c:pt idx="49" formatCode="0">
                  <c:v>30118.367346938776</c:v>
                </c:pt>
                <c:pt idx="50" formatCode="0">
                  <c:v>31124.489795918369</c:v>
                </c:pt>
                <c:pt idx="51" formatCode="0">
                  <c:v>31942.857142857145</c:v>
                </c:pt>
                <c:pt idx="52" formatCode="0">
                  <c:v>32734.693877551021</c:v>
                </c:pt>
                <c:pt idx="53">
                  <c:v>34022.448979591834</c:v>
                </c:pt>
                <c:pt idx="54">
                  <c:v>35932.65306122449</c:v>
                </c:pt>
                <c:pt idx="55">
                  <c:v>37110.204081632655</c:v>
                </c:pt>
                <c:pt idx="56">
                  <c:v>37879.591836734697</c:v>
                </c:pt>
                <c:pt idx="57">
                  <c:v>39310.204081632655</c:v>
                </c:pt>
                <c:pt idx="58">
                  <c:v>40097.959183673469</c:v>
                </c:pt>
                <c:pt idx="59">
                  <c:v>40565.306122448979</c:v>
                </c:pt>
                <c:pt idx="60">
                  <c:v>41332.65306122449</c:v>
                </c:pt>
                <c:pt idx="61">
                  <c:v>42065.306122448979</c:v>
                </c:pt>
                <c:pt idx="62">
                  <c:v>42516.326530612248</c:v>
                </c:pt>
                <c:pt idx="63">
                  <c:v>43216.326530612248</c:v>
                </c:pt>
              </c:numCache>
            </c:numRef>
          </c:yVal>
          <c:smooth val="0"/>
        </c:ser>
        <c:ser>
          <c:idx val="2"/>
          <c:order val="5"/>
          <c:tx>
            <c:strRef>
              <c:f>myData!GenericSeries</c:f>
              <c:strCache>
                <c:ptCount val="1"/>
                <c:pt idx="0">
                  <c:v>Ireland Limit 51.9 k r^2=99.41%</c:v>
                </c:pt>
              </c:strCache>
            </c:strRef>
          </c:tx>
          <c:spPr>
            <a:ln w="19050" cap="rnd">
              <a:solidFill>
                <a:schemeClr val="tx1">
                  <a:lumMod val="95000"/>
                  <a:lumOff val="5000"/>
                </a:schemeClr>
              </a:solidFill>
              <a:prstDash val="sysDot"/>
              <a:round/>
            </a:ln>
            <a:effectLst/>
          </c:spPr>
          <c:marker>
            <c:symbol val="none"/>
          </c:marker>
          <c:xVal>
            <c:numRef>
              <c:f>myData!GenericLogiDates</c:f>
              <c:numCache>
                <c:formatCode>m/d/yyyy</c:formatCode>
                <c:ptCount val="75"/>
                <c:pt idx="0">
                  <c:v>43891</c:v>
                </c:pt>
                <c:pt idx="1">
                  <c:v>43892</c:v>
                </c:pt>
                <c:pt idx="2">
                  <c:v>43893</c:v>
                </c:pt>
                <c:pt idx="3">
                  <c:v>43894</c:v>
                </c:pt>
                <c:pt idx="4">
                  <c:v>43895</c:v>
                </c:pt>
                <c:pt idx="5">
                  <c:v>43896</c:v>
                </c:pt>
                <c:pt idx="6">
                  <c:v>43897</c:v>
                </c:pt>
                <c:pt idx="7">
                  <c:v>43898</c:v>
                </c:pt>
                <c:pt idx="8">
                  <c:v>43899</c:v>
                </c:pt>
                <c:pt idx="9">
                  <c:v>43900</c:v>
                </c:pt>
                <c:pt idx="10">
                  <c:v>43901</c:v>
                </c:pt>
                <c:pt idx="11">
                  <c:v>43902</c:v>
                </c:pt>
                <c:pt idx="12">
                  <c:v>43903</c:v>
                </c:pt>
                <c:pt idx="13">
                  <c:v>43904</c:v>
                </c:pt>
                <c:pt idx="14">
                  <c:v>43905</c:v>
                </c:pt>
                <c:pt idx="15">
                  <c:v>43906</c:v>
                </c:pt>
                <c:pt idx="16">
                  <c:v>43907</c:v>
                </c:pt>
                <c:pt idx="17">
                  <c:v>43908</c:v>
                </c:pt>
                <c:pt idx="18">
                  <c:v>43909</c:v>
                </c:pt>
                <c:pt idx="19">
                  <c:v>43910</c:v>
                </c:pt>
                <c:pt idx="20">
                  <c:v>43911</c:v>
                </c:pt>
                <c:pt idx="21">
                  <c:v>43912</c:v>
                </c:pt>
                <c:pt idx="22">
                  <c:v>43913</c:v>
                </c:pt>
                <c:pt idx="23">
                  <c:v>43914</c:v>
                </c:pt>
                <c:pt idx="24">
                  <c:v>43915</c:v>
                </c:pt>
                <c:pt idx="25">
                  <c:v>43916</c:v>
                </c:pt>
                <c:pt idx="26">
                  <c:v>43917</c:v>
                </c:pt>
                <c:pt idx="27">
                  <c:v>43918</c:v>
                </c:pt>
                <c:pt idx="28">
                  <c:v>43919</c:v>
                </c:pt>
                <c:pt idx="29">
                  <c:v>43920</c:v>
                </c:pt>
                <c:pt idx="30">
                  <c:v>43921</c:v>
                </c:pt>
                <c:pt idx="31">
                  <c:v>43922</c:v>
                </c:pt>
                <c:pt idx="32">
                  <c:v>43923</c:v>
                </c:pt>
                <c:pt idx="33">
                  <c:v>43924</c:v>
                </c:pt>
                <c:pt idx="34">
                  <c:v>43925</c:v>
                </c:pt>
                <c:pt idx="35">
                  <c:v>43926</c:v>
                </c:pt>
                <c:pt idx="36">
                  <c:v>43927</c:v>
                </c:pt>
                <c:pt idx="37">
                  <c:v>43928</c:v>
                </c:pt>
                <c:pt idx="38">
                  <c:v>43929</c:v>
                </c:pt>
                <c:pt idx="39">
                  <c:v>43930</c:v>
                </c:pt>
                <c:pt idx="40">
                  <c:v>43931</c:v>
                </c:pt>
                <c:pt idx="41">
                  <c:v>43932</c:v>
                </c:pt>
                <c:pt idx="42">
                  <c:v>43933</c:v>
                </c:pt>
                <c:pt idx="43">
                  <c:v>43934</c:v>
                </c:pt>
                <c:pt idx="44">
                  <c:v>43935</c:v>
                </c:pt>
                <c:pt idx="45">
                  <c:v>43936</c:v>
                </c:pt>
                <c:pt idx="46">
                  <c:v>43937</c:v>
                </c:pt>
                <c:pt idx="47">
                  <c:v>43938</c:v>
                </c:pt>
                <c:pt idx="48">
                  <c:v>43939</c:v>
                </c:pt>
                <c:pt idx="49">
                  <c:v>43940</c:v>
                </c:pt>
                <c:pt idx="50">
                  <c:v>43941</c:v>
                </c:pt>
                <c:pt idx="51">
                  <c:v>43942</c:v>
                </c:pt>
                <c:pt idx="52">
                  <c:v>43943</c:v>
                </c:pt>
                <c:pt idx="53">
                  <c:v>43944</c:v>
                </c:pt>
                <c:pt idx="54">
                  <c:v>43945</c:v>
                </c:pt>
                <c:pt idx="55">
                  <c:v>43946</c:v>
                </c:pt>
                <c:pt idx="56">
                  <c:v>43947</c:v>
                </c:pt>
                <c:pt idx="57">
                  <c:v>43948</c:v>
                </c:pt>
                <c:pt idx="58">
                  <c:v>43949</c:v>
                </c:pt>
                <c:pt idx="59">
                  <c:v>43950</c:v>
                </c:pt>
                <c:pt idx="60">
                  <c:v>43951</c:v>
                </c:pt>
                <c:pt idx="61">
                  <c:v>43952</c:v>
                </c:pt>
                <c:pt idx="62">
                  <c:v>43953</c:v>
                </c:pt>
                <c:pt idx="63">
                  <c:v>43954</c:v>
                </c:pt>
                <c:pt idx="64">
                  <c:v>43955</c:v>
                </c:pt>
                <c:pt idx="65">
                  <c:v>43956</c:v>
                </c:pt>
                <c:pt idx="66">
                  <c:v>43957</c:v>
                </c:pt>
                <c:pt idx="67">
                  <c:v>43964</c:v>
                </c:pt>
                <c:pt idx="68">
                  <c:v>43971</c:v>
                </c:pt>
                <c:pt idx="69">
                  <c:v>43978</c:v>
                </c:pt>
                <c:pt idx="70">
                  <c:v>43985</c:v>
                </c:pt>
                <c:pt idx="71">
                  <c:v>43992</c:v>
                </c:pt>
                <c:pt idx="72">
                  <c:v>43999</c:v>
                </c:pt>
                <c:pt idx="73">
                  <c:v>44006</c:v>
                </c:pt>
                <c:pt idx="74">
                  <c:v>44013</c:v>
                </c:pt>
              </c:numCache>
            </c:numRef>
          </c:xVal>
          <c:yVal>
            <c:numRef>
              <c:f>myData!GenericLogi</c:f>
              <c:numCache>
                <c:formatCode>0</c:formatCode>
                <c:ptCount val="75"/>
                <c:pt idx="0">
                  <c:v>142.24750904563021</c:v>
                </c:pt>
                <c:pt idx="1">
                  <c:v>161.81797907168252</c:v>
                </c:pt>
                <c:pt idx="2">
                  <c:v>184.07138150846478</c:v>
                </c:pt>
                <c:pt idx="3">
                  <c:v>209.37270747292948</c:v>
                </c:pt>
                <c:pt idx="4">
                  <c:v>238.135776283116</c:v>
                </c:pt>
                <c:pt idx="5">
                  <c:v>270.82952522899512</c:v>
                </c:pt>
                <c:pt idx="6">
                  <c:v>307.98503803457675</c:v>
                </c:pt>
                <c:pt idx="7">
                  <c:v>350.20337724783747</c:v>
                </c:pt>
                <c:pt idx="8">
                  <c:v>398.16428464163135</c:v>
                </c:pt>
                <c:pt idx="9">
                  <c:v>452.63580970820709</c:v>
                </c:pt>
                <c:pt idx="10">
                  <c:v>514.4849184352895</c:v>
                </c:pt>
                <c:pt idx="11">
                  <c:v>584.68912143953787</c:v>
                </c:pt>
                <c:pt idx="12">
                  <c:v>664.34914055277341</c:v>
                </c:pt>
                <c:pt idx="13">
                  <c:v>754.70260407756405</c:v>
                </c:pt>
                <c:pt idx="14">
                  <c:v>857.13872069556351</c:v>
                </c:pt>
                <c:pt idx="15">
                  <c:v>973.21382750951898</c:v>
                </c:pt>
                <c:pt idx="16">
                  <c:v>1104.6676355493507</c:v>
                </c:pt>
                <c:pt idx="17">
                  <c:v>1253.4399024745019</c:v>
                </c:pt>
                <c:pt idx="18">
                  <c:v>1421.687143057949</c:v>
                </c:pt>
                <c:pt idx="19">
                  <c:v>1611.7988391748288</c:v>
                </c:pt>
                <c:pt idx="20">
                  <c:v>1826.4124286083754</c:v>
                </c:pt>
                <c:pt idx="21">
                  <c:v>2068.4261331585362</c:v>
                </c:pt>
                <c:pt idx="22">
                  <c:v>2341.0084303140261</c:v>
                </c:pt>
                <c:pt idx="23">
                  <c:v>2647.6026813294525</c:v>
                </c:pt>
                <c:pt idx="24">
                  <c:v>2991.9251090409407</c:v>
                </c:pt>
                <c:pt idx="25">
                  <c:v>3377.9539853234373</c:v>
                </c:pt>
                <c:pt idx="26">
                  <c:v>3809.9075645026132</c:v>
                </c:pt>
                <c:pt idx="27">
                  <c:v>4292.2080213409708</c:v>
                </c:pt>
                <c:pt idx="28">
                  <c:v>4829.4284712233648</c:v>
                </c:pt>
                <c:pt idx="29">
                  <c:v>5426.2201329120262</c:v>
                </c:pt>
                <c:pt idx="30">
                  <c:v>6087.2169234905705</c:v>
                </c:pt>
                <c:pt idx="31">
                  <c:v>6816.9153454438274</c:v>
                </c:pt>
                <c:pt idx="32">
                  <c:v>7619.5285346770806</c:v>
                </c:pt>
                <c:pt idx="33">
                  <c:v>8498.8148705448002</c:v>
                </c:pt>
                <c:pt idx="34">
                  <c:v>9457.8836541703331</c:v>
                </c:pt>
                <c:pt idx="35">
                  <c:v>10498.98302434488</c:v>
                </c:pt>
                <c:pt idx="36">
                  <c:v>11623.278388707826</c:v>
                </c:pt>
                <c:pt idx="37">
                  <c:v>12830.632963128086</c:v>
                </c:pt>
                <c:pt idx="38">
                  <c:v>14119.405154420998</c:v>
                </c:pt>
                <c:pt idx="39">
                  <c:v>15486.279981412899</c:v>
                </c:pt>
                <c:pt idx="40">
                  <c:v>16926.152918136806</c:v>
                </c:pt>
                <c:pt idx="41">
                  <c:v>18432.083886381406</c:v>
                </c:pt>
                <c:pt idx="42">
                  <c:v>19995.336194400716</c:v>
                </c:pt>
                <c:pt idx="43">
                  <c:v>21605.509876590491</c:v>
                </c:pt>
                <c:pt idx="44">
                  <c:v>23250.771408588982</c:v>
                </c:pt>
                <c:pt idx="45">
                  <c:v>24918.172887025379</c:v>
                </c:pt>
                <c:pt idx="46">
                  <c:v>26594.044607654876</c:v>
                </c:pt>
                <c:pt idx="47">
                  <c:v>28264.436907772055</c:v>
                </c:pt>
                <c:pt idx="48">
                  <c:v>29915.581471515561</c:v>
                </c:pt>
                <c:pt idx="49">
                  <c:v>31534.340005396134</c:v>
                </c:pt>
                <c:pt idx="50">
                  <c:v>33108.609681521993</c:v>
                </c:pt>
                <c:pt idx="51">
                  <c:v>34627.659753197346</c:v>
                </c:pt>
                <c:pt idx="52">
                  <c:v>36082.381402942883</c:v>
                </c:pt>
                <c:pt idx="53">
                  <c:v>37465.441922208636</c:v>
                </c:pt>
                <c:pt idx="54">
                  <c:v>38771.343372221454</c:v>
                </c:pt>
                <c:pt idx="55">
                  <c:v>39996.393735086473</c:v>
                </c:pt>
                <c:pt idx="56">
                  <c:v>41138.604404616613</c:v>
                </c:pt>
                <c:pt idx="57">
                  <c:v>42197.531316122746</c:v>
                </c:pt>
                <c:pt idx="58">
                  <c:v>43174.078131362716</c:v>
                </c:pt>
                <c:pt idx="59">
                  <c:v>44070.279057102554</c:v>
                </c:pt>
                <c:pt idx="60">
                  <c:v>44889.076638204329</c:v>
                </c:pt>
                <c:pt idx="61">
                  <c:v>45634.10682387538</c:v>
                </c:pt>
                <c:pt idx="62">
                  <c:v>46309.50029080535</c:v>
                </c:pt>
                <c:pt idx="63">
                  <c:v>46919.705829179744</c:v>
                </c:pt>
                <c:pt idx="64">
                  <c:v>47469.338825390201</c:v>
                </c:pt>
                <c:pt idx="65">
                  <c:v>47963.055646039174</c:v>
                </c:pt>
                <c:pt idx="66">
                  <c:v>48405.453074857149</c:v>
                </c:pt>
                <c:pt idx="67">
                  <c:v>50411.616483966427</c:v>
                </c:pt>
                <c:pt idx="68">
                  <c:v>51271.265155326015</c:v>
                </c:pt>
                <c:pt idx="69">
                  <c:v>51627.425685881499</c:v>
                </c:pt>
                <c:pt idx="70">
                  <c:v>51772.921122309679</c:v>
                </c:pt>
                <c:pt idx="71">
                  <c:v>51832.014925310898</c:v>
                </c:pt>
                <c:pt idx="72">
                  <c:v>51855.959817972485</c:v>
                </c:pt>
                <c:pt idx="73">
                  <c:v>51865.653072127796</c:v>
                </c:pt>
                <c:pt idx="74">
                  <c:v>51869.575532489856</c:v>
                </c:pt>
              </c:numCache>
            </c:numRef>
          </c:yVal>
          <c:smooth val="0"/>
        </c:ser>
        <c:ser>
          <c:idx val="6"/>
          <c:order val="6"/>
          <c:tx>
            <c:strRef>
              <c:f>myData!NSWLogestLabel</c:f>
              <c:strCache>
                <c:ptCount val="1"/>
                <c:pt idx="0">
                  <c:v>NSW Exponential Growth: 
y = 1.1 x 1.101^ [day#], r^2=89.8% mse=3296</c:v>
                </c:pt>
              </c:strCache>
            </c:strRef>
          </c:tx>
          <c:spPr>
            <a:ln w="19050" cap="rnd">
              <a:solidFill>
                <a:schemeClr val="accent6">
                  <a:lumMod val="75000"/>
                </a:schemeClr>
              </a:solidFill>
              <a:prstDash val="dashDot"/>
              <a:round/>
            </a:ln>
            <a:effectLst/>
          </c:spPr>
          <c:marker>
            <c:symbol val="none"/>
          </c:marker>
          <c:xVal>
            <c:numRef>
              <c:f>myData!NSWLogiDates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myData!NSWLogest</c:f>
              <c:numCache>
                <c:formatCode>0.0</c:formatCode>
                <c:ptCount val="110"/>
                <c:pt idx="0">
                  <c:v>1.5601750735323439</c:v>
                </c:pt>
                <c:pt idx="1">
                  <c:v>1.7176835344636716</c:v>
                </c:pt>
                <c:pt idx="2">
                  <c:v>1.8910933616492276</c:v>
                </c:pt>
                <c:pt idx="3">
                  <c:v>2.0820098875724615</c:v>
                </c:pt>
                <c:pt idx="4">
                  <c:v>2.292200512072621</c:v>
                </c:pt>
                <c:pt idx="5">
                  <c:v>2.5236110639571208</c:v>
                </c:pt>
                <c:pt idx="6">
                  <c:v>2.7783838144108328</c:v>
                </c:pt>
                <c:pt idx="7">
                  <c:v>3.0588773089604944</c:v>
                </c:pt>
                <c:pt idx="8">
                  <c:v>3.3676882015876299</c:v>
                </c:pt>
                <c:pt idx="9">
                  <c:v>3.7076752931181383</c:v>
                </c:pt>
                <c:pt idx="10">
                  <c:v>4.0819859964227065</c:v>
                </c:pt>
                <c:pt idx="11">
                  <c:v>4.4940854734282558</c:v>
                </c:pt>
                <c:pt idx="12">
                  <c:v>4.9477887136748055</c:v>
                </c:pt>
                <c:pt idx="13">
                  <c:v>5.447295851383319</c:v>
                </c:pt>
                <c:pt idx="14">
                  <c:v>5.9972310479804776</c:v>
                </c:pt>
                <c:pt idx="15">
                  <c:v>6.6026853000332979</c:v>
                </c:pt>
                <c:pt idx="16">
                  <c:v>7.2692635688858838</c:v>
                </c:pt>
                <c:pt idx="17">
                  <c:v>8.0031366682984366</c:v>
                </c:pt>
                <c:pt idx="18">
                  <c:v>8.8110983904356583</c:v>
                </c:pt>
                <c:pt idx="19">
                  <c:v>9.7006283990454598</c:v>
                </c:pt>
                <c:pt idx="20">
                  <c:v>10.679961472058247</c:v>
                </c:pt>
                <c:pt idx="21">
                  <c:v>11.758163734616636</c:v>
                </c:pt>
                <c:pt idx="22">
                  <c:v>12.945216588258852</c:v>
                </c:pt>
                <c:pt idx="23">
                  <c:v>14.252109113225908</c:v>
                </c:pt>
                <c:pt idx="24">
                  <c:v>15.690939799302132</c:v>
                </c:pt>
                <c:pt idx="25">
                  <c:v>17.275028546957003</c:v>
                </c:pt>
                <c:pt idx="26">
                  <c:v>19.019039975633081</c:v>
                </c:pt>
                <c:pt idx="27">
                  <c:v>20.939119180700104</c:v>
                </c:pt>
                <c:pt idx="28">
                  <c:v>23.053041195838201</c:v>
                </c:pt>
                <c:pt idx="29">
                  <c:v>25.380375544490509</c:v>
                </c:pt>
                <c:pt idx="30">
                  <c:v>27.942667403711749</c:v>
                </c:pt>
                <c:pt idx="31">
                  <c:v>30.763637057527575</c:v>
                </c:pt>
                <c:pt idx="32">
                  <c:v>33.869399486234059</c:v>
                </c:pt>
                <c:pt idx="33">
                  <c:v>37.28870612447362</c:v>
                </c:pt>
                <c:pt idx="34">
                  <c:v>41.053211026150379</c:v>
                </c:pt>
                <c:pt idx="35">
                  <c:v>45.197763900192903</c:v>
                </c:pt>
                <c:pt idx="36">
                  <c:v>49.760732729927469</c:v>
                </c:pt>
                <c:pt idx="37">
                  <c:v>54.784358962694313</c:v>
                </c:pt>
                <c:pt idx="38">
                  <c:v>60.315148557856041</c:v>
                </c:pt>
                <c:pt idx="39">
                  <c:v>66.404302513304984</c:v>
                </c:pt>
                <c:pt idx="40">
                  <c:v>73.108190856046249</c:v>
                </c:pt>
                <c:pt idx="41">
                  <c:v>80.488874484799865</c:v>
                </c:pt>
                <c:pt idx="42">
                  <c:v>88.614679695552582</c:v>
                </c:pt>
                <c:pt idx="43">
                  <c:v>97.560830708700237</c:v>
                </c:pt>
                <c:pt idx="44">
                  <c:v>107.4101460533673</c:v>
                </c:pt>
                <c:pt idx="45">
                  <c:v>118.25380525564611</c:v>
                </c:pt>
                <c:pt idx="46">
                  <c:v>130.19219292833165</c:v>
                </c:pt>
                <c:pt idx="47">
                  <c:v>143.33582807626939</c:v>
                </c:pt>
                <c:pt idx="48">
                  <c:v>157.80638722031185</c:v>
                </c:pt>
                <c:pt idx="49">
                  <c:v>173.73783081140138</c:v>
                </c:pt>
                <c:pt idx="50">
                  <c:v>191.27764336249837</c:v>
                </c:pt>
                <c:pt idx="51">
                  <c:v>210.58819877881268</c:v>
                </c:pt>
                <c:pt idx="52">
                  <c:v>231.84826352581149</c:v>
                </c:pt>
                <c:pt idx="53">
                  <c:v>255.25465155050421</c:v>
                </c:pt>
                <c:pt idx="54">
                  <c:v>281.02404627635116</c:v>
                </c:pt>
                <c:pt idx="55">
                  <c:v>309.39500653882118</c:v>
                </c:pt>
                <c:pt idx="56">
                  <c:v>340.63017503144073</c:v>
                </c:pt>
                <c:pt idx="57">
                  <c:v>375.01870970691073</c:v>
                </c:pt>
                <c:pt idx="58">
                  <c:v>412.87896064186037</c:v>
                </c:pt>
                <c:pt idx="59">
                  <c:v>454.56141714617371</c:v>
                </c:pt>
                <c:pt idx="60">
                  <c:v>500.45195239960253</c:v>
                </c:pt>
                <c:pt idx="61">
                  <c:v>550.97539565271995</c:v>
                </c:pt>
                <c:pt idx="62">
                  <c:v>606.59946506167796</c:v>
                </c:pt>
                <c:pt idx="63">
                  <c:v>667.83909756478693</c:v>
                </c:pt>
                <c:pt idx="64">
                  <c:v>735.26121588452042</c:v>
                </c:pt>
                <c:pt idx="65">
                  <c:v>809.48997678522244</c:v>
                </c:pt>
                <c:pt idx="66">
                  <c:v>891.21254917198951</c:v>
                </c:pt>
                <c:pt idx="67">
                  <c:v>981.1854755211782</c:v>
                </c:pt>
                <c:pt idx="68">
                  <c:v>1080.2416755331508</c:v>
                </c:pt>
                <c:pt idx="69">
                  <c:v>1189.2981568432133</c:v>
                </c:pt>
                <c:pt idx="70">
                  <c:v>1309.3645041722498</c:v>
                </c:pt>
                <c:pt idx="71">
                  <c:v>1441.552225504927</c:v>
                </c:pt>
                <c:pt idx="72">
                  <c:v>1587.0850418172267</c:v>
                </c:pt>
                <c:pt idx="73">
                  <c:v>1747.3102156099301</c:v>
                </c:pt>
                <c:pt idx="74">
                  <c:v>1923.7110231213578</c:v>
                </c:pt>
                <c:pt idx="75">
                  <c:v>2117.9204856802362</c:v>
                </c:pt>
                <c:pt idx="76">
                  <c:v>2331.7364873159713</c:v>
                </c:pt>
                <c:pt idx="77">
                  <c:v>2567.1384185768256</c:v>
                </c:pt>
                <c:pt idx="78">
                  <c:v>2826.3055006352843</c:v>
                </c:pt>
                <c:pt idx="79">
                  <c:v>3111.6369593150598</c:v>
                </c:pt>
                <c:pt idx="80">
                  <c:v>3425.7742357997504</c:v>
                </c:pt>
                <c:pt idx="81">
                  <c:v>3771.6254396376303</c:v>
                </c:pt>
                <c:pt idx="82">
                  <c:v>4152.3922704150036</c:v>
                </c:pt>
                <c:pt idx="83">
                  <c:v>4571.5996573241055</c:v>
                </c:pt>
                <c:pt idx="84">
                  <c:v>5033.1283910123238</c:v>
                </c:pt>
                <c:pt idx="85">
                  <c:v>5541.2510498003903</c:v>
                </c:pt>
                <c:pt idx="86">
                  <c:v>6100.6715528546401</c:v>
                </c:pt>
                <c:pt idx="87">
                  <c:v>6716.5687064747844</c:v>
                </c:pt>
                <c:pt idx="88">
                  <c:v>7394.6441466246952</c:v>
                </c:pt>
                <c:pt idx="89">
                  <c:v>8141.175121531699</c:v>
                </c:pt>
                <c:pt idx="90">
                  <c:v>8963.0726029865509</c:v>
                </c:pt>
                <c:pt idx="91">
                  <c:v>9867.9452643064396</c:v>
                </c:pt>
                <c:pt idx="92">
                  <c:v>10864.169917233681</c:v>
                </c:pt>
                <c:pt idx="93">
                  <c:v>11960.969059836076</c:v>
                </c:pt>
                <c:pt idx="94">
                  <c:v>13168.496253304571</c:v>
                </c:pt>
                <c:pt idx="95">
                  <c:v>14497.930118019474</c:v>
                </c:pt>
                <c:pt idx="96">
                  <c:v>15961.577819049004</c:v>
                </c:pt>
                <c:pt idx="97">
                  <c:v>17572.988999091747</c:v>
                </c:pt>
                <c:pt idx="98">
                  <c:v>19347.081213591362</c:v>
                </c:pt>
                <c:pt idx="99">
                  <c:v>21300.278029232584</c:v>
                </c:pt>
                <c:pt idx="100">
                  <c:v>23450.661064258202</c:v>
                </c:pt>
                <c:pt idx="101">
                  <c:v>25818.137378112384</c:v>
                </c:pt>
                <c:pt idx="102">
                  <c:v>50619.008036533378</c:v>
                </c:pt>
                <c:pt idx="103">
                  <c:v>99243.564207495307</c:v>
                </c:pt>
                <c:pt idx="104">
                  <c:v>194576.80856761744</c:v>
                </c:pt>
                <c:pt idx="105">
                  <c:v>381487.04890528187</c:v>
                </c:pt>
                <c:pt idx="106">
                  <c:v>747943.03367293079</c:v>
                </c:pt>
                <c:pt idx="107">
                  <c:v>1466416.1816899925</c:v>
                </c:pt>
                <c:pt idx="108">
                  <c:v>2875053.7422113339</c:v>
                </c:pt>
                <c:pt idx="109">
                  <c:v>5636826.7916119136</c:v>
                </c:pt>
              </c:numCache>
            </c:numRef>
          </c:yVal>
          <c:smooth val="0"/>
        </c:ser>
        <c:dLbls>
          <c:showLegendKey val="0"/>
          <c:showVal val="0"/>
          <c:showCatName val="0"/>
          <c:showSerName val="0"/>
          <c:showPercent val="0"/>
          <c:showBubbleSize val="0"/>
        </c:dLbls>
        <c:axId val="983144760"/>
        <c:axId val="983145152"/>
      </c:scatterChart>
      <c:valAx>
        <c:axId val="983144760"/>
        <c:scaling>
          <c:orientation val="minMax"/>
          <c:max val="43954"/>
          <c:min val="4384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45152"/>
        <c:crossesAt val="0.1"/>
        <c:crossBetween val="midCat"/>
        <c:majorUnit val="14"/>
        <c:minorUnit val="7"/>
      </c:valAx>
      <c:valAx>
        <c:axId val="983145152"/>
        <c:scaling>
          <c:logBase val="10"/>
          <c:orientation val="minMax"/>
          <c:max val="10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44760"/>
        <c:crosses val="autoZero"/>
        <c:crossBetween val="midCat"/>
      </c:valAx>
      <c:spPr>
        <a:noFill/>
        <a:ln>
          <a:noFill/>
        </a:ln>
        <a:effectLst/>
      </c:spPr>
    </c:plotArea>
    <c:legend>
      <c:legendPos val="b"/>
      <c:layout>
        <c:manualLayout>
          <c:xMode val="edge"/>
          <c:yMode val="edge"/>
          <c:x val="0.55931483894911649"/>
          <c:y val="0.62915367623245999"/>
          <c:w val="0.31433134035140914"/>
          <c:h val="0.3495405615734497"/>
        </c:manualLayout>
      </c:layout>
      <c:overlay val="1"/>
      <c:spPr>
        <a:solidFill>
          <a:schemeClr val="bg1">
            <a:alpha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myData!$EX$12</c:f>
          <c:strCache>
            <c:ptCount val="1"/>
            <c:pt idx="0">
              <c:v>COVID19 NSW P(t) = b / {d+[( b/Po - d ) ]* exp(-b*t)}
b=0.234, d=7.88E-05, P0=.639, r2=0.9995, Limit=3.68 k=&gt;2.97 k cases 
 (Fit: Sat 25-Jan - Sun 03-May)</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7791892379594115"/>
          <c:w val="0.43460159270882204"/>
          <c:h val="0.68992130218377157"/>
        </c:manualLayout>
      </c:layout>
      <c:scatterChart>
        <c:scatterStyle val="lineMarker"/>
        <c:varyColors val="0"/>
        <c:ser>
          <c:idx val="1"/>
          <c:order val="0"/>
          <c:tx>
            <c:v>NSW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myData!NSWDates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myData!NSWCases</c:f>
              <c:numCache>
                <c:formatCode>0</c:formatCode>
                <c:ptCount val="9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2956.6831683168316</c:v>
                </c:pt>
                <c:pt idx="69">
                  <c:v>3085.3960396039602</c:v>
                </c:pt>
                <c:pt idx="70">
                  <c:v>3193.0693069306931</c:v>
                </c:pt>
                <c:pt idx="71">
                  <c:v>3263.6138613861385</c:v>
                </c:pt>
                <c:pt idx="72">
                  <c:v>3324.257425742574</c:v>
                </c:pt>
                <c:pt idx="73">
                  <c:v>3383.6633663366333</c:v>
                </c:pt>
                <c:pt idx="74">
                  <c:v>3431.9306930693069</c:v>
                </c:pt>
                <c:pt idx="75">
                  <c:v>3492.5742574257424</c:v>
                </c:pt>
                <c:pt idx="76">
                  <c:v>3535.8910891089108</c:v>
                </c:pt>
                <c:pt idx="77">
                  <c:v>3532.1782178217818</c:v>
                </c:pt>
                <c:pt idx="78">
                  <c:v>3543.3168316831679</c:v>
                </c:pt>
                <c:pt idx="79">
                  <c:v>3551.9801980198017</c:v>
                </c:pt>
                <c:pt idx="80">
                  <c:v>3571.7821782178216</c:v>
                </c:pt>
                <c:pt idx="81">
                  <c:v>3585.3960396039602</c:v>
                </c:pt>
                <c:pt idx="82">
                  <c:v>3621.287128712871</c:v>
                </c:pt>
                <c:pt idx="83">
                  <c:v>3633.6633663366333</c:v>
                </c:pt>
                <c:pt idx="84">
                  <c:v>3659.6534653465346</c:v>
                </c:pt>
                <c:pt idx="85">
                  <c:v>3667.0792079207918</c:v>
                </c:pt>
                <c:pt idx="86">
                  <c:v>3674.5049504950493</c:v>
                </c:pt>
                <c:pt idx="87">
                  <c:v>3676.9801980198017</c:v>
                </c:pt>
                <c:pt idx="88">
                  <c:v>3683.1683168316831</c:v>
                </c:pt>
                <c:pt idx="89">
                  <c:v>3690.5940594059402</c:v>
                </c:pt>
                <c:pt idx="90">
                  <c:v>3705.4455445544554</c:v>
                </c:pt>
                <c:pt idx="91">
                  <c:v>3715.3465346534649</c:v>
                </c:pt>
                <c:pt idx="92">
                  <c:v>3717.8217821782177</c:v>
                </c:pt>
                <c:pt idx="93">
                  <c:v>3724.0099009900987</c:v>
                </c:pt>
                <c:pt idx="94">
                  <c:v>3732.6732673267325</c:v>
                </c:pt>
                <c:pt idx="95">
                  <c:v>3732.6732673267325</c:v>
                </c:pt>
                <c:pt idx="96">
                  <c:v>3743.8118811881186</c:v>
                </c:pt>
                <c:pt idx="97">
                  <c:v>3751.2376237623762</c:v>
                </c:pt>
                <c:pt idx="98">
                  <c:v>3756.1881188118809</c:v>
                </c:pt>
              </c:numCache>
            </c:numRef>
          </c:yVal>
          <c:smooth val="0"/>
        </c:ser>
        <c:ser>
          <c:idx val="0"/>
          <c:order val="1"/>
          <c:tx>
            <c:strRef>
              <c:f>myData!$EH$12</c:f>
              <c:strCache>
                <c:ptCount val="1"/>
                <c:pt idx="0">
                  <c:v>NSW Limit 3.68 k r^2=99.95%</c:v>
                </c:pt>
              </c:strCache>
            </c:strRef>
          </c:tx>
          <c:spPr>
            <a:ln w="15875" cap="rnd">
              <a:solidFill>
                <a:schemeClr val="accent1"/>
              </a:solidFill>
              <a:prstDash val="sysDash"/>
              <a:round/>
            </a:ln>
            <a:effectLst/>
          </c:spPr>
          <c:marker>
            <c:symbol val="none"/>
          </c:marker>
          <c:xVal>
            <c:numRef>
              <c:f>myData!NSWLogiDates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myData!NSWLogi</c:f>
              <c:numCache>
                <c:formatCode>0.000</c:formatCode>
                <c:ptCount val="110"/>
                <c:pt idx="0">
                  <c:v>1.9323202711800784E-3</c:v>
                </c:pt>
                <c:pt idx="1">
                  <c:v>2.4424763363982659E-3</c:v>
                </c:pt>
                <c:pt idx="2">
                  <c:v>3.0873196977277656E-3</c:v>
                </c:pt>
                <c:pt idx="3">
                  <c:v>3.9024093429296958E-3</c:v>
                </c:pt>
                <c:pt idx="4">
                  <c:v>4.9326921991622672E-3</c:v>
                </c:pt>
                <c:pt idx="5">
                  <c:v>6.234981621645843E-3</c:v>
                </c:pt>
                <c:pt idx="6">
                  <c:v>7.8810902080967277E-3</c:v>
                </c:pt>
                <c:pt idx="7">
                  <c:v>9.9617896735686873E-3</c:v>
                </c:pt>
                <c:pt idx="8">
                  <c:v>1.2591816115188897E-2</c:v>
                </c:pt>
                <c:pt idx="9">
                  <c:v>1.5916196623209006E-2</c:v>
                </c:pt>
                <c:pt idx="10">
                  <c:v>2.0118246027134322E-2</c:v>
                </c:pt>
                <c:pt idx="11">
                  <c:v>2.542967461259309E-2</c:v>
                </c:pt>
                <c:pt idx="12">
                  <c:v>3.2143363970527056E-2</c:v>
                </c:pt>
                <c:pt idx="13">
                  <c:v>4.0629515141740402E-2</c:v>
                </c:pt>
                <c:pt idx="14">
                  <c:v>5.1356058974076475E-2</c:v>
                </c:pt>
                <c:pt idx="15">
                  <c:v>6.4914453313394321E-2</c:v>
                </c:pt>
                <c:pt idx="16">
                  <c:v>8.2052288171588814E-2</c:v>
                </c:pt>
                <c:pt idx="17">
                  <c:v>0.10371449458831744</c:v>
                </c:pt>
                <c:pt idx="18">
                  <c:v>0.13109542599449503</c:v>
                </c:pt>
                <c:pt idx="19">
                  <c:v>0.16570467828149141</c:v>
                </c:pt>
                <c:pt idx="20">
                  <c:v>0.20945026894132809</c:v>
                </c:pt>
                <c:pt idx="21">
                  <c:v>0.26474374738801643</c:v>
                </c:pt>
                <c:pt idx="22">
                  <c:v>0.33463300915271144</c:v>
                </c:pt>
                <c:pt idx="23">
                  <c:v>0.42297010030836435</c:v>
                </c:pt>
                <c:pt idx="24">
                  <c:v>0.53462320555979392</c:v>
                </c:pt>
                <c:pt idx="25">
                  <c:v>0.67574441409610775</c:v>
                </c:pt>
                <c:pt idx="26">
                  <c:v>0.85410787594612181</c:v>
                </c:pt>
                <c:pt idx="27">
                  <c:v>1.0795367519324917</c:v>
                </c:pt>
                <c:pt idx="28">
                  <c:v>1.3644421110984533</c:v>
                </c:pt>
                <c:pt idx="29">
                  <c:v>1.7245028702952629</c:v>
                </c:pt>
                <c:pt idx="30">
                  <c:v>2.1795232775130127</c:v>
                </c:pt>
                <c:pt idx="31">
                  <c:v>2.7545136398933274</c:v>
                </c:pt>
                <c:pt idx="32">
                  <c:v>3.4810513659712528</c:v>
                </c:pt>
                <c:pt idx="33">
                  <c:v>4.3989933492133915</c:v>
                </c:pt>
                <c:pt idx="34">
                  <c:v>5.5586277073989905</c:v>
                </c:pt>
                <c:pt idx="35">
                  <c:v>7.0233733265760696</c:v>
                </c:pt>
                <c:pt idx="36">
                  <c:v>8.873159845319508</c:v>
                </c:pt>
                <c:pt idx="37">
                  <c:v>11.20864869757489</c:v>
                </c:pt>
                <c:pt idx="38">
                  <c:v>14.15648713140942</c:v>
                </c:pt>
                <c:pt idx="39">
                  <c:v>17.875820312454383</c:v>
                </c:pt>
                <c:pt idx="40">
                  <c:v>22.566318662855505</c:v>
                </c:pt>
                <c:pt idx="41">
                  <c:v>28.478002779700734</c:v>
                </c:pt>
                <c:pt idx="42">
                  <c:v>35.923156707193385</c:v>
                </c:pt>
                <c:pt idx="43">
                  <c:v>45.290595633376824</c:v>
                </c:pt>
                <c:pt idx="44">
                  <c:v>57.062470354452074</c:v>
                </c:pt>
                <c:pt idx="45">
                  <c:v>71.833608831354113</c:v>
                </c:pt>
                <c:pt idx="46">
                  <c:v>90.33305802354559</c:v>
                </c:pt>
                <c:pt idx="47">
                  <c:v>113.44691941965432</c:v>
                </c:pt>
                <c:pt idx="48">
                  <c:v>142.24067232475451</c:v>
                </c:pt>
                <c:pt idx="49">
                  <c:v>177.97784543859348</c:v>
                </c:pt>
                <c:pt idx="50">
                  <c:v>222.13005070843221</c:v>
                </c:pt>
                <c:pt idx="51">
                  <c:v>276.37105102150247</c:v>
                </c:pt>
                <c:pt idx="52">
                  <c:v>342.54493196615931</c:v>
                </c:pt>
                <c:pt idx="53">
                  <c:v>422.59622556080308</c:v>
                </c:pt>
                <c:pt idx="54">
                  <c:v>518.44922906601766</c:v>
                </c:pt>
                <c:pt idx="55">
                  <c:v>631.82670201558562</c:v>
                </c:pt>
                <c:pt idx="56">
                  <c:v>764.00693957768237</c:v>
                </c:pt>
                <c:pt idx="57">
                  <c:v>915.53463390105367</c:v>
                </c:pt>
                <c:pt idx="58">
                  <c:v>1085.924158627887</c:v>
                </c:pt>
                <c:pt idx="59">
                  <c:v>1273.4183928070202</c:v>
                </c:pt>
                <c:pt idx="60">
                  <c:v>1474.8808053122495</c:v>
                </c:pt>
                <c:pt idx="61">
                  <c:v>1685.8896953354424</c:v>
                </c:pt>
                <c:pt idx="62">
                  <c:v>1901.0633540670383</c:v>
                </c:pt>
                <c:pt idx="63">
                  <c:v>2114.5805550109835</c:v>
                </c:pt>
                <c:pt idx="64">
                  <c:v>2320.7963855332187</c:v>
                </c:pt>
                <c:pt idx="65">
                  <c:v>2514.8194031077237</c:v>
                </c:pt>
                <c:pt idx="66">
                  <c:v>2692.9300903149101</c:v>
                </c:pt>
                <c:pt idx="67">
                  <c:v>2852.7752226636558</c:v>
                </c:pt>
                <c:pt idx="68">
                  <c:v>2993.3408699389606</c:v>
                </c:pt>
                <c:pt idx="69" formatCode="0.00E+00">
                  <c:v>3114.7593598942085</c:v>
                </c:pt>
                <c:pt idx="70" formatCode="0.00E+00">
                  <c:v>3218.027679989124</c:v>
                </c:pt>
                <c:pt idx="71" formatCode="0.00E+00">
                  <c:v>3304.7087959552191</c:v>
                </c:pt>
                <c:pt idx="72" formatCode="0.00E+00">
                  <c:v>3376.6655307539727</c:v>
                </c:pt>
                <c:pt idx="73" formatCode="0.00E+00">
                  <c:v>3435.8518546389728</c:v>
                </c:pt>
                <c:pt idx="74" formatCode="0.00E+00">
                  <c:v>3484.1667381930329</c:v>
                </c:pt>
                <c:pt idx="75" formatCode="0.00E+00">
                  <c:v>3523.3637239193954</c:v>
                </c:pt>
                <c:pt idx="76" formatCode="0.00E+00">
                  <c:v>3555.0041657368256</c:v>
                </c:pt>
                <c:pt idx="77" formatCode="0.00E+00">
                  <c:v>3580.4414251336939</c:v>
                </c:pt>
                <c:pt idx="78" formatCode="0.00E+00">
                  <c:v>3600.8250260570503</c:v>
                </c:pt>
                <c:pt idx="79" formatCode="0.00E+00">
                  <c:v>3617.1163168005223</c:v>
                </c:pt>
                <c:pt idx="80" formatCode="0.00E+00">
                  <c:v>3630.1096898980309</c:v>
                </c:pt>
                <c:pt idx="81" formatCode="0.00E+00">
                  <c:v>3640.4554843134551</c:v>
                </c:pt>
                <c:pt idx="82" formatCode="0.00E+00">
                  <c:v>3648.6822442442831</c:v>
                </c:pt>
                <c:pt idx="83" formatCode="0.00E+00">
                  <c:v>3655.2170842499941</c:v>
                </c:pt>
                <c:pt idx="84" formatCode="0.00E+00">
                  <c:v>3660.4036104462061</c:v>
                </c:pt>
                <c:pt idx="85" formatCode="0.00E+00">
                  <c:v>3664.5172748537816</c:v>
                </c:pt>
                <c:pt idx="86" formatCode="0.00E+00">
                  <c:v>3667.7782811959269</c:v>
                </c:pt>
                <c:pt idx="87" formatCode="0.00E+00">
                  <c:v>3670.3622810700244</c:v>
                </c:pt>
                <c:pt idx="88" formatCode="0.00E+00">
                  <c:v>3672.4091458764838</c:v>
                </c:pt>
                <c:pt idx="89" formatCode="0.00E+00">
                  <c:v>3674.0301033495602</c:v>
                </c:pt>
                <c:pt idx="90" formatCode="0.00E+00">
                  <c:v>3675.3135080819206</c:v>
                </c:pt>
                <c:pt idx="91" formatCode="0.00E+00">
                  <c:v>3676.3294854607248</c:v>
                </c:pt>
                <c:pt idx="92" formatCode="0.00E+00">
                  <c:v>3677.1336552397916</c:v>
                </c:pt>
                <c:pt idx="93" formatCode="0.00E+00">
                  <c:v>3677.7701086008828</c:v>
                </c:pt>
                <c:pt idx="94" formatCode="0.00E+00">
                  <c:v>3678.2737830326992</c:v>
                </c:pt>
                <c:pt idx="95" formatCode="0.00E+00">
                  <c:v>3678.6723535036722</c:v>
                </c:pt>
                <c:pt idx="96" formatCode="0.00E+00">
                  <c:v>3678.9877363680048</c:v>
                </c:pt>
                <c:pt idx="97" formatCode="0.00E+00">
                  <c:v>3679.2372840080629</c:v>
                </c:pt>
                <c:pt idx="98" formatCode="0.00E+00">
                  <c:v>3679.4347329976172</c:v>
                </c:pt>
                <c:pt idx="99" formatCode="0.00E+00">
                  <c:v>3679.5909561315093</c:v>
                </c:pt>
                <c:pt idx="100">
                  <c:v>3679.7145585754411</c:v>
                </c:pt>
                <c:pt idx="101">
                  <c:v>3679.8123502477015</c:v>
                </c:pt>
                <c:pt idx="102">
                  <c:v>3680.1109394698587</c:v>
                </c:pt>
                <c:pt idx="103" formatCode="0.00E+00">
                  <c:v>3680.1688632632272</c:v>
                </c:pt>
                <c:pt idx="104" formatCode="0.00E+00">
                  <c:v>3680.1800991137111</c:v>
                </c:pt>
                <c:pt idx="105" formatCode="0.00E+00">
                  <c:v>3680.1822785708309</c:v>
                </c:pt>
                <c:pt idx="106">
                  <c:v>3680.1827013264901</c:v>
                </c:pt>
                <c:pt idx="107">
                  <c:v>3680.1827833295929</c:v>
                </c:pt>
                <c:pt idx="108">
                  <c:v>3680.1827992359631</c:v>
                </c:pt>
                <c:pt idx="109">
                  <c:v>3680.1828023213657</c:v>
                </c:pt>
              </c:numCache>
            </c:numRef>
          </c:yVal>
          <c:smooth val="0"/>
        </c:ser>
        <c:ser>
          <c:idx val="2"/>
          <c:order val="2"/>
          <c:tx>
            <c:v>NSW Population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myData!$FI$11:$FI$12</c:f>
              <c:numCache>
                <c:formatCode>m/d/yyyy</c:formatCode>
                <c:ptCount val="2"/>
                <c:pt idx="0">
                  <c:v>43852</c:v>
                </c:pt>
                <c:pt idx="1">
                  <c:v>44004</c:v>
                </c:pt>
              </c:numCache>
            </c:numRef>
          </c:xVal>
          <c:yVal>
            <c:numRef>
              <c:f>myData!$FJ$11:$FJ$12</c:f>
              <c:numCache>
                <c:formatCode>0.00E+00</c:formatCode>
                <c:ptCount val="2"/>
                <c:pt idx="0">
                  <c:v>8080000</c:v>
                </c:pt>
                <c:pt idx="1">
                  <c:v>8080000</c:v>
                </c:pt>
              </c:numCache>
            </c:numRef>
          </c:yVal>
          <c:smooth val="0"/>
        </c:ser>
        <c:dLbls>
          <c:showLegendKey val="0"/>
          <c:showVal val="0"/>
          <c:showCatName val="0"/>
          <c:showSerName val="0"/>
          <c:showPercent val="0"/>
          <c:showBubbleSize val="0"/>
        </c:dLbls>
        <c:axId val="983145544"/>
        <c:axId val="983140840"/>
      </c:scatterChart>
      <c:valAx>
        <c:axId val="983145544"/>
        <c:scaling>
          <c:orientation val="minMax"/>
          <c:max val="43928"/>
          <c:min val="438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40840"/>
        <c:crosses val="autoZero"/>
        <c:crossBetween val="midCat"/>
        <c:majorUnit val="7"/>
        <c:minorUnit val="1"/>
      </c:valAx>
      <c:valAx>
        <c:axId val="983140840"/>
        <c:scaling>
          <c:orientation val="minMax"/>
          <c:max val="5000"/>
          <c:min val="5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myData!lblVertLin</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45544"/>
        <c:crosses val="autoZero"/>
        <c:crossBetween val="midCat"/>
      </c:valAx>
      <c:spPr>
        <a:noFill/>
        <a:ln>
          <a:noFill/>
        </a:ln>
        <a:effectLst/>
      </c:spPr>
    </c:plotArea>
    <c:legend>
      <c:legendPos val="b"/>
      <c:layout>
        <c:manualLayout>
          <c:xMode val="edge"/>
          <c:yMode val="edge"/>
          <c:x val="0.13319150444607245"/>
          <c:y val="0.4126377925574759"/>
          <c:w val="0.20090832474950837"/>
          <c:h val="9.157483392206868E-2"/>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myData!$EX$13</c:f>
          <c:strCache>
            <c:ptCount val="1"/>
            <c:pt idx="0">
              <c:v>COVID19 Italy P(t) = b / {d+[( b/Po - d ) ]* exp(-b*t)}
b=0.253, d=1.57E-06, P0=.639, r2=0.9076, Limit=26.7 k=&gt;161 k cases 
 (Fit: Thu 30-Jan - Sat 02-May)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4034986229607774"/>
          <c:w val="0.43460159270882204"/>
          <c:h val="0.72749036368363496"/>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exp"/>
            <c:forward val="14"/>
            <c:dispRSqr val="0"/>
            <c:dispEq val="0"/>
          </c:trendline>
          <c:trendline>
            <c:spPr>
              <a:ln w="19050" cap="rnd">
                <a:solidFill>
                  <a:schemeClr val="accent2"/>
                </a:solidFill>
                <a:prstDash val="sysDot"/>
              </a:ln>
              <a:effectLst/>
            </c:spPr>
            <c:trendlineType val="exp"/>
            <c:dispRSqr val="0"/>
            <c:dispEq val="0"/>
          </c:trendline>
          <c:xVal>
            <c:numRef>
              <c:f>myData!ItalyDates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myData!ItalyCases</c:f>
              <c:numCache>
                <c:formatCode>0.0</c:formatCode>
                <c:ptCount val="93"/>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c:v>10.250475324460611</c:v>
                </c:pt>
                <c:pt idx="23">
                  <c:v>25.626188311151527</c:v>
                </c:pt>
                <c:pt idx="24">
                  <c:v>37.860626601636774</c:v>
                </c:pt>
                <c:pt idx="25">
                  <c:v>53.236339588327688</c:v>
                </c:pt>
                <c:pt idx="26">
                  <c:v>74.894601967429949</c:v>
                </c:pt>
                <c:pt idx="27">
                  <c:v>108.29131189551129</c:v>
                </c:pt>
                <c:pt idx="28">
                  <c:v>146.81325948582293</c:v>
                </c:pt>
                <c:pt idx="29">
                  <c:v>186.49251880631562</c:v>
                </c:pt>
                <c:pt idx="30">
                  <c:v>280.06943870381087</c:v>
                </c:pt>
                <c:pt idx="31">
                  <c:v>336.61238323551294</c:v>
                </c:pt>
                <c:pt idx="32">
                  <c:v>413.65627841613627</c:v>
                </c:pt>
                <c:pt idx="33">
                  <c:v>510.70513350417463</c:v>
                </c:pt>
                <c:pt idx="34">
                  <c:v>637.84409357691993</c:v>
                </c:pt>
                <c:pt idx="35">
                  <c:v>766.47102587418374</c:v>
                </c:pt>
                <c:pt idx="36">
                  <c:v>972.63784409357697</c:v>
                </c:pt>
                <c:pt idx="37">
                  <c:v>1219.3105728693065</c:v>
                </c:pt>
                <c:pt idx="38">
                  <c:v>1516.4090270314955</c:v>
                </c:pt>
                <c:pt idx="39">
                  <c:v>1677.9366785153345</c:v>
                </c:pt>
                <c:pt idx="40">
                  <c:v>2060.3455402165828</c:v>
                </c:pt>
                <c:pt idx="41">
                  <c:v>2060.3455402165828</c:v>
                </c:pt>
                <c:pt idx="42">
                  <c:v>2919.732164999587</c:v>
                </c:pt>
                <c:pt idx="43">
                  <c:v>3497.8920393485992</c:v>
                </c:pt>
                <c:pt idx="44">
                  <c:v>4091.4276266843021</c:v>
                </c:pt>
                <c:pt idx="45">
                  <c:v>4625.9403157807719</c:v>
                </c:pt>
                <c:pt idx="46">
                  <c:v>5208.8947672976774</c:v>
                </c:pt>
                <c:pt idx="47">
                  <c:v>5904.4391171364805</c:v>
                </c:pt>
                <c:pt idx="48">
                  <c:v>6784.3266925684056</c:v>
                </c:pt>
                <c:pt idx="49">
                  <c:v>7773.9935521203606</c:v>
                </c:pt>
                <c:pt idx="50">
                  <c:v>8858.0639828056555</c:v>
                </c:pt>
                <c:pt idx="51">
                  <c:v>9777.3001570637352</c:v>
                </c:pt>
                <c:pt idx="52">
                  <c:v>10569.066710754732</c:v>
                </c:pt>
                <c:pt idx="53">
                  <c:v>11436.885178143342</c:v>
                </c:pt>
                <c:pt idx="54">
                  <c:v>12298.255765892371</c:v>
                </c:pt>
                <c:pt idx="55">
                  <c:v>13323.799289079938</c:v>
                </c:pt>
                <c:pt idx="56">
                  <c:v>14300.735719599901</c:v>
                </c:pt>
                <c:pt idx="57">
                  <c:v>15288.418616185832</c:v>
                </c:pt>
                <c:pt idx="58">
                  <c:v>16150.946515665042</c:v>
                </c:pt>
                <c:pt idx="59">
                  <c:v>16820.534016698355</c:v>
                </c:pt>
                <c:pt idx="60">
                  <c:v>17490.617508473177</c:v>
                </c:pt>
                <c:pt idx="61">
                  <c:v>18281.226750433994</c:v>
                </c:pt>
                <c:pt idx="62">
                  <c:v>19052.988344217574</c:v>
                </c:pt>
                <c:pt idx="63">
                  <c:v>19811.027527486156</c:v>
                </c:pt>
                <c:pt idx="64">
                  <c:v>20605.439365131853</c:v>
                </c:pt>
                <c:pt idx="65">
                  <c:v>21319.004711912046</c:v>
                </c:pt>
                <c:pt idx="66">
                  <c:v>21914.028271472267</c:v>
                </c:pt>
                <c:pt idx="67">
                  <c:v>22416.466892618006</c:v>
                </c:pt>
                <c:pt idx="68">
                  <c:v>23050.673720757215</c:v>
                </c:pt>
                <c:pt idx="69">
                  <c:v>23745.72207985451</c:v>
                </c:pt>
                <c:pt idx="70">
                  <c:v>24398.941886418121</c:v>
                </c:pt>
                <c:pt idx="71">
                  <c:v>25175.002066628091</c:v>
                </c:pt>
                <c:pt idx="72">
                  <c:v>25851.53343804249</c:v>
                </c:pt>
                <c:pt idx="73">
                  <c:v>26372.819707365463</c:v>
                </c:pt>
                <c:pt idx="74">
                  <c:v>26864.181201950898</c:v>
                </c:pt>
                <c:pt idx="75">
                  <c:v>27305.116971149873</c:v>
                </c:pt>
                <c:pt idx="76">
                  <c:v>27931.057286930645</c:v>
                </c:pt>
                <c:pt idx="77">
                  <c:v>28508.555840290981</c:v>
                </c:pt>
                <c:pt idx="78">
                  <c:v>29085.723733156981</c:v>
                </c:pt>
                <c:pt idx="79">
                  <c:v>29589.484996280069</c:v>
                </c:pt>
                <c:pt idx="80">
                  <c:v>29962.470033892703</c:v>
                </c:pt>
                <c:pt idx="81">
                  <c:v>30413.656278416136</c:v>
                </c:pt>
                <c:pt idx="82">
                  <c:v>30970.819211374721</c:v>
                </c:pt>
                <c:pt idx="83">
                  <c:v>31408.283045383156</c:v>
                </c:pt>
                <c:pt idx="84">
                  <c:v>31907.745722079857</c:v>
                </c:pt>
                <c:pt idx="85">
                  <c:v>32297.429114656527</c:v>
                </c:pt>
                <c:pt idx="86">
                  <c:v>32681.656609076632</c:v>
                </c:pt>
                <c:pt idx="87">
                  <c:v>32969.165908903036</c:v>
                </c:pt>
                <c:pt idx="88">
                  <c:v>33314.871455732828</c:v>
                </c:pt>
                <c:pt idx="89">
                  <c:v>33659.750351326773</c:v>
                </c:pt>
                <c:pt idx="90">
                  <c:v>33969.24857402662</c:v>
                </c:pt>
                <c:pt idx="91">
                  <c:v>34294.122509713154</c:v>
                </c:pt>
                <c:pt idx="92">
                  <c:v>34608.249979333719</c:v>
                </c:pt>
              </c:numCache>
            </c:numRef>
          </c:yVal>
          <c:smooth val="0"/>
        </c:ser>
        <c:ser>
          <c:idx val="0"/>
          <c:order val="1"/>
          <c:tx>
            <c:strRef>
              <c:f>myData!ItalySeries</c:f>
              <c:strCache>
                <c:ptCount val="1"/>
                <c:pt idx="0">
                  <c:v>Italy Limit 26.7 k r^2=90.76%</c:v>
                </c:pt>
              </c:strCache>
            </c:strRef>
          </c:tx>
          <c:spPr>
            <a:ln w="19050" cap="rnd">
              <a:solidFill>
                <a:schemeClr val="accent1"/>
              </a:solidFill>
              <a:prstDash val="sysDash"/>
              <a:round/>
            </a:ln>
            <a:effectLst/>
          </c:spPr>
          <c:marker>
            <c:symbol val="square"/>
            <c:size val="4"/>
            <c:spPr>
              <a:solidFill>
                <a:schemeClr val="accent1"/>
              </a:solidFill>
              <a:ln w="9525">
                <a:solidFill>
                  <a:schemeClr val="accent1"/>
                </a:solidFill>
              </a:ln>
              <a:effectLst/>
            </c:spPr>
          </c:marker>
          <c:xVal>
            <c:numRef>
              <c:f>myData!ItalyLogiDates</c:f>
              <c:numCache>
                <c:formatCode>m/d/yyyy</c:formatCode>
                <c:ptCount val="105"/>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pt idx="93">
                  <c:v>43954</c:v>
                </c:pt>
                <c:pt idx="94">
                  <c:v>43955</c:v>
                </c:pt>
                <c:pt idx="95">
                  <c:v>43956</c:v>
                </c:pt>
                <c:pt idx="96">
                  <c:v>43957</c:v>
                </c:pt>
                <c:pt idx="97">
                  <c:v>43964</c:v>
                </c:pt>
                <c:pt idx="98">
                  <c:v>43971</c:v>
                </c:pt>
                <c:pt idx="99">
                  <c:v>43978</c:v>
                </c:pt>
                <c:pt idx="100">
                  <c:v>43985</c:v>
                </c:pt>
                <c:pt idx="101">
                  <c:v>43992</c:v>
                </c:pt>
                <c:pt idx="102">
                  <c:v>43999</c:v>
                </c:pt>
                <c:pt idx="103">
                  <c:v>44006</c:v>
                </c:pt>
                <c:pt idx="104">
                  <c:v>44013</c:v>
                </c:pt>
              </c:numCache>
            </c:numRef>
          </c:xVal>
          <c:yVal>
            <c:numRef>
              <c:f>myData!ItalyLogi</c:f>
              <c:numCache>
                <c:formatCode>0.0</c:formatCode>
                <c:ptCount val="105"/>
                <c:pt idx="0">
                  <c:v>9.4319527547555293E-2</c:v>
                </c:pt>
                <c:pt idx="1">
                  <c:v>0.12149455820816397</c:v>
                </c:pt>
                <c:pt idx="2">
                  <c:v>0.15649912299719076</c:v>
                </c:pt>
                <c:pt idx="3">
                  <c:v>0.20158899791412627</c:v>
                </c:pt>
                <c:pt idx="4">
                  <c:v>0.25966985319378766</c:v>
                </c:pt>
                <c:pt idx="5">
                  <c:v>0.33448447616768234</c:v>
                </c:pt>
                <c:pt idx="6">
                  <c:v>0.43085392099664788</c:v>
                </c:pt>
                <c:pt idx="7">
                  <c:v>0.55498811242163526</c:v>
                </c:pt>
                <c:pt idx="8">
                  <c:v>0.71488589763593113</c:v>
                </c:pt>
                <c:pt idx="9">
                  <c:v>0.92085028993716922</c:v>
                </c:pt>
                <c:pt idx="10">
                  <c:v>1.1861520466036888</c:v>
                </c:pt>
                <c:pt idx="11">
                  <c:v>1.5278842418080443</c:v>
                </c:pt>
                <c:pt idx="12">
                  <c:v>1.968062736022371</c:v>
                </c:pt>
                <c:pt idx="13">
                  <c:v>2.5350431773579438</c:v>
                </c:pt>
                <c:pt idx="14">
                  <c:v>3.2653453821171445</c:v>
                </c:pt>
                <c:pt idx="15">
                  <c:v>4.2060018852081189</c:v>
                </c:pt>
                <c:pt idx="16">
                  <c:v>5.4175807169099581</c:v>
                </c:pt>
                <c:pt idx="17">
                  <c:v>6.9780750603904869</c:v>
                </c:pt>
                <c:pt idx="18">
                  <c:v>8.987906897289486</c:v>
                </c:pt>
                <c:pt idx="19" formatCode="0">
                  <c:v>11.576361197749186</c:v>
                </c:pt>
                <c:pt idx="20" formatCode="0">
                  <c:v>14.909855523149005</c:v>
                </c:pt>
                <c:pt idx="21" formatCode="0">
                  <c:v>19.202561768875942</c:v>
                </c:pt>
                <c:pt idx="22" formatCode="0">
                  <c:v>24.730037726544385</c:v>
                </c:pt>
                <c:pt idx="23" formatCode="0">
                  <c:v>31.846702530948502</c:v>
                </c:pt>
                <c:pt idx="24" formatCode="0">
                  <c:v>41.008208727584538</c:v>
                </c:pt>
                <c:pt idx="25" formatCode="0">
                  <c:v>52.800031324427046</c:v>
                </c:pt>
                <c:pt idx="26" formatCode="0">
                  <c:v>67.973915870243303</c:v>
                </c:pt>
                <c:pt idx="27" formatCode="0">
                  <c:v>87.494204228525732</c:v>
                </c:pt>
                <c:pt idx="28" formatCode="0">
                  <c:v>112.59648035891601</c:v>
                </c:pt>
                <c:pt idx="29" formatCode="0">
                  <c:v>144.86142442829504</c:v>
                </c:pt>
                <c:pt idx="30" formatCode="0">
                  <c:v>186.30717761188527</c:v>
                </c:pt>
                <c:pt idx="31" formatCode="0">
                  <c:v>239.50379734378745</c:v>
                </c:pt>
                <c:pt idx="32" formatCode="0">
                  <c:v>307.71333696252458</c:v>
                </c:pt>
                <c:pt idx="33" formatCode="0">
                  <c:v>395.05840021142262</c:v>
                </c:pt>
                <c:pt idx="34" formatCode="0">
                  <c:v>506.72019530733627</c:v>
                </c:pt>
                <c:pt idx="35" formatCode="0">
                  <c:v>649.163376127883</c:v>
                </c:pt>
                <c:pt idx="36" formatCode="0">
                  <c:v>830.3782083809582</c:v>
                </c:pt>
                <c:pt idx="37" formatCode="0">
                  <c:v>1060.1193946728774</c:v>
                </c:pt>
                <c:pt idx="38" formatCode="0">
                  <c:v>1350.10361330397</c:v>
                </c:pt>
                <c:pt idx="39" formatCode="0">
                  <c:v>1714.1032075128903</c:v>
                </c:pt>
                <c:pt idx="40" formatCode="0">
                  <c:v>2167.8418193639991</c:v>
                </c:pt>
                <c:pt idx="41" formatCode="0">
                  <c:v>2728.5632323224359</c:v>
                </c:pt>
                <c:pt idx="42" formatCode="0">
                  <c:v>3414.118536188962</c:v>
                </c:pt>
                <c:pt idx="43" formatCode="0">
                  <c:v>4241.4207285673319</c:v>
                </c:pt>
                <c:pt idx="44" formatCode="0">
                  <c:v>5224.1825377232135</c:v>
                </c:pt>
                <c:pt idx="45" formatCode="0">
                  <c:v>6370.0169233749111</c:v>
                </c:pt>
                <c:pt idx="46" formatCode="0">
                  <c:v>7677.2518534716501</c:v>
                </c:pt>
                <c:pt idx="47" formatCode="0">
                  <c:v>9132.141439709354</c:v>
                </c:pt>
                <c:pt idx="48" formatCode="0">
                  <c:v>10707.403293036923</c:v>
                </c:pt>
                <c:pt idx="49" formatCode="0">
                  <c:v>12362.972668598062</c:v>
                </c:pt>
                <c:pt idx="50" formatCode="0">
                  <c:v>14049.389926771717</c:v>
                </c:pt>
                <c:pt idx="51" formatCode="0">
                  <c:v>15713.4029658457</c:v>
                </c:pt>
                <c:pt idx="52" formatCode="0">
                  <c:v>17304.524192570669</c:v>
                </c:pt>
                <c:pt idx="53" formatCode="0">
                  <c:v>18780.888378182644</c:v>
                </c:pt>
                <c:pt idx="54" formatCode="0">
                  <c:v>20113.047380114629</c:v>
                </c:pt>
                <c:pt idx="55" formatCode="0">
                  <c:v>21285.136744478561</c:v>
                </c:pt>
                <c:pt idx="56" formatCode="0">
                  <c:v>22293.715099281151</c:v>
                </c:pt>
                <c:pt idx="57" formatCode="0">
                  <c:v>23145.121706068341</c:v>
                </c:pt>
                <c:pt idx="58" formatCode="0">
                  <c:v>23852.300433501554</c:v>
                </c:pt>
                <c:pt idx="59" formatCode="0">
                  <c:v>24431.822438348365</c:v>
                </c:pt>
                <c:pt idx="60" formatCode="0">
                  <c:v>24901.51069681322</c:v>
                </c:pt>
                <c:pt idx="61" formatCode="0">
                  <c:v>25278.782494527903</c:v>
                </c:pt>
                <c:pt idx="62" formatCode="0">
                  <c:v>25579.6446071957</c:v>
                </c:pt>
                <c:pt idx="63" formatCode="0">
                  <c:v>25818.195796411841</c:v>
                </c:pt>
                <c:pt idx="64" formatCode="0">
                  <c:v>26006.479614044893</c:v>
                </c:pt>
                <c:pt idx="65" formatCode="0">
                  <c:v>26154.553599475301</c:v>
                </c:pt>
                <c:pt idx="66" formatCode="0">
                  <c:v>26270.675137727121</c:v>
                </c:pt>
                <c:pt idx="67" formatCode="0">
                  <c:v>26361.536771338855</c:v>
                </c:pt>
                <c:pt idx="68" formatCode="0">
                  <c:v>26432.509590004611</c:v>
                </c:pt>
                <c:pt idx="69" formatCode="0">
                  <c:v>26487.871713755019</c:v>
                </c:pt>
                <c:pt idx="70" formatCode="0">
                  <c:v>26531.010953830308</c:v>
                </c:pt>
                <c:pt idx="71" formatCode="0">
                  <c:v>26564.598093789271</c:v>
                </c:pt>
                <c:pt idx="72" formatCode="0">
                  <c:v>26590.731369834783</c:v>
                </c:pt>
                <c:pt idx="73" formatCode="0">
                  <c:v>26611.054801604278</c:v>
                </c:pt>
                <c:pt idx="74" formatCode="0">
                  <c:v>26626.853851255484</c:v>
                </c:pt>
                <c:pt idx="75" formatCode="0">
                  <c:v>26639.132011378493</c:v>
                </c:pt>
                <c:pt idx="76" formatCode="0">
                  <c:v>26648.671681402164</c:v>
                </c:pt>
                <c:pt idx="77" formatCode="0">
                  <c:v>26656.082291287421</c:v>
                </c:pt>
                <c:pt idx="78" formatCode="0">
                  <c:v>26661.838185741926</c:v>
                </c:pt>
                <c:pt idx="79" formatCode="0">
                  <c:v>26666.308352721691</c:v>
                </c:pt>
                <c:pt idx="80" formatCode="0">
                  <c:v>26669.779694972924</c:v>
                </c:pt>
                <c:pt idx="81" formatCode="0">
                  <c:v>26672.475212785157</c:v>
                </c:pt>
                <c:pt idx="82" formatCode="0">
                  <c:v>26674.568190112601</c:v>
                </c:pt>
                <c:pt idx="83" formatCode="0">
                  <c:v>26676.193250135853</c:v>
                </c:pt>
                <c:pt idx="84" formatCode="0">
                  <c:v>26677.454963643617</c:v>
                </c:pt>
                <c:pt idx="85" formatCode="0">
                  <c:v>26678.434547429631</c:v>
                </c:pt>
                <c:pt idx="86" formatCode="0">
                  <c:v>26679.195073775736</c:v>
                </c:pt>
                <c:pt idx="87" formatCode="0">
                  <c:v>26679.78552034486</c:v>
                </c:pt>
                <c:pt idx="88" formatCode="0">
                  <c:v>26680.24391761727</c:v>
                </c:pt>
                <c:pt idx="89" formatCode="0">
                  <c:v>26680.599794376958</c:v>
                </c:pt>
                <c:pt idx="90" formatCode="0">
                  <c:v>26680.876077442303</c:v>
                </c:pt>
                <c:pt idx="91" formatCode="0">
                  <c:v>26681.090567221705</c:v>
                </c:pt>
                <c:pt idx="92" formatCode="0">
                  <c:v>26681.257083675166</c:v>
                </c:pt>
                <c:pt idx="93" formatCode="0">
                  <c:v>26681.386356225059</c:v>
                </c:pt>
                <c:pt idx="94" formatCode="0">
                  <c:v>26681.486714780454</c:v>
                </c:pt>
                <c:pt idx="95" formatCode="0">
                  <c:v>26681.564626295793</c:v>
                </c:pt>
                <c:pt idx="96" formatCode="0">
                  <c:v>26681.625111374771</c:v>
                </c:pt>
                <c:pt idx="97" formatCode="0">
                  <c:v>26681.799367527132</c:v>
                </c:pt>
                <c:pt idx="98" formatCode="0">
                  <c:v>26681.828981854735</c:v>
                </c:pt>
                <c:pt idx="99" formatCode="0">
                  <c:v>26681.834014691878</c:v>
                </c:pt>
                <c:pt idx="100" formatCode="0">
                  <c:v>26681.83487000161</c:v>
                </c:pt>
                <c:pt idx="101" formatCode="0">
                  <c:v>26681.835015357909</c:v>
                </c:pt>
                <c:pt idx="102" formatCode="0">
                  <c:v>26681.835040060607</c:v>
                </c:pt>
                <c:pt idx="103" formatCode="0">
                  <c:v>26681.835044258722</c:v>
                </c:pt>
                <c:pt idx="104" formatCode="0">
                  <c:v>26681.835044972173</c:v>
                </c:pt>
              </c:numCache>
            </c:numRef>
          </c:yVal>
          <c:smooth val="0"/>
        </c:ser>
        <c:dLbls>
          <c:showLegendKey val="0"/>
          <c:showVal val="0"/>
          <c:showCatName val="0"/>
          <c:showSerName val="0"/>
          <c:showPercent val="0"/>
          <c:showBubbleSize val="0"/>
        </c:dLbls>
        <c:axId val="983142800"/>
        <c:axId val="983138880"/>
      </c:scatterChart>
      <c:valAx>
        <c:axId val="983142800"/>
        <c:scaling>
          <c:orientation val="minMax"/>
          <c:max val="43951"/>
          <c:min val="4388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38880"/>
        <c:crossesAt val="0.1"/>
        <c:crossBetween val="midCat"/>
        <c:majorUnit val="14"/>
        <c:minorUnit val="7"/>
      </c:valAx>
      <c:valAx>
        <c:axId val="983138880"/>
        <c:scaling>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myData!lblVertLin</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42800"/>
        <c:crosses val="autoZero"/>
        <c:crossBetween val="midCat"/>
      </c:valAx>
      <c:spPr>
        <a:noFill/>
        <a:ln>
          <a:noFill/>
        </a:ln>
        <a:effectLst/>
      </c:spPr>
    </c:plotArea>
    <c:legend>
      <c:legendPos val="b"/>
      <c:layout>
        <c:manualLayout>
          <c:xMode val="edge"/>
          <c:yMode val="edge"/>
          <c:x val="0.31275133186791321"/>
          <c:y val="0.63370188801795979"/>
          <c:w val="0.19456695891080134"/>
          <c:h val="8.98855192163431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myData!$EJ$19</c:f>
          <c:strCache>
            <c:ptCount val="1"/>
            <c:pt idx="0">
              <c:v>COVID19 Tests P(t) = b / {d+[( b/Po - d ) ]* exp(-b*t)}
b=0.176, d=1.02E-06, P0=.639, r2=0.8846, Limit=214 k=&gt;240 k cases 
 (Fit: Fri 06-Mar - Sat 02-May)</c:v>
            </c:pt>
          </c:strCache>
        </c:strRef>
      </c:tx>
      <c:layout>
        <c:manualLayout>
          <c:xMode val="edge"/>
          <c:yMode val="edge"/>
          <c:x val="0.2354672452946992"/>
          <c:y val="9.82197667280540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472478846281398"/>
          <c:y val="0.1656882392463373"/>
          <c:w val="0.8272091620316413"/>
          <c:h val="0.67598427743716105"/>
        </c:manualLayout>
      </c:layout>
      <c:scatterChart>
        <c:scatterStyle val="lineMarker"/>
        <c:varyColors val="0"/>
        <c:ser>
          <c:idx val="0"/>
          <c:order val="0"/>
          <c:tx>
            <c:v>NSW Tests</c:v>
          </c:tx>
          <c:spPr>
            <a:ln w="31750" cap="rnd">
              <a:solidFill>
                <a:schemeClr val="accent1"/>
              </a:solidFill>
              <a:round/>
            </a:ln>
            <a:effectLst/>
          </c:spPr>
          <c:marker>
            <c:symbol val="circle"/>
            <c:size val="5"/>
            <c:spPr>
              <a:solidFill>
                <a:schemeClr val="accent1"/>
              </a:solidFill>
              <a:ln w="9525">
                <a:solidFill>
                  <a:schemeClr val="accent1"/>
                </a:solidFill>
              </a:ln>
              <a:effectLst/>
            </c:spPr>
          </c:marker>
          <c:xVal>
            <c:numRef>
              <c:f>myData!TestsDates</c:f>
              <c:numCache>
                <c:formatCode>m/d/yyyy</c:formatCode>
                <c:ptCount val="58"/>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numCache>
            </c:numRef>
          </c:xVal>
          <c:yVal>
            <c:numRef>
              <c:f>myData!TestsCases</c:f>
              <c:numCache>
                <c:formatCode>0</c:formatCode>
                <c:ptCount val="58"/>
                <c:pt idx="0">
                  <c:v>6217</c:v>
                </c:pt>
                <c:pt idx="1">
                  <c:v>6690</c:v>
                </c:pt>
                <c:pt idx="2">
                  <c:v>7361</c:v>
                </c:pt>
                <c:pt idx="3">
                  <c:v>7848</c:v>
                </c:pt>
                <c:pt idx="4">
                  <c:v>8361</c:v>
                </c:pt>
                <c:pt idx="5">
                  <c:v>9152</c:v>
                </c:pt>
                <c:pt idx="6">
                  <c:v>11040</c:v>
                </c:pt>
                <c:pt idx="7">
                  <c:v>18716</c:v>
                </c:pt>
                <c:pt idx="8">
                  <c:v>18716</c:v>
                </c:pt>
                <c:pt idx="9">
                  <c:v>20511</c:v>
                </c:pt>
                <c:pt idx="10">
                  <c:v>25511</c:v>
                </c:pt>
                <c:pt idx="11">
                  <c:v>28552</c:v>
                </c:pt>
                <c:pt idx="12">
                  <c:v>33387</c:v>
                </c:pt>
                <c:pt idx="13">
                  <c:v>38782</c:v>
                </c:pt>
                <c:pt idx="14">
                  <c:v>40298</c:v>
                </c:pt>
                <c:pt idx="15">
                  <c:v>46456</c:v>
                </c:pt>
                <c:pt idx="16">
                  <c:v>52130</c:v>
                </c:pt>
                <c:pt idx="17">
                  <c:v>56272</c:v>
                </c:pt>
                <c:pt idx="18">
                  <c:v>61030</c:v>
                </c:pt>
                <c:pt idx="19">
                  <c:v>67148</c:v>
                </c:pt>
                <c:pt idx="20">
                  <c:v>72787</c:v>
                </c:pt>
                <c:pt idx="21">
                  <c:v>76284</c:v>
                </c:pt>
                <c:pt idx="22">
                  <c:v>84907</c:v>
                </c:pt>
                <c:pt idx="23">
                  <c:v>91308</c:v>
                </c:pt>
                <c:pt idx="24">
                  <c:v>94534</c:v>
                </c:pt>
                <c:pt idx="25">
                  <c:v>97919</c:v>
                </c:pt>
                <c:pt idx="26">
                  <c:v>103361</c:v>
                </c:pt>
                <c:pt idx="27">
                  <c:v>108239</c:v>
                </c:pt>
                <c:pt idx="28">
                  <c:v>112066</c:v>
                </c:pt>
                <c:pt idx="29">
                  <c:v>115140</c:v>
                </c:pt>
                <c:pt idx="30">
                  <c:v>118863</c:v>
                </c:pt>
                <c:pt idx="31">
                  <c:v>123460</c:v>
                </c:pt>
                <c:pt idx="32">
                  <c:v>126357</c:v>
                </c:pt>
                <c:pt idx="33">
                  <c:v>130224</c:v>
                </c:pt>
                <c:pt idx="34">
                  <c:v>134619</c:v>
                </c:pt>
                <c:pt idx="35">
                  <c:v>138090</c:v>
                </c:pt>
                <c:pt idx="36">
                  <c:v>138923</c:v>
                </c:pt>
                <c:pt idx="37">
                  <c:v>141517</c:v>
                </c:pt>
                <c:pt idx="38">
                  <c:v>142939</c:v>
                </c:pt>
                <c:pt idx="39">
                  <c:v>144228</c:v>
                </c:pt>
                <c:pt idx="40">
                  <c:v>147417</c:v>
                </c:pt>
                <c:pt idx="41">
                  <c:v>152376</c:v>
                </c:pt>
                <c:pt idx="42" formatCode="General">
                  <c:v>157518</c:v>
                </c:pt>
                <c:pt idx="43">
                  <c:v>162180</c:v>
                </c:pt>
                <c:pt idx="44">
                  <c:v>165663</c:v>
                </c:pt>
                <c:pt idx="45">
                  <c:v>168159</c:v>
                </c:pt>
                <c:pt idx="46">
                  <c:v>172448</c:v>
                </c:pt>
                <c:pt idx="47">
                  <c:v>178088</c:v>
                </c:pt>
                <c:pt idx="48">
                  <c:v>185434</c:v>
                </c:pt>
                <c:pt idx="49">
                  <c:v>190262</c:v>
                </c:pt>
                <c:pt idx="50">
                  <c:v>195713</c:v>
                </c:pt>
                <c:pt idx="51">
                  <c:v>200129</c:v>
                </c:pt>
                <c:pt idx="52">
                  <c:v>204236</c:v>
                </c:pt>
                <c:pt idx="53">
                  <c:v>209643</c:v>
                </c:pt>
                <c:pt idx="54">
                  <c:v>217030</c:v>
                </c:pt>
                <c:pt idx="55">
                  <c:v>224059</c:v>
                </c:pt>
                <c:pt idx="56">
                  <c:v>232863</c:v>
                </c:pt>
                <c:pt idx="57">
                  <c:v>240093</c:v>
                </c:pt>
              </c:numCache>
            </c:numRef>
          </c:yVal>
          <c:smooth val="0"/>
        </c:ser>
        <c:ser>
          <c:idx val="2"/>
          <c:order val="1"/>
          <c:tx>
            <c:strRef>
              <c:f>myData!$CD$7</c:f>
              <c:strCache>
                <c:ptCount val="1"/>
                <c:pt idx="0">
                  <c:v>Test Logistic Growth Limit 172.55E+3 r^2 = 97.4%</c:v>
                </c:pt>
              </c:strCache>
            </c:strRef>
          </c:tx>
          <c:spPr>
            <a:ln w="15875" cap="rnd">
              <a:solidFill>
                <a:srgbClr val="FF0000"/>
              </a:solidFill>
              <a:prstDash val="sysDot"/>
              <a:round/>
            </a:ln>
            <a:effectLst/>
          </c:spPr>
          <c:marker>
            <c:symbol val="none"/>
          </c:marker>
          <c:xVal>
            <c:numRef>
              <c:f>myData!TestsLogiDates</c:f>
              <c:numCache>
                <c:formatCode>m/d/yyyy</c:formatCode>
                <c:ptCount val="70"/>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43964</c:v>
                </c:pt>
                <c:pt idx="63">
                  <c:v>43971</c:v>
                </c:pt>
                <c:pt idx="64">
                  <c:v>43978</c:v>
                </c:pt>
                <c:pt idx="65">
                  <c:v>43985</c:v>
                </c:pt>
                <c:pt idx="66">
                  <c:v>43992</c:v>
                </c:pt>
                <c:pt idx="67">
                  <c:v>43999</c:v>
                </c:pt>
                <c:pt idx="68">
                  <c:v>44006</c:v>
                </c:pt>
                <c:pt idx="69">
                  <c:v>44013</c:v>
                </c:pt>
              </c:numCache>
            </c:numRef>
          </c:xVal>
          <c:yVal>
            <c:numRef>
              <c:f>myData!TestsLogi</c:f>
              <c:numCache>
                <c:formatCode>0</c:formatCode>
                <c:ptCount val="70"/>
                <c:pt idx="0">
                  <c:v>5097.2337520634874</c:v>
                </c:pt>
                <c:pt idx="1">
                  <c:v>6044.26114170649</c:v>
                </c:pt>
                <c:pt idx="2">
                  <c:v>7159.7158928624867</c:v>
                </c:pt>
                <c:pt idx="3">
                  <c:v>8470.5528360471635</c:v>
                </c:pt>
                <c:pt idx="4">
                  <c:v>10006.863469957965</c:v>
                </c:pt>
                <c:pt idx="5">
                  <c:v>11801.773747086769</c:v>
                </c:pt>
                <c:pt idx="6">
                  <c:v>13891.118828240544</c:v>
                </c:pt>
                <c:pt idx="7">
                  <c:v>16312.817129003974</c:v>
                </c:pt>
                <c:pt idx="8">
                  <c:v>19105.859840060755</c:v>
                </c:pt>
                <c:pt idx="9">
                  <c:v>22308.835938292796</c:v>
                </c:pt>
                <c:pt idx="10">
                  <c:v>25957.932815436958</c:v>
                </c:pt>
                <c:pt idx="11">
                  <c:v>30084.395827784967</c:v>
                </c:pt>
                <c:pt idx="12">
                  <c:v>34711.501668985715</c:v>
                </c:pt>
                <c:pt idx="13">
                  <c:v>39851.201257446526</c:v>
                </c:pt>
                <c:pt idx="14">
                  <c:v>45500.710008963397</c:v>
                </c:pt>
                <c:pt idx="15">
                  <c:v>51639.447056110657</c:v>
                </c:pt>
                <c:pt idx="16">
                  <c:v>58226.817546249884</c:v>
                </c:pt>
                <c:pt idx="17">
                  <c:v>65201.353128617295</c:v>
                </c:pt>
                <c:pt idx="18">
                  <c:v>72481.638845182082</c:v>
                </c:pt>
                <c:pt idx="19">
                  <c:v>79969.244941542405</c:v>
                </c:pt>
                <c:pt idx="20">
                  <c:v>87553.571617200243</c:v>
                </c:pt>
                <c:pt idx="21">
                  <c:v>95118.166686443001</c:v>
                </c:pt>
                <c:pt idx="22">
                  <c:v>102547.78090794529</c:v>
                </c:pt>
                <c:pt idx="23">
                  <c:v>109735.27016986665</c:v>
                </c:pt>
                <c:pt idx="24">
                  <c:v>116587.4864130475</c:v>
                </c:pt>
                <c:pt idx="25">
                  <c:v>123029.50977090825</c:v>
                </c:pt>
                <c:pt idx="26">
                  <c:v>129006.89805079215</c:v>
                </c:pt>
                <c:pt idx="27">
                  <c:v>134485.97433123828</c:v>
                </c:pt>
                <c:pt idx="28">
                  <c:v>139452.45509097862</c:v>
                </c:pt>
                <c:pt idx="29">
                  <c:v>143908.88998207488</c:v>
                </c:pt>
                <c:pt idx="30">
                  <c:v>147871.43179746225</c:v>
                </c:pt>
                <c:pt idx="31">
                  <c:v>151366.40549414748</c:v>
                </c:pt>
                <c:pt idx="32">
                  <c:v>154427.03776616737</c:v>
                </c:pt>
                <c:pt idx="33">
                  <c:v>157090.58243301907</c:v>
                </c:pt>
                <c:pt idx="34">
                  <c:v>159395.96037193915</c:v>
                </c:pt>
                <c:pt idx="35">
                  <c:v>161381.94140986248</c:v>
                </c:pt>
                <c:pt idx="36">
                  <c:v>163085.83396159485</c:v>
                </c:pt>
                <c:pt idx="37">
                  <c:v>164542.61352009553</c:v>
                </c:pt>
                <c:pt idx="38">
                  <c:v>165784.40724154553</c:v>
                </c:pt>
                <c:pt idx="39">
                  <c:v>166840.25203979347</c:v>
                </c:pt>
                <c:pt idx="40">
                  <c:v>167736.05191852746</c:v>
                </c:pt>
                <c:pt idx="41">
                  <c:v>168494.67231356699</c:v>
                </c:pt>
                <c:pt idx="42">
                  <c:v>169136.12207129743</c:v>
                </c:pt>
                <c:pt idx="43">
                  <c:v>169677.78565512973</c:v>
                </c:pt>
                <c:pt idx="44">
                  <c:v>170134.6784331791</c:v>
                </c:pt>
                <c:pt idx="45">
                  <c:v>170519.70620857764</c:v>
                </c:pt>
                <c:pt idx="46">
                  <c:v>170843.91658722528</c:v>
                </c:pt>
                <c:pt idx="47">
                  <c:v>171116.73457447268</c:v>
                </c:pt>
                <c:pt idx="48">
                  <c:v>171346.17824548669</c:v>
                </c:pt>
                <c:pt idx="49">
                  <c:v>171539.0527329387</c:v>
                </c:pt>
                <c:pt idx="50">
                  <c:v>171701.12237600566</c:v>
                </c:pt>
                <c:pt idx="51">
                  <c:v>171837.26188843889</c:v>
                </c:pt>
                <c:pt idx="52">
                  <c:v>171951.58799843318</c:v>
                </c:pt>
                <c:pt idx="53">
                  <c:v>172047.57331753321</c:v>
                </c:pt>
                <c:pt idx="54">
                  <c:v>172128.14430524205</c:v>
                </c:pt>
                <c:pt idx="55">
                  <c:v>172195.76517955249</c:v>
                </c:pt>
                <c:pt idx="56">
                  <c:v>172252.50953035211</c:v>
                </c:pt>
                <c:pt idx="57">
                  <c:v>172300.12125650694</c:v>
                </c:pt>
                <c:pt idx="58">
                  <c:v>172340.06629129636</c:v>
                </c:pt>
                <c:pt idx="59">
                  <c:v>172373.57641970363</c:v>
                </c:pt>
                <c:pt idx="60">
                  <c:v>0</c:v>
                </c:pt>
                <c:pt idx="61">
                  <c:v>0</c:v>
                </c:pt>
                <c:pt idx="62">
                  <c:v>0</c:v>
                </c:pt>
                <c:pt idx="63">
                  <c:v>172537.40713307241</c:v>
                </c:pt>
                <c:pt idx="64">
                  <c:v>172544.79224170951</c:v>
                </c:pt>
                <c:pt idx="65">
                  <c:v>172546.94541085832</c:v>
                </c:pt>
                <c:pt idx="66">
                  <c:v>0</c:v>
                </c:pt>
                <c:pt idx="67">
                  <c:v>0</c:v>
                </c:pt>
                <c:pt idx="68">
                  <c:v>0</c:v>
                </c:pt>
                <c:pt idx="69">
                  <c:v>0</c:v>
                </c:pt>
              </c:numCache>
            </c:numRef>
          </c:yVal>
          <c:smooth val="0"/>
        </c:ser>
        <c:ser>
          <c:idx val="1"/>
          <c:order val="2"/>
          <c:tx>
            <c:strRef>
              <c:f>myData!TestsLogestLabel</c:f>
              <c:strCache>
                <c:ptCount val="1"/>
                <c:pt idx="0">
                  <c:v>Exponential Growth: 
y = 13256.9 x 1.06^ [day number], r^2=85.5%</c:v>
                </c:pt>
              </c:strCache>
            </c:strRef>
          </c:tx>
          <c:spPr>
            <a:ln w="22225" cap="rnd">
              <a:solidFill>
                <a:schemeClr val="accent6">
                  <a:lumMod val="75000"/>
                </a:schemeClr>
              </a:solidFill>
              <a:prstDash val="sysDot"/>
              <a:round/>
            </a:ln>
            <a:effectLst/>
          </c:spPr>
          <c:marker>
            <c:symbol val="none"/>
          </c:marker>
          <c:xVal>
            <c:numRef>
              <c:f>myData!TestsLogiDates</c:f>
              <c:numCache>
                <c:formatCode>m/d/yyyy</c:formatCode>
                <c:ptCount val="70"/>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43964</c:v>
                </c:pt>
                <c:pt idx="63">
                  <c:v>43971</c:v>
                </c:pt>
                <c:pt idx="64">
                  <c:v>43978</c:v>
                </c:pt>
                <c:pt idx="65">
                  <c:v>43985</c:v>
                </c:pt>
                <c:pt idx="66">
                  <c:v>43992</c:v>
                </c:pt>
                <c:pt idx="67">
                  <c:v>43999</c:v>
                </c:pt>
                <c:pt idx="68">
                  <c:v>44006</c:v>
                </c:pt>
                <c:pt idx="69">
                  <c:v>44013</c:v>
                </c:pt>
              </c:numCache>
            </c:numRef>
          </c:xVal>
          <c:yVal>
            <c:numRef>
              <c:f>myData!TestsLOGEST</c:f>
              <c:numCache>
                <c:formatCode>##0.0E+00</c:formatCode>
                <c:ptCount val="70"/>
                <c:pt idx="0">
                  <c:v>14052.439044114559</c:v>
                </c:pt>
                <c:pt idx="1">
                  <c:v>14895.746072418586</c:v>
                </c:pt>
                <c:pt idx="2">
                  <c:v>15789.66116539768</c:v>
                </c:pt>
                <c:pt idx="3">
                  <c:v>16737.221385621218</c:v>
                </c:pt>
                <c:pt idx="4">
                  <c:v>17741.646054140689</c:v>
                </c:pt>
                <c:pt idx="5">
                  <c:v>18806.3476880827</c:v>
                </c:pt>
                <c:pt idx="6">
                  <c:v>19934.943594622611</c:v>
                </c:pt>
                <c:pt idx="7">
                  <c:v>21131.268160729196</c:v>
                </c:pt>
                <c:pt idx="8">
                  <c:v>22399.385880434482</c:v>
                </c:pt>
                <c:pt idx="9">
                  <c:v>23743.605163888744</c:v>
                </c:pt>
                <c:pt idx="10">
                  <c:v>25168.49297511674</c:v>
                </c:pt>
                <c:pt idx="11">
                  <c:v>26678.890348206627</c:v>
                </c:pt>
                <c:pt idx="12">
                  <c:v>28279.928834647744</c:v>
                </c:pt>
                <c:pt idx="13">
                  <c:v>29977.047937696581</c:v>
                </c:pt>
                <c:pt idx="14">
                  <c:v>31776.013593004223</c:v>
                </c:pt>
                <c:pt idx="15">
                  <c:v>33682.937758292661</c:v>
                </c:pt>
                <c:pt idx="16">
                  <c:v>35704.299178635694</c:v>
                </c:pt>
                <c:pt idx="17">
                  <c:v>37846.965397894179</c:v>
                </c:pt>
                <c:pt idx="18">
                  <c:v>40118.216091089023</c:v>
                </c:pt>
                <c:pt idx="19">
                  <c:v>42525.767796983419</c:v>
                </c:pt>
                <c:pt idx="20">
                  <c:v>45077.800134902798</c:v>
                </c:pt>
                <c:pt idx="21">
                  <c:v>47782.983594863719</c:v>
                </c:pt>
                <c:pt idx="22">
                  <c:v>50650.508995428347</c:v>
                </c:pt>
                <c:pt idx="23">
                  <c:v>53690.118709366972</c:v>
                </c:pt>
                <c:pt idx="24">
                  <c:v>56912.13976321739</c:v>
                </c:pt>
                <c:pt idx="25">
                  <c:v>60327.518923196272</c:v>
                </c:pt>
                <c:pt idx="26">
                  <c:v>63947.859886666454</c:v>
                </c:pt>
                <c:pt idx="27">
                  <c:v>67785.462705517522</c:v>
                </c:pt>
                <c:pt idx="28">
                  <c:v>71853.365575400094</c:v>
                </c:pt>
                <c:pt idx="29">
                  <c:v>76165.389132791854</c:v>
                </c:pt>
                <c:pt idx="30">
                  <c:v>80736.18341039418</c:v>
                </c:pt>
                <c:pt idx="31">
                  <c:v>85581.277610389589</c:v>
                </c:pt>
                <c:pt idx="32">
                  <c:v>90717.132864663508</c:v>
                </c:pt>
                <c:pt idx="33">
                  <c:v>96161.198161242864</c:v>
                </c:pt>
                <c:pt idx="34">
                  <c:v>101931.96962696049</c:v>
                </c:pt>
                <c:pt idx="35">
                  <c:v>108049.05336775709</c:v>
                </c:pt>
                <c:pt idx="36">
                  <c:v>114533.23208012011</c:v>
                </c:pt>
                <c:pt idx="37">
                  <c:v>121406.53565997047</c:v>
                </c:pt>
                <c:pt idx="38">
                  <c:v>128692.31604888996</c:v>
                </c:pt>
                <c:pt idx="39">
                  <c:v>136415.32657197813</c:v>
                </c:pt>
                <c:pt idx="40">
                  <c:v>144601.80603688781</c:v>
                </c:pt>
                <c:pt idx="41">
                  <c:v>153279.56787976416</c:v>
                </c:pt>
                <c:pt idx="42">
                  <c:v>162478.09466095996</c:v>
                </c:pt>
                <c:pt idx="43">
                  <c:v>172228.6382315738</c:v>
                </c:pt>
                <c:pt idx="44">
                  <c:v>182564.32591112639</c:v>
                </c:pt>
                <c:pt idx="45">
                  <c:v>193520.27303711092</c:v>
                </c:pt>
                <c:pt idx="46">
                  <c:v>205133.70226880434</c:v>
                </c:pt>
                <c:pt idx="47">
                  <c:v>217444.07005067071</c:v>
                </c:pt>
                <c:pt idx="48">
                  <c:v>230493.20066501512</c:v>
                </c:pt>
                <c:pt idx="49">
                  <c:v>244325.42832932988</c:v>
                </c:pt>
                <c:pt idx="50">
                  <c:v>258987.74782110591</c:v>
                </c:pt>
                <c:pt idx="51">
                  <c:v>274529.97414185567</c:v>
                </c:pt>
                <c:pt idx="52">
                  <c:v>291004.91176280292</c:v>
                </c:pt>
                <c:pt idx="53">
                  <c:v>308468.53402724856</c:v>
                </c:pt>
                <c:pt idx="54">
                  <c:v>326980.17331913137</c:v>
                </c:pt>
                <c:pt idx="55">
                  <c:v>346602.72264387505</c:v>
                </c:pt>
                <c:pt idx="56">
                  <c:v>367402.84930639272</c:v>
                </c:pt>
                <c:pt idx="57">
                  <c:v>389451.22141221387</c:v>
                </c:pt>
                <c:pt idx="58">
                  <c:v>412822.7479612694</c:v>
                </c:pt>
                <c:pt idx="59">
                  <c:v>437596.83335004933</c:v>
                </c:pt>
                <c:pt idx="60">
                  <c:v>0</c:v>
                </c:pt>
                <c:pt idx="61">
                  <c:v>0</c:v>
                </c:pt>
                <c:pt idx="62">
                  <c:v>0</c:v>
                </c:pt>
                <c:pt idx="63">
                  <c:v>1111841.7385412839</c:v>
                </c:pt>
                <c:pt idx="64">
                  <c:v>1671925.1267093914</c:v>
                </c:pt>
                <c:pt idx="65">
                  <c:v>2514147.0520702349</c:v>
                </c:pt>
                <c:pt idx="66">
                  <c:v>0</c:v>
                </c:pt>
                <c:pt idx="67">
                  <c:v>0</c:v>
                </c:pt>
                <c:pt idx="68">
                  <c:v>0</c:v>
                </c:pt>
                <c:pt idx="69">
                  <c:v>0</c:v>
                </c:pt>
              </c:numCache>
            </c:numRef>
          </c:yVal>
          <c:smooth val="0"/>
        </c:ser>
        <c:dLbls>
          <c:showLegendKey val="0"/>
          <c:showVal val="0"/>
          <c:showCatName val="0"/>
          <c:showSerName val="0"/>
          <c:showPercent val="0"/>
          <c:showBubbleSize val="0"/>
        </c:dLbls>
        <c:axId val="983145936"/>
        <c:axId val="983140448"/>
      </c:scatterChart>
      <c:valAx>
        <c:axId val="983145936"/>
        <c:scaling>
          <c:orientation val="minMax"/>
          <c:max val="43951"/>
          <c:min val="43895"/>
        </c:scaling>
        <c:delete val="0"/>
        <c:axPos val="b"/>
        <c:majorGridlines>
          <c:spPr>
            <a:ln w="19050" cap="flat" cmpd="sng" algn="ctr">
              <a:solidFill>
                <a:schemeClr val="bg1">
                  <a:lumMod val="75000"/>
                </a:schemeClr>
              </a:solidFill>
              <a:round/>
            </a:ln>
            <a:effectLst/>
          </c:spPr>
        </c:majorGridlines>
        <c:minorGridlines>
          <c:spPr>
            <a:ln w="9525" cap="flat" cmpd="sng" algn="ctr">
              <a:solidFill>
                <a:schemeClr val="bg1">
                  <a:lumMod val="85000"/>
                </a:schemeClr>
              </a:solidFill>
              <a:prstDash val="sysDash"/>
              <a:round/>
            </a:ln>
            <a:effectLst/>
          </c:spPr>
        </c:minorGridlines>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AU" sz="1200" b="1"/>
                  <a:t>Date</a:t>
                </a:r>
              </a:p>
            </c:rich>
          </c:tx>
          <c:layout>
            <c:manualLayout>
              <c:xMode val="edge"/>
              <c:yMode val="edge"/>
              <c:x val="0.84938830299642143"/>
              <c:y val="0.9060021364732723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ddd\ dd\-mmm"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40448"/>
        <c:crosses val="autoZero"/>
        <c:crossBetween val="midCat"/>
        <c:majorUnit val="7"/>
        <c:minorUnit val="1"/>
      </c:valAx>
      <c:valAx>
        <c:axId val="983140448"/>
        <c:scaling>
          <c:orientation val="minMax"/>
          <c:max val="250000"/>
          <c:min val="0"/>
        </c:scaling>
        <c:delete val="0"/>
        <c:axPos val="l"/>
        <c:majorGridlines>
          <c:spPr>
            <a:ln w="22225" cap="flat" cmpd="sng" algn="ctr">
              <a:solidFill>
                <a:schemeClr val="bg1">
                  <a:lumMod val="75000"/>
                </a:schemeClr>
              </a:solidFill>
              <a:round/>
            </a:ln>
            <a:effectLst/>
          </c:spPr>
        </c:majorGridlines>
        <c:minorGridlines>
          <c:spPr>
            <a:ln w="3175" cap="flat" cmpd="sng" algn="ctr">
              <a:solidFill>
                <a:schemeClr val="bg1">
                  <a:lumMod val="85000"/>
                </a:schemeClr>
              </a:solidFill>
              <a:prstDash val="sysDash"/>
              <a:round/>
            </a:ln>
            <a:effectLst/>
          </c:spPr>
        </c:min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Number of Tests</a:t>
                </a:r>
              </a:p>
            </c:rich>
          </c:tx>
          <c:layout>
            <c:manualLayout>
              <c:xMode val="edge"/>
              <c:yMode val="edge"/>
              <c:x val="1.6348894204711178E-2"/>
              <c:y val="0.37568902260064913"/>
            </c:manualLayout>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45936"/>
        <c:crosses val="autoZero"/>
        <c:crossBetween val="midCat"/>
        <c:majorUnit val="20000"/>
        <c:minorUnit val="5000"/>
      </c:valAx>
      <c:spPr>
        <a:noFill/>
        <a:ln>
          <a:noFill/>
        </a:ln>
        <a:effectLst/>
      </c:spPr>
    </c:plotArea>
    <c:legend>
      <c:legendPos val="b"/>
      <c:layout>
        <c:manualLayout>
          <c:xMode val="edge"/>
          <c:yMode val="edge"/>
          <c:x val="0.142286022911396"/>
          <c:y val="0.19818042081756354"/>
          <c:w val="0.27207418567263936"/>
          <c:h val="0.24033178173170341"/>
        </c:manualLayout>
      </c:layout>
      <c:overlay val="0"/>
      <c:spPr>
        <a:solidFill>
          <a:schemeClr val="accent1">
            <a:lumMod val="20000"/>
            <a:lumOff val="80000"/>
            <a:alpha val="57000"/>
          </a:schemeClr>
        </a:solidFill>
        <a:ln>
          <a:solidFill>
            <a:schemeClr val="accent6">
              <a:lumMod val="60000"/>
              <a:lumOff val="40000"/>
            </a:schemeClr>
          </a:solid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Logistic Equation Asymptote v's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876130895670227E-2"/>
          <c:y val="7.7413138390551917E-2"/>
          <c:w val="0.90261765137958339"/>
          <c:h val="0.7113688647471057"/>
        </c:manualLayout>
      </c:layout>
      <c:scatterChart>
        <c:scatterStyle val="lineMarker"/>
        <c:varyColors val="0"/>
        <c:ser>
          <c:idx val="1"/>
          <c:order val="0"/>
          <c:tx>
            <c:v>Italy Asymptote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myData!HisTableItalyDates</c:f>
              <c:numCache>
                <c:formatCode>dd/mm/yy</c:formatCode>
                <c:ptCount val="48"/>
                <c:pt idx="0">
                  <c:v>43904</c:v>
                </c:pt>
                <c:pt idx="1">
                  <c:v>43905</c:v>
                </c:pt>
                <c:pt idx="2">
                  <c:v>43906</c:v>
                </c:pt>
                <c:pt idx="3">
                  <c:v>43907</c:v>
                </c:pt>
                <c:pt idx="4">
                  <c:v>43907</c:v>
                </c:pt>
                <c:pt idx="5">
                  <c:v>43909</c:v>
                </c:pt>
                <c:pt idx="6">
                  <c:v>43910</c:v>
                </c:pt>
                <c:pt idx="7">
                  <c:v>43911</c:v>
                </c:pt>
                <c:pt idx="8">
                  <c:v>43911</c:v>
                </c:pt>
                <c:pt idx="9">
                  <c:v>43911</c:v>
                </c:pt>
                <c:pt idx="10">
                  <c:v>43911</c:v>
                </c:pt>
                <c:pt idx="11">
                  <c:v>43912</c:v>
                </c:pt>
                <c:pt idx="12">
                  <c:v>43912</c:v>
                </c:pt>
                <c:pt idx="13">
                  <c:v>43914</c:v>
                </c:pt>
                <c:pt idx="14">
                  <c:v>43915</c:v>
                </c:pt>
                <c:pt idx="15">
                  <c:v>43915</c:v>
                </c:pt>
                <c:pt idx="16">
                  <c:v>43915</c:v>
                </c:pt>
                <c:pt idx="17">
                  <c:v>43915</c:v>
                </c:pt>
                <c:pt idx="18">
                  <c:v>43915</c:v>
                </c:pt>
                <c:pt idx="19">
                  <c:v>43917</c:v>
                </c:pt>
                <c:pt idx="20">
                  <c:v>43918</c:v>
                </c:pt>
                <c:pt idx="21">
                  <c:v>43920</c:v>
                </c:pt>
                <c:pt idx="22">
                  <c:v>43921</c:v>
                </c:pt>
                <c:pt idx="23">
                  <c:v>43922</c:v>
                </c:pt>
                <c:pt idx="24">
                  <c:v>43923</c:v>
                </c:pt>
                <c:pt idx="25">
                  <c:v>43924</c:v>
                </c:pt>
                <c:pt idx="26">
                  <c:v>43924</c:v>
                </c:pt>
                <c:pt idx="27">
                  <c:v>43925</c:v>
                </c:pt>
                <c:pt idx="28">
                  <c:v>43926</c:v>
                </c:pt>
                <c:pt idx="29">
                  <c:v>43927</c:v>
                </c:pt>
                <c:pt idx="30">
                  <c:v>43929</c:v>
                </c:pt>
                <c:pt idx="31">
                  <c:v>43930</c:v>
                </c:pt>
                <c:pt idx="32">
                  <c:v>43932</c:v>
                </c:pt>
                <c:pt idx="33">
                  <c:v>43932</c:v>
                </c:pt>
                <c:pt idx="34">
                  <c:v>43932</c:v>
                </c:pt>
                <c:pt idx="35">
                  <c:v>43933</c:v>
                </c:pt>
                <c:pt idx="36">
                  <c:v>43933</c:v>
                </c:pt>
                <c:pt idx="37">
                  <c:v>43933</c:v>
                </c:pt>
                <c:pt idx="38">
                  <c:v>43937</c:v>
                </c:pt>
                <c:pt idx="39">
                  <c:v>43938</c:v>
                </c:pt>
                <c:pt idx="40">
                  <c:v>43941</c:v>
                </c:pt>
                <c:pt idx="41">
                  <c:v>43944</c:v>
                </c:pt>
                <c:pt idx="42">
                  <c:v>43946</c:v>
                </c:pt>
                <c:pt idx="43">
                  <c:v>43948</c:v>
                </c:pt>
                <c:pt idx="44">
                  <c:v>43949</c:v>
                </c:pt>
                <c:pt idx="45">
                  <c:v>43950</c:v>
                </c:pt>
                <c:pt idx="46">
                  <c:v>43953</c:v>
                </c:pt>
                <c:pt idx="47">
                  <c:v>43953</c:v>
                </c:pt>
              </c:numCache>
            </c:numRef>
          </c:xVal>
          <c:yVal>
            <c:numRef>
              <c:f>myData!HisTableItalyLimit</c:f>
              <c:numCache>
                <c:formatCode>##0.#E+0</c:formatCode>
                <c:ptCount val="48"/>
                <c:pt idx="0">
                  <c:v>32853.312146806733</c:v>
                </c:pt>
                <c:pt idx="1">
                  <c:v>36357.597379060448</c:v>
                </c:pt>
                <c:pt idx="2">
                  <c:v>42656.90071971056</c:v>
                </c:pt>
                <c:pt idx="3">
                  <c:v>44773.432595385282</c:v>
                </c:pt>
                <c:pt idx="4">
                  <c:v>44773.432595385282</c:v>
                </c:pt>
                <c:pt idx="5">
                  <c:v>47251.221157049207</c:v>
                </c:pt>
                <c:pt idx="6">
                  <c:v>55402.511466544704</c:v>
                </c:pt>
                <c:pt idx="7">
                  <c:v>60634.520713483966</c:v>
                </c:pt>
                <c:pt idx="8">
                  <c:v>60634.520713483966</c:v>
                </c:pt>
                <c:pt idx="9">
                  <c:v>60634.520713483966</c:v>
                </c:pt>
                <c:pt idx="10">
                  <c:v>60634.520713483966</c:v>
                </c:pt>
                <c:pt idx="11">
                  <c:v>65423.849218858661</c:v>
                </c:pt>
                <c:pt idx="12">
                  <c:v>65423.849218858661</c:v>
                </c:pt>
                <c:pt idx="13">
                  <c:v>72185.780764313138</c:v>
                </c:pt>
                <c:pt idx="14">
                  <c:v>76058.397470454249</c:v>
                </c:pt>
                <c:pt idx="15">
                  <c:v>76058.397470454249</c:v>
                </c:pt>
                <c:pt idx="16">
                  <c:v>76058.397470454249</c:v>
                </c:pt>
                <c:pt idx="17">
                  <c:v>76058.397470454249</c:v>
                </c:pt>
                <c:pt idx="18">
                  <c:v>76058.397470454249</c:v>
                </c:pt>
                <c:pt idx="19">
                  <c:v>80460.61645599021</c:v>
                </c:pt>
                <c:pt idx="20">
                  <c:v>85483.180383540035</c:v>
                </c:pt>
                <c:pt idx="21">
                  <c:v>91505.889555524627</c:v>
                </c:pt>
                <c:pt idx="22">
                  <c:v>91583.401761774512</c:v>
                </c:pt>
                <c:pt idx="23">
                  <c:v>97269.773664435765</c:v>
                </c:pt>
                <c:pt idx="24">
                  <c:v>97269.773664435765</c:v>
                </c:pt>
                <c:pt idx="25">
                  <c:v>102829.84275542604</c:v>
                </c:pt>
                <c:pt idx="26">
                  <c:v>102829.84275542604</c:v>
                </c:pt>
                <c:pt idx="27">
                  <c:v>102829.84275542604</c:v>
                </c:pt>
                <c:pt idx="28">
                  <c:v>108292.49738025448</c:v>
                </c:pt>
                <c:pt idx="29">
                  <c:v>108292.49738025448</c:v>
                </c:pt>
                <c:pt idx="30">
                  <c:v>115134.96686570995</c:v>
                </c:pt>
                <c:pt idx="31">
                  <c:v>115134.96686570995</c:v>
                </c:pt>
                <c:pt idx="32">
                  <c:v>122093.38235553101</c:v>
                </c:pt>
                <c:pt idx="33">
                  <c:v>122093.38235553101</c:v>
                </c:pt>
                <c:pt idx="34">
                  <c:v>122093.38235553101</c:v>
                </c:pt>
                <c:pt idx="35">
                  <c:v>122093.38235553101</c:v>
                </c:pt>
                <c:pt idx="36">
                  <c:v>122093.38235553101</c:v>
                </c:pt>
                <c:pt idx="37">
                  <c:v>122093.38235553101</c:v>
                </c:pt>
                <c:pt idx="38">
                  <c:v>132318.28834754485</c:v>
                </c:pt>
                <c:pt idx="39">
                  <c:v>132318.28834754485</c:v>
                </c:pt>
                <c:pt idx="40">
                  <c:v>140645.65484342331</c:v>
                </c:pt>
                <c:pt idx="41">
                  <c:v>146398.44401590657</c:v>
                </c:pt>
                <c:pt idx="42">
                  <c:v>149728.8445748534</c:v>
                </c:pt>
                <c:pt idx="43">
                  <c:v>153344.36610737242</c:v>
                </c:pt>
                <c:pt idx="44">
                  <c:v>153344.36610737242</c:v>
                </c:pt>
                <c:pt idx="45">
                  <c:v>154331.78804735732</c:v>
                </c:pt>
                <c:pt idx="46">
                  <c:v>161385.07927039772</c:v>
                </c:pt>
                <c:pt idx="47">
                  <c:v>161385.07927039772</c:v>
                </c:pt>
              </c:numCache>
            </c:numRef>
          </c:yVal>
          <c:smooth val="0"/>
        </c:ser>
        <c:dLbls>
          <c:showLegendKey val="0"/>
          <c:showVal val="0"/>
          <c:showCatName val="0"/>
          <c:showSerName val="0"/>
          <c:showPercent val="0"/>
          <c:showBubbleSize val="0"/>
        </c:dLbls>
        <c:axId val="983117712"/>
        <c:axId val="983123592"/>
      </c:scatterChart>
      <c:valAx>
        <c:axId val="983117712"/>
        <c:scaling>
          <c:orientation val="minMax"/>
        </c:scaling>
        <c:delete val="0"/>
        <c:axPos val="b"/>
        <c:majorGridlines>
          <c:spPr>
            <a:ln w="9525" cap="flat" cmpd="sng" algn="ctr">
              <a:solidFill>
                <a:schemeClr val="tx1">
                  <a:lumMod val="15000"/>
                  <a:lumOff val="85000"/>
                </a:schemeClr>
              </a:solidFill>
              <a:round/>
            </a:ln>
            <a:effectLst/>
          </c:spPr>
        </c:majorGridlines>
        <c:numFmt formatCode="dd/mm/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23592"/>
        <c:crosses val="autoZero"/>
        <c:crossBetween val="midCat"/>
        <c:majorUnit val="1"/>
        <c:minorUnit val="1"/>
      </c:valAx>
      <c:valAx>
        <c:axId val="983123592"/>
        <c:scaling>
          <c:orientation val="minMax"/>
          <c:max val="170000"/>
          <c:min val="30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Cases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17712"/>
        <c:crosses val="autoZero"/>
        <c:crossBetween val="midCat"/>
      </c:valAx>
      <c:spPr>
        <a:noFill/>
        <a:ln>
          <a:noFill/>
        </a:ln>
        <a:effectLst/>
      </c:spPr>
    </c:plotArea>
    <c:legend>
      <c:legendPos val="r"/>
      <c:layout>
        <c:manualLayout>
          <c:xMode val="edge"/>
          <c:yMode val="edge"/>
          <c:x val="0.81865946713561977"/>
          <c:y val="0.68402545755862898"/>
          <c:w val="0.12269632761202429"/>
          <c:h val="7.0442483344547085E-2"/>
        </c:manualLayout>
      </c:layout>
      <c:overlay val="0"/>
      <c:spPr>
        <a:solidFill>
          <a:schemeClr val="bg1">
            <a:lumMod val="95000"/>
            <a:alpha val="71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myData!$EX$13</c:f>
          <c:strCache>
            <c:ptCount val="1"/>
            <c:pt idx="0">
              <c:v>COVID19 Italy P(t) = b / {d+[( b/Po - d ) ]* exp(-b*t)}
b=0.253, d=1.57E-06, P0=.639, r2=0.9076, Limit=26.7 k=&gt;161 k cases 
 (Fit: Thu 30-Jan - Sat 02-May)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4034986229607774"/>
          <c:w val="0.79874116309897425"/>
          <c:h val="0.69409564235042309"/>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myData!ItalyDates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myData!ItalyCases</c:f>
              <c:numCache>
                <c:formatCode>0.0</c:formatCode>
                <c:ptCount val="93"/>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c:v>10.250475324460611</c:v>
                </c:pt>
                <c:pt idx="23">
                  <c:v>25.626188311151527</c:v>
                </c:pt>
                <c:pt idx="24">
                  <c:v>37.860626601636774</c:v>
                </c:pt>
                <c:pt idx="25">
                  <c:v>53.236339588327688</c:v>
                </c:pt>
                <c:pt idx="26">
                  <c:v>74.894601967429949</c:v>
                </c:pt>
                <c:pt idx="27">
                  <c:v>108.29131189551129</c:v>
                </c:pt>
                <c:pt idx="28">
                  <c:v>146.81325948582293</c:v>
                </c:pt>
                <c:pt idx="29">
                  <c:v>186.49251880631562</c:v>
                </c:pt>
                <c:pt idx="30">
                  <c:v>280.06943870381087</c:v>
                </c:pt>
                <c:pt idx="31">
                  <c:v>336.61238323551294</c:v>
                </c:pt>
                <c:pt idx="32">
                  <c:v>413.65627841613627</c:v>
                </c:pt>
                <c:pt idx="33">
                  <c:v>510.70513350417463</c:v>
                </c:pt>
                <c:pt idx="34">
                  <c:v>637.84409357691993</c:v>
                </c:pt>
                <c:pt idx="35">
                  <c:v>766.47102587418374</c:v>
                </c:pt>
                <c:pt idx="36">
                  <c:v>972.63784409357697</c:v>
                </c:pt>
                <c:pt idx="37">
                  <c:v>1219.3105728693065</c:v>
                </c:pt>
                <c:pt idx="38">
                  <c:v>1516.4090270314955</c:v>
                </c:pt>
                <c:pt idx="39">
                  <c:v>1677.9366785153345</c:v>
                </c:pt>
                <c:pt idx="40">
                  <c:v>2060.3455402165828</c:v>
                </c:pt>
                <c:pt idx="41">
                  <c:v>2060.3455402165828</c:v>
                </c:pt>
                <c:pt idx="42">
                  <c:v>2919.732164999587</c:v>
                </c:pt>
                <c:pt idx="43">
                  <c:v>3497.8920393485992</c:v>
                </c:pt>
                <c:pt idx="44">
                  <c:v>4091.4276266843021</c:v>
                </c:pt>
                <c:pt idx="45">
                  <c:v>4625.9403157807719</c:v>
                </c:pt>
                <c:pt idx="46">
                  <c:v>5208.8947672976774</c:v>
                </c:pt>
                <c:pt idx="47">
                  <c:v>5904.4391171364805</c:v>
                </c:pt>
                <c:pt idx="48">
                  <c:v>6784.3266925684056</c:v>
                </c:pt>
                <c:pt idx="49">
                  <c:v>7773.9935521203606</c:v>
                </c:pt>
                <c:pt idx="50">
                  <c:v>8858.0639828056555</c:v>
                </c:pt>
                <c:pt idx="51">
                  <c:v>9777.3001570637352</c:v>
                </c:pt>
                <c:pt idx="52">
                  <c:v>10569.066710754732</c:v>
                </c:pt>
                <c:pt idx="53">
                  <c:v>11436.885178143342</c:v>
                </c:pt>
                <c:pt idx="54">
                  <c:v>12298.255765892371</c:v>
                </c:pt>
                <c:pt idx="55">
                  <c:v>13323.799289079938</c:v>
                </c:pt>
                <c:pt idx="56">
                  <c:v>14300.735719599901</c:v>
                </c:pt>
                <c:pt idx="57">
                  <c:v>15288.418616185832</c:v>
                </c:pt>
                <c:pt idx="58">
                  <c:v>16150.946515665042</c:v>
                </c:pt>
                <c:pt idx="59">
                  <c:v>16820.534016698355</c:v>
                </c:pt>
                <c:pt idx="60">
                  <c:v>17490.617508473177</c:v>
                </c:pt>
                <c:pt idx="61">
                  <c:v>18281.226750433994</c:v>
                </c:pt>
                <c:pt idx="62">
                  <c:v>19052.988344217574</c:v>
                </c:pt>
                <c:pt idx="63">
                  <c:v>19811.027527486156</c:v>
                </c:pt>
                <c:pt idx="64">
                  <c:v>20605.439365131853</c:v>
                </c:pt>
                <c:pt idx="65">
                  <c:v>21319.004711912046</c:v>
                </c:pt>
                <c:pt idx="66">
                  <c:v>21914.028271472267</c:v>
                </c:pt>
                <c:pt idx="67">
                  <c:v>22416.466892618006</c:v>
                </c:pt>
                <c:pt idx="68">
                  <c:v>23050.673720757215</c:v>
                </c:pt>
                <c:pt idx="69">
                  <c:v>23745.72207985451</c:v>
                </c:pt>
                <c:pt idx="70">
                  <c:v>24398.941886418121</c:v>
                </c:pt>
                <c:pt idx="71">
                  <c:v>25175.002066628091</c:v>
                </c:pt>
                <c:pt idx="72">
                  <c:v>25851.53343804249</c:v>
                </c:pt>
                <c:pt idx="73">
                  <c:v>26372.819707365463</c:v>
                </c:pt>
                <c:pt idx="74">
                  <c:v>26864.181201950898</c:v>
                </c:pt>
                <c:pt idx="75">
                  <c:v>27305.116971149873</c:v>
                </c:pt>
                <c:pt idx="76">
                  <c:v>27931.057286930645</c:v>
                </c:pt>
                <c:pt idx="77">
                  <c:v>28508.555840290981</c:v>
                </c:pt>
                <c:pt idx="78">
                  <c:v>29085.723733156981</c:v>
                </c:pt>
                <c:pt idx="79">
                  <c:v>29589.484996280069</c:v>
                </c:pt>
                <c:pt idx="80">
                  <c:v>29962.470033892703</c:v>
                </c:pt>
                <c:pt idx="81">
                  <c:v>30413.656278416136</c:v>
                </c:pt>
                <c:pt idx="82">
                  <c:v>30970.819211374721</c:v>
                </c:pt>
                <c:pt idx="83">
                  <c:v>31408.283045383156</c:v>
                </c:pt>
                <c:pt idx="84">
                  <c:v>31907.745722079857</c:v>
                </c:pt>
                <c:pt idx="85">
                  <c:v>32297.429114656527</c:v>
                </c:pt>
                <c:pt idx="86">
                  <c:v>32681.656609076632</c:v>
                </c:pt>
                <c:pt idx="87">
                  <c:v>32969.165908903036</c:v>
                </c:pt>
                <c:pt idx="88">
                  <c:v>33314.871455732828</c:v>
                </c:pt>
                <c:pt idx="89">
                  <c:v>33659.750351326773</c:v>
                </c:pt>
                <c:pt idx="90">
                  <c:v>33969.24857402662</c:v>
                </c:pt>
                <c:pt idx="91">
                  <c:v>34294.122509713154</c:v>
                </c:pt>
                <c:pt idx="92">
                  <c:v>34608.249979333719</c:v>
                </c:pt>
              </c:numCache>
            </c:numRef>
          </c:yVal>
          <c:smooth val="0"/>
        </c:ser>
        <c:ser>
          <c:idx val="0"/>
          <c:order val="1"/>
          <c:tx>
            <c:strRef>
              <c:f>myData!ItalySeries</c:f>
              <c:strCache>
                <c:ptCount val="1"/>
                <c:pt idx="0">
                  <c:v>Italy Limit 26.7 k r^2=90.76%</c:v>
                </c:pt>
              </c:strCache>
            </c:strRef>
          </c:tx>
          <c:spPr>
            <a:ln w="19050" cap="rnd">
              <a:solidFill>
                <a:schemeClr val="accent1"/>
              </a:solidFill>
              <a:prstDash val="sysDash"/>
              <a:round/>
            </a:ln>
            <a:effectLst/>
          </c:spPr>
          <c:marker>
            <c:symbol val="none"/>
          </c:marker>
          <c:xVal>
            <c:numRef>
              <c:f>myData!ItalyLogiDates</c:f>
              <c:numCache>
                <c:formatCode>m/d/yyyy</c:formatCode>
                <c:ptCount val="105"/>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pt idx="93">
                  <c:v>43954</c:v>
                </c:pt>
                <c:pt idx="94">
                  <c:v>43955</c:v>
                </c:pt>
                <c:pt idx="95">
                  <c:v>43956</c:v>
                </c:pt>
                <c:pt idx="96">
                  <c:v>43957</c:v>
                </c:pt>
                <c:pt idx="97">
                  <c:v>43964</c:v>
                </c:pt>
                <c:pt idx="98">
                  <c:v>43971</c:v>
                </c:pt>
                <c:pt idx="99">
                  <c:v>43978</c:v>
                </c:pt>
                <c:pt idx="100">
                  <c:v>43985</c:v>
                </c:pt>
                <c:pt idx="101">
                  <c:v>43992</c:v>
                </c:pt>
                <c:pt idx="102">
                  <c:v>43999</c:v>
                </c:pt>
                <c:pt idx="103">
                  <c:v>44006</c:v>
                </c:pt>
                <c:pt idx="104">
                  <c:v>44013</c:v>
                </c:pt>
              </c:numCache>
            </c:numRef>
          </c:xVal>
          <c:yVal>
            <c:numRef>
              <c:f>myData!ItalyLogi</c:f>
              <c:numCache>
                <c:formatCode>0.0</c:formatCode>
                <c:ptCount val="105"/>
                <c:pt idx="0">
                  <c:v>9.4319527547555293E-2</c:v>
                </c:pt>
                <c:pt idx="1">
                  <c:v>0.12149455820816397</c:v>
                </c:pt>
                <c:pt idx="2">
                  <c:v>0.15649912299719076</c:v>
                </c:pt>
                <c:pt idx="3">
                  <c:v>0.20158899791412627</c:v>
                </c:pt>
                <c:pt idx="4">
                  <c:v>0.25966985319378766</c:v>
                </c:pt>
                <c:pt idx="5">
                  <c:v>0.33448447616768234</c:v>
                </c:pt>
                <c:pt idx="6">
                  <c:v>0.43085392099664788</c:v>
                </c:pt>
                <c:pt idx="7">
                  <c:v>0.55498811242163526</c:v>
                </c:pt>
                <c:pt idx="8">
                  <c:v>0.71488589763593113</c:v>
                </c:pt>
                <c:pt idx="9">
                  <c:v>0.92085028993716922</c:v>
                </c:pt>
                <c:pt idx="10">
                  <c:v>1.1861520466036888</c:v>
                </c:pt>
                <c:pt idx="11">
                  <c:v>1.5278842418080443</c:v>
                </c:pt>
                <c:pt idx="12">
                  <c:v>1.968062736022371</c:v>
                </c:pt>
                <c:pt idx="13">
                  <c:v>2.5350431773579438</c:v>
                </c:pt>
                <c:pt idx="14">
                  <c:v>3.2653453821171445</c:v>
                </c:pt>
                <c:pt idx="15">
                  <c:v>4.2060018852081189</c:v>
                </c:pt>
                <c:pt idx="16">
                  <c:v>5.4175807169099581</c:v>
                </c:pt>
                <c:pt idx="17">
                  <c:v>6.9780750603904869</c:v>
                </c:pt>
                <c:pt idx="18">
                  <c:v>8.987906897289486</c:v>
                </c:pt>
                <c:pt idx="19" formatCode="0">
                  <c:v>11.576361197749186</c:v>
                </c:pt>
                <c:pt idx="20" formatCode="0">
                  <c:v>14.909855523149005</c:v>
                </c:pt>
                <c:pt idx="21" formatCode="0">
                  <c:v>19.202561768875942</c:v>
                </c:pt>
                <c:pt idx="22" formatCode="0">
                  <c:v>24.730037726544385</c:v>
                </c:pt>
                <c:pt idx="23" formatCode="0">
                  <c:v>31.846702530948502</c:v>
                </c:pt>
                <c:pt idx="24" formatCode="0">
                  <c:v>41.008208727584538</c:v>
                </c:pt>
                <c:pt idx="25" formatCode="0">
                  <c:v>52.800031324427046</c:v>
                </c:pt>
                <c:pt idx="26" formatCode="0">
                  <c:v>67.973915870243303</c:v>
                </c:pt>
                <c:pt idx="27" formatCode="0">
                  <c:v>87.494204228525732</c:v>
                </c:pt>
                <c:pt idx="28" formatCode="0">
                  <c:v>112.59648035891601</c:v>
                </c:pt>
                <c:pt idx="29" formatCode="0">
                  <c:v>144.86142442829504</c:v>
                </c:pt>
                <c:pt idx="30" formatCode="0">
                  <c:v>186.30717761188527</c:v>
                </c:pt>
                <c:pt idx="31" formatCode="0">
                  <c:v>239.50379734378745</c:v>
                </c:pt>
                <c:pt idx="32" formatCode="0">
                  <c:v>307.71333696252458</c:v>
                </c:pt>
                <c:pt idx="33" formatCode="0">
                  <c:v>395.05840021142262</c:v>
                </c:pt>
                <c:pt idx="34" formatCode="0">
                  <c:v>506.72019530733627</c:v>
                </c:pt>
                <c:pt idx="35" formatCode="0">
                  <c:v>649.163376127883</c:v>
                </c:pt>
                <c:pt idx="36" formatCode="0">
                  <c:v>830.3782083809582</c:v>
                </c:pt>
                <c:pt idx="37" formatCode="0">
                  <c:v>1060.1193946728774</c:v>
                </c:pt>
                <c:pt idx="38" formatCode="0">
                  <c:v>1350.10361330397</c:v>
                </c:pt>
                <c:pt idx="39" formatCode="0">
                  <c:v>1714.1032075128903</c:v>
                </c:pt>
                <c:pt idx="40" formatCode="0">
                  <c:v>2167.8418193639991</c:v>
                </c:pt>
                <c:pt idx="41" formatCode="0">
                  <c:v>2728.5632323224359</c:v>
                </c:pt>
                <c:pt idx="42" formatCode="0">
                  <c:v>3414.118536188962</c:v>
                </c:pt>
                <c:pt idx="43" formatCode="0">
                  <c:v>4241.4207285673319</c:v>
                </c:pt>
                <c:pt idx="44" formatCode="0">
                  <c:v>5224.1825377232135</c:v>
                </c:pt>
                <c:pt idx="45" formatCode="0">
                  <c:v>6370.0169233749111</c:v>
                </c:pt>
                <c:pt idx="46" formatCode="0">
                  <c:v>7677.2518534716501</c:v>
                </c:pt>
                <c:pt idx="47" formatCode="0">
                  <c:v>9132.141439709354</c:v>
                </c:pt>
                <c:pt idx="48" formatCode="0">
                  <c:v>10707.403293036923</c:v>
                </c:pt>
                <c:pt idx="49" formatCode="0">
                  <c:v>12362.972668598062</c:v>
                </c:pt>
                <c:pt idx="50" formatCode="0">
                  <c:v>14049.389926771717</c:v>
                </c:pt>
                <c:pt idx="51" formatCode="0">
                  <c:v>15713.4029658457</c:v>
                </c:pt>
                <c:pt idx="52" formatCode="0">
                  <c:v>17304.524192570669</c:v>
                </c:pt>
                <c:pt idx="53" formatCode="0">
                  <c:v>18780.888378182644</c:v>
                </c:pt>
                <c:pt idx="54" formatCode="0">
                  <c:v>20113.047380114629</c:v>
                </c:pt>
                <c:pt idx="55" formatCode="0">
                  <c:v>21285.136744478561</c:v>
                </c:pt>
                <c:pt idx="56" formatCode="0">
                  <c:v>22293.715099281151</c:v>
                </c:pt>
                <c:pt idx="57" formatCode="0">
                  <c:v>23145.121706068341</c:v>
                </c:pt>
                <c:pt idx="58" formatCode="0">
                  <c:v>23852.300433501554</c:v>
                </c:pt>
                <c:pt idx="59" formatCode="0">
                  <c:v>24431.822438348365</c:v>
                </c:pt>
                <c:pt idx="60" formatCode="0">
                  <c:v>24901.51069681322</c:v>
                </c:pt>
                <c:pt idx="61" formatCode="0">
                  <c:v>25278.782494527903</c:v>
                </c:pt>
                <c:pt idx="62" formatCode="0">
                  <c:v>25579.6446071957</c:v>
                </c:pt>
                <c:pt idx="63" formatCode="0">
                  <c:v>25818.195796411841</c:v>
                </c:pt>
                <c:pt idx="64" formatCode="0">
                  <c:v>26006.479614044893</c:v>
                </c:pt>
                <c:pt idx="65" formatCode="0">
                  <c:v>26154.553599475301</c:v>
                </c:pt>
                <c:pt idx="66" formatCode="0">
                  <c:v>26270.675137727121</c:v>
                </c:pt>
                <c:pt idx="67" formatCode="0">
                  <c:v>26361.536771338855</c:v>
                </c:pt>
                <c:pt idx="68" formatCode="0">
                  <c:v>26432.509590004611</c:v>
                </c:pt>
                <c:pt idx="69" formatCode="0">
                  <c:v>26487.871713755019</c:v>
                </c:pt>
                <c:pt idx="70" formatCode="0">
                  <c:v>26531.010953830308</c:v>
                </c:pt>
                <c:pt idx="71" formatCode="0">
                  <c:v>26564.598093789271</c:v>
                </c:pt>
                <c:pt idx="72" formatCode="0">
                  <c:v>26590.731369834783</c:v>
                </c:pt>
                <c:pt idx="73" formatCode="0">
                  <c:v>26611.054801604278</c:v>
                </c:pt>
                <c:pt idx="74" formatCode="0">
                  <c:v>26626.853851255484</c:v>
                </c:pt>
                <c:pt idx="75" formatCode="0">
                  <c:v>26639.132011378493</c:v>
                </c:pt>
                <c:pt idx="76" formatCode="0">
                  <c:v>26648.671681402164</c:v>
                </c:pt>
                <c:pt idx="77" formatCode="0">
                  <c:v>26656.082291287421</c:v>
                </c:pt>
                <c:pt idx="78" formatCode="0">
                  <c:v>26661.838185741926</c:v>
                </c:pt>
                <c:pt idx="79" formatCode="0">
                  <c:v>26666.308352721691</c:v>
                </c:pt>
                <c:pt idx="80" formatCode="0">
                  <c:v>26669.779694972924</c:v>
                </c:pt>
                <c:pt idx="81" formatCode="0">
                  <c:v>26672.475212785157</c:v>
                </c:pt>
                <c:pt idx="82" formatCode="0">
                  <c:v>26674.568190112601</c:v>
                </c:pt>
                <c:pt idx="83" formatCode="0">
                  <c:v>26676.193250135853</c:v>
                </c:pt>
                <c:pt idx="84" formatCode="0">
                  <c:v>26677.454963643617</c:v>
                </c:pt>
                <c:pt idx="85" formatCode="0">
                  <c:v>26678.434547429631</c:v>
                </c:pt>
                <c:pt idx="86" formatCode="0">
                  <c:v>26679.195073775736</c:v>
                </c:pt>
                <c:pt idx="87" formatCode="0">
                  <c:v>26679.78552034486</c:v>
                </c:pt>
                <c:pt idx="88" formatCode="0">
                  <c:v>26680.24391761727</c:v>
                </c:pt>
                <c:pt idx="89" formatCode="0">
                  <c:v>26680.599794376958</c:v>
                </c:pt>
                <c:pt idx="90" formatCode="0">
                  <c:v>26680.876077442303</c:v>
                </c:pt>
                <c:pt idx="91" formatCode="0">
                  <c:v>26681.090567221705</c:v>
                </c:pt>
                <c:pt idx="92" formatCode="0">
                  <c:v>26681.257083675166</c:v>
                </c:pt>
                <c:pt idx="93" formatCode="0">
                  <c:v>26681.386356225059</c:v>
                </c:pt>
                <c:pt idx="94" formatCode="0">
                  <c:v>26681.486714780454</c:v>
                </c:pt>
                <c:pt idx="95" formatCode="0">
                  <c:v>26681.564626295793</c:v>
                </c:pt>
                <c:pt idx="96" formatCode="0">
                  <c:v>26681.625111374771</c:v>
                </c:pt>
                <c:pt idx="97" formatCode="0">
                  <c:v>26681.799367527132</c:v>
                </c:pt>
                <c:pt idx="98" formatCode="0">
                  <c:v>26681.828981854735</c:v>
                </c:pt>
                <c:pt idx="99" formatCode="0">
                  <c:v>26681.834014691878</c:v>
                </c:pt>
                <c:pt idx="100" formatCode="0">
                  <c:v>26681.83487000161</c:v>
                </c:pt>
                <c:pt idx="101" formatCode="0">
                  <c:v>26681.835015357909</c:v>
                </c:pt>
                <c:pt idx="102" formatCode="0">
                  <c:v>26681.835040060607</c:v>
                </c:pt>
                <c:pt idx="103" formatCode="0">
                  <c:v>26681.835044258722</c:v>
                </c:pt>
                <c:pt idx="104" formatCode="0">
                  <c:v>26681.835044972173</c:v>
                </c:pt>
              </c:numCache>
            </c:numRef>
          </c:yVal>
          <c:smooth val="0"/>
        </c:ser>
        <c:dLbls>
          <c:showLegendKey val="0"/>
          <c:showVal val="0"/>
          <c:showCatName val="0"/>
          <c:showSerName val="0"/>
          <c:showPercent val="0"/>
          <c:showBubbleSize val="0"/>
        </c:dLbls>
        <c:axId val="983125552"/>
        <c:axId val="983119280"/>
      </c:scatterChart>
      <c:valAx>
        <c:axId val="983125552"/>
        <c:scaling>
          <c:orientation val="minMax"/>
          <c:max val="43923"/>
          <c:min val="4386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19280"/>
        <c:crossesAt val="0.1"/>
        <c:crossBetween val="midCat"/>
        <c:majorUnit val="7"/>
        <c:minorUnit val="1"/>
      </c:valAx>
      <c:valAx>
        <c:axId val="983119280"/>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25552"/>
        <c:crosses val="autoZero"/>
        <c:crossBetween val="midCat"/>
      </c:valAx>
      <c:spPr>
        <a:noFill/>
        <a:ln>
          <a:noFill/>
        </a:ln>
        <a:effectLst/>
      </c:spPr>
    </c:plotArea>
    <c:legend>
      <c:legendPos val="b"/>
      <c:layout>
        <c:manualLayout>
          <c:xMode val="edge"/>
          <c:yMode val="edge"/>
          <c:x val="8.9432251928890691E-2"/>
          <c:y val="0.16096157076147521"/>
          <c:w val="0.19738559171691672"/>
          <c:h val="0.11075724174064068"/>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myData!$EX$16</c:f>
          <c:strCache>
            <c:ptCount val="1"/>
            <c:pt idx="0">
              <c:v>COVID19 South Korea P(t) = b / {d+[( b/Po - d ) ]* exp(-b*t)}
b=0.177, d=1.73E-05, P0=.639, r2=0.9875, Limit=1.99 k=&gt;10.2 k cases , log fit from 19th Feb 
 (Fit: Wed 22-Jan - Sat 02-May)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21155919046030849"/>
          <c:w val="0.43460159270882204"/>
          <c:h val="0.65628108641116001"/>
        </c:manualLayout>
      </c:layout>
      <c:scatterChart>
        <c:scatterStyle val="lineMarker"/>
        <c:varyColors val="0"/>
        <c:ser>
          <c:idx val="1"/>
          <c:order val="0"/>
          <c:tx>
            <c:v>Skorea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myData!SKoreaDates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myData!SKoreaCases</c:f>
              <c:numCache>
                <c:formatCode>0.0</c:formatCode>
                <c:ptCount val="102"/>
                <c:pt idx="0">
                  <c:v>0.19455252918287938</c:v>
                </c:pt>
                <c:pt idx="1">
                  <c:v>0.19455252918287938</c:v>
                </c:pt>
                <c:pt idx="2">
                  <c:v>0.38910505836575876</c:v>
                </c:pt>
                <c:pt idx="3">
                  <c:v>0.38910505836575876</c:v>
                </c:pt>
                <c:pt idx="4">
                  <c:v>0.58365758754863817</c:v>
                </c:pt>
                <c:pt idx="5">
                  <c:v>0.77821011673151752</c:v>
                </c:pt>
                <c:pt idx="6">
                  <c:v>0.77821011673151752</c:v>
                </c:pt>
                <c:pt idx="7">
                  <c:v>0.77821011673151752</c:v>
                </c:pt>
                <c:pt idx="8">
                  <c:v>0.77821011673151752</c:v>
                </c:pt>
                <c:pt idx="9">
                  <c:v>2.1400778210116731</c:v>
                </c:pt>
                <c:pt idx="10">
                  <c:v>2.3346303501945527</c:v>
                </c:pt>
                <c:pt idx="11">
                  <c:v>2.918287937743191</c:v>
                </c:pt>
                <c:pt idx="12">
                  <c:v>2.918287937743191</c:v>
                </c:pt>
                <c:pt idx="13">
                  <c:v>3.1128404669260701</c:v>
                </c:pt>
                <c:pt idx="14">
                  <c:v>3.6964980544747084</c:v>
                </c:pt>
                <c:pt idx="15">
                  <c:v>4.4747081712062258</c:v>
                </c:pt>
                <c:pt idx="16">
                  <c:v>4.6692607003891053</c:v>
                </c:pt>
                <c:pt idx="17">
                  <c:v>4.6692607003891053</c:v>
                </c:pt>
                <c:pt idx="18">
                  <c:v>4.8638132295719849</c:v>
                </c:pt>
                <c:pt idx="19">
                  <c:v>5.2529182879377432</c:v>
                </c:pt>
                <c:pt idx="20">
                  <c:v>5.4474708171206228</c:v>
                </c:pt>
                <c:pt idx="21">
                  <c:v>5.4474708171206228</c:v>
                </c:pt>
                <c:pt idx="22">
                  <c:v>5.4474708171206228</c:v>
                </c:pt>
                <c:pt idx="23">
                  <c:v>5.4474708171206228</c:v>
                </c:pt>
                <c:pt idx="24">
                  <c:v>5.4474708171206228</c:v>
                </c:pt>
                <c:pt idx="25">
                  <c:v>5.6420233463035023</c:v>
                </c:pt>
                <c:pt idx="26">
                  <c:v>5.8365758754863819</c:v>
                </c:pt>
                <c:pt idx="27">
                  <c:v>6.0311284046692615</c:v>
                </c:pt>
                <c:pt idx="28">
                  <c:v>6.0311284046692615</c:v>
                </c:pt>
                <c:pt idx="29">
                  <c:v>20.233463035019458</c:v>
                </c:pt>
                <c:pt idx="30">
                  <c:v>39.688715953307394</c:v>
                </c:pt>
                <c:pt idx="31">
                  <c:v>84.241245136186777</c:v>
                </c:pt>
                <c:pt idx="32">
                  <c:v>117.1206225680934</c:v>
                </c:pt>
                <c:pt idx="33">
                  <c:v>162.06225680933852</c:v>
                </c:pt>
                <c:pt idx="34">
                  <c:v>190.07782101167317</c:v>
                </c:pt>
                <c:pt idx="35">
                  <c:v>245.33073929961091</c:v>
                </c:pt>
                <c:pt idx="36">
                  <c:v>343.579766536965</c:v>
                </c:pt>
                <c:pt idx="37">
                  <c:v>454.66926070038915</c:v>
                </c:pt>
                <c:pt idx="38">
                  <c:v>612.84046692607012</c:v>
                </c:pt>
                <c:pt idx="39">
                  <c:v>726.84824902723744</c:v>
                </c:pt>
                <c:pt idx="40">
                  <c:v>843.38521400778211</c:v>
                </c:pt>
                <c:pt idx="41">
                  <c:v>1008.9494163424125</c:v>
                </c:pt>
                <c:pt idx="42">
                  <c:v>1093.5797665369651</c:v>
                </c:pt>
                <c:pt idx="43">
                  <c:v>1184.4357976653698</c:v>
                </c:pt>
                <c:pt idx="44">
                  <c:v>1282.6848249027239</c:v>
                </c:pt>
                <c:pt idx="45">
                  <c:v>1369.8443579766538</c:v>
                </c:pt>
                <c:pt idx="46">
                  <c:v>1422.95719844358</c:v>
                </c:pt>
                <c:pt idx="47">
                  <c:v>1454.8638132295721</c:v>
                </c:pt>
                <c:pt idx="48">
                  <c:v>1461.6731517509729</c:v>
                </c:pt>
                <c:pt idx="49">
                  <c:v>1508.7548638132296</c:v>
                </c:pt>
                <c:pt idx="50">
                  <c:v>1530.933852140078</c:v>
                </c:pt>
                <c:pt idx="51">
                  <c:v>1552.3346303501946</c:v>
                </c:pt>
                <c:pt idx="52">
                  <c:v>1573.1517509727628</c:v>
                </c:pt>
                <c:pt idx="53">
                  <c:v>1587.9377431906616</c:v>
                </c:pt>
                <c:pt idx="54">
                  <c:v>1602.3346303501946</c:v>
                </c:pt>
                <c:pt idx="55">
                  <c:v>1618.6770428015566</c:v>
                </c:pt>
                <c:pt idx="56">
                  <c:v>1636.7704280155642</c:v>
                </c:pt>
                <c:pt idx="57">
                  <c:v>1666.342412451362</c:v>
                </c:pt>
                <c:pt idx="58">
                  <c:v>1683.2684824902724</c:v>
                </c:pt>
                <c:pt idx="59">
                  <c:v>1711.8677042801557</c:v>
                </c:pt>
                <c:pt idx="60">
                  <c:v>1743.3852140077822</c:v>
                </c:pt>
                <c:pt idx="61">
                  <c:v>1743.3852140077822</c:v>
                </c:pt>
                <c:pt idx="62">
                  <c:v>1758.1712062256811</c:v>
                </c:pt>
                <c:pt idx="63">
                  <c:v>1777.626459143969</c:v>
                </c:pt>
                <c:pt idx="64">
                  <c:v>1797.8599221789884</c:v>
                </c:pt>
                <c:pt idx="65">
                  <c:v>1815.5642023346304</c:v>
                </c:pt>
                <c:pt idx="66">
                  <c:v>1843.9688715953309</c:v>
                </c:pt>
                <c:pt idx="67">
                  <c:v>1864.3968871595332</c:v>
                </c:pt>
                <c:pt idx="68">
                  <c:v>1879.5719844357977</c:v>
                </c:pt>
                <c:pt idx="69">
                  <c:v>1903.8910505836577</c:v>
                </c:pt>
                <c:pt idx="70">
                  <c:v>1923.5408560311284</c:v>
                </c:pt>
                <c:pt idx="71">
                  <c:v>1940.8560311284048</c:v>
                </c:pt>
                <c:pt idx="72">
                  <c:v>1957.5875486381324</c:v>
                </c:pt>
                <c:pt idx="73">
                  <c:v>1975.8754863813231</c:v>
                </c:pt>
                <c:pt idx="74">
                  <c:v>1991.6342412451363</c:v>
                </c:pt>
                <c:pt idx="75">
                  <c:v>2000.7782101167315</c:v>
                </c:pt>
                <c:pt idx="76">
                  <c:v>2009.922178988327</c:v>
                </c:pt>
                <c:pt idx="77">
                  <c:v>2020.2334630350197</c:v>
                </c:pt>
                <c:pt idx="78">
                  <c:v>2027.8210116731518</c:v>
                </c:pt>
                <c:pt idx="79">
                  <c:v>2033.0739299610896</c:v>
                </c:pt>
                <c:pt idx="80">
                  <c:v>2038.910505836576</c:v>
                </c:pt>
                <c:pt idx="81">
                  <c:v>2045.1361867704281</c:v>
                </c:pt>
                <c:pt idx="82">
                  <c:v>2050</c:v>
                </c:pt>
                <c:pt idx="83">
                  <c:v>2055.252918287938</c:v>
                </c:pt>
                <c:pt idx="84">
                  <c:v>2060.5058365758755</c:v>
                </c:pt>
                <c:pt idx="85">
                  <c:v>2064.7859922178991</c:v>
                </c:pt>
                <c:pt idx="86">
                  <c:v>2069.0661478599222</c:v>
                </c:pt>
                <c:pt idx="87">
                  <c:v>2072.5680933852141</c:v>
                </c:pt>
                <c:pt idx="88">
                  <c:v>2074.1245136186772</c:v>
                </c:pt>
                <c:pt idx="89">
                  <c:v>2076.6536964980546</c:v>
                </c:pt>
                <c:pt idx="90">
                  <c:v>2078.4046692607003</c:v>
                </c:pt>
                <c:pt idx="91">
                  <c:v>2080.5447470817121</c:v>
                </c:pt>
                <c:pt idx="92">
                  <c:v>2083.2684824902726</c:v>
                </c:pt>
                <c:pt idx="93">
                  <c:v>2085.2140077821014</c:v>
                </c:pt>
                <c:pt idx="94">
                  <c:v>2087.1595330739301</c:v>
                </c:pt>
                <c:pt idx="95">
                  <c:v>2089.1050583657589</c:v>
                </c:pt>
                <c:pt idx="96">
                  <c:v>2091.8287937743194</c:v>
                </c:pt>
                <c:pt idx="97">
                  <c:v>2093.5797665369651</c:v>
                </c:pt>
                <c:pt idx="98">
                  <c:v>2094.3579766536968</c:v>
                </c:pt>
                <c:pt idx="99">
                  <c:v>2096.1089494163425</c:v>
                </c:pt>
                <c:pt idx="100">
                  <c:v>2097.2762645914399</c:v>
                </c:pt>
                <c:pt idx="101">
                  <c:v>2099.8054474708174</c:v>
                </c:pt>
              </c:numCache>
            </c:numRef>
          </c:yVal>
          <c:smooth val="0"/>
        </c:ser>
        <c:ser>
          <c:idx val="0"/>
          <c:order val="1"/>
          <c:tx>
            <c:strRef>
              <c:f>myData!SKoreaSeries</c:f>
              <c:strCache>
                <c:ptCount val="1"/>
                <c:pt idx="0">
                  <c:v>South Korea Limit 1.99 k r^2=98.75%</c:v>
                </c:pt>
              </c:strCache>
            </c:strRef>
          </c:tx>
          <c:spPr>
            <a:ln w="19050" cap="rnd">
              <a:solidFill>
                <a:schemeClr val="accent1"/>
              </a:solidFill>
              <a:prstDash val="sysDash"/>
              <a:round/>
            </a:ln>
            <a:effectLst/>
          </c:spPr>
          <c:marker>
            <c:symbol val="none"/>
          </c:marker>
          <c:xVal>
            <c:numRef>
              <c:f>myData!SKoreaLogiDates</c:f>
              <c:numCache>
                <c:formatCode>m/d/yyyy</c:formatCode>
                <c:ptCount val="113"/>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43926</c:v>
                </c:pt>
                <c:pt idx="74">
                  <c:v>43927</c:v>
                </c:pt>
                <c:pt idx="75">
                  <c:v>43928</c:v>
                </c:pt>
                <c:pt idx="76">
                  <c:v>43929</c:v>
                </c:pt>
                <c:pt idx="77">
                  <c:v>43930</c:v>
                </c:pt>
                <c:pt idx="78">
                  <c:v>43931</c:v>
                </c:pt>
                <c:pt idx="79">
                  <c:v>43932</c:v>
                </c:pt>
                <c:pt idx="80">
                  <c:v>43933</c:v>
                </c:pt>
                <c:pt idx="81">
                  <c:v>43934</c:v>
                </c:pt>
                <c:pt idx="82">
                  <c:v>43935</c:v>
                </c:pt>
                <c:pt idx="83">
                  <c:v>43936</c:v>
                </c:pt>
                <c:pt idx="84">
                  <c:v>43937</c:v>
                </c:pt>
                <c:pt idx="85">
                  <c:v>43938</c:v>
                </c:pt>
                <c:pt idx="86">
                  <c:v>43939</c:v>
                </c:pt>
                <c:pt idx="87">
                  <c:v>43940</c:v>
                </c:pt>
                <c:pt idx="88">
                  <c:v>43941</c:v>
                </c:pt>
                <c:pt idx="89">
                  <c:v>43942</c:v>
                </c:pt>
                <c:pt idx="90">
                  <c:v>43943</c:v>
                </c:pt>
                <c:pt idx="91">
                  <c:v>43944</c:v>
                </c:pt>
                <c:pt idx="92">
                  <c:v>43945</c:v>
                </c:pt>
                <c:pt idx="93">
                  <c:v>43946</c:v>
                </c:pt>
                <c:pt idx="94">
                  <c:v>43947</c:v>
                </c:pt>
                <c:pt idx="95">
                  <c:v>43948</c:v>
                </c:pt>
                <c:pt idx="96">
                  <c:v>43949</c:v>
                </c:pt>
                <c:pt idx="97">
                  <c:v>43950</c:v>
                </c:pt>
                <c:pt idx="98">
                  <c:v>43951</c:v>
                </c:pt>
                <c:pt idx="99">
                  <c:v>43952</c:v>
                </c:pt>
                <c:pt idx="100">
                  <c:v>43953</c:v>
                </c:pt>
                <c:pt idx="101">
                  <c:v>43954</c:v>
                </c:pt>
                <c:pt idx="102">
                  <c:v>43955</c:v>
                </c:pt>
                <c:pt idx="103">
                  <c:v>43956</c:v>
                </c:pt>
                <c:pt idx="104">
                  <c:v>43957</c:v>
                </c:pt>
                <c:pt idx="105">
                  <c:v>43964</c:v>
                </c:pt>
                <c:pt idx="106">
                  <c:v>43971</c:v>
                </c:pt>
                <c:pt idx="107">
                  <c:v>43978</c:v>
                </c:pt>
                <c:pt idx="108">
                  <c:v>43985</c:v>
                </c:pt>
                <c:pt idx="109">
                  <c:v>43992</c:v>
                </c:pt>
                <c:pt idx="110">
                  <c:v>43999</c:v>
                </c:pt>
                <c:pt idx="111">
                  <c:v>44006</c:v>
                </c:pt>
                <c:pt idx="112">
                  <c:v>44013</c:v>
                </c:pt>
              </c:numCache>
            </c:numRef>
          </c:xVal>
          <c:yVal>
            <c:numRef>
              <c:f>myData!SKoreaLogi</c:f>
              <c:numCache>
                <c:formatCode>0</c:formatCode>
                <c:ptCount val="113"/>
                <c:pt idx="0">
                  <c:v>1.1965599066091652</c:v>
                </c:pt>
                <c:pt idx="1">
                  <c:v>1.428540403998888</c:v>
                </c:pt>
                <c:pt idx="2">
                  <c:v>1.7054570790193173</c:v>
                </c:pt>
                <c:pt idx="3">
                  <c:v>2.0359979819083569</c:v>
                </c:pt>
                <c:pt idx="4">
                  <c:v>2.430523962443651</c:v>
                </c:pt>
                <c:pt idx="5">
                  <c:v>2.901387791185646</c:v>
                </c:pt>
                <c:pt idx="6">
                  <c:v>3.4633129007694881</c:v>
                </c:pt>
                <c:pt idx="7">
                  <c:v>4.1338423483086482</c:v>
                </c:pt>
                <c:pt idx="8">
                  <c:v>4.9338702526792133</c:v>
                </c:pt>
                <c:pt idx="9">
                  <c:v>5.8882697667872197</c:v>
                </c:pt>
                <c:pt idx="10">
                  <c:v>7.0266335670267051</c:v>
                </c:pt>
                <c:pt idx="11">
                  <c:v>8.3841448083684025</c:v>
                </c:pt>
                <c:pt idx="12">
                  <c:v>10.002598382231753</c:v>
                </c:pt>
                <c:pt idx="13">
                  <c:v>11.931593931437178</c:v>
                </c:pt>
                <c:pt idx="14">
                  <c:v>14.229923125270087</c:v>
                </c:pt>
                <c:pt idx="15">
                  <c:v>16.967173738025053</c:v>
                </c:pt>
                <c:pt idx="16">
                  <c:v>20.225571471033593</c:v>
                </c:pt>
                <c:pt idx="17">
                  <c:v>24.102076315382842</c:v>
                </c:pt>
                <c:pt idx="18" formatCode="0.0">
                  <c:v>28.710742336875661</c:v>
                </c:pt>
                <c:pt idx="19" formatCode="0.0">
                  <c:v>34.185336420354382</c:v>
                </c:pt>
                <c:pt idx="20" formatCode="0.0">
                  <c:v>40.682190578481084</c:v>
                </c:pt>
                <c:pt idx="21" formatCode="0.0">
                  <c:v>48.383231196707193</c:v>
                </c:pt>
                <c:pt idx="22" formatCode="0.0">
                  <c:v>57.499083802889245</c:v>
                </c:pt>
                <c:pt idx="23" formatCode="0.0">
                  <c:v>68.272089997976408</c:v>
                </c:pt>
                <c:pt idx="24" formatCode="0.0">
                  <c:v>80.978990495034964</c:v>
                </c:pt>
                <c:pt idx="25" formatCode="0.0">
                  <c:v>95.932922104546762</c:v>
                </c:pt>
                <c:pt idx="26" formatCode="0.0">
                  <c:v>113.48424662544784</c:v>
                </c:pt>
                <c:pt idx="27" formatCode="0.0">
                  <c:v>134.01958021032439</c:v>
                </c:pt>
                <c:pt idx="28" formatCode="0.0">
                  <c:v>157.95823495730659</c:v>
                </c:pt>
                <c:pt idx="29" formatCode="0.0">
                  <c:v>185.74514421922788</c:v>
                </c:pt>
                <c:pt idx="30" formatCode="0.0">
                  <c:v>217.83925951682858</c:v>
                </c:pt>
                <c:pt idx="31" formatCode="0.0">
                  <c:v>254.69643905109643</c:v>
                </c:pt>
                <c:pt idx="32" formatCode="0.0">
                  <c:v>296.74607217588897</c:v>
                </c:pt>
                <c:pt idx="33" formatCode="0.0">
                  <c:v>344.36118494805879</c:v>
                </c:pt>
                <c:pt idx="34" formatCode="0.0">
                  <c:v>397.8226178429897</c:v>
                </c:pt>
                <c:pt idx="35" formatCode="0.0">
                  <c:v>457.27907315312348</c:v>
                </c:pt>
                <c:pt idx="36" formatCode="0.0">
                  <c:v>522.70630863791064</c:v>
                </c:pt>
                <c:pt idx="37" formatCode="0.0">
                  <c:v>593.8702697075388</c:v>
                </c:pt>
                <c:pt idx="38" formatCode="0.0">
                  <c:v>670.30010921559074</c:v>
                </c:pt>
                <c:pt idx="39" formatCode="0.0">
                  <c:v>751.27734378847913</c:v>
                </c:pt>
                <c:pt idx="40" formatCode="0.0">
                  <c:v>835.84638466633533</c:v>
                </c:pt>
                <c:pt idx="41" formatCode="0.0">
                  <c:v>922.84916299760357</c:v>
                </c:pt>
                <c:pt idx="42" formatCode="0.0">
                  <c:v>1010.982802982084</c:v>
                </c:pt>
                <c:pt idx="43" formatCode="0.0">
                  <c:v>1098.87505340558</c:v>
                </c:pt>
                <c:pt idx="44" formatCode="0.0">
                  <c:v>1185.1685828949983</c:v>
                </c:pt>
                <c:pt idx="45" formatCode="0.0">
                  <c:v>1268.603349977923</c:v>
                </c:pt>
                <c:pt idx="46" formatCode="0.0">
                  <c:v>1348.0866754988899</c:v>
                </c:pt>
                <c:pt idx="47" formatCode="0.0">
                  <c:v>1422.7432383760945</c:v>
                </c:pt>
                <c:pt idx="48" formatCode="0.0">
                  <c:v>1491.9411777337341</c:v>
                </c:pt>
                <c:pt idx="49" formatCode="0.0">
                  <c:v>1555.2946762715164</c:v>
                </c:pt>
                <c:pt idx="50" formatCode="0.0">
                  <c:v>1612.6467921408887</c:v>
                </c:pt>
                <c:pt idx="51" formatCode="0.0">
                  <c:v>1664.0383003295658</c:v>
                </c:pt>
                <c:pt idx="52" formatCode="0.0">
                  <c:v>1709.6688165858886</c:v>
                </c:pt>
                <c:pt idx="53" formatCode="0.0">
                  <c:v>1749.8558193010992</c:v>
                </c:pt>
                <c:pt idx="54" formatCode="0.0">
                  <c:v>1784.995848818307</c:v>
                </c:pt>
                <c:pt idx="55" formatCode="0.0">
                  <c:v>1815.5306235507221</c:v>
                </c:pt>
                <c:pt idx="56" formatCode="0.0">
                  <c:v>1841.9194100941224</c:v>
                </c:pt>
                <c:pt idx="57" formatCode="0.0">
                  <c:v>1864.6179005792389</c:v>
                </c:pt>
                <c:pt idx="58" formatCode="0.0">
                  <c:v>1884.0631307644464</c:v>
                </c:pt>
                <c:pt idx="59" formatCode="0.0">
                  <c:v>1900.6635775757175</c:v>
                </c:pt>
                <c:pt idx="60" formatCode="0.0">
                  <c:v>1914.7934272137225</c:v>
                </c:pt>
                <c:pt idx="61" formatCode="0.0">
                  <c:v>1926.7900212373675</c:v>
                </c:pt>
                <c:pt idx="62" formatCode="0.0">
                  <c:v>1936.9535971780681</c:v>
                </c:pt>
                <c:pt idx="63" formatCode="0.0">
                  <c:v>1945.5485899450921</c:v>
                </c:pt>
                <c:pt idx="64" formatCode="0.0">
                  <c:v>1952.8059165268937</c:v>
                </c:pt>
                <c:pt idx="65" formatCode="0.0">
                  <c:v>1958.925809952899</c:v>
                </c:pt>
                <c:pt idx="66" formatCode="0.0">
                  <c:v>1964.0808902328693</c:v>
                </c:pt>
                <c:pt idx="67" formatCode="0.0">
                  <c:v>1968.419257708503</c:v>
                </c:pt>
                <c:pt idx="68" formatCode="0.0">
                  <c:v>1972.0674693120775</c:v>
                </c:pt>
                <c:pt idx="69" formatCode="0.0">
                  <c:v>1975.1333137512049</c:v>
                </c:pt>
                <c:pt idx="70" formatCode="0.0">
                  <c:v>1977.7083412831498</c:v>
                </c:pt>
                <c:pt idx="71" formatCode="0.0">
                  <c:v>1979.8701310277763</c:v>
                </c:pt>
                <c:pt idx="72" formatCode="0.0">
                  <c:v>1981.6842967659679</c:v>
                </c:pt>
                <c:pt idx="73" formatCode="0.0">
                  <c:v>1983.2062433971976</c:v>
                </c:pt>
                <c:pt idx="74" formatCode="0.0">
                  <c:v>1984.4826926607625</c:v>
                </c:pt>
                <c:pt idx="75" formatCode="0.0">
                  <c:v>1985.5529998582801</c:v>
                </c:pt>
                <c:pt idx="76" formatCode="0.0">
                  <c:v>1986.4502842563377</c:v>
                </c:pt>
                <c:pt idx="77" formatCode="0.0">
                  <c:v>1987.2023953940397</c:v>
                </c:pt>
                <c:pt idx="78" formatCode="0.0">
                  <c:v>1987.8327362308569</c:v>
                </c:pt>
                <c:pt idx="79" formatCode="0.0">
                  <c:v>1988.3609623302725</c:v>
                </c:pt>
                <c:pt idx="80" formatCode="0.0">
                  <c:v>1988.8035743410901</c:v>
                </c:pt>
                <c:pt idx="81" formatCode="0.0">
                  <c:v>1989.1744190765799</c:v>
                </c:pt>
                <c:pt idx="82" formatCode="0.0">
                  <c:v>1989.4851126039287</c:v>
                </c:pt>
                <c:pt idx="83" formatCode="0.0">
                  <c:v>1989.745397000903</c:v>
                </c:pt>
                <c:pt idx="84" formatCode="0.0">
                  <c:v>1989.9634408422226</c:v>
                </c:pt>
                <c:pt idx="85" formatCode="0.0">
                  <c:v>1990.146092054774</c:v>
                </c:pt>
                <c:pt idx="86" formatCode="0.0">
                  <c:v>1990.2990905263268</c:v>
                </c:pt>
                <c:pt idx="87" formatCode="0.0">
                  <c:v>1990.4272467577271</c:v>
                </c:pt>
                <c:pt idx="88" formatCode="0.0">
                  <c:v>1990.5345919006045</c:v>
                </c:pt>
                <c:pt idx="89" formatCode="0.0">
                  <c:v>1990.6245037067431</c:v>
                </c:pt>
                <c:pt idx="90" formatCode="0.0">
                  <c:v>1990.6998122165287</c:v>
                </c:pt>
                <c:pt idx="91" formatCode="0.0">
                  <c:v>1990.762888417742</c:v>
                </c:pt>
                <c:pt idx="92" formatCode="0.0">
                  <c:v>1990.8157185990644</c:v>
                </c:pt>
                <c:pt idx="93" formatCode="0.0">
                  <c:v>1990.8599666927098</c:v>
                </c:pt>
                <c:pt idx="94" formatCode="0.0">
                  <c:v>1990.8970265367409</c:v>
                </c:pt>
                <c:pt idx="95" formatCode="0.0">
                  <c:v>1990.9280656801971</c:v>
                </c:pt>
                <c:pt idx="96" formatCode="0.0">
                  <c:v>1990.9540620948464</c:v>
                </c:pt>
                <c:pt idx="97" formatCode="0.0">
                  <c:v>1990.975834938866</c:v>
                </c:pt>
                <c:pt idx="98" formatCode="0.0">
                  <c:v>1990.9940703338266</c:v>
                </c:pt>
                <c:pt idx="99" formatCode="0.0">
                  <c:v>1991.0093429616627</c:v>
                </c:pt>
                <c:pt idx="100" formatCode="0.0">
                  <c:v>1991.0221341583265</c:v>
                </c:pt>
                <c:pt idx="101" formatCode="0.0">
                  <c:v>1991.0328470715945</c:v>
                </c:pt>
                <c:pt idx="102" formatCode="0.0">
                  <c:v>1991.0418193588296</c:v>
                </c:pt>
                <c:pt idx="103" formatCode="0.0">
                  <c:v>1991.0493338235597</c:v>
                </c:pt>
                <c:pt idx="104" formatCode="0.0">
                  <c:v>1991.0556273251748</c:v>
                </c:pt>
                <c:pt idx="105" formatCode="0.0">
                  <c:v>1991.0786907017034</c:v>
                </c:pt>
                <c:pt idx="106" formatCode="0.0">
                  <c:v>1991.0853567487459</c:v>
                </c:pt>
                <c:pt idx="107" formatCode="0.0">
                  <c:v>1991.0872834272357</c:v>
                </c:pt>
                <c:pt idx="108" formatCode="0.0">
                  <c:v>1991.087840290784</c:v>
                </c:pt>
                <c:pt idx="109">
                  <c:v>1991.0880012396599</c:v>
                </c:pt>
                <c:pt idx="110">
                  <c:v>1991.0880477582984</c:v>
                </c:pt>
                <c:pt idx="111">
                  <c:v>1991.0880612034591</c:v>
                </c:pt>
                <c:pt idx="112">
                  <c:v>1991.088065089479</c:v>
                </c:pt>
              </c:numCache>
            </c:numRef>
          </c:yVal>
          <c:smooth val="0"/>
        </c:ser>
        <c:dLbls>
          <c:showLegendKey val="0"/>
          <c:showVal val="0"/>
          <c:showCatName val="0"/>
          <c:showSerName val="0"/>
          <c:showPercent val="0"/>
          <c:showBubbleSize val="0"/>
        </c:dLbls>
        <c:axId val="983124376"/>
        <c:axId val="983115360"/>
      </c:scatterChart>
      <c:valAx>
        <c:axId val="983124376"/>
        <c:scaling>
          <c:orientation val="minMax"/>
          <c:max val="43951"/>
          <c:min val="4385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15360"/>
        <c:crossesAt val="0.1"/>
        <c:crossBetween val="midCat"/>
        <c:majorUnit val="14"/>
        <c:minorUnit val="7"/>
      </c:valAx>
      <c:valAx>
        <c:axId val="983115360"/>
        <c:scaling>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myData!lblVertLin</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24376"/>
        <c:crosses val="autoZero"/>
        <c:crossBetween val="midCat"/>
      </c:valAx>
      <c:spPr>
        <a:noFill/>
        <a:ln>
          <a:noFill/>
        </a:ln>
        <a:effectLst/>
      </c:spPr>
    </c:plotArea>
    <c:legend>
      <c:legendPos val="b"/>
      <c:layout>
        <c:manualLayout>
          <c:xMode val="edge"/>
          <c:yMode val="edge"/>
          <c:x val="0.31275133186791321"/>
          <c:y val="0.58213656994533147"/>
          <c:w val="0.12878276497026317"/>
          <c:h val="0.237215237598062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myData!$EX$15</c:f>
          <c:strCache>
            <c:ptCount val="1"/>
            <c:pt idx="0">
              <c:v>COVID19 China P(t) = b / {d+[( b/Po - d ) ]* exp(-b*t)}
b=0.221, d=2.69E-06, P0=.639, r2=0.9947, Limit=571  =&gt;82.1 k cases 
 (Fit: Wed 22-Jan - Sat 02-May)</c:v>
            </c:pt>
          </c:strCache>
        </c:strRef>
      </c:tx>
      <c:layout>
        <c:manualLayout>
          <c:xMode val="edge"/>
          <c:yMode val="edge"/>
          <c:x val="0.33870089262443082"/>
          <c:y val="3.3394721333211939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4636011458196639E-2"/>
          <c:y val="0.16483581859961077"/>
          <c:w val="0.88715308130366799"/>
          <c:h val="0.67768374738733961"/>
        </c:manualLayout>
      </c:layout>
      <c:scatterChart>
        <c:scatterStyle val="lineMarker"/>
        <c:varyColors val="0"/>
        <c:ser>
          <c:idx val="0"/>
          <c:order val="0"/>
          <c:tx>
            <c:v>China Logi Prediction</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myData!$B$11:$B$124</c:f>
              <c:numCache>
                <c:formatCode>m/d/yyyy</c:formatCode>
                <c:ptCount val="114"/>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pt idx="102">
                  <c:v>43954</c:v>
                </c:pt>
                <c:pt idx="103">
                  <c:v>43955</c:v>
                </c:pt>
                <c:pt idx="104">
                  <c:v>43956</c:v>
                </c:pt>
                <c:pt idx="105">
                  <c:v>43957</c:v>
                </c:pt>
                <c:pt idx="106">
                  <c:v>43964</c:v>
                </c:pt>
                <c:pt idx="107">
                  <c:v>43971</c:v>
                </c:pt>
                <c:pt idx="108">
                  <c:v>43978</c:v>
                </c:pt>
                <c:pt idx="109">
                  <c:v>43985</c:v>
                </c:pt>
                <c:pt idx="110">
                  <c:v>43992</c:v>
                </c:pt>
                <c:pt idx="111">
                  <c:v>43999</c:v>
                </c:pt>
                <c:pt idx="112">
                  <c:v>44006</c:v>
                </c:pt>
                <c:pt idx="113">
                  <c:v>44013</c:v>
                </c:pt>
              </c:numCache>
            </c:numRef>
          </c:xVal>
          <c:yVal>
            <c:numRef>
              <c:f>myData!$BS$11:$BS$124</c:f>
              <c:numCache>
                <c:formatCode>0</c:formatCode>
                <c:ptCount val="114"/>
                <c:pt idx="0">
                  <c:v>10.868519722956787</c:v>
                </c:pt>
                <c:pt idx="1">
                  <c:v>13.491154974958885</c:v>
                </c:pt>
                <c:pt idx="2">
                  <c:v>16.727733215250691</c:v>
                </c:pt>
                <c:pt idx="3">
                  <c:v>20.71191055118247</c:v>
                </c:pt>
                <c:pt idx="4">
                  <c:v>25.601167451466242</c:v>
                </c:pt>
                <c:pt idx="5">
                  <c:v>31.578301271805465</c:v>
                </c:pt>
                <c:pt idx="6">
                  <c:v>38.851439541667453</c:v>
                </c:pt>
                <c:pt idx="7">
                  <c:v>47.65163719860908</c:v>
                </c:pt>
                <c:pt idx="8">
                  <c:v>58.226880117398544</c:v>
                </c:pt>
                <c:pt idx="9">
                  <c:v>70.831172762397586</c:v>
                </c:pt>
                <c:pt idx="10">
                  <c:v>85.707482660423508</c:v>
                </c:pt>
                <c:pt idx="11">
                  <c:v>103.06384196214357</c:v>
                </c:pt>
                <c:pt idx="12">
                  <c:v>123.04306270425411</c:v>
                </c:pt>
                <c:pt idx="13">
                  <c:v>145.68839489623994</c:v>
                </c:pt>
                <c:pt idx="14">
                  <c:v>170.90985254174805</c:v>
                </c:pt>
                <c:pt idx="15">
                  <c:v>198.45821767457792</c:v>
                </c:pt>
                <c:pt idx="16">
                  <c:v>227.91483286633218</c:v>
                </c:pt>
                <c:pt idx="17">
                  <c:v>258.70403839683513</c:v>
                </c:pt>
                <c:pt idx="18">
                  <c:v>290.13093120725978</c:v>
                </c:pt>
                <c:pt idx="19">
                  <c:v>321.44076075413716</c:v>
                </c:pt>
                <c:pt idx="20">
                  <c:v>351.88989791682252</c:v>
                </c:pt>
                <c:pt idx="21">
                  <c:v>380.81461867292461</c:v>
                </c:pt>
                <c:pt idx="22">
                  <c:v>407.68465547464774</c:v>
                </c:pt>
                <c:pt idx="23">
                  <c:v>432.13324734217525</c:v>
                </c:pt>
                <c:pt idx="24">
                  <c:v>453.96208373003407</c:v>
                </c:pt>
                <c:pt idx="25">
                  <c:v>473.12540097660946</c:v>
                </c:pt>
                <c:pt idx="26">
                  <c:v>489.70077826957993</c:v>
                </c:pt>
                <c:pt idx="27">
                  <c:v>503.85460617942937</c:v>
                </c:pt>
                <c:pt idx="28">
                  <c:v>515.80860530846223</c:v>
                </c:pt>
                <c:pt idx="29">
                  <c:v>525.81135654885622</c:v>
                </c:pt>
                <c:pt idx="30">
                  <c:v>534.11652450142412</c:v>
                </c:pt>
                <c:pt idx="31">
                  <c:v>540.96779938546808</c:v>
                </c:pt>
                <c:pt idx="32">
                  <c:v>546.58963692827797</c:v>
                </c:pt>
                <c:pt idx="33">
                  <c:v>551.18250340062309</c:v>
                </c:pt>
                <c:pt idx="34">
                  <c:v>554.92133035244581</c:v>
                </c:pt>
                <c:pt idx="35">
                  <c:v>557.95607020857074</c:v>
                </c:pt>
                <c:pt idx="36">
                  <c:v>560.41349453983617</c:v>
                </c:pt>
                <c:pt idx="37">
                  <c:v>562.39962003209564</c:v>
                </c:pt>
                <c:pt idx="38">
                  <c:v>564.00235065620643</c:v>
                </c:pt>
                <c:pt idx="39">
                  <c:v>565.29407984662555</c:v>
                </c:pt>
                <c:pt idx="40">
                  <c:v>566.3341072855294</c:v>
                </c:pt>
                <c:pt idx="41">
                  <c:v>567.17079952997778</c:v>
                </c:pt>
                <c:pt idx="42">
                  <c:v>567.84347126979185</c:v>
                </c:pt>
                <c:pt idx="43">
                  <c:v>568.383992401471</c:v>
                </c:pt>
                <c:pt idx="44">
                  <c:v>568.81814159589476</c:v>
                </c:pt>
                <c:pt idx="45">
                  <c:v>569.16673421740654</c:v>
                </c:pt>
                <c:pt idx="46">
                  <c:v>569.44655453215466</c:v>
                </c:pt>
                <c:pt idx="47">
                  <c:v>569.67112128305757</c:v>
                </c:pt>
                <c:pt idx="48">
                  <c:v>569.85131330535239</c:v>
                </c:pt>
                <c:pt idx="49">
                  <c:v>569.99587878148066</c:v>
                </c:pt>
                <c:pt idx="50">
                  <c:v>570.11184850566463</c:v>
                </c:pt>
                <c:pt idx="51">
                  <c:v>570.20487043677394</c:v>
                </c:pt>
                <c:pt idx="52">
                  <c:v>570.279480008836</c:v>
                </c:pt>
                <c:pt idx="53">
                  <c:v>570.33931820022906</c:v>
                </c:pt>
                <c:pt idx="54">
                  <c:v>570.38730724288246</c:v>
                </c:pt>
                <c:pt idx="55">
                  <c:v>570.42579206185792</c:v>
                </c:pt>
                <c:pt idx="56">
                  <c:v>570.45665404044689</c:v>
                </c:pt>
                <c:pt idx="57">
                  <c:v>570.48140246869946</c:v>
                </c:pt>
                <c:pt idx="58">
                  <c:v>570.50124801648474</c:v>
                </c:pt>
                <c:pt idx="59">
                  <c:v>570.51716174089461</c:v>
                </c:pt>
                <c:pt idx="60">
                  <c:v>570.52992246093152</c:v>
                </c:pt>
                <c:pt idx="61">
                  <c:v>570.54015478304188</c:v>
                </c:pt>
                <c:pt idx="62">
                  <c:v>570.54835961625952</c:v>
                </c:pt>
                <c:pt idx="63">
                  <c:v>570.55493865631706</c:v>
                </c:pt>
                <c:pt idx="64">
                  <c:v>570.56021402812303</c:v>
                </c:pt>
                <c:pt idx="65">
                  <c:v>570.56444404236015</c:v>
                </c:pt>
                <c:pt idx="66">
                  <c:v>570.56783583388358</c:v>
                </c:pt>
                <c:pt idx="67">
                  <c:v>570.57055549831978</c:v>
                </c:pt>
                <c:pt idx="68">
                  <c:v>570.57273622166133</c:v>
                </c:pt>
                <c:pt idx="69">
                  <c:v>570.5744847999548</c:v>
                </c:pt>
                <c:pt idx="70">
                  <c:v>570.57588686770805</c:v>
                </c:pt>
                <c:pt idx="71">
                  <c:v>570.57701109065022</c:v>
                </c:pt>
                <c:pt idx="72">
                  <c:v>570.5779125279106</c:v>
                </c:pt>
                <c:pt idx="73">
                  <c:v>570.57863532810654</c:v>
                </c:pt>
                <c:pt idx="74">
                  <c:v>570.57921489126818</c:v>
                </c:pt>
                <c:pt idx="75">
                  <c:v>570.57967960241263</c:v>
                </c:pt>
                <c:pt idx="76">
                  <c:v>570.58005222162615</c:v>
                </c:pt>
                <c:pt idx="77">
                  <c:v>570.58035099870449</c:v>
                </c:pt>
                <c:pt idx="78">
                  <c:v>570.58059056692412</c:v>
                </c:pt>
                <c:pt idx="79">
                  <c:v>570.5807826597096</c:v>
                </c:pt>
                <c:pt idx="80">
                  <c:v>570.58093668528409</c:v>
                </c:pt>
                <c:pt idx="81">
                  <c:v>570.58106018744843</c:v>
                </c:pt>
                <c:pt idx="82">
                  <c:v>570.58115921504941</c:v>
                </c:pt>
                <c:pt idx="83">
                  <c:v>570.58123861823265</c:v>
                </c:pt>
                <c:pt idx="84">
                  <c:v>570.5813022859885</c:v>
                </c:pt>
                <c:pt idx="85">
                  <c:v>570.58135333662358</c:v>
                </c:pt>
                <c:pt idx="86">
                  <c:v>570.58139427048729</c:v>
                </c:pt>
                <c:pt idx="87">
                  <c:v>570.58142709243248</c:v>
                </c:pt>
                <c:pt idx="88">
                  <c:v>570.58145341000818</c:v>
                </c:pt>
                <c:pt idx="89">
                  <c:v>570.58147451219361</c:v>
                </c:pt>
                <c:pt idx="90">
                  <c:v>570.58149143252979</c:v>
                </c:pt>
                <c:pt idx="91">
                  <c:v>570.5815049997392</c:v>
                </c:pt>
                <c:pt idx="92">
                  <c:v>570.58151587831571</c:v>
                </c:pt>
                <c:pt idx="93">
                  <c:v>570.58152460106919</c:v>
                </c:pt>
                <c:pt idx="94">
                  <c:v>570.58153159522226</c:v>
                </c:pt>
                <c:pt idx="95">
                  <c:v>570.58153720333405</c:v>
                </c:pt>
                <c:pt idx="96">
                  <c:v>570.58154170007833</c:v>
                </c:pt>
                <c:pt idx="97">
                  <c:v>570.58154530569641</c:v>
                </c:pt>
                <c:pt idx="98">
                  <c:v>570.58154819678396</c:v>
                </c:pt>
                <c:pt idx="99">
                  <c:v>570.58155051494043</c:v>
                </c:pt>
                <c:pt idx="100">
                  <c:v>570.58155237370465</c:v>
                </c:pt>
                <c:pt idx="101">
                  <c:v>570.58155386411488</c:v>
                </c:pt>
                <c:pt idx="102">
                  <c:v>570.58155505916829</c:v>
                </c:pt>
                <c:pt idx="103">
                  <c:v>570.58155601739634</c:v>
                </c:pt>
                <c:pt idx="104">
                  <c:v>570.58155678573087</c:v>
                </c:pt>
                <c:pt idx="105">
                  <c:v>570.58155740180359</c:v>
                </c:pt>
                <c:pt idx="106">
                  <c:v>570.58155936333537</c:v>
                </c:pt>
                <c:pt idx="107">
                  <c:v>570.58155978132538</c:v>
                </c:pt>
                <c:pt idx="108">
                  <c:v>570.58155987039652</c:v>
                </c:pt>
                <c:pt idx="109">
                  <c:v>570.58155988937688</c:v>
                </c:pt>
                <c:pt idx="110">
                  <c:v>570.58155989342163</c:v>
                </c:pt>
                <c:pt idx="111">
                  <c:v>570.58155989428349</c:v>
                </c:pt>
                <c:pt idx="112">
                  <c:v>570.58155989446709</c:v>
                </c:pt>
                <c:pt idx="113">
                  <c:v>570.5815598945062</c:v>
                </c:pt>
              </c:numCache>
            </c:numRef>
          </c:yVal>
          <c:smooth val="0"/>
        </c:ser>
        <c:ser>
          <c:idx val="1"/>
          <c:order val="1"/>
          <c:tx>
            <c:v>China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myData!ChinaDates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myData!ChinaCases</c:f>
              <c:numCache>
                <c:formatCode>0.0</c:formatCode>
                <c:ptCount val="102"/>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c:v>536.64784316048156</c:v>
                </c:pt>
                <c:pt idx="34">
                  <c:v>540.21201689646796</c:v>
                </c:pt>
                <c:pt idx="35">
                  <c:v>543.07447221659743</c:v>
                </c:pt>
                <c:pt idx="36">
                  <c:v>546.08977709265605</c:v>
                </c:pt>
                <c:pt idx="37">
                  <c:v>548.36862501741928</c:v>
                </c:pt>
                <c:pt idx="38">
                  <c:v>551.34224365095179</c:v>
                </c:pt>
                <c:pt idx="39">
                  <c:v>555.34412293346293</c:v>
                </c:pt>
                <c:pt idx="40">
                  <c:v>556.7614551793522</c:v>
                </c:pt>
                <c:pt idx="41">
                  <c:v>557.6299185653138</c:v>
                </c:pt>
                <c:pt idx="42">
                  <c:v>558.49838195127541</c:v>
                </c:pt>
                <c:pt idx="43">
                  <c:v>559.54748572151709</c:v>
                </c:pt>
                <c:pt idx="44">
                  <c:v>560.61048490593407</c:v>
                </c:pt>
                <c:pt idx="45">
                  <c:v>561.1663014729495</c:v>
                </c:pt>
                <c:pt idx="46">
                  <c:v>561.5345299485972</c:v>
                </c:pt>
                <c:pt idx="47">
                  <c:v>561.79159511084185</c:v>
                </c:pt>
                <c:pt idx="48">
                  <c:v>561.97918320220958</c:v>
                </c:pt>
                <c:pt idx="49">
                  <c:v>562.21540524319107</c:v>
                </c:pt>
                <c:pt idx="50">
                  <c:v>562.29183002115576</c:v>
                </c:pt>
                <c:pt idx="51">
                  <c:v>562.38215021329574</c:v>
                </c:pt>
                <c:pt idx="52">
                  <c:v>562.60447684010194</c:v>
                </c:pt>
                <c:pt idx="53">
                  <c:v>562.78511722438191</c:v>
                </c:pt>
                <c:pt idx="54">
                  <c:v>562.99354843701269</c:v>
                </c:pt>
                <c:pt idx="55">
                  <c:v>563.16724111420501</c:v>
                </c:pt>
                <c:pt idx="56">
                  <c:v>563.47294022606354</c:v>
                </c:pt>
                <c:pt idx="57">
                  <c:v>563.84811640879889</c:v>
                </c:pt>
                <c:pt idx="58">
                  <c:v>564.50120087504206</c:v>
                </c:pt>
                <c:pt idx="59">
                  <c:v>564.88332476486516</c:v>
                </c:pt>
                <c:pt idx="60">
                  <c:v>565.78652668626523</c:v>
                </c:pt>
                <c:pt idx="61">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572.71339065269501</c:v>
                </c:pt>
                <c:pt idx="72">
                  <c:v>573.26225951262268</c:v>
                </c:pt>
                <c:pt idx="73">
                  <c:v>573.48458613942887</c:v>
                </c:pt>
                <c:pt idx="74">
                  <c:v>573.89450085760279</c:v>
                </c:pt>
                <c:pt idx="75">
                  <c:v>574.33220640412742</c:v>
                </c:pt>
                <c:pt idx="76">
                  <c:v>574.70043487977512</c:v>
                </c:pt>
                <c:pt idx="77">
                  <c:v>575.33267622475512</c:v>
                </c:pt>
                <c:pt idx="78">
                  <c:v>575.84680654924443</c:v>
                </c:pt>
                <c:pt idx="79">
                  <c:v>576.2497735603306</c:v>
                </c:pt>
                <c:pt idx="80">
                  <c:v>576.75695617773215</c:v>
                </c:pt>
                <c:pt idx="81">
                  <c:v>577.59068102825529</c:v>
                </c:pt>
                <c:pt idx="82">
                  <c:v>578.13954988818307</c:v>
                </c:pt>
                <c:pt idx="83">
                  <c:v>578.78568664733848</c:v>
                </c:pt>
                <c:pt idx="84">
                  <c:v>579.13307200172312</c:v>
                </c:pt>
                <c:pt idx="85">
                  <c:v>579.45961423484471</c:v>
                </c:pt>
                <c:pt idx="86">
                  <c:v>581.93994566515107</c:v>
                </c:pt>
                <c:pt idx="87">
                  <c:v>582.1275337565188</c:v>
                </c:pt>
                <c:pt idx="88">
                  <c:v>582.25259248409725</c:v>
                </c:pt>
                <c:pt idx="89">
                  <c:v>582.33596496914959</c:v>
                </c:pt>
                <c:pt idx="90">
                  <c:v>582.58608242430648</c:v>
                </c:pt>
                <c:pt idx="91">
                  <c:v>582.69029803062188</c:v>
                </c:pt>
                <c:pt idx="92">
                  <c:v>582.80146134402491</c:v>
                </c:pt>
                <c:pt idx="93">
                  <c:v>582.90567695034031</c:v>
                </c:pt>
                <c:pt idx="94">
                  <c:v>582.97515402121724</c:v>
                </c:pt>
                <c:pt idx="95">
                  <c:v>582.99599714248041</c:v>
                </c:pt>
                <c:pt idx="96">
                  <c:v>583.03768338500652</c:v>
                </c:pt>
                <c:pt idx="97">
                  <c:v>583.19053294093578</c:v>
                </c:pt>
                <c:pt idx="98">
                  <c:v>583.21832376928649</c:v>
                </c:pt>
                <c:pt idx="99">
                  <c:v>583.30169625433882</c:v>
                </c:pt>
                <c:pt idx="100">
                  <c:v>583.32253937560188</c:v>
                </c:pt>
                <c:pt idx="101">
                  <c:v>583.32253937560188</c:v>
                </c:pt>
              </c:numCache>
            </c:numRef>
          </c:yVal>
          <c:smooth val="0"/>
        </c:ser>
        <c:dLbls>
          <c:showLegendKey val="0"/>
          <c:showVal val="0"/>
          <c:showCatName val="0"/>
          <c:showSerName val="0"/>
          <c:showPercent val="0"/>
          <c:showBubbleSize val="0"/>
        </c:dLbls>
        <c:axId val="983124768"/>
        <c:axId val="983122808"/>
      </c:scatterChart>
      <c:valAx>
        <c:axId val="983124768"/>
        <c:scaling>
          <c:orientation val="minMax"/>
          <c:max val="43920"/>
          <c:min val="438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22808"/>
        <c:crosses val="autoZero"/>
        <c:crossBetween val="midCat"/>
        <c:majorUnit val="14"/>
        <c:minorUnit val="7"/>
      </c:valAx>
      <c:valAx>
        <c:axId val="98312280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myData!lblVertLin</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24768"/>
        <c:crosses val="autoZero"/>
        <c:crossBetween val="midCat"/>
      </c:valAx>
      <c:spPr>
        <a:noFill/>
        <a:ln>
          <a:noFill/>
        </a:ln>
        <a:effectLst/>
      </c:spPr>
    </c:plotArea>
    <c:legend>
      <c:legendPos val="r"/>
      <c:layout>
        <c:manualLayout>
          <c:xMode val="edge"/>
          <c:yMode val="edge"/>
          <c:x val="0.79090512430477899"/>
          <c:y val="0.33565589895072867"/>
          <c:w val="0.12872628493749097"/>
          <c:h val="0.185236837927463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myData!TitleCases</c:f>
          <c:strCache>
            <c:ptCount val="1"/>
            <c:pt idx="0">
              <c:v>COVID 19  Sun 03-May-2020, Cases per 10 M population</c:v>
            </c:pt>
          </c:strCache>
        </c:strRef>
      </c:tx>
      <c:layout>
        <c:manualLayout>
          <c:xMode val="edge"/>
          <c:yMode val="edge"/>
          <c:x val="0.21988155226886738"/>
          <c:y val="1.2541254885863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899602932735263E-2"/>
          <c:y val="8.8784513755633482E-2"/>
          <c:w val="0.72112299939910018"/>
          <c:h val="0.76714659526682405"/>
        </c:manualLayout>
      </c:layout>
      <c:scatterChart>
        <c:scatterStyle val="lineMarker"/>
        <c:varyColors val="0"/>
        <c:ser>
          <c:idx val="10"/>
          <c:order val="0"/>
          <c:tx>
            <c:v>Au Cases</c:v>
          </c:tx>
          <c:spPr>
            <a:ln w="22225" cap="rnd">
              <a:solidFill>
                <a:srgbClr val="FF0000"/>
              </a:solidFill>
              <a:round/>
            </a:ln>
            <a:effectLst/>
          </c:spPr>
          <c:marker>
            <c:symbol val="none"/>
          </c:marker>
          <c:xVal>
            <c:numRef>
              <c:f>myData!AuDates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myData!AuCases</c:f>
              <c:numCache>
                <c:formatCode>0.000</c:formatCode>
                <c:ptCount val="9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2114.0198706828578</c:v>
                </c:pt>
                <c:pt idx="69">
                  <c:v>2188.929190979341</c:v>
                </c:pt>
                <c:pt idx="70">
                  <c:v>2244.5197918309414</c:v>
                </c:pt>
                <c:pt idx="71">
                  <c:v>2286.7055669452766</c:v>
                </c:pt>
                <c:pt idx="72">
                  <c:v>2333.6224570257059</c:v>
                </c:pt>
                <c:pt idx="73">
                  <c:v>2376.5967513010564</c:v>
                </c:pt>
                <c:pt idx="74">
                  <c:v>2412.474373127267</c:v>
                </c:pt>
                <c:pt idx="75">
                  <c:v>2454.6601482416022</c:v>
                </c:pt>
                <c:pt idx="76">
                  <c:v>2487.7779530042581</c:v>
                </c:pt>
                <c:pt idx="77">
                  <c:v>2496.0574041949221</c:v>
                </c:pt>
                <c:pt idx="78">
                  <c:v>2515.7703832203124</c:v>
                </c:pt>
                <c:pt idx="79">
                  <c:v>2530.752247279609</c:v>
                </c:pt>
                <c:pt idx="80">
                  <c:v>2544.9455921778899</c:v>
                </c:pt>
                <c:pt idx="81">
                  <c:v>2555.9848604321087</c:v>
                </c:pt>
                <c:pt idx="82">
                  <c:v>2574.5150607159753</c:v>
                </c:pt>
                <c:pt idx="83">
                  <c:v>2590.2854439362877</c:v>
                </c:pt>
                <c:pt idx="84">
                  <c:v>2606.8443463176154</c:v>
                </c:pt>
                <c:pt idx="85">
                  <c:v>2611.1812017032016</c:v>
                </c:pt>
                <c:pt idx="86">
                  <c:v>2619.8549124743731</c:v>
                </c:pt>
                <c:pt idx="87">
                  <c:v>2622.6147295379278</c:v>
                </c:pt>
                <c:pt idx="88">
                  <c:v>2625.7688061819904</c:v>
                </c:pt>
                <c:pt idx="89">
                  <c:v>2631.6826998896072</c:v>
                </c:pt>
                <c:pt idx="90">
                  <c:v>2638.3851127582402</c:v>
                </c:pt>
                <c:pt idx="91">
                  <c:v>2647.0588235294117</c:v>
                </c:pt>
                <c:pt idx="92">
                  <c:v>2649.0301214319506</c:v>
                </c:pt>
                <c:pt idx="93">
                  <c:v>2654.54975555906</c:v>
                </c:pt>
                <c:pt idx="94">
                  <c:v>2659.6751301056615</c:v>
                </c:pt>
                <c:pt idx="95">
                  <c:v>2662.8292067497241</c:v>
                </c:pt>
                <c:pt idx="96">
                  <c:v>2667.1660621353099</c:v>
                </c:pt>
                <c:pt idx="97">
                  <c:v>2672.6856962624192</c:v>
                </c:pt>
                <c:pt idx="98">
                  <c:v>2679.7823687115597</c:v>
                </c:pt>
              </c:numCache>
            </c:numRef>
          </c:yVal>
          <c:smooth val="0"/>
        </c:ser>
        <c:ser>
          <c:idx val="3"/>
          <c:order val="1"/>
          <c:tx>
            <c:v>NSW</c:v>
          </c:tx>
          <c:spPr>
            <a:ln w="19050" cap="rnd">
              <a:solidFill>
                <a:schemeClr val="accent6">
                  <a:lumMod val="75000"/>
                </a:schemeClr>
              </a:solidFill>
              <a:round/>
            </a:ln>
            <a:effectLst/>
          </c:spPr>
          <c:marker>
            <c:symbol val="none"/>
          </c:marker>
          <c:xVal>
            <c:numRef>
              <c:f>myData!NSWDates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myData!NSWCases</c:f>
              <c:numCache>
                <c:formatCode>0</c:formatCode>
                <c:ptCount val="9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2956.6831683168316</c:v>
                </c:pt>
                <c:pt idx="69">
                  <c:v>3085.3960396039602</c:v>
                </c:pt>
                <c:pt idx="70">
                  <c:v>3193.0693069306931</c:v>
                </c:pt>
                <c:pt idx="71">
                  <c:v>3263.6138613861385</c:v>
                </c:pt>
                <c:pt idx="72">
                  <c:v>3324.257425742574</c:v>
                </c:pt>
                <c:pt idx="73">
                  <c:v>3383.6633663366333</c:v>
                </c:pt>
                <c:pt idx="74">
                  <c:v>3431.9306930693069</c:v>
                </c:pt>
                <c:pt idx="75">
                  <c:v>3492.5742574257424</c:v>
                </c:pt>
                <c:pt idx="76">
                  <c:v>3535.8910891089108</c:v>
                </c:pt>
                <c:pt idx="77">
                  <c:v>3532.1782178217818</c:v>
                </c:pt>
                <c:pt idx="78">
                  <c:v>3543.3168316831679</c:v>
                </c:pt>
                <c:pt idx="79">
                  <c:v>3551.9801980198017</c:v>
                </c:pt>
                <c:pt idx="80">
                  <c:v>3571.7821782178216</c:v>
                </c:pt>
                <c:pt idx="81">
                  <c:v>3585.3960396039602</c:v>
                </c:pt>
                <c:pt idx="82">
                  <c:v>3621.287128712871</c:v>
                </c:pt>
                <c:pt idx="83">
                  <c:v>3633.6633663366333</c:v>
                </c:pt>
                <c:pt idx="84">
                  <c:v>3659.6534653465346</c:v>
                </c:pt>
                <c:pt idx="85">
                  <c:v>3667.0792079207918</c:v>
                </c:pt>
                <c:pt idx="86">
                  <c:v>3674.5049504950493</c:v>
                </c:pt>
                <c:pt idx="87">
                  <c:v>3676.9801980198017</c:v>
                </c:pt>
                <c:pt idx="88">
                  <c:v>3683.1683168316831</c:v>
                </c:pt>
                <c:pt idx="89">
                  <c:v>3690.5940594059402</c:v>
                </c:pt>
                <c:pt idx="90">
                  <c:v>3705.4455445544554</c:v>
                </c:pt>
                <c:pt idx="91">
                  <c:v>3715.3465346534649</c:v>
                </c:pt>
                <c:pt idx="92">
                  <c:v>3717.8217821782177</c:v>
                </c:pt>
                <c:pt idx="93">
                  <c:v>3724.0099009900987</c:v>
                </c:pt>
                <c:pt idx="94">
                  <c:v>3732.6732673267325</c:v>
                </c:pt>
                <c:pt idx="95">
                  <c:v>3732.6732673267325</c:v>
                </c:pt>
                <c:pt idx="96">
                  <c:v>3743.8118811881186</c:v>
                </c:pt>
                <c:pt idx="97">
                  <c:v>3751.2376237623762</c:v>
                </c:pt>
                <c:pt idx="98">
                  <c:v>3756.1881188118809</c:v>
                </c:pt>
              </c:numCache>
            </c:numRef>
          </c:yVal>
          <c:smooth val="0"/>
        </c:ser>
        <c:ser>
          <c:idx val="1"/>
          <c:order val="2"/>
          <c:tx>
            <c:v>Italy</c:v>
          </c:tx>
          <c:spPr>
            <a:ln w="6350" cap="rnd">
              <a:solidFill>
                <a:schemeClr val="tx1"/>
              </a:solidFill>
              <a:round/>
            </a:ln>
            <a:effectLst/>
          </c:spPr>
          <c:marker>
            <c:symbol val="none"/>
          </c:marker>
          <c:xVal>
            <c:numRef>
              <c:f>myData!ItalyDates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myData!ItalyCases</c:f>
              <c:numCache>
                <c:formatCode>0.0</c:formatCode>
                <c:ptCount val="93"/>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c:v>10.250475324460611</c:v>
                </c:pt>
                <c:pt idx="23">
                  <c:v>25.626188311151527</c:v>
                </c:pt>
                <c:pt idx="24">
                  <c:v>37.860626601636774</c:v>
                </c:pt>
                <c:pt idx="25">
                  <c:v>53.236339588327688</c:v>
                </c:pt>
                <c:pt idx="26">
                  <c:v>74.894601967429949</c:v>
                </c:pt>
                <c:pt idx="27">
                  <c:v>108.29131189551129</c:v>
                </c:pt>
                <c:pt idx="28">
                  <c:v>146.81325948582293</c:v>
                </c:pt>
                <c:pt idx="29">
                  <c:v>186.49251880631562</c:v>
                </c:pt>
                <c:pt idx="30">
                  <c:v>280.06943870381087</c:v>
                </c:pt>
                <c:pt idx="31">
                  <c:v>336.61238323551294</c:v>
                </c:pt>
                <c:pt idx="32">
                  <c:v>413.65627841613627</c:v>
                </c:pt>
                <c:pt idx="33">
                  <c:v>510.70513350417463</c:v>
                </c:pt>
                <c:pt idx="34">
                  <c:v>637.84409357691993</c:v>
                </c:pt>
                <c:pt idx="35">
                  <c:v>766.47102587418374</c:v>
                </c:pt>
                <c:pt idx="36">
                  <c:v>972.63784409357697</c:v>
                </c:pt>
                <c:pt idx="37">
                  <c:v>1219.3105728693065</c:v>
                </c:pt>
                <c:pt idx="38">
                  <c:v>1516.4090270314955</c:v>
                </c:pt>
                <c:pt idx="39">
                  <c:v>1677.9366785153345</c:v>
                </c:pt>
                <c:pt idx="40">
                  <c:v>2060.3455402165828</c:v>
                </c:pt>
                <c:pt idx="41">
                  <c:v>2060.3455402165828</c:v>
                </c:pt>
                <c:pt idx="42">
                  <c:v>2919.732164999587</c:v>
                </c:pt>
                <c:pt idx="43">
                  <c:v>3497.8920393485992</c:v>
                </c:pt>
                <c:pt idx="44">
                  <c:v>4091.4276266843021</c:v>
                </c:pt>
                <c:pt idx="45">
                  <c:v>4625.9403157807719</c:v>
                </c:pt>
                <c:pt idx="46">
                  <c:v>5208.8947672976774</c:v>
                </c:pt>
                <c:pt idx="47">
                  <c:v>5904.4391171364805</c:v>
                </c:pt>
                <c:pt idx="48">
                  <c:v>6784.3266925684056</c:v>
                </c:pt>
                <c:pt idx="49">
                  <c:v>7773.9935521203606</c:v>
                </c:pt>
                <c:pt idx="50">
                  <c:v>8858.0639828056555</c:v>
                </c:pt>
                <c:pt idx="51">
                  <c:v>9777.3001570637352</c:v>
                </c:pt>
                <c:pt idx="52">
                  <c:v>10569.066710754732</c:v>
                </c:pt>
                <c:pt idx="53">
                  <c:v>11436.885178143342</c:v>
                </c:pt>
                <c:pt idx="54">
                  <c:v>12298.255765892371</c:v>
                </c:pt>
                <c:pt idx="55">
                  <c:v>13323.799289079938</c:v>
                </c:pt>
                <c:pt idx="56">
                  <c:v>14300.735719599901</c:v>
                </c:pt>
                <c:pt idx="57">
                  <c:v>15288.418616185832</c:v>
                </c:pt>
                <c:pt idx="58">
                  <c:v>16150.946515665042</c:v>
                </c:pt>
                <c:pt idx="59">
                  <c:v>16820.534016698355</c:v>
                </c:pt>
                <c:pt idx="60">
                  <c:v>17490.617508473177</c:v>
                </c:pt>
                <c:pt idx="61">
                  <c:v>18281.226750433994</c:v>
                </c:pt>
                <c:pt idx="62">
                  <c:v>19052.988344217574</c:v>
                </c:pt>
                <c:pt idx="63">
                  <c:v>19811.027527486156</c:v>
                </c:pt>
                <c:pt idx="64">
                  <c:v>20605.439365131853</c:v>
                </c:pt>
                <c:pt idx="65">
                  <c:v>21319.004711912046</c:v>
                </c:pt>
                <c:pt idx="66">
                  <c:v>21914.028271472267</c:v>
                </c:pt>
                <c:pt idx="67">
                  <c:v>22416.466892618006</c:v>
                </c:pt>
                <c:pt idx="68">
                  <c:v>23050.673720757215</c:v>
                </c:pt>
                <c:pt idx="69">
                  <c:v>23745.72207985451</c:v>
                </c:pt>
                <c:pt idx="70">
                  <c:v>24398.941886418121</c:v>
                </c:pt>
                <c:pt idx="71">
                  <c:v>25175.002066628091</c:v>
                </c:pt>
                <c:pt idx="72">
                  <c:v>25851.53343804249</c:v>
                </c:pt>
                <c:pt idx="73">
                  <c:v>26372.819707365463</c:v>
                </c:pt>
                <c:pt idx="74">
                  <c:v>26864.181201950898</c:v>
                </c:pt>
                <c:pt idx="75">
                  <c:v>27305.116971149873</c:v>
                </c:pt>
                <c:pt idx="76">
                  <c:v>27931.057286930645</c:v>
                </c:pt>
                <c:pt idx="77">
                  <c:v>28508.555840290981</c:v>
                </c:pt>
                <c:pt idx="78">
                  <c:v>29085.723733156981</c:v>
                </c:pt>
                <c:pt idx="79">
                  <c:v>29589.484996280069</c:v>
                </c:pt>
                <c:pt idx="80">
                  <c:v>29962.470033892703</c:v>
                </c:pt>
                <c:pt idx="81">
                  <c:v>30413.656278416136</c:v>
                </c:pt>
                <c:pt idx="82">
                  <c:v>30970.819211374721</c:v>
                </c:pt>
                <c:pt idx="83">
                  <c:v>31408.283045383156</c:v>
                </c:pt>
                <c:pt idx="84">
                  <c:v>31907.745722079857</c:v>
                </c:pt>
                <c:pt idx="85">
                  <c:v>32297.429114656527</c:v>
                </c:pt>
                <c:pt idx="86">
                  <c:v>32681.656609076632</c:v>
                </c:pt>
                <c:pt idx="87">
                  <c:v>32969.165908903036</c:v>
                </c:pt>
                <c:pt idx="88">
                  <c:v>33314.871455732828</c:v>
                </c:pt>
                <c:pt idx="89">
                  <c:v>33659.750351326773</c:v>
                </c:pt>
                <c:pt idx="90">
                  <c:v>33969.24857402662</c:v>
                </c:pt>
                <c:pt idx="91">
                  <c:v>34294.122509713154</c:v>
                </c:pt>
                <c:pt idx="92">
                  <c:v>34608.249979333719</c:v>
                </c:pt>
              </c:numCache>
            </c:numRef>
          </c:yVal>
          <c:smooth val="0"/>
        </c:ser>
        <c:ser>
          <c:idx val="2"/>
          <c:order val="3"/>
          <c:tx>
            <c:v>SKorea</c:v>
          </c:tx>
          <c:spPr>
            <a:ln w="15875" cap="rnd">
              <a:solidFill>
                <a:srgbClr val="CC0099"/>
              </a:solidFill>
              <a:round/>
            </a:ln>
            <a:effectLst/>
          </c:spPr>
          <c:marker>
            <c:symbol val="none"/>
          </c:marker>
          <c:xVal>
            <c:numRef>
              <c:f>myData!SKoreaDates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myData!SKoreaCases</c:f>
              <c:numCache>
                <c:formatCode>0.0</c:formatCode>
                <c:ptCount val="102"/>
                <c:pt idx="0">
                  <c:v>0.19455252918287938</c:v>
                </c:pt>
                <c:pt idx="1">
                  <c:v>0.19455252918287938</c:v>
                </c:pt>
                <c:pt idx="2">
                  <c:v>0.38910505836575876</c:v>
                </c:pt>
                <c:pt idx="3">
                  <c:v>0.38910505836575876</c:v>
                </c:pt>
                <c:pt idx="4">
                  <c:v>0.58365758754863817</c:v>
                </c:pt>
                <c:pt idx="5">
                  <c:v>0.77821011673151752</c:v>
                </c:pt>
                <c:pt idx="6">
                  <c:v>0.77821011673151752</c:v>
                </c:pt>
                <c:pt idx="7">
                  <c:v>0.77821011673151752</c:v>
                </c:pt>
                <c:pt idx="8">
                  <c:v>0.77821011673151752</c:v>
                </c:pt>
                <c:pt idx="9">
                  <c:v>2.1400778210116731</c:v>
                </c:pt>
                <c:pt idx="10">
                  <c:v>2.3346303501945527</c:v>
                </c:pt>
                <c:pt idx="11">
                  <c:v>2.918287937743191</c:v>
                </c:pt>
                <c:pt idx="12">
                  <c:v>2.918287937743191</c:v>
                </c:pt>
                <c:pt idx="13">
                  <c:v>3.1128404669260701</c:v>
                </c:pt>
                <c:pt idx="14">
                  <c:v>3.6964980544747084</c:v>
                </c:pt>
                <c:pt idx="15">
                  <c:v>4.4747081712062258</c:v>
                </c:pt>
                <c:pt idx="16">
                  <c:v>4.6692607003891053</c:v>
                </c:pt>
                <c:pt idx="17">
                  <c:v>4.6692607003891053</c:v>
                </c:pt>
                <c:pt idx="18">
                  <c:v>4.8638132295719849</c:v>
                </c:pt>
                <c:pt idx="19">
                  <c:v>5.2529182879377432</c:v>
                </c:pt>
                <c:pt idx="20">
                  <c:v>5.4474708171206228</c:v>
                </c:pt>
                <c:pt idx="21">
                  <c:v>5.4474708171206228</c:v>
                </c:pt>
                <c:pt idx="22">
                  <c:v>5.4474708171206228</c:v>
                </c:pt>
                <c:pt idx="23">
                  <c:v>5.4474708171206228</c:v>
                </c:pt>
                <c:pt idx="24">
                  <c:v>5.4474708171206228</c:v>
                </c:pt>
                <c:pt idx="25">
                  <c:v>5.6420233463035023</c:v>
                </c:pt>
                <c:pt idx="26">
                  <c:v>5.8365758754863819</c:v>
                </c:pt>
                <c:pt idx="27">
                  <c:v>6.0311284046692615</c:v>
                </c:pt>
                <c:pt idx="28">
                  <c:v>6.0311284046692615</c:v>
                </c:pt>
                <c:pt idx="29">
                  <c:v>20.233463035019458</c:v>
                </c:pt>
                <c:pt idx="30">
                  <c:v>39.688715953307394</c:v>
                </c:pt>
                <c:pt idx="31">
                  <c:v>84.241245136186777</c:v>
                </c:pt>
                <c:pt idx="32">
                  <c:v>117.1206225680934</c:v>
                </c:pt>
                <c:pt idx="33">
                  <c:v>162.06225680933852</c:v>
                </c:pt>
                <c:pt idx="34">
                  <c:v>190.07782101167317</c:v>
                </c:pt>
                <c:pt idx="35">
                  <c:v>245.33073929961091</c:v>
                </c:pt>
                <c:pt idx="36">
                  <c:v>343.579766536965</c:v>
                </c:pt>
                <c:pt idx="37">
                  <c:v>454.66926070038915</c:v>
                </c:pt>
                <c:pt idx="38">
                  <c:v>612.84046692607012</c:v>
                </c:pt>
                <c:pt idx="39">
                  <c:v>726.84824902723744</c:v>
                </c:pt>
                <c:pt idx="40">
                  <c:v>843.38521400778211</c:v>
                </c:pt>
                <c:pt idx="41">
                  <c:v>1008.9494163424125</c:v>
                </c:pt>
                <c:pt idx="42">
                  <c:v>1093.5797665369651</c:v>
                </c:pt>
                <c:pt idx="43">
                  <c:v>1184.4357976653698</c:v>
                </c:pt>
                <c:pt idx="44">
                  <c:v>1282.6848249027239</c:v>
                </c:pt>
                <c:pt idx="45">
                  <c:v>1369.8443579766538</c:v>
                </c:pt>
                <c:pt idx="46">
                  <c:v>1422.95719844358</c:v>
                </c:pt>
                <c:pt idx="47">
                  <c:v>1454.8638132295721</c:v>
                </c:pt>
                <c:pt idx="48">
                  <c:v>1461.6731517509729</c:v>
                </c:pt>
                <c:pt idx="49">
                  <c:v>1508.7548638132296</c:v>
                </c:pt>
                <c:pt idx="50">
                  <c:v>1530.933852140078</c:v>
                </c:pt>
                <c:pt idx="51">
                  <c:v>1552.3346303501946</c:v>
                </c:pt>
                <c:pt idx="52">
                  <c:v>1573.1517509727628</c:v>
                </c:pt>
                <c:pt idx="53">
                  <c:v>1587.9377431906616</c:v>
                </c:pt>
                <c:pt idx="54">
                  <c:v>1602.3346303501946</c:v>
                </c:pt>
                <c:pt idx="55">
                  <c:v>1618.6770428015566</c:v>
                </c:pt>
                <c:pt idx="56">
                  <c:v>1636.7704280155642</c:v>
                </c:pt>
                <c:pt idx="57">
                  <c:v>1666.342412451362</c:v>
                </c:pt>
                <c:pt idx="58">
                  <c:v>1683.2684824902724</c:v>
                </c:pt>
                <c:pt idx="59">
                  <c:v>1711.8677042801557</c:v>
                </c:pt>
                <c:pt idx="60">
                  <c:v>1743.3852140077822</c:v>
                </c:pt>
                <c:pt idx="61">
                  <c:v>1743.3852140077822</c:v>
                </c:pt>
                <c:pt idx="62">
                  <c:v>1758.1712062256811</c:v>
                </c:pt>
                <c:pt idx="63">
                  <c:v>1777.626459143969</c:v>
                </c:pt>
                <c:pt idx="64">
                  <c:v>1797.8599221789884</c:v>
                </c:pt>
                <c:pt idx="65">
                  <c:v>1815.5642023346304</c:v>
                </c:pt>
                <c:pt idx="66">
                  <c:v>1843.9688715953309</c:v>
                </c:pt>
                <c:pt idx="67">
                  <c:v>1864.3968871595332</c:v>
                </c:pt>
                <c:pt idx="68">
                  <c:v>1879.5719844357977</c:v>
                </c:pt>
                <c:pt idx="69">
                  <c:v>1903.8910505836577</c:v>
                </c:pt>
                <c:pt idx="70">
                  <c:v>1923.5408560311284</c:v>
                </c:pt>
                <c:pt idx="71">
                  <c:v>1940.8560311284048</c:v>
                </c:pt>
                <c:pt idx="72">
                  <c:v>1957.5875486381324</c:v>
                </c:pt>
                <c:pt idx="73">
                  <c:v>1975.8754863813231</c:v>
                </c:pt>
                <c:pt idx="74">
                  <c:v>1991.6342412451363</c:v>
                </c:pt>
                <c:pt idx="75">
                  <c:v>2000.7782101167315</c:v>
                </c:pt>
                <c:pt idx="76">
                  <c:v>2009.922178988327</c:v>
                </c:pt>
                <c:pt idx="77">
                  <c:v>2020.2334630350197</c:v>
                </c:pt>
                <c:pt idx="78">
                  <c:v>2027.8210116731518</c:v>
                </c:pt>
                <c:pt idx="79">
                  <c:v>2033.0739299610896</c:v>
                </c:pt>
                <c:pt idx="80">
                  <c:v>2038.910505836576</c:v>
                </c:pt>
                <c:pt idx="81">
                  <c:v>2045.1361867704281</c:v>
                </c:pt>
                <c:pt idx="82">
                  <c:v>2050</c:v>
                </c:pt>
                <c:pt idx="83">
                  <c:v>2055.252918287938</c:v>
                </c:pt>
                <c:pt idx="84">
                  <c:v>2060.5058365758755</c:v>
                </c:pt>
                <c:pt idx="85">
                  <c:v>2064.7859922178991</c:v>
                </c:pt>
                <c:pt idx="86">
                  <c:v>2069.0661478599222</c:v>
                </c:pt>
                <c:pt idx="87">
                  <c:v>2072.5680933852141</c:v>
                </c:pt>
                <c:pt idx="88">
                  <c:v>2074.1245136186772</c:v>
                </c:pt>
                <c:pt idx="89">
                  <c:v>2076.6536964980546</c:v>
                </c:pt>
                <c:pt idx="90">
                  <c:v>2078.4046692607003</c:v>
                </c:pt>
                <c:pt idx="91">
                  <c:v>2080.5447470817121</c:v>
                </c:pt>
                <c:pt idx="92">
                  <c:v>2083.2684824902726</c:v>
                </c:pt>
                <c:pt idx="93">
                  <c:v>2085.2140077821014</c:v>
                </c:pt>
                <c:pt idx="94">
                  <c:v>2087.1595330739301</c:v>
                </c:pt>
                <c:pt idx="95">
                  <c:v>2089.1050583657589</c:v>
                </c:pt>
                <c:pt idx="96">
                  <c:v>2091.8287937743194</c:v>
                </c:pt>
                <c:pt idx="97">
                  <c:v>2093.5797665369651</c:v>
                </c:pt>
                <c:pt idx="98">
                  <c:v>2094.3579766536968</c:v>
                </c:pt>
                <c:pt idx="99">
                  <c:v>2096.1089494163425</c:v>
                </c:pt>
                <c:pt idx="100">
                  <c:v>2097.2762645914399</c:v>
                </c:pt>
                <c:pt idx="101">
                  <c:v>2099.8054474708174</c:v>
                </c:pt>
              </c:numCache>
            </c:numRef>
          </c:yVal>
          <c:smooth val="0"/>
        </c:ser>
        <c:ser>
          <c:idx val="7"/>
          <c:order val="4"/>
          <c:tx>
            <c:v>UK Cases</c:v>
          </c:tx>
          <c:spPr>
            <a:ln w="6350" cap="rnd">
              <a:solidFill>
                <a:schemeClr val="accent2">
                  <a:lumMod val="75000"/>
                </a:schemeClr>
              </a:solidFill>
              <a:round/>
            </a:ln>
            <a:effectLst/>
          </c:spPr>
          <c:marker>
            <c:symbol val="x"/>
            <c:size val="3"/>
            <c:spPr>
              <a:noFill/>
              <a:ln w="9525">
                <a:solidFill>
                  <a:schemeClr val="accent2">
                    <a:lumMod val="60000"/>
                  </a:schemeClr>
                </a:solidFill>
              </a:ln>
              <a:effectLst/>
            </c:spPr>
          </c:marker>
          <c:xVal>
            <c:numRef>
              <c:f>myData!UKDates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myData!UKCases</c:f>
              <c:numCache>
                <c:formatCode>0.0</c:formatCode>
                <c:ptCount val="93"/>
                <c:pt idx="0">
                  <c:v>0.30102347983142685</c:v>
                </c:pt>
                <c:pt idx="1">
                  <c:v>0.30102347983142685</c:v>
                </c:pt>
                <c:pt idx="2">
                  <c:v>0.30102347983142685</c:v>
                </c:pt>
                <c:pt idx="3">
                  <c:v>0.30102347983142685</c:v>
                </c:pt>
                <c:pt idx="4">
                  <c:v>0.30102347983142685</c:v>
                </c:pt>
                <c:pt idx="5">
                  <c:v>0.30102347983142685</c:v>
                </c:pt>
                <c:pt idx="6">
                  <c:v>0.30102347983142685</c:v>
                </c:pt>
                <c:pt idx="7">
                  <c:v>0.45153521974714028</c:v>
                </c:pt>
                <c:pt idx="8">
                  <c:v>0.45153521974714028</c:v>
                </c:pt>
                <c:pt idx="9">
                  <c:v>0.45153521974714028</c:v>
                </c:pt>
                <c:pt idx="10">
                  <c:v>1.2040939193257074</c:v>
                </c:pt>
                <c:pt idx="11">
                  <c:v>1.2040939193257074</c:v>
                </c:pt>
                <c:pt idx="12">
                  <c:v>1.3546056592414208</c:v>
                </c:pt>
                <c:pt idx="13">
                  <c:v>1.3546056592414208</c:v>
                </c:pt>
                <c:pt idx="14">
                  <c:v>1.3546056592414208</c:v>
                </c:pt>
                <c:pt idx="15">
                  <c:v>1.3546056592414208</c:v>
                </c:pt>
                <c:pt idx="16">
                  <c:v>1.3546056592414208</c:v>
                </c:pt>
                <c:pt idx="17">
                  <c:v>1.3546056592414208</c:v>
                </c:pt>
                <c:pt idx="18">
                  <c:v>1.3546056592414208</c:v>
                </c:pt>
                <c:pt idx="19">
                  <c:v>1.3546056592414208</c:v>
                </c:pt>
                <c:pt idx="20">
                  <c:v>1.3546056592414208</c:v>
                </c:pt>
                <c:pt idx="21">
                  <c:v>1.3546056592414208</c:v>
                </c:pt>
                <c:pt idx="22">
                  <c:v>1.3546056592414208</c:v>
                </c:pt>
                <c:pt idx="23">
                  <c:v>1.3546056592414208</c:v>
                </c:pt>
                <c:pt idx="24">
                  <c:v>1.9566526189042746</c:v>
                </c:pt>
                <c:pt idx="25">
                  <c:v>1.9566526189042746</c:v>
                </c:pt>
                <c:pt idx="26">
                  <c:v>1.9566526189042746</c:v>
                </c:pt>
                <c:pt idx="27">
                  <c:v>2.2576760987357014</c:v>
                </c:pt>
                <c:pt idx="28">
                  <c:v>3.0102347983142685</c:v>
                </c:pt>
                <c:pt idx="29">
                  <c:v>3.4617700180614088</c:v>
                </c:pt>
                <c:pt idx="30">
                  <c:v>5.4184226369656834</c:v>
                </c:pt>
                <c:pt idx="31">
                  <c:v>6.0204695966285371</c:v>
                </c:pt>
                <c:pt idx="32">
                  <c:v>7.6760987357013848</c:v>
                </c:pt>
                <c:pt idx="33">
                  <c:v>12.944009632751355</c:v>
                </c:pt>
                <c:pt idx="34">
                  <c:v>17.459361830222758</c:v>
                </c:pt>
                <c:pt idx="35">
                  <c:v>24.683925346177002</c:v>
                </c:pt>
                <c:pt idx="36">
                  <c:v>31.155930162552679</c:v>
                </c:pt>
                <c:pt idx="37">
                  <c:v>41.240216736905481</c:v>
                </c:pt>
                <c:pt idx="38">
                  <c:v>48.464780252859725</c:v>
                </c:pt>
                <c:pt idx="39">
                  <c:v>57.796508127633956</c:v>
                </c:pt>
                <c:pt idx="40">
                  <c:v>69.084888621312459</c:v>
                </c:pt>
                <c:pt idx="41">
                  <c:v>69.084888621312459</c:v>
                </c:pt>
                <c:pt idx="42">
                  <c:v>120.71041541240217</c:v>
                </c:pt>
                <c:pt idx="43">
                  <c:v>172.18543046357615</c:v>
                </c:pt>
                <c:pt idx="44">
                  <c:v>172.33594220349187</c:v>
                </c:pt>
                <c:pt idx="45">
                  <c:v>233.44370860927151</c:v>
                </c:pt>
                <c:pt idx="46">
                  <c:v>295.0030102347983</c:v>
                </c:pt>
                <c:pt idx="47">
                  <c:v>397.65201685731489</c:v>
                </c:pt>
                <c:pt idx="48">
                  <c:v>408.78988561107764</c:v>
                </c:pt>
                <c:pt idx="49">
                  <c:v>604.15412402167362</c:v>
                </c:pt>
                <c:pt idx="50">
                  <c:v>762.64298615291989</c:v>
                </c:pt>
                <c:pt idx="51">
                  <c:v>864.68994581577363</c:v>
                </c:pt>
                <c:pt idx="52">
                  <c:v>1012.3419626730885</c:v>
                </c:pt>
                <c:pt idx="53">
                  <c:v>1228.7778446718844</c:v>
                </c:pt>
                <c:pt idx="54">
                  <c:v>1450.9331727874774</c:v>
                </c:pt>
                <c:pt idx="55">
                  <c:v>1777.844671884407</c:v>
                </c:pt>
                <c:pt idx="56">
                  <c:v>2219.2956050571943</c:v>
                </c:pt>
                <c:pt idx="57">
                  <c:v>2605.6592414208308</c:v>
                </c:pt>
                <c:pt idx="58">
                  <c:v>2977.1222155328114</c:v>
                </c:pt>
                <c:pt idx="59">
                  <c:v>3379.4400963275134</c:v>
                </c:pt>
                <c:pt idx="60">
                  <c:v>3835.1896447922936</c:v>
                </c:pt>
                <c:pt idx="61">
                  <c:v>4495.0331125827815</c:v>
                </c:pt>
                <c:pt idx="62">
                  <c:v>5143.4376881396747</c:v>
                </c:pt>
                <c:pt idx="63">
                  <c:v>5823.1487055990365</c:v>
                </c:pt>
                <c:pt idx="64">
                  <c:v>6393.2871763997591</c:v>
                </c:pt>
                <c:pt idx="65">
                  <c:v>7290.1866345574954</c:v>
                </c:pt>
                <c:pt idx="66">
                  <c:v>7868.6032510535824</c:v>
                </c:pt>
                <c:pt idx="67">
                  <c:v>8420.9813365442496</c:v>
                </c:pt>
                <c:pt idx="68">
                  <c:v>9252.558699578567</c:v>
                </c:pt>
                <c:pt idx="69">
                  <c:v>9914.5093317278752</c:v>
                </c:pt>
                <c:pt idx="70">
                  <c:v>11228.9283564118</c:v>
                </c:pt>
                <c:pt idx="71">
                  <c:v>12021.974714027694</c:v>
                </c:pt>
                <c:pt idx="72">
                  <c:v>12824.503311258279</c:v>
                </c:pt>
                <c:pt idx="73">
                  <c:v>13481.336544250451</c:v>
                </c:pt>
                <c:pt idx="74">
                  <c:v>14275.285972305839</c:v>
                </c:pt>
                <c:pt idx="75">
                  <c:v>14973.359422034919</c:v>
                </c:pt>
                <c:pt idx="76">
                  <c:v>15675.045153521974</c:v>
                </c:pt>
                <c:pt idx="77">
                  <c:v>16521.523178807947</c:v>
                </c:pt>
                <c:pt idx="78">
                  <c:v>17356.110776640577</c:v>
                </c:pt>
                <c:pt idx="79">
                  <c:v>18237.808549066827</c:v>
                </c:pt>
                <c:pt idx="80">
                  <c:v>18942.805538832028</c:v>
                </c:pt>
                <c:pt idx="81">
                  <c:v>19592.414208308248</c:v>
                </c:pt>
                <c:pt idx="82">
                  <c:v>20264.599638771822</c:v>
                </c:pt>
                <c:pt idx="83">
                  <c:v>20958.15773630343</c:v>
                </c:pt>
                <c:pt idx="84">
                  <c:v>21770.018061408791</c:v>
                </c:pt>
                <c:pt idx="85" formatCode="0.000">
                  <c:v>22511.890427453342</c:v>
                </c:pt>
                <c:pt idx="86" formatCode="0.000">
                  <c:v>23184.376881396747</c:v>
                </c:pt>
                <c:pt idx="87" formatCode="0.000">
                  <c:v>23833.232992173391</c:v>
                </c:pt>
                <c:pt idx="88" formatCode="0.000">
                  <c:v>24435.580975316076</c:v>
                </c:pt>
                <c:pt idx="89" formatCode="0.000">
                  <c:v>25051.324503311258</c:v>
                </c:pt>
                <c:pt idx="90" formatCode="0.000">
                  <c:v>25960.415412402166</c:v>
                </c:pt>
                <c:pt idx="91" formatCode="0.000">
                  <c:v>26894.190246839255</c:v>
                </c:pt>
                <c:pt idx="92" formatCode="0.000">
                  <c:v>27618.904274533412</c:v>
                </c:pt>
              </c:numCache>
            </c:numRef>
          </c:yVal>
          <c:smooth val="0"/>
        </c:ser>
        <c:ser>
          <c:idx val="0"/>
          <c:order val="5"/>
          <c:tx>
            <c:v>Italy </c:v>
          </c:tx>
          <c:spPr>
            <a:ln w="9525" cap="rnd">
              <a:solidFill>
                <a:schemeClr val="tx1"/>
              </a:solidFill>
              <a:round/>
            </a:ln>
            <a:effectLst/>
          </c:spPr>
          <c:marker>
            <c:symbol val="none"/>
          </c:marker>
          <c:xVal>
            <c:numRef>
              <c:f>myData!ItalyDates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myData!ItalyCases</c:f>
              <c:numCache>
                <c:formatCode>0.0</c:formatCode>
                <c:ptCount val="93"/>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c:v>10.250475324460611</c:v>
                </c:pt>
                <c:pt idx="23">
                  <c:v>25.626188311151527</c:v>
                </c:pt>
                <c:pt idx="24">
                  <c:v>37.860626601636774</c:v>
                </c:pt>
                <c:pt idx="25">
                  <c:v>53.236339588327688</c:v>
                </c:pt>
                <c:pt idx="26">
                  <c:v>74.894601967429949</c:v>
                </c:pt>
                <c:pt idx="27">
                  <c:v>108.29131189551129</c:v>
                </c:pt>
                <c:pt idx="28">
                  <c:v>146.81325948582293</c:v>
                </c:pt>
                <c:pt idx="29">
                  <c:v>186.49251880631562</c:v>
                </c:pt>
                <c:pt idx="30">
                  <c:v>280.06943870381087</c:v>
                </c:pt>
                <c:pt idx="31">
                  <c:v>336.61238323551294</c:v>
                </c:pt>
                <c:pt idx="32">
                  <c:v>413.65627841613627</c:v>
                </c:pt>
                <c:pt idx="33">
                  <c:v>510.70513350417463</c:v>
                </c:pt>
                <c:pt idx="34">
                  <c:v>637.84409357691993</c:v>
                </c:pt>
                <c:pt idx="35">
                  <c:v>766.47102587418374</c:v>
                </c:pt>
                <c:pt idx="36">
                  <c:v>972.63784409357697</c:v>
                </c:pt>
                <c:pt idx="37">
                  <c:v>1219.3105728693065</c:v>
                </c:pt>
                <c:pt idx="38">
                  <c:v>1516.4090270314955</c:v>
                </c:pt>
                <c:pt idx="39">
                  <c:v>1677.9366785153345</c:v>
                </c:pt>
                <c:pt idx="40">
                  <c:v>2060.3455402165828</c:v>
                </c:pt>
                <c:pt idx="41">
                  <c:v>2060.3455402165828</c:v>
                </c:pt>
                <c:pt idx="42">
                  <c:v>2919.732164999587</c:v>
                </c:pt>
                <c:pt idx="43">
                  <c:v>3497.8920393485992</c:v>
                </c:pt>
                <c:pt idx="44">
                  <c:v>4091.4276266843021</c:v>
                </c:pt>
                <c:pt idx="45">
                  <c:v>4625.9403157807719</c:v>
                </c:pt>
                <c:pt idx="46">
                  <c:v>5208.8947672976774</c:v>
                </c:pt>
                <c:pt idx="47">
                  <c:v>5904.4391171364805</c:v>
                </c:pt>
                <c:pt idx="48">
                  <c:v>6784.3266925684056</c:v>
                </c:pt>
                <c:pt idx="49">
                  <c:v>7773.9935521203606</c:v>
                </c:pt>
                <c:pt idx="50">
                  <c:v>8858.0639828056555</c:v>
                </c:pt>
                <c:pt idx="51">
                  <c:v>9777.3001570637352</c:v>
                </c:pt>
                <c:pt idx="52">
                  <c:v>10569.066710754732</c:v>
                </c:pt>
                <c:pt idx="53">
                  <c:v>11436.885178143342</c:v>
                </c:pt>
                <c:pt idx="54">
                  <c:v>12298.255765892371</c:v>
                </c:pt>
                <c:pt idx="55">
                  <c:v>13323.799289079938</c:v>
                </c:pt>
                <c:pt idx="56">
                  <c:v>14300.735719599901</c:v>
                </c:pt>
                <c:pt idx="57">
                  <c:v>15288.418616185832</c:v>
                </c:pt>
                <c:pt idx="58">
                  <c:v>16150.946515665042</c:v>
                </c:pt>
                <c:pt idx="59">
                  <c:v>16820.534016698355</c:v>
                </c:pt>
                <c:pt idx="60">
                  <c:v>17490.617508473177</c:v>
                </c:pt>
                <c:pt idx="61">
                  <c:v>18281.226750433994</c:v>
                </c:pt>
                <c:pt idx="62">
                  <c:v>19052.988344217574</c:v>
                </c:pt>
                <c:pt idx="63">
                  <c:v>19811.027527486156</c:v>
                </c:pt>
                <c:pt idx="64">
                  <c:v>20605.439365131853</c:v>
                </c:pt>
                <c:pt idx="65">
                  <c:v>21319.004711912046</c:v>
                </c:pt>
                <c:pt idx="66">
                  <c:v>21914.028271472267</c:v>
                </c:pt>
                <c:pt idx="67">
                  <c:v>22416.466892618006</c:v>
                </c:pt>
                <c:pt idx="68">
                  <c:v>23050.673720757215</c:v>
                </c:pt>
                <c:pt idx="69">
                  <c:v>23745.72207985451</c:v>
                </c:pt>
                <c:pt idx="70">
                  <c:v>24398.941886418121</c:v>
                </c:pt>
                <c:pt idx="71">
                  <c:v>25175.002066628091</c:v>
                </c:pt>
                <c:pt idx="72">
                  <c:v>25851.53343804249</c:v>
                </c:pt>
                <c:pt idx="73">
                  <c:v>26372.819707365463</c:v>
                </c:pt>
                <c:pt idx="74">
                  <c:v>26864.181201950898</c:v>
                </c:pt>
                <c:pt idx="75">
                  <c:v>27305.116971149873</c:v>
                </c:pt>
                <c:pt idx="76">
                  <c:v>27931.057286930645</c:v>
                </c:pt>
                <c:pt idx="77">
                  <c:v>28508.555840290981</c:v>
                </c:pt>
                <c:pt idx="78">
                  <c:v>29085.723733156981</c:v>
                </c:pt>
                <c:pt idx="79">
                  <c:v>29589.484996280069</c:v>
                </c:pt>
                <c:pt idx="80">
                  <c:v>29962.470033892703</c:v>
                </c:pt>
                <c:pt idx="81">
                  <c:v>30413.656278416136</c:v>
                </c:pt>
                <c:pt idx="82">
                  <c:v>30970.819211374721</c:v>
                </c:pt>
                <c:pt idx="83">
                  <c:v>31408.283045383156</c:v>
                </c:pt>
                <c:pt idx="84">
                  <c:v>31907.745722079857</c:v>
                </c:pt>
                <c:pt idx="85">
                  <c:v>32297.429114656527</c:v>
                </c:pt>
                <c:pt idx="86">
                  <c:v>32681.656609076632</c:v>
                </c:pt>
                <c:pt idx="87">
                  <c:v>32969.165908903036</c:v>
                </c:pt>
                <c:pt idx="88">
                  <c:v>33314.871455732828</c:v>
                </c:pt>
                <c:pt idx="89">
                  <c:v>33659.750351326773</c:v>
                </c:pt>
                <c:pt idx="90">
                  <c:v>33969.24857402662</c:v>
                </c:pt>
                <c:pt idx="91">
                  <c:v>34294.122509713154</c:v>
                </c:pt>
                <c:pt idx="92">
                  <c:v>34608.249979333719</c:v>
                </c:pt>
              </c:numCache>
            </c:numRef>
          </c:yVal>
          <c:smooth val="0"/>
        </c:ser>
        <c:ser>
          <c:idx val="4"/>
          <c:order val="6"/>
          <c:tx>
            <c:v>China Cases</c:v>
          </c:tx>
          <c:spPr>
            <a:ln w="15875" cap="rnd">
              <a:solidFill>
                <a:schemeClr val="accent1">
                  <a:lumMod val="75000"/>
                </a:schemeClr>
              </a:solidFill>
              <a:round/>
            </a:ln>
            <a:effectLst/>
          </c:spPr>
          <c:marker>
            <c:symbol val="none"/>
          </c:marker>
          <c:xVal>
            <c:numRef>
              <c:f>myData!ChinaDates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myData!ChinaCases</c:f>
              <c:numCache>
                <c:formatCode>0.0</c:formatCode>
                <c:ptCount val="102"/>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c:v>536.64784316048156</c:v>
                </c:pt>
                <c:pt idx="34">
                  <c:v>540.21201689646796</c:v>
                </c:pt>
                <c:pt idx="35">
                  <c:v>543.07447221659743</c:v>
                </c:pt>
                <c:pt idx="36">
                  <c:v>546.08977709265605</c:v>
                </c:pt>
                <c:pt idx="37">
                  <c:v>548.36862501741928</c:v>
                </c:pt>
                <c:pt idx="38">
                  <c:v>551.34224365095179</c:v>
                </c:pt>
                <c:pt idx="39">
                  <c:v>555.34412293346293</c:v>
                </c:pt>
                <c:pt idx="40">
                  <c:v>556.7614551793522</c:v>
                </c:pt>
                <c:pt idx="41">
                  <c:v>557.6299185653138</c:v>
                </c:pt>
                <c:pt idx="42">
                  <c:v>558.49838195127541</c:v>
                </c:pt>
                <c:pt idx="43">
                  <c:v>559.54748572151709</c:v>
                </c:pt>
                <c:pt idx="44">
                  <c:v>560.61048490593407</c:v>
                </c:pt>
                <c:pt idx="45">
                  <c:v>561.1663014729495</c:v>
                </c:pt>
                <c:pt idx="46">
                  <c:v>561.5345299485972</c:v>
                </c:pt>
                <c:pt idx="47">
                  <c:v>561.79159511084185</c:v>
                </c:pt>
                <c:pt idx="48">
                  <c:v>561.97918320220958</c:v>
                </c:pt>
                <c:pt idx="49">
                  <c:v>562.21540524319107</c:v>
                </c:pt>
                <c:pt idx="50">
                  <c:v>562.29183002115576</c:v>
                </c:pt>
                <c:pt idx="51">
                  <c:v>562.38215021329574</c:v>
                </c:pt>
                <c:pt idx="52">
                  <c:v>562.60447684010194</c:v>
                </c:pt>
                <c:pt idx="53">
                  <c:v>562.78511722438191</c:v>
                </c:pt>
                <c:pt idx="54">
                  <c:v>562.99354843701269</c:v>
                </c:pt>
                <c:pt idx="55">
                  <c:v>563.16724111420501</c:v>
                </c:pt>
                <c:pt idx="56">
                  <c:v>563.47294022606354</c:v>
                </c:pt>
                <c:pt idx="57">
                  <c:v>563.84811640879889</c:v>
                </c:pt>
                <c:pt idx="58">
                  <c:v>564.50120087504206</c:v>
                </c:pt>
                <c:pt idx="59">
                  <c:v>564.88332476486516</c:v>
                </c:pt>
                <c:pt idx="60">
                  <c:v>565.78652668626523</c:v>
                </c:pt>
                <c:pt idx="61">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572.71339065269501</c:v>
                </c:pt>
                <c:pt idx="72">
                  <c:v>573.26225951262268</c:v>
                </c:pt>
                <c:pt idx="73">
                  <c:v>573.48458613942887</c:v>
                </c:pt>
                <c:pt idx="74">
                  <c:v>573.89450085760279</c:v>
                </c:pt>
                <c:pt idx="75">
                  <c:v>574.33220640412742</c:v>
                </c:pt>
                <c:pt idx="76">
                  <c:v>574.70043487977512</c:v>
                </c:pt>
                <c:pt idx="77">
                  <c:v>575.33267622475512</c:v>
                </c:pt>
                <c:pt idx="78">
                  <c:v>575.84680654924443</c:v>
                </c:pt>
                <c:pt idx="79">
                  <c:v>576.2497735603306</c:v>
                </c:pt>
                <c:pt idx="80">
                  <c:v>576.75695617773215</c:v>
                </c:pt>
                <c:pt idx="81">
                  <c:v>577.59068102825529</c:v>
                </c:pt>
                <c:pt idx="82">
                  <c:v>578.13954988818307</c:v>
                </c:pt>
                <c:pt idx="83">
                  <c:v>578.78568664733848</c:v>
                </c:pt>
                <c:pt idx="84">
                  <c:v>579.13307200172312</c:v>
                </c:pt>
                <c:pt idx="85">
                  <c:v>579.45961423484471</c:v>
                </c:pt>
                <c:pt idx="86">
                  <c:v>581.93994566515107</c:v>
                </c:pt>
                <c:pt idx="87">
                  <c:v>582.1275337565188</c:v>
                </c:pt>
                <c:pt idx="88">
                  <c:v>582.25259248409725</c:v>
                </c:pt>
                <c:pt idx="89">
                  <c:v>582.33596496914959</c:v>
                </c:pt>
                <c:pt idx="90">
                  <c:v>582.58608242430648</c:v>
                </c:pt>
                <c:pt idx="91">
                  <c:v>582.69029803062188</c:v>
                </c:pt>
                <c:pt idx="92">
                  <c:v>582.80146134402491</c:v>
                </c:pt>
                <c:pt idx="93">
                  <c:v>582.90567695034031</c:v>
                </c:pt>
                <c:pt idx="94">
                  <c:v>582.97515402121724</c:v>
                </c:pt>
                <c:pt idx="95">
                  <c:v>582.99599714248041</c:v>
                </c:pt>
                <c:pt idx="96">
                  <c:v>583.03768338500652</c:v>
                </c:pt>
                <c:pt idx="97">
                  <c:v>583.19053294093578</c:v>
                </c:pt>
                <c:pt idx="98">
                  <c:v>583.21832376928649</c:v>
                </c:pt>
                <c:pt idx="99">
                  <c:v>583.30169625433882</c:v>
                </c:pt>
                <c:pt idx="100">
                  <c:v>583.32253937560188</c:v>
                </c:pt>
                <c:pt idx="101">
                  <c:v>583.32253937560188</c:v>
                </c:pt>
              </c:numCache>
            </c:numRef>
          </c:yVal>
          <c:smooth val="0"/>
        </c:ser>
        <c:ser>
          <c:idx val="5"/>
          <c:order val="7"/>
          <c:tx>
            <c:v>US</c:v>
          </c:tx>
          <c:spPr>
            <a:ln w="12700" cap="rnd">
              <a:solidFill>
                <a:schemeClr val="accent5">
                  <a:lumMod val="50000"/>
                </a:schemeClr>
              </a:solidFill>
              <a:round/>
            </a:ln>
            <a:effectLst/>
          </c:spPr>
          <c:marker>
            <c:symbol val="circle"/>
            <c:size val="4"/>
            <c:spPr>
              <a:solidFill>
                <a:schemeClr val="accent1">
                  <a:lumMod val="75000"/>
                </a:schemeClr>
              </a:solidFill>
              <a:ln w="9525">
                <a:solidFill>
                  <a:schemeClr val="accent5">
                    <a:lumMod val="50000"/>
                  </a:schemeClr>
                </a:solidFill>
              </a:ln>
              <a:effectLst/>
            </c:spPr>
          </c:marker>
          <c:xVal>
            <c:numRef>
              <c:f>myData!USDates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myData!USCases</c:f>
              <c:numCache>
                <c:formatCode>0.0</c:formatCode>
                <c:ptCount val="102"/>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417.55289968786536</c:v>
                </c:pt>
                <c:pt idx="58">
                  <c:v>585.40023537384366</c:v>
                </c:pt>
                <c:pt idx="59">
                  <c:v>777.57723372440194</c:v>
                </c:pt>
                <c:pt idx="60">
                  <c:v>1010.7289073989531</c:v>
                </c:pt>
                <c:pt idx="61">
                  <c:v>1331.6921350851153</c:v>
                </c:pt>
                <c:pt idx="62">
                  <c:v>1632.1832121646273</c:v>
                </c:pt>
                <c:pt idx="63">
                  <c:v>1997.9482531220199</c:v>
                </c:pt>
                <c:pt idx="64">
                  <c:v>2546.4439440046467</c:v>
                </c:pt>
                <c:pt idx="65">
                  <c:v>3087.7409706531844</c:v>
                </c:pt>
                <c:pt idx="66">
                  <c:v>3689.3913552474405</c:v>
                </c:pt>
                <c:pt idx="67">
                  <c:v>4279.9855635496779</c:v>
                </c:pt>
                <c:pt idx="68">
                  <c:v>4915.472707455222</c:v>
                </c:pt>
                <c:pt idx="69">
                  <c:v>5715.557157202662</c:v>
                </c:pt>
                <c:pt idx="70">
                  <c:v>6477.0361122601134</c:v>
                </c:pt>
                <c:pt idx="71">
                  <c:v>7399.8015950939935</c:v>
                </c:pt>
                <c:pt idx="72">
                  <c:v>8364.0277390229439</c:v>
                </c:pt>
                <c:pt idx="73">
                  <c:v>9374.9692651967434</c:v>
                </c:pt>
                <c:pt idx="74">
                  <c:v>10230.061229408047</c:v>
                </c:pt>
                <c:pt idx="75">
                  <c:v>11126.553106493036</c:v>
                </c:pt>
                <c:pt idx="76">
                  <c:v>12062.197212260477</c:v>
                </c:pt>
                <c:pt idx="77">
                  <c:v>13019.984044722647</c:v>
                </c:pt>
                <c:pt idx="78">
                  <c:v>14056.530946210107</c:v>
                </c:pt>
                <c:pt idx="79">
                  <c:v>15081.809052630699</c:v>
                </c:pt>
                <c:pt idx="80">
                  <c:v>15988.810372015245</c:v>
                </c:pt>
                <c:pt idx="81">
                  <c:v>16867.138530906203</c:v>
                </c:pt>
                <c:pt idx="82">
                  <c:v>17635.78577608705</c:v>
                </c:pt>
                <c:pt idx="83">
                  <c:v>18457.435844426065</c:v>
                </c:pt>
                <c:pt idx="84">
                  <c:v>19328.565339082936</c:v>
                </c:pt>
                <c:pt idx="85">
                  <c:v>20277.513305333629</c:v>
                </c:pt>
                <c:pt idx="86">
                  <c:v>21252.94749610806</c:v>
                </c:pt>
                <c:pt idx="87">
                  <c:v>22239.832726613513</c:v>
                </c:pt>
                <c:pt idx="88">
                  <c:v>23048.148560358582</c:v>
                </c:pt>
                <c:pt idx="89">
                  <c:v>23823.204742895519</c:v>
                </c:pt>
                <c:pt idx="90">
                  <c:v>24659.677377252403</c:v>
                </c:pt>
                <c:pt idx="91">
                  <c:v>25524.914294434955</c:v>
                </c:pt>
                <c:pt idx="92">
                  <c:v>26400.265790478064</c:v>
                </c:pt>
                <c:pt idx="93">
                  <c:v>27499.444108213167</c:v>
                </c:pt>
                <c:pt idx="94">
                  <c:v>28495.593442479789</c:v>
                </c:pt>
                <c:pt idx="95">
                  <c:v>29334.86049502037</c:v>
                </c:pt>
                <c:pt idx="96">
                  <c:v>30015.605063857533</c:v>
                </c:pt>
                <c:pt idx="97">
                  <c:v>30756.277753090715</c:v>
                </c:pt>
                <c:pt idx="98">
                  <c:v>31586.311075980822</c:v>
                </c:pt>
                <c:pt idx="99">
                  <c:v>32482.802953065813</c:v>
                </c:pt>
                <c:pt idx="100">
                  <c:v>33516.64655870165</c:v>
                </c:pt>
                <c:pt idx="101">
                  <c:v>34399.864949414077</c:v>
                </c:pt>
              </c:numCache>
            </c:numRef>
          </c:yVal>
          <c:smooth val="0"/>
        </c:ser>
        <c:ser>
          <c:idx val="9"/>
          <c:order val="8"/>
          <c:tx>
            <c:v>Taiwan </c:v>
          </c:tx>
          <c:spPr>
            <a:ln w="19050" cap="rnd">
              <a:solidFill>
                <a:schemeClr val="accent4">
                  <a:lumMod val="75000"/>
                </a:schemeClr>
              </a:solidFill>
              <a:round/>
            </a:ln>
            <a:effectLst/>
          </c:spPr>
          <c:marker>
            <c:symbol val="none"/>
          </c:marker>
          <c:xVal>
            <c:numRef>
              <c:f>myData!TaiwanDates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myData!TaiwanCases</c:f>
              <c:numCache>
                <c:formatCode>0.00</c:formatCode>
                <c:ptCount val="102"/>
                <c:pt idx="0">
                  <c:v>0.4200395492437986</c:v>
                </c:pt>
                <c:pt idx="1">
                  <c:v>0.4200395492437986</c:v>
                </c:pt>
                <c:pt idx="2">
                  <c:v>1.2601186477313957</c:v>
                </c:pt>
                <c:pt idx="3">
                  <c:v>1.2601186477313957</c:v>
                </c:pt>
                <c:pt idx="4">
                  <c:v>1.6801581969751944</c:v>
                </c:pt>
                <c:pt idx="5">
                  <c:v>2.1001977462189929</c:v>
                </c:pt>
                <c:pt idx="6">
                  <c:v>3.3603163939503888</c:v>
                </c:pt>
                <c:pt idx="7">
                  <c:v>3.3603163939503888</c:v>
                </c:pt>
                <c:pt idx="8">
                  <c:v>3.7803559431941873</c:v>
                </c:pt>
                <c:pt idx="9">
                  <c:v>4.2003954924379858</c:v>
                </c:pt>
                <c:pt idx="10">
                  <c:v>4.2003954924379858</c:v>
                </c:pt>
                <c:pt idx="11">
                  <c:v>4.2003954924379858</c:v>
                </c:pt>
                <c:pt idx="12">
                  <c:v>4.2003954924379858</c:v>
                </c:pt>
                <c:pt idx="13">
                  <c:v>4.6204350416817848</c:v>
                </c:pt>
                <c:pt idx="14">
                  <c:v>4.6204350416817848</c:v>
                </c:pt>
                <c:pt idx="15">
                  <c:v>6.7206327879007777</c:v>
                </c:pt>
                <c:pt idx="16">
                  <c:v>6.7206327879007777</c:v>
                </c:pt>
                <c:pt idx="17">
                  <c:v>7.1406723371445757</c:v>
                </c:pt>
                <c:pt idx="18">
                  <c:v>7.5607118863883747</c:v>
                </c:pt>
                <c:pt idx="19">
                  <c:v>7.5607118863883747</c:v>
                </c:pt>
                <c:pt idx="20">
                  <c:v>7.5607118863883747</c:v>
                </c:pt>
                <c:pt idx="21">
                  <c:v>7.5607118863883747</c:v>
                </c:pt>
                <c:pt idx="22">
                  <c:v>7.5607118863883747</c:v>
                </c:pt>
                <c:pt idx="23">
                  <c:v>7.5607118863883747</c:v>
                </c:pt>
                <c:pt idx="24">
                  <c:v>7.5607118863883747</c:v>
                </c:pt>
                <c:pt idx="25">
                  <c:v>8.4007909848759716</c:v>
                </c:pt>
                <c:pt idx="26">
                  <c:v>9.2408700833635695</c:v>
                </c:pt>
                <c:pt idx="27">
                  <c:v>9.2408700833635695</c:v>
                </c:pt>
                <c:pt idx="28">
                  <c:v>9.6609096326073676</c:v>
                </c:pt>
                <c:pt idx="29">
                  <c:v>10.080949181851166</c:v>
                </c:pt>
                <c:pt idx="30">
                  <c:v>10.921028280338763</c:v>
                </c:pt>
                <c:pt idx="31">
                  <c:v>10.921028280338763</c:v>
                </c:pt>
                <c:pt idx="32">
                  <c:v>11.76110737882636</c:v>
                </c:pt>
                <c:pt idx="33">
                  <c:v>12.601186477313957</c:v>
                </c:pt>
                <c:pt idx="34">
                  <c:v>13.021226026557756</c:v>
                </c:pt>
                <c:pt idx="35">
                  <c:v>13.441265575801555</c:v>
                </c:pt>
                <c:pt idx="36">
                  <c:v>13.441265575801555</c:v>
                </c:pt>
                <c:pt idx="37">
                  <c:v>14.281344674289151</c:v>
                </c:pt>
                <c:pt idx="38">
                  <c:v>16.381542420508143</c:v>
                </c:pt>
                <c:pt idx="39">
                  <c:v>16.801581969751943</c:v>
                </c:pt>
                <c:pt idx="40">
                  <c:v>17.221621518995743</c:v>
                </c:pt>
                <c:pt idx="41">
                  <c:v>17.641661068239539</c:v>
                </c:pt>
                <c:pt idx="42">
                  <c:v>17.641661068239539</c:v>
                </c:pt>
                <c:pt idx="43">
                  <c:v>18.481740166727139</c:v>
                </c:pt>
                <c:pt idx="44">
                  <c:v>18.901779715970935</c:v>
                </c:pt>
                <c:pt idx="45">
                  <c:v>18.901779715970935</c:v>
                </c:pt>
                <c:pt idx="46">
                  <c:v>18.901779715970935</c:v>
                </c:pt>
                <c:pt idx="47">
                  <c:v>18.901779715970935</c:v>
                </c:pt>
                <c:pt idx="48">
                  <c:v>19.741858814458535</c:v>
                </c:pt>
                <c:pt idx="49">
                  <c:v>20.161898363702331</c:v>
                </c:pt>
                <c:pt idx="50">
                  <c:v>20.581937912946131</c:v>
                </c:pt>
                <c:pt idx="51">
                  <c:v>21.001977462189931</c:v>
                </c:pt>
                <c:pt idx="52">
                  <c:v>22.262096109921327</c:v>
                </c:pt>
                <c:pt idx="53">
                  <c:v>24.782333405384115</c:v>
                </c:pt>
                <c:pt idx="54">
                  <c:v>28.142649799334507</c:v>
                </c:pt>
                <c:pt idx="55">
                  <c:v>32.343045291772491</c:v>
                </c:pt>
                <c:pt idx="56">
                  <c:v>42.003954924379862</c:v>
                </c:pt>
                <c:pt idx="57">
                  <c:v>45.364271318330246</c:v>
                </c:pt>
                <c:pt idx="58">
                  <c:v>56.705339147912809</c:v>
                </c:pt>
                <c:pt idx="59">
                  <c:v>64.266051034301185</c:v>
                </c:pt>
                <c:pt idx="60">
                  <c:v>70.986683822201968</c:v>
                </c:pt>
                <c:pt idx="61">
                  <c:v>81.907712102540728</c:v>
                </c:pt>
                <c:pt idx="62">
                  <c:v>90.308503087416696</c:v>
                </c:pt>
                <c:pt idx="63">
                  <c:v>98.709294072292664</c:v>
                </c:pt>
                <c:pt idx="64">
                  <c:v>105.84996640943724</c:v>
                </c:pt>
                <c:pt idx="65">
                  <c:v>112.15055964809422</c:v>
                </c:pt>
                <c:pt idx="66">
                  <c:v>118.871192435995</c:v>
                </c:pt>
                <c:pt idx="67">
                  <c:v>125.17178567465199</c:v>
                </c:pt>
                <c:pt idx="68">
                  <c:v>128.53210206860237</c:v>
                </c:pt>
                <c:pt idx="69">
                  <c:v>135.25273485650314</c:v>
                </c:pt>
                <c:pt idx="70">
                  <c:v>138.19301170120974</c:v>
                </c:pt>
                <c:pt idx="71">
                  <c:v>142.39340719364773</c:v>
                </c:pt>
                <c:pt idx="72">
                  <c:v>146.1737631368419</c:v>
                </c:pt>
                <c:pt idx="73">
                  <c:v>149.1140399815485</c:v>
                </c:pt>
                <c:pt idx="74">
                  <c:v>152.4743563754989</c:v>
                </c:pt>
                <c:pt idx="75">
                  <c:v>156.67475186793686</c:v>
                </c:pt>
                <c:pt idx="76">
                  <c:v>157.93487051566828</c:v>
                </c:pt>
                <c:pt idx="77">
                  <c:v>159.19498916339967</c:v>
                </c:pt>
                <c:pt idx="78">
                  <c:v>159.61502871264346</c:v>
                </c:pt>
                <c:pt idx="79">
                  <c:v>160.45510781113106</c:v>
                </c:pt>
                <c:pt idx="80">
                  <c:v>161.71522645886245</c:v>
                </c:pt>
                <c:pt idx="81">
                  <c:v>162.97534510659386</c:v>
                </c:pt>
                <c:pt idx="82">
                  <c:v>165.07554285281284</c:v>
                </c:pt>
                <c:pt idx="83">
                  <c:v>165.07554285281284</c:v>
                </c:pt>
                <c:pt idx="84">
                  <c:v>165.91562195130044</c:v>
                </c:pt>
                <c:pt idx="85">
                  <c:v>165.91562195130044</c:v>
                </c:pt>
                <c:pt idx="86">
                  <c:v>165.91562195130044</c:v>
                </c:pt>
                <c:pt idx="87">
                  <c:v>167.17574059903183</c:v>
                </c:pt>
                <c:pt idx="88">
                  <c:v>176.4166106823954</c:v>
                </c:pt>
                <c:pt idx="89">
                  <c:v>177.25668978088299</c:v>
                </c:pt>
                <c:pt idx="90">
                  <c:v>178.51680842861441</c:v>
                </c:pt>
                <c:pt idx="91">
                  <c:v>178.93684797785821</c:v>
                </c:pt>
                <c:pt idx="92">
                  <c:v>179.356887527102</c:v>
                </c:pt>
                <c:pt idx="93">
                  <c:v>179.7769270763458</c:v>
                </c:pt>
                <c:pt idx="94">
                  <c:v>180.1969666255896</c:v>
                </c:pt>
                <c:pt idx="95">
                  <c:v>180.1969666255896</c:v>
                </c:pt>
                <c:pt idx="96">
                  <c:v>180.1969666255896</c:v>
                </c:pt>
                <c:pt idx="97">
                  <c:v>180.1969666255896</c:v>
                </c:pt>
                <c:pt idx="98">
                  <c:v>180.1969666255896</c:v>
                </c:pt>
                <c:pt idx="99">
                  <c:v>180.1969666255896</c:v>
                </c:pt>
                <c:pt idx="100">
                  <c:v>180.1969666255896</c:v>
                </c:pt>
                <c:pt idx="101">
                  <c:v>181.45708527332098</c:v>
                </c:pt>
              </c:numCache>
            </c:numRef>
          </c:yVal>
          <c:smooth val="0"/>
        </c:ser>
        <c:ser>
          <c:idx val="6"/>
          <c:order val="9"/>
          <c:tx>
            <c:v>Chinese New Year</c:v>
          </c:tx>
          <c:spPr>
            <a:ln w="19050" cap="rnd">
              <a:solidFill>
                <a:schemeClr val="accent1">
                  <a:lumMod val="60000"/>
                </a:schemeClr>
              </a:solidFill>
              <a:prstDash val="sysDash"/>
              <a:round/>
            </a:ln>
            <a:effectLst/>
          </c:spPr>
          <c:marker>
            <c:symbol val="none"/>
          </c:marker>
          <c:xVal>
            <c:numRef>
              <c:f>myData!$FI$15:$FI$18</c:f>
              <c:numCache>
                <c:formatCode>m/d/yyyy</c:formatCode>
                <c:ptCount val="4"/>
                <c:pt idx="0">
                  <c:v>43854</c:v>
                </c:pt>
                <c:pt idx="1">
                  <c:v>43854</c:v>
                </c:pt>
                <c:pt idx="2">
                  <c:v>43860</c:v>
                </c:pt>
                <c:pt idx="3">
                  <c:v>43860</c:v>
                </c:pt>
              </c:numCache>
            </c:numRef>
          </c:xVal>
          <c:yVal>
            <c:numRef>
              <c:f>myData!$FJ$15:$FJ$18</c:f>
              <c:numCache>
                <c:formatCode>0.00E+00</c:formatCode>
                <c:ptCount val="4"/>
                <c:pt idx="0" formatCode="General">
                  <c:v>0.1</c:v>
                </c:pt>
                <c:pt idx="1">
                  <c:v>10000000</c:v>
                </c:pt>
                <c:pt idx="2" formatCode="General">
                  <c:v>10000000</c:v>
                </c:pt>
                <c:pt idx="3" formatCode="General">
                  <c:v>0.1</c:v>
                </c:pt>
              </c:numCache>
            </c:numRef>
          </c:yVal>
          <c:smooth val="0"/>
        </c:ser>
        <c:ser>
          <c:idx val="8"/>
          <c:order val="10"/>
          <c:tx>
            <c:v>Chinese NY +14 days</c:v>
          </c:tx>
          <c:spPr>
            <a:ln w="19050" cap="rnd">
              <a:solidFill>
                <a:schemeClr val="accent3">
                  <a:lumMod val="60000"/>
                </a:schemeClr>
              </a:solidFill>
              <a:prstDash val="sysDot"/>
              <a:round/>
            </a:ln>
            <a:effectLst/>
          </c:spPr>
          <c:marker>
            <c:symbol val="circle"/>
            <c:size val="5"/>
            <c:spPr>
              <a:solidFill>
                <a:schemeClr val="accent3">
                  <a:lumMod val="60000"/>
                </a:schemeClr>
              </a:solidFill>
              <a:ln w="9525">
                <a:solidFill>
                  <a:schemeClr val="accent3">
                    <a:lumMod val="60000"/>
                  </a:schemeClr>
                </a:solidFill>
              </a:ln>
              <a:effectLst/>
            </c:spPr>
          </c:marker>
          <c:xVal>
            <c:numRef>
              <c:f>myData!$FI$19:$FI$22</c:f>
              <c:numCache>
                <c:formatCode>m/d/yyyy</c:formatCode>
                <c:ptCount val="4"/>
                <c:pt idx="0">
                  <c:v>43868</c:v>
                </c:pt>
                <c:pt idx="1">
                  <c:v>43868</c:v>
                </c:pt>
                <c:pt idx="2">
                  <c:v>43874</c:v>
                </c:pt>
                <c:pt idx="3">
                  <c:v>43874</c:v>
                </c:pt>
              </c:numCache>
            </c:numRef>
          </c:xVal>
          <c:yVal>
            <c:numRef>
              <c:f>myData!$FJ$19:$FJ$22</c:f>
              <c:numCache>
                <c:formatCode>0.00E+00</c:formatCode>
                <c:ptCount val="4"/>
                <c:pt idx="0" formatCode="General">
                  <c:v>0.1</c:v>
                </c:pt>
                <c:pt idx="1">
                  <c:v>10000000</c:v>
                </c:pt>
                <c:pt idx="2" formatCode="General">
                  <c:v>10000000</c:v>
                </c:pt>
                <c:pt idx="3" formatCode="General">
                  <c:v>0.1</c:v>
                </c:pt>
              </c:numCache>
            </c:numRef>
          </c:yVal>
          <c:smooth val="0"/>
        </c:ser>
        <c:dLbls>
          <c:showLegendKey val="0"/>
          <c:showVal val="0"/>
          <c:showCatName val="0"/>
          <c:showSerName val="0"/>
          <c:showPercent val="0"/>
          <c:showBubbleSize val="0"/>
        </c:dLbls>
        <c:axId val="983115752"/>
        <c:axId val="983125160"/>
      </c:scatterChart>
      <c:valAx>
        <c:axId val="983115752"/>
        <c:scaling>
          <c:orientation val="minMax"/>
          <c:max val="43941"/>
          <c:min val="438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ddd\ 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25160"/>
        <c:crossesAt val="1.0000000000000002E-2"/>
        <c:crossBetween val="midCat"/>
        <c:majorUnit val="7"/>
        <c:minorUnit val="1"/>
      </c:valAx>
      <c:valAx>
        <c:axId val="983125160"/>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15752"/>
        <c:crosses val="autoZero"/>
        <c:crossBetween val="midCat"/>
      </c:valAx>
      <c:spPr>
        <a:noFill/>
        <a:ln>
          <a:noFill/>
        </a:ln>
        <a:effectLst/>
      </c:spPr>
    </c:plotArea>
    <c:legend>
      <c:legendPos val="b"/>
      <c:layout>
        <c:manualLayout>
          <c:xMode val="edge"/>
          <c:yMode val="edge"/>
          <c:x val="0.83548181457749537"/>
          <c:y val="4.8127806249791183E-2"/>
          <c:w val="0.15768611082270551"/>
          <c:h val="0.87662466443502551"/>
        </c:manualLayout>
      </c:layout>
      <c:overlay val="0"/>
      <c:spPr>
        <a:solidFill>
          <a:schemeClr val="bg1"/>
        </a:solid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Logistic Equation Asymptote v's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876130895670227E-2"/>
          <c:y val="7.7413138390551917E-2"/>
          <c:w val="0.90261765137958339"/>
          <c:h val="0.7113688647471057"/>
        </c:manualLayout>
      </c:layout>
      <c:scatterChart>
        <c:scatterStyle val="lineMarker"/>
        <c:varyColors val="0"/>
        <c:ser>
          <c:idx val="0"/>
          <c:order val="0"/>
          <c:tx>
            <c:v>NSW Asymptote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myData!HisTableNSWDates</c:f>
              <c:numCache>
                <c:formatCode>dd/mm/yy</c:formatCode>
                <c:ptCount val="53"/>
                <c:pt idx="0">
                  <c:v>43903</c:v>
                </c:pt>
                <c:pt idx="1">
                  <c:v>43904</c:v>
                </c:pt>
                <c:pt idx="2">
                  <c:v>43905</c:v>
                </c:pt>
                <c:pt idx="3">
                  <c:v>43906</c:v>
                </c:pt>
                <c:pt idx="4">
                  <c:v>43907</c:v>
                </c:pt>
                <c:pt idx="5">
                  <c:v>43908</c:v>
                </c:pt>
                <c:pt idx="6">
                  <c:v>43908</c:v>
                </c:pt>
                <c:pt idx="7">
                  <c:v>43910</c:v>
                </c:pt>
                <c:pt idx="8">
                  <c:v>43911</c:v>
                </c:pt>
                <c:pt idx="9">
                  <c:v>43912</c:v>
                </c:pt>
                <c:pt idx="10">
                  <c:v>43912</c:v>
                </c:pt>
                <c:pt idx="11">
                  <c:v>43913</c:v>
                </c:pt>
                <c:pt idx="12">
                  <c:v>43913</c:v>
                </c:pt>
                <c:pt idx="13">
                  <c:v>43913</c:v>
                </c:pt>
                <c:pt idx="14">
                  <c:v>43913</c:v>
                </c:pt>
                <c:pt idx="15">
                  <c:v>43914</c:v>
                </c:pt>
                <c:pt idx="16">
                  <c:v>43915</c:v>
                </c:pt>
                <c:pt idx="17">
                  <c:v>43916</c:v>
                </c:pt>
                <c:pt idx="18">
                  <c:v>43918</c:v>
                </c:pt>
                <c:pt idx="19">
                  <c:v>43919</c:v>
                </c:pt>
                <c:pt idx="20">
                  <c:v>43919</c:v>
                </c:pt>
                <c:pt idx="21">
                  <c:v>43920</c:v>
                </c:pt>
                <c:pt idx="22">
                  <c:v>43920</c:v>
                </c:pt>
                <c:pt idx="23">
                  <c:v>43921</c:v>
                </c:pt>
                <c:pt idx="24">
                  <c:v>43922</c:v>
                </c:pt>
                <c:pt idx="25">
                  <c:v>43923</c:v>
                </c:pt>
                <c:pt idx="26">
                  <c:v>43923</c:v>
                </c:pt>
                <c:pt idx="27">
                  <c:v>43924</c:v>
                </c:pt>
                <c:pt idx="28">
                  <c:v>43924</c:v>
                </c:pt>
                <c:pt idx="29">
                  <c:v>43925</c:v>
                </c:pt>
                <c:pt idx="30">
                  <c:v>43926</c:v>
                </c:pt>
                <c:pt idx="31">
                  <c:v>43927</c:v>
                </c:pt>
                <c:pt idx="32">
                  <c:v>43928</c:v>
                </c:pt>
                <c:pt idx="33">
                  <c:v>43930</c:v>
                </c:pt>
                <c:pt idx="34">
                  <c:v>43931</c:v>
                </c:pt>
                <c:pt idx="35">
                  <c:v>43933</c:v>
                </c:pt>
                <c:pt idx="36">
                  <c:v>43933</c:v>
                </c:pt>
                <c:pt idx="37">
                  <c:v>43933</c:v>
                </c:pt>
                <c:pt idx="38">
                  <c:v>43933</c:v>
                </c:pt>
                <c:pt idx="39">
                  <c:v>43934</c:v>
                </c:pt>
                <c:pt idx="40">
                  <c:v>43934</c:v>
                </c:pt>
                <c:pt idx="41">
                  <c:v>43934</c:v>
                </c:pt>
                <c:pt idx="42">
                  <c:v>43935</c:v>
                </c:pt>
                <c:pt idx="43">
                  <c:v>43938</c:v>
                </c:pt>
                <c:pt idx="44">
                  <c:v>43938</c:v>
                </c:pt>
                <c:pt idx="45">
                  <c:v>43939</c:v>
                </c:pt>
                <c:pt idx="46">
                  <c:v>43942</c:v>
                </c:pt>
                <c:pt idx="47">
                  <c:v>43945</c:v>
                </c:pt>
                <c:pt idx="48">
                  <c:v>43947</c:v>
                </c:pt>
                <c:pt idx="49">
                  <c:v>43949</c:v>
                </c:pt>
                <c:pt idx="50">
                  <c:v>43950</c:v>
                </c:pt>
                <c:pt idx="51">
                  <c:v>43951</c:v>
                </c:pt>
                <c:pt idx="52">
                  <c:v>43954</c:v>
                </c:pt>
              </c:numCache>
            </c:numRef>
          </c:xVal>
          <c:yVal>
            <c:numRef>
              <c:f>myData!HisTableNSWLimit</c:f>
              <c:numCache>
                <c:formatCode>##0.#E+0</c:formatCode>
                <c:ptCount val="53"/>
                <c:pt idx="0">
                  <c:v>698.45143014252619</c:v>
                </c:pt>
                <c:pt idx="1">
                  <c:v>542.39562937001722</c:v>
                </c:pt>
                <c:pt idx="2">
                  <c:v>149466.80778825187</c:v>
                </c:pt>
                <c:pt idx="3">
                  <c:v>1903695418.3668838</c:v>
                </c:pt>
                <c:pt idx="4">
                  <c:v>1906532495.6548798</c:v>
                </c:pt>
                <c:pt idx="5">
                  <c:v>2020947810.4226243</c:v>
                </c:pt>
                <c:pt idx="6">
                  <c:v>2020947810.4226243</c:v>
                </c:pt>
                <c:pt idx="7">
                  <c:v>19837162.818940759</c:v>
                </c:pt>
                <c:pt idx="8">
                  <c:v>2724.7105763852951</c:v>
                </c:pt>
                <c:pt idx="9">
                  <c:v>3260.9876989496688</c:v>
                </c:pt>
                <c:pt idx="10">
                  <c:v>3260.9876989496688</c:v>
                </c:pt>
                <c:pt idx="11">
                  <c:v>249353.50939001123</c:v>
                </c:pt>
                <c:pt idx="12">
                  <c:v>250236.41257862665</c:v>
                </c:pt>
                <c:pt idx="13">
                  <c:v>198338944478.92844</c:v>
                </c:pt>
                <c:pt idx="14">
                  <c:v>198338706864.42471</c:v>
                </c:pt>
                <c:pt idx="15">
                  <c:v>136942.55830215677</c:v>
                </c:pt>
                <c:pt idx="16">
                  <c:v>199741905429.51889</c:v>
                </c:pt>
                <c:pt idx="17">
                  <c:v>9599.8215448294359</c:v>
                </c:pt>
                <c:pt idx="18">
                  <c:v>4508.8432233744425</c:v>
                </c:pt>
                <c:pt idx="19">
                  <c:v>3709.7346654448384</c:v>
                </c:pt>
                <c:pt idx="20">
                  <c:v>3709.7444231824052</c:v>
                </c:pt>
                <c:pt idx="21">
                  <c:v>3710.633453851975</c:v>
                </c:pt>
                <c:pt idx="22">
                  <c:v>3709.9996894717342</c:v>
                </c:pt>
                <c:pt idx="23">
                  <c:v>4378.5831585977076</c:v>
                </c:pt>
                <c:pt idx="24">
                  <c:v>3052.0693701432133</c:v>
                </c:pt>
                <c:pt idx="25">
                  <c:v>3000.259969010252</c:v>
                </c:pt>
                <c:pt idx="26">
                  <c:v>3000.259969010252</c:v>
                </c:pt>
                <c:pt idx="27">
                  <c:v>2959.5449881207719</c:v>
                </c:pt>
                <c:pt idx="28">
                  <c:v>2959.5436271578865</c:v>
                </c:pt>
                <c:pt idx="29">
                  <c:v>2942.6106809805206</c:v>
                </c:pt>
                <c:pt idx="30">
                  <c:v>2936.1229263376649</c:v>
                </c:pt>
                <c:pt idx="31">
                  <c:v>2928.9217842700177</c:v>
                </c:pt>
                <c:pt idx="32">
                  <c:v>2922.7981514270255</c:v>
                </c:pt>
                <c:pt idx="33">
                  <c:v>2918.4540453884492</c:v>
                </c:pt>
                <c:pt idx="34">
                  <c:v>2921.4731536265922</c:v>
                </c:pt>
                <c:pt idx="35">
                  <c:v>2925.6652200219041</c:v>
                </c:pt>
                <c:pt idx="36">
                  <c:v>2894.6162824293028</c:v>
                </c:pt>
                <c:pt idx="37">
                  <c:v>2925.6808305951959</c:v>
                </c:pt>
                <c:pt idx="38">
                  <c:v>2925.6805016158714</c:v>
                </c:pt>
                <c:pt idx="39">
                  <c:v>2924.8057655249218</c:v>
                </c:pt>
                <c:pt idx="40">
                  <c:v>2924.8057655249218</c:v>
                </c:pt>
                <c:pt idx="41">
                  <c:v>2924.8057655249218</c:v>
                </c:pt>
                <c:pt idx="42">
                  <c:v>2923.5461650381076</c:v>
                </c:pt>
                <c:pt idx="43">
                  <c:v>2925.7384290786126</c:v>
                </c:pt>
                <c:pt idx="44">
                  <c:v>2925.7379160271794</c:v>
                </c:pt>
                <c:pt idx="45">
                  <c:v>2928.1357639525736</c:v>
                </c:pt>
                <c:pt idx="46">
                  <c:v>2937.7688415140692</c:v>
                </c:pt>
                <c:pt idx="47">
                  <c:v>2945.5043871573021</c:v>
                </c:pt>
                <c:pt idx="48">
                  <c:v>2951.3613341518844</c:v>
                </c:pt>
                <c:pt idx="49">
                  <c:v>2957.3214606828737</c:v>
                </c:pt>
                <c:pt idx="50">
                  <c:v>2960.8391273963357</c:v>
                </c:pt>
                <c:pt idx="51">
                  <c:v>2963.9453115359011</c:v>
                </c:pt>
                <c:pt idx="52">
                  <c:v>2973.5877048756129</c:v>
                </c:pt>
              </c:numCache>
            </c:numRef>
          </c:yVal>
          <c:smooth val="0"/>
        </c:ser>
        <c:ser>
          <c:idx val="1"/>
          <c:order val="1"/>
          <c:tx>
            <c:v>Italy Asymptote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myData!HisTableItalyDates</c:f>
              <c:numCache>
                <c:formatCode>dd/mm/yy</c:formatCode>
                <c:ptCount val="48"/>
                <c:pt idx="0">
                  <c:v>43904</c:v>
                </c:pt>
                <c:pt idx="1">
                  <c:v>43905</c:v>
                </c:pt>
                <c:pt idx="2">
                  <c:v>43906</c:v>
                </c:pt>
                <c:pt idx="3">
                  <c:v>43907</c:v>
                </c:pt>
                <c:pt idx="4">
                  <c:v>43907</c:v>
                </c:pt>
                <c:pt idx="5">
                  <c:v>43909</c:v>
                </c:pt>
                <c:pt idx="6">
                  <c:v>43910</c:v>
                </c:pt>
                <c:pt idx="7">
                  <c:v>43911</c:v>
                </c:pt>
                <c:pt idx="8">
                  <c:v>43911</c:v>
                </c:pt>
                <c:pt idx="9">
                  <c:v>43911</c:v>
                </c:pt>
                <c:pt idx="10">
                  <c:v>43911</c:v>
                </c:pt>
                <c:pt idx="11">
                  <c:v>43912</c:v>
                </c:pt>
                <c:pt idx="12">
                  <c:v>43912</c:v>
                </c:pt>
                <c:pt idx="13">
                  <c:v>43914</c:v>
                </c:pt>
                <c:pt idx="14">
                  <c:v>43915</c:v>
                </c:pt>
                <c:pt idx="15">
                  <c:v>43915</c:v>
                </c:pt>
                <c:pt idx="16">
                  <c:v>43915</c:v>
                </c:pt>
                <c:pt idx="17">
                  <c:v>43915</c:v>
                </c:pt>
                <c:pt idx="18">
                  <c:v>43915</c:v>
                </c:pt>
                <c:pt idx="19">
                  <c:v>43917</c:v>
                </c:pt>
                <c:pt idx="20">
                  <c:v>43918</c:v>
                </c:pt>
                <c:pt idx="21">
                  <c:v>43920</c:v>
                </c:pt>
                <c:pt idx="22">
                  <c:v>43921</c:v>
                </c:pt>
                <c:pt idx="23">
                  <c:v>43922</c:v>
                </c:pt>
                <c:pt idx="24">
                  <c:v>43923</c:v>
                </c:pt>
                <c:pt idx="25">
                  <c:v>43924</c:v>
                </c:pt>
                <c:pt idx="26">
                  <c:v>43924</c:v>
                </c:pt>
                <c:pt idx="27">
                  <c:v>43925</c:v>
                </c:pt>
                <c:pt idx="28">
                  <c:v>43926</c:v>
                </c:pt>
                <c:pt idx="29">
                  <c:v>43927</c:v>
                </c:pt>
                <c:pt idx="30">
                  <c:v>43929</c:v>
                </c:pt>
                <c:pt idx="31">
                  <c:v>43930</c:v>
                </c:pt>
                <c:pt idx="32">
                  <c:v>43932</c:v>
                </c:pt>
                <c:pt idx="33">
                  <c:v>43932</c:v>
                </c:pt>
                <c:pt idx="34">
                  <c:v>43932</c:v>
                </c:pt>
                <c:pt idx="35">
                  <c:v>43933</c:v>
                </c:pt>
                <c:pt idx="36">
                  <c:v>43933</c:v>
                </c:pt>
                <c:pt idx="37">
                  <c:v>43933</c:v>
                </c:pt>
                <c:pt idx="38">
                  <c:v>43937</c:v>
                </c:pt>
                <c:pt idx="39">
                  <c:v>43938</c:v>
                </c:pt>
                <c:pt idx="40">
                  <c:v>43941</c:v>
                </c:pt>
                <c:pt idx="41">
                  <c:v>43944</c:v>
                </c:pt>
                <c:pt idx="42">
                  <c:v>43946</c:v>
                </c:pt>
                <c:pt idx="43">
                  <c:v>43948</c:v>
                </c:pt>
                <c:pt idx="44">
                  <c:v>43949</c:v>
                </c:pt>
                <c:pt idx="45">
                  <c:v>43950</c:v>
                </c:pt>
                <c:pt idx="46">
                  <c:v>43953</c:v>
                </c:pt>
                <c:pt idx="47">
                  <c:v>43953</c:v>
                </c:pt>
              </c:numCache>
            </c:numRef>
          </c:xVal>
          <c:yVal>
            <c:numRef>
              <c:f>myData!HisTableItalyLimit</c:f>
              <c:numCache>
                <c:formatCode>##0.#E+0</c:formatCode>
                <c:ptCount val="48"/>
                <c:pt idx="0">
                  <c:v>32853.312146806733</c:v>
                </c:pt>
                <c:pt idx="1">
                  <c:v>36357.597379060448</c:v>
                </c:pt>
                <c:pt idx="2">
                  <c:v>42656.90071971056</c:v>
                </c:pt>
                <c:pt idx="3">
                  <c:v>44773.432595385282</c:v>
                </c:pt>
                <c:pt idx="4">
                  <c:v>44773.432595385282</c:v>
                </c:pt>
                <c:pt idx="5">
                  <c:v>47251.221157049207</c:v>
                </c:pt>
                <c:pt idx="6">
                  <c:v>55402.511466544704</c:v>
                </c:pt>
                <c:pt idx="7">
                  <c:v>60634.520713483966</c:v>
                </c:pt>
                <c:pt idx="8">
                  <c:v>60634.520713483966</c:v>
                </c:pt>
                <c:pt idx="9">
                  <c:v>60634.520713483966</c:v>
                </c:pt>
                <c:pt idx="10">
                  <c:v>60634.520713483966</c:v>
                </c:pt>
                <c:pt idx="11">
                  <c:v>65423.849218858661</c:v>
                </c:pt>
                <c:pt idx="12">
                  <c:v>65423.849218858661</c:v>
                </c:pt>
                <c:pt idx="13">
                  <c:v>72185.780764313138</c:v>
                </c:pt>
                <c:pt idx="14">
                  <c:v>76058.397470454249</c:v>
                </c:pt>
                <c:pt idx="15">
                  <c:v>76058.397470454249</c:v>
                </c:pt>
                <c:pt idx="16">
                  <c:v>76058.397470454249</c:v>
                </c:pt>
                <c:pt idx="17">
                  <c:v>76058.397470454249</c:v>
                </c:pt>
                <c:pt idx="18">
                  <c:v>76058.397470454249</c:v>
                </c:pt>
                <c:pt idx="19">
                  <c:v>80460.61645599021</c:v>
                </c:pt>
                <c:pt idx="20">
                  <c:v>85483.180383540035</c:v>
                </c:pt>
                <c:pt idx="21">
                  <c:v>91505.889555524627</c:v>
                </c:pt>
                <c:pt idx="22">
                  <c:v>91583.401761774512</c:v>
                </c:pt>
                <c:pt idx="23">
                  <c:v>97269.773664435765</c:v>
                </c:pt>
                <c:pt idx="24">
                  <c:v>97269.773664435765</c:v>
                </c:pt>
                <c:pt idx="25">
                  <c:v>102829.84275542604</c:v>
                </c:pt>
                <c:pt idx="26">
                  <c:v>102829.84275542604</c:v>
                </c:pt>
                <c:pt idx="27">
                  <c:v>102829.84275542604</c:v>
                </c:pt>
                <c:pt idx="28">
                  <c:v>108292.49738025448</c:v>
                </c:pt>
                <c:pt idx="29">
                  <c:v>108292.49738025448</c:v>
                </c:pt>
                <c:pt idx="30">
                  <c:v>115134.96686570995</c:v>
                </c:pt>
                <c:pt idx="31">
                  <c:v>115134.96686570995</c:v>
                </c:pt>
                <c:pt idx="32">
                  <c:v>122093.38235553101</c:v>
                </c:pt>
                <c:pt idx="33">
                  <c:v>122093.38235553101</c:v>
                </c:pt>
                <c:pt idx="34">
                  <c:v>122093.38235553101</c:v>
                </c:pt>
                <c:pt idx="35">
                  <c:v>122093.38235553101</c:v>
                </c:pt>
                <c:pt idx="36">
                  <c:v>122093.38235553101</c:v>
                </c:pt>
                <c:pt idx="37">
                  <c:v>122093.38235553101</c:v>
                </c:pt>
                <c:pt idx="38">
                  <c:v>132318.28834754485</c:v>
                </c:pt>
                <c:pt idx="39">
                  <c:v>132318.28834754485</c:v>
                </c:pt>
                <c:pt idx="40">
                  <c:v>140645.65484342331</c:v>
                </c:pt>
                <c:pt idx="41">
                  <c:v>146398.44401590657</c:v>
                </c:pt>
                <c:pt idx="42">
                  <c:v>149728.8445748534</c:v>
                </c:pt>
                <c:pt idx="43">
                  <c:v>153344.36610737242</c:v>
                </c:pt>
                <c:pt idx="44">
                  <c:v>153344.36610737242</c:v>
                </c:pt>
                <c:pt idx="45">
                  <c:v>154331.78804735732</c:v>
                </c:pt>
                <c:pt idx="46">
                  <c:v>161385.07927039772</c:v>
                </c:pt>
                <c:pt idx="47">
                  <c:v>161385.07927039772</c:v>
                </c:pt>
              </c:numCache>
            </c:numRef>
          </c:yVal>
          <c:smooth val="0"/>
        </c:ser>
        <c:dLbls>
          <c:showLegendKey val="0"/>
          <c:showVal val="0"/>
          <c:showCatName val="0"/>
          <c:showSerName val="0"/>
          <c:showPercent val="0"/>
          <c:showBubbleSize val="0"/>
        </c:dLbls>
        <c:axId val="983114576"/>
        <c:axId val="983114968"/>
      </c:scatterChart>
      <c:valAx>
        <c:axId val="983114576"/>
        <c:scaling>
          <c:orientation val="minMax"/>
        </c:scaling>
        <c:delete val="0"/>
        <c:axPos val="b"/>
        <c:majorGridlines>
          <c:spPr>
            <a:ln w="9525" cap="flat" cmpd="sng" algn="ctr">
              <a:solidFill>
                <a:schemeClr val="tx1">
                  <a:lumMod val="15000"/>
                  <a:lumOff val="85000"/>
                </a:schemeClr>
              </a:solidFill>
              <a:round/>
            </a:ln>
            <a:effectLst/>
          </c:spPr>
        </c:majorGridlines>
        <c:numFmt formatCode="dd/mm/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14968"/>
        <c:crosses val="autoZero"/>
        <c:crossBetween val="midCat"/>
        <c:majorUnit val="1"/>
        <c:minorUnit val="1"/>
      </c:valAx>
      <c:valAx>
        <c:axId val="983114968"/>
        <c:scaling>
          <c:logBase val="10"/>
          <c:orientation val="minMax"/>
          <c:max val="1000000"/>
          <c:min val="1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14576"/>
        <c:crosses val="autoZero"/>
        <c:crossBetween val="midCat"/>
      </c:valAx>
      <c:spPr>
        <a:noFill/>
        <a:ln>
          <a:noFill/>
        </a:ln>
        <a:effectLst/>
      </c:spPr>
    </c:plotArea>
    <c:legend>
      <c:legendPos val="r"/>
      <c:layout>
        <c:manualLayout>
          <c:xMode val="edge"/>
          <c:yMode val="edge"/>
          <c:x val="0.81865946713561977"/>
          <c:y val="0.68402545755862898"/>
          <c:w val="0.12269632761202429"/>
          <c:h val="7.0442483344547085E-2"/>
        </c:manualLayout>
      </c:layout>
      <c:overlay val="0"/>
      <c:spPr>
        <a:solidFill>
          <a:schemeClr val="bg1">
            <a:lumMod val="95000"/>
            <a:alpha val="71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myData!TitleAllSK</c:f>
          <c:strCache>
            <c:ptCount val="1"/>
            <c:pt idx="0">
              <c:v>COVID 19 Least Sq Err Logistic Eqns at Sun 03-May-2020, Cases per 10 M population</c:v>
            </c:pt>
          </c:strCache>
        </c:strRef>
      </c:tx>
      <c:layout>
        <c:manualLayout>
          <c:xMode val="edge"/>
          <c:yMode val="edge"/>
          <c:x val="0.26633965954750155"/>
          <c:y val="1.2541254885863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155249501375E-2"/>
          <c:y val="8.8784482050240948E-2"/>
          <c:w val="0.45877135106010902"/>
          <c:h val="0.76714659526682405"/>
        </c:manualLayout>
      </c:layout>
      <c:scatterChart>
        <c:scatterStyle val="lineMarker"/>
        <c:varyColors val="0"/>
        <c:ser>
          <c:idx val="3"/>
          <c:order val="0"/>
          <c:tx>
            <c:v>NSW Confirmed Cases</c:v>
          </c:tx>
          <c:spPr>
            <a:ln w="9525"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myData!NSWCases</c:f>
              <c:numCache>
                <c:formatCode>0</c:formatCode>
                <c:ptCount val="9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2956.6831683168316</c:v>
                </c:pt>
                <c:pt idx="69">
                  <c:v>3085.3960396039602</c:v>
                </c:pt>
                <c:pt idx="70">
                  <c:v>3193.0693069306931</c:v>
                </c:pt>
                <c:pt idx="71">
                  <c:v>3263.6138613861385</c:v>
                </c:pt>
                <c:pt idx="72">
                  <c:v>3324.257425742574</c:v>
                </c:pt>
                <c:pt idx="73">
                  <c:v>3383.6633663366333</c:v>
                </c:pt>
                <c:pt idx="74">
                  <c:v>3431.9306930693069</c:v>
                </c:pt>
                <c:pt idx="75">
                  <c:v>3492.5742574257424</c:v>
                </c:pt>
                <c:pt idx="76">
                  <c:v>3535.8910891089108</c:v>
                </c:pt>
                <c:pt idx="77">
                  <c:v>3532.1782178217818</c:v>
                </c:pt>
                <c:pt idx="78">
                  <c:v>3543.3168316831679</c:v>
                </c:pt>
                <c:pt idx="79">
                  <c:v>3551.9801980198017</c:v>
                </c:pt>
                <c:pt idx="80">
                  <c:v>3571.7821782178216</c:v>
                </c:pt>
                <c:pt idx="81">
                  <c:v>3585.3960396039602</c:v>
                </c:pt>
                <c:pt idx="82">
                  <c:v>3621.287128712871</c:v>
                </c:pt>
                <c:pt idx="83">
                  <c:v>3633.6633663366333</c:v>
                </c:pt>
                <c:pt idx="84">
                  <c:v>3659.6534653465346</c:v>
                </c:pt>
                <c:pt idx="85">
                  <c:v>3667.0792079207918</c:v>
                </c:pt>
                <c:pt idx="86">
                  <c:v>3674.5049504950493</c:v>
                </c:pt>
                <c:pt idx="87">
                  <c:v>3676.9801980198017</c:v>
                </c:pt>
                <c:pt idx="88">
                  <c:v>3683.1683168316831</c:v>
                </c:pt>
                <c:pt idx="89">
                  <c:v>3690.5940594059402</c:v>
                </c:pt>
                <c:pt idx="90">
                  <c:v>3705.4455445544554</c:v>
                </c:pt>
                <c:pt idx="91">
                  <c:v>3715.3465346534649</c:v>
                </c:pt>
                <c:pt idx="92">
                  <c:v>3717.8217821782177</c:v>
                </c:pt>
                <c:pt idx="93">
                  <c:v>3724.0099009900987</c:v>
                </c:pt>
                <c:pt idx="94">
                  <c:v>3732.6732673267325</c:v>
                </c:pt>
                <c:pt idx="95">
                  <c:v>3732.6732673267325</c:v>
                </c:pt>
                <c:pt idx="96">
                  <c:v>3743.8118811881186</c:v>
                </c:pt>
                <c:pt idx="97">
                  <c:v>3751.2376237623762</c:v>
                </c:pt>
                <c:pt idx="98">
                  <c:v>3756.1881188118809</c:v>
                </c:pt>
              </c:numCache>
            </c:numRef>
          </c:yVal>
          <c:smooth val="0"/>
        </c:ser>
        <c:ser>
          <c:idx val="4"/>
          <c:order val="1"/>
          <c:tx>
            <c:strRef>
              <c:f>myData!NSWSeries</c:f>
              <c:strCache>
                <c:ptCount val="1"/>
                <c:pt idx="0">
                  <c:v>NSW Limit 3.68 k r^2=99.95%</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myData!NSWLogi</c:f>
              <c:numCache>
                <c:formatCode>0.000</c:formatCode>
                <c:ptCount val="110"/>
                <c:pt idx="0">
                  <c:v>1.9323202711800784E-3</c:v>
                </c:pt>
                <c:pt idx="1">
                  <c:v>2.4424763363982659E-3</c:v>
                </c:pt>
                <c:pt idx="2">
                  <c:v>3.0873196977277656E-3</c:v>
                </c:pt>
                <c:pt idx="3">
                  <c:v>3.9024093429296958E-3</c:v>
                </c:pt>
                <c:pt idx="4">
                  <c:v>4.9326921991622672E-3</c:v>
                </c:pt>
                <c:pt idx="5">
                  <c:v>6.234981621645843E-3</c:v>
                </c:pt>
                <c:pt idx="6">
                  <c:v>7.8810902080967277E-3</c:v>
                </c:pt>
                <c:pt idx="7">
                  <c:v>9.9617896735686873E-3</c:v>
                </c:pt>
                <c:pt idx="8">
                  <c:v>1.2591816115188897E-2</c:v>
                </c:pt>
                <c:pt idx="9">
                  <c:v>1.5916196623209006E-2</c:v>
                </c:pt>
                <c:pt idx="10">
                  <c:v>2.0118246027134322E-2</c:v>
                </c:pt>
                <c:pt idx="11">
                  <c:v>2.542967461259309E-2</c:v>
                </c:pt>
                <c:pt idx="12">
                  <c:v>3.2143363970527056E-2</c:v>
                </c:pt>
                <c:pt idx="13">
                  <c:v>4.0629515141740402E-2</c:v>
                </c:pt>
                <c:pt idx="14">
                  <c:v>5.1356058974076475E-2</c:v>
                </c:pt>
                <c:pt idx="15">
                  <c:v>6.4914453313394321E-2</c:v>
                </c:pt>
                <c:pt idx="16">
                  <c:v>8.2052288171588814E-2</c:v>
                </c:pt>
                <c:pt idx="17">
                  <c:v>0.10371449458831744</c:v>
                </c:pt>
                <c:pt idx="18">
                  <c:v>0.13109542599449503</c:v>
                </c:pt>
                <c:pt idx="19">
                  <c:v>0.16570467828149141</c:v>
                </c:pt>
                <c:pt idx="20">
                  <c:v>0.20945026894132809</c:v>
                </c:pt>
                <c:pt idx="21">
                  <c:v>0.26474374738801643</c:v>
                </c:pt>
                <c:pt idx="22">
                  <c:v>0.33463300915271144</c:v>
                </c:pt>
                <c:pt idx="23">
                  <c:v>0.42297010030836435</c:v>
                </c:pt>
                <c:pt idx="24">
                  <c:v>0.53462320555979392</c:v>
                </c:pt>
                <c:pt idx="25">
                  <c:v>0.67574441409610775</c:v>
                </c:pt>
                <c:pt idx="26">
                  <c:v>0.85410787594612181</c:v>
                </c:pt>
                <c:pt idx="27">
                  <c:v>1.0795367519324917</c:v>
                </c:pt>
                <c:pt idx="28">
                  <c:v>1.3644421110984533</c:v>
                </c:pt>
                <c:pt idx="29">
                  <c:v>1.7245028702952629</c:v>
                </c:pt>
                <c:pt idx="30">
                  <c:v>2.1795232775130127</c:v>
                </c:pt>
                <c:pt idx="31">
                  <c:v>2.7545136398933274</c:v>
                </c:pt>
                <c:pt idx="32">
                  <c:v>3.4810513659712528</c:v>
                </c:pt>
                <c:pt idx="33">
                  <c:v>4.3989933492133915</c:v>
                </c:pt>
                <c:pt idx="34">
                  <c:v>5.5586277073989905</c:v>
                </c:pt>
                <c:pt idx="35">
                  <c:v>7.0233733265760696</c:v>
                </c:pt>
                <c:pt idx="36">
                  <c:v>8.873159845319508</c:v>
                </c:pt>
                <c:pt idx="37">
                  <c:v>11.20864869757489</c:v>
                </c:pt>
                <c:pt idx="38">
                  <c:v>14.15648713140942</c:v>
                </c:pt>
                <c:pt idx="39">
                  <c:v>17.875820312454383</c:v>
                </c:pt>
                <c:pt idx="40">
                  <c:v>22.566318662855505</c:v>
                </c:pt>
                <c:pt idx="41">
                  <c:v>28.478002779700734</c:v>
                </c:pt>
                <c:pt idx="42">
                  <c:v>35.923156707193385</c:v>
                </c:pt>
                <c:pt idx="43">
                  <c:v>45.290595633376824</c:v>
                </c:pt>
                <c:pt idx="44">
                  <c:v>57.062470354452074</c:v>
                </c:pt>
                <c:pt idx="45">
                  <c:v>71.833608831354113</c:v>
                </c:pt>
                <c:pt idx="46">
                  <c:v>90.33305802354559</c:v>
                </c:pt>
                <c:pt idx="47">
                  <c:v>113.44691941965432</c:v>
                </c:pt>
                <c:pt idx="48">
                  <c:v>142.24067232475451</c:v>
                </c:pt>
                <c:pt idx="49">
                  <c:v>177.97784543859348</c:v>
                </c:pt>
                <c:pt idx="50">
                  <c:v>222.13005070843221</c:v>
                </c:pt>
                <c:pt idx="51">
                  <c:v>276.37105102150247</c:v>
                </c:pt>
                <c:pt idx="52">
                  <c:v>342.54493196615931</c:v>
                </c:pt>
                <c:pt idx="53">
                  <c:v>422.59622556080308</c:v>
                </c:pt>
                <c:pt idx="54">
                  <c:v>518.44922906601766</c:v>
                </c:pt>
                <c:pt idx="55">
                  <c:v>631.82670201558562</c:v>
                </c:pt>
                <c:pt idx="56">
                  <c:v>764.00693957768237</c:v>
                </c:pt>
                <c:pt idx="57">
                  <c:v>915.53463390105367</c:v>
                </c:pt>
                <c:pt idx="58">
                  <c:v>1085.924158627887</c:v>
                </c:pt>
                <c:pt idx="59">
                  <c:v>1273.4183928070202</c:v>
                </c:pt>
                <c:pt idx="60">
                  <c:v>1474.8808053122495</c:v>
                </c:pt>
                <c:pt idx="61">
                  <c:v>1685.8896953354424</c:v>
                </c:pt>
                <c:pt idx="62">
                  <c:v>1901.0633540670383</c:v>
                </c:pt>
                <c:pt idx="63">
                  <c:v>2114.5805550109835</c:v>
                </c:pt>
                <c:pt idx="64">
                  <c:v>2320.7963855332187</c:v>
                </c:pt>
                <c:pt idx="65">
                  <c:v>2514.8194031077237</c:v>
                </c:pt>
                <c:pt idx="66">
                  <c:v>2692.9300903149101</c:v>
                </c:pt>
                <c:pt idx="67">
                  <c:v>2852.7752226636558</c:v>
                </c:pt>
                <c:pt idx="68">
                  <c:v>2993.3408699389606</c:v>
                </c:pt>
                <c:pt idx="69" formatCode="0.00E+00">
                  <c:v>3114.7593598942085</c:v>
                </c:pt>
                <c:pt idx="70" formatCode="0.00E+00">
                  <c:v>3218.027679989124</c:v>
                </c:pt>
                <c:pt idx="71" formatCode="0.00E+00">
                  <c:v>3304.7087959552191</c:v>
                </c:pt>
                <c:pt idx="72" formatCode="0.00E+00">
                  <c:v>3376.6655307539727</c:v>
                </c:pt>
                <c:pt idx="73" formatCode="0.00E+00">
                  <c:v>3435.8518546389728</c:v>
                </c:pt>
                <c:pt idx="74" formatCode="0.00E+00">
                  <c:v>3484.1667381930329</c:v>
                </c:pt>
                <c:pt idx="75" formatCode="0.00E+00">
                  <c:v>3523.3637239193954</c:v>
                </c:pt>
                <c:pt idx="76" formatCode="0.00E+00">
                  <c:v>3555.0041657368256</c:v>
                </c:pt>
                <c:pt idx="77" formatCode="0.00E+00">
                  <c:v>3580.4414251336939</c:v>
                </c:pt>
                <c:pt idx="78" formatCode="0.00E+00">
                  <c:v>3600.8250260570503</c:v>
                </c:pt>
                <c:pt idx="79" formatCode="0.00E+00">
                  <c:v>3617.1163168005223</c:v>
                </c:pt>
                <c:pt idx="80" formatCode="0.00E+00">
                  <c:v>3630.1096898980309</c:v>
                </c:pt>
                <c:pt idx="81" formatCode="0.00E+00">
                  <c:v>3640.4554843134551</c:v>
                </c:pt>
                <c:pt idx="82" formatCode="0.00E+00">
                  <c:v>3648.6822442442831</c:v>
                </c:pt>
                <c:pt idx="83" formatCode="0.00E+00">
                  <c:v>3655.2170842499941</c:v>
                </c:pt>
                <c:pt idx="84" formatCode="0.00E+00">
                  <c:v>3660.4036104462061</c:v>
                </c:pt>
                <c:pt idx="85" formatCode="0.00E+00">
                  <c:v>3664.5172748537816</c:v>
                </c:pt>
                <c:pt idx="86" formatCode="0.00E+00">
                  <c:v>3667.7782811959269</c:v>
                </c:pt>
                <c:pt idx="87" formatCode="0.00E+00">
                  <c:v>3670.3622810700244</c:v>
                </c:pt>
                <c:pt idx="88" formatCode="0.00E+00">
                  <c:v>3672.4091458764838</c:v>
                </c:pt>
                <c:pt idx="89" formatCode="0.00E+00">
                  <c:v>3674.0301033495602</c:v>
                </c:pt>
                <c:pt idx="90" formatCode="0.00E+00">
                  <c:v>3675.3135080819206</c:v>
                </c:pt>
                <c:pt idx="91" formatCode="0.00E+00">
                  <c:v>3676.3294854607248</c:v>
                </c:pt>
                <c:pt idx="92" formatCode="0.00E+00">
                  <c:v>3677.1336552397916</c:v>
                </c:pt>
                <c:pt idx="93" formatCode="0.00E+00">
                  <c:v>3677.7701086008828</c:v>
                </c:pt>
                <c:pt idx="94" formatCode="0.00E+00">
                  <c:v>3678.2737830326992</c:v>
                </c:pt>
                <c:pt idx="95" formatCode="0.00E+00">
                  <c:v>3678.6723535036722</c:v>
                </c:pt>
                <c:pt idx="96" formatCode="0.00E+00">
                  <c:v>3678.9877363680048</c:v>
                </c:pt>
                <c:pt idx="97" formatCode="0.00E+00">
                  <c:v>3679.2372840080629</c:v>
                </c:pt>
                <c:pt idx="98" formatCode="0.00E+00">
                  <c:v>3679.4347329976172</c:v>
                </c:pt>
                <c:pt idx="99" formatCode="0.00E+00">
                  <c:v>3679.5909561315093</c:v>
                </c:pt>
                <c:pt idx="100">
                  <c:v>3679.7145585754411</c:v>
                </c:pt>
                <c:pt idx="101">
                  <c:v>3679.8123502477015</c:v>
                </c:pt>
                <c:pt idx="102">
                  <c:v>3680.1109394698587</c:v>
                </c:pt>
                <c:pt idx="103" formatCode="0.00E+00">
                  <c:v>3680.1688632632272</c:v>
                </c:pt>
                <c:pt idx="104" formatCode="0.00E+00">
                  <c:v>3680.1800991137111</c:v>
                </c:pt>
                <c:pt idx="105" formatCode="0.00E+00">
                  <c:v>3680.1822785708309</c:v>
                </c:pt>
                <c:pt idx="106">
                  <c:v>3680.1827013264901</c:v>
                </c:pt>
                <c:pt idx="107">
                  <c:v>3680.1827833295929</c:v>
                </c:pt>
                <c:pt idx="108">
                  <c:v>3680.1827992359631</c:v>
                </c:pt>
                <c:pt idx="109">
                  <c:v>3680.1828023213657</c:v>
                </c:pt>
              </c:numCache>
            </c:numRef>
          </c:yVal>
          <c:smooth val="0"/>
        </c:ser>
        <c:ser>
          <c:idx val="1"/>
          <c:order val="2"/>
          <c:tx>
            <c:v>Italy Confirmed Cases</c:v>
          </c:tx>
          <c:spPr>
            <a:ln w="6350" cap="rnd">
              <a:solidFill>
                <a:srgbClr val="FF0000"/>
              </a:solidFill>
              <a:round/>
            </a:ln>
            <a:effectLst/>
          </c:spPr>
          <c:marker>
            <c:symbol val="circle"/>
            <c:size val="4"/>
            <c:spPr>
              <a:solidFill>
                <a:srgbClr val="FF0000"/>
              </a:solidFill>
              <a:ln w="9525">
                <a:solidFill>
                  <a:schemeClr val="accent2"/>
                </a:solidFill>
              </a:ln>
              <a:effectLst/>
            </c:spPr>
          </c:marker>
          <c:xVal>
            <c:numRef>
              <c:f>myData!ItalyDates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myData!ItalyCases</c:f>
              <c:numCache>
                <c:formatCode>0.0</c:formatCode>
                <c:ptCount val="93"/>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c:v>10.250475324460611</c:v>
                </c:pt>
                <c:pt idx="23">
                  <c:v>25.626188311151527</c:v>
                </c:pt>
                <c:pt idx="24">
                  <c:v>37.860626601636774</c:v>
                </c:pt>
                <c:pt idx="25">
                  <c:v>53.236339588327688</c:v>
                </c:pt>
                <c:pt idx="26">
                  <c:v>74.894601967429949</c:v>
                </c:pt>
                <c:pt idx="27">
                  <c:v>108.29131189551129</c:v>
                </c:pt>
                <c:pt idx="28">
                  <c:v>146.81325948582293</c:v>
                </c:pt>
                <c:pt idx="29">
                  <c:v>186.49251880631562</c:v>
                </c:pt>
                <c:pt idx="30">
                  <c:v>280.06943870381087</c:v>
                </c:pt>
                <c:pt idx="31">
                  <c:v>336.61238323551294</c:v>
                </c:pt>
                <c:pt idx="32">
                  <c:v>413.65627841613627</c:v>
                </c:pt>
                <c:pt idx="33">
                  <c:v>510.70513350417463</c:v>
                </c:pt>
                <c:pt idx="34">
                  <c:v>637.84409357691993</c:v>
                </c:pt>
                <c:pt idx="35">
                  <c:v>766.47102587418374</c:v>
                </c:pt>
                <c:pt idx="36">
                  <c:v>972.63784409357697</c:v>
                </c:pt>
                <c:pt idx="37">
                  <c:v>1219.3105728693065</c:v>
                </c:pt>
                <c:pt idx="38">
                  <c:v>1516.4090270314955</c:v>
                </c:pt>
                <c:pt idx="39">
                  <c:v>1677.9366785153345</c:v>
                </c:pt>
                <c:pt idx="40">
                  <c:v>2060.3455402165828</c:v>
                </c:pt>
                <c:pt idx="41">
                  <c:v>2060.3455402165828</c:v>
                </c:pt>
                <c:pt idx="42">
                  <c:v>2919.732164999587</c:v>
                </c:pt>
                <c:pt idx="43">
                  <c:v>3497.8920393485992</c:v>
                </c:pt>
                <c:pt idx="44">
                  <c:v>4091.4276266843021</c:v>
                </c:pt>
                <c:pt idx="45">
                  <c:v>4625.9403157807719</c:v>
                </c:pt>
                <c:pt idx="46">
                  <c:v>5208.8947672976774</c:v>
                </c:pt>
                <c:pt idx="47">
                  <c:v>5904.4391171364805</c:v>
                </c:pt>
                <c:pt idx="48">
                  <c:v>6784.3266925684056</c:v>
                </c:pt>
                <c:pt idx="49">
                  <c:v>7773.9935521203606</c:v>
                </c:pt>
                <c:pt idx="50">
                  <c:v>8858.0639828056555</c:v>
                </c:pt>
                <c:pt idx="51">
                  <c:v>9777.3001570637352</c:v>
                </c:pt>
                <c:pt idx="52">
                  <c:v>10569.066710754732</c:v>
                </c:pt>
                <c:pt idx="53">
                  <c:v>11436.885178143342</c:v>
                </c:pt>
                <c:pt idx="54">
                  <c:v>12298.255765892371</c:v>
                </c:pt>
                <c:pt idx="55">
                  <c:v>13323.799289079938</c:v>
                </c:pt>
                <c:pt idx="56">
                  <c:v>14300.735719599901</c:v>
                </c:pt>
                <c:pt idx="57">
                  <c:v>15288.418616185832</c:v>
                </c:pt>
                <c:pt idx="58">
                  <c:v>16150.946515665042</c:v>
                </c:pt>
                <c:pt idx="59">
                  <c:v>16820.534016698355</c:v>
                </c:pt>
                <c:pt idx="60">
                  <c:v>17490.617508473177</c:v>
                </c:pt>
                <c:pt idx="61">
                  <c:v>18281.226750433994</c:v>
                </c:pt>
                <c:pt idx="62">
                  <c:v>19052.988344217574</c:v>
                </c:pt>
                <c:pt idx="63">
                  <c:v>19811.027527486156</c:v>
                </c:pt>
                <c:pt idx="64">
                  <c:v>20605.439365131853</c:v>
                </c:pt>
                <c:pt idx="65">
                  <c:v>21319.004711912046</c:v>
                </c:pt>
                <c:pt idx="66">
                  <c:v>21914.028271472267</c:v>
                </c:pt>
                <c:pt idx="67">
                  <c:v>22416.466892618006</c:v>
                </c:pt>
                <c:pt idx="68">
                  <c:v>23050.673720757215</c:v>
                </c:pt>
                <c:pt idx="69">
                  <c:v>23745.72207985451</c:v>
                </c:pt>
                <c:pt idx="70">
                  <c:v>24398.941886418121</c:v>
                </c:pt>
                <c:pt idx="71">
                  <c:v>25175.002066628091</c:v>
                </c:pt>
                <c:pt idx="72">
                  <c:v>25851.53343804249</c:v>
                </c:pt>
                <c:pt idx="73">
                  <c:v>26372.819707365463</c:v>
                </c:pt>
                <c:pt idx="74">
                  <c:v>26864.181201950898</c:v>
                </c:pt>
                <c:pt idx="75">
                  <c:v>27305.116971149873</c:v>
                </c:pt>
                <c:pt idx="76">
                  <c:v>27931.057286930645</c:v>
                </c:pt>
                <c:pt idx="77">
                  <c:v>28508.555840290981</c:v>
                </c:pt>
                <c:pt idx="78">
                  <c:v>29085.723733156981</c:v>
                </c:pt>
                <c:pt idx="79">
                  <c:v>29589.484996280069</c:v>
                </c:pt>
                <c:pt idx="80">
                  <c:v>29962.470033892703</c:v>
                </c:pt>
                <c:pt idx="81">
                  <c:v>30413.656278416136</c:v>
                </c:pt>
                <c:pt idx="82">
                  <c:v>30970.819211374721</c:v>
                </c:pt>
                <c:pt idx="83">
                  <c:v>31408.283045383156</c:v>
                </c:pt>
                <c:pt idx="84">
                  <c:v>31907.745722079857</c:v>
                </c:pt>
                <c:pt idx="85">
                  <c:v>32297.429114656527</c:v>
                </c:pt>
                <c:pt idx="86">
                  <c:v>32681.656609076632</c:v>
                </c:pt>
                <c:pt idx="87">
                  <c:v>32969.165908903036</c:v>
                </c:pt>
                <c:pt idx="88">
                  <c:v>33314.871455732828</c:v>
                </c:pt>
                <c:pt idx="89">
                  <c:v>33659.750351326773</c:v>
                </c:pt>
                <c:pt idx="90">
                  <c:v>33969.24857402662</c:v>
                </c:pt>
                <c:pt idx="91">
                  <c:v>34294.122509713154</c:v>
                </c:pt>
                <c:pt idx="92">
                  <c:v>34608.249979333719</c:v>
                </c:pt>
              </c:numCache>
            </c:numRef>
          </c:yVal>
          <c:smooth val="0"/>
        </c:ser>
        <c:ser>
          <c:idx val="0"/>
          <c:order val="3"/>
          <c:tx>
            <c:strRef>
              <c:f>myData!ItalySeries</c:f>
              <c:strCache>
                <c:ptCount val="1"/>
                <c:pt idx="0">
                  <c:v>Italy Limit 26.7 k r^2=90.76%</c:v>
                </c:pt>
              </c:strCache>
            </c:strRef>
          </c:tx>
          <c:spPr>
            <a:ln w="12700" cap="rnd">
              <a:solidFill>
                <a:srgbClr val="FF0000"/>
              </a:solidFill>
              <a:prstDash val="sysDash"/>
              <a:round/>
            </a:ln>
            <a:effectLst/>
          </c:spPr>
          <c:marker>
            <c:symbol val="none"/>
          </c:marker>
          <c:xVal>
            <c:numRef>
              <c:f>myData!ItalyLogiDates</c:f>
              <c:numCache>
                <c:formatCode>m/d/yyyy</c:formatCode>
                <c:ptCount val="105"/>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pt idx="93">
                  <c:v>43954</c:v>
                </c:pt>
                <c:pt idx="94">
                  <c:v>43955</c:v>
                </c:pt>
                <c:pt idx="95">
                  <c:v>43956</c:v>
                </c:pt>
                <c:pt idx="96">
                  <c:v>43957</c:v>
                </c:pt>
                <c:pt idx="97">
                  <c:v>43964</c:v>
                </c:pt>
                <c:pt idx="98">
                  <c:v>43971</c:v>
                </c:pt>
                <c:pt idx="99">
                  <c:v>43978</c:v>
                </c:pt>
                <c:pt idx="100">
                  <c:v>43985</c:v>
                </c:pt>
                <c:pt idx="101">
                  <c:v>43992</c:v>
                </c:pt>
                <c:pt idx="102">
                  <c:v>43999</c:v>
                </c:pt>
                <c:pt idx="103">
                  <c:v>44006</c:v>
                </c:pt>
                <c:pt idx="104">
                  <c:v>44013</c:v>
                </c:pt>
              </c:numCache>
            </c:numRef>
          </c:xVal>
          <c:yVal>
            <c:numRef>
              <c:f>myData!ItalyLogi</c:f>
              <c:numCache>
                <c:formatCode>0.0</c:formatCode>
                <c:ptCount val="105"/>
                <c:pt idx="0">
                  <c:v>9.4319527547555293E-2</c:v>
                </c:pt>
                <c:pt idx="1">
                  <c:v>0.12149455820816397</c:v>
                </c:pt>
                <c:pt idx="2">
                  <c:v>0.15649912299719076</c:v>
                </c:pt>
                <c:pt idx="3">
                  <c:v>0.20158899791412627</c:v>
                </c:pt>
                <c:pt idx="4">
                  <c:v>0.25966985319378766</c:v>
                </c:pt>
                <c:pt idx="5">
                  <c:v>0.33448447616768234</c:v>
                </c:pt>
                <c:pt idx="6">
                  <c:v>0.43085392099664788</c:v>
                </c:pt>
                <c:pt idx="7">
                  <c:v>0.55498811242163526</c:v>
                </c:pt>
                <c:pt idx="8">
                  <c:v>0.71488589763593113</c:v>
                </c:pt>
                <c:pt idx="9">
                  <c:v>0.92085028993716922</c:v>
                </c:pt>
                <c:pt idx="10">
                  <c:v>1.1861520466036888</c:v>
                </c:pt>
                <c:pt idx="11">
                  <c:v>1.5278842418080443</c:v>
                </c:pt>
                <c:pt idx="12">
                  <c:v>1.968062736022371</c:v>
                </c:pt>
                <c:pt idx="13">
                  <c:v>2.5350431773579438</c:v>
                </c:pt>
                <c:pt idx="14">
                  <c:v>3.2653453821171445</c:v>
                </c:pt>
                <c:pt idx="15">
                  <c:v>4.2060018852081189</c:v>
                </c:pt>
                <c:pt idx="16">
                  <c:v>5.4175807169099581</c:v>
                </c:pt>
                <c:pt idx="17">
                  <c:v>6.9780750603904869</c:v>
                </c:pt>
                <c:pt idx="18">
                  <c:v>8.987906897289486</c:v>
                </c:pt>
                <c:pt idx="19" formatCode="0">
                  <c:v>11.576361197749186</c:v>
                </c:pt>
                <c:pt idx="20" formatCode="0">
                  <c:v>14.909855523149005</c:v>
                </c:pt>
                <c:pt idx="21" formatCode="0">
                  <c:v>19.202561768875942</c:v>
                </c:pt>
                <c:pt idx="22" formatCode="0">
                  <c:v>24.730037726544385</c:v>
                </c:pt>
                <c:pt idx="23" formatCode="0">
                  <c:v>31.846702530948502</c:v>
                </c:pt>
                <c:pt idx="24" formatCode="0">
                  <c:v>41.008208727584538</c:v>
                </c:pt>
                <c:pt idx="25" formatCode="0">
                  <c:v>52.800031324427046</c:v>
                </c:pt>
                <c:pt idx="26" formatCode="0">
                  <c:v>67.973915870243303</c:v>
                </c:pt>
                <c:pt idx="27" formatCode="0">
                  <c:v>87.494204228525732</c:v>
                </c:pt>
                <c:pt idx="28" formatCode="0">
                  <c:v>112.59648035891601</c:v>
                </c:pt>
                <c:pt idx="29" formatCode="0">
                  <c:v>144.86142442829504</c:v>
                </c:pt>
                <c:pt idx="30" formatCode="0">
                  <c:v>186.30717761188527</c:v>
                </c:pt>
                <c:pt idx="31" formatCode="0">
                  <c:v>239.50379734378745</c:v>
                </c:pt>
                <c:pt idx="32" formatCode="0">
                  <c:v>307.71333696252458</c:v>
                </c:pt>
                <c:pt idx="33" formatCode="0">
                  <c:v>395.05840021142262</c:v>
                </c:pt>
                <c:pt idx="34" formatCode="0">
                  <c:v>506.72019530733627</c:v>
                </c:pt>
                <c:pt idx="35" formatCode="0">
                  <c:v>649.163376127883</c:v>
                </c:pt>
                <c:pt idx="36" formatCode="0">
                  <c:v>830.3782083809582</c:v>
                </c:pt>
                <c:pt idx="37" formatCode="0">
                  <c:v>1060.1193946728774</c:v>
                </c:pt>
                <c:pt idx="38" formatCode="0">
                  <c:v>1350.10361330397</c:v>
                </c:pt>
                <c:pt idx="39" formatCode="0">
                  <c:v>1714.1032075128903</c:v>
                </c:pt>
                <c:pt idx="40" formatCode="0">
                  <c:v>2167.8418193639991</c:v>
                </c:pt>
                <c:pt idx="41" formatCode="0">
                  <c:v>2728.5632323224359</c:v>
                </c:pt>
                <c:pt idx="42" formatCode="0">
                  <c:v>3414.118536188962</c:v>
                </c:pt>
                <c:pt idx="43" formatCode="0">
                  <c:v>4241.4207285673319</c:v>
                </c:pt>
                <c:pt idx="44" formatCode="0">
                  <c:v>5224.1825377232135</c:v>
                </c:pt>
                <c:pt idx="45" formatCode="0">
                  <c:v>6370.0169233749111</c:v>
                </c:pt>
                <c:pt idx="46" formatCode="0">
                  <c:v>7677.2518534716501</c:v>
                </c:pt>
                <c:pt idx="47" formatCode="0">
                  <c:v>9132.141439709354</c:v>
                </c:pt>
                <c:pt idx="48" formatCode="0">
                  <c:v>10707.403293036923</c:v>
                </c:pt>
                <c:pt idx="49" formatCode="0">
                  <c:v>12362.972668598062</c:v>
                </c:pt>
                <c:pt idx="50" formatCode="0">
                  <c:v>14049.389926771717</c:v>
                </c:pt>
                <c:pt idx="51" formatCode="0">
                  <c:v>15713.4029658457</c:v>
                </c:pt>
                <c:pt idx="52" formatCode="0">
                  <c:v>17304.524192570669</c:v>
                </c:pt>
                <c:pt idx="53" formatCode="0">
                  <c:v>18780.888378182644</c:v>
                </c:pt>
                <c:pt idx="54" formatCode="0">
                  <c:v>20113.047380114629</c:v>
                </c:pt>
                <c:pt idx="55" formatCode="0">
                  <c:v>21285.136744478561</c:v>
                </c:pt>
                <c:pt idx="56" formatCode="0">
                  <c:v>22293.715099281151</c:v>
                </c:pt>
                <c:pt idx="57" formatCode="0">
                  <c:v>23145.121706068341</c:v>
                </c:pt>
                <c:pt idx="58" formatCode="0">
                  <c:v>23852.300433501554</c:v>
                </c:pt>
                <c:pt idx="59" formatCode="0">
                  <c:v>24431.822438348365</c:v>
                </c:pt>
                <c:pt idx="60" formatCode="0">
                  <c:v>24901.51069681322</c:v>
                </c:pt>
                <c:pt idx="61" formatCode="0">
                  <c:v>25278.782494527903</c:v>
                </c:pt>
                <c:pt idx="62" formatCode="0">
                  <c:v>25579.6446071957</c:v>
                </c:pt>
                <c:pt idx="63" formatCode="0">
                  <c:v>25818.195796411841</c:v>
                </c:pt>
                <c:pt idx="64" formatCode="0">
                  <c:v>26006.479614044893</c:v>
                </c:pt>
                <c:pt idx="65" formatCode="0">
                  <c:v>26154.553599475301</c:v>
                </c:pt>
                <c:pt idx="66" formatCode="0">
                  <c:v>26270.675137727121</c:v>
                </c:pt>
                <c:pt idx="67" formatCode="0">
                  <c:v>26361.536771338855</c:v>
                </c:pt>
                <c:pt idx="68" formatCode="0">
                  <c:v>26432.509590004611</c:v>
                </c:pt>
                <c:pt idx="69" formatCode="0">
                  <c:v>26487.871713755019</c:v>
                </c:pt>
                <c:pt idx="70" formatCode="0">
                  <c:v>26531.010953830308</c:v>
                </c:pt>
                <c:pt idx="71" formatCode="0">
                  <c:v>26564.598093789271</c:v>
                </c:pt>
                <c:pt idx="72" formatCode="0">
                  <c:v>26590.731369834783</c:v>
                </c:pt>
                <c:pt idx="73" formatCode="0">
                  <c:v>26611.054801604278</c:v>
                </c:pt>
                <c:pt idx="74" formatCode="0">
                  <c:v>26626.853851255484</c:v>
                </c:pt>
                <c:pt idx="75" formatCode="0">
                  <c:v>26639.132011378493</c:v>
                </c:pt>
                <c:pt idx="76" formatCode="0">
                  <c:v>26648.671681402164</c:v>
                </c:pt>
                <c:pt idx="77" formatCode="0">
                  <c:v>26656.082291287421</c:v>
                </c:pt>
                <c:pt idx="78" formatCode="0">
                  <c:v>26661.838185741926</c:v>
                </c:pt>
                <c:pt idx="79" formatCode="0">
                  <c:v>26666.308352721691</c:v>
                </c:pt>
                <c:pt idx="80" formatCode="0">
                  <c:v>26669.779694972924</c:v>
                </c:pt>
                <c:pt idx="81" formatCode="0">
                  <c:v>26672.475212785157</c:v>
                </c:pt>
                <c:pt idx="82" formatCode="0">
                  <c:v>26674.568190112601</c:v>
                </c:pt>
                <c:pt idx="83" formatCode="0">
                  <c:v>26676.193250135853</c:v>
                </c:pt>
                <c:pt idx="84" formatCode="0">
                  <c:v>26677.454963643617</c:v>
                </c:pt>
                <c:pt idx="85" formatCode="0">
                  <c:v>26678.434547429631</c:v>
                </c:pt>
                <c:pt idx="86" formatCode="0">
                  <c:v>26679.195073775736</c:v>
                </c:pt>
                <c:pt idx="87" formatCode="0">
                  <c:v>26679.78552034486</c:v>
                </c:pt>
                <c:pt idx="88" formatCode="0">
                  <c:v>26680.24391761727</c:v>
                </c:pt>
                <c:pt idx="89" formatCode="0">
                  <c:v>26680.599794376958</c:v>
                </c:pt>
                <c:pt idx="90" formatCode="0">
                  <c:v>26680.876077442303</c:v>
                </c:pt>
                <c:pt idx="91" formatCode="0">
                  <c:v>26681.090567221705</c:v>
                </c:pt>
                <c:pt idx="92" formatCode="0">
                  <c:v>26681.257083675166</c:v>
                </c:pt>
                <c:pt idx="93" formatCode="0">
                  <c:v>26681.386356225059</c:v>
                </c:pt>
                <c:pt idx="94" formatCode="0">
                  <c:v>26681.486714780454</c:v>
                </c:pt>
                <c:pt idx="95" formatCode="0">
                  <c:v>26681.564626295793</c:v>
                </c:pt>
                <c:pt idx="96" formatCode="0">
                  <c:v>26681.625111374771</c:v>
                </c:pt>
                <c:pt idx="97" formatCode="0">
                  <c:v>26681.799367527132</c:v>
                </c:pt>
                <c:pt idx="98" formatCode="0">
                  <c:v>26681.828981854735</c:v>
                </c:pt>
                <c:pt idx="99" formatCode="0">
                  <c:v>26681.834014691878</c:v>
                </c:pt>
                <c:pt idx="100" formatCode="0">
                  <c:v>26681.83487000161</c:v>
                </c:pt>
                <c:pt idx="101" formatCode="0">
                  <c:v>26681.835015357909</c:v>
                </c:pt>
                <c:pt idx="102" formatCode="0">
                  <c:v>26681.835040060607</c:v>
                </c:pt>
                <c:pt idx="103" formatCode="0">
                  <c:v>26681.835044258722</c:v>
                </c:pt>
                <c:pt idx="104" formatCode="0">
                  <c:v>26681.835044972173</c:v>
                </c:pt>
              </c:numCache>
            </c:numRef>
          </c:yVal>
          <c:smooth val="0"/>
        </c:ser>
        <c:ser>
          <c:idx val="2"/>
          <c:order val="4"/>
          <c:tx>
            <c:v>SKorea Confirmed Cases</c:v>
          </c:tx>
          <c:spPr>
            <a:ln w="9525"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myData!SKoreaDates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myData!SKoreaCases</c:f>
              <c:numCache>
                <c:formatCode>0.0</c:formatCode>
                <c:ptCount val="102"/>
                <c:pt idx="0">
                  <c:v>0.19455252918287938</c:v>
                </c:pt>
                <c:pt idx="1">
                  <c:v>0.19455252918287938</c:v>
                </c:pt>
                <c:pt idx="2">
                  <c:v>0.38910505836575876</c:v>
                </c:pt>
                <c:pt idx="3">
                  <c:v>0.38910505836575876</c:v>
                </c:pt>
                <c:pt idx="4">
                  <c:v>0.58365758754863817</c:v>
                </c:pt>
                <c:pt idx="5">
                  <c:v>0.77821011673151752</c:v>
                </c:pt>
                <c:pt idx="6">
                  <c:v>0.77821011673151752</c:v>
                </c:pt>
                <c:pt idx="7">
                  <c:v>0.77821011673151752</c:v>
                </c:pt>
                <c:pt idx="8">
                  <c:v>0.77821011673151752</c:v>
                </c:pt>
                <c:pt idx="9">
                  <c:v>2.1400778210116731</c:v>
                </c:pt>
                <c:pt idx="10">
                  <c:v>2.3346303501945527</c:v>
                </c:pt>
                <c:pt idx="11">
                  <c:v>2.918287937743191</c:v>
                </c:pt>
                <c:pt idx="12">
                  <c:v>2.918287937743191</c:v>
                </c:pt>
                <c:pt idx="13">
                  <c:v>3.1128404669260701</c:v>
                </c:pt>
                <c:pt idx="14">
                  <c:v>3.6964980544747084</c:v>
                </c:pt>
                <c:pt idx="15">
                  <c:v>4.4747081712062258</c:v>
                </c:pt>
                <c:pt idx="16">
                  <c:v>4.6692607003891053</c:v>
                </c:pt>
                <c:pt idx="17">
                  <c:v>4.6692607003891053</c:v>
                </c:pt>
                <c:pt idx="18">
                  <c:v>4.8638132295719849</c:v>
                </c:pt>
                <c:pt idx="19">
                  <c:v>5.2529182879377432</c:v>
                </c:pt>
                <c:pt idx="20">
                  <c:v>5.4474708171206228</c:v>
                </c:pt>
                <c:pt idx="21">
                  <c:v>5.4474708171206228</c:v>
                </c:pt>
                <c:pt idx="22">
                  <c:v>5.4474708171206228</c:v>
                </c:pt>
                <c:pt idx="23">
                  <c:v>5.4474708171206228</c:v>
                </c:pt>
                <c:pt idx="24">
                  <c:v>5.4474708171206228</c:v>
                </c:pt>
                <c:pt idx="25">
                  <c:v>5.6420233463035023</c:v>
                </c:pt>
                <c:pt idx="26">
                  <c:v>5.8365758754863819</c:v>
                </c:pt>
                <c:pt idx="27">
                  <c:v>6.0311284046692615</c:v>
                </c:pt>
                <c:pt idx="28">
                  <c:v>6.0311284046692615</c:v>
                </c:pt>
                <c:pt idx="29">
                  <c:v>20.233463035019458</c:v>
                </c:pt>
                <c:pt idx="30">
                  <c:v>39.688715953307394</c:v>
                </c:pt>
                <c:pt idx="31">
                  <c:v>84.241245136186777</c:v>
                </c:pt>
                <c:pt idx="32">
                  <c:v>117.1206225680934</c:v>
                </c:pt>
                <c:pt idx="33">
                  <c:v>162.06225680933852</c:v>
                </c:pt>
                <c:pt idx="34">
                  <c:v>190.07782101167317</c:v>
                </c:pt>
                <c:pt idx="35">
                  <c:v>245.33073929961091</c:v>
                </c:pt>
                <c:pt idx="36">
                  <c:v>343.579766536965</c:v>
                </c:pt>
                <c:pt idx="37">
                  <c:v>454.66926070038915</c:v>
                </c:pt>
                <c:pt idx="38">
                  <c:v>612.84046692607012</c:v>
                </c:pt>
                <c:pt idx="39">
                  <c:v>726.84824902723744</c:v>
                </c:pt>
                <c:pt idx="40">
                  <c:v>843.38521400778211</c:v>
                </c:pt>
                <c:pt idx="41">
                  <c:v>1008.9494163424125</c:v>
                </c:pt>
                <c:pt idx="42">
                  <c:v>1093.5797665369651</c:v>
                </c:pt>
                <c:pt idx="43">
                  <c:v>1184.4357976653698</c:v>
                </c:pt>
                <c:pt idx="44">
                  <c:v>1282.6848249027239</c:v>
                </c:pt>
                <c:pt idx="45">
                  <c:v>1369.8443579766538</c:v>
                </c:pt>
                <c:pt idx="46">
                  <c:v>1422.95719844358</c:v>
                </c:pt>
                <c:pt idx="47">
                  <c:v>1454.8638132295721</c:v>
                </c:pt>
                <c:pt idx="48">
                  <c:v>1461.6731517509729</c:v>
                </c:pt>
                <c:pt idx="49">
                  <c:v>1508.7548638132296</c:v>
                </c:pt>
                <c:pt idx="50">
                  <c:v>1530.933852140078</c:v>
                </c:pt>
                <c:pt idx="51">
                  <c:v>1552.3346303501946</c:v>
                </c:pt>
                <c:pt idx="52">
                  <c:v>1573.1517509727628</c:v>
                </c:pt>
                <c:pt idx="53">
                  <c:v>1587.9377431906616</c:v>
                </c:pt>
                <c:pt idx="54">
                  <c:v>1602.3346303501946</c:v>
                </c:pt>
                <c:pt idx="55">
                  <c:v>1618.6770428015566</c:v>
                </c:pt>
                <c:pt idx="56">
                  <c:v>1636.7704280155642</c:v>
                </c:pt>
                <c:pt idx="57">
                  <c:v>1666.342412451362</c:v>
                </c:pt>
                <c:pt idx="58">
                  <c:v>1683.2684824902724</c:v>
                </c:pt>
                <c:pt idx="59">
                  <c:v>1711.8677042801557</c:v>
                </c:pt>
                <c:pt idx="60">
                  <c:v>1743.3852140077822</c:v>
                </c:pt>
                <c:pt idx="61">
                  <c:v>1743.3852140077822</c:v>
                </c:pt>
                <c:pt idx="62">
                  <c:v>1758.1712062256811</c:v>
                </c:pt>
                <c:pt idx="63">
                  <c:v>1777.626459143969</c:v>
                </c:pt>
                <c:pt idx="64">
                  <c:v>1797.8599221789884</c:v>
                </c:pt>
                <c:pt idx="65">
                  <c:v>1815.5642023346304</c:v>
                </c:pt>
                <c:pt idx="66">
                  <c:v>1843.9688715953309</c:v>
                </c:pt>
                <c:pt idx="67">
                  <c:v>1864.3968871595332</c:v>
                </c:pt>
                <c:pt idx="68">
                  <c:v>1879.5719844357977</c:v>
                </c:pt>
                <c:pt idx="69">
                  <c:v>1903.8910505836577</c:v>
                </c:pt>
                <c:pt idx="70">
                  <c:v>1923.5408560311284</c:v>
                </c:pt>
                <c:pt idx="71">
                  <c:v>1940.8560311284048</c:v>
                </c:pt>
                <c:pt idx="72">
                  <c:v>1957.5875486381324</c:v>
                </c:pt>
                <c:pt idx="73">
                  <c:v>1975.8754863813231</c:v>
                </c:pt>
                <c:pt idx="74">
                  <c:v>1991.6342412451363</c:v>
                </c:pt>
                <c:pt idx="75">
                  <c:v>2000.7782101167315</c:v>
                </c:pt>
                <c:pt idx="76">
                  <c:v>2009.922178988327</c:v>
                </c:pt>
                <c:pt idx="77">
                  <c:v>2020.2334630350197</c:v>
                </c:pt>
                <c:pt idx="78">
                  <c:v>2027.8210116731518</c:v>
                </c:pt>
                <c:pt idx="79">
                  <c:v>2033.0739299610896</c:v>
                </c:pt>
                <c:pt idx="80">
                  <c:v>2038.910505836576</c:v>
                </c:pt>
                <c:pt idx="81">
                  <c:v>2045.1361867704281</c:v>
                </c:pt>
                <c:pt idx="82">
                  <c:v>2050</c:v>
                </c:pt>
                <c:pt idx="83">
                  <c:v>2055.252918287938</c:v>
                </c:pt>
                <c:pt idx="84">
                  <c:v>2060.5058365758755</c:v>
                </c:pt>
                <c:pt idx="85">
                  <c:v>2064.7859922178991</c:v>
                </c:pt>
                <c:pt idx="86">
                  <c:v>2069.0661478599222</c:v>
                </c:pt>
                <c:pt idx="87">
                  <c:v>2072.5680933852141</c:v>
                </c:pt>
                <c:pt idx="88">
                  <c:v>2074.1245136186772</c:v>
                </c:pt>
                <c:pt idx="89">
                  <c:v>2076.6536964980546</c:v>
                </c:pt>
                <c:pt idx="90">
                  <c:v>2078.4046692607003</c:v>
                </c:pt>
                <c:pt idx="91">
                  <c:v>2080.5447470817121</c:v>
                </c:pt>
                <c:pt idx="92">
                  <c:v>2083.2684824902726</c:v>
                </c:pt>
                <c:pt idx="93">
                  <c:v>2085.2140077821014</c:v>
                </c:pt>
                <c:pt idx="94">
                  <c:v>2087.1595330739301</c:v>
                </c:pt>
                <c:pt idx="95">
                  <c:v>2089.1050583657589</c:v>
                </c:pt>
                <c:pt idx="96">
                  <c:v>2091.8287937743194</c:v>
                </c:pt>
                <c:pt idx="97">
                  <c:v>2093.5797665369651</c:v>
                </c:pt>
                <c:pt idx="98">
                  <c:v>2094.3579766536968</c:v>
                </c:pt>
                <c:pt idx="99">
                  <c:v>2096.1089494163425</c:v>
                </c:pt>
                <c:pt idx="100">
                  <c:v>2097.2762645914399</c:v>
                </c:pt>
                <c:pt idx="101">
                  <c:v>2099.8054474708174</c:v>
                </c:pt>
              </c:numCache>
            </c:numRef>
          </c:yVal>
          <c:smooth val="0"/>
        </c:ser>
        <c:ser>
          <c:idx val="5"/>
          <c:order val="5"/>
          <c:tx>
            <c:strRef>
              <c:f>myData!SKoreaSeries</c:f>
              <c:strCache>
                <c:ptCount val="1"/>
                <c:pt idx="0">
                  <c:v>South Korea Limit 1.99 k r^2=98.75%</c:v>
                </c:pt>
              </c:strCache>
            </c:strRef>
          </c:tx>
          <c:spPr>
            <a:ln w="19050" cap="rnd">
              <a:solidFill>
                <a:schemeClr val="accent6"/>
              </a:solidFill>
              <a:prstDash val="sysDash"/>
              <a:round/>
            </a:ln>
            <a:effectLst/>
          </c:spPr>
          <c:marker>
            <c:symbol val="none"/>
          </c:marker>
          <c:xVal>
            <c:numRef>
              <c:f>myData!SKoreaLogiDates</c:f>
              <c:numCache>
                <c:formatCode>m/d/yyyy</c:formatCode>
                <c:ptCount val="113"/>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43926</c:v>
                </c:pt>
                <c:pt idx="74">
                  <c:v>43927</c:v>
                </c:pt>
                <c:pt idx="75">
                  <c:v>43928</c:v>
                </c:pt>
                <c:pt idx="76">
                  <c:v>43929</c:v>
                </c:pt>
                <c:pt idx="77">
                  <c:v>43930</c:v>
                </c:pt>
                <c:pt idx="78">
                  <c:v>43931</c:v>
                </c:pt>
                <c:pt idx="79">
                  <c:v>43932</c:v>
                </c:pt>
                <c:pt idx="80">
                  <c:v>43933</c:v>
                </c:pt>
                <c:pt idx="81">
                  <c:v>43934</c:v>
                </c:pt>
                <c:pt idx="82">
                  <c:v>43935</c:v>
                </c:pt>
                <c:pt idx="83">
                  <c:v>43936</c:v>
                </c:pt>
                <c:pt idx="84">
                  <c:v>43937</c:v>
                </c:pt>
                <c:pt idx="85">
                  <c:v>43938</c:v>
                </c:pt>
                <c:pt idx="86">
                  <c:v>43939</c:v>
                </c:pt>
                <c:pt idx="87">
                  <c:v>43940</c:v>
                </c:pt>
                <c:pt idx="88">
                  <c:v>43941</c:v>
                </c:pt>
                <c:pt idx="89">
                  <c:v>43942</c:v>
                </c:pt>
                <c:pt idx="90">
                  <c:v>43943</c:v>
                </c:pt>
                <c:pt idx="91">
                  <c:v>43944</c:v>
                </c:pt>
                <c:pt idx="92">
                  <c:v>43945</c:v>
                </c:pt>
                <c:pt idx="93">
                  <c:v>43946</c:v>
                </c:pt>
                <c:pt idx="94">
                  <c:v>43947</c:v>
                </c:pt>
                <c:pt idx="95">
                  <c:v>43948</c:v>
                </c:pt>
                <c:pt idx="96">
                  <c:v>43949</c:v>
                </c:pt>
                <c:pt idx="97">
                  <c:v>43950</c:v>
                </c:pt>
                <c:pt idx="98">
                  <c:v>43951</c:v>
                </c:pt>
                <c:pt idx="99">
                  <c:v>43952</c:v>
                </c:pt>
                <c:pt idx="100">
                  <c:v>43953</c:v>
                </c:pt>
                <c:pt idx="101">
                  <c:v>43954</c:v>
                </c:pt>
                <c:pt idx="102">
                  <c:v>43955</c:v>
                </c:pt>
                <c:pt idx="103">
                  <c:v>43956</c:v>
                </c:pt>
                <c:pt idx="104">
                  <c:v>43957</c:v>
                </c:pt>
                <c:pt idx="105">
                  <c:v>43964</c:v>
                </c:pt>
                <c:pt idx="106">
                  <c:v>43971</c:v>
                </c:pt>
                <c:pt idx="107">
                  <c:v>43978</c:v>
                </c:pt>
                <c:pt idx="108">
                  <c:v>43985</c:v>
                </c:pt>
                <c:pt idx="109">
                  <c:v>43992</c:v>
                </c:pt>
                <c:pt idx="110">
                  <c:v>43999</c:v>
                </c:pt>
                <c:pt idx="111">
                  <c:v>44006</c:v>
                </c:pt>
                <c:pt idx="112">
                  <c:v>44013</c:v>
                </c:pt>
              </c:numCache>
            </c:numRef>
          </c:xVal>
          <c:yVal>
            <c:numRef>
              <c:f>myData!SKoreaLogi</c:f>
              <c:numCache>
                <c:formatCode>0</c:formatCode>
                <c:ptCount val="113"/>
                <c:pt idx="0">
                  <c:v>1.1965599066091652</c:v>
                </c:pt>
                <c:pt idx="1">
                  <c:v>1.428540403998888</c:v>
                </c:pt>
                <c:pt idx="2">
                  <c:v>1.7054570790193173</c:v>
                </c:pt>
                <c:pt idx="3">
                  <c:v>2.0359979819083569</c:v>
                </c:pt>
                <c:pt idx="4">
                  <c:v>2.430523962443651</c:v>
                </c:pt>
                <c:pt idx="5">
                  <c:v>2.901387791185646</c:v>
                </c:pt>
                <c:pt idx="6">
                  <c:v>3.4633129007694881</c:v>
                </c:pt>
                <c:pt idx="7">
                  <c:v>4.1338423483086482</c:v>
                </c:pt>
                <c:pt idx="8">
                  <c:v>4.9338702526792133</c:v>
                </c:pt>
                <c:pt idx="9">
                  <c:v>5.8882697667872197</c:v>
                </c:pt>
                <c:pt idx="10">
                  <c:v>7.0266335670267051</c:v>
                </c:pt>
                <c:pt idx="11">
                  <c:v>8.3841448083684025</c:v>
                </c:pt>
                <c:pt idx="12">
                  <c:v>10.002598382231753</c:v>
                </c:pt>
                <c:pt idx="13">
                  <c:v>11.931593931437178</c:v>
                </c:pt>
                <c:pt idx="14">
                  <c:v>14.229923125270087</c:v>
                </c:pt>
                <c:pt idx="15">
                  <c:v>16.967173738025053</c:v>
                </c:pt>
                <c:pt idx="16">
                  <c:v>20.225571471033593</c:v>
                </c:pt>
                <c:pt idx="17">
                  <c:v>24.102076315382842</c:v>
                </c:pt>
                <c:pt idx="18" formatCode="0.0">
                  <c:v>28.710742336875661</c:v>
                </c:pt>
                <c:pt idx="19" formatCode="0.0">
                  <c:v>34.185336420354382</c:v>
                </c:pt>
                <c:pt idx="20" formatCode="0.0">
                  <c:v>40.682190578481084</c:v>
                </c:pt>
                <c:pt idx="21" formatCode="0.0">
                  <c:v>48.383231196707193</c:v>
                </c:pt>
                <c:pt idx="22" formatCode="0.0">
                  <c:v>57.499083802889245</c:v>
                </c:pt>
                <c:pt idx="23" formatCode="0.0">
                  <c:v>68.272089997976408</c:v>
                </c:pt>
                <c:pt idx="24" formatCode="0.0">
                  <c:v>80.978990495034964</c:v>
                </c:pt>
                <c:pt idx="25" formatCode="0.0">
                  <c:v>95.932922104546762</c:v>
                </c:pt>
                <c:pt idx="26" formatCode="0.0">
                  <c:v>113.48424662544784</c:v>
                </c:pt>
                <c:pt idx="27" formatCode="0.0">
                  <c:v>134.01958021032439</c:v>
                </c:pt>
                <c:pt idx="28" formatCode="0.0">
                  <c:v>157.95823495730659</c:v>
                </c:pt>
                <c:pt idx="29" formatCode="0.0">
                  <c:v>185.74514421922788</c:v>
                </c:pt>
                <c:pt idx="30" formatCode="0.0">
                  <c:v>217.83925951682858</c:v>
                </c:pt>
                <c:pt idx="31" formatCode="0.0">
                  <c:v>254.69643905109643</c:v>
                </c:pt>
                <c:pt idx="32" formatCode="0.0">
                  <c:v>296.74607217588897</c:v>
                </c:pt>
                <c:pt idx="33" formatCode="0.0">
                  <c:v>344.36118494805879</c:v>
                </c:pt>
                <c:pt idx="34" formatCode="0.0">
                  <c:v>397.8226178429897</c:v>
                </c:pt>
                <c:pt idx="35" formatCode="0.0">
                  <c:v>457.27907315312348</c:v>
                </c:pt>
                <c:pt idx="36" formatCode="0.0">
                  <c:v>522.70630863791064</c:v>
                </c:pt>
                <c:pt idx="37" formatCode="0.0">
                  <c:v>593.8702697075388</c:v>
                </c:pt>
                <c:pt idx="38" formatCode="0.0">
                  <c:v>670.30010921559074</c:v>
                </c:pt>
                <c:pt idx="39" formatCode="0.0">
                  <c:v>751.27734378847913</c:v>
                </c:pt>
                <c:pt idx="40" formatCode="0.0">
                  <c:v>835.84638466633533</c:v>
                </c:pt>
                <c:pt idx="41" formatCode="0.0">
                  <c:v>922.84916299760357</c:v>
                </c:pt>
                <c:pt idx="42" formatCode="0.0">
                  <c:v>1010.982802982084</c:v>
                </c:pt>
                <c:pt idx="43" formatCode="0.0">
                  <c:v>1098.87505340558</c:v>
                </c:pt>
                <c:pt idx="44" formatCode="0.0">
                  <c:v>1185.1685828949983</c:v>
                </c:pt>
                <c:pt idx="45" formatCode="0.0">
                  <c:v>1268.603349977923</c:v>
                </c:pt>
                <c:pt idx="46" formatCode="0.0">
                  <c:v>1348.0866754988899</c:v>
                </c:pt>
                <c:pt idx="47" formatCode="0.0">
                  <c:v>1422.7432383760945</c:v>
                </c:pt>
                <c:pt idx="48" formatCode="0.0">
                  <c:v>1491.9411777337341</c:v>
                </c:pt>
                <c:pt idx="49" formatCode="0.0">
                  <c:v>1555.2946762715164</c:v>
                </c:pt>
                <c:pt idx="50" formatCode="0.0">
                  <c:v>1612.6467921408887</c:v>
                </c:pt>
                <c:pt idx="51" formatCode="0.0">
                  <c:v>1664.0383003295658</c:v>
                </c:pt>
                <c:pt idx="52" formatCode="0.0">
                  <c:v>1709.6688165858886</c:v>
                </c:pt>
                <c:pt idx="53" formatCode="0.0">
                  <c:v>1749.8558193010992</c:v>
                </c:pt>
                <c:pt idx="54" formatCode="0.0">
                  <c:v>1784.995848818307</c:v>
                </c:pt>
                <c:pt idx="55" formatCode="0.0">
                  <c:v>1815.5306235507221</c:v>
                </c:pt>
                <c:pt idx="56" formatCode="0.0">
                  <c:v>1841.9194100941224</c:v>
                </c:pt>
                <c:pt idx="57" formatCode="0.0">
                  <c:v>1864.6179005792389</c:v>
                </c:pt>
                <c:pt idx="58" formatCode="0.0">
                  <c:v>1884.0631307644464</c:v>
                </c:pt>
                <c:pt idx="59" formatCode="0.0">
                  <c:v>1900.6635775757175</c:v>
                </c:pt>
                <c:pt idx="60" formatCode="0.0">
                  <c:v>1914.7934272137225</c:v>
                </c:pt>
                <c:pt idx="61" formatCode="0.0">
                  <c:v>1926.7900212373675</c:v>
                </c:pt>
                <c:pt idx="62" formatCode="0.0">
                  <c:v>1936.9535971780681</c:v>
                </c:pt>
                <c:pt idx="63" formatCode="0.0">
                  <c:v>1945.5485899450921</c:v>
                </c:pt>
                <c:pt idx="64" formatCode="0.0">
                  <c:v>1952.8059165268937</c:v>
                </c:pt>
                <c:pt idx="65" formatCode="0.0">
                  <c:v>1958.925809952899</c:v>
                </c:pt>
                <c:pt idx="66" formatCode="0.0">
                  <c:v>1964.0808902328693</c:v>
                </c:pt>
                <c:pt idx="67" formatCode="0.0">
                  <c:v>1968.419257708503</c:v>
                </c:pt>
                <c:pt idx="68" formatCode="0.0">
                  <c:v>1972.0674693120775</c:v>
                </c:pt>
                <c:pt idx="69" formatCode="0.0">
                  <c:v>1975.1333137512049</c:v>
                </c:pt>
                <c:pt idx="70" formatCode="0.0">
                  <c:v>1977.7083412831498</c:v>
                </c:pt>
                <c:pt idx="71" formatCode="0.0">
                  <c:v>1979.8701310277763</c:v>
                </c:pt>
                <c:pt idx="72" formatCode="0.0">
                  <c:v>1981.6842967659679</c:v>
                </c:pt>
                <c:pt idx="73" formatCode="0.0">
                  <c:v>1983.2062433971976</c:v>
                </c:pt>
                <c:pt idx="74" formatCode="0.0">
                  <c:v>1984.4826926607625</c:v>
                </c:pt>
                <c:pt idx="75" formatCode="0.0">
                  <c:v>1985.5529998582801</c:v>
                </c:pt>
                <c:pt idx="76" formatCode="0.0">
                  <c:v>1986.4502842563377</c:v>
                </c:pt>
                <c:pt idx="77" formatCode="0.0">
                  <c:v>1987.2023953940397</c:v>
                </c:pt>
                <c:pt idx="78" formatCode="0.0">
                  <c:v>1987.8327362308569</c:v>
                </c:pt>
                <c:pt idx="79" formatCode="0.0">
                  <c:v>1988.3609623302725</c:v>
                </c:pt>
                <c:pt idx="80" formatCode="0.0">
                  <c:v>1988.8035743410901</c:v>
                </c:pt>
                <c:pt idx="81" formatCode="0.0">
                  <c:v>1989.1744190765799</c:v>
                </c:pt>
                <c:pt idx="82" formatCode="0.0">
                  <c:v>1989.4851126039287</c:v>
                </c:pt>
                <c:pt idx="83" formatCode="0.0">
                  <c:v>1989.745397000903</c:v>
                </c:pt>
                <c:pt idx="84" formatCode="0.0">
                  <c:v>1989.9634408422226</c:v>
                </c:pt>
                <c:pt idx="85" formatCode="0.0">
                  <c:v>1990.146092054774</c:v>
                </c:pt>
                <c:pt idx="86" formatCode="0.0">
                  <c:v>1990.2990905263268</c:v>
                </c:pt>
                <c:pt idx="87" formatCode="0.0">
                  <c:v>1990.4272467577271</c:v>
                </c:pt>
                <c:pt idx="88" formatCode="0.0">
                  <c:v>1990.5345919006045</c:v>
                </c:pt>
                <c:pt idx="89" formatCode="0.0">
                  <c:v>1990.6245037067431</c:v>
                </c:pt>
                <c:pt idx="90" formatCode="0.0">
                  <c:v>1990.6998122165287</c:v>
                </c:pt>
                <c:pt idx="91" formatCode="0.0">
                  <c:v>1990.762888417742</c:v>
                </c:pt>
                <c:pt idx="92" formatCode="0.0">
                  <c:v>1990.8157185990644</c:v>
                </c:pt>
                <c:pt idx="93" formatCode="0.0">
                  <c:v>1990.8599666927098</c:v>
                </c:pt>
                <c:pt idx="94" formatCode="0.0">
                  <c:v>1990.8970265367409</c:v>
                </c:pt>
                <c:pt idx="95" formatCode="0.0">
                  <c:v>1990.9280656801971</c:v>
                </c:pt>
                <c:pt idx="96" formatCode="0.0">
                  <c:v>1990.9540620948464</c:v>
                </c:pt>
                <c:pt idx="97" formatCode="0.0">
                  <c:v>1990.975834938866</c:v>
                </c:pt>
                <c:pt idx="98" formatCode="0.0">
                  <c:v>1990.9940703338266</c:v>
                </c:pt>
                <c:pt idx="99" formatCode="0.0">
                  <c:v>1991.0093429616627</c:v>
                </c:pt>
                <c:pt idx="100" formatCode="0.0">
                  <c:v>1991.0221341583265</c:v>
                </c:pt>
                <c:pt idx="101" formatCode="0.0">
                  <c:v>1991.0328470715945</c:v>
                </c:pt>
                <c:pt idx="102" formatCode="0.0">
                  <c:v>1991.0418193588296</c:v>
                </c:pt>
                <c:pt idx="103" formatCode="0.0">
                  <c:v>1991.0493338235597</c:v>
                </c:pt>
                <c:pt idx="104" formatCode="0.0">
                  <c:v>1991.0556273251748</c:v>
                </c:pt>
                <c:pt idx="105" formatCode="0.0">
                  <c:v>1991.0786907017034</c:v>
                </c:pt>
                <c:pt idx="106" formatCode="0.0">
                  <c:v>1991.0853567487459</c:v>
                </c:pt>
                <c:pt idx="107" formatCode="0.0">
                  <c:v>1991.0872834272357</c:v>
                </c:pt>
                <c:pt idx="108" formatCode="0.0">
                  <c:v>1991.087840290784</c:v>
                </c:pt>
                <c:pt idx="109">
                  <c:v>1991.0880012396599</c:v>
                </c:pt>
                <c:pt idx="110">
                  <c:v>1991.0880477582984</c:v>
                </c:pt>
                <c:pt idx="111">
                  <c:v>1991.0880612034591</c:v>
                </c:pt>
                <c:pt idx="112">
                  <c:v>1991.088065089479</c:v>
                </c:pt>
              </c:numCache>
            </c:numRef>
          </c:yVal>
          <c:smooth val="0"/>
        </c:ser>
        <c:ser>
          <c:idx val="10"/>
          <c:order val="6"/>
          <c:tx>
            <c:v>Au Cases</c:v>
          </c:tx>
          <c:spPr>
            <a:ln w="12700" cap="rnd">
              <a:solidFill>
                <a:schemeClr val="accent6">
                  <a:lumMod val="75000"/>
                </a:schemeClr>
              </a:solidFill>
              <a:round/>
            </a:ln>
            <a:effectLst/>
          </c:spPr>
          <c:marker>
            <c:symbol val="diamond"/>
            <c:size val="3"/>
            <c:spPr>
              <a:noFill/>
              <a:ln w="9525">
                <a:solidFill>
                  <a:schemeClr val="accent4">
                    <a:lumMod val="75000"/>
                  </a:schemeClr>
                </a:solidFill>
              </a:ln>
              <a:effectLst/>
            </c:spPr>
          </c:marker>
          <c:xVal>
            <c:numRef>
              <c:f>myData!AuDates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myData!AuCases</c:f>
              <c:numCache>
                <c:formatCode>0.000</c:formatCode>
                <c:ptCount val="9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2114.0198706828578</c:v>
                </c:pt>
                <c:pt idx="69">
                  <c:v>2188.929190979341</c:v>
                </c:pt>
                <c:pt idx="70">
                  <c:v>2244.5197918309414</c:v>
                </c:pt>
                <c:pt idx="71">
                  <c:v>2286.7055669452766</c:v>
                </c:pt>
                <c:pt idx="72">
                  <c:v>2333.6224570257059</c:v>
                </c:pt>
                <c:pt idx="73">
                  <c:v>2376.5967513010564</c:v>
                </c:pt>
                <c:pt idx="74">
                  <c:v>2412.474373127267</c:v>
                </c:pt>
                <c:pt idx="75">
                  <c:v>2454.6601482416022</c:v>
                </c:pt>
                <c:pt idx="76">
                  <c:v>2487.7779530042581</c:v>
                </c:pt>
                <c:pt idx="77">
                  <c:v>2496.0574041949221</c:v>
                </c:pt>
                <c:pt idx="78">
                  <c:v>2515.7703832203124</c:v>
                </c:pt>
                <c:pt idx="79">
                  <c:v>2530.752247279609</c:v>
                </c:pt>
                <c:pt idx="80">
                  <c:v>2544.9455921778899</c:v>
                </c:pt>
                <c:pt idx="81">
                  <c:v>2555.9848604321087</c:v>
                </c:pt>
                <c:pt idx="82">
                  <c:v>2574.5150607159753</c:v>
                </c:pt>
                <c:pt idx="83">
                  <c:v>2590.2854439362877</c:v>
                </c:pt>
                <c:pt idx="84">
                  <c:v>2606.8443463176154</c:v>
                </c:pt>
                <c:pt idx="85">
                  <c:v>2611.1812017032016</c:v>
                </c:pt>
                <c:pt idx="86">
                  <c:v>2619.8549124743731</c:v>
                </c:pt>
                <c:pt idx="87">
                  <c:v>2622.6147295379278</c:v>
                </c:pt>
                <c:pt idx="88">
                  <c:v>2625.7688061819904</c:v>
                </c:pt>
                <c:pt idx="89">
                  <c:v>2631.6826998896072</c:v>
                </c:pt>
                <c:pt idx="90">
                  <c:v>2638.3851127582402</c:v>
                </c:pt>
                <c:pt idx="91">
                  <c:v>2647.0588235294117</c:v>
                </c:pt>
                <c:pt idx="92">
                  <c:v>2649.0301214319506</c:v>
                </c:pt>
                <c:pt idx="93">
                  <c:v>2654.54975555906</c:v>
                </c:pt>
                <c:pt idx="94">
                  <c:v>2659.6751301056615</c:v>
                </c:pt>
                <c:pt idx="95">
                  <c:v>2662.8292067497241</c:v>
                </c:pt>
                <c:pt idx="96">
                  <c:v>2667.1660621353099</c:v>
                </c:pt>
                <c:pt idx="97">
                  <c:v>2672.6856962624192</c:v>
                </c:pt>
                <c:pt idx="98">
                  <c:v>2679.7823687115597</c:v>
                </c:pt>
              </c:numCache>
            </c:numRef>
          </c:yVal>
          <c:smooth val="0"/>
        </c:ser>
        <c:ser>
          <c:idx val="9"/>
          <c:order val="7"/>
          <c:tx>
            <c:strRef>
              <c:f>myData!AuSeries</c:f>
              <c:strCache>
                <c:ptCount val="1"/>
                <c:pt idx="0">
                  <c:v>Australia Limit 2.62 k r^2=99.94%</c:v>
                </c:pt>
              </c:strCache>
            </c:strRef>
          </c:tx>
          <c:spPr>
            <a:ln w="19050" cap="rnd">
              <a:solidFill>
                <a:schemeClr val="accent4">
                  <a:lumMod val="60000"/>
                </a:schemeClr>
              </a:solidFill>
              <a:prstDash val="sysDot"/>
              <a:round/>
            </a:ln>
            <a:effectLst/>
          </c:spPr>
          <c:marker>
            <c:symbol val="none"/>
          </c:marker>
          <c:xVal>
            <c:numRef>
              <c:f>myData!AuLogiDates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myData!AuLogi</c:f>
              <c:numCache>
                <c:formatCode>0.000</c:formatCode>
                <c:ptCount val="110"/>
                <c:pt idx="0">
                  <c:v>2.3188278729988315E-3</c:v>
                </c:pt>
                <c:pt idx="1">
                  <c:v>2.9073388959562382E-3</c:v>
                </c:pt>
                <c:pt idx="2">
                  <c:v>3.6452119074376014E-3</c:v>
                </c:pt>
                <c:pt idx="3">
                  <c:v>4.5703543259517166E-3</c:v>
                </c:pt>
                <c:pt idx="4">
                  <c:v>5.730294238788158E-3</c:v>
                </c:pt>
                <c:pt idx="5">
                  <c:v>7.1846220294552038E-3</c:v>
                </c:pt>
                <c:pt idx="6">
                  <c:v>9.0080516429624207E-3</c:v>
                </c:pt>
                <c:pt idx="7">
                  <c:v>1.1294258728326371E-2</c:v>
                </c:pt>
                <c:pt idx="8">
                  <c:v>1.416069279148187E-2</c:v>
                </c:pt>
                <c:pt idx="9">
                  <c:v>1.775461050302966E-2</c:v>
                </c:pt>
                <c:pt idx="10">
                  <c:v>2.2260639997440781E-2</c:v>
                </c:pt>
                <c:pt idx="11">
                  <c:v>2.7910264585124179E-2</c:v>
                </c:pt>
                <c:pt idx="12">
                  <c:v>3.4993712799062618E-2</c:v>
                </c:pt>
                <c:pt idx="13">
                  <c:v>4.3874865151404242E-2</c:v>
                </c:pt>
                <c:pt idx="14">
                  <c:v>5.5009942689421588E-2</c:v>
                </c:pt>
                <c:pt idx="15">
                  <c:v>6.897093630732111E-2</c:v>
                </c:pt>
                <c:pt idx="16">
                  <c:v>8.6474978662865146E-2</c:v>
                </c:pt>
                <c:pt idx="17">
                  <c:v>0.10842116480668629</c:v>
                </c:pt>
                <c:pt idx="18">
                  <c:v>0.13593670867268079</c:v>
                </c:pt>
                <c:pt idx="19">
                  <c:v>0.17043479963630248</c:v>
                </c:pt>
                <c:pt idx="20">
                  <c:v>0.21368712039924725</c:v>
                </c:pt>
                <c:pt idx="21">
                  <c:v>0.26791473433919627</c:v>
                </c:pt>
                <c:pt idx="22" formatCode="0.0">
                  <c:v>0.33590198422618112</c:v>
                </c:pt>
                <c:pt idx="23" formatCode="0.0">
                  <c:v>0.42113921075668181</c:v>
                </c:pt>
                <c:pt idx="24" formatCode="0.0">
                  <c:v>0.52800155537659232</c:v>
                </c:pt>
                <c:pt idx="25" formatCode="0.0">
                  <c:v>0.66197292705905852</c:v>
                </c:pt>
                <c:pt idx="26" formatCode="0.0">
                  <c:v>0.82992647232639705</c:v>
                </c:pt>
                <c:pt idx="27" formatCode="0.0">
                  <c:v>1.040475695390817</c:v>
                </c:pt>
                <c:pt idx="28" formatCode="0.0">
                  <c:v>1.3044138553905029</c:v>
                </c:pt>
                <c:pt idx="29" formatCode="0.0">
                  <c:v>1.6352635682569125</c:v>
                </c:pt>
                <c:pt idx="30" formatCode="0.0">
                  <c:v>2.0499638344026363</c:v>
                </c:pt>
                <c:pt idx="31" formatCode="0.0">
                  <c:v>2.5697281965668943</c:v>
                </c:pt>
                <c:pt idx="32" formatCode="0">
                  <c:v>3.2211156198200408</c:v>
                </c:pt>
                <c:pt idx="33" formatCode="0">
                  <c:v>4.0373651990027684</c:v>
                </c:pt>
                <c:pt idx="34" formatCode="0">
                  <c:v>5.0600571398640071</c:v>
                </c:pt>
                <c:pt idx="35" formatCode="0">
                  <c:v>6.3411757664315225</c:v>
                </c:pt>
                <c:pt idx="36" formatCode="0">
                  <c:v>7.945665573452076</c:v>
                </c:pt>
                <c:pt idx="37" formatCode="0">
                  <c:v>9.9545882915729518</c:v>
                </c:pt>
                <c:pt idx="38" formatCode="0">
                  <c:v>12.46900680692597</c:v>
                </c:pt>
                <c:pt idx="39" formatCode="0">
                  <c:v>15.614739014416774</c:v>
                </c:pt>
                <c:pt idx="40" formatCode="0">
                  <c:v>19.548138426621428</c:v>
                </c:pt>
                <c:pt idx="41" formatCode="0">
                  <c:v>24.463063723787876</c:v>
                </c:pt>
                <c:pt idx="42" formatCode="0">
                  <c:v>30.599188468791834</c:v>
                </c:pt>
                <c:pt idx="43" formatCode="0">
                  <c:v>38.251762508268072</c:v>
                </c:pt>
                <c:pt idx="44" formatCode="0">
                  <c:v>47.782849476414434</c:v>
                </c:pt>
                <c:pt idx="45" formatCode="0">
                  <c:v>59.633903428766914</c:v>
                </c:pt>
                <c:pt idx="46" formatCode="0">
                  <c:v>74.339275212779953</c:v>
                </c:pt>
                <c:pt idx="47" formatCode="0">
                  <c:v>92.539809038600183</c:v>
                </c:pt>
                <c:pt idx="48" formatCode="0">
                  <c:v>114.99504911497115</c:v>
                </c:pt>
                <c:pt idx="49" formatCode="0">
                  <c:v>142.59167847691626</c:v>
                </c:pt>
                <c:pt idx="50" formatCode="0">
                  <c:v>176.34464318788378</c:v>
                </c:pt>
                <c:pt idx="51" formatCode="0">
                  <c:v>217.38604211570967</c:v>
                </c:pt>
                <c:pt idx="52" formatCode="0">
                  <c:v>266.93550945431411</c:v>
                </c:pt>
                <c:pt idx="53" formatCode="0">
                  <c:v>326.24496017939964</c:v>
                </c:pt>
                <c:pt idx="54" formatCode="0">
                  <c:v>396.51101380735787</c:v>
                </c:pt>
                <c:pt idx="55" formatCode="0">
                  <c:v>478.75126813074223</c:v>
                </c:pt>
                <c:pt idx="56" formatCode="0">
                  <c:v>573.64699806741282</c:v>
                </c:pt>
                <c:pt idx="57" formatCode="0">
                  <c:v>681.36530092804173</c:v>
                </c:pt>
                <c:pt idx="58" formatCode="0">
                  <c:v>801.38701807846428</c:v>
                </c:pt>
                <c:pt idx="59" formatCode="0">
                  <c:v>932.3791225046034</c:v>
                </c:pt>
                <c:pt idx="60" formatCode="0">
                  <c:v>1072.1553405639772</c:v>
                </c:pt>
                <c:pt idx="61" formatCode="0">
                  <c:v>1217.7599744150418</c:v>
                </c:pt>
                <c:pt idx="62" formatCode="0">
                  <c:v>1365.6846659933269</c:v>
                </c:pt>
                <c:pt idx="63" formatCode="0">
                  <c:v>1512.1917398417318</c:v>
                </c:pt>
                <c:pt idx="64" formatCode="0">
                  <c:v>1653.6842699547524</c:v>
                </c:pt>
                <c:pt idx="65" formatCode="0">
                  <c:v>1787.0473001577361</c:v>
                </c:pt>
                <c:pt idx="66" formatCode="0">
                  <c:v>1909.8944188893768</c:v>
                </c:pt>
                <c:pt idx="67" formatCode="0">
                  <c:v>2020.6843145817807</c:v>
                </c:pt>
                <c:pt idx="68" formatCode="0">
                  <c:v>2118.7088589502237</c:v>
                </c:pt>
                <c:pt idx="69" formatCode="0">
                  <c:v>2203.9830009755624</c:v>
                </c:pt>
                <c:pt idx="70" formatCode="0">
                  <c:v>2277.0795780082394</c:v>
                </c:pt>
                <c:pt idx="71" formatCode="0">
                  <c:v>2338.9499144648839</c:v>
                </c:pt>
                <c:pt idx="72" formatCode="0">
                  <c:v>2390.759841123886</c:v>
                </c:pt>
                <c:pt idx="73" formatCode="0">
                  <c:v>2433.7572283194595</c:v>
                </c:pt>
                <c:pt idx="74" formatCode="0">
                  <c:v>2469.1757865939749</c:v>
                </c:pt>
                <c:pt idx="75" formatCode="0">
                  <c:v>2498.1725018782945</c:v>
                </c:pt>
                <c:pt idx="76" formatCode="0">
                  <c:v>2521.7924473362295</c:v>
                </c:pt>
                <c:pt idx="77" formatCode="0">
                  <c:v>2540.9537923237012</c:v>
                </c:pt>
                <c:pt idx="78" formatCode="0">
                  <c:v>2556.4464565137037</c:v>
                </c:pt>
                <c:pt idx="79" formatCode="0">
                  <c:v>2568.9391450524281</c:v>
                </c:pt>
                <c:pt idx="80" formatCode="0">
                  <c:v>2578.9908973220035</c:v>
                </c:pt>
                <c:pt idx="81" formatCode="0">
                  <c:v>2587.0645111847912</c:v>
                </c:pt>
                <c:pt idx="82" formatCode="0">
                  <c:v>2593.540169122015</c:v>
                </c:pt>
                <c:pt idx="83" formatCode="0">
                  <c:v>2598.7282922214154</c:v>
                </c:pt>
                <c:pt idx="84" formatCode="0">
                  <c:v>2602.8811244210742</c:v>
                </c:pt>
                <c:pt idx="85" formatCode="0">
                  <c:v>2606.2028555843967</c:v>
                </c:pt>
                <c:pt idx="86" formatCode="0">
                  <c:v>2608.8582766121476</c:v>
                </c:pt>
                <c:pt idx="87" formatCode="0">
                  <c:v>2610.9800621511981</c:v>
                </c:pt>
                <c:pt idx="88" formatCode="0">
                  <c:v>2612.6748257001937</c:v>
                </c:pt>
                <c:pt idx="89" formatCode="0">
                  <c:v>2614.028108519648</c:v>
                </c:pt>
                <c:pt idx="90" formatCode="0">
                  <c:v>2615.1084614878873</c:v>
                </c:pt>
                <c:pt idx="91" formatCode="0">
                  <c:v>2615.9707667943894</c:v>
                </c:pt>
                <c:pt idx="92" formatCode="0">
                  <c:v>2616.6589296488069</c:v>
                </c:pt>
                <c:pt idx="93" formatCode="0">
                  <c:v>2617.2080522813549</c:v>
                </c:pt>
                <c:pt idx="94" formatCode="0">
                  <c:v>2617.6461852423276</c:v>
                </c:pt>
                <c:pt idx="95" formatCode="0">
                  <c:v>2617.9957352930619</c:v>
                </c:pt>
                <c:pt idx="96" formatCode="0">
                  <c:v>2618.2745953891331</c:v>
                </c:pt>
                <c:pt idx="97" formatCode="0">
                  <c:v>2618.4970504461385</c:v>
                </c:pt>
                <c:pt idx="98" formatCode="0">
                  <c:v>2618.6745026373965</c:v>
                </c:pt>
                <c:pt idx="99" formatCode="0">
                  <c:v>2618.8160517097999</c:v>
                </c:pt>
                <c:pt idx="100" formatCode="0">
                  <c:v>2618.9289589993732</c:v>
                </c:pt>
                <c:pt idx="101" formatCode="0">
                  <c:v>2619.0190182638667</c:v>
                </c:pt>
                <c:pt idx="102" formatCode="0">
                  <c:v>2619.3010522732375</c:v>
                </c:pt>
                <c:pt idx="103" formatCode="0">
                  <c:v>2619.3589640834371</c:v>
                </c:pt>
                <c:pt idx="104" formatCode="0">
                  <c:v>2619.3708542518293</c:v>
                </c:pt>
                <c:pt idx="105" formatCode="0">
                  <c:v>2619.3732954310976</c:v>
                </c:pt>
                <c:pt idx="106" formatCode="0">
                  <c:v>2619.3737966292401</c:v>
                </c:pt>
                <c:pt idx="107" formatCode="0">
                  <c:v>2619.3738995300619</c:v>
                </c:pt>
                <c:pt idx="108" formatCode="0">
                  <c:v>2619.3739206565911</c:v>
                </c:pt>
                <c:pt idx="109" formatCode="0">
                  <c:v>2619.3739249940709</c:v>
                </c:pt>
              </c:numCache>
            </c:numRef>
          </c:yVal>
          <c:smooth val="0"/>
        </c:ser>
        <c:ser>
          <c:idx val="7"/>
          <c:order val="8"/>
          <c:tx>
            <c:v>UK Cases</c:v>
          </c:tx>
          <c:spPr>
            <a:ln w="6350" cap="rnd">
              <a:solidFill>
                <a:schemeClr val="accent2">
                  <a:lumMod val="75000"/>
                </a:schemeClr>
              </a:solidFill>
              <a:round/>
            </a:ln>
            <a:effectLst/>
          </c:spPr>
          <c:marker>
            <c:symbol val="x"/>
            <c:size val="3"/>
            <c:spPr>
              <a:noFill/>
              <a:ln w="9525">
                <a:solidFill>
                  <a:schemeClr val="accent2">
                    <a:lumMod val="60000"/>
                  </a:schemeClr>
                </a:solidFill>
              </a:ln>
              <a:effectLst/>
            </c:spPr>
          </c:marker>
          <c:xVal>
            <c:numRef>
              <c:f>myData!UKDates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myData!UKCases</c:f>
              <c:numCache>
                <c:formatCode>0.0</c:formatCode>
                <c:ptCount val="93"/>
                <c:pt idx="0">
                  <c:v>0.30102347983142685</c:v>
                </c:pt>
                <c:pt idx="1">
                  <c:v>0.30102347983142685</c:v>
                </c:pt>
                <c:pt idx="2">
                  <c:v>0.30102347983142685</c:v>
                </c:pt>
                <c:pt idx="3">
                  <c:v>0.30102347983142685</c:v>
                </c:pt>
                <c:pt idx="4">
                  <c:v>0.30102347983142685</c:v>
                </c:pt>
                <c:pt idx="5">
                  <c:v>0.30102347983142685</c:v>
                </c:pt>
                <c:pt idx="6">
                  <c:v>0.30102347983142685</c:v>
                </c:pt>
                <c:pt idx="7">
                  <c:v>0.45153521974714028</c:v>
                </c:pt>
                <c:pt idx="8">
                  <c:v>0.45153521974714028</c:v>
                </c:pt>
                <c:pt idx="9">
                  <c:v>0.45153521974714028</c:v>
                </c:pt>
                <c:pt idx="10">
                  <c:v>1.2040939193257074</c:v>
                </c:pt>
                <c:pt idx="11">
                  <c:v>1.2040939193257074</c:v>
                </c:pt>
                <c:pt idx="12">
                  <c:v>1.3546056592414208</c:v>
                </c:pt>
                <c:pt idx="13">
                  <c:v>1.3546056592414208</c:v>
                </c:pt>
                <c:pt idx="14">
                  <c:v>1.3546056592414208</c:v>
                </c:pt>
                <c:pt idx="15">
                  <c:v>1.3546056592414208</c:v>
                </c:pt>
                <c:pt idx="16">
                  <c:v>1.3546056592414208</c:v>
                </c:pt>
                <c:pt idx="17">
                  <c:v>1.3546056592414208</c:v>
                </c:pt>
                <c:pt idx="18">
                  <c:v>1.3546056592414208</c:v>
                </c:pt>
                <c:pt idx="19">
                  <c:v>1.3546056592414208</c:v>
                </c:pt>
                <c:pt idx="20">
                  <c:v>1.3546056592414208</c:v>
                </c:pt>
                <c:pt idx="21">
                  <c:v>1.3546056592414208</c:v>
                </c:pt>
                <c:pt idx="22">
                  <c:v>1.3546056592414208</c:v>
                </c:pt>
                <c:pt idx="23">
                  <c:v>1.3546056592414208</c:v>
                </c:pt>
                <c:pt idx="24">
                  <c:v>1.9566526189042746</c:v>
                </c:pt>
                <c:pt idx="25">
                  <c:v>1.9566526189042746</c:v>
                </c:pt>
                <c:pt idx="26">
                  <c:v>1.9566526189042746</c:v>
                </c:pt>
                <c:pt idx="27">
                  <c:v>2.2576760987357014</c:v>
                </c:pt>
                <c:pt idx="28">
                  <c:v>3.0102347983142685</c:v>
                </c:pt>
                <c:pt idx="29">
                  <c:v>3.4617700180614088</c:v>
                </c:pt>
                <c:pt idx="30">
                  <c:v>5.4184226369656834</c:v>
                </c:pt>
                <c:pt idx="31">
                  <c:v>6.0204695966285371</c:v>
                </c:pt>
                <c:pt idx="32">
                  <c:v>7.6760987357013848</c:v>
                </c:pt>
                <c:pt idx="33">
                  <c:v>12.944009632751355</c:v>
                </c:pt>
                <c:pt idx="34">
                  <c:v>17.459361830222758</c:v>
                </c:pt>
                <c:pt idx="35">
                  <c:v>24.683925346177002</c:v>
                </c:pt>
                <c:pt idx="36">
                  <c:v>31.155930162552679</c:v>
                </c:pt>
                <c:pt idx="37">
                  <c:v>41.240216736905481</c:v>
                </c:pt>
                <c:pt idx="38">
                  <c:v>48.464780252859725</c:v>
                </c:pt>
                <c:pt idx="39">
                  <c:v>57.796508127633956</c:v>
                </c:pt>
                <c:pt idx="40">
                  <c:v>69.084888621312459</c:v>
                </c:pt>
                <c:pt idx="41">
                  <c:v>69.084888621312459</c:v>
                </c:pt>
                <c:pt idx="42">
                  <c:v>120.71041541240217</c:v>
                </c:pt>
                <c:pt idx="43">
                  <c:v>172.18543046357615</c:v>
                </c:pt>
                <c:pt idx="44">
                  <c:v>172.33594220349187</c:v>
                </c:pt>
                <c:pt idx="45">
                  <c:v>233.44370860927151</c:v>
                </c:pt>
                <c:pt idx="46">
                  <c:v>295.0030102347983</c:v>
                </c:pt>
                <c:pt idx="47">
                  <c:v>397.65201685731489</c:v>
                </c:pt>
                <c:pt idx="48">
                  <c:v>408.78988561107764</c:v>
                </c:pt>
                <c:pt idx="49">
                  <c:v>604.15412402167362</c:v>
                </c:pt>
                <c:pt idx="50">
                  <c:v>762.64298615291989</c:v>
                </c:pt>
                <c:pt idx="51">
                  <c:v>864.68994581577363</c:v>
                </c:pt>
                <c:pt idx="52">
                  <c:v>1012.3419626730885</c:v>
                </c:pt>
                <c:pt idx="53">
                  <c:v>1228.7778446718844</c:v>
                </c:pt>
                <c:pt idx="54">
                  <c:v>1450.9331727874774</c:v>
                </c:pt>
                <c:pt idx="55">
                  <c:v>1777.844671884407</c:v>
                </c:pt>
                <c:pt idx="56">
                  <c:v>2219.2956050571943</c:v>
                </c:pt>
                <c:pt idx="57">
                  <c:v>2605.6592414208308</c:v>
                </c:pt>
                <c:pt idx="58">
                  <c:v>2977.1222155328114</c:v>
                </c:pt>
                <c:pt idx="59">
                  <c:v>3379.4400963275134</c:v>
                </c:pt>
                <c:pt idx="60">
                  <c:v>3835.1896447922936</c:v>
                </c:pt>
                <c:pt idx="61">
                  <c:v>4495.0331125827815</c:v>
                </c:pt>
                <c:pt idx="62">
                  <c:v>5143.4376881396747</c:v>
                </c:pt>
                <c:pt idx="63">
                  <c:v>5823.1487055990365</c:v>
                </c:pt>
                <c:pt idx="64">
                  <c:v>6393.2871763997591</c:v>
                </c:pt>
                <c:pt idx="65">
                  <c:v>7290.1866345574954</c:v>
                </c:pt>
                <c:pt idx="66">
                  <c:v>7868.6032510535824</c:v>
                </c:pt>
                <c:pt idx="67">
                  <c:v>8420.9813365442496</c:v>
                </c:pt>
                <c:pt idx="68">
                  <c:v>9252.558699578567</c:v>
                </c:pt>
                <c:pt idx="69">
                  <c:v>9914.5093317278752</c:v>
                </c:pt>
                <c:pt idx="70">
                  <c:v>11228.9283564118</c:v>
                </c:pt>
                <c:pt idx="71">
                  <c:v>12021.974714027694</c:v>
                </c:pt>
                <c:pt idx="72">
                  <c:v>12824.503311258279</c:v>
                </c:pt>
                <c:pt idx="73">
                  <c:v>13481.336544250451</c:v>
                </c:pt>
                <c:pt idx="74">
                  <c:v>14275.285972305839</c:v>
                </c:pt>
                <c:pt idx="75">
                  <c:v>14973.359422034919</c:v>
                </c:pt>
                <c:pt idx="76">
                  <c:v>15675.045153521974</c:v>
                </c:pt>
                <c:pt idx="77">
                  <c:v>16521.523178807947</c:v>
                </c:pt>
                <c:pt idx="78">
                  <c:v>17356.110776640577</c:v>
                </c:pt>
                <c:pt idx="79">
                  <c:v>18237.808549066827</c:v>
                </c:pt>
                <c:pt idx="80">
                  <c:v>18942.805538832028</c:v>
                </c:pt>
                <c:pt idx="81">
                  <c:v>19592.414208308248</c:v>
                </c:pt>
                <c:pt idx="82">
                  <c:v>20264.599638771822</c:v>
                </c:pt>
                <c:pt idx="83">
                  <c:v>20958.15773630343</c:v>
                </c:pt>
                <c:pt idx="84">
                  <c:v>21770.018061408791</c:v>
                </c:pt>
                <c:pt idx="85" formatCode="0.000">
                  <c:v>22511.890427453342</c:v>
                </c:pt>
                <c:pt idx="86" formatCode="0.000">
                  <c:v>23184.376881396747</c:v>
                </c:pt>
                <c:pt idx="87" formatCode="0.000">
                  <c:v>23833.232992173391</c:v>
                </c:pt>
                <c:pt idx="88" formatCode="0.000">
                  <c:v>24435.580975316076</c:v>
                </c:pt>
                <c:pt idx="89" formatCode="0.000">
                  <c:v>25051.324503311258</c:v>
                </c:pt>
                <c:pt idx="90" formatCode="0.000">
                  <c:v>25960.415412402166</c:v>
                </c:pt>
                <c:pt idx="91" formatCode="0.000">
                  <c:v>26894.190246839255</c:v>
                </c:pt>
                <c:pt idx="92" formatCode="0.000">
                  <c:v>27618.904274533412</c:v>
                </c:pt>
              </c:numCache>
            </c:numRef>
          </c:yVal>
          <c:smooth val="0"/>
        </c:ser>
        <c:ser>
          <c:idx val="6"/>
          <c:order val="9"/>
          <c:tx>
            <c:strRef>
              <c:f>myData!UKSeries</c:f>
              <c:strCache>
                <c:ptCount val="1"/>
                <c:pt idx="0">
                  <c:v>United Kingdom Limit 21.5 k r^2=95.27%</c:v>
                </c:pt>
              </c:strCache>
            </c:strRef>
          </c:tx>
          <c:spPr>
            <a:ln w="19050" cap="rnd">
              <a:solidFill>
                <a:schemeClr val="accent2">
                  <a:lumMod val="75000"/>
                </a:schemeClr>
              </a:solidFill>
              <a:prstDash val="sysDot"/>
              <a:round/>
            </a:ln>
            <a:effectLst/>
          </c:spPr>
          <c:marker>
            <c:symbol val="none"/>
          </c:marker>
          <c:xVal>
            <c:numRef>
              <c:f>myData!UKLogiDates</c:f>
              <c:numCache>
                <c:formatCode>m/d/yyyy</c:formatCode>
                <c:ptCount val="105"/>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pt idx="93">
                  <c:v>43954</c:v>
                </c:pt>
                <c:pt idx="94">
                  <c:v>43955</c:v>
                </c:pt>
                <c:pt idx="95">
                  <c:v>43956</c:v>
                </c:pt>
                <c:pt idx="96">
                  <c:v>43957</c:v>
                </c:pt>
                <c:pt idx="97">
                  <c:v>43964</c:v>
                </c:pt>
                <c:pt idx="98">
                  <c:v>43971</c:v>
                </c:pt>
                <c:pt idx="99">
                  <c:v>43978</c:v>
                </c:pt>
                <c:pt idx="100">
                  <c:v>43985</c:v>
                </c:pt>
                <c:pt idx="101">
                  <c:v>43992</c:v>
                </c:pt>
                <c:pt idx="102">
                  <c:v>43999</c:v>
                </c:pt>
                <c:pt idx="103">
                  <c:v>44006</c:v>
                </c:pt>
                <c:pt idx="104">
                  <c:v>44013</c:v>
                </c:pt>
              </c:numCache>
            </c:numRef>
          </c:xVal>
          <c:yVal>
            <c:numRef>
              <c:f>myData!UKLogi</c:f>
              <c:numCache>
                <c:formatCode>0</c:formatCode>
                <c:ptCount val="105"/>
                <c:pt idx="0">
                  <c:v>1.6385212791988141E-2</c:v>
                </c:pt>
                <c:pt idx="1">
                  <c:v>2.0279017760110304E-2</c:v>
                </c:pt>
                <c:pt idx="2">
                  <c:v>2.5098150926358538E-2</c:v>
                </c:pt>
                <c:pt idx="3">
                  <c:v>3.106250775145172E-2</c:v>
                </c:pt>
                <c:pt idx="4">
                  <c:v>3.8444239459070342E-2</c:v>
                </c:pt>
                <c:pt idx="5">
                  <c:v>4.7580170886751427E-2</c:v>
                </c:pt>
                <c:pt idx="6">
                  <c:v>5.8887169178919251E-2</c:v>
                </c:pt>
                <c:pt idx="7">
                  <c:v>7.28811644819395E-2</c:v>
                </c:pt>
                <c:pt idx="8">
                  <c:v>9.0200690381705709E-2</c:v>
                </c:pt>
                <c:pt idx="9">
                  <c:v>0.11163601796789754</c:v>
                </c:pt>
                <c:pt idx="10" formatCode="0.0">
                  <c:v>0.1381652125050265</c:v>
                </c:pt>
                <c:pt idx="11" formatCode="0.0">
                  <c:v>0.17099875735269665</c:v>
                </c:pt>
                <c:pt idx="12" formatCode="0.0">
                  <c:v>0.21163478036995148</c:v>
                </c:pt>
                <c:pt idx="13" formatCode="0.0">
                  <c:v>0.26192740132280967</c:v>
                </c:pt>
                <c:pt idx="14" formatCode="0.0">
                  <c:v>0.32417131674883015</c:v>
                </c:pt>
                <c:pt idx="15" formatCode="0.0">
                  <c:v>0.40120647845829072</c:v>
                </c:pt>
                <c:pt idx="16" formatCode="0.0">
                  <c:v>0.49654763690257814</c:v>
                </c:pt>
                <c:pt idx="17" formatCode="0.0">
                  <c:v>0.61454465243442302</c:v>
                </c:pt>
                <c:pt idx="18" formatCode="0.0">
                  <c:v>0.7605808771508008</c:v>
                </c:pt>
                <c:pt idx="19" formatCode="0.0">
                  <c:v>0.94131864062633341</c:v>
                </c:pt>
                <c:pt idx="20" formatCode="0.0">
                  <c:v>1.165003012174094</c:v>
                </c:pt>
                <c:pt idx="21" formatCode="0.0">
                  <c:v>1.4418376560814883</c:v>
                </c:pt>
                <c:pt idx="22" formatCode="0.0">
                  <c:v>1.7844498623690088</c:v>
                </c:pt>
                <c:pt idx="23" formatCode="0.0">
                  <c:v>2.2084658687096637</c:v>
                </c:pt>
                <c:pt idx="24" formatCode="0.0">
                  <c:v>2.7332225666256384</c:v>
                </c:pt>
                <c:pt idx="25" formatCode="0.0">
                  <c:v>3.3826478239197324</c:v>
                </c:pt>
                <c:pt idx="26" formatCode="0.0">
                  <c:v>4.1863492200871413</c:v>
                </c:pt>
                <c:pt idx="27" formatCode="0.0">
                  <c:v>5.1809603036086873</c:v>
                </c:pt>
                <c:pt idx="28" formatCode="0.0">
                  <c:v>6.411804928122562</c:v>
                </c:pt>
                <c:pt idx="29" formatCode="0.0">
                  <c:v>7.9349542753207229</c:v>
                </c:pt>
                <c:pt idx="30" formatCode="0.0">
                  <c:v>9.8197683822430868</c:v>
                </c:pt>
                <c:pt idx="31" formatCode="0.0">
                  <c:v>12.152035015028869</c:v>
                </c:pt>
                <c:pt idx="32" formatCode="0.0">
                  <c:v>15.037844331492595</c:v>
                </c:pt>
                <c:pt idx="33" formatCode="0.0">
                  <c:v>18.608368817322805</c:v>
                </c:pt>
                <c:pt idx="34" formatCode="0.0">
                  <c:v>23.025755421699536</c:v>
                </c:pt>
                <c:pt idx="35" formatCode="0.0">
                  <c:v>28.490381666178251</c:v>
                </c:pt>
                <c:pt idx="36" formatCode="0.0">
                  <c:v>35.249780738917309</c:v>
                </c:pt>
                <c:pt idx="37" formatCode="0.0">
                  <c:v>43.609603031985145</c:v>
                </c:pt>
                <c:pt idx="38" formatCode="0.0">
                  <c:v>53.947053644227871</c:v>
                </c:pt>
                <c:pt idx="39" formatCode="0.0">
                  <c:v>66.727326669442206</c:v>
                </c:pt>
                <c:pt idx="40" formatCode="0.0">
                  <c:v>82.523645811012102</c:v>
                </c:pt>
                <c:pt idx="41" formatCode="0.0">
                  <c:v>102.04161281381577</c:v>
                </c:pt>
                <c:pt idx="42" formatCode="0.0">
                  <c:v>126.14865233775289</c:v>
                </c:pt>
                <c:pt idx="43" formatCode="0.0">
                  <c:v>155.90941016393225</c:v>
                </c:pt>
                <c:pt idx="44" formatCode="0.0">
                  <c:v>192.62798786391878</c:v>
                </c:pt>
                <c:pt idx="45" formatCode="0.0">
                  <c:v>237.89784468511706</c:v>
                </c:pt>
                <c:pt idx="46" formatCode="0.0">
                  <c:v>293.66001063907123</c:v>
                </c:pt>
                <c:pt idx="47" formatCode="0.0">
                  <c:v>362.2698514779313</c:v>
                </c:pt>
                <c:pt idx="48" formatCode="0.0">
                  <c:v>446.57188981010859</c:v>
                </c:pt>
                <c:pt idx="49" formatCode="0.0">
                  <c:v>549.98095874145224</c:v>
                </c:pt>
                <c:pt idx="50" formatCode="0.0">
                  <c:v>676.56604261248731</c:v>
                </c:pt>
                <c:pt idx="51" formatCode="0.0">
                  <c:v>831.13030670323838</c:v>
                </c:pt>
                <c:pt idx="52" formatCode="0.0">
                  <c:v>1019.2767982227729</c:v>
                </c:pt>
                <c:pt idx="53" formatCode="0.0">
                  <c:v>1247.4439608431844</c:v>
                </c:pt>
                <c:pt idx="54" formatCode="0.0">
                  <c:v>1522.8885273904302</c:v>
                </c:pt>
                <c:pt idx="55" formatCode="0.0">
                  <c:v>1853.586112565981</c:v>
                </c:pt>
                <c:pt idx="56" formatCode="0.0">
                  <c:v>2248.0133373281064</c:v>
                </c:pt>
                <c:pt idx="57" formatCode="0.0">
                  <c:v>2714.7722373881611</c:v>
                </c:pt>
                <c:pt idx="58" formatCode="0.0">
                  <c:v>3262.0221812234736</c:v>
                </c:pt>
                <c:pt idx="59" formatCode="0.0">
                  <c:v>3896.7018663366043</c:v>
                </c:pt>
                <c:pt idx="60" formatCode="0.0">
                  <c:v>4623.5592505495733</c:v>
                </c:pt>
                <c:pt idx="61" formatCode="0.0">
                  <c:v>5444.0623132270794</c:v>
                </c:pt>
                <c:pt idx="62">
                  <c:v>6355.3324647392128</c:v>
                </c:pt>
                <c:pt idx="63">
                  <c:v>7349.3077422706883</c:v>
                </c:pt>
                <c:pt idx="64">
                  <c:v>8412.3757888611926</c:v>
                </c:pt>
                <c:pt idx="65">
                  <c:v>9525.6853961896268</c:v>
                </c:pt>
                <c:pt idx="66">
                  <c:v>10666.233099088557</c:v>
                </c:pt>
                <c:pt idx="67">
                  <c:v>11808.644009415824</c:v>
                </c:pt>
                <c:pt idx="68">
                  <c:v>12927.377936881545</c:v>
                </c:pt>
                <c:pt idx="69">
                  <c:v>13998.965898189033</c:v>
                </c:pt>
                <c:pt idx="70">
                  <c:v>15003.872840649332</c:v>
                </c:pt>
                <c:pt idx="71">
                  <c:v>15927.693957025065</c:v>
                </c:pt>
                <c:pt idx="72">
                  <c:v>16761.575657786372</c:v>
                </c:pt>
                <c:pt idx="73">
                  <c:v>17501.935246524823</c:v>
                </c:pt>
                <c:pt idx="74">
                  <c:v>18149.676943345767</c:v>
                </c:pt>
                <c:pt idx="75">
                  <c:v>18709.144361659237</c:v>
                </c:pt>
                <c:pt idx="76">
                  <c:v>19187.024095357261</c:v>
                </c:pt>
                <c:pt idx="77">
                  <c:v>19591.352447872006</c:v>
                </c:pt>
                <c:pt idx="78">
                  <c:v>19930.707550356765</c:v>
                </c:pt>
                <c:pt idx="79">
                  <c:v>20213.611474405239</c:v>
                </c:pt>
                <c:pt idx="80">
                  <c:v>20448.128792108924</c:v>
                </c:pt>
                <c:pt idx="81">
                  <c:v>20641.628382984229</c:v>
                </c:pt>
                <c:pt idx="82">
                  <c:v>20800.669303362563</c:v>
                </c:pt>
                <c:pt idx="83">
                  <c:v>20930.973814520068</c:v>
                </c:pt>
                <c:pt idx="84">
                  <c:v>21037.456862002084</c:v>
                </c:pt>
                <c:pt idx="85">
                  <c:v>21124.288545296393</c:v>
                </c:pt>
                <c:pt idx="86">
                  <c:v>21194.972841448161</c:v>
                </c:pt>
                <c:pt idx="87">
                  <c:v>21252.431378061912</c:v>
                </c:pt>
                <c:pt idx="88">
                  <c:v>21299.085255067221</c:v>
                </c:pt>
                <c:pt idx="89">
                  <c:v>21336.930921772189</c:v>
                </c:pt>
                <c:pt idx="90">
                  <c:v>21367.60815661326</c:v>
                </c:pt>
                <c:pt idx="91">
                  <c:v>21392.459511432124</c:v>
                </c:pt>
                <c:pt idx="92">
                  <c:v>21412.581378582086</c:v>
                </c:pt>
                <c:pt idx="93">
                  <c:v>21428.867282392122</c:v>
                </c:pt>
                <c:pt idx="94">
                  <c:v>21442.044208713502</c:v>
                </c:pt>
                <c:pt idx="95">
                  <c:v>21452.702854050272</c:v>
                </c:pt>
                <c:pt idx="96">
                  <c:v>21461.32265823142</c:v>
                </c:pt>
                <c:pt idx="97">
                  <c:v>21489.488406742214</c:v>
                </c:pt>
                <c:pt idx="98">
                  <c:v>21495.830822246149</c:v>
                </c:pt>
                <c:pt idx="99">
                  <c:v>21497.257241881223</c:v>
                </c:pt>
                <c:pt idx="100">
                  <c:v>21497.57795612379</c:v>
                </c:pt>
                <c:pt idx="101">
                  <c:v>21497.650060533218</c:v>
                </c:pt>
                <c:pt idx="102">
                  <c:v>21497.666271139198</c:v>
                </c:pt>
                <c:pt idx="103">
                  <c:v>21497.669915616858</c:v>
                </c:pt>
                <c:pt idx="104">
                  <c:v>21497.670734969808</c:v>
                </c:pt>
              </c:numCache>
            </c:numRef>
          </c:yVal>
          <c:smooth val="0"/>
        </c:ser>
        <c:dLbls>
          <c:showLegendKey val="0"/>
          <c:showVal val="0"/>
          <c:showCatName val="0"/>
          <c:showSerName val="0"/>
          <c:showPercent val="0"/>
          <c:showBubbleSize val="0"/>
        </c:dLbls>
        <c:axId val="983137312"/>
        <c:axId val="983129472"/>
      </c:scatterChart>
      <c:valAx>
        <c:axId val="983137312"/>
        <c:scaling>
          <c:orientation val="minMax"/>
          <c:max val="43952"/>
          <c:min val="43852"/>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29472"/>
        <c:crossesAt val="1.0000000000000002E-2"/>
        <c:crossBetween val="midCat"/>
        <c:majorUnit val="7"/>
        <c:minorUnit val="1"/>
      </c:valAx>
      <c:valAx>
        <c:axId val="983129472"/>
        <c:scaling>
          <c:logBase val="10"/>
          <c:orientation val="minMax"/>
          <c:max val="10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37312"/>
        <c:crosses val="autoZero"/>
        <c:crossBetween val="midCat"/>
      </c:valAx>
      <c:spPr>
        <a:noFill/>
        <a:ln>
          <a:noFill/>
        </a:ln>
        <a:effectLst/>
      </c:spPr>
    </c:plotArea>
    <c:legend>
      <c:legendPos val="b"/>
      <c:layout>
        <c:manualLayout>
          <c:xMode val="edge"/>
          <c:yMode val="edge"/>
          <c:x val="0.59089354390468662"/>
          <c:y val="0.67728075969062929"/>
          <c:w val="0.40090796657555433"/>
          <c:h val="0.2160644258417659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myData!$EX$17</c:f>
          <c:strCache>
            <c:ptCount val="1"/>
            <c:pt idx="0">
              <c:v>COVID19 United Kingdom P(t) = b / {d+[( b/Po - d ) ]* exp(-b*t)}
b=0.213, d=1.49E-06, P0=.639, r2=0.9527, Limit=21.5 k=&gt;143 k cases 
 (Fit: Thu 30-Jan - Sat 02-May)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138206597703969E-2"/>
          <c:y val="0.21155919046030849"/>
          <c:w val="0.47006084994042152"/>
          <c:h val="0.65628108641116001"/>
        </c:manualLayout>
      </c:layout>
      <c:scatterChart>
        <c:scatterStyle val="lineMarker"/>
        <c:varyColors val="0"/>
        <c:ser>
          <c:idx val="1"/>
          <c:order val="0"/>
          <c:tx>
            <c:v>UK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myData!UKDates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myData!UKCases</c:f>
              <c:numCache>
                <c:formatCode>0.0</c:formatCode>
                <c:ptCount val="93"/>
                <c:pt idx="0">
                  <c:v>0.30102347983142685</c:v>
                </c:pt>
                <c:pt idx="1">
                  <c:v>0.30102347983142685</c:v>
                </c:pt>
                <c:pt idx="2">
                  <c:v>0.30102347983142685</c:v>
                </c:pt>
                <c:pt idx="3">
                  <c:v>0.30102347983142685</c:v>
                </c:pt>
                <c:pt idx="4">
                  <c:v>0.30102347983142685</c:v>
                </c:pt>
                <c:pt idx="5">
                  <c:v>0.30102347983142685</c:v>
                </c:pt>
                <c:pt idx="6">
                  <c:v>0.30102347983142685</c:v>
                </c:pt>
                <c:pt idx="7">
                  <c:v>0.45153521974714028</c:v>
                </c:pt>
                <c:pt idx="8">
                  <c:v>0.45153521974714028</c:v>
                </c:pt>
                <c:pt idx="9">
                  <c:v>0.45153521974714028</c:v>
                </c:pt>
                <c:pt idx="10">
                  <c:v>1.2040939193257074</c:v>
                </c:pt>
                <c:pt idx="11">
                  <c:v>1.2040939193257074</c:v>
                </c:pt>
                <c:pt idx="12">
                  <c:v>1.3546056592414208</c:v>
                </c:pt>
                <c:pt idx="13">
                  <c:v>1.3546056592414208</c:v>
                </c:pt>
                <c:pt idx="14">
                  <c:v>1.3546056592414208</c:v>
                </c:pt>
                <c:pt idx="15">
                  <c:v>1.3546056592414208</c:v>
                </c:pt>
                <c:pt idx="16">
                  <c:v>1.3546056592414208</c:v>
                </c:pt>
                <c:pt idx="17">
                  <c:v>1.3546056592414208</c:v>
                </c:pt>
                <c:pt idx="18">
                  <c:v>1.3546056592414208</c:v>
                </c:pt>
                <c:pt idx="19">
                  <c:v>1.3546056592414208</c:v>
                </c:pt>
                <c:pt idx="20">
                  <c:v>1.3546056592414208</c:v>
                </c:pt>
                <c:pt idx="21">
                  <c:v>1.3546056592414208</c:v>
                </c:pt>
                <c:pt idx="22">
                  <c:v>1.3546056592414208</c:v>
                </c:pt>
                <c:pt idx="23">
                  <c:v>1.3546056592414208</c:v>
                </c:pt>
                <c:pt idx="24">
                  <c:v>1.9566526189042746</c:v>
                </c:pt>
                <c:pt idx="25">
                  <c:v>1.9566526189042746</c:v>
                </c:pt>
                <c:pt idx="26">
                  <c:v>1.9566526189042746</c:v>
                </c:pt>
                <c:pt idx="27">
                  <c:v>2.2576760987357014</c:v>
                </c:pt>
                <c:pt idx="28">
                  <c:v>3.0102347983142685</c:v>
                </c:pt>
                <c:pt idx="29">
                  <c:v>3.4617700180614088</c:v>
                </c:pt>
                <c:pt idx="30">
                  <c:v>5.4184226369656834</c:v>
                </c:pt>
                <c:pt idx="31">
                  <c:v>6.0204695966285371</c:v>
                </c:pt>
                <c:pt idx="32">
                  <c:v>7.6760987357013848</c:v>
                </c:pt>
                <c:pt idx="33">
                  <c:v>12.944009632751355</c:v>
                </c:pt>
                <c:pt idx="34">
                  <c:v>17.459361830222758</c:v>
                </c:pt>
                <c:pt idx="35">
                  <c:v>24.683925346177002</c:v>
                </c:pt>
                <c:pt idx="36">
                  <c:v>31.155930162552679</c:v>
                </c:pt>
                <c:pt idx="37">
                  <c:v>41.240216736905481</c:v>
                </c:pt>
                <c:pt idx="38">
                  <c:v>48.464780252859725</c:v>
                </c:pt>
                <c:pt idx="39">
                  <c:v>57.796508127633956</c:v>
                </c:pt>
                <c:pt idx="40">
                  <c:v>69.084888621312459</c:v>
                </c:pt>
                <c:pt idx="41">
                  <c:v>69.084888621312459</c:v>
                </c:pt>
                <c:pt idx="42">
                  <c:v>120.71041541240217</c:v>
                </c:pt>
                <c:pt idx="43">
                  <c:v>172.18543046357615</c:v>
                </c:pt>
                <c:pt idx="44">
                  <c:v>172.33594220349187</c:v>
                </c:pt>
                <c:pt idx="45">
                  <c:v>233.44370860927151</c:v>
                </c:pt>
                <c:pt idx="46">
                  <c:v>295.0030102347983</c:v>
                </c:pt>
                <c:pt idx="47">
                  <c:v>397.65201685731489</c:v>
                </c:pt>
                <c:pt idx="48">
                  <c:v>408.78988561107764</c:v>
                </c:pt>
                <c:pt idx="49">
                  <c:v>604.15412402167362</c:v>
                </c:pt>
                <c:pt idx="50">
                  <c:v>762.64298615291989</c:v>
                </c:pt>
                <c:pt idx="51">
                  <c:v>864.68994581577363</c:v>
                </c:pt>
                <c:pt idx="52">
                  <c:v>1012.3419626730885</c:v>
                </c:pt>
                <c:pt idx="53">
                  <c:v>1228.7778446718844</c:v>
                </c:pt>
                <c:pt idx="54">
                  <c:v>1450.9331727874774</c:v>
                </c:pt>
                <c:pt idx="55">
                  <c:v>1777.844671884407</c:v>
                </c:pt>
                <c:pt idx="56">
                  <c:v>2219.2956050571943</c:v>
                </c:pt>
                <c:pt idx="57">
                  <c:v>2605.6592414208308</c:v>
                </c:pt>
                <c:pt idx="58">
                  <c:v>2977.1222155328114</c:v>
                </c:pt>
                <c:pt idx="59">
                  <c:v>3379.4400963275134</c:v>
                </c:pt>
                <c:pt idx="60">
                  <c:v>3835.1896447922936</c:v>
                </c:pt>
                <c:pt idx="61">
                  <c:v>4495.0331125827815</c:v>
                </c:pt>
                <c:pt idx="62">
                  <c:v>5143.4376881396747</c:v>
                </c:pt>
                <c:pt idx="63">
                  <c:v>5823.1487055990365</c:v>
                </c:pt>
                <c:pt idx="64">
                  <c:v>6393.2871763997591</c:v>
                </c:pt>
                <c:pt idx="65">
                  <c:v>7290.1866345574954</c:v>
                </c:pt>
                <c:pt idx="66">
                  <c:v>7868.6032510535824</c:v>
                </c:pt>
                <c:pt idx="67">
                  <c:v>8420.9813365442496</c:v>
                </c:pt>
                <c:pt idx="68">
                  <c:v>9252.558699578567</c:v>
                </c:pt>
                <c:pt idx="69">
                  <c:v>9914.5093317278752</c:v>
                </c:pt>
                <c:pt idx="70">
                  <c:v>11228.9283564118</c:v>
                </c:pt>
                <c:pt idx="71">
                  <c:v>12021.974714027694</c:v>
                </c:pt>
                <c:pt idx="72">
                  <c:v>12824.503311258279</c:v>
                </c:pt>
                <c:pt idx="73">
                  <c:v>13481.336544250451</c:v>
                </c:pt>
                <c:pt idx="74">
                  <c:v>14275.285972305839</c:v>
                </c:pt>
                <c:pt idx="75">
                  <c:v>14973.359422034919</c:v>
                </c:pt>
                <c:pt idx="76">
                  <c:v>15675.045153521974</c:v>
                </c:pt>
                <c:pt idx="77">
                  <c:v>16521.523178807947</c:v>
                </c:pt>
                <c:pt idx="78">
                  <c:v>17356.110776640577</c:v>
                </c:pt>
                <c:pt idx="79">
                  <c:v>18237.808549066827</c:v>
                </c:pt>
                <c:pt idx="80">
                  <c:v>18942.805538832028</c:v>
                </c:pt>
                <c:pt idx="81">
                  <c:v>19592.414208308248</c:v>
                </c:pt>
                <c:pt idx="82">
                  <c:v>20264.599638771822</c:v>
                </c:pt>
                <c:pt idx="83">
                  <c:v>20958.15773630343</c:v>
                </c:pt>
                <c:pt idx="84">
                  <c:v>21770.018061408791</c:v>
                </c:pt>
                <c:pt idx="85" formatCode="0.000">
                  <c:v>22511.890427453342</c:v>
                </c:pt>
                <c:pt idx="86" formatCode="0.000">
                  <c:v>23184.376881396747</c:v>
                </c:pt>
                <c:pt idx="87" formatCode="0.000">
                  <c:v>23833.232992173391</c:v>
                </c:pt>
                <c:pt idx="88" formatCode="0.000">
                  <c:v>24435.580975316076</c:v>
                </c:pt>
                <c:pt idx="89" formatCode="0.000">
                  <c:v>25051.324503311258</c:v>
                </c:pt>
                <c:pt idx="90" formatCode="0.000">
                  <c:v>25960.415412402166</c:v>
                </c:pt>
                <c:pt idx="91" formatCode="0.000">
                  <c:v>26894.190246839255</c:v>
                </c:pt>
                <c:pt idx="92" formatCode="0.000">
                  <c:v>27618.904274533412</c:v>
                </c:pt>
              </c:numCache>
            </c:numRef>
          </c:yVal>
          <c:smooth val="0"/>
        </c:ser>
        <c:ser>
          <c:idx val="0"/>
          <c:order val="1"/>
          <c:tx>
            <c:strRef>
              <c:f>myData!UKSeries</c:f>
              <c:strCache>
                <c:ptCount val="1"/>
                <c:pt idx="0">
                  <c:v>United Kingdom Limit 21.5 k r^2=95.27%</c:v>
                </c:pt>
              </c:strCache>
            </c:strRef>
          </c:tx>
          <c:spPr>
            <a:ln w="19050" cap="rnd">
              <a:solidFill>
                <a:schemeClr val="accent1"/>
              </a:solidFill>
              <a:prstDash val="sysDash"/>
              <a:round/>
            </a:ln>
            <a:effectLst/>
          </c:spPr>
          <c:marker>
            <c:symbol val="none"/>
          </c:marker>
          <c:xVal>
            <c:numRef>
              <c:f>myData!UKLogiDates</c:f>
              <c:numCache>
                <c:formatCode>m/d/yyyy</c:formatCode>
                <c:ptCount val="105"/>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pt idx="93">
                  <c:v>43954</c:v>
                </c:pt>
                <c:pt idx="94">
                  <c:v>43955</c:v>
                </c:pt>
                <c:pt idx="95">
                  <c:v>43956</c:v>
                </c:pt>
                <c:pt idx="96">
                  <c:v>43957</c:v>
                </c:pt>
                <c:pt idx="97">
                  <c:v>43964</c:v>
                </c:pt>
                <c:pt idx="98">
                  <c:v>43971</c:v>
                </c:pt>
                <c:pt idx="99">
                  <c:v>43978</c:v>
                </c:pt>
                <c:pt idx="100">
                  <c:v>43985</c:v>
                </c:pt>
                <c:pt idx="101">
                  <c:v>43992</c:v>
                </c:pt>
                <c:pt idx="102">
                  <c:v>43999</c:v>
                </c:pt>
                <c:pt idx="103">
                  <c:v>44006</c:v>
                </c:pt>
                <c:pt idx="104">
                  <c:v>44013</c:v>
                </c:pt>
              </c:numCache>
            </c:numRef>
          </c:xVal>
          <c:yVal>
            <c:numRef>
              <c:f>myData!UKLogi</c:f>
              <c:numCache>
                <c:formatCode>0</c:formatCode>
                <c:ptCount val="105"/>
                <c:pt idx="0">
                  <c:v>1.6385212791988141E-2</c:v>
                </c:pt>
                <c:pt idx="1">
                  <c:v>2.0279017760110304E-2</c:v>
                </c:pt>
                <c:pt idx="2">
                  <c:v>2.5098150926358538E-2</c:v>
                </c:pt>
                <c:pt idx="3">
                  <c:v>3.106250775145172E-2</c:v>
                </c:pt>
                <c:pt idx="4">
                  <c:v>3.8444239459070342E-2</c:v>
                </c:pt>
                <c:pt idx="5">
                  <c:v>4.7580170886751427E-2</c:v>
                </c:pt>
                <c:pt idx="6">
                  <c:v>5.8887169178919251E-2</c:v>
                </c:pt>
                <c:pt idx="7">
                  <c:v>7.28811644819395E-2</c:v>
                </c:pt>
                <c:pt idx="8">
                  <c:v>9.0200690381705709E-2</c:v>
                </c:pt>
                <c:pt idx="9">
                  <c:v>0.11163601796789754</c:v>
                </c:pt>
                <c:pt idx="10" formatCode="0.0">
                  <c:v>0.1381652125050265</c:v>
                </c:pt>
                <c:pt idx="11" formatCode="0.0">
                  <c:v>0.17099875735269665</c:v>
                </c:pt>
                <c:pt idx="12" formatCode="0.0">
                  <c:v>0.21163478036995148</c:v>
                </c:pt>
                <c:pt idx="13" formatCode="0.0">
                  <c:v>0.26192740132280967</c:v>
                </c:pt>
                <c:pt idx="14" formatCode="0.0">
                  <c:v>0.32417131674883015</c:v>
                </c:pt>
                <c:pt idx="15" formatCode="0.0">
                  <c:v>0.40120647845829072</c:v>
                </c:pt>
                <c:pt idx="16" formatCode="0.0">
                  <c:v>0.49654763690257814</c:v>
                </c:pt>
                <c:pt idx="17" formatCode="0.0">
                  <c:v>0.61454465243442302</c:v>
                </c:pt>
                <c:pt idx="18" formatCode="0.0">
                  <c:v>0.7605808771508008</c:v>
                </c:pt>
                <c:pt idx="19" formatCode="0.0">
                  <c:v>0.94131864062633341</c:v>
                </c:pt>
                <c:pt idx="20" formatCode="0.0">
                  <c:v>1.165003012174094</c:v>
                </c:pt>
                <c:pt idx="21" formatCode="0.0">
                  <c:v>1.4418376560814883</c:v>
                </c:pt>
                <c:pt idx="22" formatCode="0.0">
                  <c:v>1.7844498623690088</c:v>
                </c:pt>
                <c:pt idx="23" formatCode="0.0">
                  <c:v>2.2084658687096637</c:v>
                </c:pt>
                <c:pt idx="24" formatCode="0.0">
                  <c:v>2.7332225666256384</c:v>
                </c:pt>
                <c:pt idx="25" formatCode="0.0">
                  <c:v>3.3826478239197324</c:v>
                </c:pt>
                <c:pt idx="26" formatCode="0.0">
                  <c:v>4.1863492200871413</c:v>
                </c:pt>
                <c:pt idx="27" formatCode="0.0">
                  <c:v>5.1809603036086873</c:v>
                </c:pt>
                <c:pt idx="28" formatCode="0.0">
                  <c:v>6.411804928122562</c:v>
                </c:pt>
                <c:pt idx="29" formatCode="0.0">
                  <c:v>7.9349542753207229</c:v>
                </c:pt>
                <c:pt idx="30" formatCode="0.0">
                  <c:v>9.8197683822430868</c:v>
                </c:pt>
                <c:pt idx="31" formatCode="0.0">
                  <c:v>12.152035015028869</c:v>
                </c:pt>
                <c:pt idx="32" formatCode="0.0">
                  <c:v>15.037844331492595</c:v>
                </c:pt>
                <c:pt idx="33" formatCode="0.0">
                  <c:v>18.608368817322805</c:v>
                </c:pt>
                <c:pt idx="34" formatCode="0.0">
                  <c:v>23.025755421699536</c:v>
                </c:pt>
                <c:pt idx="35" formatCode="0.0">
                  <c:v>28.490381666178251</c:v>
                </c:pt>
                <c:pt idx="36" formatCode="0.0">
                  <c:v>35.249780738917309</c:v>
                </c:pt>
                <c:pt idx="37" formatCode="0.0">
                  <c:v>43.609603031985145</c:v>
                </c:pt>
                <c:pt idx="38" formatCode="0.0">
                  <c:v>53.947053644227871</c:v>
                </c:pt>
                <c:pt idx="39" formatCode="0.0">
                  <c:v>66.727326669442206</c:v>
                </c:pt>
                <c:pt idx="40" formatCode="0.0">
                  <c:v>82.523645811012102</c:v>
                </c:pt>
                <c:pt idx="41" formatCode="0.0">
                  <c:v>102.04161281381577</c:v>
                </c:pt>
                <c:pt idx="42" formatCode="0.0">
                  <c:v>126.14865233775289</c:v>
                </c:pt>
                <c:pt idx="43" formatCode="0.0">
                  <c:v>155.90941016393225</c:v>
                </c:pt>
                <c:pt idx="44" formatCode="0.0">
                  <c:v>192.62798786391878</c:v>
                </c:pt>
                <c:pt idx="45" formatCode="0.0">
                  <c:v>237.89784468511706</c:v>
                </c:pt>
                <c:pt idx="46" formatCode="0.0">
                  <c:v>293.66001063907123</c:v>
                </c:pt>
                <c:pt idx="47" formatCode="0.0">
                  <c:v>362.2698514779313</c:v>
                </c:pt>
                <c:pt idx="48" formatCode="0.0">
                  <c:v>446.57188981010859</c:v>
                </c:pt>
                <c:pt idx="49" formatCode="0.0">
                  <c:v>549.98095874145224</c:v>
                </c:pt>
                <c:pt idx="50" formatCode="0.0">
                  <c:v>676.56604261248731</c:v>
                </c:pt>
                <c:pt idx="51" formatCode="0.0">
                  <c:v>831.13030670323838</c:v>
                </c:pt>
                <c:pt idx="52" formatCode="0.0">
                  <c:v>1019.2767982227729</c:v>
                </c:pt>
                <c:pt idx="53" formatCode="0.0">
                  <c:v>1247.4439608431844</c:v>
                </c:pt>
                <c:pt idx="54" formatCode="0.0">
                  <c:v>1522.8885273904302</c:v>
                </c:pt>
                <c:pt idx="55" formatCode="0.0">
                  <c:v>1853.586112565981</c:v>
                </c:pt>
                <c:pt idx="56" formatCode="0.0">
                  <c:v>2248.0133373281064</c:v>
                </c:pt>
                <c:pt idx="57" formatCode="0.0">
                  <c:v>2714.7722373881611</c:v>
                </c:pt>
                <c:pt idx="58" formatCode="0.0">
                  <c:v>3262.0221812234736</c:v>
                </c:pt>
                <c:pt idx="59" formatCode="0.0">
                  <c:v>3896.7018663366043</c:v>
                </c:pt>
                <c:pt idx="60" formatCode="0.0">
                  <c:v>4623.5592505495733</c:v>
                </c:pt>
                <c:pt idx="61" formatCode="0.0">
                  <c:v>5444.0623132270794</c:v>
                </c:pt>
                <c:pt idx="62">
                  <c:v>6355.3324647392128</c:v>
                </c:pt>
                <c:pt idx="63">
                  <c:v>7349.3077422706883</c:v>
                </c:pt>
                <c:pt idx="64">
                  <c:v>8412.3757888611926</c:v>
                </c:pt>
                <c:pt idx="65">
                  <c:v>9525.6853961896268</c:v>
                </c:pt>
                <c:pt idx="66">
                  <c:v>10666.233099088557</c:v>
                </c:pt>
                <c:pt idx="67">
                  <c:v>11808.644009415824</c:v>
                </c:pt>
                <c:pt idx="68">
                  <c:v>12927.377936881545</c:v>
                </c:pt>
                <c:pt idx="69">
                  <c:v>13998.965898189033</c:v>
                </c:pt>
                <c:pt idx="70">
                  <c:v>15003.872840649332</c:v>
                </c:pt>
                <c:pt idx="71">
                  <c:v>15927.693957025065</c:v>
                </c:pt>
                <c:pt idx="72">
                  <c:v>16761.575657786372</c:v>
                </c:pt>
                <c:pt idx="73">
                  <c:v>17501.935246524823</c:v>
                </c:pt>
                <c:pt idx="74">
                  <c:v>18149.676943345767</c:v>
                </c:pt>
                <c:pt idx="75">
                  <c:v>18709.144361659237</c:v>
                </c:pt>
                <c:pt idx="76">
                  <c:v>19187.024095357261</c:v>
                </c:pt>
                <c:pt idx="77">
                  <c:v>19591.352447872006</c:v>
                </c:pt>
                <c:pt idx="78">
                  <c:v>19930.707550356765</c:v>
                </c:pt>
                <c:pt idx="79">
                  <c:v>20213.611474405239</c:v>
                </c:pt>
                <c:pt idx="80">
                  <c:v>20448.128792108924</c:v>
                </c:pt>
                <c:pt idx="81">
                  <c:v>20641.628382984229</c:v>
                </c:pt>
                <c:pt idx="82">
                  <c:v>20800.669303362563</c:v>
                </c:pt>
                <c:pt idx="83">
                  <c:v>20930.973814520068</c:v>
                </c:pt>
                <c:pt idx="84">
                  <c:v>21037.456862002084</c:v>
                </c:pt>
                <c:pt idx="85">
                  <c:v>21124.288545296393</c:v>
                </c:pt>
                <c:pt idx="86">
                  <c:v>21194.972841448161</c:v>
                </c:pt>
                <c:pt idx="87">
                  <c:v>21252.431378061912</c:v>
                </c:pt>
                <c:pt idx="88">
                  <c:v>21299.085255067221</c:v>
                </c:pt>
                <c:pt idx="89">
                  <c:v>21336.930921772189</c:v>
                </c:pt>
                <c:pt idx="90">
                  <c:v>21367.60815661326</c:v>
                </c:pt>
                <c:pt idx="91">
                  <c:v>21392.459511432124</c:v>
                </c:pt>
                <c:pt idx="92">
                  <c:v>21412.581378582086</c:v>
                </c:pt>
                <c:pt idx="93">
                  <c:v>21428.867282392122</c:v>
                </c:pt>
                <c:pt idx="94">
                  <c:v>21442.044208713502</c:v>
                </c:pt>
                <c:pt idx="95">
                  <c:v>21452.702854050272</c:v>
                </c:pt>
                <c:pt idx="96">
                  <c:v>21461.32265823142</c:v>
                </c:pt>
                <c:pt idx="97">
                  <c:v>21489.488406742214</c:v>
                </c:pt>
                <c:pt idx="98">
                  <c:v>21495.830822246149</c:v>
                </c:pt>
                <c:pt idx="99">
                  <c:v>21497.257241881223</c:v>
                </c:pt>
                <c:pt idx="100">
                  <c:v>21497.57795612379</c:v>
                </c:pt>
                <c:pt idx="101">
                  <c:v>21497.650060533218</c:v>
                </c:pt>
                <c:pt idx="102">
                  <c:v>21497.666271139198</c:v>
                </c:pt>
                <c:pt idx="103">
                  <c:v>21497.669915616858</c:v>
                </c:pt>
                <c:pt idx="104">
                  <c:v>21497.670734969808</c:v>
                </c:pt>
              </c:numCache>
            </c:numRef>
          </c:yVal>
          <c:smooth val="0"/>
        </c:ser>
        <c:dLbls>
          <c:showLegendKey val="0"/>
          <c:showVal val="0"/>
          <c:showCatName val="0"/>
          <c:showSerName val="0"/>
          <c:showPercent val="0"/>
          <c:showBubbleSize val="0"/>
        </c:dLbls>
        <c:axId val="983135352"/>
        <c:axId val="983130256"/>
      </c:scatterChart>
      <c:valAx>
        <c:axId val="983135352"/>
        <c:scaling>
          <c:orientation val="minMax"/>
          <c:max val="43951"/>
          <c:min val="4385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30256"/>
        <c:crossesAt val="0.1"/>
        <c:crossBetween val="midCat"/>
        <c:majorUnit val="14"/>
        <c:minorUnit val="7"/>
      </c:valAx>
      <c:valAx>
        <c:axId val="983130256"/>
        <c:scaling>
          <c:logBase val="10"/>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35352"/>
        <c:crosses val="autoZero"/>
        <c:crossBetween val="midCat"/>
      </c:valAx>
      <c:spPr>
        <a:noFill/>
        <a:ln>
          <a:noFill/>
        </a:ln>
        <a:effectLst/>
      </c:spPr>
    </c:plotArea>
    <c:legend>
      <c:legendPos val="b"/>
      <c:layout>
        <c:manualLayout>
          <c:xMode val="edge"/>
          <c:yMode val="edge"/>
          <c:x val="0.31275133186791321"/>
          <c:y val="0.58213656994533147"/>
          <c:w val="0.12878276497026317"/>
          <c:h val="0.237215237598062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myData!$EX$16</c:f>
          <c:strCache>
            <c:ptCount val="1"/>
            <c:pt idx="0">
              <c:v>COVID19 South Korea P(t) = b / {d+[( b/Po - d ) ]* exp(-b*t)}
b=0.177, d=1.73E-05, P0=.639, r2=0.9875, Limit=1.99 k=&gt;10.2 k cases , log fit from 19th Feb 
 (Fit: Wed 22-Jan - Sat 02-May)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77839986048242"/>
          <c:y val="0.21155919046030849"/>
          <c:w val="0.44278447540444205"/>
          <c:h val="0.65628108641116001"/>
        </c:manualLayout>
      </c:layout>
      <c:scatterChart>
        <c:scatterStyle val="lineMarker"/>
        <c:varyColors val="0"/>
        <c:ser>
          <c:idx val="1"/>
          <c:order val="0"/>
          <c:tx>
            <c:v>Skorea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myData!SKoreaDates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myData!SKoreaCases</c:f>
              <c:numCache>
                <c:formatCode>0.0</c:formatCode>
                <c:ptCount val="102"/>
                <c:pt idx="0">
                  <c:v>0.19455252918287938</c:v>
                </c:pt>
                <c:pt idx="1">
                  <c:v>0.19455252918287938</c:v>
                </c:pt>
                <c:pt idx="2">
                  <c:v>0.38910505836575876</c:v>
                </c:pt>
                <c:pt idx="3">
                  <c:v>0.38910505836575876</c:v>
                </c:pt>
                <c:pt idx="4">
                  <c:v>0.58365758754863817</c:v>
                </c:pt>
                <c:pt idx="5">
                  <c:v>0.77821011673151752</c:v>
                </c:pt>
                <c:pt idx="6">
                  <c:v>0.77821011673151752</c:v>
                </c:pt>
                <c:pt idx="7">
                  <c:v>0.77821011673151752</c:v>
                </c:pt>
                <c:pt idx="8">
                  <c:v>0.77821011673151752</c:v>
                </c:pt>
                <c:pt idx="9">
                  <c:v>2.1400778210116731</c:v>
                </c:pt>
                <c:pt idx="10">
                  <c:v>2.3346303501945527</c:v>
                </c:pt>
                <c:pt idx="11">
                  <c:v>2.918287937743191</c:v>
                </c:pt>
                <c:pt idx="12">
                  <c:v>2.918287937743191</c:v>
                </c:pt>
                <c:pt idx="13">
                  <c:v>3.1128404669260701</c:v>
                </c:pt>
                <c:pt idx="14">
                  <c:v>3.6964980544747084</c:v>
                </c:pt>
                <c:pt idx="15">
                  <c:v>4.4747081712062258</c:v>
                </c:pt>
                <c:pt idx="16">
                  <c:v>4.6692607003891053</c:v>
                </c:pt>
                <c:pt idx="17">
                  <c:v>4.6692607003891053</c:v>
                </c:pt>
                <c:pt idx="18">
                  <c:v>4.8638132295719849</c:v>
                </c:pt>
                <c:pt idx="19">
                  <c:v>5.2529182879377432</c:v>
                </c:pt>
                <c:pt idx="20">
                  <c:v>5.4474708171206228</c:v>
                </c:pt>
                <c:pt idx="21">
                  <c:v>5.4474708171206228</c:v>
                </c:pt>
                <c:pt idx="22">
                  <c:v>5.4474708171206228</c:v>
                </c:pt>
                <c:pt idx="23">
                  <c:v>5.4474708171206228</c:v>
                </c:pt>
                <c:pt idx="24">
                  <c:v>5.4474708171206228</c:v>
                </c:pt>
                <c:pt idx="25">
                  <c:v>5.6420233463035023</c:v>
                </c:pt>
                <c:pt idx="26">
                  <c:v>5.8365758754863819</c:v>
                </c:pt>
                <c:pt idx="27">
                  <c:v>6.0311284046692615</c:v>
                </c:pt>
                <c:pt idx="28">
                  <c:v>6.0311284046692615</c:v>
                </c:pt>
                <c:pt idx="29">
                  <c:v>20.233463035019458</c:v>
                </c:pt>
                <c:pt idx="30">
                  <c:v>39.688715953307394</c:v>
                </c:pt>
                <c:pt idx="31">
                  <c:v>84.241245136186777</c:v>
                </c:pt>
                <c:pt idx="32">
                  <c:v>117.1206225680934</c:v>
                </c:pt>
                <c:pt idx="33">
                  <c:v>162.06225680933852</c:v>
                </c:pt>
                <c:pt idx="34">
                  <c:v>190.07782101167317</c:v>
                </c:pt>
                <c:pt idx="35">
                  <c:v>245.33073929961091</c:v>
                </c:pt>
                <c:pt idx="36">
                  <c:v>343.579766536965</c:v>
                </c:pt>
                <c:pt idx="37">
                  <c:v>454.66926070038915</c:v>
                </c:pt>
                <c:pt idx="38">
                  <c:v>612.84046692607012</c:v>
                </c:pt>
                <c:pt idx="39">
                  <c:v>726.84824902723744</c:v>
                </c:pt>
                <c:pt idx="40">
                  <c:v>843.38521400778211</c:v>
                </c:pt>
                <c:pt idx="41">
                  <c:v>1008.9494163424125</c:v>
                </c:pt>
                <c:pt idx="42">
                  <c:v>1093.5797665369651</c:v>
                </c:pt>
                <c:pt idx="43">
                  <c:v>1184.4357976653698</c:v>
                </c:pt>
                <c:pt idx="44">
                  <c:v>1282.6848249027239</c:v>
                </c:pt>
                <c:pt idx="45">
                  <c:v>1369.8443579766538</c:v>
                </c:pt>
                <c:pt idx="46">
                  <c:v>1422.95719844358</c:v>
                </c:pt>
                <c:pt idx="47">
                  <c:v>1454.8638132295721</c:v>
                </c:pt>
                <c:pt idx="48">
                  <c:v>1461.6731517509729</c:v>
                </c:pt>
                <c:pt idx="49">
                  <c:v>1508.7548638132296</c:v>
                </c:pt>
                <c:pt idx="50">
                  <c:v>1530.933852140078</c:v>
                </c:pt>
                <c:pt idx="51">
                  <c:v>1552.3346303501946</c:v>
                </c:pt>
                <c:pt idx="52">
                  <c:v>1573.1517509727628</c:v>
                </c:pt>
                <c:pt idx="53">
                  <c:v>1587.9377431906616</c:v>
                </c:pt>
                <c:pt idx="54">
                  <c:v>1602.3346303501946</c:v>
                </c:pt>
                <c:pt idx="55">
                  <c:v>1618.6770428015566</c:v>
                </c:pt>
                <c:pt idx="56">
                  <c:v>1636.7704280155642</c:v>
                </c:pt>
                <c:pt idx="57">
                  <c:v>1666.342412451362</c:v>
                </c:pt>
                <c:pt idx="58">
                  <c:v>1683.2684824902724</c:v>
                </c:pt>
                <c:pt idx="59">
                  <c:v>1711.8677042801557</c:v>
                </c:pt>
                <c:pt idx="60">
                  <c:v>1743.3852140077822</c:v>
                </c:pt>
                <c:pt idx="61">
                  <c:v>1743.3852140077822</c:v>
                </c:pt>
                <c:pt idx="62">
                  <c:v>1758.1712062256811</c:v>
                </c:pt>
                <c:pt idx="63">
                  <c:v>1777.626459143969</c:v>
                </c:pt>
                <c:pt idx="64">
                  <c:v>1797.8599221789884</c:v>
                </c:pt>
                <c:pt idx="65">
                  <c:v>1815.5642023346304</c:v>
                </c:pt>
                <c:pt idx="66">
                  <c:v>1843.9688715953309</c:v>
                </c:pt>
                <c:pt idx="67">
                  <c:v>1864.3968871595332</c:v>
                </c:pt>
                <c:pt idx="68">
                  <c:v>1879.5719844357977</c:v>
                </c:pt>
                <c:pt idx="69">
                  <c:v>1903.8910505836577</c:v>
                </c:pt>
                <c:pt idx="70">
                  <c:v>1923.5408560311284</c:v>
                </c:pt>
                <c:pt idx="71">
                  <c:v>1940.8560311284048</c:v>
                </c:pt>
                <c:pt idx="72">
                  <c:v>1957.5875486381324</c:v>
                </c:pt>
                <c:pt idx="73">
                  <c:v>1975.8754863813231</c:v>
                </c:pt>
                <c:pt idx="74">
                  <c:v>1991.6342412451363</c:v>
                </c:pt>
                <c:pt idx="75">
                  <c:v>2000.7782101167315</c:v>
                </c:pt>
                <c:pt idx="76">
                  <c:v>2009.922178988327</c:v>
                </c:pt>
                <c:pt idx="77">
                  <c:v>2020.2334630350197</c:v>
                </c:pt>
                <c:pt idx="78">
                  <c:v>2027.8210116731518</c:v>
                </c:pt>
                <c:pt idx="79">
                  <c:v>2033.0739299610896</c:v>
                </c:pt>
                <c:pt idx="80">
                  <c:v>2038.910505836576</c:v>
                </c:pt>
                <c:pt idx="81">
                  <c:v>2045.1361867704281</c:v>
                </c:pt>
                <c:pt idx="82">
                  <c:v>2050</c:v>
                </c:pt>
                <c:pt idx="83">
                  <c:v>2055.252918287938</c:v>
                </c:pt>
                <c:pt idx="84">
                  <c:v>2060.5058365758755</c:v>
                </c:pt>
                <c:pt idx="85">
                  <c:v>2064.7859922178991</c:v>
                </c:pt>
                <c:pt idx="86">
                  <c:v>2069.0661478599222</c:v>
                </c:pt>
                <c:pt idx="87">
                  <c:v>2072.5680933852141</c:v>
                </c:pt>
                <c:pt idx="88">
                  <c:v>2074.1245136186772</c:v>
                </c:pt>
                <c:pt idx="89">
                  <c:v>2076.6536964980546</c:v>
                </c:pt>
                <c:pt idx="90">
                  <c:v>2078.4046692607003</c:v>
                </c:pt>
                <c:pt idx="91">
                  <c:v>2080.5447470817121</c:v>
                </c:pt>
                <c:pt idx="92">
                  <c:v>2083.2684824902726</c:v>
                </c:pt>
                <c:pt idx="93">
                  <c:v>2085.2140077821014</c:v>
                </c:pt>
                <c:pt idx="94">
                  <c:v>2087.1595330739301</c:v>
                </c:pt>
                <c:pt idx="95">
                  <c:v>2089.1050583657589</c:v>
                </c:pt>
                <c:pt idx="96">
                  <c:v>2091.8287937743194</c:v>
                </c:pt>
                <c:pt idx="97">
                  <c:v>2093.5797665369651</c:v>
                </c:pt>
                <c:pt idx="98">
                  <c:v>2094.3579766536968</c:v>
                </c:pt>
                <c:pt idx="99">
                  <c:v>2096.1089494163425</c:v>
                </c:pt>
                <c:pt idx="100">
                  <c:v>2097.2762645914399</c:v>
                </c:pt>
                <c:pt idx="101">
                  <c:v>2099.8054474708174</c:v>
                </c:pt>
              </c:numCache>
            </c:numRef>
          </c:yVal>
          <c:smooth val="0"/>
        </c:ser>
        <c:ser>
          <c:idx val="0"/>
          <c:order val="1"/>
          <c:tx>
            <c:strRef>
              <c:f>myData!SKoreaSeries</c:f>
              <c:strCache>
                <c:ptCount val="1"/>
                <c:pt idx="0">
                  <c:v>South Korea Limit 1.99 k r^2=98.75%</c:v>
                </c:pt>
              </c:strCache>
            </c:strRef>
          </c:tx>
          <c:spPr>
            <a:ln w="19050" cap="rnd">
              <a:solidFill>
                <a:schemeClr val="accent1"/>
              </a:solidFill>
              <a:prstDash val="sysDash"/>
              <a:round/>
            </a:ln>
            <a:effectLst/>
          </c:spPr>
          <c:marker>
            <c:symbol val="none"/>
          </c:marker>
          <c:xVal>
            <c:numRef>
              <c:f>myData!SKoreaLogiDates</c:f>
              <c:numCache>
                <c:formatCode>m/d/yyyy</c:formatCode>
                <c:ptCount val="113"/>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43926</c:v>
                </c:pt>
                <c:pt idx="74">
                  <c:v>43927</c:v>
                </c:pt>
                <c:pt idx="75">
                  <c:v>43928</c:v>
                </c:pt>
                <c:pt idx="76">
                  <c:v>43929</c:v>
                </c:pt>
                <c:pt idx="77">
                  <c:v>43930</c:v>
                </c:pt>
                <c:pt idx="78">
                  <c:v>43931</c:v>
                </c:pt>
                <c:pt idx="79">
                  <c:v>43932</c:v>
                </c:pt>
                <c:pt idx="80">
                  <c:v>43933</c:v>
                </c:pt>
                <c:pt idx="81">
                  <c:v>43934</c:v>
                </c:pt>
                <c:pt idx="82">
                  <c:v>43935</c:v>
                </c:pt>
                <c:pt idx="83">
                  <c:v>43936</c:v>
                </c:pt>
                <c:pt idx="84">
                  <c:v>43937</c:v>
                </c:pt>
                <c:pt idx="85">
                  <c:v>43938</c:v>
                </c:pt>
                <c:pt idx="86">
                  <c:v>43939</c:v>
                </c:pt>
                <c:pt idx="87">
                  <c:v>43940</c:v>
                </c:pt>
                <c:pt idx="88">
                  <c:v>43941</c:v>
                </c:pt>
                <c:pt idx="89">
                  <c:v>43942</c:v>
                </c:pt>
                <c:pt idx="90">
                  <c:v>43943</c:v>
                </c:pt>
                <c:pt idx="91">
                  <c:v>43944</c:v>
                </c:pt>
                <c:pt idx="92">
                  <c:v>43945</c:v>
                </c:pt>
                <c:pt idx="93">
                  <c:v>43946</c:v>
                </c:pt>
                <c:pt idx="94">
                  <c:v>43947</c:v>
                </c:pt>
                <c:pt idx="95">
                  <c:v>43948</c:v>
                </c:pt>
                <c:pt idx="96">
                  <c:v>43949</c:v>
                </c:pt>
                <c:pt idx="97">
                  <c:v>43950</c:v>
                </c:pt>
                <c:pt idx="98">
                  <c:v>43951</c:v>
                </c:pt>
                <c:pt idx="99">
                  <c:v>43952</c:v>
                </c:pt>
                <c:pt idx="100">
                  <c:v>43953</c:v>
                </c:pt>
                <c:pt idx="101">
                  <c:v>43954</c:v>
                </c:pt>
                <c:pt idx="102">
                  <c:v>43955</c:v>
                </c:pt>
                <c:pt idx="103">
                  <c:v>43956</c:v>
                </c:pt>
                <c:pt idx="104">
                  <c:v>43957</c:v>
                </c:pt>
                <c:pt idx="105">
                  <c:v>43964</c:v>
                </c:pt>
                <c:pt idx="106">
                  <c:v>43971</c:v>
                </c:pt>
                <c:pt idx="107">
                  <c:v>43978</c:v>
                </c:pt>
                <c:pt idx="108">
                  <c:v>43985</c:v>
                </c:pt>
                <c:pt idx="109">
                  <c:v>43992</c:v>
                </c:pt>
                <c:pt idx="110">
                  <c:v>43999</c:v>
                </c:pt>
                <c:pt idx="111">
                  <c:v>44006</c:v>
                </c:pt>
                <c:pt idx="112">
                  <c:v>44013</c:v>
                </c:pt>
              </c:numCache>
            </c:numRef>
          </c:xVal>
          <c:yVal>
            <c:numRef>
              <c:f>myData!SKoreaLogi</c:f>
              <c:numCache>
                <c:formatCode>0</c:formatCode>
                <c:ptCount val="113"/>
                <c:pt idx="0">
                  <c:v>1.1965599066091652</c:v>
                </c:pt>
                <c:pt idx="1">
                  <c:v>1.428540403998888</c:v>
                </c:pt>
                <c:pt idx="2">
                  <c:v>1.7054570790193173</c:v>
                </c:pt>
                <c:pt idx="3">
                  <c:v>2.0359979819083569</c:v>
                </c:pt>
                <c:pt idx="4">
                  <c:v>2.430523962443651</c:v>
                </c:pt>
                <c:pt idx="5">
                  <c:v>2.901387791185646</c:v>
                </c:pt>
                <c:pt idx="6">
                  <c:v>3.4633129007694881</c:v>
                </c:pt>
                <c:pt idx="7">
                  <c:v>4.1338423483086482</c:v>
                </c:pt>
                <c:pt idx="8">
                  <c:v>4.9338702526792133</c:v>
                </c:pt>
                <c:pt idx="9">
                  <c:v>5.8882697667872197</c:v>
                </c:pt>
                <c:pt idx="10">
                  <c:v>7.0266335670267051</c:v>
                </c:pt>
                <c:pt idx="11">
                  <c:v>8.3841448083684025</c:v>
                </c:pt>
                <c:pt idx="12">
                  <c:v>10.002598382231753</c:v>
                </c:pt>
                <c:pt idx="13">
                  <c:v>11.931593931437178</c:v>
                </c:pt>
                <c:pt idx="14">
                  <c:v>14.229923125270087</c:v>
                </c:pt>
                <c:pt idx="15">
                  <c:v>16.967173738025053</c:v>
                </c:pt>
                <c:pt idx="16">
                  <c:v>20.225571471033593</c:v>
                </c:pt>
                <c:pt idx="17">
                  <c:v>24.102076315382842</c:v>
                </c:pt>
                <c:pt idx="18" formatCode="0.0">
                  <c:v>28.710742336875661</c:v>
                </c:pt>
                <c:pt idx="19" formatCode="0.0">
                  <c:v>34.185336420354382</c:v>
                </c:pt>
                <c:pt idx="20" formatCode="0.0">
                  <c:v>40.682190578481084</c:v>
                </c:pt>
                <c:pt idx="21" formatCode="0.0">
                  <c:v>48.383231196707193</c:v>
                </c:pt>
                <c:pt idx="22" formatCode="0.0">
                  <c:v>57.499083802889245</c:v>
                </c:pt>
                <c:pt idx="23" formatCode="0.0">
                  <c:v>68.272089997976408</c:v>
                </c:pt>
                <c:pt idx="24" formatCode="0.0">
                  <c:v>80.978990495034964</c:v>
                </c:pt>
                <c:pt idx="25" formatCode="0.0">
                  <c:v>95.932922104546762</c:v>
                </c:pt>
                <c:pt idx="26" formatCode="0.0">
                  <c:v>113.48424662544784</c:v>
                </c:pt>
                <c:pt idx="27" formatCode="0.0">
                  <c:v>134.01958021032439</c:v>
                </c:pt>
                <c:pt idx="28" formatCode="0.0">
                  <c:v>157.95823495730659</c:v>
                </c:pt>
                <c:pt idx="29" formatCode="0.0">
                  <c:v>185.74514421922788</c:v>
                </c:pt>
                <c:pt idx="30" formatCode="0.0">
                  <c:v>217.83925951682858</c:v>
                </c:pt>
                <c:pt idx="31" formatCode="0.0">
                  <c:v>254.69643905109643</c:v>
                </c:pt>
                <c:pt idx="32" formatCode="0.0">
                  <c:v>296.74607217588897</c:v>
                </c:pt>
                <c:pt idx="33" formatCode="0.0">
                  <c:v>344.36118494805879</c:v>
                </c:pt>
                <c:pt idx="34" formatCode="0.0">
                  <c:v>397.8226178429897</c:v>
                </c:pt>
                <c:pt idx="35" formatCode="0.0">
                  <c:v>457.27907315312348</c:v>
                </c:pt>
                <c:pt idx="36" formatCode="0.0">
                  <c:v>522.70630863791064</c:v>
                </c:pt>
                <c:pt idx="37" formatCode="0.0">
                  <c:v>593.8702697075388</c:v>
                </c:pt>
                <c:pt idx="38" formatCode="0.0">
                  <c:v>670.30010921559074</c:v>
                </c:pt>
                <c:pt idx="39" formatCode="0.0">
                  <c:v>751.27734378847913</c:v>
                </c:pt>
                <c:pt idx="40" formatCode="0.0">
                  <c:v>835.84638466633533</c:v>
                </c:pt>
                <c:pt idx="41" formatCode="0.0">
                  <c:v>922.84916299760357</c:v>
                </c:pt>
                <c:pt idx="42" formatCode="0.0">
                  <c:v>1010.982802982084</c:v>
                </c:pt>
                <c:pt idx="43" formatCode="0.0">
                  <c:v>1098.87505340558</c:v>
                </c:pt>
                <c:pt idx="44" formatCode="0.0">
                  <c:v>1185.1685828949983</c:v>
                </c:pt>
                <c:pt idx="45" formatCode="0.0">
                  <c:v>1268.603349977923</c:v>
                </c:pt>
                <c:pt idx="46" formatCode="0.0">
                  <c:v>1348.0866754988899</c:v>
                </c:pt>
                <c:pt idx="47" formatCode="0.0">
                  <c:v>1422.7432383760945</c:v>
                </c:pt>
                <c:pt idx="48" formatCode="0.0">
                  <c:v>1491.9411777337341</c:v>
                </c:pt>
                <c:pt idx="49" formatCode="0.0">
                  <c:v>1555.2946762715164</c:v>
                </c:pt>
                <c:pt idx="50" formatCode="0.0">
                  <c:v>1612.6467921408887</c:v>
                </c:pt>
                <c:pt idx="51" formatCode="0.0">
                  <c:v>1664.0383003295658</c:v>
                </c:pt>
                <c:pt idx="52" formatCode="0.0">
                  <c:v>1709.6688165858886</c:v>
                </c:pt>
                <c:pt idx="53" formatCode="0.0">
                  <c:v>1749.8558193010992</c:v>
                </c:pt>
                <c:pt idx="54" formatCode="0.0">
                  <c:v>1784.995848818307</c:v>
                </c:pt>
                <c:pt idx="55" formatCode="0.0">
                  <c:v>1815.5306235507221</c:v>
                </c:pt>
                <c:pt idx="56" formatCode="0.0">
                  <c:v>1841.9194100941224</c:v>
                </c:pt>
                <c:pt idx="57" formatCode="0.0">
                  <c:v>1864.6179005792389</c:v>
                </c:pt>
                <c:pt idx="58" formatCode="0.0">
                  <c:v>1884.0631307644464</c:v>
                </c:pt>
                <c:pt idx="59" formatCode="0.0">
                  <c:v>1900.6635775757175</c:v>
                </c:pt>
                <c:pt idx="60" formatCode="0.0">
                  <c:v>1914.7934272137225</c:v>
                </c:pt>
                <c:pt idx="61" formatCode="0.0">
                  <c:v>1926.7900212373675</c:v>
                </c:pt>
                <c:pt idx="62" formatCode="0.0">
                  <c:v>1936.9535971780681</c:v>
                </c:pt>
                <c:pt idx="63" formatCode="0.0">
                  <c:v>1945.5485899450921</c:v>
                </c:pt>
                <c:pt idx="64" formatCode="0.0">
                  <c:v>1952.8059165268937</c:v>
                </c:pt>
                <c:pt idx="65" formatCode="0.0">
                  <c:v>1958.925809952899</c:v>
                </c:pt>
                <c:pt idx="66" formatCode="0.0">
                  <c:v>1964.0808902328693</c:v>
                </c:pt>
                <c:pt idx="67" formatCode="0.0">
                  <c:v>1968.419257708503</c:v>
                </c:pt>
                <c:pt idx="68" formatCode="0.0">
                  <c:v>1972.0674693120775</c:v>
                </c:pt>
                <c:pt idx="69" formatCode="0.0">
                  <c:v>1975.1333137512049</c:v>
                </c:pt>
                <c:pt idx="70" formatCode="0.0">
                  <c:v>1977.7083412831498</c:v>
                </c:pt>
                <c:pt idx="71" formatCode="0.0">
                  <c:v>1979.8701310277763</c:v>
                </c:pt>
                <c:pt idx="72" formatCode="0.0">
                  <c:v>1981.6842967659679</c:v>
                </c:pt>
                <c:pt idx="73" formatCode="0.0">
                  <c:v>1983.2062433971976</c:v>
                </c:pt>
                <c:pt idx="74" formatCode="0.0">
                  <c:v>1984.4826926607625</c:v>
                </c:pt>
                <c:pt idx="75" formatCode="0.0">
                  <c:v>1985.5529998582801</c:v>
                </c:pt>
                <c:pt idx="76" formatCode="0.0">
                  <c:v>1986.4502842563377</c:v>
                </c:pt>
                <c:pt idx="77" formatCode="0.0">
                  <c:v>1987.2023953940397</c:v>
                </c:pt>
                <c:pt idx="78" formatCode="0.0">
                  <c:v>1987.8327362308569</c:v>
                </c:pt>
                <c:pt idx="79" formatCode="0.0">
                  <c:v>1988.3609623302725</c:v>
                </c:pt>
                <c:pt idx="80" formatCode="0.0">
                  <c:v>1988.8035743410901</c:v>
                </c:pt>
                <c:pt idx="81" formatCode="0.0">
                  <c:v>1989.1744190765799</c:v>
                </c:pt>
                <c:pt idx="82" formatCode="0.0">
                  <c:v>1989.4851126039287</c:v>
                </c:pt>
                <c:pt idx="83" formatCode="0.0">
                  <c:v>1989.745397000903</c:v>
                </c:pt>
                <c:pt idx="84" formatCode="0.0">
                  <c:v>1989.9634408422226</c:v>
                </c:pt>
                <c:pt idx="85" formatCode="0.0">
                  <c:v>1990.146092054774</c:v>
                </c:pt>
                <c:pt idx="86" formatCode="0.0">
                  <c:v>1990.2990905263268</c:v>
                </c:pt>
                <c:pt idx="87" formatCode="0.0">
                  <c:v>1990.4272467577271</c:v>
                </c:pt>
                <c:pt idx="88" formatCode="0.0">
                  <c:v>1990.5345919006045</c:v>
                </c:pt>
                <c:pt idx="89" formatCode="0.0">
                  <c:v>1990.6245037067431</c:v>
                </c:pt>
                <c:pt idx="90" formatCode="0.0">
                  <c:v>1990.6998122165287</c:v>
                </c:pt>
                <c:pt idx="91" formatCode="0.0">
                  <c:v>1990.762888417742</c:v>
                </c:pt>
                <c:pt idx="92" formatCode="0.0">
                  <c:v>1990.8157185990644</c:v>
                </c:pt>
                <c:pt idx="93" formatCode="0.0">
                  <c:v>1990.8599666927098</c:v>
                </c:pt>
                <c:pt idx="94" formatCode="0.0">
                  <c:v>1990.8970265367409</c:v>
                </c:pt>
                <c:pt idx="95" formatCode="0.0">
                  <c:v>1990.9280656801971</c:v>
                </c:pt>
                <c:pt idx="96" formatCode="0.0">
                  <c:v>1990.9540620948464</c:v>
                </c:pt>
                <c:pt idx="97" formatCode="0.0">
                  <c:v>1990.975834938866</c:v>
                </c:pt>
                <c:pt idx="98" formatCode="0.0">
                  <c:v>1990.9940703338266</c:v>
                </c:pt>
                <c:pt idx="99" formatCode="0.0">
                  <c:v>1991.0093429616627</c:v>
                </c:pt>
                <c:pt idx="100" formatCode="0.0">
                  <c:v>1991.0221341583265</c:v>
                </c:pt>
                <c:pt idx="101" formatCode="0.0">
                  <c:v>1991.0328470715945</c:v>
                </c:pt>
                <c:pt idx="102" formatCode="0.0">
                  <c:v>1991.0418193588296</c:v>
                </c:pt>
                <c:pt idx="103" formatCode="0.0">
                  <c:v>1991.0493338235597</c:v>
                </c:pt>
                <c:pt idx="104" formatCode="0.0">
                  <c:v>1991.0556273251748</c:v>
                </c:pt>
                <c:pt idx="105" formatCode="0.0">
                  <c:v>1991.0786907017034</c:v>
                </c:pt>
                <c:pt idx="106" formatCode="0.0">
                  <c:v>1991.0853567487459</c:v>
                </c:pt>
                <c:pt idx="107" formatCode="0.0">
                  <c:v>1991.0872834272357</c:v>
                </c:pt>
                <c:pt idx="108" formatCode="0.0">
                  <c:v>1991.087840290784</c:v>
                </c:pt>
                <c:pt idx="109">
                  <c:v>1991.0880012396599</c:v>
                </c:pt>
                <c:pt idx="110">
                  <c:v>1991.0880477582984</c:v>
                </c:pt>
                <c:pt idx="111">
                  <c:v>1991.0880612034591</c:v>
                </c:pt>
                <c:pt idx="112">
                  <c:v>1991.088065089479</c:v>
                </c:pt>
              </c:numCache>
            </c:numRef>
          </c:yVal>
          <c:smooth val="0"/>
        </c:ser>
        <c:dLbls>
          <c:showLegendKey val="0"/>
          <c:showVal val="0"/>
          <c:showCatName val="0"/>
          <c:showSerName val="0"/>
          <c:showPercent val="0"/>
          <c:showBubbleSize val="0"/>
        </c:dLbls>
        <c:axId val="983134568"/>
        <c:axId val="983137704"/>
      </c:scatterChart>
      <c:valAx>
        <c:axId val="983134568"/>
        <c:scaling>
          <c:orientation val="minMax"/>
          <c:max val="43951"/>
          <c:min val="4385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37704"/>
        <c:crossesAt val="0.1"/>
        <c:crossBetween val="midCat"/>
        <c:majorUnit val="14"/>
        <c:minorUnit val="7"/>
      </c:valAx>
      <c:valAx>
        <c:axId val="983137704"/>
        <c:scaling>
          <c:logBase val="10"/>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layout>
            <c:manualLayout>
              <c:xMode val="edge"/>
              <c:yMode val="edge"/>
              <c:x val="2.8028515194444038E-2"/>
              <c:y val="0.37240258256894154"/>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34568"/>
        <c:crosses val="autoZero"/>
        <c:crossBetween val="midCat"/>
      </c:valAx>
      <c:spPr>
        <a:noFill/>
        <a:ln>
          <a:noFill/>
        </a:ln>
        <a:effectLst/>
      </c:spPr>
    </c:plotArea>
    <c:legend>
      <c:legendPos val="b"/>
      <c:layout>
        <c:manualLayout>
          <c:xMode val="edge"/>
          <c:yMode val="edge"/>
          <c:x val="0.31275133186791321"/>
          <c:y val="0.58213656994533147"/>
          <c:w val="0.12878276497026317"/>
          <c:h val="0.237215237598062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myData!$EX$11</c:f>
          <c:strCache>
            <c:ptCount val="1"/>
            <c:pt idx="0">
              <c:v>COVID19 Australia P(t) = b / {d+[( b/Po - d ) ]* exp(-b*t)}
b=0.226, d=3.40E-05, P0=.639, r2=0.9994, Limit=2.62 k=&gt;6.64 k cases 
 (Fit: Sat 25-Jan - Sun 03-May)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330025655729765E-2"/>
          <c:y val="0.14733427425648737"/>
          <c:w val="0.45057747704570816"/>
          <c:h val="0.70859680169550576"/>
        </c:manualLayout>
      </c:layout>
      <c:scatterChart>
        <c:scatterStyle val="lineMarker"/>
        <c:varyColors val="0"/>
        <c:ser>
          <c:idx val="3"/>
          <c:order val="0"/>
          <c:tx>
            <c:v>NSW Confirmed Cases</c:v>
          </c:tx>
          <c:spPr>
            <a:ln w="12700"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myData!NSWCases</c:f>
              <c:numCache>
                <c:formatCode>0</c:formatCode>
                <c:ptCount val="9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2956.6831683168316</c:v>
                </c:pt>
                <c:pt idx="69">
                  <c:v>3085.3960396039602</c:v>
                </c:pt>
                <c:pt idx="70">
                  <c:v>3193.0693069306931</c:v>
                </c:pt>
                <c:pt idx="71">
                  <c:v>3263.6138613861385</c:v>
                </c:pt>
                <c:pt idx="72">
                  <c:v>3324.257425742574</c:v>
                </c:pt>
                <c:pt idx="73">
                  <c:v>3383.6633663366333</c:v>
                </c:pt>
                <c:pt idx="74">
                  <c:v>3431.9306930693069</c:v>
                </c:pt>
                <c:pt idx="75">
                  <c:v>3492.5742574257424</c:v>
                </c:pt>
                <c:pt idx="76">
                  <c:v>3535.8910891089108</c:v>
                </c:pt>
                <c:pt idx="77">
                  <c:v>3532.1782178217818</c:v>
                </c:pt>
                <c:pt idx="78">
                  <c:v>3543.3168316831679</c:v>
                </c:pt>
                <c:pt idx="79">
                  <c:v>3551.9801980198017</c:v>
                </c:pt>
                <c:pt idx="80">
                  <c:v>3571.7821782178216</c:v>
                </c:pt>
                <c:pt idx="81">
                  <c:v>3585.3960396039602</c:v>
                </c:pt>
                <c:pt idx="82">
                  <c:v>3621.287128712871</c:v>
                </c:pt>
                <c:pt idx="83">
                  <c:v>3633.6633663366333</c:v>
                </c:pt>
                <c:pt idx="84">
                  <c:v>3659.6534653465346</c:v>
                </c:pt>
                <c:pt idx="85">
                  <c:v>3667.0792079207918</c:v>
                </c:pt>
                <c:pt idx="86">
                  <c:v>3674.5049504950493</c:v>
                </c:pt>
                <c:pt idx="87">
                  <c:v>3676.9801980198017</c:v>
                </c:pt>
                <c:pt idx="88">
                  <c:v>3683.1683168316831</c:v>
                </c:pt>
                <c:pt idx="89">
                  <c:v>3690.5940594059402</c:v>
                </c:pt>
                <c:pt idx="90">
                  <c:v>3705.4455445544554</c:v>
                </c:pt>
                <c:pt idx="91">
                  <c:v>3715.3465346534649</c:v>
                </c:pt>
                <c:pt idx="92">
                  <c:v>3717.8217821782177</c:v>
                </c:pt>
                <c:pt idx="93">
                  <c:v>3724.0099009900987</c:v>
                </c:pt>
                <c:pt idx="94">
                  <c:v>3732.6732673267325</c:v>
                </c:pt>
                <c:pt idx="95">
                  <c:v>3732.6732673267325</c:v>
                </c:pt>
                <c:pt idx="96">
                  <c:v>3743.8118811881186</c:v>
                </c:pt>
                <c:pt idx="97">
                  <c:v>3751.2376237623762</c:v>
                </c:pt>
                <c:pt idx="98">
                  <c:v>3756.1881188118809</c:v>
                </c:pt>
              </c:numCache>
            </c:numRef>
          </c:yVal>
          <c:smooth val="0"/>
        </c:ser>
        <c:ser>
          <c:idx val="4"/>
          <c:order val="1"/>
          <c:tx>
            <c:strRef>
              <c:f>myData!NSWSeries</c:f>
              <c:strCache>
                <c:ptCount val="1"/>
                <c:pt idx="0">
                  <c:v>NSW Limit 3.68 k r^2=99.95%</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myData!NSWLogi</c:f>
              <c:numCache>
                <c:formatCode>0.000</c:formatCode>
                <c:ptCount val="110"/>
                <c:pt idx="0">
                  <c:v>1.9323202711800784E-3</c:v>
                </c:pt>
                <c:pt idx="1">
                  <c:v>2.4424763363982659E-3</c:v>
                </c:pt>
                <c:pt idx="2">
                  <c:v>3.0873196977277656E-3</c:v>
                </c:pt>
                <c:pt idx="3">
                  <c:v>3.9024093429296958E-3</c:v>
                </c:pt>
                <c:pt idx="4">
                  <c:v>4.9326921991622672E-3</c:v>
                </c:pt>
                <c:pt idx="5">
                  <c:v>6.234981621645843E-3</c:v>
                </c:pt>
                <c:pt idx="6">
                  <c:v>7.8810902080967277E-3</c:v>
                </c:pt>
                <c:pt idx="7">
                  <c:v>9.9617896735686873E-3</c:v>
                </c:pt>
                <c:pt idx="8">
                  <c:v>1.2591816115188897E-2</c:v>
                </c:pt>
                <c:pt idx="9">
                  <c:v>1.5916196623209006E-2</c:v>
                </c:pt>
                <c:pt idx="10">
                  <c:v>2.0118246027134322E-2</c:v>
                </c:pt>
                <c:pt idx="11">
                  <c:v>2.542967461259309E-2</c:v>
                </c:pt>
                <c:pt idx="12">
                  <c:v>3.2143363970527056E-2</c:v>
                </c:pt>
                <c:pt idx="13">
                  <c:v>4.0629515141740402E-2</c:v>
                </c:pt>
                <c:pt idx="14">
                  <c:v>5.1356058974076475E-2</c:v>
                </c:pt>
                <c:pt idx="15">
                  <c:v>6.4914453313394321E-2</c:v>
                </c:pt>
                <c:pt idx="16">
                  <c:v>8.2052288171588814E-2</c:v>
                </c:pt>
                <c:pt idx="17">
                  <c:v>0.10371449458831744</c:v>
                </c:pt>
                <c:pt idx="18">
                  <c:v>0.13109542599449503</c:v>
                </c:pt>
                <c:pt idx="19">
                  <c:v>0.16570467828149141</c:v>
                </c:pt>
                <c:pt idx="20">
                  <c:v>0.20945026894132809</c:v>
                </c:pt>
                <c:pt idx="21">
                  <c:v>0.26474374738801643</c:v>
                </c:pt>
                <c:pt idx="22">
                  <c:v>0.33463300915271144</c:v>
                </c:pt>
                <c:pt idx="23">
                  <c:v>0.42297010030836435</c:v>
                </c:pt>
                <c:pt idx="24">
                  <c:v>0.53462320555979392</c:v>
                </c:pt>
                <c:pt idx="25">
                  <c:v>0.67574441409610775</c:v>
                </c:pt>
                <c:pt idx="26">
                  <c:v>0.85410787594612181</c:v>
                </c:pt>
                <c:pt idx="27">
                  <c:v>1.0795367519324917</c:v>
                </c:pt>
                <c:pt idx="28">
                  <c:v>1.3644421110984533</c:v>
                </c:pt>
                <c:pt idx="29">
                  <c:v>1.7245028702952629</c:v>
                </c:pt>
                <c:pt idx="30">
                  <c:v>2.1795232775130127</c:v>
                </c:pt>
                <c:pt idx="31">
                  <c:v>2.7545136398933274</c:v>
                </c:pt>
                <c:pt idx="32">
                  <c:v>3.4810513659712528</c:v>
                </c:pt>
                <c:pt idx="33">
                  <c:v>4.3989933492133915</c:v>
                </c:pt>
                <c:pt idx="34">
                  <c:v>5.5586277073989905</c:v>
                </c:pt>
                <c:pt idx="35">
                  <c:v>7.0233733265760696</c:v>
                </c:pt>
                <c:pt idx="36">
                  <c:v>8.873159845319508</c:v>
                </c:pt>
                <c:pt idx="37">
                  <c:v>11.20864869757489</c:v>
                </c:pt>
                <c:pt idx="38">
                  <c:v>14.15648713140942</c:v>
                </c:pt>
                <c:pt idx="39">
                  <c:v>17.875820312454383</c:v>
                </c:pt>
                <c:pt idx="40">
                  <c:v>22.566318662855505</c:v>
                </c:pt>
                <c:pt idx="41">
                  <c:v>28.478002779700734</c:v>
                </c:pt>
                <c:pt idx="42">
                  <c:v>35.923156707193385</c:v>
                </c:pt>
                <c:pt idx="43">
                  <c:v>45.290595633376824</c:v>
                </c:pt>
                <c:pt idx="44">
                  <c:v>57.062470354452074</c:v>
                </c:pt>
                <c:pt idx="45">
                  <c:v>71.833608831354113</c:v>
                </c:pt>
                <c:pt idx="46">
                  <c:v>90.33305802354559</c:v>
                </c:pt>
                <c:pt idx="47">
                  <c:v>113.44691941965432</c:v>
                </c:pt>
                <c:pt idx="48">
                  <c:v>142.24067232475451</c:v>
                </c:pt>
                <c:pt idx="49">
                  <c:v>177.97784543859348</c:v>
                </c:pt>
                <c:pt idx="50">
                  <c:v>222.13005070843221</c:v>
                </c:pt>
                <c:pt idx="51">
                  <c:v>276.37105102150247</c:v>
                </c:pt>
                <c:pt idx="52">
                  <c:v>342.54493196615931</c:v>
                </c:pt>
                <c:pt idx="53">
                  <c:v>422.59622556080308</c:v>
                </c:pt>
                <c:pt idx="54">
                  <c:v>518.44922906601766</c:v>
                </c:pt>
                <c:pt idx="55">
                  <c:v>631.82670201558562</c:v>
                </c:pt>
                <c:pt idx="56">
                  <c:v>764.00693957768237</c:v>
                </c:pt>
                <c:pt idx="57">
                  <c:v>915.53463390105367</c:v>
                </c:pt>
                <c:pt idx="58">
                  <c:v>1085.924158627887</c:v>
                </c:pt>
                <c:pt idx="59">
                  <c:v>1273.4183928070202</c:v>
                </c:pt>
                <c:pt idx="60">
                  <c:v>1474.8808053122495</c:v>
                </c:pt>
                <c:pt idx="61">
                  <c:v>1685.8896953354424</c:v>
                </c:pt>
                <c:pt idx="62">
                  <c:v>1901.0633540670383</c:v>
                </c:pt>
                <c:pt idx="63">
                  <c:v>2114.5805550109835</c:v>
                </c:pt>
                <c:pt idx="64">
                  <c:v>2320.7963855332187</c:v>
                </c:pt>
                <c:pt idx="65">
                  <c:v>2514.8194031077237</c:v>
                </c:pt>
                <c:pt idx="66">
                  <c:v>2692.9300903149101</c:v>
                </c:pt>
                <c:pt idx="67">
                  <c:v>2852.7752226636558</c:v>
                </c:pt>
                <c:pt idx="68">
                  <c:v>2993.3408699389606</c:v>
                </c:pt>
                <c:pt idx="69" formatCode="0.00E+00">
                  <c:v>3114.7593598942085</c:v>
                </c:pt>
                <c:pt idx="70" formatCode="0.00E+00">
                  <c:v>3218.027679989124</c:v>
                </c:pt>
                <c:pt idx="71" formatCode="0.00E+00">
                  <c:v>3304.7087959552191</c:v>
                </c:pt>
                <c:pt idx="72" formatCode="0.00E+00">
                  <c:v>3376.6655307539727</c:v>
                </c:pt>
                <c:pt idx="73" formatCode="0.00E+00">
                  <c:v>3435.8518546389728</c:v>
                </c:pt>
                <c:pt idx="74" formatCode="0.00E+00">
                  <c:v>3484.1667381930329</c:v>
                </c:pt>
                <c:pt idx="75" formatCode="0.00E+00">
                  <c:v>3523.3637239193954</c:v>
                </c:pt>
                <c:pt idx="76" formatCode="0.00E+00">
                  <c:v>3555.0041657368256</c:v>
                </c:pt>
                <c:pt idx="77" formatCode="0.00E+00">
                  <c:v>3580.4414251336939</c:v>
                </c:pt>
                <c:pt idx="78" formatCode="0.00E+00">
                  <c:v>3600.8250260570503</c:v>
                </c:pt>
                <c:pt idx="79" formatCode="0.00E+00">
                  <c:v>3617.1163168005223</c:v>
                </c:pt>
                <c:pt idx="80" formatCode="0.00E+00">
                  <c:v>3630.1096898980309</c:v>
                </c:pt>
                <c:pt idx="81" formatCode="0.00E+00">
                  <c:v>3640.4554843134551</c:v>
                </c:pt>
                <c:pt idx="82" formatCode="0.00E+00">
                  <c:v>3648.6822442442831</c:v>
                </c:pt>
                <c:pt idx="83" formatCode="0.00E+00">
                  <c:v>3655.2170842499941</c:v>
                </c:pt>
                <c:pt idx="84" formatCode="0.00E+00">
                  <c:v>3660.4036104462061</c:v>
                </c:pt>
                <c:pt idx="85" formatCode="0.00E+00">
                  <c:v>3664.5172748537816</c:v>
                </c:pt>
                <c:pt idx="86" formatCode="0.00E+00">
                  <c:v>3667.7782811959269</c:v>
                </c:pt>
                <c:pt idx="87" formatCode="0.00E+00">
                  <c:v>3670.3622810700244</c:v>
                </c:pt>
                <c:pt idx="88" formatCode="0.00E+00">
                  <c:v>3672.4091458764838</c:v>
                </c:pt>
                <c:pt idx="89" formatCode="0.00E+00">
                  <c:v>3674.0301033495602</c:v>
                </c:pt>
                <c:pt idx="90" formatCode="0.00E+00">
                  <c:v>3675.3135080819206</c:v>
                </c:pt>
                <c:pt idx="91" formatCode="0.00E+00">
                  <c:v>3676.3294854607248</c:v>
                </c:pt>
                <c:pt idx="92" formatCode="0.00E+00">
                  <c:v>3677.1336552397916</c:v>
                </c:pt>
                <c:pt idx="93" formatCode="0.00E+00">
                  <c:v>3677.7701086008828</c:v>
                </c:pt>
                <c:pt idx="94" formatCode="0.00E+00">
                  <c:v>3678.2737830326992</c:v>
                </c:pt>
                <c:pt idx="95" formatCode="0.00E+00">
                  <c:v>3678.6723535036722</c:v>
                </c:pt>
                <c:pt idx="96" formatCode="0.00E+00">
                  <c:v>3678.9877363680048</c:v>
                </c:pt>
                <c:pt idx="97" formatCode="0.00E+00">
                  <c:v>3679.2372840080629</c:v>
                </c:pt>
                <c:pt idx="98" formatCode="0.00E+00">
                  <c:v>3679.4347329976172</c:v>
                </c:pt>
                <c:pt idx="99" formatCode="0.00E+00">
                  <c:v>3679.5909561315093</c:v>
                </c:pt>
                <c:pt idx="100">
                  <c:v>3679.7145585754411</c:v>
                </c:pt>
                <c:pt idx="101">
                  <c:v>3679.8123502477015</c:v>
                </c:pt>
                <c:pt idx="102">
                  <c:v>3680.1109394698587</c:v>
                </c:pt>
                <c:pt idx="103" formatCode="0.00E+00">
                  <c:v>3680.1688632632272</c:v>
                </c:pt>
                <c:pt idx="104" formatCode="0.00E+00">
                  <c:v>3680.1800991137111</c:v>
                </c:pt>
                <c:pt idx="105" formatCode="0.00E+00">
                  <c:v>3680.1822785708309</c:v>
                </c:pt>
                <c:pt idx="106">
                  <c:v>3680.1827013264901</c:v>
                </c:pt>
                <c:pt idx="107">
                  <c:v>3680.1827833295929</c:v>
                </c:pt>
                <c:pt idx="108">
                  <c:v>3680.1827992359631</c:v>
                </c:pt>
                <c:pt idx="109">
                  <c:v>3680.1828023213657</c:v>
                </c:pt>
              </c:numCache>
            </c:numRef>
          </c:yVal>
          <c:smooth val="0"/>
        </c:ser>
        <c:ser>
          <c:idx val="2"/>
          <c:order val="2"/>
          <c:tx>
            <c:v>US Confirmed Cases</c:v>
          </c:tx>
          <c:spPr>
            <a:ln w="19050"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myData!USDates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myData!USCases</c:f>
              <c:numCache>
                <c:formatCode>0.0</c:formatCode>
                <c:ptCount val="102"/>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417.55289968786536</c:v>
                </c:pt>
                <c:pt idx="58">
                  <c:v>585.40023537384366</c:v>
                </c:pt>
                <c:pt idx="59">
                  <c:v>777.57723372440194</c:v>
                </c:pt>
                <c:pt idx="60">
                  <c:v>1010.7289073989531</c:v>
                </c:pt>
                <c:pt idx="61">
                  <c:v>1331.6921350851153</c:v>
                </c:pt>
                <c:pt idx="62">
                  <c:v>1632.1832121646273</c:v>
                </c:pt>
                <c:pt idx="63">
                  <c:v>1997.9482531220199</c:v>
                </c:pt>
                <c:pt idx="64">
                  <c:v>2546.4439440046467</c:v>
                </c:pt>
                <c:pt idx="65">
                  <c:v>3087.7409706531844</c:v>
                </c:pt>
                <c:pt idx="66">
                  <c:v>3689.3913552474405</c:v>
                </c:pt>
                <c:pt idx="67">
                  <c:v>4279.9855635496779</c:v>
                </c:pt>
                <c:pt idx="68">
                  <c:v>4915.472707455222</c:v>
                </c:pt>
                <c:pt idx="69">
                  <c:v>5715.557157202662</c:v>
                </c:pt>
                <c:pt idx="70">
                  <c:v>6477.0361122601134</c:v>
                </c:pt>
                <c:pt idx="71">
                  <c:v>7399.8015950939935</c:v>
                </c:pt>
                <c:pt idx="72">
                  <c:v>8364.0277390229439</c:v>
                </c:pt>
                <c:pt idx="73">
                  <c:v>9374.9692651967434</c:v>
                </c:pt>
                <c:pt idx="74">
                  <c:v>10230.061229408047</c:v>
                </c:pt>
                <c:pt idx="75">
                  <c:v>11126.553106493036</c:v>
                </c:pt>
                <c:pt idx="76">
                  <c:v>12062.197212260477</c:v>
                </c:pt>
                <c:pt idx="77">
                  <c:v>13019.984044722647</c:v>
                </c:pt>
                <c:pt idx="78">
                  <c:v>14056.530946210107</c:v>
                </c:pt>
                <c:pt idx="79">
                  <c:v>15081.809052630699</c:v>
                </c:pt>
                <c:pt idx="80">
                  <c:v>15988.810372015245</c:v>
                </c:pt>
                <c:pt idx="81">
                  <c:v>16867.138530906203</c:v>
                </c:pt>
                <c:pt idx="82">
                  <c:v>17635.78577608705</c:v>
                </c:pt>
                <c:pt idx="83">
                  <c:v>18457.435844426065</c:v>
                </c:pt>
                <c:pt idx="84">
                  <c:v>19328.565339082936</c:v>
                </c:pt>
                <c:pt idx="85">
                  <c:v>20277.513305333629</c:v>
                </c:pt>
                <c:pt idx="86">
                  <c:v>21252.94749610806</c:v>
                </c:pt>
                <c:pt idx="87">
                  <c:v>22239.832726613513</c:v>
                </c:pt>
                <c:pt idx="88">
                  <c:v>23048.148560358582</c:v>
                </c:pt>
                <c:pt idx="89">
                  <c:v>23823.204742895519</c:v>
                </c:pt>
                <c:pt idx="90">
                  <c:v>24659.677377252403</c:v>
                </c:pt>
                <c:pt idx="91">
                  <c:v>25524.914294434955</c:v>
                </c:pt>
                <c:pt idx="92">
                  <c:v>26400.265790478064</c:v>
                </c:pt>
                <c:pt idx="93">
                  <c:v>27499.444108213167</c:v>
                </c:pt>
                <c:pt idx="94">
                  <c:v>28495.593442479789</c:v>
                </c:pt>
                <c:pt idx="95">
                  <c:v>29334.86049502037</c:v>
                </c:pt>
                <c:pt idx="96">
                  <c:v>30015.605063857533</c:v>
                </c:pt>
                <c:pt idx="97">
                  <c:v>30756.277753090715</c:v>
                </c:pt>
                <c:pt idx="98">
                  <c:v>31586.311075980822</c:v>
                </c:pt>
                <c:pt idx="99">
                  <c:v>32482.802953065813</c:v>
                </c:pt>
                <c:pt idx="100">
                  <c:v>33516.64655870165</c:v>
                </c:pt>
                <c:pt idx="101">
                  <c:v>34399.864949414077</c:v>
                </c:pt>
              </c:numCache>
            </c:numRef>
          </c:yVal>
          <c:smooth val="0"/>
        </c:ser>
        <c:ser>
          <c:idx val="5"/>
          <c:order val="3"/>
          <c:tx>
            <c:strRef>
              <c:f>myData!USSeries</c:f>
              <c:strCache>
                <c:ptCount val="1"/>
                <c:pt idx="0">
                  <c:v>USA Limit 24.7 k r^2=92.46%</c:v>
                </c:pt>
              </c:strCache>
            </c:strRef>
          </c:tx>
          <c:spPr>
            <a:ln w="19050" cap="rnd">
              <a:solidFill>
                <a:schemeClr val="accent6"/>
              </a:solidFill>
              <a:prstDash val="sysDash"/>
              <a:round/>
            </a:ln>
            <a:effectLst/>
          </c:spPr>
          <c:marker>
            <c:symbol val="none"/>
          </c:marker>
          <c:xVal>
            <c:numRef>
              <c:f>myData!USLogiDates</c:f>
              <c:numCache>
                <c:formatCode>m/d/yyyy</c:formatCode>
                <c:ptCount val="113"/>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43926</c:v>
                </c:pt>
                <c:pt idx="74">
                  <c:v>43927</c:v>
                </c:pt>
                <c:pt idx="75">
                  <c:v>43928</c:v>
                </c:pt>
                <c:pt idx="76">
                  <c:v>43929</c:v>
                </c:pt>
                <c:pt idx="77">
                  <c:v>43930</c:v>
                </c:pt>
                <c:pt idx="78">
                  <c:v>43931</c:v>
                </c:pt>
                <c:pt idx="79">
                  <c:v>43932</c:v>
                </c:pt>
                <c:pt idx="80">
                  <c:v>43933</c:v>
                </c:pt>
                <c:pt idx="81">
                  <c:v>43934</c:v>
                </c:pt>
                <c:pt idx="82">
                  <c:v>43935</c:v>
                </c:pt>
                <c:pt idx="83">
                  <c:v>43936</c:v>
                </c:pt>
                <c:pt idx="84">
                  <c:v>43937</c:v>
                </c:pt>
                <c:pt idx="85">
                  <c:v>43938</c:v>
                </c:pt>
                <c:pt idx="86">
                  <c:v>43939</c:v>
                </c:pt>
                <c:pt idx="87">
                  <c:v>43940</c:v>
                </c:pt>
                <c:pt idx="88">
                  <c:v>43941</c:v>
                </c:pt>
                <c:pt idx="89">
                  <c:v>43942</c:v>
                </c:pt>
                <c:pt idx="90">
                  <c:v>43943</c:v>
                </c:pt>
                <c:pt idx="91">
                  <c:v>43944</c:v>
                </c:pt>
                <c:pt idx="92">
                  <c:v>43945</c:v>
                </c:pt>
                <c:pt idx="93">
                  <c:v>43946</c:v>
                </c:pt>
                <c:pt idx="94">
                  <c:v>43947</c:v>
                </c:pt>
                <c:pt idx="95">
                  <c:v>43948</c:v>
                </c:pt>
                <c:pt idx="96">
                  <c:v>43949</c:v>
                </c:pt>
                <c:pt idx="97">
                  <c:v>43950</c:v>
                </c:pt>
                <c:pt idx="98">
                  <c:v>43951</c:v>
                </c:pt>
                <c:pt idx="99">
                  <c:v>43952</c:v>
                </c:pt>
                <c:pt idx="100">
                  <c:v>43953</c:v>
                </c:pt>
                <c:pt idx="101">
                  <c:v>43954</c:v>
                </c:pt>
                <c:pt idx="102">
                  <c:v>43955</c:v>
                </c:pt>
                <c:pt idx="103">
                  <c:v>43956</c:v>
                </c:pt>
                <c:pt idx="104">
                  <c:v>43957</c:v>
                </c:pt>
                <c:pt idx="105">
                  <c:v>43964</c:v>
                </c:pt>
                <c:pt idx="106">
                  <c:v>43971</c:v>
                </c:pt>
                <c:pt idx="107">
                  <c:v>43978</c:v>
                </c:pt>
                <c:pt idx="108">
                  <c:v>43985</c:v>
                </c:pt>
                <c:pt idx="109">
                  <c:v>43992</c:v>
                </c:pt>
                <c:pt idx="110">
                  <c:v>43999</c:v>
                </c:pt>
                <c:pt idx="111">
                  <c:v>44006</c:v>
                </c:pt>
                <c:pt idx="112">
                  <c:v>44013</c:v>
                </c:pt>
              </c:numCache>
            </c:numRef>
          </c:xVal>
          <c:yVal>
            <c:numRef>
              <c:f>myData!USLogi</c:f>
              <c:numCache>
                <c:formatCode>0.0</c:formatCode>
                <c:ptCount val="113"/>
                <c:pt idx="0">
                  <c:v>4.0340654737457579E-5</c:v>
                </c:pt>
                <c:pt idx="1">
                  <c:v>5.3577483828710432E-5</c:v>
                </c:pt>
                <c:pt idx="2">
                  <c:v>7.115766443536908E-5</c:v>
                </c:pt>
                <c:pt idx="3">
                  <c:v>9.4506364332119764E-5</c:v>
                </c:pt>
                <c:pt idx="4">
                  <c:v>1.2551638628637105E-4</c:v>
                </c:pt>
                <c:pt idx="5">
                  <c:v>1.6670161138075562E-4</c:v>
                </c:pt>
                <c:pt idx="6">
                  <c:v>2.2140079111533146E-4</c:v>
                </c:pt>
                <c:pt idx="7">
                  <c:v>2.9404820904174739E-4</c:v>
                </c:pt>
                <c:pt idx="8">
                  <c:v>3.9053315357032528E-4</c:v>
                </c:pt>
                <c:pt idx="9">
                  <c:v>5.1867734321242511E-4</c:v>
                </c:pt>
                <c:pt idx="10">
                  <c:v>6.8886900752102498E-4</c:v>
                </c:pt>
                <c:pt idx="11">
                  <c:v>9.1490502652635645E-4</c:v>
                </c:pt>
                <c:pt idx="12">
                  <c:v>1.2151093980299517E-3</c:v>
                </c:pt>
                <c:pt idx="13">
                  <c:v>1.6138187030185166E-3</c:v>
                </c:pt>
                <c:pt idx="14">
                  <c:v>2.143354990623696E-3</c:v>
                </c:pt>
                <c:pt idx="15">
                  <c:v>2.8466460172572759E-3</c:v>
                </c:pt>
                <c:pt idx="16">
                  <c:v>3.7807052528985086E-3</c:v>
                </c:pt>
                <c:pt idx="17">
                  <c:v>5.0212537650705207E-3</c:v>
                </c:pt>
                <c:pt idx="18">
                  <c:v>6.6688586576539735E-3</c:v>
                </c:pt>
                <c:pt idx="19">
                  <c:v>8.857085680864794E-3</c:v>
                </c:pt>
                <c:pt idx="20">
                  <c:v>1.1763326905764858E-2</c:v>
                </c:pt>
                <c:pt idx="21">
                  <c:v>1.5623181206184968E-2</c:v>
                </c:pt>
                <c:pt idx="22">
                  <c:v>2.0749553289146294E-2</c:v>
                </c:pt>
                <c:pt idx="23">
                  <c:v>2.755801950345612E-2</c:v>
                </c:pt>
                <c:pt idx="24">
                  <c:v>3.6600516632726433E-2</c:v>
                </c:pt>
                <c:pt idx="25">
                  <c:v>4.8610084506860288E-2</c:v>
                </c:pt>
                <c:pt idx="26">
                  <c:v>6.4560289205382454E-2</c:v>
                </c:pt>
                <c:pt idx="27">
                  <c:v>8.5744143455587798E-2</c:v>
                </c:pt>
                <c:pt idx="28">
                  <c:v>0.11387892091196908</c:v>
                </c:pt>
                <c:pt idx="29">
                  <c:v>0.15124535927074365</c:v>
                </c:pt>
                <c:pt idx="30">
                  <c:v>0.20087253343805211</c:v>
                </c:pt>
                <c:pt idx="31">
                  <c:v>0.26678337960123605</c:v>
                </c:pt>
                <c:pt idx="32">
                  <c:v>0.35432076307625854</c:v>
                </c:pt>
                <c:pt idx="33">
                  <c:v>0.47058050385245032</c:v>
                </c:pt>
                <c:pt idx="34">
                  <c:v>0.62498642969914964</c:v>
                </c:pt>
                <c:pt idx="35">
                  <c:v>0.83005401436263926</c:v>
                </c:pt>
                <c:pt idx="36">
                  <c:v>1.1024044004205729</c:v>
                </c:pt>
                <c:pt idx="37">
                  <c:v>1.4641108232088327</c:v>
                </c:pt>
                <c:pt idx="38">
                  <c:v>1.9444862560260094</c:v>
                </c:pt>
                <c:pt idx="39">
                  <c:v>2.5824566132340436</c:v>
                </c:pt>
                <c:pt idx="40">
                  <c:v>3.429710872882807</c:v>
                </c:pt>
                <c:pt idx="41">
                  <c:v>4.5548816795794389</c:v>
                </c:pt>
                <c:pt idx="42">
                  <c:v>6.0490921453604782</c:v>
                </c:pt>
                <c:pt idx="43">
                  <c:v>8.0333128863969367</c:v>
                </c:pt>
                <c:pt idx="44">
                  <c:v>10.668115796521105</c:v>
                </c:pt>
                <c:pt idx="45">
                  <c:v>14.166597804673456</c:v>
                </c:pt>
                <c:pt idx="46">
                  <c:v>18.81149155485226</c:v>
                </c:pt>
                <c:pt idx="47">
                  <c:v>24.977795992418262</c:v>
                </c:pt>
                <c:pt idx="48">
                  <c:v>33.162666242937291</c:v>
                </c:pt>
                <c:pt idx="49">
                  <c:v>44.02481855494667</c:v>
                </c:pt>
                <c:pt idx="50">
                  <c:v>58.436351084349859</c:v>
                </c:pt>
                <c:pt idx="51">
                  <c:v>77.550666881744121</c:v>
                </c:pt>
                <c:pt idx="52">
                  <c:v>102.89110561136106</c:v>
                </c:pt>
                <c:pt idx="53">
                  <c:v>136.46590035422193</c:v>
                </c:pt>
                <c:pt idx="54">
                  <c:v>180.91605414825486</c:v>
                </c:pt>
                <c:pt idx="55">
                  <c:v>239.7034166419875</c:v>
                </c:pt>
                <c:pt idx="56">
                  <c:v>317.34612994173438</c:v>
                </c:pt>
                <c:pt idx="57">
                  <c:v>419.70679796207605</c:v>
                </c:pt>
                <c:pt idx="58">
                  <c:v>554.33368492625448</c:v>
                </c:pt>
                <c:pt idx="59">
                  <c:v>730.84454884328738</c:v>
                </c:pt>
                <c:pt idx="60">
                  <c:v>961.322864186885</c:v>
                </c:pt>
                <c:pt idx="61">
                  <c:v>1260.6627673430748</c:v>
                </c:pt>
                <c:pt idx="62">
                  <c:v>1646.7479124482609</c:v>
                </c:pt>
                <c:pt idx="63">
                  <c:v>2140.279990136351</c:v>
                </c:pt>
                <c:pt idx="64">
                  <c:v>2763.994906946034</c:v>
                </c:pt>
                <c:pt idx="65">
                  <c:v>3540.9501020883458</c:v>
                </c:pt>
                <c:pt idx="66">
                  <c:v>4491.5995343139366</c:v>
                </c:pt>
                <c:pt idx="67">
                  <c:v>5629.5878912211256</c:v>
                </c:pt>
                <c:pt idx="68">
                  <c:v>6956.6738790963009</c:v>
                </c:pt>
                <c:pt idx="69">
                  <c:v>8457.8979909218742</c:v>
                </c:pt>
                <c:pt idx="70">
                  <c:v>10098.762284417062</c:v>
                </c:pt>
                <c:pt idx="71">
                  <c:v>11826.263685119791</c:v>
                </c:pt>
                <c:pt idx="72">
                  <c:v>13574.659840965507</c:v>
                </c:pt>
                <c:pt idx="73">
                  <c:v>15274.992599131874</c:v>
                </c:pt>
                <c:pt idx="74">
                  <c:v>16865.617760442015</c:v>
                </c:pt>
                <c:pt idx="75">
                  <c:v>18300.479076234064</c:v>
                </c:pt>
                <c:pt idx="76">
                  <c:v>19552.989871078098</c:v>
                </c:pt>
                <c:pt idx="77">
                  <c:v>20615.346380514362</c:v>
                </c:pt>
                <c:pt idx="78">
                  <c:v>21494.669534674089</c:v>
                </c:pt>
                <c:pt idx="79">
                  <c:v>22207.893397782344</c:v>
                </c:pt>
                <c:pt idx="80">
                  <c:v>22776.944387207401</c:v>
                </c:pt>
                <c:pt idx="81">
                  <c:v>23225.029717144425</c:v>
                </c:pt>
                <c:pt idx="82">
                  <c:v>23574.220877363194</c:v>
                </c:pt>
                <c:pt idx="83">
                  <c:v>23844.149807198261</c:v>
                </c:pt>
                <c:pt idx="84">
                  <c:v>24051.505026162646</c:v>
                </c:pt>
                <c:pt idx="85">
                  <c:v>24210.026838309092</c:v>
                </c:pt>
                <c:pt idx="86">
                  <c:v>24330.770198048624</c:v>
                </c:pt>
                <c:pt idx="87">
                  <c:v>24422.48055552072</c:v>
                </c:pt>
                <c:pt idx="88">
                  <c:v>24491.990547925245</c:v>
                </c:pt>
                <c:pt idx="89">
                  <c:v>24544.589108972894</c:v>
                </c:pt>
                <c:pt idx="90">
                  <c:v>24584.342025603743</c:v>
                </c:pt>
                <c:pt idx="91">
                  <c:v>24614.358686934051</c:v>
                </c:pt>
                <c:pt idx="92">
                  <c:v>24637.007861887476</c:v>
                </c:pt>
                <c:pt idx="93">
                  <c:v>24654.088867962506</c:v>
                </c:pt>
                <c:pt idx="94">
                  <c:v>24666.965486783713</c:v>
                </c:pt>
                <c:pt idx="95">
                  <c:v>24676.669693944634</c:v>
                </c:pt>
                <c:pt idx="96">
                  <c:v>24683.981424390706</c:v>
                </c:pt>
                <c:pt idx="97">
                  <c:v>24689.489582075796</c:v>
                </c:pt>
                <c:pt idx="98">
                  <c:v>24693.638519345615</c:v>
                </c:pt>
                <c:pt idx="99">
                  <c:v>24696.763342366979</c:v>
                </c:pt>
                <c:pt idx="100">
                  <c:v>24699.116669972147</c:v>
                </c:pt>
                <c:pt idx="101">
                  <c:v>24700.888881509723</c:v>
                </c:pt>
                <c:pt idx="102">
                  <c:v>24702.223419102193</c:v>
                </c:pt>
                <c:pt idx="103">
                  <c:v>24703.228341604692</c:v>
                </c:pt>
                <c:pt idx="104">
                  <c:v>24703.985042364446</c:v>
                </c:pt>
                <c:pt idx="105">
                  <c:v>24705.975011296989</c:v>
                </c:pt>
                <c:pt idx="106">
                  <c:v>24706.24804136507</c:v>
                </c:pt>
                <c:pt idx="107">
                  <c:v>24706.285498998466</c:v>
                </c:pt>
                <c:pt idx="108">
                  <c:v>24706.290637843045</c:v>
                </c:pt>
                <c:pt idx="109">
                  <c:v>24706.291342844459</c:v>
                </c:pt>
                <c:pt idx="110">
                  <c:v>24706.291439564036</c:v>
                </c:pt>
                <c:pt idx="111">
                  <c:v>24706.291452833055</c:v>
                </c:pt>
                <c:pt idx="112">
                  <c:v>24706.291454653438</c:v>
                </c:pt>
              </c:numCache>
            </c:numRef>
          </c:yVal>
          <c:smooth val="0"/>
        </c:ser>
        <c:ser>
          <c:idx val="8"/>
          <c:order val="4"/>
          <c:tx>
            <c:v>Pop Limit</c:v>
          </c:tx>
          <c:spPr>
            <a:ln w="28575" cap="rnd">
              <a:solidFill>
                <a:srgbClr val="FF0000"/>
              </a:solidFill>
              <a:round/>
            </a:ln>
            <a:effectLst/>
          </c:spPr>
          <c:marker>
            <c:symbol val="none"/>
          </c:marker>
          <c:xVal>
            <c:numRef>
              <c:f>myData!$FI$11:$FI$12</c:f>
              <c:numCache>
                <c:formatCode>m/d/yyyy</c:formatCode>
                <c:ptCount val="2"/>
                <c:pt idx="0">
                  <c:v>43852</c:v>
                </c:pt>
                <c:pt idx="1">
                  <c:v>44004</c:v>
                </c:pt>
              </c:numCache>
            </c:numRef>
          </c:xVal>
          <c:yVal>
            <c:numRef>
              <c:f>myData!$FK$11:$FK$12</c:f>
              <c:numCache>
                <c:formatCode>0.00000E+00</c:formatCode>
                <c:ptCount val="2"/>
                <c:pt idx="0">
                  <c:v>10000000</c:v>
                </c:pt>
                <c:pt idx="1">
                  <c:v>10000000</c:v>
                </c:pt>
              </c:numCache>
            </c:numRef>
          </c:yVal>
          <c:smooth val="0"/>
        </c:ser>
        <c:dLbls>
          <c:showLegendKey val="0"/>
          <c:showVal val="0"/>
          <c:showCatName val="0"/>
          <c:showSerName val="0"/>
          <c:showPercent val="0"/>
          <c:showBubbleSize val="0"/>
        </c:dLbls>
        <c:axId val="983129864"/>
        <c:axId val="983127512"/>
      </c:scatterChart>
      <c:valAx>
        <c:axId val="983129864"/>
        <c:scaling>
          <c:orientation val="minMax"/>
          <c:max val="43968"/>
          <c:min val="43849"/>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27512"/>
        <c:crossesAt val="1.0000000000000002E-2"/>
        <c:crossBetween val="midCat"/>
        <c:majorUnit val="14"/>
        <c:minorUnit val="7"/>
      </c:valAx>
      <c:valAx>
        <c:axId val="983127512"/>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29864"/>
        <c:crosses val="autoZero"/>
        <c:crossBetween val="midCat"/>
      </c:valAx>
      <c:spPr>
        <a:noFill/>
        <a:ln>
          <a:noFill/>
        </a:ln>
        <a:effectLst/>
      </c:spPr>
    </c:plotArea>
    <c:legend>
      <c:legendPos val="b"/>
      <c:layout>
        <c:manualLayout>
          <c:xMode val="edge"/>
          <c:yMode val="edge"/>
          <c:x val="0.57175835246751039"/>
          <c:y val="0.76749577012672165"/>
          <c:w val="0.35722842847122532"/>
          <c:h val="0.1921165963169642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myData!$EX$12</c:f>
          <c:strCache>
            <c:ptCount val="1"/>
            <c:pt idx="0">
              <c:v>COVID19 NSW P(t) = b / {d+[( b/Po - d ) ]* exp(-b*t)}
b=0.234, d=7.88E-05, P0=.639, r2=0.9995, Limit=3.68 k=&gt;2.97 k cases 
 (Fit: Sat 25-Jan - Sun 03-May)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059184510292695E-2"/>
          <c:y val="0.20586186750539165"/>
          <c:w val="0.45330988036924119"/>
          <c:h val="0.71487996691807898"/>
        </c:manualLayout>
      </c:layout>
      <c:scatterChart>
        <c:scatterStyle val="lineMarker"/>
        <c:varyColors val="0"/>
        <c:ser>
          <c:idx val="3"/>
          <c:order val="0"/>
          <c:tx>
            <c:v>NSW Confirmed Cases</c:v>
          </c:tx>
          <c:spPr>
            <a:ln w="12700"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myData!NSWCases</c:f>
              <c:numCache>
                <c:formatCode>0</c:formatCode>
                <c:ptCount val="9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2956.6831683168316</c:v>
                </c:pt>
                <c:pt idx="69">
                  <c:v>3085.3960396039602</c:v>
                </c:pt>
                <c:pt idx="70">
                  <c:v>3193.0693069306931</c:v>
                </c:pt>
                <c:pt idx="71">
                  <c:v>3263.6138613861385</c:v>
                </c:pt>
                <c:pt idx="72">
                  <c:v>3324.257425742574</c:v>
                </c:pt>
                <c:pt idx="73">
                  <c:v>3383.6633663366333</c:v>
                </c:pt>
                <c:pt idx="74">
                  <c:v>3431.9306930693069</c:v>
                </c:pt>
                <c:pt idx="75">
                  <c:v>3492.5742574257424</c:v>
                </c:pt>
                <c:pt idx="76">
                  <c:v>3535.8910891089108</c:v>
                </c:pt>
                <c:pt idx="77">
                  <c:v>3532.1782178217818</c:v>
                </c:pt>
                <c:pt idx="78">
                  <c:v>3543.3168316831679</c:v>
                </c:pt>
                <c:pt idx="79">
                  <c:v>3551.9801980198017</c:v>
                </c:pt>
                <c:pt idx="80">
                  <c:v>3571.7821782178216</c:v>
                </c:pt>
                <c:pt idx="81">
                  <c:v>3585.3960396039602</c:v>
                </c:pt>
                <c:pt idx="82">
                  <c:v>3621.287128712871</c:v>
                </c:pt>
                <c:pt idx="83">
                  <c:v>3633.6633663366333</c:v>
                </c:pt>
                <c:pt idx="84">
                  <c:v>3659.6534653465346</c:v>
                </c:pt>
                <c:pt idx="85">
                  <c:v>3667.0792079207918</c:v>
                </c:pt>
                <c:pt idx="86">
                  <c:v>3674.5049504950493</c:v>
                </c:pt>
                <c:pt idx="87">
                  <c:v>3676.9801980198017</c:v>
                </c:pt>
                <c:pt idx="88">
                  <c:v>3683.1683168316831</c:v>
                </c:pt>
                <c:pt idx="89">
                  <c:v>3690.5940594059402</c:v>
                </c:pt>
                <c:pt idx="90">
                  <c:v>3705.4455445544554</c:v>
                </c:pt>
                <c:pt idx="91">
                  <c:v>3715.3465346534649</c:v>
                </c:pt>
                <c:pt idx="92">
                  <c:v>3717.8217821782177</c:v>
                </c:pt>
                <c:pt idx="93">
                  <c:v>3724.0099009900987</c:v>
                </c:pt>
                <c:pt idx="94">
                  <c:v>3732.6732673267325</c:v>
                </c:pt>
                <c:pt idx="95">
                  <c:v>3732.6732673267325</c:v>
                </c:pt>
                <c:pt idx="96">
                  <c:v>3743.8118811881186</c:v>
                </c:pt>
                <c:pt idx="97">
                  <c:v>3751.2376237623762</c:v>
                </c:pt>
                <c:pt idx="98">
                  <c:v>3756.1881188118809</c:v>
                </c:pt>
              </c:numCache>
            </c:numRef>
          </c:yVal>
          <c:smooth val="0"/>
        </c:ser>
        <c:ser>
          <c:idx val="4"/>
          <c:order val="1"/>
          <c:tx>
            <c:strRef>
              <c:f>myData!NSWSeries</c:f>
              <c:strCache>
                <c:ptCount val="1"/>
                <c:pt idx="0">
                  <c:v>NSW Limit 3.68 k r^2=99.95%</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myData!NSWLogi</c:f>
              <c:numCache>
                <c:formatCode>0.000</c:formatCode>
                <c:ptCount val="110"/>
                <c:pt idx="0">
                  <c:v>1.9323202711800784E-3</c:v>
                </c:pt>
                <c:pt idx="1">
                  <c:v>2.4424763363982659E-3</c:v>
                </c:pt>
                <c:pt idx="2">
                  <c:v>3.0873196977277656E-3</c:v>
                </c:pt>
                <c:pt idx="3">
                  <c:v>3.9024093429296958E-3</c:v>
                </c:pt>
                <c:pt idx="4">
                  <c:v>4.9326921991622672E-3</c:v>
                </c:pt>
                <c:pt idx="5">
                  <c:v>6.234981621645843E-3</c:v>
                </c:pt>
                <c:pt idx="6">
                  <c:v>7.8810902080967277E-3</c:v>
                </c:pt>
                <c:pt idx="7">
                  <c:v>9.9617896735686873E-3</c:v>
                </c:pt>
                <c:pt idx="8">
                  <c:v>1.2591816115188897E-2</c:v>
                </c:pt>
                <c:pt idx="9">
                  <c:v>1.5916196623209006E-2</c:v>
                </c:pt>
                <c:pt idx="10">
                  <c:v>2.0118246027134322E-2</c:v>
                </c:pt>
                <c:pt idx="11">
                  <c:v>2.542967461259309E-2</c:v>
                </c:pt>
                <c:pt idx="12">
                  <c:v>3.2143363970527056E-2</c:v>
                </c:pt>
                <c:pt idx="13">
                  <c:v>4.0629515141740402E-2</c:v>
                </c:pt>
                <c:pt idx="14">
                  <c:v>5.1356058974076475E-2</c:v>
                </c:pt>
                <c:pt idx="15">
                  <c:v>6.4914453313394321E-2</c:v>
                </c:pt>
                <c:pt idx="16">
                  <c:v>8.2052288171588814E-2</c:v>
                </c:pt>
                <c:pt idx="17">
                  <c:v>0.10371449458831744</c:v>
                </c:pt>
                <c:pt idx="18">
                  <c:v>0.13109542599449503</c:v>
                </c:pt>
                <c:pt idx="19">
                  <c:v>0.16570467828149141</c:v>
                </c:pt>
                <c:pt idx="20">
                  <c:v>0.20945026894132809</c:v>
                </c:pt>
                <c:pt idx="21">
                  <c:v>0.26474374738801643</c:v>
                </c:pt>
                <c:pt idx="22">
                  <c:v>0.33463300915271144</c:v>
                </c:pt>
                <c:pt idx="23">
                  <c:v>0.42297010030836435</c:v>
                </c:pt>
                <c:pt idx="24">
                  <c:v>0.53462320555979392</c:v>
                </c:pt>
                <c:pt idx="25">
                  <c:v>0.67574441409610775</c:v>
                </c:pt>
                <c:pt idx="26">
                  <c:v>0.85410787594612181</c:v>
                </c:pt>
                <c:pt idx="27">
                  <c:v>1.0795367519324917</c:v>
                </c:pt>
                <c:pt idx="28">
                  <c:v>1.3644421110984533</c:v>
                </c:pt>
                <c:pt idx="29">
                  <c:v>1.7245028702952629</c:v>
                </c:pt>
                <c:pt idx="30">
                  <c:v>2.1795232775130127</c:v>
                </c:pt>
                <c:pt idx="31">
                  <c:v>2.7545136398933274</c:v>
                </c:pt>
                <c:pt idx="32">
                  <c:v>3.4810513659712528</c:v>
                </c:pt>
                <c:pt idx="33">
                  <c:v>4.3989933492133915</c:v>
                </c:pt>
                <c:pt idx="34">
                  <c:v>5.5586277073989905</c:v>
                </c:pt>
                <c:pt idx="35">
                  <c:v>7.0233733265760696</c:v>
                </c:pt>
                <c:pt idx="36">
                  <c:v>8.873159845319508</c:v>
                </c:pt>
                <c:pt idx="37">
                  <c:v>11.20864869757489</c:v>
                </c:pt>
                <c:pt idx="38">
                  <c:v>14.15648713140942</c:v>
                </c:pt>
                <c:pt idx="39">
                  <c:v>17.875820312454383</c:v>
                </c:pt>
                <c:pt idx="40">
                  <c:v>22.566318662855505</c:v>
                </c:pt>
                <c:pt idx="41">
                  <c:v>28.478002779700734</c:v>
                </c:pt>
                <c:pt idx="42">
                  <c:v>35.923156707193385</c:v>
                </c:pt>
                <c:pt idx="43">
                  <c:v>45.290595633376824</c:v>
                </c:pt>
                <c:pt idx="44">
                  <c:v>57.062470354452074</c:v>
                </c:pt>
                <c:pt idx="45">
                  <c:v>71.833608831354113</c:v>
                </c:pt>
                <c:pt idx="46">
                  <c:v>90.33305802354559</c:v>
                </c:pt>
                <c:pt idx="47">
                  <c:v>113.44691941965432</c:v>
                </c:pt>
                <c:pt idx="48">
                  <c:v>142.24067232475451</c:v>
                </c:pt>
                <c:pt idx="49">
                  <c:v>177.97784543859348</c:v>
                </c:pt>
                <c:pt idx="50">
                  <c:v>222.13005070843221</c:v>
                </c:pt>
                <c:pt idx="51">
                  <c:v>276.37105102150247</c:v>
                </c:pt>
                <c:pt idx="52">
                  <c:v>342.54493196615931</c:v>
                </c:pt>
                <c:pt idx="53">
                  <c:v>422.59622556080308</c:v>
                </c:pt>
                <c:pt idx="54">
                  <c:v>518.44922906601766</c:v>
                </c:pt>
                <c:pt idx="55">
                  <c:v>631.82670201558562</c:v>
                </c:pt>
                <c:pt idx="56">
                  <c:v>764.00693957768237</c:v>
                </c:pt>
                <c:pt idx="57">
                  <c:v>915.53463390105367</c:v>
                </c:pt>
                <c:pt idx="58">
                  <c:v>1085.924158627887</c:v>
                </c:pt>
                <c:pt idx="59">
                  <c:v>1273.4183928070202</c:v>
                </c:pt>
                <c:pt idx="60">
                  <c:v>1474.8808053122495</c:v>
                </c:pt>
                <c:pt idx="61">
                  <c:v>1685.8896953354424</c:v>
                </c:pt>
                <c:pt idx="62">
                  <c:v>1901.0633540670383</c:v>
                </c:pt>
                <c:pt idx="63">
                  <c:v>2114.5805550109835</c:v>
                </c:pt>
                <c:pt idx="64">
                  <c:v>2320.7963855332187</c:v>
                </c:pt>
                <c:pt idx="65">
                  <c:v>2514.8194031077237</c:v>
                </c:pt>
                <c:pt idx="66">
                  <c:v>2692.9300903149101</c:v>
                </c:pt>
                <c:pt idx="67">
                  <c:v>2852.7752226636558</c:v>
                </c:pt>
                <c:pt idx="68">
                  <c:v>2993.3408699389606</c:v>
                </c:pt>
                <c:pt idx="69" formatCode="0.00E+00">
                  <c:v>3114.7593598942085</c:v>
                </c:pt>
                <c:pt idx="70" formatCode="0.00E+00">
                  <c:v>3218.027679989124</c:v>
                </c:pt>
                <c:pt idx="71" formatCode="0.00E+00">
                  <c:v>3304.7087959552191</c:v>
                </c:pt>
                <c:pt idx="72" formatCode="0.00E+00">
                  <c:v>3376.6655307539727</c:v>
                </c:pt>
                <c:pt idx="73" formatCode="0.00E+00">
                  <c:v>3435.8518546389728</c:v>
                </c:pt>
                <c:pt idx="74" formatCode="0.00E+00">
                  <c:v>3484.1667381930329</c:v>
                </c:pt>
                <c:pt idx="75" formatCode="0.00E+00">
                  <c:v>3523.3637239193954</c:v>
                </c:pt>
                <c:pt idx="76" formatCode="0.00E+00">
                  <c:v>3555.0041657368256</c:v>
                </c:pt>
                <c:pt idx="77" formatCode="0.00E+00">
                  <c:v>3580.4414251336939</c:v>
                </c:pt>
                <c:pt idx="78" formatCode="0.00E+00">
                  <c:v>3600.8250260570503</c:v>
                </c:pt>
                <c:pt idx="79" formatCode="0.00E+00">
                  <c:v>3617.1163168005223</c:v>
                </c:pt>
                <c:pt idx="80" formatCode="0.00E+00">
                  <c:v>3630.1096898980309</c:v>
                </c:pt>
                <c:pt idx="81" formatCode="0.00E+00">
                  <c:v>3640.4554843134551</c:v>
                </c:pt>
                <c:pt idx="82" formatCode="0.00E+00">
                  <c:v>3648.6822442442831</c:v>
                </c:pt>
                <c:pt idx="83" formatCode="0.00E+00">
                  <c:v>3655.2170842499941</c:v>
                </c:pt>
                <c:pt idx="84" formatCode="0.00E+00">
                  <c:v>3660.4036104462061</c:v>
                </c:pt>
                <c:pt idx="85" formatCode="0.00E+00">
                  <c:v>3664.5172748537816</c:v>
                </c:pt>
                <c:pt idx="86" formatCode="0.00E+00">
                  <c:v>3667.7782811959269</c:v>
                </c:pt>
                <c:pt idx="87" formatCode="0.00E+00">
                  <c:v>3670.3622810700244</c:v>
                </c:pt>
                <c:pt idx="88" formatCode="0.00E+00">
                  <c:v>3672.4091458764838</c:v>
                </c:pt>
                <c:pt idx="89" formatCode="0.00E+00">
                  <c:v>3674.0301033495602</c:v>
                </c:pt>
                <c:pt idx="90" formatCode="0.00E+00">
                  <c:v>3675.3135080819206</c:v>
                </c:pt>
                <c:pt idx="91" formatCode="0.00E+00">
                  <c:v>3676.3294854607248</c:v>
                </c:pt>
                <c:pt idx="92" formatCode="0.00E+00">
                  <c:v>3677.1336552397916</c:v>
                </c:pt>
                <c:pt idx="93" formatCode="0.00E+00">
                  <c:v>3677.7701086008828</c:v>
                </c:pt>
                <c:pt idx="94" formatCode="0.00E+00">
                  <c:v>3678.2737830326992</c:v>
                </c:pt>
                <c:pt idx="95" formatCode="0.00E+00">
                  <c:v>3678.6723535036722</c:v>
                </c:pt>
                <c:pt idx="96" formatCode="0.00E+00">
                  <c:v>3678.9877363680048</c:v>
                </c:pt>
                <c:pt idx="97" formatCode="0.00E+00">
                  <c:v>3679.2372840080629</c:v>
                </c:pt>
                <c:pt idx="98" formatCode="0.00E+00">
                  <c:v>3679.4347329976172</c:v>
                </c:pt>
                <c:pt idx="99" formatCode="0.00E+00">
                  <c:v>3679.5909561315093</c:v>
                </c:pt>
                <c:pt idx="100">
                  <c:v>3679.7145585754411</c:v>
                </c:pt>
                <c:pt idx="101">
                  <c:v>3679.8123502477015</c:v>
                </c:pt>
                <c:pt idx="102">
                  <c:v>3680.1109394698587</c:v>
                </c:pt>
                <c:pt idx="103" formatCode="0.00E+00">
                  <c:v>3680.1688632632272</c:v>
                </c:pt>
                <c:pt idx="104" formatCode="0.00E+00">
                  <c:v>3680.1800991137111</c:v>
                </c:pt>
                <c:pt idx="105" formatCode="0.00E+00">
                  <c:v>3680.1822785708309</c:v>
                </c:pt>
                <c:pt idx="106">
                  <c:v>3680.1827013264901</c:v>
                </c:pt>
                <c:pt idx="107">
                  <c:v>3680.1827833295929</c:v>
                </c:pt>
                <c:pt idx="108">
                  <c:v>3680.1827992359631</c:v>
                </c:pt>
                <c:pt idx="109">
                  <c:v>3680.1828023213657</c:v>
                </c:pt>
              </c:numCache>
            </c:numRef>
          </c:yVal>
          <c:smooth val="0"/>
        </c:ser>
        <c:ser>
          <c:idx val="1"/>
          <c:order val="2"/>
          <c:tx>
            <c:v>Italy Confirmed Cases</c:v>
          </c:tx>
          <c:spPr>
            <a:ln w="12700" cap="rnd">
              <a:solidFill>
                <a:srgbClr val="FF0000"/>
              </a:solidFill>
              <a:round/>
            </a:ln>
            <a:effectLst/>
          </c:spPr>
          <c:marker>
            <c:symbol val="circle"/>
            <c:size val="4"/>
            <c:spPr>
              <a:solidFill>
                <a:srgbClr val="FF0000"/>
              </a:solidFill>
              <a:ln w="9525">
                <a:solidFill>
                  <a:schemeClr val="accent2"/>
                </a:solidFill>
              </a:ln>
              <a:effectLst/>
            </c:spPr>
          </c:marker>
          <c:xVal>
            <c:numRef>
              <c:f>myData!ItalyDates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myData!ItalyCases</c:f>
              <c:numCache>
                <c:formatCode>0.0</c:formatCode>
                <c:ptCount val="93"/>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c:v>10.250475324460611</c:v>
                </c:pt>
                <c:pt idx="23">
                  <c:v>25.626188311151527</c:v>
                </c:pt>
                <c:pt idx="24">
                  <c:v>37.860626601636774</c:v>
                </c:pt>
                <c:pt idx="25">
                  <c:v>53.236339588327688</c:v>
                </c:pt>
                <c:pt idx="26">
                  <c:v>74.894601967429949</c:v>
                </c:pt>
                <c:pt idx="27">
                  <c:v>108.29131189551129</c:v>
                </c:pt>
                <c:pt idx="28">
                  <c:v>146.81325948582293</c:v>
                </c:pt>
                <c:pt idx="29">
                  <c:v>186.49251880631562</c:v>
                </c:pt>
                <c:pt idx="30">
                  <c:v>280.06943870381087</c:v>
                </c:pt>
                <c:pt idx="31">
                  <c:v>336.61238323551294</c:v>
                </c:pt>
                <c:pt idx="32">
                  <c:v>413.65627841613627</c:v>
                </c:pt>
                <c:pt idx="33">
                  <c:v>510.70513350417463</c:v>
                </c:pt>
                <c:pt idx="34">
                  <c:v>637.84409357691993</c:v>
                </c:pt>
                <c:pt idx="35">
                  <c:v>766.47102587418374</c:v>
                </c:pt>
                <c:pt idx="36">
                  <c:v>972.63784409357697</c:v>
                </c:pt>
                <c:pt idx="37">
                  <c:v>1219.3105728693065</c:v>
                </c:pt>
                <c:pt idx="38">
                  <c:v>1516.4090270314955</c:v>
                </c:pt>
                <c:pt idx="39">
                  <c:v>1677.9366785153345</c:v>
                </c:pt>
                <c:pt idx="40">
                  <c:v>2060.3455402165828</c:v>
                </c:pt>
                <c:pt idx="41">
                  <c:v>2060.3455402165828</c:v>
                </c:pt>
                <c:pt idx="42">
                  <c:v>2919.732164999587</c:v>
                </c:pt>
                <c:pt idx="43">
                  <c:v>3497.8920393485992</c:v>
                </c:pt>
                <c:pt idx="44">
                  <c:v>4091.4276266843021</c:v>
                </c:pt>
                <c:pt idx="45">
                  <c:v>4625.9403157807719</c:v>
                </c:pt>
                <c:pt idx="46">
                  <c:v>5208.8947672976774</c:v>
                </c:pt>
                <c:pt idx="47">
                  <c:v>5904.4391171364805</c:v>
                </c:pt>
                <c:pt idx="48">
                  <c:v>6784.3266925684056</c:v>
                </c:pt>
                <c:pt idx="49">
                  <c:v>7773.9935521203606</c:v>
                </c:pt>
                <c:pt idx="50">
                  <c:v>8858.0639828056555</c:v>
                </c:pt>
                <c:pt idx="51">
                  <c:v>9777.3001570637352</c:v>
                </c:pt>
                <c:pt idx="52">
                  <c:v>10569.066710754732</c:v>
                </c:pt>
                <c:pt idx="53">
                  <c:v>11436.885178143342</c:v>
                </c:pt>
                <c:pt idx="54">
                  <c:v>12298.255765892371</c:v>
                </c:pt>
                <c:pt idx="55">
                  <c:v>13323.799289079938</c:v>
                </c:pt>
                <c:pt idx="56">
                  <c:v>14300.735719599901</c:v>
                </c:pt>
                <c:pt idx="57">
                  <c:v>15288.418616185832</c:v>
                </c:pt>
                <c:pt idx="58">
                  <c:v>16150.946515665042</c:v>
                </c:pt>
                <c:pt idx="59">
                  <c:v>16820.534016698355</c:v>
                </c:pt>
                <c:pt idx="60">
                  <c:v>17490.617508473177</c:v>
                </c:pt>
                <c:pt idx="61">
                  <c:v>18281.226750433994</c:v>
                </c:pt>
                <c:pt idx="62">
                  <c:v>19052.988344217574</c:v>
                </c:pt>
                <c:pt idx="63">
                  <c:v>19811.027527486156</c:v>
                </c:pt>
                <c:pt idx="64">
                  <c:v>20605.439365131853</c:v>
                </c:pt>
                <c:pt idx="65">
                  <c:v>21319.004711912046</c:v>
                </c:pt>
                <c:pt idx="66">
                  <c:v>21914.028271472267</c:v>
                </c:pt>
                <c:pt idx="67">
                  <c:v>22416.466892618006</c:v>
                </c:pt>
                <c:pt idx="68">
                  <c:v>23050.673720757215</c:v>
                </c:pt>
                <c:pt idx="69">
                  <c:v>23745.72207985451</c:v>
                </c:pt>
                <c:pt idx="70">
                  <c:v>24398.941886418121</c:v>
                </c:pt>
                <c:pt idx="71">
                  <c:v>25175.002066628091</c:v>
                </c:pt>
                <c:pt idx="72">
                  <c:v>25851.53343804249</c:v>
                </c:pt>
                <c:pt idx="73">
                  <c:v>26372.819707365463</c:v>
                </c:pt>
                <c:pt idx="74">
                  <c:v>26864.181201950898</c:v>
                </c:pt>
                <c:pt idx="75">
                  <c:v>27305.116971149873</c:v>
                </c:pt>
                <c:pt idx="76">
                  <c:v>27931.057286930645</c:v>
                </c:pt>
                <c:pt idx="77">
                  <c:v>28508.555840290981</c:v>
                </c:pt>
                <c:pt idx="78">
                  <c:v>29085.723733156981</c:v>
                </c:pt>
                <c:pt idx="79">
                  <c:v>29589.484996280069</c:v>
                </c:pt>
                <c:pt idx="80">
                  <c:v>29962.470033892703</c:v>
                </c:pt>
                <c:pt idx="81">
                  <c:v>30413.656278416136</c:v>
                </c:pt>
                <c:pt idx="82">
                  <c:v>30970.819211374721</c:v>
                </c:pt>
                <c:pt idx="83">
                  <c:v>31408.283045383156</c:v>
                </c:pt>
                <c:pt idx="84">
                  <c:v>31907.745722079857</c:v>
                </c:pt>
                <c:pt idx="85">
                  <c:v>32297.429114656527</c:v>
                </c:pt>
                <c:pt idx="86">
                  <c:v>32681.656609076632</c:v>
                </c:pt>
                <c:pt idx="87">
                  <c:v>32969.165908903036</c:v>
                </c:pt>
                <c:pt idx="88">
                  <c:v>33314.871455732828</c:v>
                </c:pt>
                <c:pt idx="89">
                  <c:v>33659.750351326773</c:v>
                </c:pt>
                <c:pt idx="90">
                  <c:v>33969.24857402662</c:v>
                </c:pt>
                <c:pt idx="91">
                  <c:v>34294.122509713154</c:v>
                </c:pt>
                <c:pt idx="92">
                  <c:v>34608.249979333719</c:v>
                </c:pt>
              </c:numCache>
            </c:numRef>
          </c:yVal>
          <c:smooth val="0"/>
        </c:ser>
        <c:ser>
          <c:idx val="0"/>
          <c:order val="3"/>
          <c:tx>
            <c:strRef>
              <c:f>myData!ItalySeries</c:f>
              <c:strCache>
                <c:ptCount val="1"/>
                <c:pt idx="0">
                  <c:v>Italy Limit 26.7 k r^2=90.76%</c:v>
                </c:pt>
              </c:strCache>
            </c:strRef>
          </c:tx>
          <c:spPr>
            <a:ln w="19050" cap="rnd">
              <a:solidFill>
                <a:srgbClr val="FF0000"/>
              </a:solidFill>
              <a:prstDash val="sysDash"/>
              <a:round/>
            </a:ln>
            <a:effectLst/>
          </c:spPr>
          <c:marker>
            <c:symbol val="none"/>
          </c:marker>
          <c:xVal>
            <c:numRef>
              <c:f>myData!ItalyLogiDates</c:f>
              <c:numCache>
                <c:formatCode>m/d/yyyy</c:formatCode>
                <c:ptCount val="105"/>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pt idx="93">
                  <c:v>43954</c:v>
                </c:pt>
                <c:pt idx="94">
                  <c:v>43955</c:v>
                </c:pt>
                <c:pt idx="95">
                  <c:v>43956</c:v>
                </c:pt>
                <c:pt idx="96">
                  <c:v>43957</c:v>
                </c:pt>
                <c:pt idx="97">
                  <c:v>43964</c:v>
                </c:pt>
                <c:pt idx="98">
                  <c:v>43971</c:v>
                </c:pt>
                <c:pt idx="99">
                  <c:v>43978</c:v>
                </c:pt>
                <c:pt idx="100">
                  <c:v>43985</c:v>
                </c:pt>
                <c:pt idx="101">
                  <c:v>43992</c:v>
                </c:pt>
                <c:pt idx="102">
                  <c:v>43999</c:v>
                </c:pt>
                <c:pt idx="103">
                  <c:v>44006</c:v>
                </c:pt>
                <c:pt idx="104">
                  <c:v>44013</c:v>
                </c:pt>
              </c:numCache>
            </c:numRef>
          </c:xVal>
          <c:yVal>
            <c:numRef>
              <c:f>myData!ItalyLogi</c:f>
              <c:numCache>
                <c:formatCode>0.0</c:formatCode>
                <c:ptCount val="105"/>
                <c:pt idx="0">
                  <c:v>9.4319527547555293E-2</c:v>
                </c:pt>
                <c:pt idx="1">
                  <c:v>0.12149455820816397</c:v>
                </c:pt>
                <c:pt idx="2">
                  <c:v>0.15649912299719076</c:v>
                </c:pt>
                <c:pt idx="3">
                  <c:v>0.20158899791412627</c:v>
                </c:pt>
                <c:pt idx="4">
                  <c:v>0.25966985319378766</c:v>
                </c:pt>
                <c:pt idx="5">
                  <c:v>0.33448447616768234</c:v>
                </c:pt>
                <c:pt idx="6">
                  <c:v>0.43085392099664788</c:v>
                </c:pt>
                <c:pt idx="7">
                  <c:v>0.55498811242163526</c:v>
                </c:pt>
                <c:pt idx="8">
                  <c:v>0.71488589763593113</c:v>
                </c:pt>
                <c:pt idx="9">
                  <c:v>0.92085028993716922</c:v>
                </c:pt>
                <c:pt idx="10">
                  <c:v>1.1861520466036888</c:v>
                </c:pt>
                <c:pt idx="11">
                  <c:v>1.5278842418080443</c:v>
                </c:pt>
                <c:pt idx="12">
                  <c:v>1.968062736022371</c:v>
                </c:pt>
                <c:pt idx="13">
                  <c:v>2.5350431773579438</c:v>
                </c:pt>
                <c:pt idx="14">
                  <c:v>3.2653453821171445</c:v>
                </c:pt>
                <c:pt idx="15">
                  <c:v>4.2060018852081189</c:v>
                </c:pt>
                <c:pt idx="16">
                  <c:v>5.4175807169099581</c:v>
                </c:pt>
                <c:pt idx="17">
                  <c:v>6.9780750603904869</c:v>
                </c:pt>
                <c:pt idx="18">
                  <c:v>8.987906897289486</c:v>
                </c:pt>
                <c:pt idx="19" formatCode="0">
                  <c:v>11.576361197749186</c:v>
                </c:pt>
                <c:pt idx="20" formatCode="0">
                  <c:v>14.909855523149005</c:v>
                </c:pt>
                <c:pt idx="21" formatCode="0">
                  <c:v>19.202561768875942</c:v>
                </c:pt>
                <c:pt idx="22" formatCode="0">
                  <c:v>24.730037726544385</c:v>
                </c:pt>
                <c:pt idx="23" formatCode="0">
                  <c:v>31.846702530948502</c:v>
                </c:pt>
                <c:pt idx="24" formatCode="0">
                  <c:v>41.008208727584538</c:v>
                </c:pt>
                <c:pt idx="25" formatCode="0">
                  <c:v>52.800031324427046</c:v>
                </c:pt>
                <c:pt idx="26" formatCode="0">
                  <c:v>67.973915870243303</c:v>
                </c:pt>
                <c:pt idx="27" formatCode="0">
                  <c:v>87.494204228525732</c:v>
                </c:pt>
                <c:pt idx="28" formatCode="0">
                  <c:v>112.59648035891601</c:v>
                </c:pt>
                <c:pt idx="29" formatCode="0">
                  <c:v>144.86142442829504</c:v>
                </c:pt>
                <c:pt idx="30" formatCode="0">
                  <c:v>186.30717761188527</c:v>
                </c:pt>
                <c:pt idx="31" formatCode="0">
                  <c:v>239.50379734378745</c:v>
                </c:pt>
                <c:pt idx="32" formatCode="0">
                  <c:v>307.71333696252458</c:v>
                </c:pt>
                <c:pt idx="33" formatCode="0">
                  <c:v>395.05840021142262</c:v>
                </c:pt>
                <c:pt idx="34" formatCode="0">
                  <c:v>506.72019530733627</c:v>
                </c:pt>
                <c:pt idx="35" formatCode="0">
                  <c:v>649.163376127883</c:v>
                </c:pt>
                <c:pt idx="36" formatCode="0">
                  <c:v>830.3782083809582</c:v>
                </c:pt>
                <c:pt idx="37" formatCode="0">
                  <c:v>1060.1193946728774</c:v>
                </c:pt>
                <c:pt idx="38" formatCode="0">
                  <c:v>1350.10361330397</c:v>
                </c:pt>
                <c:pt idx="39" formatCode="0">
                  <c:v>1714.1032075128903</c:v>
                </c:pt>
                <c:pt idx="40" formatCode="0">
                  <c:v>2167.8418193639991</c:v>
                </c:pt>
                <c:pt idx="41" formatCode="0">
                  <c:v>2728.5632323224359</c:v>
                </c:pt>
                <c:pt idx="42" formatCode="0">
                  <c:v>3414.118536188962</c:v>
                </c:pt>
                <c:pt idx="43" formatCode="0">
                  <c:v>4241.4207285673319</c:v>
                </c:pt>
                <c:pt idx="44" formatCode="0">
                  <c:v>5224.1825377232135</c:v>
                </c:pt>
                <c:pt idx="45" formatCode="0">
                  <c:v>6370.0169233749111</c:v>
                </c:pt>
                <c:pt idx="46" formatCode="0">
                  <c:v>7677.2518534716501</c:v>
                </c:pt>
                <c:pt idx="47" formatCode="0">
                  <c:v>9132.141439709354</c:v>
                </c:pt>
                <c:pt idx="48" formatCode="0">
                  <c:v>10707.403293036923</c:v>
                </c:pt>
                <c:pt idx="49" formatCode="0">
                  <c:v>12362.972668598062</c:v>
                </c:pt>
                <c:pt idx="50" formatCode="0">
                  <c:v>14049.389926771717</c:v>
                </c:pt>
                <c:pt idx="51" formatCode="0">
                  <c:v>15713.4029658457</c:v>
                </c:pt>
                <c:pt idx="52" formatCode="0">
                  <c:v>17304.524192570669</c:v>
                </c:pt>
                <c:pt idx="53" formatCode="0">
                  <c:v>18780.888378182644</c:v>
                </c:pt>
                <c:pt idx="54" formatCode="0">
                  <c:v>20113.047380114629</c:v>
                </c:pt>
                <c:pt idx="55" formatCode="0">
                  <c:v>21285.136744478561</c:v>
                </c:pt>
                <c:pt idx="56" formatCode="0">
                  <c:v>22293.715099281151</c:v>
                </c:pt>
                <c:pt idx="57" formatCode="0">
                  <c:v>23145.121706068341</c:v>
                </c:pt>
                <c:pt idx="58" formatCode="0">
                  <c:v>23852.300433501554</c:v>
                </c:pt>
                <c:pt idx="59" formatCode="0">
                  <c:v>24431.822438348365</c:v>
                </c:pt>
                <c:pt idx="60" formatCode="0">
                  <c:v>24901.51069681322</c:v>
                </c:pt>
                <c:pt idx="61" formatCode="0">
                  <c:v>25278.782494527903</c:v>
                </c:pt>
                <c:pt idx="62" formatCode="0">
                  <c:v>25579.6446071957</c:v>
                </c:pt>
                <c:pt idx="63" formatCode="0">
                  <c:v>25818.195796411841</c:v>
                </c:pt>
                <c:pt idx="64" formatCode="0">
                  <c:v>26006.479614044893</c:v>
                </c:pt>
                <c:pt idx="65" formatCode="0">
                  <c:v>26154.553599475301</c:v>
                </c:pt>
                <c:pt idx="66" formatCode="0">
                  <c:v>26270.675137727121</c:v>
                </c:pt>
                <c:pt idx="67" formatCode="0">
                  <c:v>26361.536771338855</c:v>
                </c:pt>
                <c:pt idx="68" formatCode="0">
                  <c:v>26432.509590004611</c:v>
                </c:pt>
                <c:pt idx="69" formatCode="0">
                  <c:v>26487.871713755019</c:v>
                </c:pt>
                <c:pt idx="70" formatCode="0">
                  <c:v>26531.010953830308</c:v>
                </c:pt>
                <c:pt idx="71" formatCode="0">
                  <c:v>26564.598093789271</c:v>
                </c:pt>
                <c:pt idx="72" formatCode="0">
                  <c:v>26590.731369834783</c:v>
                </c:pt>
                <c:pt idx="73" formatCode="0">
                  <c:v>26611.054801604278</c:v>
                </c:pt>
                <c:pt idx="74" formatCode="0">
                  <c:v>26626.853851255484</c:v>
                </c:pt>
                <c:pt idx="75" formatCode="0">
                  <c:v>26639.132011378493</c:v>
                </c:pt>
                <c:pt idx="76" formatCode="0">
                  <c:v>26648.671681402164</c:v>
                </c:pt>
                <c:pt idx="77" formatCode="0">
                  <c:v>26656.082291287421</c:v>
                </c:pt>
                <c:pt idx="78" formatCode="0">
                  <c:v>26661.838185741926</c:v>
                </c:pt>
                <c:pt idx="79" formatCode="0">
                  <c:v>26666.308352721691</c:v>
                </c:pt>
                <c:pt idx="80" formatCode="0">
                  <c:v>26669.779694972924</c:v>
                </c:pt>
                <c:pt idx="81" formatCode="0">
                  <c:v>26672.475212785157</c:v>
                </c:pt>
                <c:pt idx="82" formatCode="0">
                  <c:v>26674.568190112601</c:v>
                </c:pt>
                <c:pt idx="83" formatCode="0">
                  <c:v>26676.193250135853</c:v>
                </c:pt>
                <c:pt idx="84" formatCode="0">
                  <c:v>26677.454963643617</c:v>
                </c:pt>
                <c:pt idx="85" formatCode="0">
                  <c:v>26678.434547429631</c:v>
                </c:pt>
                <c:pt idx="86" formatCode="0">
                  <c:v>26679.195073775736</c:v>
                </c:pt>
                <c:pt idx="87" formatCode="0">
                  <c:v>26679.78552034486</c:v>
                </c:pt>
                <c:pt idx="88" formatCode="0">
                  <c:v>26680.24391761727</c:v>
                </c:pt>
                <c:pt idx="89" formatCode="0">
                  <c:v>26680.599794376958</c:v>
                </c:pt>
                <c:pt idx="90" formatCode="0">
                  <c:v>26680.876077442303</c:v>
                </c:pt>
                <c:pt idx="91" formatCode="0">
                  <c:v>26681.090567221705</c:v>
                </c:pt>
                <c:pt idx="92" formatCode="0">
                  <c:v>26681.257083675166</c:v>
                </c:pt>
                <c:pt idx="93" formatCode="0">
                  <c:v>26681.386356225059</c:v>
                </c:pt>
                <c:pt idx="94" formatCode="0">
                  <c:v>26681.486714780454</c:v>
                </c:pt>
                <c:pt idx="95" formatCode="0">
                  <c:v>26681.564626295793</c:v>
                </c:pt>
                <c:pt idx="96" formatCode="0">
                  <c:v>26681.625111374771</c:v>
                </c:pt>
                <c:pt idx="97" formatCode="0">
                  <c:v>26681.799367527132</c:v>
                </c:pt>
                <c:pt idx="98" formatCode="0">
                  <c:v>26681.828981854735</c:v>
                </c:pt>
                <c:pt idx="99" formatCode="0">
                  <c:v>26681.834014691878</c:v>
                </c:pt>
                <c:pt idx="100" formatCode="0">
                  <c:v>26681.83487000161</c:v>
                </c:pt>
                <c:pt idx="101" formatCode="0">
                  <c:v>26681.835015357909</c:v>
                </c:pt>
                <c:pt idx="102" formatCode="0">
                  <c:v>26681.835040060607</c:v>
                </c:pt>
                <c:pt idx="103" formatCode="0">
                  <c:v>26681.835044258722</c:v>
                </c:pt>
                <c:pt idx="104" formatCode="0">
                  <c:v>26681.835044972173</c:v>
                </c:pt>
              </c:numCache>
            </c:numRef>
          </c:yVal>
          <c:smooth val="0"/>
        </c:ser>
        <c:ser>
          <c:idx val="2"/>
          <c:order val="4"/>
          <c:tx>
            <c:v>US Confirmed Cases</c:v>
          </c:tx>
          <c:spPr>
            <a:ln w="19050"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myData!USDates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myData!USCases</c:f>
              <c:numCache>
                <c:formatCode>0.0</c:formatCode>
                <c:ptCount val="102"/>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417.55289968786536</c:v>
                </c:pt>
                <c:pt idx="58">
                  <c:v>585.40023537384366</c:v>
                </c:pt>
                <c:pt idx="59">
                  <c:v>777.57723372440194</c:v>
                </c:pt>
                <c:pt idx="60">
                  <c:v>1010.7289073989531</c:v>
                </c:pt>
                <c:pt idx="61">
                  <c:v>1331.6921350851153</c:v>
                </c:pt>
                <c:pt idx="62">
                  <c:v>1632.1832121646273</c:v>
                </c:pt>
                <c:pt idx="63">
                  <c:v>1997.9482531220199</c:v>
                </c:pt>
                <c:pt idx="64">
                  <c:v>2546.4439440046467</c:v>
                </c:pt>
                <c:pt idx="65">
                  <c:v>3087.7409706531844</c:v>
                </c:pt>
                <c:pt idx="66">
                  <c:v>3689.3913552474405</c:v>
                </c:pt>
                <c:pt idx="67">
                  <c:v>4279.9855635496779</c:v>
                </c:pt>
                <c:pt idx="68">
                  <c:v>4915.472707455222</c:v>
                </c:pt>
                <c:pt idx="69">
                  <c:v>5715.557157202662</c:v>
                </c:pt>
                <c:pt idx="70">
                  <c:v>6477.0361122601134</c:v>
                </c:pt>
                <c:pt idx="71">
                  <c:v>7399.8015950939935</c:v>
                </c:pt>
                <c:pt idx="72">
                  <c:v>8364.0277390229439</c:v>
                </c:pt>
                <c:pt idx="73">
                  <c:v>9374.9692651967434</c:v>
                </c:pt>
                <c:pt idx="74">
                  <c:v>10230.061229408047</c:v>
                </c:pt>
                <c:pt idx="75">
                  <c:v>11126.553106493036</c:v>
                </c:pt>
                <c:pt idx="76">
                  <c:v>12062.197212260477</c:v>
                </c:pt>
                <c:pt idx="77">
                  <c:v>13019.984044722647</c:v>
                </c:pt>
                <c:pt idx="78">
                  <c:v>14056.530946210107</c:v>
                </c:pt>
                <c:pt idx="79">
                  <c:v>15081.809052630699</c:v>
                </c:pt>
                <c:pt idx="80">
                  <c:v>15988.810372015245</c:v>
                </c:pt>
                <c:pt idx="81">
                  <c:v>16867.138530906203</c:v>
                </c:pt>
                <c:pt idx="82">
                  <c:v>17635.78577608705</c:v>
                </c:pt>
                <c:pt idx="83">
                  <c:v>18457.435844426065</c:v>
                </c:pt>
                <c:pt idx="84">
                  <c:v>19328.565339082936</c:v>
                </c:pt>
                <c:pt idx="85">
                  <c:v>20277.513305333629</c:v>
                </c:pt>
                <c:pt idx="86">
                  <c:v>21252.94749610806</c:v>
                </c:pt>
                <c:pt idx="87">
                  <c:v>22239.832726613513</c:v>
                </c:pt>
                <c:pt idx="88">
                  <c:v>23048.148560358582</c:v>
                </c:pt>
                <c:pt idx="89">
                  <c:v>23823.204742895519</c:v>
                </c:pt>
                <c:pt idx="90">
                  <c:v>24659.677377252403</c:v>
                </c:pt>
                <c:pt idx="91">
                  <c:v>25524.914294434955</c:v>
                </c:pt>
                <c:pt idx="92">
                  <c:v>26400.265790478064</c:v>
                </c:pt>
                <c:pt idx="93">
                  <c:v>27499.444108213167</c:v>
                </c:pt>
                <c:pt idx="94">
                  <c:v>28495.593442479789</c:v>
                </c:pt>
                <c:pt idx="95">
                  <c:v>29334.86049502037</c:v>
                </c:pt>
                <c:pt idx="96">
                  <c:v>30015.605063857533</c:v>
                </c:pt>
                <c:pt idx="97">
                  <c:v>30756.277753090715</c:v>
                </c:pt>
                <c:pt idx="98">
                  <c:v>31586.311075980822</c:v>
                </c:pt>
                <c:pt idx="99">
                  <c:v>32482.802953065813</c:v>
                </c:pt>
                <c:pt idx="100">
                  <c:v>33516.64655870165</c:v>
                </c:pt>
                <c:pt idx="101">
                  <c:v>34399.864949414077</c:v>
                </c:pt>
              </c:numCache>
            </c:numRef>
          </c:yVal>
          <c:smooth val="0"/>
        </c:ser>
        <c:ser>
          <c:idx val="5"/>
          <c:order val="5"/>
          <c:tx>
            <c:strRef>
              <c:f>myData!USSeries</c:f>
              <c:strCache>
                <c:ptCount val="1"/>
                <c:pt idx="0">
                  <c:v>USA Limit 24.7 k r^2=92.46%</c:v>
                </c:pt>
              </c:strCache>
            </c:strRef>
          </c:tx>
          <c:spPr>
            <a:ln w="19050" cap="rnd">
              <a:solidFill>
                <a:schemeClr val="accent6"/>
              </a:solidFill>
              <a:prstDash val="sysDash"/>
              <a:round/>
            </a:ln>
            <a:effectLst/>
          </c:spPr>
          <c:marker>
            <c:symbol val="none"/>
          </c:marker>
          <c:xVal>
            <c:numRef>
              <c:f>myData!USLogiDates</c:f>
              <c:numCache>
                <c:formatCode>m/d/yyyy</c:formatCode>
                <c:ptCount val="113"/>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43926</c:v>
                </c:pt>
                <c:pt idx="74">
                  <c:v>43927</c:v>
                </c:pt>
                <c:pt idx="75">
                  <c:v>43928</c:v>
                </c:pt>
                <c:pt idx="76">
                  <c:v>43929</c:v>
                </c:pt>
                <c:pt idx="77">
                  <c:v>43930</c:v>
                </c:pt>
                <c:pt idx="78">
                  <c:v>43931</c:v>
                </c:pt>
                <c:pt idx="79">
                  <c:v>43932</c:v>
                </c:pt>
                <c:pt idx="80">
                  <c:v>43933</c:v>
                </c:pt>
                <c:pt idx="81">
                  <c:v>43934</c:v>
                </c:pt>
                <c:pt idx="82">
                  <c:v>43935</c:v>
                </c:pt>
                <c:pt idx="83">
                  <c:v>43936</c:v>
                </c:pt>
                <c:pt idx="84">
                  <c:v>43937</c:v>
                </c:pt>
                <c:pt idx="85">
                  <c:v>43938</c:v>
                </c:pt>
                <c:pt idx="86">
                  <c:v>43939</c:v>
                </c:pt>
                <c:pt idx="87">
                  <c:v>43940</c:v>
                </c:pt>
                <c:pt idx="88">
                  <c:v>43941</c:v>
                </c:pt>
                <c:pt idx="89">
                  <c:v>43942</c:v>
                </c:pt>
                <c:pt idx="90">
                  <c:v>43943</c:v>
                </c:pt>
                <c:pt idx="91">
                  <c:v>43944</c:v>
                </c:pt>
                <c:pt idx="92">
                  <c:v>43945</c:v>
                </c:pt>
                <c:pt idx="93">
                  <c:v>43946</c:v>
                </c:pt>
                <c:pt idx="94">
                  <c:v>43947</c:v>
                </c:pt>
                <c:pt idx="95">
                  <c:v>43948</c:v>
                </c:pt>
                <c:pt idx="96">
                  <c:v>43949</c:v>
                </c:pt>
                <c:pt idx="97">
                  <c:v>43950</c:v>
                </c:pt>
                <c:pt idx="98">
                  <c:v>43951</c:v>
                </c:pt>
                <c:pt idx="99">
                  <c:v>43952</c:v>
                </c:pt>
                <c:pt idx="100">
                  <c:v>43953</c:v>
                </c:pt>
                <c:pt idx="101">
                  <c:v>43954</c:v>
                </c:pt>
                <c:pt idx="102">
                  <c:v>43955</c:v>
                </c:pt>
                <c:pt idx="103">
                  <c:v>43956</c:v>
                </c:pt>
                <c:pt idx="104">
                  <c:v>43957</c:v>
                </c:pt>
                <c:pt idx="105">
                  <c:v>43964</c:v>
                </c:pt>
                <c:pt idx="106">
                  <c:v>43971</c:v>
                </c:pt>
                <c:pt idx="107">
                  <c:v>43978</c:v>
                </c:pt>
                <c:pt idx="108">
                  <c:v>43985</c:v>
                </c:pt>
                <c:pt idx="109">
                  <c:v>43992</c:v>
                </c:pt>
                <c:pt idx="110">
                  <c:v>43999</c:v>
                </c:pt>
                <c:pt idx="111">
                  <c:v>44006</c:v>
                </c:pt>
                <c:pt idx="112">
                  <c:v>44013</c:v>
                </c:pt>
              </c:numCache>
            </c:numRef>
          </c:xVal>
          <c:yVal>
            <c:numRef>
              <c:f>myData!USLogi</c:f>
              <c:numCache>
                <c:formatCode>0.0</c:formatCode>
                <c:ptCount val="113"/>
                <c:pt idx="0">
                  <c:v>4.0340654737457579E-5</c:v>
                </c:pt>
                <c:pt idx="1">
                  <c:v>5.3577483828710432E-5</c:v>
                </c:pt>
                <c:pt idx="2">
                  <c:v>7.115766443536908E-5</c:v>
                </c:pt>
                <c:pt idx="3">
                  <c:v>9.4506364332119764E-5</c:v>
                </c:pt>
                <c:pt idx="4">
                  <c:v>1.2551638628637105E-4</c:v>
                </c:pt>
                <c:pt idx="5">
                  <c:v>1.6670161138075562E-4</c:v>
                </c:pt>
                <c:pt idx="6">
                  <c:v>2.2140079111533146E-4</c:v>
                </c:pt>
                <c:pt idx="7">
                  <c:v>2.9404820904174739E-4</c:v>
                </c:pt>
                <c:pt idx="8">
                  <c:v>3.9053315357032528E-4</c:v>
                </c:pt>
                <c:pt idx="9">
                  <c:v>5.1867734321242511E-4</c:v>
                </c:pt>
                <c:pt idx="10">
                  <c:v>6.8886900752102498E-4</c:v>
                </c:pt>
                <c:pt idx="11">
                  <c:v>9.1490502652635645E-4</c:v>
                </c:pt>
                <c:pt idx="12">
                  <c:v>1.2151093980299517E-3</c:v>
                </c:pt>
                <c:pt idx="13">
                  <c:v>1.6138187030185166E-3</c:v>
                </c:pt>
                <c:pt idx="14">
                  <c:v>2.143354990623696E-3</c:v>
                </c:pt>
                <c:pt idx="15">
                  <c:v>2.8466460172572759E-3</c:v>
                </c:pt>
                <c:pt idx="16">
                  <c:v>3.7807052528985086E-3</c:v>
                </c:pt>
                <c:pt idx="17">
                  <c:v>5.0212537650705207E-3</c:v>
                </c:pt>
                <c:pt idx="18">
                  <c:v>6.6688586576539735E-3</c:v>
                </c:pt>
                <c:pt idx="19">
                  <c:v>8.857085680864794E-3</c:v>
                </c:pt>
                <c:pt idx="20">
                  <c:v>1.1763326905764858E-2</c:v>
                </c:pt>
                <c:pt idx="21">
                  <c:v>1.5623181206184968E-2</c:v>
                </c:pt>
                <c:pt idx="22">
                  <c:v>2.0749553289146294E-2</c:v>
                </c:pt>
                <c:pt idx="23">
                  <c:v>2.755801950345612E-2</c:v>
                </c:pt>
                <c:pt idx="24">
                  <c:v>3.6600516632726433E-2</c:v>
                </c:pt>
                <c:pt idx="25">
                  <c:v>4.8610084506860288E-2</c:v>
                </c:pt>
                <c:pt idx="26">
                  <c:v>6.4560289205382454E-2</c:v>
                </c:pt>
                <c:pt idx="27">
                  <c:v>8.5744143455587798E-2</c:v>
                </c:pt>
                <c:pt idx="28">
                  <c:v>0.11387892091196908</c:v>
                </c:pt>
                <c:pt idx="29">
                  <c:v>0.15124535927074365</c:v>
                </c:pt>
                <c:pt idx="30">
                  <c:v>0.20087253343805211</c:v>
                </c:pt>
                <c:pt idx="31">
                  <c:v>0.26678337960123605</c:v>
                </c:pt>
                <c:pt idx="32">
                  <c:v>0.35432076307625854</c:v>
                </c:pt>
                <c:pt idx="33">
                  <c:v>0.47058050385245032</c:v>
                </c:pt>
                <c:pt idx="34">
                  <c:v>0.62498642969914964</c:v>
                </c:pt>
                <c:pt idx="35">
                  <c:v>0.83005401436263926</c:v>
                </c:pt>
                <c:pt idx="36">
                  <c:v>1.1024044004205729</c:v>
                </c:pt>
                <c:pt idx="37">
                  <c:v>1.4641108232088327</c:v>
                </c:pt>
                <c:pt idx="38">
                  <c:v>1.9444862560260094</c:v>
                </c:pt>
                <c:pt idx="39">
                  <c:v>2.5824566132340436</c:v>
                </c:pt>
                <c:pt idx="40">
                  <c:v>3.429710872882807</c:v>
                </c:pt>
                <c:pt idx="41">
                  <c:v>4.5548816795794389</c:v>
                </c:pt>
                <c:pt idx="42">
                  <c:v>6.0490921453604782</c:v>
                </c:pt>
                <c:pt idx="43">
                  <c:v>8.0333128863969367</c:v>
                </c:pt>
                <c:pt idx="44">
                  <c:v>10.668115796521105</c:v>
                </c:pt>
                <c:pt idx="45">
                  <c:v>14.166597804673456</c:v>
                </c:pt>
                <c:pt idx="46">
                  <c:v>18.81149155485226</c:v>
                </c:pt>
                <c:pt idx="47">
                  <c:v>24.977795992418262</c:v>
                </c:pt>
                <c:pt idx="48">
                  <c:v>33.162666242937291</c:v>
                </c:pt>
                <c:pt idx="49">
                  <c:v>44.02481855494667</c:v>
                </c:pt>
                <c:pt idx="50">
                  <c:v>58.436351084349859</c:v>
                </c:pt>
                <c:pt idx="51">
                  <c:v>77.550666881744121</c:v>
                </c:pt>
                <c:pt idx="52">
                  <c:v>102.89110561136106</c:v>
                </c:pt>
                <c:pt idx="53">
                  <c:v>136.46590035422193</c:v>
                </c:pt>
                <c:pt idx="54">
                  <c:v>180.91605414825486</c:v>
                </c:pt>
                <c:pt idx="55">
                  <c:v>239.7034166419875</c:v>
                </c:pt>
                <c:pt idx="56">
                  <c:v>317.34612994173438</c:v>
                </c:pt>
                <c:pt idx="57">
                  <c:v>419.70679796207605</c:v>
                </c:pt>
                <c:pt idx="58">
                  <c:v>554.33368492625448</c:v>
                </c:pt>
                <c:pt idx="59">
                  <c:v>730.84454884328738</c:v>
                </c:pt>
                <c:pt idx="60">
                  <c:v>961.322864186885</c:v>
                </c:pt>
                <c:pt idx="61">
                  <c:v>1260.6627673430748</c:v>
                </c:pt>
                <c:pt idx="62">
                  <c:v>1646.7479124482609</c:v>
                </c:pt>
                <c:pt idx="63">
                  <c:v>2140.279990136351</c:v>
                </c:pt>
                <c:pt idx="64">
                  <c:v>2763.994906946034</c:v>
                </c:pt>
                <c:pt idx="65">
                  <c:v>3540.9501020883458</c:v>
                </c:pt>
                <c:pt idx="66">
                  <c:v>4491.5995343139366</c:v>
                </c:pt>
                <c:pt idx="67">
                  <c:v>5629.5878912211256</c:v>
                </c:pt>
                <c:pt idx="68">
                  <c:v>6956.6738790963009</c:v>
                </c:pt>
                <c:pt idx="69">
                  <c:v>8457.8979909218742</c:v>
                </c:pt>
                <c:pt idx="70">
                  <c:v>10098.762284417062</c:v>
                </c:pt>
                <c:pt idx="71">
                  <c:v>11826.263685119791</c:v>
                </c:pt>
                <c:pt idx="72">
                  <c:v>13574.659840965507</c:v>
                </c:pt>
                <c:pt idx="73">
                  <c:v>15274.992599131874</c:v>
                </c:pt>
                <c:pt idx="74">
                  <c:v>16865.617760442015</c:v>
                </c:pt>
                <c:pt idx="75">
                  <c:v>18300.479076234064</c:v>
                </c:pt>
                <c:pt idx="76">
                  <c:v>19552.989871078098</c:v>
                </c:pt>
                <c:pt idx="77">
                  <c:v>20615.346380514362</c:v>
                </c:pt>
                <c:pt idx="78">
                  <c:v>21494.669534674089</c:v>
                </c:pt>
                <c:pt idx="79">
                  <c:v>22207.893397782344</c:v>
                </c:pt>
                <c:pt idx="80">
                  <c:v>22776.944387207401</c:v>
                </c:pt>
                <c:pt idx="81">
                  <c:v>23225.029717144425</c:v>
                </c:pt>
                <c:pt idx="82">
                  <c:v>23574.220877363194</c:v>
                </c:pt>
                <c:pt idx="83">
                  <c:v>23844.149807198261</c:v>
                </c:pt>
                <c:pt idx="84">
                  <c:v>24051.505026162646</c:v>
                </c:pt>
                <c:pt idx="85">
                  <c:v>24210.026838309092</c:v>
                </c:pt>
                <c:pt idx="86">
                  <c:v>24330.770198048624</c:v>
                </c:pt>
                <c:pt idx="87">
                  <c:v>24422.48055552072</c:v>
                </c:pt>
                <c:pt idx="88">
                  <c:v>24491.990547925245</c:v>
                </c:pt>
                <c:pt idx="89">
                  <c:v>24544.589108972894</c:v>
                </c:pt>
                <c:pt idx="90">
                  <c:v>24584.342025603743</c:v>
                </c:pt>
                <c:pt idx="91">
                  <c:v>24614.358686934051</c:v>
                </c:pt>
                <c:pt idx="92">
                  <c:v>24637.007861887476</c:v>
                </c:pt>
                <c:pt idx="93">
                  <c:v>24654.088867962506</c:v>
                </c:pt>
                <c:pt idx="94">
                  <c:v>24666.965486783713</c:v>
                </c:pt>
                <c:pt idx="95">
                  <c:v>24676.669693944634</c:v>
                </c:pt>
                <c:pt idx="96">
                  <c:v>24683.981424390706</c:v>
                </c:pt>
                <c:pt idx="97">
                  <c:v>24689.489582075796</c:v>
                </c:pt>
                <c:pt idx="98">
                  <c:v>24693.638519345615</c:v>
                </c:pt>
                <c:pt idx="99">
                  <c:v>24696.763342366979</c:v>
                </c:pt>
                <c:pt idx="100">
                  <c:v>24699.116669972147</c:v>
                </c:pt>
                <c:pt idx="101">
                  <c:v>24700.888881509723</c:v>
                </c:pt>
                <c:pt idx="102">
                  <c:v>24702.223419102193</c:v>
                </c:pt>
                <c:pt idx="103">
                  <c:v>24703.228341604692</c:v>
                </c:pt>
                <c:pt idx="104">
                  <c:v>24703.985042364446</c:v>
                </c:pt>
                <c:pt idx="105">
                  <c:v>24705.975011296989</c:v>
                </c:pt>
                <c:pt idx="106">
                  <c:v>24706.24804136507</c:v>
                </c:pt>
                <c:pt idx="107">
                  <c:v>24706.285498998466</c:v>
                </c:pt>
                <c:pt idx="108">
                  <c:v>24706.290637843045</c:v>
                </c:pt>
                <c:pt idx="109">
                  <c:v>24706.291342844459</c:v>
                </c:pt>
                <c:pt idx="110">
                  <c:v>24706.291439564036</c:v>
                </c:pt>
                <c:pt idx="111">
                  <c:v>24706.291452833055</c:v>
                </c:pt>
                <c:pt idx="112">
                  <c:v>24706.291454653438</c:v>
                </c:pt>
              </c:numCache>
            </c:numRef>
          </c:yVal>
          <c:smooth val="0"/>
        </c:ser>
        <c:ser>
          <c:idx val="6"/>
          <c:order val="6"/>
          <c:tx>
            <c:strRef>
              <c:f>myData!ChinaSeries</c:f>
              <c:strCache>
                <c:ptCount val="1"/>
                <c:pt idx="0">
                  <c:v>China Limit 571   r^2=99.47%</c:v>
                </c:pt>
              </c:strCache>
            </c:strRef>
          </c:tx>
          <c:spPr>
            <a:ln w="19050" cap="rnd">
              <a:solidFill>
                <a:schemeClr val="accent2">
                  <a:lumMod val="75000"/>
                </a:schemeClr>
              </a:solidFill>
              <a:prstDash val="sysDot"/>
              <a:round/>
            </a:ln>
            <a:effectLst/>
          </c:spPr>
          <c:marker>
            <c:symbol val="none"/>
          </c:marker>
          <c:xVal>
            <c:numRef>
              <c:f>myData!$B$11:$B$124</c:f>
              <c:numCache>
                <c:formatCode>m/d/yyyy</c:formatCode>
                <c:ptCount val="114"/>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pt idx="102">
                  <c:v>43954</c:v>
                </c:pt>
                <c:pt idx="103">
                  <c:v>43955</c:v>
                </c:pt>
                <c:pt idx="104">
                  <c:v>43956</c:v>
                </c:pt>
                <c:pt idx="105">
                  <c:v>43957</c:v>
                </c:pt>
                <c:pt idx="106">
                  <c:v>43964</c:v>
                </c:pt>
                <c:pt idx="107">
                  <c:v>43971</c:v>
                </c:pt>
                <c:pt idx="108">
                  <c:v>43978</c:v>
                </c:pt>
                <c:pt idx="109">
                  <c:v>43985</c:v>
                </c:pt>
                <c:pt idx="110">
                  <c:v>43992</c:v>
                </c:pt>
                <c:pt idx="111">
                  <c:v>43999</c:v>
                </c:pt>
                <c:pt idx="112">
                  <c:v>44006</c:v>
                </c:pt>
                <c:pt idx="113">
                  <c:v>44013</c:v>
                </c:pt>
              </c:numCache>
            </c:numRef>
          </c:xVal>
          <c:yVal>
            <c:numRef>
              <c:f>myData!$BS$11:$BS$124</c:f>
              <c:numCache>
                <c:formatCode>0</c:formatCode>
                <c:ptCount val="114"/>
                <c:pt idx="0">
                  <c:v>10.868519722956787</c:v>
                </c:pt>
                <c:pt idx="1">
                  <c:v>13.491154974958885</c:v>
                </c:pt>
                <c:pt idx="2">
                  <c:v>16.727733215250691</c:v>
                </c:pt>
                <c:pt idx="3">
                  <c:v>20.71191055118247</c:v>
                </c:pt>
                <c:pt idx="4">
                  <c:v>25.601167451466242</c:v>
                </c:pt>
                <c:pt idx="5">
                  <c:v>31.578301271805465</c:v>
                </c:pt>
                <c:pt idx="6">
                  <c:v>38.851439541667453</c:v>
                </c:pt>
                <c:pt idx="7">
                  <c:v>47.65163719860908</c:v>
                </c:pt>
                <c:pt idx="8">
                  <c:v>58.226880117398544</c:v>
                </c:pt>
                <c:pt idx="9">
                  <c:v>70.831172762397586</c:v>
                </c:pt>
                <c:pt idx="10">
                  <c:v>85.707482660423508</c:v>
                </c:pt>
                <c:pt idx="11">
                  <c:v>103.06384196214357</c:v>
                </c:pt>
                <c:pt idx="12">
                  <c:v>123.04306270425411</c:v>
                </c:pt>
                <c:pt idx="13">
                  <c:v>145.68839489623994</c:v>
                </c:pt>
                <c:pt idx="14">
                  <c:v>170.90985254174805</c:v>
                </c:pt>
                <c:pt idx="15">
                  <c:v>198.45821767457792</c:v>
                </c:pt>
                <c:pt idx="16">
                  <c:v>227.91483286633218</c:v>
                </c:pt>
                <c:pt idx="17">
                  <c:v>258.70403839683513</c:v>
                </c:pt>
                <c:pt idx="18">
                  <c:v>290.13093120725978</c:v>
                </c:pt>
                <c:pt idx="19">
                  <c:v>321.44076075413716</c:v>
                </c:pt>
                <c:pt idx="20">
                  <c:v>351.88989791682252</c:v>
                </c:pt>
                <c:pt idx="21">
                  <c:v>380.81461867292461</c:v>
                </c:pt>
                <c:pt idx="22">
                  <c:v>407.68465547464774</c:v>
                </c:pt>
                <c:pt idx="23">
                  <c:v>432.13324734217525</c:v>
                </c:pt>
                <c:pt idx="24">
                  <c:v>453.96208373003407</c:v>
                </c:pt>
                <c:pt idx="25">
                  <c:v>473.12540097660946</c:v>
                </c:pt>
                <c:pt idx="26">
                  <c:v>489.70077826957993</c:v>
                </c:pt>
                <c:pt idx="27">
                  <c:v>503.85460617942937</c:v>
                </c:pt>
                <c:pt idx="28">
                  <c:v>515.80860530846223</c:v>
                </c:pt>
                <c:pt idx="29">
                  <c:v>525.81135654885622</c:v>
                </c:pt>
                <c:pt idx="30">
                  <c:v>534.11652450142412</c:v>
                </c:pt>
                <c:pt idx="31">
                  <c:v>540.96779938546808</c:v>
                </c:pt>
                <c:pt idx="32">
                  <c:v>546.58963692827797</c:v>
                </c:pt>
                <c:pt idx="33">
                  <c:v>551.18250340062309</c:v>
                </c:pt>
                <c:pt idx="34">
                  <c:v>554.92133035244581</c:v>
                </c:pt>
                <c:pt idx="35">
                  <c:v>557.95607020857074</c:v>
                </c:pt>
                <c:pt idx="36">
                  <c:v>560.41349453983617</c:v>
                </c:pt>
                <c:pt idx="37">
                  <c:v>562.39962003209564</c:v>
                </c:pt>
                <c:pt idx="38">
                  <c:v>564.00235065620643</c:v>
                </c:pt>
                <c:pt idx="39">
                  <c:v>565.29407984662555</c:v>
                </c:pt>
                <c:pt idx="40">
                  <c:v>566.3341072855294</c:v>
                </c:pt>
                <c:pt idx="41">
                  <c:v>567.17079952997778</c:v>
                </c:pt>
                <c:pt idx="42">
                  <c:v>567.84347126979185</c:v>
                </c:pt>
                <c:pt idx="43">
                  <c:v>568.383992401471</c:v>
                </c:pt>
                <c:pt idx="44">
                  <c:v>568.81814159589476</c:v>
                </c:pt>
                <c:pt idx="45">
                  <c:v>569.16673421740654</c:v>
                </c:pt>
                <c:pt idx="46">
                  <c:v>569.44655453215466</c:v>
                </c:pt>
                <c:pt idx="47">
                  <c:v>569.67112128305757</c:v>
                </c:pt>
                <c:pt idx="48">
                  <c:v>569.85131330535239</c:v>
                </c:pt>
                <c:pt idx="49">
                  <c:v>569.99587878148066</c:v>
                </c:pt>
                <c:pt idx="50">
                  <c:v>570.11184850566463</c:v>
                </c:pt>
                <c:pt idx="51">
                  <c:v>570.20487043677394</c:v>
                </c:pt>
                <c:pt idx="52">
                  <c:v>570.279480008836</c:v>
                </c:pt>
                <c:pt idx="53">
                  <c:v>570.33931820022906</c:v>
                </c:pt>
                <c:pt idx="54">
                  <c:v>570.38730724288246</c:v>
                </c:pt>
                <c:pt idx="55">
                  <c:v>570.42579206185792</c:v>
                </c:pt>
                <c:pt idx="56">
                  <c:v>570.45665404044689</c:v>
                </c:pt>
                <c:pt idx="57">
                  <c:v>570.48140246869946</c:v>
                </c:pt>
                <c:pt idx="58">
                  <c:v>570.50124801648474</c:v>
                </c:pt>
                <c:pt idx="59">
                  <c:v>570.51716174089461</c:v>
                </c:pt>
                <c:pt idx="60">
                  <c:v>570.52992246093152</c:v>
                </c:pt>
                <c:pt idx="61">
                  <c:v>570.54015478304188</c:v>
                </c:pt>
                <c:pt idx="62">
                  <c:v>570.54835961625952</c:v>
                </c:pt>
                <c:pt idx="63">
                  <c:v>570.55493865631706</c:v>
                </c:pt>
                <c:pt idx="64">
                  <c:v>570.56021402812303</c:v>
                </c:pt>
                <c:pt idx="65">
                  <c:v>570.56444404236015</c:v>
                </c:pt>
                <c:pt idx="66">
                  <c:v>570.56783583388358</c:v>
                </c:pt>
                <c:pt idx="67">
                  <c:v>570.57055549831978</c:v>
                </c:pt>
                <c:pt idx="68">
                  <c:v>570.57273622166133</c:v>
                </c:pt>
                <c:pt idx="69">
                  <c:v>570.5744847999548</c:v>
                </c:pt>
                <c:pt idx="70">
                  <c:v>570.57588686770805</c:v>
                </c:pt>
                <c:pt idx="71">
                  <c:v>570.57701109065022</c:v>
                </c:pt>
                <c:pt idx="72">
                  <c:v>570.5779125279106</c:v>
                </c:pt>
                <c:pt idx="73">
                  <c:v>570.57863532810654</c:v>
                </c:pt>
                <c:pt idx="74">
                  <c:v>570.57921489126818</c:v>
                </c:pt>
                <c:pt idx="75">
                  <c:v>570.57967960241263</c:v>
                </c:pt>
                <c:pt idx="76">
                  <c:v>570.58005222162615</c:v>
                </c:pt>
                <c:pt idx="77">
                  <c:v>570.58035099870449</c:v>
                </c:pt>
                <c:pt idx="78">
                  <c:v>570.58059056692412</c:v>
                </c:pt>
                <c:pt idx="79">
                  <c:v>570.5807826597096</c:v>
                </c:pt>
                <c:pt idx="80">
                  <c:v>570.58093668528409</c:v>
                </c:pt>
                <c:pt idx="81">
                  <c:v>570.58106018744843</c:v>
                </c:pt>
                <c:pt idx="82">
                  <c:v>570.58115921504941</c:v>
                </c:pt>
                <c:pt idx="83">
                  <c:v>570.58123861823265</c:v>
                </c:pt>
                <c:pt idx="84">
                  <c:v>570.5813022859885</c:v>
                </c:pt>
                <c:pt idx="85">
                  <c:v>570.58135333662358</c:v>
                </c:pt>
                <c:pt idx="86">
                  <c:v>570.58139427048729</c:v>
                </c:pt>
                <c:pt idx="87">
                  <c:v>570.58142709243248</c:v>
                </c:pt>
                <c:pt idx="88">
                  <c:v>570.58145341000818</c:v>
                </c:pt>
                <c:pt idx="89">
                  <c:v>570.58147451219361</c:v>
                </c:pt>
                <c:pt idx="90">
                  <c:v>570.58149143252979</c:v>
                </c:pt>
                <c:pt idx="91">
                  <c:v>570.5815049997392</c:v>
                </c:pt>
                <c:pt idx="92">
                  <c:v>570.58151587831571</c:v>
                </c:pt>
                <c:pt idx="93">
                  <c:v>570.58152460106919</c:v>
                </c:pt>
                <c:pt idx="94">
                  <c:v>570.58153159522226</c:v>
                </c:pt>
                <c:pt idx="95">
                  <c:v>570.58153720333405</c:v>
                </c:pt>
                <c:pt idx="96">
                  <c:v>570.58154170007833</c:v>
                </c:pt>
                <c:pt idx="97">
                  <c:v>570.58154530569641</c:v>
                </c:pt>
                <c:pt idx="98">
                  <c:v>570.58154819678396</c:v>
                </c:pt>
                <c:pt idx="99">
                  <c:v>570.58155051494043</c:v>
                </c:pt>
                <c:pt idx="100">
                  <c:v>570.58155237370465</c:v>
                </c:pt>
                <c:pt idx="101">
                  <c:v>570.58155386411488</c:v>
                </c:pt>
                <c:pt idx="102">
                  <c:v>570.58155505916829</c:v>
                </c:pt>
                <c:pt idx="103">
                  <c:v>570.58155601739634</c:v>
                </c:pt>
                <c:pt idx="104">
                  <c:v>570.58155678573087</c:v>
                </c:pt>
                <c:pt idx="105">
                  <c:v>570.58155740180359</c:v>
                </c:pt>
                <c:pt idx="106">
                  <c:v>570.58155936333537</c:v>
                </c:pt>
                <c:pt idx="107">
                  <c:v>570.58155978132538</c:v>
                </c:pt>
                <c:pt idx="108">
                  <c:v>570.58155987039652</c:v>
                </c:pt>
                <c:pt idx="109">
                  <c:v>570.58155988937688</c:v>
                </c:pt>
                <c:pt idx="110">
                  <c:v>570.58155989342163</c:v>
                </c:pt>
                <c:pt idx="111">
                  <c:v>570.58155989428349</c:v>
                </c:pt>
                <c:pt idx="112">
                  <c:v>570.58155989446709</c:v>
                </c:pt>
                <c:pt idx="113">
                  <c:v>570.5815598945062</c:v>
                </c:pt>
              </c:numCache>
            </c:numRef>
          </c:yVal>
          <c:smooth val="0"/>
        </c:ser>
        <c:ser>
          <c:idx val="7"/>
          <c:order val="7"/>
          <c:tx>
            <c:v>China Cases</c:v>
          </c:tx>
          <c:spPr>
            <a:ln w="19050" cap="rnd">
              <a:noFill/>
              <a:round/>
            </a:ln>
            <a:effectLst/>
          </c:spPr>
          <c:marker>
            <c:symbol val="x"/>
            <c:size val="3"/>
            <c:spPr>
              <a:noFill/>
              <a:ln w="9525">
                <a:solidFill>
                  <a:schemeClr val="accent2">
                    <a:lumMod val="60000"/>
                  </a:schemeClr>
                </a:solidFill>
              </a:ln>
              <a:effectLst/>
            </c:spPr>
          </c:marker>
          <c:xVal>
            <c:numRef>
              <c:f>myData!ChinaDates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myData!ChinaCases</c:f>
              <c:numCache>
                <c:formatCode>0.0</c:formatCode>
                <c:ptCount val="102"/>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c:v>536.64784316048156</c:v>
                </c:pt>
                <c:pt idx="34">
                  <c:v>540.21201689646796</c:v>
                </c:pt>
                <c:pt idx="35">
                  <c:v>543.07447221659743</c:v>
                </c:pt>
                <c:pt idx="36">
                  <c:v>546.08977709265605</c:v>
                </c:pt>
                <c:pt idx="37">
                  <c:v>548.36862501741928</c:v>
                </c:pt>
                <c:pt idx="38">
                  <c:v>551.34224365095179</c:v>
                </c:pt>
                <c:pt idx="39">
                  <c:v>555.34412293346293</c:v>
                </c:pt>
                <c:pt idx="40">
                  <c:v>556.7614551793522</c:v>
                </c:pt>
                <c:pt idx="41">
                  <c:v>557.6299185653138</c:v>
                </c:pt>
                <c:pt idx="42">
                  <c:v>558.49838195127541</c:v>
                </c:pt>
                <c:pt idx="43">
                  <c:v>559.54748572151709</c:v>
                </c:pt>
                <c:pt idx="44">
                  <c:v>560.61048490593407</c:v>
                </c:pt>
                <c:pt idx="45">
                  <c:v>561.1663014729495</c:v>
                </c:pt>
                <c:pt idx="46">
                  <c:v>561.5345299485972</c:v>
                </c:pt>
                <c:pt idx="47">
                  <c:v>561.79159511084185</c:v>
                </c:pt>
                <c:pt idx="48">
                  <c:v>561.97918320220958</c:v>
                </c:pt>
                <c:pt idx="49">
                  <c:v>562.21540524319107</c:v>
                </c:pt>
                <c:pt idx="50">
                  <c:v>562.29183002115576</c:v>
                </c:pt>
                <c:pt idx="51">
                  <c:v>562.38215021329574</c:v>
                </c:pt>
                <c:pt idx="52">
                  <c:v>562.60447684010194</c:v>
                </c:pt>
                <c:pt idx="53">
                  <c:v>562.78511722438191</c:v>
                </c:pt>
                <c:pt idx="54">
                  <c:v>562.99354843701269</c:v>
                </c:pt>
                <c:pt idx="55">
                  <c:v>563.16724111420501</c:v>
                </c:pt>
                <c:pt idx="56">
                  <c:v>563.47294022606354</c:v>
                </c:pt>
                <c:pt idx="57">
                  <c:v>563.84811640879889</c:v>
                </c:pt>
                <c:pt idx="58">
                  <c:v>564.50120087504206</c:v>
                </c:pt>
                <c:pt idx="59">
                  <c:v>564.88332476486516</c:v>
                </c:pt>
                <c:pt idx="60">
                  <c:v>565.78652668626523</c:v>
                </c:pt>
                <c:pt idx="61">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572.71339065269501</c:v>
                </c:pt>
                <c:pt idx="72">
                  <c:v>573.26225951262268</c:v>
                </c:pt>
                <c:pt idx="73">
                  <c:v>573.48458613942887</c:v>
                </c:pt>
                <c:pt idx="74">
                  <c:v>573.89450085760279</c:v>
                </c:pt>
                <c:pt idx="75">
                  <c:v>574.33220640412742</c:v>
                </c:pt>
                <c:pt idx="76">
                  <c:v>574.70043487977512</c:v>
                </c:pt>
                <c:pt idx="77">
                  <c:v>575.33267622475512</c:v>
                </c:pt>
                <c:pt idx="78">
                  <c:v>575.84680654924443</c:v>
                </c:pt>
                <c:pt idx="79">
                  <c:v>576.2497735603306</c:v>
                </c:pt>
                <c:pt idx="80">
                  <c:v>576.75695617773215</c:v>
                </c:pt>
                <c:pt idx="81">
                  <c:v>577.59068102825529</c:v>
                </c:pt>
                <c:pt idx="82">
                  <c:v>578.13954988818307</c:v>
                </c:pt>
                <c:pt idx="83">
                  <c:v>578.78568664733848</c:v>
                </c:pt>
                <c:pt idx="84">
                  <c:v>579.13307200172312</c:v>
                </c:pt>
                <c:pt idx="85">
                  <c:v>579.45961423484471</c:v>
                </c:pt>
                <c:pt idx="86">
                  <c:v>581.93994566515107</c:v>
                </c:pt>
                <c:pt idx="87">
                  <c:v>582.1275337565188</c:v>
                </c:pt>
                <c:pt idx="88">
                  <c:v>582.25259248409725</c:v>
                </c:pt>
                <c:pt idx="89">
                  <c:v>582.33596496914959</c:v>
                </c:pt>
                <c:pt idx="90">
                  <c:v>582.58608242430648</c:v>
                </c:pt>
                <c:pt idx="91">
                  <c:v>582.69029803062188</c:v>
                </c:pt>
                <c:pt idx="92">
                  <c:v>582.80146134402491</c:v>
                </c:pt>
                <c:pt idx="93">
                  <c:v>582.90567695034031</c:v>
                </c:pt>
                <c:pt idx="94">
                  <c:v>582.97515402121724</c:v>
                </c:pt>
                <c:pt idx="95">
                  <c:v>582.99599714248041</c:v>
                </c:pt>
                <c:pt idx="96">
                  <c:v>583.03768338500652</c:v>
                </c:pt>
                <c:pt idx="97">
                  <c:v>583.19053294093578</c:v>
                </c:pt>
                <c:pt idx="98">
                  <c:v>583.21832376928649</c:v>
                </c:pt>
                <c:pt idx="99">
                  <c:v>583.30169625433882</c:v>
                </c:pt>
                <c:pt idx="100">
                  <c:v>583.32253937560188</c:v>
                </c:pt>
                <c:pt idx="101">
                  <c:v>583.32253937560188</c:v>
                </c:pt>
              </c:numCache>
            </c:numRef>
          </c:yVal>
          <c:smooth val="0"/>
        </c:ser>
        <c:ser>
          <c:idx val="8"/>
          <c:order val="8"/>
          <c:tx>
            <c:v>Pop Limit</c:v>
          </c:tx>
          <c:spPr>
            <a:ln w="28575" cap="rnd">
              <a:solidFill>
                <a:srgbClr val="FF0000"/>
              </a:solidFill>
              <a:round/>
            </a:ln>
            <a:effectLst/>
          </c:spPr>
          <c:marker>
            <c:symbol val="none"/>
          </c:marker>
          <c:xVal>
            <c:numRef>
              <c:f>myData!$FI$11:$FI$12</c:f>
              <c:numCache>
                <c:formatCode>m/d/yyyy</c:formatCode>
                <c:ptCount val="2"/>
                <c:pt idx="0">
                  <c:v>43852</c:v>
                </c:pt>
                <c:pt idx="1">
                  <c:v>44004</c:v>
                </c:pt>
              </c:numCache>
            </c:numRef>
          </c:xVal>
          <c:yVal>
            <c:numRef>
              <c:f>myData!$FK$11:$FK$12</c:f>
              <c:numCache>
                <c:formatCode>0.00000E+00</c:formatCode>
                <c:ptCount val="2"/>
                <c:pt idx="0">
                  <c:v>10000000</c:v>
                </c:pt>
                <c:pt idx="1">
                  <c:v>10000000</c:v>
                </c:pt>
              </c:numCache>
            </c:numRef>
          </c:yVal>
          <c:smooth val="0"/>
        </c:ser>
        <c:dLbls>
          <c:showLegendKey val="0"/>
          <c:showVal val="0"/>
          <c:showCatName val="0"/>
          <c:showSerName val="0"/>
          <c:showPercent val="0"/>
          <c:showBubbleSize val="0"/>
        </c:dLbls>
        <c:axId val="983128296"/>
        <c:axId val="983136920"/>
      </c:scatterChart>
      <c:valAx>
        <c:axId val="983128296"/>
        <c:scaling>
          <c:orientation val="minMax"/>
          <c:max val="43968"/>
          <c:min val="43849"/>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36920"/>
        <c:crossesAt val="1.0000000000000002E-2"/>
        <c:crossBetween val="midCat"/>
        <c:majorUnit val="14"/>
        <c:minorUnit val="7"/>
      </c:valAx>
      <c:valAx>
        <c:axId val="983136920"/>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28296"/>
        <c:crosses val="autoZero"/>
        <c:crossBetween val="midCat"/>
      </c:valAx>
      <c:spPr>
        <a:noFill/>
        <a:ln>
          <a:noFill/>
        </a:ln>
        <a:effectLst/>
      </c:spPr>
    </c:plotArea>
    <c:legend>
      <c:legendPos val="b"/>
      <c:layout>
        <c:manualLayout>
          <c:xMode val="edge"/>
          <c:yMode val="edge"/>
          <c:x val="0.56219883231344037"/>
          <c:y val="0.75285835477749941"/>
          <c:w val="0.35869968153221921"/>
          <c:h val="0.22593665455231515"/>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myData!$EX$12</c:f>
          <c:strCache>
            <c:ptCount val="1"/>
            <c:pt idx="0">
              <c:v>COVID19 NSW P(t) = b / {d+[( b/Po - d ) ]* exp(-b*t)}
b=0.234, d=7.88E-05, P0=.639, r2=0.9995, Limit=3.68 k=&gt;2.97 k cases 
 (Fit: Sat 25-Jan - Sun 03-May)</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871101495917E-2"/>
          <c:y val="0.17791892379594115"/>
          <c:w val="0.44687958544859252"/>
          <c:h val="0.68992130218377157"/>
        </c:manualLayout>
      </c:layout>
      <c:scatterChart>
        <c:scatterStyle val="lineMarker"/>
        <c:varyColors val="0"/>
        <c:ser>
          <c:idx val="1"/>
          <c:order val="0"/>
          <c:tx>
            <c:v>NSW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myData!NSWDates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myData!NSWCases</c:f>
              <c:numCache>
                <c:formatCode>0</c:formatCode>
                <c:ptCount val="9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2956.6831683168316</c:v>
                </c:pt>
                <c:pt idx="69">
                  <c:v>3085.3960396039602</c:v>
                </c:pt>
                <c:pt idx="70">
                  <c:v>3193.0693069306931</c:v>
                </c:pt>
                <c:pt idx="71">
                  <c:v>3263.6138613861385</c:v>
                </c:pt>
                <c:pt idx="72">
                  <c:v>3324.257425742574</c:v>
                </c:pt>
                <c:pt idx="73">
                  <c:v>3383.6633663366333</c:v>
                </c:pt>
                <c:pt idx="74">
                  <c:v>3431.9306930693069</c:v>
                </c:pt>
                <c:pt idx="75">
                  <c:v>3492.5742574257424</c:v>
                </c:pt>
                <c:pt idx="76">
                  <c:v>3535.8910891089108</c:v>
                </c:pt>
                <c:pt idx="77">
                  <c:v>3532.1782178217818</c:v>
                </c:pt>
                <c:pt idx="78">
                  <c:v>3543.3168316831679</c:v>
                </c:pt>
                <c:pt idx="79">
                  <c:v>3551.9801980198017</c:v>
                </c:pt>
                <c:pt idx="80">
                  <c:v>3571.7821782178216</c:v>
                </c:pt>
                <c:pt idx="81">
                  <c:v>3585.3960396039602</c:v>
                </c:pt>
                <c:pt idx="82">
                  <c:v>3621.287128712871</c:v>
                </c:pt>
                <c:pt idx="83">
                  <c:v>3633.6633663366333</c:v>
                </c:pt>
                <c:pt idx="84">
                  <c:v>3659.6534653465346</c:v>
                </c:pt>
                <c:pt idx="85">
                  <c:v>3667.0792079207918</c:v>
                </c:pt>
                <c:pt idx="86">
                  <c:v>3674.5049504950493</c:v>
                </c:pt>
                <c:pt idx="87">
                  <c:v>3676.9801980198017</c:v>
                </c:pt>
                <c:pt idx="88">
                  <c:v>3683.1683168316831</c:v>
                </c:pt>
                <c:pt idx="89">
                  <c:v>3690.5940594059402</c:v>
                </c:pt>
                <c:pt idx="90">
                  <c:v>3705.4455445544554</c:v>
                </c:pt>
                <c:pt idx="91">
                  <c:v>3715.3465346534649</c:v>
                </c:pt>
                <c:pt idx="92">
                  <c:v>3717.8217821782177</c:v>
                </c:pt>
                <c:pt idx="93">
                  <c:v>3724.0099009900987</c:v>
                </c:pt>
                <c:pt idx="94">
                  <c:v>3732.6732673267325</c:v>
                </c:pt>
                <c:pt idx="95">
                  <c:v>3732.6732673267325</c:v>
                </c:pt>
                <c:pt idx="96">
                  <c:v>3743.8118811881186</c:v>
                </c:pt>
                <c:pt idx="97">
                  <c:v>3751.2376237623762</c:v>
                </c:pt>
                <c:pt idx="98">
                  <c:v>3756.1881188118809</c:v>
                </c:pt>
              </c:numCache>
            </c:numRef>
          </c:yVal>
          <c:smooth val="0"/>
        </c:ser>
        <c:ser>
          <c:idx val="0"/>
          <c:order val="1"/>
          <c:tx>
            <c:strRef>
              <c:f>myData!$EH$12</c:f>
              <c:strCache>
                <c:ptCount val="1"/>
                <c:pt idx="0">
                  <c:v>NSW Limit 3.68 k r^2=99.95%</c:v>
                </c:pt>
              </c:strCache>
            </c:strRef>
          </c:tx>
          <c:spPr>
            <a:ln w="15875" cap="rnd">
              <a:solidFill>
                <a:schemeClr val="accent1"/>
              </a:solidFill>
              <a:prstDash val="sysDash"/>
              <a:round/>
            </a:ln>
            <a:effectLst/>
          </c:spPr>
          <c:marker>
            <c:symbol val="none"/>
          </c:marker>
          <c:xVal>
            <c:numRef>
              <c:f>myData!NSWLogiDates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myData!NSWLogi</c:f>
              <c:numCache>
                <c:formatCode>0.000</c:formatCode>
                <c:ptCount val="110"/>
                <c:pt idx="0">
                  <c:v>1.9323202711800784E-3</c:v>
                </c:pt>
                <c:pt idx="1">
                  <c:v>2.4424763363982659E-3</c:v>
                </c:pt>
                <c:pt idx="2">
                  <c:v>3.0873196977277656E-3</c:v>
                </c:pt>
                <c:pt idx="3">
                  <c:v>3.9024093429296958E-3</c:v>
                </c:pt>
                <c:pt idx="4">
                  <c:v>4.9326921991622672E-3</c:v>
                </c:pt>
                <c:pt idx="5">
                  <c:v>6.234981621645843E-3</c:v>
                </c:pt>
                <c:pt idx="6">
                  <c:v>7.8810902080967277E-3</c:v>
                </c:pt>
                <c:pt idx="7">
                  <c:v>9.9617896735686873E-3</c:v>
                </c:pt>
                <c:pt idx="8">
                  <c:v>1.2591816115188897E-2</c:v>
                </c:pt>
                <c:pt idx="9">
                  <c:v>1.5916196623209006E-2</c:v>
                </c:pt>
                <c:pt idx="10">
                  <c:v>2.0118246027134322E-2</c:v>
                </c:pt>
                <c:pt idx="11">
                  <c:v>2.542967461259309E-2</c:v>
                </c:pt>
                <c:pt idx="12">
                  <c:v>3.2143363970527056E-2</c:v>
                </c:pt>
                <c:pt idx="13">
                  <c:v>4.0629515141740402E-2</c:v>
                </c:pt>
                <c:pt idx="14">
                  <c:v>5.1356058974076475E-2</c:v>
                </c:pt>
                <c:pt idx="15">
                  <c:v>6.4914453313394321E-2</c:v>
                </c:pt>
                <c:pt idx="16">
                  <c:v>8.2052288171588814E-2</c:v>
                </c:pt>
                <c:pt idx="17">
                  <c:v>0.10371449458831744</c:v>
                </c:pt>
                <c:pt idx="18">
                  <c:v>0.13109542599449503</c:v>
                </c:pt>
                <c:pt idx="19">
                  <c:v>0.16570467828149141</c:v>
                </c:pt>
                <c:pt idx="20">
                  <c:v>0.20945026894132809</c:v>
                </c:pt>
                <c:pt idx="21">
                  <c:v>0.26474374738801643</c:v>
                </c:pt>
                <c:pt idx="22">
                  <c:v>0.33463300915271144</c:v>
                </c:pt>
                <c:pt idx="23">
                  <c:v>0.42297010030836435</c:v>
                </c:pt>
                <c:pt idx="24">
                  <c:v>0.53462320555979392</c:v>
                </c:pt>
                <c:pt idx="25">
                  <c:v>0.67574441409610775</c:v>
                </c:pt>
                <c:pt idx="26">
                  <c:v>0.85410787594612181</c:v>
                </c:pt>
                <c:pt idx="27">
                  <c:v>1.0795367519324917</c:v>
                </c:pt>
                <c:pt idx="28">
                  <c:v>1.3644421110984533</c:v>
                </c:pt>
                <c:pt idx="29">
                  <c:v>1.7245028702952629</c:v>
                </c:pt>
                <c:pt idx="30">
                  <c:v>2.1795232775130127</c:v>
                </c:pt>
                <c:pt idx="31">
                  <c:v>2.7545136398933274</c:v>
                </c:pt>
                <c:pt idx="32">
                  <c:v>3.4810513659712528</c:v>
                </c:pt>
                <c:pt idx="33">
                  <c:v>4.3989933492133915</c:v>
                </c:pt>
                <c:pt idx="34">
                  <c:v>5.5586277073989905</c:v>
                </c:pt>
                <c:pt idx="35">
                  <c:v>7.0233733265760696</c:v>
                </c:pt>
                <c:pt idx="36">
                  <c:v>8.873159845319508</c:v>
                </c:pt>
                <c:pt idx="37">
                  <c:v>11.20864869757489</c:v>
                </c:pt>
                <c:pt idx="38">
                  <c:v>14.15648713140942</c:v>
                </c:pt>
                <c:pt idx="39">
                  <c:v>17.875820312454383</c:v>
                </c:pt>
                <c:pt idx="40">
                  <c:v>22.566318662855505</c:v>
                </c:pt>
                <c:pt idx="41">
                  <c:v>28.478002779700734</c:v>
                </c:pt>
                <c:pt idx="42">
                  <c:v>35.923156707193385</c:v>
                </c:pt>
                <c:pt idx="43">
                  <c:v>45.290595633376824</c:v>
                </c:pt>
                <c:pt idx="44">
                  <c:v>57.062470354452074</c:v>
                </c:pt>
                <c:pt idx="45">
                  <c:v>71.833608831354113</c:v>
                </c:pt>
                <c:pt idx="46">
                  <c:v>90.33305802354559</c:v>
                </c:pt>
                <c:pt idx="47">
                  <c:v>113.44691941965432</c:v>
                </c:pt>
                <c:pt idx="48">
                  <c:v>142.24067232475451</c:v>
                </c:pt>
                <c:pt idx="49">
                  <c:v>177.97784543859348</c:v>
                </c:pt>
                <c:pt idx="50">
                  <c:v>222.13005070843221</c:v>
                </c:pt>
                <c:pt idx="51">
                  <c:v>276.37105102150247</c:v>
                </c:pt>
                <c:pt idx="52">
                  <c:v>342.54493196615931</c:v>
                </c:pt>
                <c:pt idx="53">
                  <c:v>422.59622556080308</c:v>
                </c:pt>
                <c:pt idx="54">
                  <c:v>518.44922906601766</c:v>
                </c:pt>
                <c:pt idx="55">
                  <c:v>631.82670201558562</c:v>
                </c:pt>
                <c:pt idx="56">
                  <c:v>764.00693957768237</c:v>
                </c:pt>
                <c:pt idx="57">
                  <c:v>915.53463390105367</c:v>
                </c:pt>
                <c:pt idx="58">
                  <c:v>1085.924158627887</c:v>
                </c:pt>
                <c:pt idx="59">
                  <c:v>1273.4183928070202</c:v>
                </c:pt>
                <c:pt idx="60">
                  <c:v>1474.8808053122495</c:v>
                </c:pt>
                <c:pt idx="61">
                  <c:v>1685.8896953354424</c:v>
                </c:pt>
                <c:pt idx="62">
                  <c:v>1901.0633540670383</c:v>
                </c:pt>
                <c:pt idx="63">
                  <c:v>2114.5805550109835</c:v>
                </c:pt>
                <c:pt idx="64">
                  <c:v>2320.7963855332187</c:v>
                </c:pt>
                <c:pt idx="65">
                  <c:v>2514.8194031077237</c:v>
                </c:pt>
                <c:pt idx="66">
                  <c:v>2692.9300903149101</c:v>
                </c:pt>
                <c:pt idx="67">
                  <c:v>2852.7752226636558</c:v>
                </c:pt>
                <c:pt idx="68">
                  <c:v>2993.3408699389606</c:v>
                </c:pt>
                <c:pt idx="69" formatCode="0.00E+00">
                  <c:v>3114.7593598942085</c:v>
                </c:pt>
                <c:pt idx="70" formatCode="0.00E+00">
                  <c:v>3218.027679989124</c:v>
                </c:pt>
                <c:pt idx="71" formatCode="0.00E+00">
                  <c:v>3304.7087959552191</c:v>
                </c:pt>
                <c:pt idx="72" formatCode="0.00E+00">
                  <c:v>3376.6655307539727</c:v>
                </c:pt>
                <c:pt idx="73" formatCode="0.00E+00">
                  <c:v>3435.8518546389728</c:v>
                </c:pt>
                <c:pt idx="74" formatCode="0.00E+00">
                  <c:v>3484.1667381930329</c:v>
                </c:pt>
                <c:pt idx="75" formatCode="0.00E+00">
                  <c:v>3523.3637239193954</c:v>
                </c:pt>
                <c:pt idx="76" formatCode="0.00E+00">
                  <c:v>3555.0041657368256</c:v>
                </c:pt>
                <c:pt idx="77" formatCode="0.00E+00">
                  <c:v>3580.4414251336939</c:v>
                </c:pt>
                <c:pt idx="78" formatCode="0.00E+00">
                  <c:v>3600.8250260570503</c:v>
                </c:pt>
                <c:pt idx="79" formatCode="0.00E+00">
                  <c:v>3617.1163168005223</c:v>
                </c:pt>
                <c:pt idx="80" formatCode="0.00E+00">
                  <c:v>3630.1096898980309</c:v>
                </c:pt>
                <c:pt idx="81" formatCode="0.00E+00">
                  <c:v>3640.4554843134551</c:v>
                </c:pt>
                <c:pt idx="82" formatCode="0.00E+00">
                  <c:v>3648.6822442442831</c:v>
                </c:pt>
                <c:pt idx="83" formatCode="0.00E+00">
                  <c:v>3655.2170842499941</c:v>
                </c:pt>
                <c:pt idx="84" formatCode="0.00E+00">
                  <c:v>3660.4036104462061</c:v>
                </c:pt>
                <c:pt idx="85" formatCode="0.00E+00">
                  <c:v>3664.5172748537816</c:v>
                </c:pt>
                <c:pt idx="86" formatCode="0.00E+00">
                  <c:v>3667.7782811959269</c:v>
                </c:pt>
                <c:pt idx="87" formatCode="0.00E+00">
                  <c:v>3670.3622810700244</c:v>
                </c:pt>
                <c:pt idx="88" formatCode="0.00E+00">
                  <c:v>3672.4091458764838</c:v>
                </c:pt>
                <c:pt idx="89" formatCode="0.00E+00">
                  <c:v>3674.0301033495602</c:v>
                </c:pt>
                <c:pt idx="90" formatCode="0.00E+00">
                  <c:v>3675.3135080819206</c:v>
                </c:pt>
                <c:pt idx="91" formatCode="0.00E+00">
                  <c:v>3676.3294854607248</c:v>
                </c:pt>
                <c:pt idx="92" formatCode="0.00E+00">
                  <c:v>3677.1336552397916</c:v>
                </c:pt>
                <c:pt idx="93" formatCode="0.00E+00">
                  <c:v>3677.7701086008828</c:v>
                </c:pt>
                <c:pt idx="94" formatCode="0.00E+00">
                  <c:v>3678.2737830326992</c:v>
                </c:pt>
                <c:pt idx="95" formatCode="0.00E+00">
                  <c:v>3678.6723535036722</c:v>
                </c:pt>
                <c:pt idx="96" formatCode="0.00E+00">
                  <c:v>3678.9877363680048</c:v>
                </c:pt>
                <c:pt idx="97" formatCode="0.00E+00">
                  <c:v>3679.2372840080629</c:v>
                </c:pt>
                <c:pt idx="98" formatCode="0.00E+00">
                  <c:v>3679.4347329976172</c:v>
                </c:pt>
                <c:pt idx="99" formatCode="0.00E+00">
                  <c:v>3679.5909561315093</c:v>
                </c:pt>
                <c:pt idx="100">
                  <c:v>3679.7145585754411</c:v>
                </c:pt>
                <c:pt idx="101">
                  <c:v>3679.8123502477015</c:v>
                </c:pt>
                <c:pt idx="102">
                  <c:v>3680.1109394698587</c:v>
                </c:pt>
                <c:pt idx="103" formatCode="0.00E+00">
                  <c:v>3680.1688632632272</c:v>
                </c:pt>
                <c:pt idx="104" formatCode="0.00E+00">
                  <c:v>3680.1800991137111</c:v>
                </c:pt>
                <c:pt idx="105" formatCode="0.00E+00">
                  <c:v>3680.1822785708309</c:v>
                </c:pt>
                <c:pt idx="106">
                  <c:v>3680.1827013264901</c:v>
                </c:pt>
                <c:pt idx="107">
                  <c:v>3680.1827833295929</c:v>
                </c:pt>
                <c:pt idx="108">
                  <c:v>3680.1827992359631</c:v>
                </c:pt>
                <c:pt idx="109">
                  <c:v>3680.1828023213657</c:v>
                </c:pt>
              </c:numCache>
            </c:numRef>
          </c:yVal>
          <c:smooth val="0"/>
        </c:ser>
        <c:ser>
          <c:idx val="2"/>
          <c:order val="2"/>
          <c:tx>
            <c:v>NSW Population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myData!$FI$11:$FI$12</c:f>
              <c:numCache>
                <c:formatCode>m/d/yyyy</c:formatCode>
                <c:ptCount val="2"/>
                <c:pt idx="0">
                  <c:v>43852</c:v>
                </c:pt>
                <c:pt idx="1">
                  <c:v>44004</c:v>
                </c:pt>
              </c:numCache>
            </c:numRef>
          </c:xVal>
          <c:yVal>
            <c:numRef>
              <c:f>myData!$FJ$11:$FJ$12</c:f>
              <c:numCache>
                <c:formatCode>0.00E+00</c:formatCode>
                <c:ptCount val="2"/>
                <c:pt idx="0">
                  <c:v>8080000</c:v>
                </c:pt>
                <c:pt idx="1">
                  <c:v>8080000</c:v>
                </c:pt>
              </c:numCache>
            </c:numRef>
          </c:yVal>
          <c:smooth val="0"/>
        </c:ser>
        <c:dLbls>
          <c:showLegendKey val="0"/>
          <c:showVal val="0"/>
          <c:showCatName val="0"/>
          <c:showSerName val="0"/>
          <c:showPercent val="0"/>
          <c:showBubbleSize val="0"/>
        </c:dLbls>
        <c:axId val="983133784"/>
        <c:axId val="983134176"/>
      </c:scatterChart>
      <c:valAx>
        <c:axId val="983133784"/>
        <c:scaling>
          <c:orientation val="minMax"/>
          <c:max val="43954"/>
          <c:min val="4385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34176"/>
        <c:crosses val="autoZero"/>
        <c:crossBetween val="midCat"/>
        <c:majorUnit val="7"/>
        <c:minorUnit val="1"/>
      </c:valAx>
      <c:valAx>
        <c:axId val="983134176"/>
        <c:scaling>
          <c:logBase val="10"/>
          <c:orientation val="minMax"/>
          <c:max val="10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33784"/>
        <c:crosses val="autoZero"/>
        <c:crossBetween val="midCat"/>
      </c:valAx>
      <c:spPr>
        <a:noFill/>
        <a:ln>
          <a:noFill/>
        </a:ln>
        <a:effectLst/>
      </c:spPr>
    </c:plotArea>
    <c:legend>
      <c:legendPos val="b"/>
      <c:layout>
        <c:manualLayout>
          <c:xMode val="edge"/>
          <c:yMode val="edge"/>
          <c:x val="0.31326873199651895"/>
          <c:y val="0.75918626004430056"/>
          <c:w val="0.20090832474950837"/>
          <c:h val="9.157483392206868E-2"/>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myData!$EX$13</c:f>
          <c:strCache>
            <c:ptCount val="1"/>
            <c:pt idx="0">
              <c:v>COVID19 Italy P(t) = b / {d+[( b/Po - d ) ]* exp(-b*t)}
b=0.253, d=1.57E-06, P0=.639, r2=0.9076, Limit=26.7 k=&gt;161 k cases 
 (Fit: Thu 30-Jan - Sat 02-May)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750403131929166"/>
          <c:y val="0.14034986229607774"/>
          <c:w val="0.44687593158483901"/>
          <c:h val="0.69409564235042309"/>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myData!ItalyDates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myData!ItalyCases</c:f>
              <c:numCache>
                <c:formatCode>0.0</c:formatCode>
                <c:ptCount val="93"/>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c:v>10.250475324460611</c:v>
                </c:pt>
                <c:pt idx="23">
                  <c:v>25.626188311151527</c:v>
                </c:pt>
                <c:pt idx="24">
                  <c:v>37.860626601636774</c:v>
                </c:pt>
                <c:pt idx="25">
                  <c:v>53.236339588327688</c:v>
                </c:pt>
                <c:pt idx="26">
                  <c:v>74.894601967429949</c:v>
                </c:pt>
                <c:pt idx="27">
                  <c:v>108.29131189551129</c:v>
                </c:pt>
                <c:pt idx="28">
                  <c:v>146.81325948582293</c:v>
                </c:pt>
                <c:pt idx="29">
                  <c:v>186.49251880631562</c:v>
                </c:pt>
                <c:pt idx="30">
                  <c:v>280.06943870381087</c:v>
                </c:pt>
                <c:pt idx="31">
                  <c:v>336.61238323551294</c:v>
                </c:pt>
                <c:pt idx="32">
                  <c:v>413.65627841613627</c:v>
                </c:pt>
                <c:pt idx="33">
                  <c:v>510.70513350417463</c:v>
                </c:pt>
                <c:pt idx="34">
                  <c:v>637.84409357691993</c:v>
                </c:pt>
                <c:pt idx="35">
                  <c:v>766.47102587418374</c:v>
                </c:pt>
                <c:pt idx="36">
                  <c:v>972.63784409357697</c:v>
                </c:pt>
                <c:pt idx="37">
                  <c:v>1219.3105728693065</c:v>
                </c:pt>
                <c:pt idx="38">
                  <c:v>1516.4090270314955</c:v>
                </c:pt>
                <c:pt idx="39">
                  <c:v>1677.9366785153345</c:v>
                </c:pt>
                <c:pt idx="40">
                  <c:v>2060.3455402165828</c:v>
                </c:pt>
                <c:pt idx="41">
                  <c:v>2060.3455402165828</c:v>
                </c:pt>
                <c:pt idx="42">
                  <c:v>2919.732164999587</c:v>
                </c:pt>
                <c:pt idx="43">
                  <c:v>3497.8920393485992</c:v>
                </c:pt>
                <c:pt idx="44">
                  <c:v>4091.4276266843021</c:v>
                </c:pt>
                <c:pt idx="45">
                  <c:v>4625.9403157807719</c:v>
                </c:pt>
                <c:pt idx="46">
                  <c:v>5208.8947672976774</c:v>
                </c:pt>
                <c:pt idx="47">
                  <c:v>5904.4391171364805</c:v>
                </c:pt>
                <c:pt idx="48">
                  <c:v>6784.3266925684056</c:v>
                </c:pt>
                <c:pt idx="49">
                  <c:v>7773.9935521203606</c:v>
                </c:pt>
                <c:pt idx="50">
                  <c:v>8858.0639828056555</c:v>
                </c:pt>
                <c:pt idx="51">
                  <c:v>9777.3001570637352</c:v>
                </c:pt>
                <c:pt idx="52">
                  <c:v>10569.066710754732</c:v>
                </c:pt>
                <c:pt idx="53">
                  <c:v>11436.885178143342</c:v>
                </c:pt>
                <c:pt idx="54">
                  <c:v>12298.255765892371</c:v>
                </c:pt>
                <c:pt idx="55">
                  <c:v>13323.799289079938</c:v>
                </c:pt>
                <c:pt idx="56">
                  <c:v>14300.735719599901</c:v>
                </c:pt>
                <c:pt idx="57">
                  <c:v>15288.418616185832</c:v>
                </c:pt>
                <c:pt idx="58">
                  <c:v>16150.946515665042</c:v>
                </c:pt>
                <c:pt idx="59">
                  <c:v>16820.534016698355</c:v>
                </c:pt>
                <c:pt idx="60">
                  <c:v>17490.617508473177</c:v>
                </c:pt>
                <c:pt idx="61">
                  <c:v>18281.226750433994</c:v>
                </c:pt>
                <c:pt idx="62">
                  <c:v>19052.988344217574</c:v>
                </c:pt>
                <c:pt idx="63">
                  <c:v>19811.027527486156</c:v>
                </c:pt>
                <c:pt idx="64">
                  <c:v>20605.439365131853</c:v>
                </c:pt>
                <c:pt idx="65">
                  <c:v>21319.004711912046</c:v>
                </c:pt>
                <c:pt idx="66">
                  <c:v>21914.028271472267</c:v>
                </c:pt>
                <c:pt idx="67">
                  <c:v>22416.466892618006</c:v>
                </c:pt>
                <c:pt idx="68">
                  <c:v>23050.673720757215</c:v>
                </c:pt>
                <c:pt idx="69">
                  <c:v>23745.72207985451</c:v>
                </c:pt>
                <c:pt idx="70">
                  <c:v>24398.941886418121</c:v>
                </c:pt>
                <c:pt idx="71">
                  <c:v>25175.002066628091</c:v>
                </c:pt>
                <c:pt idx="72">
                  <c:v>25851.53343804249</c:v>
                </c:pt>
                <c:pt idx="73">
                  <c:v>26372.819707365463</c:v>
                </c:pt>
                <c:pt idx="74">
                  <c:v>26864.181201950898</c:v>
                </c:pt>
                <c:pt idx="75">
                  <c:v>27305.116971149873</c:v>
                </c:pt>
                <c:pt idx="76">
                  <c:v>27931.057286930645</c:v>
                </c:pt>
                <c:pt idx="77">
                  <c:v>28508.555840290981</c:v>
                </c:pt>
                <c:pt idx="78">
                  <c:v>29085.723733156981</c:v>
                </c:pt>
                <c:pt idx="79">
                  <c:v>29589.484996280069</c:v>
                </c:pt>
                <c:pt idx="80">
                  <c:v>29962.470033892703</c:v>
                </c:pt>
                <c:pt idx="81">
                  <c:v>30413.656278416136</c:v>
                </c:pt>
                <c:pt idx="82">
                  <c:v>30970.819211374721</c:v>
                </c:pt>
                <c:pt idx="83">
                  <c:v>31408.283045383156</c:v>
                </c:pt>
                <c:pt idx="84">
                  <c:v>31907.745722079857</c:v>
                </c:pt>
                <c:pt idx="85">
                  <c:v>32297.429114656527</c:v>
                </c:pt>
                <c:pt idx="86">
                  <c:v>32681.656609076632</c:v>
                </c:pt>
                <c:pt idx="87">
                  <c:v>32969.165908903036</c:v>
                </c:pt>
                <c:pt idx="88">
                  <c:v>33314.871455732828</c:v>
                </c:pt>
                <c:pt idx="89">
                  <c:v>33659.750351326773</c:v>
                </c:pt>
                <c:pt idx="90">
                  <c:v>33969.24857402662</c:v>
                </c:pt>
                <c:pt idx="91">
                  <c:v>34294.122509713154</c:v>
                </c:pt>
                <c:pt idx="92">
                  <c:v>34608.249979333719</c:v>
                </c:pt>
              </c:numCache>
            </c:numRef>
          </c:yVal>
          <c:smooth val="0"/>
        </c:ser>
        <c:ser>
          <c:idx val="0"/>
          <c:order val="1"/>
          <c:tx>
            <c:v>ItalyLogistic Prediction</c:v>
          </c:tx>
          <c:spPr>
            <a:ln w="19050" cap="rnd">
              <a:solidFill>
                <a:schemeClr val="accent1"/>
              </a:solidFill>
              <a:prstDash val="sysDash"/>
              <a:round/>
            </a:ln>
            <a:effectLst/>
          </c:spPr>
          <c:marker>
            <c:symbol val="none"/>
          </c:marker>
          <c:xVal>
            <c:numRef>
              <c:f>myData!ItalyLogiDates</c:f>
              <c:numCache>
                <c:formatCode>m/d/yyyy</c:formatCode>
                <c:ptCount val="105"/>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pt idx="93">
                  <c:v>43954</c:v>
                </c:pt>
                <c:pt idx="94">
                  <c:v>43955</c:v>
                </c:pt>
                <c:pt idx="95">
                  <c:v>43956</c:v>
                </c:pt>
                <c:pt idx="96">
                  <c:v>43957</c:v>
                </c:pt>
                <c:pt idx="97">
                  <c:v>43964</c:v>
                </c:pt>
                <c:pt idx="98">
                  <c:v>43971</c:v>
                </c:pt>
                <c:pt idx="99">
                  <c:v>43978</c:v>
                </c:pt>
                <c:pt idx="100">
                  <c:v>43985</c:v>
                </c:pt>
                <c:pt idx="101">
                  <c:v>43992</c:v>
                </c:pt>
                <c:pt idx="102">
                  <c:v>43999</c:v>
                </c:pt>
                <c:pt idx="103">
                  <c:v>44006</c:v>
                </c:pt>
                <c:pt idx="104">
                  <c:v>44013</c:v>
                </c:pt>
              </c:numCache>
            </c:numRef>
          </c:xVal>
          <c:yVal>
            <c:numRef>
              <c:f>myData!ItalyLogi</c:f>
              <c:numCache>
                <c:formatCode>0.0</c:formatCode>
                <c:ptCount val="105"/>
                <c:pt idx="0">
                  <c:v>9.4319527547555293E-2</c:v>
                </c:pt>
                <c:pt idx="1">
                  <c:v>0.12149455820816397</c:v>
                </c:pt>
                <c:pt idx="2">
                  <c:v>0.15649912299719076</c:v>
                </c:pt>
                <c:pt idx="3">
                  <c:v>0.20158899791412627</c:v>
                </c:pt>
                <c:pt idx="4">
                  <c:v>0.25966985319378766</c:v>
                </c:pt>
                <c:pt idx="5">
                  <c:v>0.33448447616768234</c:v>
                </c:pt>
                <c:pt idx="6">
                  <c:v>0.43085392099664788</c:v>
                </c:pt>
                <c:pt idx="7">
                  <c:v>0.55498811242163526</c:v>
                </c:pt>
                <c:pt idx="8">
                  <c:v>0.71488589763593113</c:v>
                </c:pt>
                <c:pt idx="9">
                  <c:v>0.92085028993716922</c:v>
                </c:pt>
                <c:pt idx="10">
                  <c:v>1.1861520466036888</c:v>
                </c:pt>
                <c:pt idx="11">
                  <c:v>1.5278842418080443</c:v>
                </c:pt>
                <c:pt idx="12">
                  <c:v>1.968062736022371</c:v>
                </c:pt>
                <c:pt idx="13">
                  <c:v>2.5350431773579438</c:v>
                </c:pt>
                <c:pt idx="14">
                  <c:v>3.2653453821171445</c:v>
                </c:pt>
                <c:pt idx="15">
                  <c:v>4.2060018852081189</c:v>
                </c:pt>
                <c:pt idx="16">
                  <c:v>5.4175807169099581</c:v>
                </c:pt>
                <c:pt idx="17">
                  <c:v>6.9780750603904869</c:v>
                </c:pt>
                <c:pt idx="18">
                  <c:v>8.987906897289486</c:v>
                </c:pt>
                <c:pt idx="19" formatCode="0">
                  <c:v>11.576361197749186</c:v>
                </c:pt>
                <c:pt idx="20" formatCode="0">
                  <c:v>14.909855523149005</c:v>
                </c:pt>
                <c:pt idx="21" formatCode="0">
                  <c:v>19.202561768875942</c:v>
                </c:pt>
                <c:pt idx="22" formatCode="0">
                  <c:v>24.730037726544385</c:v>
                </c:pt>
                <c:pt idx="23" formatCode="0">
                  <c:v>31.846702530948502</c:v>
                </c:pt>
                <c:pt idx="24" formatCode="0">
                  <c:v>41.008208727584538</c:v>
                </c:pt>
                <c:pt idx="25" formatCode="0">
                  <c:v>52.800031324427046</c:v>
                </c:pt>
                <c:pt idx="26" formatCode="0">
                  <c:v>67.973915870243303</c:v>
                </c:pt>
                <c:pt idx="27" formatCode="0">
                  <c:v>87.494204228525732</c:v>
                </c:pt>
                <c:pt idx="28" formatCode="0">
                  <c:v>112.59648035891601</c:v>
                </c:pt>
                <c:pt idx="29" formatCode="0">
                  <c:v>144.86142442829504</c:v>
                </c:pt>
                <c:pt idx="30" formatCode="0">
                  <c:v>186.30717761188527</c:v>
                </c:pt>
                <c:pt idx="31" formatCode="0">
                  <c:v>239.50379734378745</c:v>
                </c:pt>
                <c:pt idx="32" formatCode="0">
                  <c:v>307.71333696252458</c:v>
                </c:pt>
                <c:pt idx="33" formatCode="0">
                  <c:v>395.05840021142262</c:v>
                </c:pt>
                <c:pt idx="34" formatCode="0">
                  <c:v>506.72019530733627</c:v>
                </c:pt>
                <c:pt idx="35" formatCode="0">
                  <c:v>649.163376127883</c:v>
                </c:pt>
                <c:pt idx="36" formatCode="0">
                  <c:v>830.3782083809582</c:v>
                </c:pt>
                <c:pt idx="37" formatCode="0">
                  <c:v>1060.1193946728774</c:v>
                </c:pt>
                <c:pt idx="38" formatCode="0">
                  <c:v>1350.10361330397</c:v>
                </c:pt>
                <c:pt idx="39" formatCode="0">
                  <c:v>1714.1032075128903</c:v>
                </c:pt>
                <c:pt idx="40" formatCode="0">
                  <c:v>2167.8418193639991</c:v>
                </c:pt>
                <c:pt idx="41" formatCode="0">
                  <c:v>2728.5632323224359</c:v>
                </c:pt>
                <c:pt idx="42" formatCode="0">
                  <c:v>3414.118536188962</c:v>
                </c:pt>
                <c:pt idx="43" formatCode="0">
                  <c:v>4241.4207285673319</c:v>
                </c:pt>
                <c:pt idx="44" formatCode="0">
                  <c:v>5224.1825377232135</c:v>
                </c:pt>
                <c:pt idx="45" formatCode="0">
                  <c:v>6370.0169233749111</c:v>
                </c:pt>
                <c:pt idx="46" formatCode="0">
                  <c:v>7677.2518534716501</c:v>
                </c:pt>
                <c:pt idx="47" formatCode="0">
                  <c:v>9132.141439709354</c:v>
                </c:pt>
                <c:pt idx="48" formatCode="0">
                  <c:v>10707.403293036923</c:v>
                </c:pt>
                <c:pt idx="49" formatCode="0">
                  <c:v>12362.972668598062</c:v>
                </c:pt>
                <c:pt idx="50" formatCode="0">
                  <c:v>14049.389926771717</c:v>
                </c:pt>
                <c:pt idx="51" formatCode="0">
                  <c:v>15713.4029658457</c:v>
                </c:pt>
                <c:pt idx="52" formatCode="0">
                  <c:v>17304.524192570669</c:v>
                </c:pt>
                <c:pt idx="53" formatCode="0">
                  <c:v>18780.888378182644</c:v>
                </c:pt>
                <c:pt idx="54" formatCode="0">
                  <c:v>20113.047380114629</c:v>
                </c:pt>
                <c:pt idx="55" formatCode="0">
                  <c:v>21285.136744478561</c:v>
                </c:pt>
                <c:pt idx="56" formatCode="0">
                  <c:v>22293.715099281151</c:v>
                </c:pt>
                <c:pt idx="57" formatCode="0">
                  <c:v>23145.121706068341</c:v>
                </c:pt>
                <c:pt idx="58" formatCode="0">
                  <c:v>23852.300433501554</c:v>
                </c:pt>
                <c:pt idx="59" formatCode="0">
                  <c:v>24431.822438348365</c:v>
                </c:pt>
                <c:pt idx="60" formatCode="0">
                  <c:v>24901.51069681322</c:v>
                </c:pt>
                <c:pt idx="61" formatCode="0">
                  <c:v>25278.782494527903</c:v>
                </c:pt>
                <c:pt idx="62" formatCode="0">
                  <c:v>25579.6446071957</c:v>
                </c:pt>
                <c:pt idx="63" formatCode="0">
                  <c:v>25818.195796411841</c:v>
                </c:pt>
                <c:pt idx="64" formatCode="0">
                  <c:v>26006.479614044893</c:v>
                </c:pt>
                <c:pt idx="65" formatCode="0">
                  <c:v>26154.553599475301</c:v>
                </c:pt>
                <c:pt idx="66" formatCode="0">
                  <c:v>26270.675137727121</c:v>
                </c:pt>
                <c:pt idx="67" formatCode="0">
                  <c:v>26361.536771338855</c:v>
                </c:pt>
                <c:pt idx="68" formatCode="0">
                  <c:v>26432.509590004611</c:v>
                </c:pt>
                <c:pt idx="69" formatCode="0">
                  <c:v>26487.871713755019</c:v>
                </c:pt>
                <c:pt idx="70" formatCode="0">
                  <c:v>26531.010953830308</c:v>
                </c:pt>
                <c:pt idx="71" formatCode="0">
                  <c:v>26564.598093789271</c:v>
                </c:pt>
                <c:pt idx="72" formatCode="0">
                  <c:v>26590.731369834783</c:v>
                </c:pt>
                <c:pt idx="73" formatCode="0">
                  <c:v>26611.054801604278</c:v>
                </c:pt>
                <c:pt idx="74" formatCode="0">
                  <c:v>26626.853851255484</c:v>
                </c:pt>
                <c:pt idx="75" formatCode="0">
                  <c:v>26639.132011378493</c:v>
                </c:pt>
                <c:pt idx="76" formatCode="0">
                  <c:v>26648.671681402164</c:v>
                </c:pt>
                <c:pt idx="77" formatCode="0">
                  <c:v>26656.082291287421</c:v>
                </c:pt>
                <c:pt idx="78" formatCode="0">
                  <c:v>26661.838185741926</c:v>
                </c:pt>
                <c:pt idx="79" formatCode="0">
                  <c:v>26666.308352721691</c:v>
                </c:pt>
                <c:pt idx="80" formatCode="0">
                  <c:v>26669.779694972924</c:v>
                </c:pt>
                <c:pt idx="81" formatCode="0">
                  <c:v>26672.475212785157</c:v>
                </c:pt>
                <c:pt idx="82" formatCode="0">
                  <c:v>26674.568190112601</c:v>
                </c:pt>
                <c:pt idx="83" formatCode="0">
                  <c:v>26676.193250135853</c:v>
                </c:pt>
                <c:pt idx="84" formatCode="0">
                  <c:v>26677.454963643617</c:v>
                </c:pt>
                <c:pt idx="85" formatCode="0">
                  <c:v>26678.434547429631</c:v>
                </c:pt>
                <c:pt idx="86" formatCode="0">
                  <c:v>26679.195073775736</c:v>
                </c:pt>
                <c:pt idx="87" formatCode="0">
                  <c:v>26679.78552034486</c:v>
                </c:pt>
                <c:pt idx="88" formatCode="0">
                  <c:v>26680.24391761727</c:v>
                </c:pt>
                <c:pt idx="89" formatCode="0">
                  <c:v>26680.599794376958</c:v>
                </c:pt>
                <c:pt idx="90" formatCode="0">
                  <c:v>26680.876077442303</c:v>
                </c:pt>
                <c:pt idx="91" formatCode="0">
                  <c:v>26681.090567221705</c:v>
                </c:pt>
                <c:pt idx="92" formatCode="0">
                  <c:v>26681.257083675166</c:v>
                </c:pt>
                <c:pt idx="93" formatCode="0">
                  <c:v>26681.386356225059</c:v>
                </c:pt>
                <c:pt idx="94" formatCode="0">
                  <c:v>26681.486714780454</c:v>
                </c:pt>
                <c:pt idx="95" formatCode="0">
                  <c:v>26681.564626295793</c:v>
                </c:pt>
                <c:pt idx="96" formatCode="0">
                  <c:v>26681.625111374771</c:v>
                </c:pt>
                <c:pt idx="97" formatCode="0">
                  <c:v>26681.799367527132</c:v>
                </c:pt>
                <c:pt idx="98" formatCode="0">
                  <c:v>26681.828981854735</c:v>
                </c:pt>
                <c:pt idx="99" formatCode="0">
                  <c:v>26681.834014691878</c:v>
                </c:pt>
                <c:pt idx="100" formatCode="0">
                  <c:v>26681.83487000161</c:v>
                </c:pt>
                <c:pt idx="101" formatCode="0">
                  <c:v>26681.835015357909</c:v>
                </c:pt>
                <c:pt idx="102" formatCode="0">
                  <c:v>26681.835040060607</c:v>
                </c:pt>
                <c:pt idx="103" formatCode="0">
                  <c:v>26681.835044258722</c:v>
                </c:pt>
                <c:pt idx="104" formatCode="0">
                  <c:v>26681.835044972173</c:v>
                </c:pt>
              </c:numCache>
            </c:numRef>
          </c:yVal>
          <c:smooth val="0"/>
        </c:ser>
        <c:dLbls>
          <c:showLegendKey val="0"/>
          <c:showVal val="0"/>
          <c:showCatName val="0"/>
          <c:showSerName val="0"/>
          <c:showPercent val="0"/>
          <c:showBubbleSize val="0"/>
        </c:dLbls>
        <c:axId val="983130648"/>
        <c:axId val="983131432"/>
      </c:scatterChart>
      <c:valAx>
        <c:axId val="983130648"/>
        <c:scaling>
          <c:orientation val="minMax"/>
          <c:max val="43953"/>
          <c:min val="4386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31432"/>
        <c:crossesAt val="0.1"/>
        <c:crossBetween val="midCat"/>
        <c:majorUnit val="7"/>
        <c:minorUnit val="3.5"/>
      </c:valAx>
      <c:valAx>
        <c:axId val="983131432"/>
        <c:scaling>
          <c:logBase val="10"/>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130648"/>
        <c:crosses val="autoZero"/>
        <c:crossBetween val="midCat"/>
      </c:valAx>
      <c:spPr>
        <a:noFill/>
        <a:ln>
          <a:noFill/>
        </a:ln>
        <a:effectLst/>
      </c:spPr>
    </c:plotArea>
    <c:legend>
      <c:legendPos val="b"/>
      <c:layout>
        <c:manualLayout>
          <c:xMode val="edge"/>
          <c:yMode val="edge"/>
          <c:x val="8.9432251928890691E-2"/>
          <c:y val="0.16096157076147521"/>
          <c:w val="0.13601372844301224"/>
          <c:h val="0.11075724174064068"/>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myData!$EX$13</c:f>
          <c:strCache>
            <c:ptCount val="1"/>
            <c:pt idx="0">
              <c:v>COVID19 Italy P(t) = b / {d+[( b/Po - d ) ]* exp(-b*t)}
b=0.253, d=1.57E-06, P0=.639, r2=0.9076, Limit=26.7 k=&gt;161 k cases 
 (Fit: Thu 30-Jan - Sat 02-May)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932513094807524"/>
          <c:y val="0.14034986229607774"/>
          <c:w val="0.43323774431684925"/>
          <c:h val="0.72749036368363496"/>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myData!ItalyDates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myData!ItalyCases</c:f>
              <c:numCache>
                <c:formatCode>0.0</c:formatCode>
                <c:ptCount val="93"/>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c:v>10.250475324460611</c:v>
                </c:pt>
                <c:pt idx="23">
                  <c:v>25.626188311151527</c:v>
                </c:pt>
                <c:pt idx="24">
                  <c:v>37.860626601636774</c:v>
                </c:pt>
                <c:pt idx="25">
                  <c:v>53.236339588327688</c:v>
                </c:pt>
                <c:pt idx="26">
                  <c:v>74.894601967429949</c:v>
                </c:pt>
                <c:pt idx="27">
                  <c:v>108.29131189551129</c:v>
                </c:pt>
                <c:pt idx="28">
                  <c:v>146.81325948582293</c:v>
                </c:pt>
                <c:pt idx="29">
                  <c:v>186.49251880631562</c:v>
                </c:pt>
                <c:pt idx="30">
                  <c:v>280.06943870381087</c:v>
                </c:pt>
                <c:pt idx="31">
                  <c:v>336.61238323551294</c:v>
                </c:pt>
                <c:pt idx="32">
                  <c:v>413.65627841613627</c:v>
                </c:pt>
                <c:pt idx="33">
                  <c:v>510.70513350417463</c:v>
                </c:pt>
                <c:pt idx="34">
                  <c:v>637.84409357691993</c:v>
                </c:pt>
                <c:pt idx="35">
                  <c:v>766.47102587418374</c:v>
                </c:pt>
                <c:pt idx="36">
                  <c:v>972.63784409357697</c:v>
                </c:pt>
                <c:pt idx="37">
                  <c:v>1219.3105728693065</c:v>
                </c:pt>
                <c:pt idx="38">
                  <c:v>1516.4090270314955</c:v>
                </c:pt>
                <c:pt idx="39">
                  <c:v>1677.9366785153345</c:v>
                </c:pt>
                <c:pt idx="40">
                  <c:v>2060.3455402165828</c:v>
                </c:pt>
                <c:pt idx="41">
                  <c:v>2060.3455402165828</c:v>
                </c:pt>
                <c:pt idx="42">
                  <c:v>2919.732164999587</c:v>
                </c:pt>
                <c:pt idx="43">
                  <c:v>3497.8920393485992</c:v>
                </c:pt>
                <c:pt idx="44">
                  <c:v>4091.4276266843021</c:v>
                </c:pt>
                <c:pt idx="45">
                  <c:v>4625.9403157807719</c:v>
                </c:pt>
                <c:pt idx="46">
                  <c:v>5208.8947672976774</c:v>
                </c:pt>
                <c:pt idx="47">
                  <c:v>5904.4391171364805</c:v>
                </c:pt>
                <c:pt idx="48">
                  <c:v>6784.3266925684056</c:v>
                </c:pt>
                <c:pt idx="49">
                  <c:v>7773.9935521203606</c:v>
                </c:pt>
                <c:pt idx="50">
                  <c:v>8858.0639828056555</c:v>
                </c:pt>
                <c:pt idx="51">
                  <c:v>9777.3001570637352</c:v>
                </c:pt>
                <c:pt idx="52">
                  <c:v>10569.066710754732</c:v>
                </c:pt>
                <c:pt idx="53">
                  <c:v>11436.885178143342</c:v>
                </c:pt>
                <c:pt idx="54">
                  <c:v>12298.255765892371</c:v>
                </c:pt>
                <c:pt idx="55">
                  <c:v>13323.799289079938</c:v>
                </c:pt>
                <c:pt idx="56">
                  <c:v>14300.735719599901</c:v>
                </c:pt>
                <c:pt idx="57">
                  <c:v>15288.418616185832</c:v>
                </c:pt>
                <c:pt idx="58">
                  <c:v>16150.946515665042</c:v>
                </c:pt>
                <c:pt idx="59">
                  <c:v>16820.534016698355</c:v>
                </c:pt>
                <c:pt idx="60">
                  <c:v>17490.617508473177</c:v>
                </c:pt>
                <c:pt idx="61">
                  <c:v>18281.226750433994</c:v>
                </c:pt>
                <c:pt idx="62">
                  <c:v>19052.988344217574</c:v>
                </c:pt>
                <c:pt idx="63">
                  <c:v>19811.027527486156</c:v>
                </c:pt>
                <c:pt idx="64">
                  <c:v>20605.439365131853</c:v>
                </c:pt>
                <c:pt idx="65">
                  <c:v>21319.004711912046</c:v>
                </c:pt>
                <c:pt idx="66">
                  <c:v>21914.028271472267</c:v>
                </c:pt>
                <c:pt idx="67">
                  <c:v>22416.466892618006</c:v>
                </c:pt>
                <c:pt idx="68">
                  <c:v>23050.673720757215</c:v>
                </c:pt>
                <c:pt idx="69">
                  <c:v>23745.72207985451</c:v>
                </c:pt>
                <c:pt idx="70">
                  <c:v>24398.941886418121</c:v>
                </c:pt>
                <c:pt idx="71">
                  <c:v>25175.002066628091</c:v>
                </c:pt>
                <c:pt idx="72">
                  <c:v>25851.53343804249</c:v>
                </c:pt>
                <c:pt idx="73">
                  <c:v>26372.819707365463</c:v>
                </c:pt>
                <c:pt idx="74">
                  <c:v>26864.181201950898</c:v>
                </c:pt>
                <c:pt idx="75">
                  <c:v>27305.116971149873</c:v>
                </c:pt>
                <c:pt idx="76">
                  <c:v>27931.057286930645</c:v>
                </c:pt>
                <c:pt idx="77">
                  <c:v>28508.555840290981</c:v>
                </c:pt>
                <c:pt idx="78">
                  <c:v>29085.723733156981</c:v>
                </c:pt>
                <c:pt idx="79">
                  <c:v>29589.484996280069</c:v>
                </c:pt>
                <c:pt idx="80">
                  <c:v>29962.470033892703</c:v>
                </c:pt>
                <c:pt idx="81">
                  <c:v>30413.656278416136</c:v>
                </c:pt>
                <c:pt idx="82">
                  <c:v>30970.819211374721</c:v>
                </c:pt>
                <c:pt idx="83">
                  <c:v>31408.283045383156</c:v>
                </c:pt>
                <c:pt idx="84">
                  <c:v>31907.745722079857</c:v>
                </c:pt>
                <c:pt idx="85">
                  <c:v>32297.429114656527</c:v>
                </c:pt>
                <c:pt idx="86">
                  <c:v>32681.656609076632</c:v>
                </c:pt>
                <c:pt idx="87">
                  <c:v>32969.165908903036</c:v>
                </c:pt>
                <c:pt idx="88">
                  <c:v>33314.871455732828</c:v>
                </c:pt>
                <c:pt idx="89">
                  <c:v>33659.750351326773</c:v>
                </c:pt>
                <c:pt idx="90">
                  <c:v>33969.24857402662</c:v>
                </c:pt>
                <c:pt idx="91">
                  <c:v>34294.122509713154</c:v>
                </c:pt>
                <c:pt idx="92">
                  <c:v>34608.249979333719</c:v>
                </c:pt>
              </c:numCache>
            </c:numRef>
          </c:yVal>
          <c:smooth val="0"/>
        </c:ser>
        <c:ser>
          <c:idx val="0"/>
          <c:order val="1"/>
          <c:tx>
            <c:strRef>
              <c:f>myData!ItalySeries</c:f>
              <c:strCache>
                <c:ptCount val="1"/>
                <c:pt idx="0">
                  <c:v>Italy Limit 26.7 k r^2=90.76%</c:v>
                </c:pt>
              </c:strCache>
            </c:strRef>
          </c:tx>
          <c:spPr>
            <a:ln w="19050" cap="rnd">
              <a:solidFill>
                <a:schemeClr val="accent1"/>
              </a:solidFill>
              <a:prstDash val="sysDash"/>
              <a:round/>
            </a:ln>
            <a:effectLst/>
          </c:spPr>
          <c:marker>
            <c:symbol val="none"/>
          </c:marker>
          <c:xVal>
            <c:numRef>
              <c:f>myData!ItalyLogiDates</c:f>
              <c:numCache>
                <c:formatCode>m/d/yyyy</c:formatCode>
                <c:ptCount val="105"/>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pt idx="93">
                  <c:v>43954</c:v>
                </c:pt>
                <c:pt idx="94">
                  <c:v>43955</c:v>
                </c:pt>
                <c:pt idx="95">
                  <c:v>43956</c:v>
                </c:pt>
                <c:pt idx="96">
                  <c:v>43957</c:v>
                </c:pt>
                <c:pt idx="97">
                  <c:v>43964</c:v>
                </c:pt>
                <c:pt idx="98">
                  <c:v>43971</c:v>
                </c:pt>
                <c:pt idx="99">
                  <c:v>43978</c:v>
                </c:pt>
                <c:pt idx="100">
                  <c:v>43985</c:v>
                </c:pt>
                <c:pt idx="101">
                  <c:v>43992</c:v>
                </c:pt>
                <c:pt idx="102">
                  <c:v>43999</c:v>
                </c:pt>
                <c:pt idx="103">
                  <c:v>44006</c:v>
                </c:pt>
                <c:pt idx="104">
                  <c:v>44013</c:v>
                </c:pt>
              </c:numCache>
            </c:numRef>
          </c:xVal>
          <c:yVal>
            <c:numRef>
              <c:f>myData!ItalyLogi</c:f>
              <c:numCache>
                <c:formatCode>0.0</c:formatCode>
                <c:ptCount val="105"/>
                <c:pt idx="0">
                  <c:v>9.4319527547555293E-2</c:v>
                </c:pt>
                <c:pt idx="1">
                  <c:v>0.12149455820816397</c:v>
                </c:pt>
                <c:pt idx="2">
                  <c:v>0.15649912299719076</c:v>
                </c:pt>
                <c:pt idx="3">
                  <c:v>0.20158899791412627</c:v>
                </c:pt>
                <c:pt idx="4">
                  <c:v>0.25966985319378766</c:v>
                </c:pt>
                <c:pt idx="5">
                  <c:v>0.33448447616768234</c:v>
                </c:pt>
                <c:pt idx="6">
                  <c:v>0.43085392099664788</c:v>
                </c:pt>
                <c:pt idx="7">
                  <c:v>0.55498811242163526</c:v>
                </c:pt>
                <c:pt idx="8">
                  <c:v>0.71488589763593113</c:v>
                </c:pt>
                <c:pt idx="9">
                  <c:v>0.92085028993716922</c:v>
                </c:pt>
                <c:pt idx="10">
                  <c:v>1.1861520466036888</c:v>
                </c:pt>
                <c:pt idx="11">
                  <c:v>1.5278842418080443</c:v>
                </c:pt>
                <c:pt idx="12">
                  <c:v>1.968062736022371</c:v>
                </c:pt>
                <c:pt idx="13">
                  <c:v>2.5350431773579438</c:v>
                </c:pt>
                <c:pt idx="14">
                  <c:v>3.2653453821171445</c:v>
                </c:pt>
                <c:pt idx="15">
                  <c:v>4.2060018852081189</c:v>
                </c:pt>
                <c:pt idx="16">
                  <c:v>5.4175807169099581</c:v>
                </c:pt>
                <c:pt idx="17">
                  <c:v>6.9780750603904869</c:v>
                </c:pt>
                <c:pt idx="18">
                  <c:v>8.987906897289486</c:v>
                </c:pt>
                <c:pt idx="19" formatCode="0">
                  <c:v>11.576361197749186</c:v>
                </c:pt>
                <c:pt idx="20" formatCode="0">
                  <c:v>14.909855523149005</c:v>
                </c:pt>
                <c:pt idx="21" formatCode="0">
                  <c:v>19.202561768875942</c:v>
                </c:pt>
                <c:pt idx="22" formatCode="0">
                  <c:v>24.730037726544385</c:v>
                </c:pt>
                <c:pt idx="23" formatCode="0">
                  <c:v>31.846702530948502</c:v>
                </c:pt>
                <c:pt idx="24" formatCode="0">
                  <c:v>41.008208727584538</c:v>
                </c:pt>
                <c:pt idx="25" formatCode="0">
                  <c:v>52.800031324427046</c:v>
                </c:pt>
                <c:pt idx="26" formatCode="0">
                  <c:v>67.973915870243303</c:v>
                </c:pt>
                <c:pt idx="27" formatCode="0">
                  <c:v>87.494204228525732</c:v>
                </c:pt>
                <c:pt idx="28" formatCode="0">
                  <c:v>112.59648035891601</c:v>
                </c:pt>
                <c:pt idx="29" formatCode="0">
                  <c:v>144.86142442829504</c:v>
                </c:pt>
                <c:pt idx="30" formatCode="0">
                  <c:v>186.30717761188527</c:v>
                </c:pt>
                <c:pt idx="31" formatCode="0">
                  <c:v>239.50379734378745</c:v>
                </c:pt>
                <c:pt idx="32" formatCode="0">
                  <c:v>307.71333696252458</c:v>
                </c:pt>
                <c:pt idx="33" formatCode="0">
                  <c:v>395.05840021142262</c:v>
                </c:pt>
                <c:pt idx="34" formatCode="0">
                  <c:v>506.72019530733627</c:v>
                </c:pt>
                <c:pt idx="35" formatCode="0">
                  <c:v>649.163376127883</c:v>
                </c:pt>
                <c:pt idx="36" formatCode="0">
                  <c:v>830.3782083809582</c:v>
                </c:pt>
                <c:pt idx="37" formatCode="0">
                  <c:v>1060.1193946728774</c:v>
                </c:pt>
                <c:pt idx="38" formatCode="0">
                  <c:v>1350.10361330397</c:v>
                </c:pt>
                <c:pt idx="39" formatCode="0">
                  <c:v>1714.1032075128903</c:v>
                </c:pt>
                <c:pt idx="40" formatCode="0">
                  <c:v>2167.8418193639991</c:v>
                </c:pt>
                <c:pt idx="41" formatCode="0">
                  <c:v>2728.5632323224359</c:v>
                </c:pt>
                <c:pt idx="42" formatCode="0">
                  <c:v>3414.118536188962</c:v>
                </c:pt>
                <c:pt idx="43" formatCode="0">
                  <c:v>4241.4207285673319</c:v>
                </c:pt>
                <c:pt idx="44" formatCode="0">
                  <c:v>5224.1825377232135</c:v>
                </c:pt>
                <c:pt idx="45" formatCode="0">
                  <c:v>6370.0169233749111</c:v>
                </c:pt>
                <c:pt idx="46" formatCode="0">
                  <c:v>7677.2518534716501</c:v>
                </c:pt>
                <c:pt idx="47" formatCode="0">
                  <c:v>9132.141439709354</c:v>
                </c:pt>
                <c:pt idx="48" formatCode="0">
                  <c:v>10707.403293036923</c:v>
                </c:pt>
                <c:pt idx="49" formatCode="0">
                  <c:v>12362.972668598062</c:v>
                </c:pt>
                <c:pt idx="50" formatCode="0">
                  <c:v>14049.389926771717</c:v>
                </c:pt>
                <c:pt idx="51" formatCode="0">
                  <c:v>15713.4029658457</c:v>
                </c:pt>
                <c:pt idx="52" formatCode="0">
                  <c:v>17304.524192570669</c:v>
                </c:pt>
                <c:pt idx="53" formatCode="0">
                  <c:v>18780.888378182644</c:v>
                </c:pt>
                <c:pt idx="54" formatCode="0">
                  <c:v>20113.047380114629</c:v>
                </c:pt>
                <c:pt idx="55" formatCode="0">
                  <c:v>21285.136744478561</c:v>
                </c:pt>
                <c:pt idx="56" formatCode="0">
                  <c:v>22293.715099281151</c:v>
                </c:pt>
                <c:pt idx="57" formatCode="0">
                  <c:v>23145.121706068341</c:v>
                </c:pt>
                <c:pt idx="58" formatCode="0">
                  <c:v>23852.300433501554</c:v>
                </c:pt>
                <c:pt idx="59" formatCode="0">
                  <c:v>24431.822438348365</c:v>
                </c:pt>
                <c:pt idx="60" formatCode="0">
                  <c:v>24901.51069681322</c:v>
                </c:pt>
                <c:pt idx="61" formatCode="0">
                  <c:v>25278.782494527903</c:v>
                </c:pt>
                <c:pt idx="62" formatCode="0">
                  <c:v>25579.6446071957</c:v>
                </c:pt>
                <c:pt idx="63" formatCode="0">
                  <c:v>25818.195796411841</c:v>
                </c:pt>
                <c:pt idx="64" formatCode="0">
                  <c:v>26006.479614044893</c:v>
                </c:pt>
                <c:pt idx="65" formatCode="0">
                  <c:v>26154.553599475301</c:v>
                </c:pt>
                <c:pt idx="66" formatCode="0">
                  <c:v>26270.675137727121</c:v>
                </c:pt>
                <c:pt idx="67" formatCode="0">
                  <c:v>26361.536771338855</c:v>
                </c:pt>
                <c:pt idx="68" formatCode="0">
                  <c:v>26432.509590004611</c:v>
                </c:pt>
                <c:pt idx="69" formatCode="0">
                  <c:v>26487.871713755019</c:v>
                </c:pt>
                <c:pt idx="70" formatCode="0">
                  <c:v>26531.010953830308</c:v>
                </c:pt>
                <c:pt idx="71" formatCode="0">
                  <c:v>26564.598093789271</c:v>
                </c:pt>
                <c:pt idx="72" formatCode="0">
                  <c:v>26590.731369834783</c:v>
                </c:pt>
                <c:pt idx="73" formatCode="0">
                  <c:v>26611.054801604278</c:v>
                </c:pt>
                <c:pt idx="74" formatCode="0">
                  <c:v>26626.853851255484</c:v>
                </c:pt>
                <c:pt idx="75" formatCode="0">
                  <c:v>26639.132011378493</c:v>
                </c:pt>
                <c:pt idx="76" formatCode="0">
                  <c:v>26648.671681402164</c:v>
                </c:pt>
                <c:pt idx="77" formatCode="0">
                  <c:v>26656.082291287421</c:v>
                </c:pt>
                <c:pt idx="78" formatCode="0">
                  <c:v>26661.838185741926</c:v>
                </c:pt>
                <c:pt idx="79" formatCode="0">
                  <c:v>26666.308352721691</c:v>
                </c:pt>
                <c:pt idx="80" formatCode="0">
                  <c:v>26669.779694972924</c:v>
                </c:pt>
                <c:pt idx="81" formatCode="0">
                  <c:v>26672.475212785157</c:v>
                </c:pt>
                <c:pt idx="82" formatCode="0">
                  <c:v>26674.568190112601</c:v>
                </c:pt>
                <c:pt idx="83" formatCode="0">
                  <c:v>26676.193250135853</c:v>
                </c:pt>
                <c:pt idx="84" formatCode="0">
                  <c:v>26677.454963643617</c:v>
                </c:pt>
                <c:pt idx="85" formatCode="0">
                  <c:v>26678.434547429631</c:v>
                </c:pt>
                <c:pt idx="86" formatCode="0">
                  <c:v>26679.195073775736</c:v>
                </c:pt>
                <c:pt idx="87" formatCode="0">
                  <c:v>26679.78552034486</c:v>
                </c:pt>
                <c:pt idx="88" formatCode="0">
                  <c:v>26680.24391761727</c:v>
                </c:pt>
                <c:pt idx="89" formatCode="0">
                  <c:v>26680.599794376958</c:v>
                </c:pt>
                <c:pt idx="90" formatCode="0">
                  <c:v>26680.876077442303</c:v>
                </c:pt>
                <c:pt idx="91" formatCode="0">
                  <c:v>26681.090567221705</c:v>
                </c:pt>
                <c:pt idx="92" formatCode="0">
                  <c:v>26681.257083675166</c:v>
                </c:pt>
                <c:pt idx="93" formatCode="0">
                  <c:v>26681.386356225059</c:v>
                </c:pt>
                <c:pt idx="94" formatCode="0">
                  <c:v>26681.486714780454</c:v>
                </c:pt>
                <c:pt idx="95" formatCode="0">
                  <c:v>26681.564626295793</c:v>
                </c:pt>
                <c:pt idx="96" formatCode="0">
                  <c:v>26681.625111374771</c:v>
                </c:pt>
                <c:pt idx="97" formatCode="0">
                  <c:v>26681.799367527132</c:v>
                </c:pt>
                <c:pt idx="98" formatCode="0">
                  <c:v>26681.828981854735</c:v>
                </c:pt>
                <c:pt idx="99" formatCode="0">
                  <c:v>26681.834014691878</c:v>
                </c:pt>
                <c:pt idx="100" formatCode="0">
                  <c:v>26681.83487000161</c:v>
                </c:pt>
                <c:pt idx="101" formatCode="0">
                  <c:v>26681.835015357909</c:v>
                </c:pt>
                <c:pt idx="102" formatCode="0">
                  <c:v>26681.835040060607</c:v>
                </c:pt>
                <c:pt idx="103" formatCode="0">
                  <c:v>26681.835044258722</c:v>
                </c:pt>
                <c:pt idx="104" formatCode="0">
                  <c:v>26681.835044972173</c:v>
                </c:pt>
              </c:numCache>
            </c:numRef>
          </c:yVal>
          <c:smooth val="0"/>
        </c:ser>
        <c:dLbls>
          <c:showLegendKey val="0"/>
          <c:showVal val="0"/>
          <c:showCatName val="0"/>
          <c:showSerName val="0"/>
          <c:showPercent val="0"/>
          <c:showBubbleSize val="0"/>
        </c:dLbls>
        <c:axId val="805522256"/>
        <c:axId val="805523432"/>
      </c:scatterChart>
      <c:valAx>
        <c:axId val="805522256"/>
        <c:scaling>
          <c:orientation val="minMax"/>
          <c:max val="43951"/>
          <c:min val="4388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23432"/>
        <c:crossesAt val="0.1"/>
        <c:crossBetween val="midCat"/>
        <c:majorUnit val="14"/>
        <c:minorUnit val="7"/>
      </c:valAx>
      <c:valAx>
        <c:axId val="805523432"/>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layout>
            <c:manualLayout>
              <c:xMode val="edge"/>
              <c:yMode val="edge"/>
              <c:x val="3.462263243216774E-2"/>
              <c:y val="0.33471075602559425"/>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22256"/>
        <c:crosses val="autoZero"/>
        <c:crossBetween val="midCat"/>
      </c:valAx>
      <c:spPr>
        <a:noFill/>
        <a:ln>
          <a:noFill/>
        </a:ln>
        <a:effectLst/>
      </c:spPr>
    </c:plotArea>
    <c:legend>
      <c:legendPos val="b"/>
      <c:layout>
        <c:manualLayout>
          <c:xMode val="edge"/>
          <c:yMode val="edge"/>
          <c:x val="0.31275133186791321"/>
          <c:y val="0.63370188801795979"/>
          <c:w val="0.19456695891080134"/>
          <c:h val="8.98855192163431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myData!$EX$14</c:f>
          <c:strCache>
            <c:ptCount val="1"/>
            <c:pt idx="0">
              <c:v>COVID19 USA P(t) = b / {d+[( b/Po - d ) ]* exp(-b*t)}
b=0.284, d=3.49E-07, P0=.639, r2=0.9246, Limit=24.7 k=&gt;813 k cases 
 (Fit: Wed 22-Jan - Sat 02-May)</c:v>
            </c:pt>
          </c:strCache>
        </c:strRef>
      </c:tx>
      <c:layout>
        <c:manualLayout>
          <c:xMode val="edge"/>
          <c:yMode val="edge"/>
          <c:x val="0.11754775083740615"/>
          <c:y val="1.6697360666605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159949948926601"/>
          <c:y val="0.19670345454587287"/>
          <c:w val="0.41823573832206051"/>
          <c:h val="0.63774205010062779"/>
        </c:manualLayout>
      </c:layout>
      <c:scatterChart>
        <c:scatterStyle val="lineMarker"/>
        <c:varyColors val="0"/>
        <c:ser>
          <c:idx val="1"/>
          <c:order val="0"/>
          <c:tx>
            <c:v>US Confirmed Cases</c:v>
          </c:tx>
          <c:spPr>
            <a:ln w="19050" cap="rnd">
              <a:solidFill>
                <a:schemeClr val="accent2">
                  <a:alpha val="99000"/>
                </a:schemeClr>
              </a:solidFill>
              <a:round/>
            </a:ln>
            <a:effectLst/>
          </c:spPr>
          <c:marker>
            <c:symbol val="circle"/>
            <c:size val="5"/>
            <c:spPr>
              <a:solidFill>
                <a:schemeClr val="accent2"/>
              </a:solidFill>
              <a:ln w="9525">
                <a:solidFill>
                  <a:schemeClr val="accent2"/>
                </a:solidFill>
              </a:ln>
              <a:effectLst/>
            </c:spPr>
          </c:marker>
          <c:xVal>
            <c:numRef>
              <c:f>myData!USDates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myData!USCases</c:f>
              <c:numCache>
                <c:formatCode>0.0</c:formatCode>
                <c:ptCount val="102"/>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417.55289968786536</c:v>
                </c:pt>
                <c:pt idx="58">
                  <c:v>585.40023537384366</c:v>
                </c:pt>
                <c:pt idx="59">
                  <c:v>777.57723372440194</c:v>
                </c:pt>
                <c:pt idx="60">
                  <c:v>1010.7289073989531</c:v>
                </c:pt>
                <c:pt idx="61">
                  <c:v>1331.6921350851153</c:v>
                </c:pt>
                <c:pt idx="62">
                  <c:v>1632.1832121646273</c:v>
                </c:pt>
                <c:pt idx="63">
                  <c:v>1997.9482531220199</c:v>
                </c:pt>
                <c:pt idx="64">
                  <c:v>2546.4439440046467</c:v>
                </c:pt>
                <c:pt idx="65">
                  <c:v>3087.7409706531844</c:v>
                </c:pt>
                <c:pt idx="66">
                  <c:v>3689.3913552474405</c:v>
                </c:pt>
                <c:pt idx="67">
                  <c:v>4279.9855635496779</c:v>
                </c:pt>
                <c:pt idx="68">
                  <c:v>4915.472707455222</c:v>
                </c:pt>
                <c:pt idx="69">
                  <c:v>5715.557157202662</c:v>
                </c:pt>
                <c:pt idx="70">
                  <c:v>6477.0361122601134</c:v>
                </c:pt>
                <c:pt idx="71">
                  <c:v>7399.8015950939935</c:v>
                </c:pt>
                <c:pt idx="72">
                  <c:v>8364.0277390229439</c:v>
                </c:pt>
                <c:pt idx="73">
                  <c:v>9374.9692651967434</c:v>
                </c:pt>
                <c:pt idx="74">
                  <c:v>10230.061229408047</c:v>
                </c:pt>
                <c:pt idx="75">
                  <c:v>11126.553106493036</c:v>
                </c:pt>
                <c:pt idx="76">
                  <c:v>12062.197212260477</c:v>
                </c:pt>
                <c:pt idx="77">
                  <c:v>13019.984044722647</c:v>
                </c:pt>
                <c:pt idx="78">
                  <c:v>14056.530946210107</c:v>
                </c:pt>
                <c:pt idx="79">
                  <c:v>15081.809052630699</c:v>
                </c:pt>
                <c:pt idx="80">
                  <c:v>15988.810372015245</c:v>
                </c:pt>
                <c:pt idx="81">
                  <c:v>16867.138530906203</c:v>
                </c:pt>
                <c:pt idx="82">
                  <c:v>17635.78577608705</c:v>
                </c:pt>
                <c:pt idx="83">
                  <c:v>18457.435844426065</c:v>
                </c:pt>
                <c:pt idx="84">
                  <c:v>19328.565339082936</c:v>
                </c:pt>
                <c:pt idx="85">
                  <c:v>20277.513305333629</c:v>
                </c:pt>
                <c:pt idx="86">
                  <c:v>21252.94749610806</c:v>
                </c:pt>
                <c:pt idx="87">
                  <c:v>22239.832726613513</c:v>
                </c:pt>
                <c:pt idx="88">
                  <c:v>23048.148560358582</c:v>
                </c:pt>
                <c:pt idx="89">
                  <c:v>23823.204742895519</c:v>
                </c:pt>
                <c:pt idx="90">
                  <c:v>24659.677377252403</c:v>
                </c:pt>
                <c:pt idx="91">
                  <c:v>25524.914294434955</c:v>
                </c:pt>
                <c:pt idx="92">
                  <c:v>26400.265790478064</c:v>
                </c:pt>
                <c:pt idx="93">
                  <c:v>27499.444108213167</c:v>
                </c:pt>
                <c:pt idx="94">
                  <c:v>28495.593442479789</c:v>
                </c:pt>
                <c:pt idx="95">
                  <c:v>29334.86049502037</c:v>
                </c:pt>
                <c:pt idx="96">
                  <c:v>30015.605063857533</c:v>
                </c:pt>
                <c:pt idx="97">
                  <c:v>30756.277753090715</c:v>
                </c:pt>
                <c:pt idx="98">
                  <c:v>31586.311075980822</c:v>
                </c:pt>
                <c:pt idx="99">
                  <c:v>32482.802953065813</c:v>
                </c:pt>
                <c:pt idx="100">
                  <c:v>33516.64655870165</c:v>
                </c:pt>
                <c:pt idx="101">
                  <c:v>34399.864949414077</c:v>
                </c:pt>
              </c:numCache>
            </c:numRef>
          </c:yVal>
          <c:smooth val="0"/>
        </c:ser>
        <c:ser>
          <c:idx val="0"/>
          <c:order val="1"/>
          <c:tx>
            <c:v>US Logistic Prediction</c:v>
          </c:tx>
          <c:spPr>
            <a:ln w="19050" cap="rnd">
              <a:solidFill>
                <a:schemeClr val="accent1"/>
              </a:solidFill>
              <a:prstDash val="sysDash"/>
              <a:round/>
            </a:ln>
            <a:effectLst/>
          </c:spPr>
          <c:marker>
            <c:symbol val="x"/>
            <c:size val="5"/>
            <c:spPr>
              <a:noFill/>
              <a:ln w="9525">
                <a:solidFill>
                  <a:schemeClr val="accent1"/>
                </a:solidFill>
              </a:ln>
              <a:effectLst/>
            </c:spPr>
          </c:marker>
          <c:xVal>
            <c:numRef>
              <c:f>myData!USLogiDates</c:f>
              <c:numCache>
                <c:formatCode>m/d/yyyy</c:formatCode>
                <c:ptCount val="113"/>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43926</c:v>
                </c:pt>
                <c:pt idx="74">
                  <c:v>43927</c:v>
                </c:pt>
                <c:pt idx="75">
                  <c:v>43928</c:v>
                </c:pt>
                <c:pt idx="76">
                  <c:v>43929</c:v>
                </c:pt>
                <c:pt idx="77">
                  <c:v>43930</c:v>
                </c:pt>
                <c:pt idx="78">
                  <c:v>43931</c:v>
                </c:pt>
                <c:pt idx="79">
                  <c:v>43932</c:v>
                </c:pt>
                <c:pt idx="80">
                  <c:v>43933</c:v>
                </c:pt>
                <c:pt idx="81">
                  <c:v>43934</c:v>
                </c:pt>
                <c:pt idx="82">
                  <c:v>43935</c:v>
                </c:pt>
                <c:pt idx="83">
                  <c:v>43936</c:v>
                </c:pt>
                <c:pt idx="84">
                  <c:v>43937</c:v>
                </c:pt>
                <c:pt idx="85">
                  <c:v>43938</c:v>
                </c:pt>
                <c:pt idx="86">
                  <c:v>43939</c:v>
                </c:pt>
                <c:pt idx="87">
                  <c:v>43940</c:v>
                </c:pt>
                <c:pt idx="88">
                  <c:v>43941</c:v>
                </c:pt>
                <c:pt idx="89">
                  <c:v>43942</c:v>
                </c:pt>
                <c:pt idx="90">
                  <c:v>43943</c:v>
                </c:pt>
                <c:pt idx="91">
                  <c:v>43944</c:v>
                </c:pt>
                <c:pt idx="92">
                  <c:v>43945</c:v>
                </c:pt>
                <c:pt idx="93">
                  <c:v>43946</c:v>
                </c:pt>
                <c:pt idx="94">
                  <c:v>43947</c:v>
                </c:pt>
                <c:pt idx="95">
                  <c:v>43948</c:v>
                </c:pt>
                <c:pt idx="96">
                  <c:v>43949</c:v>
                </c:pt>
                <c:pt idx="97">
                  <c:v>43950</c:v>
                </c:pt>
                <c:pt idx="98">
                  <c:v>43951</c:v>
                </c:pt>
                <c:pt idx="99">
                  <c:v>43952</c:v>
                </c:pt>
                <c:pt idx="100">
                  <c:v>43953</c:v>
                </c:pt>
                <c:pt idx="101">
                  <c:v>43954</c:v>
                </c:pt>
                <c:pt idx="102">
                  <c:v>43955</c:v>
                </c:pt>
                <c:pt idx="103">
                  <c:v>43956</c:v>
                </c:pt>
                <c:pt idx="104">
                  <c:v>43957</c:v>
                </c:pt>
                <c:pt idx="105">
                  <c:v>43964</c:v>
                </c:pt>
                <c:pt idx="106">
                  <c:v>43971</c:v>
                </c:pt>
                <c:pt idx="107">
                  <c:v>43978</c:v>
                </c:pt>
                <c:pt idx="108">
                  <c:v>43985</c:v>
                </c:pt>
                <c:pt idx="109">
                  <c:v>43992</c:v>
                </c:pt>
                <c:pt idx="110">
                  <c:v>43999</c:v>
                </c:pt>
                <c:pt idx="111">
                  <c:v>44006</c:v>
                </c:pt>
                <c:pt idx="112">
                  <c:v>44013</c:v>
                </c:pt>
              </c:numCache>
            </c:numRef>
          </c:xVal>
          <c:yVal>
            <c:numRef>
              <c:f>myData!USLogi</c:f>
              <c:numCache>
                <c:formatCode>0.0</c:formatCode>
                <c:ptCount val="113"/>
                <c:pt idx="0">
                  <c:v>4.0340654737457579E-5</c:v>
                </c:pt>
                <c:pt idx="1">
                  <c:v>5.3577483828710432E-5</c:v>
                </c:pt>
                <c:pt idx="2">
                  <c:v>7.115766443536908E-5</c:v>
                </c:pt>
                <c:pt idx="3">
                  <c:v>9.4506364332119764E-5</c:v>
                </c:pt>
                <c:pt idx="4">
                  <c:v>1.2551638628637105E-4</c:v>
                </c:pt>
                <c:pt idx="5">
                  <c:v>1.6670161138075562E-4</c:v>
                </c:pt>
                <c:pt idx="6">
                  <c:v>2.2140079111533146E-4</c:v>
                </c:pt>
                <c:pt idx="7">
                  <c:v>2.9404820904174739E-4</c:v>
                </c:pt>
                <c:pt idx="8">
                  <c:v>3.9053315357032528E-4</c:v>
                </c:pt>
                <c:pt idx="9">
                  <c:v>5.1867734321242511E-4</c:v>
                </c:pt>
                <c:pt idx="10">
                  <c:v>6.8886900752102498E-4</c:v>
                </c:pt>
                <c:pt idx="11">
                  <c:v>9.1490502652635645E-4</c:v>
                </c:pt>
                <c:pt idx="12">
                  <c:v>1.2151093980299517E-3</c:v>
                </c:pt>
                <c:pt idx="13">
                  <c:v>1.6138187030185166E-3</c:v>
                </c:pt>
                <c:pt idx="14">
                  <c:v>2.143354990623696E-3</c:v>
                </c:pt>
                <c:pt idx="15">
                  <c:v>2.8466460172572759E-3</c:v>
                </c:pt>
                <c:pt idx="16">
                  <c:v>3.7807052528985086E-3</c:v>
                </c:pt>
                <c:pt idx="17">
                  <c:v>5.0212537650705207E-3</c:v>
                </c:pt>
                <c:pt idx="18">
                  <c:v>6.6688586576539735E-3</c:v>
                </c:pt>
                <c:pt idx="19">
                  <c:v>8.857085680864794E-3</c:v>
                </c:pt>
                <c:pt idx="20">
                  <c:v>1.1763326905764858E-2</c:v>
                </c:pt>
                <c:pt idx="21">
                  <c:v>1.5623181206184968E-2</c:v>
                </c:pt>
                <c:pt idx="22">
                  <c:v>2.0749553289146294E-2</c:v>
                </c:pt>
                <c:pt idx="23">
                  <c:v>2.755801950345612E-2</c:v>
                </c:pt>
                <c:pt idx="24">
                  <c:v>3.6600516632726433E-2</c:v>
                </c:pt>
                <c:pt idx="25">
                  <c:v>4.8610084506860288E-2</c:v>
                </c:pt>
                <c:pt idx="26">
                  <c:v>6.4560289205382454E-2</c:v>
                </c:pt>
                <c:pt idx="27">
                  <c:v>8.5744143455587798E-2</c:v>
                </c:pt>
                <c:pt idx="28">
                  <c:v>0.11387892091196908</c:v>
                </c:pt>
                <c:pt idx="29">
                  <c:v>0.15124535927074365</c:v>
                </c:pt>
                <c:pt idx="30">
                  <c:v>0.20087253343805211</c:v>
                </c:pt>
                <c:pt idx="31">
                  <c:v>0.26678337960123605</c:v>
                </c:pt>
                <c:pt idx="32">
                  <c:v>0.35432076307625854</c:v>
                </c:pt>
                <c:pt idx="33">
                  <c:v>0.47058050385245032</c:v>
                </c:pt>
                <c:pt idx="34">
                  <c:v>0.62498642969914964</c:v>
                </c:pt>
                <c:pt idx="35">
                  <c:v>0.83005401436263926</c:v>
                </c:pt>
                <c:pt idx="36">
                  <c:v>1.1024044004205729</c:v>
                </c:pt>
                <c:pt idx="37">
                  <c:v>1.4641108232088327</c:v>
                </c:pt>
                <c:pt idx="38">
                  <c:v>1.9444862560260094</c:v>
                </c:pt>
                <c:pt idx="39">
                  <c:v>2.5824566132340436</c:v>
                </c:pt>
                <c:pt idx="40">
                  <c:v>3.429710872882807</c:v>
                </c:pt>
                <c:pt idx="41">
                  <c:v>4.5548816795794389</c:v>
                </c:pt>
                <c:pt idx="42">
                  <c:v>6.0490921453604782</c:v>
                </c:pt>
                <c:pt idx="43">
                  <c:v>8.0333128863969367</c:v>
                </c:pt>
                <c:pt idx="44">
                  <c:v>10.668115796521105</c:v>
                </c:pt>
                <c:pt idx="45">
                  <c:v>14.166597804673456</c:v>
                </c:pt>
                <c:pt idx="46">
                  <c:v>18.81149155485226</c:v>
                </c:pt>
                <c:pt idx="47">
                  <c:v>24.977795992418262</c:v>
                </c:pt>
                <c:pt idx="48">
                  <c:v>33.162666242937291</c:v>
                </c:pt>
                <c:pt idx="49">
                  <c:v>44.02481855494667</c:v>
                </c:pt>
                <c:pt idx="50">
                  <c:v>58.436351084349859</c:v>
                </c:pt>
                <c:pt idx="51">
                  <c:v>77.550666881744121</c:v>
                </c:pt>
                <c:pt idx="52">
                  <c:v>102.89110561136106</c:v>
                </c:pt>
                <c:pt idx="53">
                  <c:v>136.46590035422193</c:v>
                </c:pt>
                <c:pt idx="54">
                  <c:v>180.91605414825486</c:v>
                </c:pt>
                <c:pt idx="55">
                  <c:v>239.7034166419875</c:v>
                </c:pt>
                <c:pt idx="56">
                  <c:v>317.34612994173438</c:v>
                </c:pt>
                <c:pt idx="57">
                  <c:v>419.70679796207605</c:v>
                </c:pt>
                <c:pt idx="58">
                  <c:v>554.33368492625448</c:v>
                </c:pt>
                <c:pt idx="59">
                  <c:v>730.84454884328738</c:v>
                </c:pt>
                <c:pt idx="60">
                  <c:v>961.322864186885</c:v>
                </c:pt>
                <c:pt idx="61">
                  <c:v>1260.6627673430748</c:v>
                </c:pt>
                <c:pt idx="62">
                  <c:v>1646.7479124482609</c:v>
                </c:pt>
                <c:pt idx="63">
                  <c:v>2140.279990136351</c:v>
                </c:pt>
                <c:pt idx="64">
                  <c:v>2763.994906946034</c:v>
                </c:pt>
                <c:pt idx="65">
                  <c:v>3540.9501020883458</c:v>
                </c:pt>
                <c:pt idx="66">
                  <c:v>4491.5995343139366</c:v>
                </c:pt>
                <c:pt idx="67">
                  <c:v>5629.5878912211256</c:v>
                </c:pt>
                <c:pt idx="68">
                  <c:v>6956.6738790963009</c:v>
                </c:pt>
                <c:pt idx="69">
                  <c:v>8457.8979909218742</c:v>
                </c:pt>
                <c:pt idx="70">
                  <c:v>10098.762284417062</c:v>
                </c:pt>
                <c:pt idx="71">
                  <c:v>11826.263685119791</c:v>
                </c:pt>
                <c:pt idx="72">
                  <c:v>13574.659840965507</c:v>
                </c:pt>
                <c:pt idx="73">
                  <c:v>15274.992599131874</c:v>
                </c:pt>
                <c:pt idx="74">
                  <c:v>16865.617760442015</c:v>
                </c:pt>
                <c:pt idx="75">
                  <c:v>18300.479076234064</c:v>
                </c:pt>
                <c:pt idx="76">
                  <c:v>19552.989871078098</c:v>
                </c:pt>
                <c:pt idx="77">
                  <c:v>20615.346380514362</c:v>
                </c:pt>
                <c:pt idx="78">
                  <c:v>21494.669534674089</c:v>
                </c:pt>
                <c:pt idx="79">
                  <c:v>22207.893397782344</c:v>
                </c:pt>
                <c:pt idx="80">
                  <c:v>22776.944387207401</c:v>
                </c:pt>
                <c:pt idx="81">
                  <c:v>23225.029717144425</c:v>
                </c:pt>
                <c:pt idx="82">
                  <c:v>23574.220877363194</c:v>
                </c:pt>
                <c:pt idx="83">
                  <c:v>23844.149807198261</c:v>
                </c:pt>
                <c:pt idx="84">
                  <c:v>24051.505026162646</c:v>
                </c:pt>
                <c:pt idx="85">
                  <c:v>24210.026838309092</c:v>
                </c:pt>
                <c:pt idx="86">
                  <c:v>24330.770198048624</c:v>
                </c:pt>
                <c:pt idx="87">
                  <c:v>24422.48055552072</c:v>
                </c:pt>
                <c:pt idx="88">
                  <c:v>24491.990547925245</c:v>
                </c:pt>
                <c:pt idx="89">
                  <c:v>24544.589108972894</c:v>
                </c:pt>
                <c:pt idx="90">
                  <c:v>24584.342025603743</c:v>
                </c:pt>
                <c:pt idx="91">
                  <c:v>24614.358686934051</c:v>
                </c:pt>
                <c:pt idx="92">
                  <c:v>24637.007861887476</c:v>
                </c:pt>
                <c:pt idx="93">
                  <c:v>24654.088867962506</c:v>
                </c:pt>
                <c:pt idx="94">
                  <c:v>24666.965486783713</c:v>
                </c:pt>
                <c:pt idx="95">
                  <c:v>24676.669693944634</c:v>
                </c:pt>
                <c:pt idx="96">
                  <c:v>24683.981424390706</c:v>
                </c:pt>
                <c:pt idx="97">
                  <c:v>24689.489582075796</c:v>
                </c:pt>
                <c:pt idx="98">
                  <c:v>24693.638519345615</c:v>
                </c:pt>
                <c:pt idx="99">
                  <c:v>24696.763342366979</c:v>
                </c:pt>
                <c:pt idx="100">
                  <c:v>24699.116669972147</c:v>
                </c:pt>
                <c:pt idx="101">
                  <c:v>24700.888881509723</c:v>
                </c:pt>
                <c:pt idx="102">
                  <c:v>24702.223419102193</c:v>
                </c:pt>
                <c:pt idx="103">
                  <c:v>24703.228341604692</c:v>
                </c:pt>
                <c:pt idx="104">
                  <c:v>24703.985042364446</c:v>
                </c:pt>
                <c:pt idx="105">
                  <c:v>24705.975011296989</c:v>
                </c:pt>
                <c:pt idx="106">
                  <c:v>24706.24804136507</c:v>
                </c:pt>
                <c:pt idx="107">
                  <c:v>24706.285498998466</c:v>
                </c:pt>
                <c:pt idx="108">
                  <c:v>24706.290637843045</c:v>
                </c:pt>
                <c:pt idx="109">
                  <c:v>24706.291342844459</c:v>
                </c:pt>
                <c:pt idx="110">
                  <c:v>24706.291439564036</c:v>
                </c:pt>
                <c:pt idx="111">
                  <c:v>24706.291452833055</c:v>
                </c:pt>
                <c:pt idx="112">
                  <c:v>24706.291454653438</c:v>
                </c:pt>
              </c:numCache>
            </c:numRef>
          </c:yVal>
          <c:smooth val="0"/>
        </c:ser>
        <c:dLbls>
          <c:showLegendKey val="0"/>
          <c:showVal val="0"/>
          <c:showCatName val="0"/>
          <c:showSerName val="0"/>
          <c:showPercent val="0"/>
          <c:showBubbleSize val="0"/>
        </c:dLbls>
        <c:axId val="805523824"/>
        <c:axId val="805525784"/>
      </c:scatterChart>
      <c:valAx>
        <c:axId val="805523824"/>
        <c:scaling>
          <c:orientation val="minMax"/>
          <c:max val="43925"/>
          <c:min val="43883"/>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25784"/>
        <c:crosses val="autoZero"/>
        <c:crossBetween val="midCat"/>
        <c:majorUnit val="7"/>
        <c:minorUnit val="3.5"/>
      </c:valAx>
      <c:valAx>
        <c:axId val="805525784"/>
        <c:scaling>
          <c:logBase val="10"/>
          <c:orientation val="minMax"/>
          <c:max val="1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layout>
            <c:manualLayout>
              <c:xMode val="edge"/>
              <c:yMode val="edge"/>
              <c:x val="3.7950350125557232E-2"/>
              <c:y val="0.34410302140056009"/>
            </c:manualLayout>
          </c:layout>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23824"/>
        <c:crosses val="autoZero"/>
        <c:crossBetween val="midCat"/>
      </c:valAx>
      <c:spPr>
        <a:noFill/>
        <a:ln>
          <a:noFill/>
        </a:ln>
        <a:effectLst/>
      </c:spPr>
    </c:plotArea>
    <c:legend>
      <c:legendPos val="b"/>
      <c:layout>
        <c:manualLayout>
          <c:xMode val="edge"/>
          <c:yMode val="edge"/>
          <c:x val="0.34312540860868151"/>
          <c:y val="0.69945145225951777"/>
          <c:w val="0.13601372844301224"/>
          <c:h val="8.9885519216343163E-2"/>
        </c:manualLayout>
      </c:layout>
      <c:overlay val="0"/>
      <c:spPr>
        <a:solidFill>
          <a:schemeClr val="bg1">
            <a:alpha val="59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myData!$EX$14</c:f>
          <c:strCache>
            <c:ptCount val="1"/>
            <c:pt idx="0">
              <c:v>COVID19 USA P(t) = b / {d+[( b/Po - d ) ]* exp(-b*t)}
b=0.284, d=3.49E-07, P0=.639, r2=0.9246, Limit=24.7 k=&gt;813 k cases 
 (Fit: Wed 22-Jan - Sat 02-May)</c:v>
            </c:pt>
          </c:strCache>
        </c:strRef>
      </c:tx>
      <c:layout>
        <c:manualLayout>
          <c:xMode val="edge"/>
          <c:yMode val="edge"/>
          <c:x val="0.127094481924999"/>
          <c:y val="8.348680333302984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77839986048242"/>
          <c:y val="0.19670345454587287"/>
          <c:w val="0.43460159270882204"/>
          <c:h val="0.64191639026727931"/>
        </c:manualLayout>
      </c:layout>
      <c:scatterChart>
        <c:scatterStyle val="lineMarker"/>
        <c:varyColors val="0"/>
        <c:ser>
          <c:idx val="1"/>
          <c:order val="0"/>
          <c:tx>
            <c:v>US Confirmed Cases</c:v>
          </c:tx>
          <c:spPr>
            <a:ln w="19050" cap="rnd">
              <a:solidFill>
                <a:schemeClr val="accent2">
                  <a:alpha val="99000"/>
                </a:schemeClr>
              </a:solidFill>
              <a:round/>
            </a:ln>
            <a:effectLst/>
          </c:spPr>
          <c:marker>
            <c:symbol val="circle"/>
            <c:size val="5"/>
            <c:spPr>
              <a:solidFill>
                <a:schemeClr val="accent2"/>
              </a:solidFill>
              <a:ln w="9525">
                <a:solidFill>
                  <a:schemeClr val="accent2"/>
                </a:solidFill>
              </a:ln>
              <a:effectLst/>
            </c:spPr>
          </c:marker>
          <c:xVal>
            <c:numRef>
              <c:f>myData!USDates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myData!USCases</c:f>
              <c:numCache>
                <c:formatCode>0.0</c:formatCode>
                <c:ptCount val="102"/>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417.55289968786536</c:v>
                </c:pt>
                <c:pt idx="58">
                  <c:v>585.40023537384366</c:v>
                </c:pt>
                <c:pt idx="59">
                  <c:v>777.57723372440194</c:v>
                </c:pt>
                <c:pt idx="60">
                  <c:v>1010.7289073989531</c:v>
                </c:pt>
                <c:pt idx="61">
                  <c:v>1331.6921350851153</c:v>
                </c:pt>
                <c:pt idx="62">
                  <c:v>1632.1832121646273</c:v>
                </c:pt>
                <c:pt idx="63">
                  <c:v>1997.9482531220199</c:v>
                </c:pt>
                <c:pt idx="64">
                  <c:v>2546.4439440046467</c:v>
                </c:pt>
                <c:pt idx="65">
                  <c:v>3087.7409706531844</c:v>
                </c:pt>
                <c:pt idx="66">
                  <c:v>3689.3913552474405</c:v>
                </c:pt>
                <c:pt idx="67">
                  <c:v>4279.9855635496779</c:v>
                </c:pt>
                <c:pt idx="68">
                  <c:v>4915.472707455222</c:v>
                </c:pt>
                <c:pt idx="69">
                  <c:v>5715.557157202662</c:v>
                </c:pt>
                <c:pt idx="70">
                  <c:v>6477.0361122601134</c:v>
                </c:pt>
                <c:pt idx="71">
                  <c:v>7399.8015950939935</c:v>
                </c:pt>
                <c:pt idx="72">
                  <c:v>8364.0277390229439</c:v>
                </c:pt>
                <c:pt idx="73">
                  <c:v>9374.9692651967434</c:v>
                </c:pt>
                <c:pt idx="74">
                  <c:v>10230.061229408047</c:v>
                </c:pt>
                <c:pt idx="75">
                  <c:v>11126.553106493036</c:v>
                </c:pt>
                <c:pt idx="76">
                  <c:v>12062.197212260477</c:v>
                </c:pt>
                <c:pt idx="77">
                  <c:v>13019.984044722647</c:v>
                </c:pt>
                <c:pt idx="78">
                  <c:v>14056.530946210107</c:v>
                </c:pt>
                <c:pt idx="79">
                  <c:v>15081.809052630699</c:v>
                </c:pt>
                <c:pt idx="80">
                  <c:v>15988.810372015245</c:v>
                </c:pt>
                <c:pt idx="81">
                  <c:v>16867.138530906203</c:v>
                </c:pt>
                <c:pt idx="82">
                  <c:v>17635.78577608705</c:v>
                </c:pt>
                <c:pt idx="83">
                  <c:v>18457.435844426065</c:v>
                </c:pt>
                <c:pt idx="84">
                  <c:v>19328.565339082936</c:v>
                </c:pt>
                <c:pt idx="85">
                  <c:v>20277.513305333629</c:v>
                </c:pt>
                <c:pt idx="86">
                  <c:v>21252.94749610806</c:v>
                </c:pt>
                <c:pt idx="87">
                  <c:v>22239.832726613513</c:v>
                </c:pt>
                <c:pt idx="88">
                  <c:v>23048.148560358582</c:v>
                </c:pt>
                <c:pt idx="89">
                  <c:v>23823.204742895519</c:v>
                </c:pt>
                <c:pt idx="90">
                  <c:v>24659.677377252403</c:v>
                </c:pt>
                <c:pt idx="91">
                  <c:v>25524.914294434955</c:v>
                </c:pt>
                <c:pt idx="92">
                  <c:v>26400.265790478064</c:v>
                </c:pt>
                <c:pt idx="93">
                  <c:v>27499.444108213167</c:v>
                </c:pt>
                <c:pt idx="94">
                  <c:v>28495.593442479789</c:v>
                </c:pt>
                <c:pt idx="95">
                  <c:v>29334.86049502037</c:v>
                </c:pt>
                <c:pt idx="96">
                  <c:v>30015.605063857533</c:v>
                </c:pt>
                <c:pt idx="97">
                  <c:v>30756.277753090715</c:v>
                </c:pt>
                <c:pt idx="98">
                  <c:v>31586.311075980822</c:v>
                </c:pt>
                <c:pt idx="99">
                  <c:v>32482.802953065813</c:v>
                </c:pt>
                <c:pt idx="100">
                  <c:v>33516.64655870165</c:v>
                </c:pt>
                <c:pt idx="101">
                  <c:v>34399.864949414077</c:v>
                </c:pt>
              </c:numCache>
            </c:numRef>
          </c:yVal>
          <c:smooth val="0"/>
        </c:ser>
        <c:ser>
          <c:idx val="0"/>
          <c:order val="1"/>
          <c:tx>
            <c:strRef>
              <c:f>myData!$EH$14</c:f>
              <c:strCache>
                <c:ptCount val="1"/>
                <c:pt idx="0">
                  <c:v>USA Limit 24.7 k r^2=92.46%</c:v>
                </c:pt>
              </c:strCache>
            </c:strRef>
          </c:tx>
          <c:spPr>
            <a:ln w="19050" cap="rnd">
              <a:solidFill>
                <a:schemeClr val="accent1"/>
              </a:solidFill>
              <a:prstDash val="sysDash"/>
              <a:round/>
            </a:ln>
            <a:effectLst/>
          </c:spPr>
          <c:marker>
            <c:symbol val="x"/>
            <c:size val="5"/>
            <c:spPr>
              <a:noFill/>
              <a:ln w="9525">
                <a:solidFill>
                  <a:schemeClr val="accent1"/>
                </a:solidFill>
              </a:ln>
              <a:effectLst/>
            </c:spPr>
          </c:marker>
          <c:xVal>
            <c:numRef>
              <c:f>myData!USLogiDates</c:f>
              <c:numCache>
                <c:formatCode>m/d/yyyy</c:formatCode>
                <c:ptCount val="113"/>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43926</c:v>
                </c:pt>
                <c:pt idx="74">
                  <c:v>43927</c:v>
                </c:pt>
                <c:pt idx="75">
                  <c:v>43928</c:v>
                </c:pt>
                <c:pt idx="76">
                  <c:v>43929</c:v>
                </c:pt>
                <c:pt idx="77">
                  <c:v>43930</c:v>
                </c:pt>
                <c:pt idx="78">
                  <c:v>43931</c:v>
                </c:pt>
                <c:pt idx="79">
                  <c:v>43932</c:v>
                </c:pt>
                <c:pt idx="80">
                  <c:v>43933</c:v>
                </c:pt>
                <c:pt idx="81">
                  <c:v>43934</c:v>
                </c:pt>
                <c:pt idx="82">
                  <c:v>43935</c:v>
                </c:pt>
                <c:pt idx="83">
                  <c:v>43936</c:v>
                </c:pt>
                <c:pt idx="84">
                  <c:v>43937</c:v>
                </c:pt>
                <c:pt idx="85">
                  <c:v>43938</c:v>
                </c:pt>
                <c:pt idx="86">
                  <c:v>43939</c:v>
                </c:pt>
                <c:pt idx="87">
                  <c:v>43940</c:v>
                </c:pt>
                <c:pt idx="88">
                  <c:v>43941</c:v>
                </c:pt>
                <c:pt idx="89">
                  <c:v>43942</c:v>
                </c:pt>
                <c:pt idx="90">
                  <c:v>43943</c:v>
                </c:pt>
                <c:pt idx="91">
                  <c:v>43944</c:v>
                </c:pt>
                <c:pt idx="92">
                  <c:v>43945</c:v>
                </c:pt>
                <c:pt idx="93">
                  <c:v>43946</c:v>
                </c:pt>
                <c:pt idx="94">
                  <c:v>43947</c:v>
                </c:pt>
                <c:pt idx="95">
                  <c:v>43948</c:v>
                </c:pt>
                <c:pt idx="96">
                  <c:v>43949</c:v>
                </c:pt>
                <c:pt idx="97">
                  <c:v>43950</c:v>
                </c:pt>
                <c:pt idx="98">
                  <c:v>43951</c:v>
                </c:pt>
                <c:pt idx="99">
                  <c:v>43952</c:v>
                </c:pt>
                <c:pt idx="100">
                  <c:v>43953</c:v>
                </c:pt>
                <c:pt idx="101">
                  <c:v>43954</c:v>
                </c:pt>
                <c:pt idx="102">
                  <c:v>43955</c:v>
                </c:pt>
                <c:pt idx="103">
                  <c:v>43956</c:v>
                </c:pt>
                <c:pt idx="104">
                  <c:v>43957</c:v>
                </c:pt>
                <c:pt idx="105">
                  <c:v>43964</c:v>
                </c:pt>
                <c:pt idx="106">
                  <c:v>43971</c:v>
                </c:pt>
                <c:pt idx="107">
                  <c:v>43978</c:v>
                </c:pt>
                <c:pt idx="108">
                  <c:v>43985</c:v>
                </c:pt>
                <c:pt idx="109">
                  <c:v>43992</c:v>
                </c:pt>
                <c:pt idx="110">
                  <c:v>43999</c:v>
                </c:pt>
                <c:pt idx="111">
                  <c:v>44006</c:v>
                </c:pt>
                <c:pt idx="112">
                  <c:v>44013</c:v>
                </c:pt>
              </c:numCache>
            </c:numRef>
          </c:xVal>
          <c:yVal>
            <c:numRef>
              <c:f>myData!USLogi</c:f>
              <c:numCache>
                <c:formatCode>0.0</c:formatCode>
                <c:ptCount val="113"/>
                <c:pt idx="0">
                  <c:v>4.0340654737457579E-5</c:v>
                </c:pt>
                <c:pt idx="1">
                  <c:v>5.3577483828710432E-5</c:v>
                </c:pt>
                <c:pt idx="2">
                  <c:v>7.115766443536908E-5</c:v>
                </c:pt>
                <c:pt idx="3">
                  <c:v>9.4506364332119764E-5</c:v>
                </c:pt>
                <c:pt idx="4">
                  <c:v>1.2551638628637105E-4</c:v>
                </c:pt>
                <c:pt idx="5">
                  <c:v>1.6670161138075562E-4</c:v>
                </c:pt>
                <c:pt idx="6">
                  <c:v>2.2140079111533146E-4</c:v>
                </c:pt>
                <c:pt idx="7">
                  <c:v>2.9404820904174739E-4</c:v>
                </c:pt>
                <c:pt idx="8">
                  <c:v>3.9053315357032528E-4</c:v>
                </c:pt>
                <c:pt idx="9">
                  <c:v>5.1867734321242511E-4</c:v>
                </c:pt>
                <c:pt idx="10">
                  <c:v>6.8886900752102498E-4</c:v>
                </c:pt>
                <c:pt idx="11">
                  <c:v>9.1490502652635645E-4</c:v>
                </c:pt>
                <c:pt idx="12">
                  <c:v>1.2151093980299517E-3</c:v>
                </c:pt>
                <c:pt idx="13">
                  <c:v>1.6138187030185166E-3</c:v>
                </c:pt>
                <c:pt idx="14">
                  <c:v>2.143354990623696E-3</c:v>
                </c:pt>
                <c:pt idx="15">
                  <c:v>2.8466460172572759E-3</c:v>
                </c:pt>
                <c:pt idx="16">
                  <c:v>3.7807052528985086E-3</c:v>
                </c:pt>
                <c:pt idx="17">
                  <c:v>5.0212537650705207E-3</c:v>
                </c:pt>
                <c:pt idx="18">
                  <c:v>6.6688586576539735E-3</c:v>
                </c:pt>
                <c:pt idx="19">
                  <c:v>8.857085680864794E-3</c:v>
                </c:pt>
                <c:pt idx="20">
                  <c:v>1.1763326905764858E-2</c:v>
                </c:pt>
                <c:pt idx="21">
                  <c:v>1.5623181206184968E-2</c:v>
                </c:pt>
                <c:pt idx="22">
                  <c:v>2.0749553289146294E-2</c:v>
                </c:pt>
                <c:pt idx="23">
                  <c:v>2.755801950345612E-2</c:v>
                </c:pt>
                <c:pt idx="24">
                  <c:v>3.6600516632726433E-2</c:v>
                </c:pt>
                <c:pt idx="25">
                  <c:v>4.8610084506860288E-2</c:v>
                </c:pt>
                <c:pt idx="26">
                  <c:v>6.4560289205382454E-2</c:v>
                </c:pt>
                <c:pt idx="27">
                  <c:v>8.5744143455587798E-2</c:v>
                </c:pt>
                <c:pt idx="28">
                  <c:v>0.11387892091196908</c:v>
                </c:pt>
                <c:pt idx="29">
                  <c:v>0.15124535927074365</c:v>
                </c:pt>
                <c:pt idx="30">
                  <c:v>0.20087253343805211</c:v>
                </c:pt>
                <c:pt idx="31">
                  <c:v>0.26678337960123605</c:v>
                </c:pt>
                <c:pt idx="32">
                  <c:v>0.35432076307625854</c:v>
                </c:pt>
                <c:pt idx="33">
                  <c:v>0.47058050385245032</c:v>
                </c:pt>
                <c:pt idx="34">
                  <c:v>0.62498642969914964</c:v>
                </c:pt>
                <c:pt idx="35">
                  <c:v>0.83005401436263926</c:v>
                </c:pt>
                <c:pt idx="36">
                  <c:v>1.1024044004205729</c:v>
                </c:pt>
                <c:pt idx="37">
                  <c:v>1.4641108232088327</c:v>
                </c:pt>
                <c:pt idx="38">
                  <c:v>1.9444862560260094</c:v>
                </c:pt>
                <c:pt idx="39">
                  <c:v>2.5824566132340436</c:v>
                </c:pt>
                <c:pt idx="40">
                  <c:v>3.429710872882807</c:v>
                </c:pt>
                <c:pt idx="41">
                  <c:v>4.5548816795794389</c:v>
                </c:pt>
                <c:pt idx="42">
                  <c:v>6.0490921453604782</c:v>
                </c:pt>
                <c:pt idx="43">
                  <c:v>8.0333128863969367</c:v>
                </c:pt>
                <c:pt idx="44">
                  <c:v>10.668115796521105</c:v>
                </c:pt>
                <c:pt idx="45">
                  <c:v>14.166597804673456</c:v>
                </c:pt>
                <c:pt idx="46">
                  <c:v>18.81149155485226</c:v>
                </c:pt>
                <c:pt idx="47">
                  <c:v>24.977795992418262</c:v>
                </c:pt>
                <c:pt idx="48">
                  <c:v>33.162666242937291</c:v>
                </c:pt>
                <c:pt idx="49">
                  <c:v>44.02481855494667</c:v>
                </c:pt>
                <c:pt idx="50">
                  <c:v>58.436351084349859</c:v>
                </c:pt>
                <c:pt idx="51">
                  <c:v>77.550666881744121</c:v>
                </c:pt>
                <c:pt idx="52">
                  <c:v>102.89110561136106</c:v>
                </c:pt>
                <c:pt idx="53">
                  <c:v>136.46590035422193</c:v>
                </c:pt>
                <c:pt idx="54">
                  <c:v>180.91605414825486</c:v>
                </c:pt>
                <c:pt idx="55">
                  <c:v>239.7034166419875</c:v>
                </c:pt>
                <c:pt idx="56">
                  <c:v>317.34612994173438</c:v>
                </c:pt>
                <c:pt idx="57">
                  <c:v>419.70679796207605</c:v>
                </c:pt>
                <c:pt idx="58">
                  <c:v>554.33368492625448</c:v>
                </c:pt>
                <c:pt idx="59">
                  <c:v>730.84454884328738</c:v>
                </c:pt>
                <c:pt idx="60">
                  <c:v>961.322864186885</c:v>
                </c:pt>
                <c:pt idx="61">
                  <c:v>1260.6627673430748</c:v>
                </c:pt>
                <c:pt idx="62">
                  <c:v>1646.7479124482609</c:v>
                </c:pt>
                <c:pt idx="63">
                  <c:v>2140.279990136351</c:v>
                </c:pt>
                <c:pt idx="64">
                  <c:v>2763.994906946034</c:v>
                </c:pt>
                <c:pt idx="65">
                  <c:v>3540.9501020883458</c:v>
                </c:pt>
                <c:pt idx="66">
                  <c:v>4491.5995343139366</c:v>
                </c:pt>
                <c:pt idx="67">
                  <c:v>5629.5878912211256</c:v>
                </c:pt>
                <c:pt idx="68">
                  <c:v>6956.6738790963009</c:v>
                </c:pt>
                <c:pt idx="69">
                  <c:v>8457.8979909218742</c:v>
                </c:pt>
                <c:pt idx="70">
                  <c:v>10098.762284417062</c:v>
                </c:pt>
                <c:pt idx="71">
                  <c:v>11826.263685119791</c:v>
                </c:pt>
                <c:pt idx="72">
                  <c:v>13574.659840965507</c:v>
                </c:pt>
                <c:pt idx="73">
                  <c:v>15274.992599131874</c:v>
                </c:pt>
                <c:pt idx="74">
                  <c:v>16865.617760442015</c:v>
                </c:pt>
                <c:pt idx="75">
                  <c:v>18300.479076234064</c:v>
                </c:pt>
                <c:pt idx="76">
                  <c:v>19552.989871078098</c:v>
                </c:pt>
                <c:pt idx="77">
                  <c:v>20615.346380514362</c:v>
                </c:pt>
                <c:pt idx="78">
                  <c:v>21494.669534674089</c:v>
                </c:pt>
                <c:pt idx="79">
                  <c:v>22207.893397782344</c:v>
                </c:pt>
                <c:pt idx="80">
                  <c:v>22776.944387207401</c:v>
                </c:pt>
                <c:pt idx="81">
                  <c:v>23225.029717144425</c:v>
                </c:pt>
                <c:pt idx="82">
                  <c:v>23574.220877363194</c:v>
                </c:pt>
                <c:pt idx="83">
                  <c:v>23844.149807198261</c:v>
                </c:pt>
                <c:pt idx="84">
                  <c:v>24051.505026162646</c:v>
                </c:pt>
                <c:pt idx="85">
                  <c:v>24210.026838309092</c:v>
                </c:pt>
                <c:pt idx="86">
                  <c:v>24330.770198048624</c:v>
                </c:pt>
                <c:pt idx="87">
                  <c:v>24422.48055552072</c:v>
                </c:pt>
                <c:pt idx="88">
                  <c:v>24491.990547925245</c:v>
                </c:pt>
                <c:pt idx="89">
                  <c:v>24544.589108972894</c:v>
                </c:pt>
                <c:pt idx="90">
                  <c:v>24584.342025603743</c:v>
                </c:pt>
                <c:pt idx="91">
                  <c:v>24614.358686934051</c:v>
                </c:pt>
                <c:pt idx="92">
                  <c:v>24637.007861887476</c:v>
                </c:pt>
                <c:pt idx="93">
                  <c:v>24654.088867962506</c:v>
                </c:pt>
                <c:pt idx="94">
                  <c:v>24666.965486783713</c:v>
                </c:pt>
                <c:pt idx="95">
                  <c:v>24676.669693944634</c:v>
                </c:pt>
                <c:pt idx="96">
                  <c:v>24683.981424390706</c:v>
                </c:pt>
                <c:pt idx="97">
                  <c:v>24689.489582075796</c:v>
                </c:pt>
                <c:pt idx="98">
                  <c:v>24693.638519345615</c:v>
                </c:pt>
                <c:pt idx="99">
                  <c:v>24696.763342366979</c:v>
                </c:pt>
                <c:pt idx="100">
                  <c:v>24699.116669972147</c:v>
                </c:pt>
                <c:pt idx="101">
                  <c:v>24700.888881509723</c:v>
                </c:pt>
                <c:pt idx="102">
                  <c:v>24702.223419102193</c:v>
                </c:pt>
                <c:pt idx="103">
                  <c:v>24703.228341604692</c:v>
                </c:pt>
                <c:pt idx="104">
                  <c:v>24703.985042364446</c:v>
                </c:pt>
                <c:pt idx="105">
                  <c:v>24705.975011296989</c:v>
                </c:pt>
                <c:pt idx="106">
                  <c:v>24706.24804136507</c:v>
                </c:pt>
                <c:pt idx="107">
                  <c:v>24706.285498998466</c:v>
                </c:pt>
                <c:pt idx="108">
                  <c:v>24706.290637843045</c:v>
                </c:pt>
                <c:pt idx="109">
                  <c:v>24706.291342844459</c:v>
                </c:pt>
                <c:pt idx="110">
                  <c:v>24706.291439564036</c:v>
                </c:pt>
                <c:pt idx="111">
                  <c:v>24706.291452833055</c:v>
                </c:pt>
                <c:pt idx="112">
                  <c:v>24706.291454653438</c:v>
                </c:pt>
              </c:numCache>
            </c:numRef>
          </c:yVal>
          <c:smooth val="0"/>
        </c:ser>
        <c:dLbls>
          <c:showLegendKey val="0"/>
          <c:showVal val="0"/>
          <c:showCatName val="0"/>
          <c:showSerName val="0"/>
          <c:showPercent val="0"/>
          <c:showBubbleSize val="0"/>
        </c:dLbls>
        <c:axId val="805524608"/>
        <c:axId val="805522648"/>
      </c:scatterChart>
      <c:valAx>
        <c:axId val="805524608"/>
        <c:scaling>
          <c:orientation val="minMax"/>
          <c:max val="43972"/>
          <c:min val="43883"/>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22648"/>
        <c:crosses val="autoZero"/>
        <c:crossBetween val="midCat"/>
        <c:majorUnit val="7"/>
        <c:minorUnit val="3.5"/>
      </c:valAx>
      <c:valAx>
        <c:axId val="805522648"/>
        <c:scaling>
          <c:logBase val="10"/>
          <c:orientation val="minMax"/>
          <c:max val="10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layout>
            <c:manualLayout>
              <c:xMode val="edge"/>
              <c:yMode val="edge"/>
              <c:x val="2.0513981397083016E-2"/>
              <c:y val="0.33106856205814034"/>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24608"/>
        <c:crosses val="autoZero"/>
        <c:crossBetween val="midCat"/>
      </c:valAx>
      <c:spPr>
        <a:noFill/>
        <a:ln>
          <a:noFill/>
        </a:ln>
        <a:effectLst/>
      </c:spPr>
    </c:plotArea>
    <c:legend>
      <c:legendPos val="b"/>
      <c:layout>
        <c:manualLayout>
          <c:xMode val="edge"/>
          <c:yMode val="edge"/>
          <c:x val="0.34994450224267637"/>
          <c:y val="0.68066692150958596"/>
          <c:w val="0.15510721118614859"/>
          <c:h val="0.12119309215726942"/>
        </c:manualLayout>
      </c:layout>
      <c:overlay val="0"/>
      <c:spPr>
        <a:solidFill>
          <a:schemeClr val="bg1">
            <a:alpha val="70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myData!$EX$15</c:f>
          <c:strCache>
            <c:ptCount val="1"/>
            <c:pt idx="0">
              <c:v>COVID19 China P(t) = b / {d+[( b/Po - d ) ]* exp(-b*t)}
b=0.221, d=2.69E-06, P0=.639, r2=0.9947, Limit=571  =&gt;82.1 k cases 
 (Fit: Wed 22-Jan - Sat 02-May)</c:v>
            </c:pt>
          </c:strCache>
        </c:strRef>
      </c:tx>
      <c:layout>
        <c:manualLayout>
          <c:xMode val="edge"/>
          <c:yMode val="edge"/>
          <c:x val="0.33870089262443082"/>
          <c:y val="3.3394721333211939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72948795157434"/>
          <c:y val="0.16483581859961077"/>
          <c:w val="0.8680596661028116"/>
          <c:h val="0.67768374738733961"/>
        </c:manualLayout>
      </c:layout>
      <c:scatterChart>
        <c:scatterStyle val="lineMarker"/>
        <c:varyColors val="0"/>
        <c:ser>
          <c:idx val="0"/>
          <c:order val="0"/>
          <c:tx>
            <c:v>China Logi Prediction</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myData!$B$11:$B$124</c:f>
              <c:numCache>
                <c:formatCode>m/d/yyyy</c:formatCode>
                <c:ptCount val="114"/>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pt idx="102">
                  <c:v>43954</c:v>
                </c:pt>
                <c:pt idx="103">
                  <c:v>43955</c:v>
                </c:pt>
                <c:pt idx="104">
                  <c:v>43956</c:v>
                </c:pt>
                <c:pt idx="105">
                  <c:v>43957</c:v>
                </c:pt>
                <c:pt idx="106">
                  <c:v>43964</c:v>
                </c:pt>
                <c:pt idx="107">
                  <c:v>43971</c:v>
                </c:pt>
                <c:pt idx="108">
                  <c:v>43978</c:v>
                </c:pt>
                <c:pt idx="109">
                  <c:v>43985</c:v>
                </c:pt>
                <c:pt idx="110">
                  <c:v>43992</c:v>
                </c:pt>
                <c:pt idx="111">
                  <c:v>43999</c:v>
                </c:pt>
                <c:pt idx="112">
                  <c:v>44006</c:v>
                </c:pt>
                <c:pt idx="113">
                  <c:v>44013</c:v>
                </c:pt>
              </c:numCache>
            </c:numRef>
          </c:xVal>
          <c:yVal>
            <c:numRef>
              <c:f>myData!$BS$11:$BS$124</c:f>
              <c:numCache>
                <c:formatCode>0</c:formatCode>
                <c:ptCount val="114"/>
                <c:pt idx="0">
                  <c:v>10.868519722956787</c:v>
                </c:pt>
                <c:pt idx="1">
                  <c:v>13.491154974958885</c:v>
                </c:pt>
                <c:pt idx="2">
                  <c:v>16.727733215250691</c:v>
                </c:pt>
                <c:pt idx="3">
                  <c:v>20.71191055118247</c:v>
                </c:pt>
                <c:pt idx="4">
                  <c:v>25.601167451466242</c:v>
                </c:pt>
                <c:pt idx="5">
                  <c:v>31.578301271805465</c:v>
                </c:pt>
                <c:pt idx="6">
                  <c:v>38.851439541667453</c:v>
                </c:pt>
                <c:pt idx="7">
                  <c:v>47.65163719860908</c:v>
                </c:pt>
                <c:pt idx="8">
                  <c:v>58.226880117398544</c:v>
                </c:pt>
                <c:pt idx="9">
                  <c:v>70.831172762397586</c:v>
                </c:pt>
                <c:pt idx="10">
                  <c:v>85.707482660423508</c:v>
                </c:pt>
                <c:pt idx="11">
                  <c:v>103.06384196214357</c:v>
                </c:pt>
                <c:pt idx="12">
                  <c:v>123.04306270425411</c:v>
                </c:pt>
                <c:pt idx="13">
                  <c:v>145.68839489623994</c:v>
                </c:pt>
                <c:pt idx="14">
                  <c:v>170.90985254174805</c:v>
                </c:pt>
                <c:pt idx="15">
                  <c:v>198.45821767457792</c:v>
                </c:pt>
                <c:pt idx="16">
                  <c:v>227.91483286633218</c:v>
                </c:pt>
                <c:pt idx="17">
                  <c:v>258.70403839683513</c:v>
                </c:pt>
                <c:pt idx="18">
                  <c:v>290.13093120725978</c:v>
                </c:pt>
                <c:pt idx="19">
                  <c:v>321.44076075413716</c:v>
                </c:pt>
                <c:pt idx="20">
                  <c:v>351.88989791682252</c:v>
                </c:pt>
                <c:pt idx="21">
                  <c:v>380.81461867292461</c:v>
                </c:pt>
                <c:pt idx="22">
                  <c:v>407.68465547464774</c:v>
                </c:pt>
                <c:pt idx="23">
                  <c:v>432.13324734217525</c:v>
                </c:pt>
                <c:pt idx="24">
                  <c:v>453.96208373003407</c:v>
                </c:pt>
                <c:pt idx="25">
                  <c:v>473.12540097660946</c:v>
                </c:pt>
                <c:pt idx="26">
                  <c:v>489.70077826957993</c:v>
                </c:pt>
                <c:pt idx="27">
                  <c:v>503.85460617942937</c:v>
                </c:pt>
                <c:pt idx="28">
                  <c:v>515.80860530846223</c:v>
                </c:pt>
                <c:pt idx="29">
                  <c:v>525.81135654885622</c:v>
                </c:pt>
                <c:pt idx="30">
                  <c:v>534.11652450142412</c:v>
                </c:pt>
                <c:pt idx="31">
                  <c:v>540.96779938546808</c:v>
                </c:pt>
                <c:pt idx="32">
                  <c:v>546.58963692827797</c:v>
                </c:pt>
                <c:pt idx="33">
                  <c:v>551.18250340062309</c:v>
                </c:pt>
                <c:pt idx="34">
                  <c:v>554.92133035244581</c:v>
                </c:pt>
                <c:pt idx="35">
                  <c:v>557.95607020857074</c:v>
                </c:pt>
                <c:pt idx="36">
                  <c:v>560.41349453983617</c:v>
                </c:pt>
                <c:pt idx="37">
                  <c:v>562.39962003209564</c:v>
                </c:pt>
                <c:pt idx="38">
                  <c:v>564.00235065620643</c:v>
                </c:pt>
                <c:pt idx="39">
                  <c:v>565.29407984662555</c:v>
                </c:pt>
                <c:pt idx="40">
                  <c:v>566.3341072855294</c:v>
                </c:pt>
                <c:pt idx="41">
                  <c:v>567.17079952997778</c:v>
                </c:pt>
                <c:pt idx="42">
                  <c:v>567.84347126979185</c:v>
                </c:pt>
                <c:pt idx="43">
                  <c:v>568.383992401471</c:v>
                </c:pt>
                <c:pt idx="44">
                  <c:v>568.81814159589476</c:v>
                </c:pt>
                <c:pt idx="45">
                  <c:v>569.16673421740654</c:v>
                </c:pt>
                <c:pt idx="46">
                  <c:v>569.44655453215466</c:v>
                </c:pt>
                <c:pt idx="47">
                  <c:v>569.67112128305757</c:v>
                </c:pt>
                <c:pt idx="48">
                  <c:v>569.85131330535239</c:v>
                </c:pt>
                <c:pt idx="49">
                  <c:v>569.99587878148066</c:v>
                </c:pt>
                <c:pt idx="50">
                  <c:v>570.11184850566463</c:v>
                </c:pt>
                <c:pt idx="51">
                  <c:v>570.20487043677394</c:v>
                </c:pt>
                <c:pt idx="52">
                  <c:v>570.279480008836</c:v>
                </c:pt>
                <c:pt idx="53">
                  <c:v>570.33931820022906</c:v>
                </c:pt>
                <c:pt idx="54">
                  <c:v>570.38730724288246</c:v>
                </c:pt>
                <c:pt idx="55">
                  <c:v>570.42579206185792</c:v>
                </c:pt>
                <c:pt idx="56">
                  <c:v>570.45665404044689</c:v>
                </c:pt>
                <c:pt idx="57">
                  <c:v>570.48140246869946</c:v>
                </c:pt>
                <c:pt idx="58">
                  <c:v>570.50124801648474</c:v>
                </c:pt>
                <c:pt idx="59">
                  <c:v>570.51716174089461</c:v>
                </c:pt>
                <c:pt idx="60">
                  <c:v>570.52992246093152</c:v>
                </c:pt>
                <c:pt idx="61">
                  <c:v>570.54015478304188</c:v>
                </c:pt>
                <c:pt idx="62">
                  <c:v>570.54835961625952</c:v>
                </c:pt>
                <c:pt idx="63">
                  <c:v>570.55493865631706</c:v>
                </c:pt>
                <c:pt idx="64">
                  <c:v>570.56021402812303</c:v>
                </c:pt>
                <c:pt idx="65">
                  <c:v>570.56444404236015</c:v>
                </c:pt>
                <c:pt idx="66">
                  <c:v>570.56783583388358</c:v>
                </c:pt>
                <c:pt idx="67">
                  <c:v>570.57055549831978</c:v>
                </c:pt>
                <c:pt idx="68">
                  <c:v>570.57273622166133</c:v>
                </c:pt>
                <c:pt idx="69">
                  <c:v>570.5744847999548</c:v>
                </c:pt>
                <c:pt idx="70">
                  <c:v>570.57588686770805</c:v>
                </c:pt>
                <c:pt idx="71">
                  <c:v>570.57701109065022</c:v>
                </c:pt>
                <c:pt idx="72">
                  <c:v>570.5779125279106</c:v>
                </c:pt>
                <c:pt idx="73">
                  <c:v>570.57863532810654</c:v>
                </c:pt>
                <c:pt idx="74">
                  <c:v>570.57921489126818</c:v>
                </c:pt>
                <c:pt idx="75">
                  <c:v>570.57967960241263</c:v>
                </c:pt>
                <c:pt idx="76">
                  <c:v>570.58005222162615</c:v>
                </c:pt>
                <c:pt idx="77">
                  <c:v>570.58035099870449</c:v>
                </c:pt>
                <c:pt idx="78">
                  <c:v>570.58059056692412</c:v>
                </c:pt>
                <c:pt idx="79">
                  <c:v>570.5807826597096</c:v>
                </c:pt>
                <c:pt idx="80">
                  <c:v>570.58093668528409</c:v>
                </c:pt>
                <c:pt idx="81">
                  <c:v>570.58106018744843</c:v>
                </c:pt>
                <c:pt idx="82">
                  <c:v>570.58115921504941</c:v>
                </c:pt>
                <c:pt idx="83">
                  <c:v>570.58123861823265</c:v>
                </c:pt>
                <c:pt idx="84">
                  <c:v>570.5813022859885</c:v>
                </c:pt>
                <c:pt idx="85">
                  <c:v>570.58135333662358</c:v>
                </c:pt>
                <c:pt idx="86">
                  <c:v>570.58139427048729</c:v>
                </c:pt>
                <c:pt idx="87">
                  <c:v>570.58142709243248</c:v>
                </c:pt>
                <c:pt idx="88">
                  <c:v>570.58145341000818</c:v>
                </c:pt>
                <c:pt idx="89">
                  <c:v>570.58147451219361</c:v>
                </c:pt>
                <c:pt idx="90">
                  <c:v>570.58149143252979</c:v>
                </c:pt>
                <c:pt idx="91">
                  <c:v>570.5815049997392</c:v>
                </c:pt>
                <c:pt idx="92">
                  <c:v>570.58151587831571</c:v>
                </c:pt>
                <c:pt idx="93">
                  <c:v>570.58152460106919</c:v>
                </c:pt>
                <c:pt idx="94">
                  <c:v>570.58153159522226</c:v>
                </c:pt>
                <c:pt idx="95">
                  <c:v>570.58153720333405</c:v>
                </c:pt>
                <c:pt idx="96">
                  <c:v>570.58154170007833</c:v>
                </c:pt>
                <c:pt idx="97">
                  <c:v>570.58154530569641</c:v>
                </c:pt>
                <c:pt idx="98">
                  <c:v>570.58154819678396</c:v>
                </c:pt>
                <c:pt idx="99">
                  <c:v>570.58155051494043</c:v>
                </c:pt>
                <c:pt idx="100">
                  <c:v>570.58155237370465</c:v>
                </c:pt>
                <c:pt idx="101">
                  <c:v>570.58155386411488</c:v>
                </c:pt>
                <c:pt idx="102">
                  <c:v>570.58155505916829</c:v>
                </c:pt>
                <c:pt idx="103">
                  <c:v>570.58155601739634</c:v>
                </c:pt>
                <c:pt idx="104">
                  <c:v>570.58155678573087</c:v>
                </c:pt>
                <c:pt idx="105">
                  <c:v>570.58155740180359</c:v>
                </c:pt>
                <c:pt idx="106">
                  <c:v>570.58155936333537</c:v>
                </c:pt>
                <c:pt idx="107">
                  <c:v>570.58155978132538</c:v>
                </c:pt>
                <c:pt idx="108">
                  <c:v>570.58155987039652</c:v>
                </c:pt>
                <c:pt idx="109">
                  <c:v>570.58155988937688</c:v>
                </c:pt>
                <c:pt idx="110">
                  <c:v>570.58155989342163</c:v>
                </c:pt>
                <c:pt idx="111">
                  <c:v>570.58155989428349</c:v>
                </c:pt>
                <c:pt idx="112">
                  <c:v>570.58155989446709</c:v>
                </c:pt>
                <c:pt idx="113">
                  <c:v>570.5815598945062</c:v>
                </c:pt>
              </c:numCache>
            </c:numRef>
          </c:yVal>
          <c:smooth val="0"/>
        </c:ser>
        <c:ser>
          <c:idx val="1"/>
          <c:order val="1"/>
          <c:tx>
            <c:v>China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myData!ChinaDates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myData!ChinaCases</c:f>
              <c:numCache>
                <c:formatCode>0.0</c:formatCode>
                <c:ptCount val="102"/>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c:v>536.64784316048156</c:v>
                </c:pt>
                <c:pt idx="34">
                  <c:v>540.21201689646796</c:v>
                </c:pt>
                <c:pt idx="35">
                  <c:v>543.07447221659743</c:v>
                </c:pt>
                <c:pt idx="36">
                  <c:v>546.08977709265605</c:v>
                </c:pt>
                <c:pt idx="37">
                  <c:v>548.36862501741928</c:v>
                </c:pt>
                <c:pt idx="38">
                  <c:v>551.34224365095179</c:v>
                </c:pt>
                <c:pt idx="39">
                  <c:v>555.34412293346293</c:v>
                </c:pt>
                <c:pt idx="40">
                  <c:v>556.7614551793522</c:v>
                </c:pt>
                <c:pt idx="41">
                  <c:v>557.6299185653138</c:v>
                </c:pt>
                <c:pt idx="42">
                  <c:v>558.49838195127541</c:v>
                </c:pt>
                <c:pt idx="43">
                  <c:v>559.54748572151709</c:v>
                </c:pt>
                <c:pt idx="44">
                  <c:v>560.61048490593407</c:v>
                </c:pt>
                <c:pt idx="45">
                  <c:v>561.1663014729495</c:v>
                </c:pt>
                <c:pt idx="46">
                  <c:v>561.5345299485972</c:v>
                </c:pt>
                <c:pt idx="47">
                  <c:v>561.79159511084185</c:v>
                </c:pt>
                <c:pt idx="48">
                  <c:v>561.97918320220958</c:v>
                </c:pt>
                <c:pt idx="49">
                  <c:v>562.21540524319107</c:v>
                </c:pt>
                <c:pt idx="50">
                  <c:v>562.29183002115576</c:v>
                </c:pt>
                <c:pt idx="51">
                  <c:v>562.38215021329574</c:v>
                </c:pt>
                <c:pt idx="52">
                  <c:v>562.60447684010194</c:v>
                </c:pt>
                <c:pt idx="53">
                  <c:v>562.78511722438191</c:v>
                </c:pt>
                <c:pt idx="54">
                  <c:v>562.99354843701269</c:v>
                </c:pt>
                <c:pt idx="55">
                  <c:v>563.16724111420501</c:v>
                </c:pt>
                <c:pt idx="56">
                  <c:v>563.47294022606354</c:v>
                </c:pt>
                <c:pt idx="57">
                  <c:v>563.84811640879889</c:v>
                </c:pt>
                <c:pt idx="58">
                  <c:v>564.50120087504206</c:v>
                </c:pt>
                <c:pt idx="59">
                  <c:v>564.88332476486516</c:v>
                </c:pt>
                <c:pt idx="60">
                  <c:v>565.78652668626523</c:v>
                </c:pt>
                <c:pt idx="61">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572.71339065269501</c:v>
                </c:pt>
                <c:pt idx="72">
                  <c:v>573.26225951262268</c:v>
                </c:pt>
                <c:pt idx="73">
                  <c:v>573.48458613942887</c:v>
                </c:pt>
                <c:pt idx="74">
                  <c:v>573.89450085760279</c:v>
                </c:pt>
                <c:pt idx="75">
                  <c:v>574.33220640412742</c:v>
                </c:pt>
                <c:pt idx="76">
                  <c:v>574.70043487977512</c:v>
                </c:pt>
                <c:pt idx="77">
                  <c:v>575.33267622475512</c:v>
                </c:pt>
                <c:pt idx="78">
                  <c:v>575.84680654924443</c:v>
                </c:pt>
                <c:pt idx="79">
                  <c:v>576.2497735603306</c:v>
                </c:pt>
                <c:pt idx="80">
                  <c:v>576.75695617773215</c:v>
                </c:pt>
                <c:pt idx="81">
                  <c:v>577.59068102825529</c:v>
                </c:pt>
                <c:pt idx="82">
                  <c:v>578.13954988818307</c:v>
                </c:pt>
                <c:pt idx="83">
                  <c:v>578.78568664733848</c:v>
                </c:pt>
                <c:pt idx="84">
                  <c:v>579.13307200172312</c:v>
                </c:pt>
                <c:pt idx="85">
                  <c:v>579.45961423484471</c:v>
                </c:pt>
                <c:pt idx="86">
                  <c:v>581.93994566515107</c:v>
                </c:pt>
                <c:pt idx="87">
                  <c:v>582.1275337565188</c:v>
                </c:pt>
                <c:pt idx="88">
                  <c:v>582.25259248409725</c:v>
                </c:pt>
                <c:pt idx="89">
                  <c:v>582.33596496914959</c:v>
                </c:pt>
                <c:pt idx="90">
                  <c:v>582.58608242430648</c:v>
                </c:pt>
                <c:pt idx="91">
                  <c:v>582.69029803062188</c:v>
                </c:pt>
                <c:pt idx="92">
                  <c:v>582.80146134402491</c:v>
                </c:pt>
                <c:pt idx="93">
                  <c:v>582.90567695034031</c:v>
                </c:pt>
                <c:pt idx="94">
                  <c:v>582.97515402121724</c:v>
                </c:pt>
                <c:pt idx="95">
                  <c:v>582.99599714248041</c:v>
                </c:pt>
                <c:pt idx="96">
                  <c:v>583.03768338500652</c:v>
                </c:pt>
                <c:pt idx="97">
                  <c:v>583.19053294093578</c:v>
                </c:pt>
                <c:pt idx="98">
                  <c:v>583.21832376928649</c:v>
                </c:pt>
                <c:pt idx="99">
                  <c:v>583.30169625433882</c:v>
                </c:pt>
                <c:pt idx="100">
                  <c:v>583.32253937560188</c:v>
                </c:pt>
                <c:pt idx="101">
                  <c:v>583.32253937560188</c:v>
                </c:pt>
              </c:numCache>
            </c:numRef>
          </c:yVal>
          <c:smooth val="0"/>
        </c:ser>
        <c:dLbls>
          <c:showLegendKey val="0"/>
          <c:showVal val="0"/>
          <c:showCatName val="0"/>
          <c:showSerName val="0"/>
          <c:showPercent val="0"/>
          <c:showBubbleSize val="0"/>
        </c:dLbls>
        <c:axId val="805526176"/>
        <c:axId val="805526568"/>
      </c:scatterChart>
      <c:valAx>
        <c:axId val="805526176"/>
        <c:scaling>
          <c:orientation val="minMax"/>
          <c:max val="43942"/>
          <c:min val="438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26568"/>
        <c:crosses val="autoZero"/>
        <c:crossBetween val="midCat"/>
        <c:majorUnit val="14"/>
        <c:minorUnit val="7"/>
      </c:valAx>
      <c:valAx>
        <c:axId val="805526568"/>
        <c:scaling>
          <c:orientation val="minMax"/>
          <c:min val="5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myData!lblVertLin</c:f>
              <c:strCache>
                <c:ptCount val="1"/>
                <c:pt idx="0">
                  <c:v>Cases per 10 M population</c:v>
                </c:pt>
              </c:strCache>
            </c:strRef>
          </c:tx>
          <c:layout>
            <c:manualLayout>
              <c:xMode val="edge"/>
              <c:yMode val="edge"/>
              <c:x val="3.1192359866015013E-2"/>
              <c:y val="0.31082317659398168"/>
            </c:manualLayout>
          </c:layout>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26176"/>
        <c:crosses val="autoZero"/>
        <c:crossBetween val="midCat"/>
      </c:valAx>
      <c:spPr>
        <a:noFill/>
        <a:ln>
          <a:noFill/>
        </a:ln>
        <a:effectLst/>
      </c:spPr>
    </c:plotArea>
    <c:legend>
      <c:legendPos val="r"/>
      <c:layout>
        <c:manualLayout>
          <c:xMode val="edge"/>
          <c:yMode val="edge"/>
          <c:x val="0.79090512430477899"/>
          <c:y val="0.33565589895072867"/>
          <c:w val="0.12872628493749097"/>
          <c:h val="0.185236837927463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myData!$EX$11</c:f>
          <c:strCache>
            <c:ptCount val="1"/>
            <c:pt idx="0">
              <c:v>COVID19 Australia P(t) = b / {d+[( b/Po - d ) ]* exp(-b*t)}
b=0.226, d=3.40E-05, P0=.639, r2=0.9994, Limit=2.62 k=&gt;6.64 k cases 
 (Fit: Sat 25-Jan - Sun 03-May)</c:v>
            </c:pt>
          </c:strCache>
        </c:strRef>
      </c:tx>
      <c:layout>
        <c:manualLayout>
          <c:xMode val="edge"/>
          <c:yMode val="edge"/>
          <c:x val="8.1045088920980987E-2"/>
          <c:y val="1.25230204999544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250603731408037"/>
          <c:y val="0.16748307337931242"/>
          <c:w val="0.43460159270882204"/>
          <c:h val="0.67322394151716547"/>
        </c:manualLayout>
      </c:layout>
      <c:scatterChart>
        <c:scatterStyle val="lineMarker"/>
        <c:varyColors val="0"/>
        <c:ser>
          <c:idx val="1"/>
          <c:order val="0"/>
          <c:tx>
            <c:v>Au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myData!AuDates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myData!AuCases</c:f>
              <c:numCache>
                <c:formatCode>0.000</c:formatCode>
                <c:ptCount val="9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2114.0198706828578</c:v>
                </c:pt>
                <c:pt idx="69">
                  <c:v>2188.929190979341</c:v>
                </c:pt>
                <c:pt idx="70">
                  <c:v>2244.5197918309414</c:v>
                </c:pt>
                <c:pt idx="71">
                  <c:v>2286.7055669452766</c:v>
                </c:pt>
                <c:pt idx="72">
                  <c:v>2333.6224570257059</c:v>
                </c:pt>
                <c:pt idx="73">
                  <c:v>2376.5967513010564</c:v>
                </c:pt>
                <c:pt idx="74">
                  <c:v>2412.474373127267</c:v>
                </c:pt>
                <c:pt idx="75">
                  <c:v>2454.6601482416022</c:v>
                </c:pt>
                <c:pt idx="76">
                  <c:v>2487.7779530042581</c:v>
                </c:pt>
                <c:pt idx="77">
                  <c:v>2496.0574041949221</c:v>
                </c:pt>
                <c:pt idx="78">
                  <c:v>2515.7703832203124</c:v>
                </c:pt>
                <c:pt idx="79">
                  <c:v>2530.752247279609</c:v>
                </c:pt>
                <c:pt idx="80">
                  <c:v>2544.9455921778899</c:v>
                </c:pt>
                <c:pt idx="81">
                  <c:v>2555.9848604321087</c:v>
                </c:pt>
                <c:pt idx="82">
                  <c:v>2574.5150607159753</c:v>
                </c:pt>
                <c:pt idx="83">
                  <c:v>2590.2854439362877</c:v>
                </c:pt>
                <c:pt idx="84">
                  <c:v>2606.8443463176154</c:v>
                </c:pt>
                <c:pt idx="85">
                  <c:v>2611.1812017032016</c:v>
                </c:pt>
                <c:pt idx="86">
                  <c:v>2619.8549124743731</c:v>
                </c:pt>
                <c:pt idx="87">
                  <c:v>2622.6147295379278</c:v>
                </c:pt>
                <c:pt idx="88">
                  <c:v>2625.7688061819904</c:v>
                </c:pt>
                <c:pt idx="89">
                  <c:v>2631.6826998896072</c:v>
                </c:pt>
                <c:pt idx="90">
                  <c:v>2638.3851127582402</c:v>
                </c:pt>
                <c:pt idx="91">
                  <c:v>2647.0588235294117</c:v>
                </c:pt>
                <c:pt idx="92">
                  <c:v>2649.0301214319506</c:v>
                </c:pt>
                <c:pt idx="93">
                  <c:v>2654.54975555906</c:v>
                </c:pt>
                <c:pt idx="94">
                  <c:v>2659.6751301056615</c:v>
                </c:pt>
                <c:pt idx="95">
                  <c:v>2662.8292067497241</c:v>
                </c:pt>
                <c:pt idx="96">
                  <c:v>2667.1660621353099</c:v>
                </c:pt>
                <c:pt idx="97">
                  <c:v>2672.6856962624192</c:v>
                </c:pt>
                <c:pt idx="98">
                  <c:v>2679.7823687115597</c:v>
                </c:pt>
              </c:numCache>
            </c:numRef>
          </c:yVal>
          <c:smooth val="0"/>
        </c:ser>
        <c:ser>
          <c:idx val="0"/>
          <c:order val="1"/>
          <c:tx>
            <c:strRef>
              <c:f>myData!AuSeries</c:f>
              <c:strCache>
                <c:ptCount val="1"/>
                <c:pt idx="0">
                  <c:v>Australia Limit 2.62 k r^2=99.94%</c:v>
                </c:pt>
              </c:strCache>
            </c:strRef>
          </c:tx>
          <c:spPr>
            <a:ln w="19050" cap="rnd">
              <a:solidFill>
                <a:schemeClr val="accent1"/>
              </a:solidFill>
              <a:prstDash val="sysDash"/>
              <a:round/>
            </a:ln>
            <a:effectLst/>
          </c:spPr>
          <c:marker>
            <c:symbol val="none"/>
          </c:marker>
          <c:xVal>
            <c:numRef>
              <c:f>myData!AuLogiDates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myData!AuLogi</c:f>
              <c:numCache>
                <c:formatCode>0.000</c:formatCode>
                <c:ptCount val="110"/>
                <c:pt idx="0">
                  <c:v>2.3188278729988315E-3</c:v>
                </c:pt>
                <c:pt idx="1">
                  <c:v>2.9073388959562382E-3</c:v>
                </c:pt>
                <c:pt idx="2">
                  <c:v>3.6452119074376014E-3</c:v>
                </c:pt>
                <c:pt idx="3">
                  <c:v>4.5703543259517166E-3</c:v>
                </c:pt>
                <c:pt idx="4">
                  <c:v>5.730294238788158E-3</c:v>
                </c:pt>
                <c:pt idx="5">
                  <c:v>7.1846220294552038E-3</c:v>
                </c:pt>
                <c:pt idx="6">
                  <c:v>9.0080516429624207E-3</c:v>
                </c:pt>
                <c:pt idx="7">
                  <c:v>1.1294258728326371E-2</c:v>
                </c:pt>
                <c:pt idx="8">
                  <c:v>1.416069279148187E-2</c:v>
                </c:pt>
                <c:pt idx="9">
                  <c:v>1.775461050302966E-2</c:v>
                </c:pt>
                <c:pt idx="10">
                  <c:v>2.2260639997440781E-2</c:v>
                </c:pt>
                <c:pt idx="11">
                  <c:v>2.7910264585124179E-2</c:v>
                </c:pt>
                <c:pt idx="12">
                  <c:v>3.4993712799062618E-2</c:v>
                </c:pt>
                <c:pt idx="13">
                  <c:v>4.3874865151404242E-2</c:v>
                </c:pt>
                <c:pt idx="14">
                  <c:v>5.5009942689421588E-2</c:v>
                </c:pt>
                <c:pt idx="15">
                  <c:v>6.897093630732111E-2</c:v>
                </c:pt>
                <c:pt idx="16">
                  <c:v>8.6474978662865146E-2</c:v>
                </c:pt>
                <c:pt idx="17">
                  <c:v>0.10842116480668629</c:v>
                </c:pt>
                <c:pt idx="18">
                  <c:v>0.13593670867268079</c:v>
                </c:pt>
                <c:pt idx="19">
                  <c:v>0.17043479963630248</c:v>
                </c:pt>
                <c:pt idx="20">
                  <c:v>0.21368712039924725</c:v>
                </c:pt>
                <c:pt idx="21">
                  <c:v>0.26791473433919627</c:v>
                </c:pt>
                <c:pt idx="22" formatCode="0.0">
                  <c:v>0.33590198422618112</c:v>
                </c:pt>
                <c:pt idx="23" formatCode="0.0">
                  <c:v>0.42113921075668181</c:v>
                </c:pt>
                <c:pt idx="24" formatCode="0.0">
                  <c:v>0.52800155537659232</c:v>
                </c:pt>
                <c:pt idx="25" formatCode="0.0">
                  <c:v>0.66197292705905852</c:v>
                </c:pt>
                <c:pt idx="26" formatCode="0.0">
                  <c:v>0.82992647232639705</c:v>
                </c:pt>
                <c:pt idx="27" formatCode="0.0">
                  <c:v>1.040475695390817</c:v>
                </c:pt>
                <c:pt idx="28" formatCode="0.0">
                  <c:v>1.3044138553905029</c:v>
                </c:pt>
                <c:pt idx="29" formatCode="0.0">
                  <c:v>1.6352635682569125</c:v>
                </c:pt>
                <c:pt idx="30" formatCode="0.0">
                  <c:v>2.0499638344026363</c:v>
                </c:pt>
                <c:pt idx="31" formatCode="0.0">
                  <c:v>2.5697281965668943</c:v>
                </c:pt>
                <c:pt idx="32" formatCode="0">
                  <c:v>3.2211156198200408</c:v>
                </c:pt>
                <c:pt idx="33" formatCode="0">
                  <c:v>4.0373651990027684</c:v>
                </c:pt>
                <c:pt idx="34" formatCode="0">
                  <c:v>5.0600571398640071</c:v>
                </c:pt>
                <c:pt idx="35" formatCode="0">
                  <c:v>6.3411757664315225</c:v>
                </c:pt>
                <c:pt idx="36" formatCode="0">
                  <c:v>7.945665573452076</c:v>
                </c:pt>
                <c:pt idx="37" formatCode="0">
                  <c:v>9.9545882915729518</c:v>
                </c:pt>
                <c:pt idx="38" formatCode="0">
                  <c:v>12.46900680692597</c:v>
                </c:pt>
                <c:pt idx="39" formatCode="0">
                  <c:v>15.614739014416774</c:v>
                </c:pt>
                <c:pt idx="40" formatCode="0">
                  <c:v>19.548138426621428</c:v>
                </c:pt>
                <c:pt idx="41" formatCode="0">
                  <c:v>24.463063723787876</c:v>
                </c:pt>
                <c:pt idx="42" formatCode="0">
                  <c:v>30.599188468791834</c:v>
                </c:pt>
                <c:pt idx="43" formatCode="0">
                  <c:v>38.251762508268072</c:v>
                </c:pt>
                <c:pt idx="44" formatCode="0">
                  <c:v>47.782849476414434</c:v>
                </c:pt>
                <c:pt idx="45" formatCode="0">
                  <c:v>59.633903428766914</c:v>
                </c:pt>
                <c:pt idx="46" formatCode="0">
                  <c:v>74.339275212779953</c:v>
                </c:pt>
                <c:pt idx="47" formatCode="0">
                  <c:v>92.539809038600183</c:v>
                </c:pt>
                <c:pt idx="48" formatCode="0">
                  <c:v>114.99504911497115</c:v>
                </c:pt>
                <c:pt idx="49" formatCode="0">
                  <c:v>142.59167847691626</c:v>
                </c:pt>
                <c:pt idx="50" formatCode="0">
                  <c:v>176.34464318788378</c:v>
                </c:pt>
                <c:pt idx="51" formatCode="0">
                  <c:v>217.38604211570967</c:v>
                </c:pt>
                <c:pt idx="52" formatCode="0">
                  <c:v>266.93550945431411</c:v>
                </c:pt>
                <c:pt idx="53" formatCode="0">
                  <c:v>326.24496017939964</c:v>
                </c:pt>
                <c:pt idx="54" formatCode="0">
                  <c:v>396.51101380735787</c:v>
                </c:pt>
                <c:pt idx="55" formatCode="0">
                  <c:v>478.75126813074223</c:v>
                </c:pt>
                <c:pt idx="56" formatCode="0">
                  <c:v>573.64699806741282</c:v>
                </c:pt>
                <c:pt idx="57" formatCode="0">
                  <c:v>681.36530092804173</c:v>
                </c:pt>
                <c:pt idx="58" formatCode="0">
                  <c:v>801.38701807846428</c:v>
                </c:pt>
                <c:pt idx="59" formatCode="0">
                  <c:v>932.3791225046034</c:v>
                </c:pt>
                <c:pt idx="60" formatCode="0">
                  <c:v>1072.1553405639772</c:v>
                </c:pt>
                <c:pt idx="61" formatCode="0">
                  <c:v>1217.7599744150418</c:v>
                </c:pt>
                <c:pt idx="62" formatCode="0">
                  <c:v>1365.6846659933269</c:v>
                </c:pt>
                <c:pt idx="63" formatCode="0">
                  <c:v>1512.1917398417318</c:v>
                </c:pt>
                <c:pt idx="64" formatCode="0">
                  <c:v>1653.6842699547524</c:v>
                </c:pt>
                <c:pt idx="65" formatCode="0">
                  <c:v>1787.0473001577361</c:v>
                </c:pt>
                <c:pt idx="66" formatCode="0">
                  <c:v>1909.8944188893768</c:v>
                </c:pt>
                <c:pt idx="67" formatCode="0">
                  <c:v>2020.6843145817807</c:v>
                </c:pt>
                <c:pt idx="68" formatCode="0">
                  <c:v>2118.7088589502237</c:v>
                </c:pt>
                <c:pt idx="69" formatCode="0">
                  <c:v>2203.9830009755624</c:v>
                </c:pt>
                <c:pt idx="70" formatCode="0">
                  <c:v>2277.0795780082394</c:v>
                </c:pt>
                <c:pt idx="71" formatCode="0">
                  <c:v>2338.9499144648839</c:v>
                </c:pt>
                <c:pt idx="72" formatCode="0">
                  <c:v>2390.759841123886</c:v>
                </c:pt>
                <c:pt idx="73" formatCode="0">
                  <c:v>2433.7572283194595</c:v>
                </c:pt>
                <c:pt idx="74" formatCode="0">
                  <c:v>2469.1757865939749</c:v>
                </c:pt>
                <c:pt idx="75" formatCode="0">
                  <c:v>2498.1725018782945</c:v>
                </c:pt>
                <c:pt idx="76" formatCode="0">
                  <c:v>2521.7924473362295</c:v>
                </c:pt>
                <c:pt idx="77" formatCode="0">
                  <c:v>2540.9537923237012</c:v>
                </c:pt>
                <c:pt idx="78" formatCode="0">
                  <c:v>2556.4464565137037</c:v>
                </c:pt>
                <c:pt idx="79" formatCode="0">
                  <c:v>2568.9391450524281</c:v>
                </c:pt>
                <c:pt idx="80" formatCode="0">
                  <c:v>2578.9908973220035</c:v>
                </c:pt>
                <c:pt idx="81" formatCode="0">
                  <c:v>2587.0645111847912</c:v>
                </c:pt>
                <c:pt idx="82" formatCode="0">
                  <c:v>2593.540169122015</c:v>
                </c:pt>
                <c:pt idx="83" formatCode="0">
                  <c:v>2598.7282922214154</c:v>
                </c:pt>
                <c:pt idx="84" formatCode="0">
                  <c:v>2602.8811244210742</c:v>
                </c:pt>
                <c:pt idx="85" formatCode="0">
                  <c:v>2606.2028555843967</c:v>
                </c:pt>
                <c:pt idx="86" formatCode="0">
                  <c:v>2608.8582766121476</c:v>
                </c:pt>
                <c:pt idx="87" formatCode="0">
                  <c:v>2610.9800621511981</c:v>
                </c:pt>
                <c:pt idx="88" formatCode="0">
                  <c:v>2612.6748257001937</c:v>
                </c:pt>
                <c:pt idx="89" formatCode="0">
                  <c:v>2614.028108519648</c:v>
                </c:pt>
                <c:pt idx="90" formatCode="0">
                  <c:v>2615.1084614878873</c:v>
                </c:pt>
                <c:pt idx="91" formatCode="0">
                  <c:v>2615.9707667943894</c:v>
                </c:pt>
                <c:pt idx="92" formatCode="0">
                  <c:v>2616.6589296488069</c:v>
                </c:pt>
                <c:pt idx="93" formatCode="0">
                  <c:v>2617.2080522813549</c:v>
                </c:pt>
                <c:pt idx="94" formatCode="0">
                  <c:v>2617.6461852423276</c:v>
                </c:pt>
                <c:pt idx="95" formatCode="0">
                  <c:v>2617.9957352930619</c:v>
                </c:pt>
                <c:pt idx="96" formatCode="0">
                  <c:v>2618.2745953891331</c:v>
                </c:pt>
                <c:pt idx="97" formatCode="0">
                  <c:v>2618.4970504461385</c:v>
                </c:pt>
                <c:pt idx="98" formatCode="0">
                  <c:v>2618.6745026373965</c:v>
                </c:pt>
                <c:pt idx="99" formatCode="0">
                  <c:v>2618.8160517097999</c:v>
                </c:pt>
                <c:pt idx="100" formatCode="0">
                  <c:v>2618.9289589993732</c:v>
                </c:pt>
                <c:pt idx="101" formatCode="0">
                  <c:v>2619.0190182638667</c:v>
                </c:pt>
                <c:pt idx="102" formatCode="0">
                  <c:v>2619.3010522732375</c:v>
                </c:pt>
                <c:pt idx="103" formatCode="0">
                  <c:v>2619.3589640834371</c:v>
                </c:pt>
                <c:pt idx="104" formatCode="0">
                  <c:v>2619.3708542518293</c:v>
                </c:pt>
                <c:pt idx="105" formatCode="0">
                  <c:v>2619.3732954310976</c:v>
                </c:pt>
                <c:pt idx="106" formatCode="0">
                  <c:v>2619.3737966292401</c:v>
                </c:pt>
                <c:pt idx="107" formatCode="0">
                  <c:v>2619.3738995300619</c:v>
                </c:pt>
                <c:pt idx="108" formatCode="0">
                  <c:v>2619.3739206565911</c:v>
                </c:pt>
                <c:pt idx="109" formatCode="0">
                  <c:v>2619.3739249940709</c:v>
                </c:pt>
              </c:numCache>
            </c:numRef>
          </c:yVal>
          <c:smooth val="0"/>
        </c:ser>
        <c:ser>
          <c:idx val="2"/>
          <c:order val="2"/>
          <c:tx>
            <c:v>NSW Population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myData!$FI$11:$FI$12</c:f>
              <c:numCache>
                <c:formatCode>m/d/yyyy</c:formatCode>
                <c:ptCount val="2"/>
                <c:pt idx="0">
                  <c:v>43852</c:v>
                </c:pt>
                <c:pt idx="1">
                  <c:v>44004</c:v>
                </c:pt>
              </c:numCache>
            </c:numRef>
          </c:xVal>
          <c:yVal>
            <c:numRef>
              <c:f>myData!$FJ$11:$FJ$12</c:f>
              <c:numCache>
                <c:formatCode>0.00E+00</c:formatCode>
                <c:ptCount val="2"/>
                <c:pt idx="0">
                  <c:v>8080000</c:v>
                </c:pt>
                <c:pt idx="1">
                  <c:v>8080000</c:v>
                </c:pt>
              </c:numCache>
            </c:numRef>
          </c:yVal>
          <c:smooth val="0"/>
        </c:ser>
        <c:dLbls>
          <c:showLegendKey val="0"/>
          <c:showVal val="0"/>
          <c:showCatName val="0"/>
          <c:showSerName val="0"/>
          <c:showPercent val="0"/>
          <c:showBubbleSize val="0"/>
        </c:dLbls>
        <c:axId val="805525000"/>
        <c:axId val="805526960"/>
      </c:scatterChart>
      <c:valAx>
        <c:axId val="805525000"/>
        <c:scaling>
          <c:orientation val="minMax"/>
          <c:max val="43967"/>
          <c:min val="43855"/>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26960"/>
        <c:crosses val="autoZero"/>
        <c:crossBetween val="midCat"/>
        <c:majorUnit val="14"/>
        <c:minorUnit val="7"/>
      </c:valAx>
      <c:valAx>
        <c:axId val="805526960"/>
        <c:scaling>
          <c:logBase val="10"/>
          <c:orientation val="minMax"/>
          <c:max val="1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layout>
            <c:manualLayout>
              <c:xMode val="edge"/>
              <c:yMode val="edge"/>
              <c:x val="2.3712082617775951E-2"/>
              <c:y val="0.33053641585894278"/>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25000"/>
        <c:crosses val="autoZero"/>
        <c:crossBetween val="midCat"/>
      </c:valAx>
      <c:spPr>
        <a:noFill/>
        <a:ln>
          <a:noFill/>
        </a:ln>
        <a:effectLst/>
      </c:spPr>
    </c:plotArea>
    <c:legend>
      <c:legendPos val="b"/>
      <c:layout>
        <c:manualLayout>
          <c:xMode val="edge"/>
          <c:yMode val="edge"/>
          <c:x val="0.29673269840233468"/>
          <c:y val="0.69945145225951777"/>
          <c:w val="0.19566127381957732"/>
          <c:h val="0.13803096703027251"/>
        </c:manualLayout>
      </c:layout>
      <c:overlay val="0"/>
      <c:spPr>
        <a:solidFill>
          <a:schemeClr val="bg1">
            <a:alpha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myData!$EX$12</c:f>
          <c:strCache>
            <c:ptCount val="1"/>
            <c:pt idx="0">
              <c:v>COVID19 NSW P(t) = b / {d+[( b/Po - d ) ]* exp(-b*t)}
b=0.234, d=7.88E-05, P0=.639, r2=0.9995, Limit=3.68 k=&gt;2.97 k cases 
 (Fit: Sat 25-Jan - Sun 03-May)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9012874199786517E-2"/>
          <c:y val="0.21199674298138474"/>
          <c:w val="0.45877135106010902"/>
          <c:h val="0.70994083660334528"/>
        </c:manualLayout>
      </c:layout>
      <c:scatterChart>
        <c:scatterStyle val="lineMarker"/>
        <c:varyColors val="0"/>
        <c:ser>
          <c:idx val="3"/>
          <c:order val="0"/>
          <c:tx>
            <c:v>NSW Confirmed Cases</c:v>
          </c:tx>
          <c:spPr>
            <a:ln w="9525"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myData!NSWCases</c:f>
              <c:numCache>
                <c:formatCode>0</c:formatCode>
                <c:ptCount val="99"/>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pt idx="68">
                  <c:v>2956.6831683168316</c:v>
                </c:pt>
                <c:pt idx="69">
                  <c:v>3085.3960396039602</c:v>
                </c:pt>
                <c:pt idx="70">
                  <c:v>3193.0693069306931</c:v>
                </c:pt>
                <c:pt idx="71">
                  <c:v>3263.6138613861385</c:v>
                </c:pt>
                <c:pt idx="72">
                  <c:v>3324.257425742574</c:v>
                </c:pt>
                <c:pt idx="73">
                  <c:v>3383.6633663366333</c:v>
                </c:pt>
                <c:pt idx="74">
                  <c:v>3431.9306930693069</c:v>
                </c:pt>
                <c:pt idx="75">
                  <c:v>3492.5742574257424</c:v>
                </c:pt>
                <c:pt idx="76">
                  <c:v>3535.8910891089108</c:v>
                </c:pt>
                <c:pt idx="77">
                  <c:v>3532.1782178217818</c:v>
                </c:pt>
                <c:pt idx="78">
                  <c:v>3543.3168316831679</c:v>
                </c:pt>
                <c:pt idx="79">
                  <c:v>3551.9801980198017</c:v>
                </c:pt>
                <c:pt idx="80">
                  <c:v>3571.7821782178216</c:v>
                </c:pt>
                <c:pt idx="81">
                  <c:v>3585.3960396039602</c:v>
                </c:pt>
                <c:pt idx="82">
                  <c:v>3621.287128712871</c:v>
                </c:pt>
                <c:pt idx="83">
                  <c:v>3633.6633663366333</c:v>
                </c:pt>
                <c:pt idx="84">
                  <c:v>3659.6534653465346</c:v>
                </c:pt>
                <c:pt idx="85">
                  <c:v>3667.0792079207918</c:v>
                </c:pt>
                <c:pt idx="86">
                  <c:v>3674.5049504950493</c:v>
                </c:pt>
                <c:pt idx="87">
                  <c:v>3676.9801980198017</c:v>
                </c:pt>
                <c:pt idx="88">
                  <c:v>3683.1683168316831</c:v>
                </c:pt>
                <c:pt idx="89">
                  <c:v>3690.5940594059402</c:v>
                </c:pt>
                <c:pt idx="90">
                  <c:v>3705.4455445544554</c:v>
                </c:pt>
                <c:pt idx="91">
                  <c:v>3715.3465346534649</c:v>
                </c:pt>
                <c:pt idx="92">
                  <c:v>3717.8217821782177</c:v>
                </c:pt>
                <c:pt idx="93">
                  <c:v>3724.0099009900987</c:v>
                </c:pt>
                <c:pt idx="94">
                  <c:v>3732.6732673267325</c:v>
                </c:pt>
                <c:pt idx="95">
                  <c:v>3732.6732673267325</c:v>
                </c:pt>
                <c:pt idx="96">
                  <c:v>3743.8118811881186</c:v>
                </c:pt>
                <c:pt idx="97">
                  <c:v>3751.2376237623762</c:v>
                </c:pt>
                <c:pt idx="98">
                  <c:v>3756.1881188118809</c:v>
                </c:pt>
              </c:numCache>
            </c:numRef>
          </c:yVal>
          <c:smooth val="0"/>
        </c:ser>
        <c:ser>
          <c:idx val="4"/>
          <c:order val="1"/>
          <c:tx>
            <c:strRef>
              <c:f>myData!NSWSeries</c:f>
              <c:strCache>
                <c:ptCount val="1"/>
                <c:pt idx="0">
                  <c:v>NSW Limit 3.68 k r^2=99.95%</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myData!NSWLogi</c:f>
              <c:numCache>
                <c:formatCode>0.000</c:formatCode>
                <c:ptCount val="110"/>
                <c:pt idx="0">
                  <c:v>1.9323202711800784E-3</c:v>
                </c:pt>
                <c:pt idx="1">
                  <c:v>2.4424763363982659E-3</c:v>
                </c:pt>
                <c:pt idx="2">
                  <c:v>3.0873196977277656E-3</c:v>
                </c:pt>
                <c:pt idx="3">
                  <c:v>3.9024093429296958E-3</c:v>
                </c:pt>
                <c:pt idx="4">
                  <c:v>4.9326921991622672E-3</c:v>
                </c:pt>
                <c:pt idx="5">
                  <c:v>6.234981621645843E-3</c:v>
                </c:pt>
                <c:pt idx="6">
                  <c:v>7.8810902080967277E-3</c:v>
                </c:pt>
                <c:pt idx="7">
                  <c:v>9.9617896735686873E-3</c:v>
                </c:pt>
                <c:pt idx="8">
                  <c:v>1.2591816115188897E-2</c:v>
                </c:pt>
                <c:pt idx="9">
                  <c:v>1.5916196623209006E-2</c:v>
                </c:pt>
                <c:pt idx="10">
                  <c:v>2.0118246027134322E-2</c:v>
                </c:pt>
                <c:pt idx="11">
                  <c:v>2.542967461259309E-2</c:v>
                </c:pt>
                <c:pt idx="12">
                  <c:v>3.2143363970527056E-2</c:v>
                </c:pt>
                <c:pt idx="13">
                  <c:v>4.0629515141740402E-2</c:v>
                </c:pt>
                <c:pt idx="14">
                  <c:v>5.1356058974076475E-2</c:v>
                </c:pt>
                <c:pt idx="15">
                  <c:v>6.4914453313394321E-2</c:v>
                </c:pt>
                <c:pt idx="16">
                  <c:v>8.2052288171588814E-2</c:v>
                </c:pt>
                <c:pt idx="17">
                  <c:v>0.10371449458831744</c:v>
                </c:pt>
                <c:pt idx="18">
                  <c:v>0.13109542599449503</c:v>
                </c:pt>
                <c:pt idx="19">
                  <c:v>0.16570467828149141</c:v>
                </c:pt>
                <c:pt idx="20">
                  <c:v>0.20945026894132809</c:v>
                </c:pt>
                <c:pt idx="21">
                  <c:v>0.26474374738801643</c:v>
                </c:pt>
                <c:pt idx="22">
                  <c:v>0.33463300915271144</c:v>
                </c:pt>
                <c:pt idx="23">
                  <c:v>0.42297010030836435</c:v>
                </c:pt>
                <c:pt idx="24">
                  <c:v>0.53462320555979392</c:v>
                </c:pt>
                <c:pt idx="25">
                  <c:v>0.67574441409610775</c:v>
                </c:pt>
                <c:pt idx="26">
                  <c:v>0.85410787594612181</c:v>
                </c:pt>
                <c:pt idx="27">
                  <c:v>1.0795367519324917</c:v>
                </c:pt>
                <c:pt idx="28">
                  <c:v>1.3644421110984533</c:v>
                </c:pt>
                <c:pt idx="29">
                  <c:v>1.7245028702952629</c:v>
                </c:pt>
                <c:pt idx="30">
                  <c:v>2.1795232775130127</c:v>
                </c:pt>
                <c:pt idx="31">
                  <c:v>2.7545136398933274</c:v>
                </c:pt>
                <c:pt idx="32">
                  <c:v>3.4810513659712528</c:v>
                </c:pt>
                <c:pt idx="33">
                  <c:v>4.3989933492133915</c:v>
                </c:pt>
                <c:pt idx="34">
                  <c:v>5.5586277073989905</c:v>
                </c:pt>
                <c:pt idx="35">
                  <c:v>7.0233733265760696</c:v>
                </c:pt>
                <c:pt idx="36">
                  <c:v>8.873159845319508</c:v>
                </c:pt>
                <c:pt idx="37">
                  <c:v>11.20864869757489</c:v>
                </c:pt>
                <c:pt idx="38">
                  <c:v>14.15648713140942</c:v>
                </c:pt>
                <c:pt idx="39">
                  <c:v>17.875820312454383</c:v>
                </c:pt>
                <c:pt idx="40">
                  <c:v>22.566318662855505</c:v>
                </c:pt>
                <c:pt idx="41">
                  <c:v>28.478002779700734</c:v>
                </c:pt>
                <c:pt idx="42">
                  <c:v>35.923156707193385</c:v>
                </c:pt>
                <c:pt idx="43">
                  <c:v>45.290595633376824</c:v>
                </c:pt>
                <c:pt idx="44">
                  <c:v>57.062470354452074</c:v>
                </c:pt>
                <c:pt idx="45">
                  <c:v>71.833608831354113</c:v>
                </c:pt>
                <c:pt idx="46">
                  <c:v>90.33305802354559</c:v>
                </c:pt>
                <c:pt idx="47">
                  <c:v>113.44691941965432</c:v>
                </c:pt>
                <c:pt idx="48">
                  <c:v>142.24067232475451</c:v>
                </c:pt>
                <c:pt idx="49">
                  <c:v>177.97784543859348</c:v>
                </c:pt>
                <c:pt idx="50">
                  <c:v>222.13005070843221</c:v>
                </c:pt>
                <c:pt idx="51">
                  <c:v>276.37105102150247</c:v>
                </c:pt>
                <c:pt idx="52">
                  <c:v>342.54493196615931</c:v>
                </c:pt>
                <c:pt idx="53">
                  <c:v>422.59622556080308</c:v>
                </c:pt>
                <c:pt idx="54">
                  <c:v>518.44922906601766</c:v>
                </c:pt>
                <c:pt idx="55">
                  <c:v>631.82670201558562</c:v>
                </c:pt>
                <c:pt idx="56">
                  <c:v>764.00693957768237</c:v>
                </c:pt>
                <c:pt idx="57">
                  <c:v>915.53463390105367</c:v>
                </c:pt>
                <c:pt idx="58">
                  <c:v>1085.924158627887</c:v>
                </c:pt>
                <c:pt idx="59">
                  <c:v>1273.4183928070202</c:v>
                </c:pt>
                <c:pt idx="60">
                  <c:v>1474.8808053122495</c:v>
                </c:pt>
                <c:pt idx="61">
                  <c:v>1685.8896953354424</c:v>
                </c:pt>
                <c:pt idx="62">
                  <c:v>1901.0633540670383</c:v>
                </c:pt>
                <c:pt idx="63">
                  <c:v>2114.5805550109835</c:v>
                </c:pt>
                <c:pt idx="64">
                  <c:v>2320.7963855332187</c:v>
                </c:pt>
                <c:pt idx="65">
                  <c:v>2514.8194031077237</c:v>
                </c:pt>
                <c:pt idx="66">
                  <c:v>2692.9300903149101</c:v>
                </c:pt>
                <c:pt idx="67">
                  <c:v>2852.7752226636558</c:v>
                </c:pt>
                <c:pt idx="68">
                  <c:v>2993.3408699389606</c:v>
                </c:pt>
                <c:pt idx="69" formatCode="0.00E+00">
                  <c:v>3114.7593598942085</c:v>
                </c:pt>
                <c:pt idx="70" formatCode="0.00E+00">
                  <c:v>3218.027679989124</c:v>
                </c:pt>
                <c:pt idx="71" formatCode="0.00E+00">
                  <c:v>3304.7087959552191</c:v>
                </c:pt>
                <c:pt idx="72" formatCode="0.00E+00">
                  <c:v>3376.6655307539727</c:v>
                </c:pt>
                <c:pt idx="73" formatCode="0.00E+00">
                  <c:v>3435.8518546389728</c:v>
                </c:pt>
                <c:pt idx="74" formatCode="0.00E+00">
                  <c:v>3484.1667381930329</c:v>
                </c:pt>
                <c:pt idx="75" formatCode="0.00E+00">
                  <c:v>3523.3637239193954</c:v>
                </c:pt>
                <c:pt idx="76" formatCode="0.00E+00">
                  <c:v>3555.0041657368256</c:v>
                </c:pt>
                <c:pt idx="77" formatCode="0.00E+00">
                  <c:v>3580.4414251336939</c:v>
                </c:pt>
                <c:pt idx="78" formatCode="0.00E+00">
                  <c:v>3600.8250260570503</c:v>
                </c:pt>
                <c:pt idx="79" formatCode="0.00E+00">
                  <c:v>3617.1163168005223</c:v>
                </c:pt>
                <c:pt idx="80" formatCode="0.00E+00">
                  <c:v>3630.1096898980309</c:v>
                </c:pt>
                <c:pt idx="81" formatCode="0.00E+00">
                  <c:v>3640.4554843134551</c:v>
                </c:pt>
                <c:pt idx="82" formatCode="0.00E+00">
                  <c:v>3648.6822442442831</c:v>
                </c:pt>
                <c:pt idx="83" formatCode="0.00E+00">
                  <c:v>3655.2170842499941</c:v>
                </c:pt>
                <c:pt idx="84" formatCode="0.00E+00">
                  <c:v>3660.4036104462061</c:v>
                </c:pt>
                <c:pt idx="85" formatCode="0.00E+00">
                  <c:v>3664.5172748537816</c:v>
                </c:pt>
                <c:pt idx="86" formatCode="0.00E+00">
                  <c:v>3667.7782811959269</c:v>
                </c:pt>
                <c:pt idx="87" formatCode="0.00E+00">
                  <c:v>3670.3622810700244</c:v>
                </c:pt>
                <c:pt idx="88" formatCode="0.00E+00">
                  <c:v>3672.4091458764838</c:v>
                </c:pt>
                <c:pt idx="89" formatCode="0.00E+00">
                  <c:v>3674.0301033495602</c:v>
                </c:pt>
                <c:pt idx="90" formatCode="0.00E+00">
                  <c:v>3675.3135080819206</c:v>
                </c:pt>
                <c:pt idx="91" formatCode="0.00E+00">
                  <c:v>3676.3294854607248</c:v>
                </c:pt>
                <c:pt idx="92" formatCode="0.00E+00">
                  <c:v>3677.1336552397916</c:v>
                </c:pt>
                <c:pt idx="93" formatCode="0.00E+00">
                  <c:v>3677.7701086008828</c:v>
                </c:pt>
                <c:pt idx="94" formatCode="0.00E+00">
                  <c:v>3678.2737830326992</c:v>
                </c:pt>
                <c:pt idx="95" formatCode="0.00E+00">
                  <c:v>3678.6723535036722</c:v>
                </c:pt>
                <c:pt idx="96" formatCode="0.00E+00">
                  <c:v>3678.9877363680048</c:v>
                </c:pt>
                <c:pt idx="97" formatCode="0.00E+00">
                  <c:v>3679.2372840080629</c:v>
                </c:pt>
                <c:pt idx="98" formatCode="0.00E+00">
                  <c:v>3679.4347329976172</c:v>
                </c:pt>
                <c:pt idx="99" formatCode="0.00E+00">
                  <c:v>3679.5909561315093</c:v>
                </c:pt>
                <c:pt idx="100">
                  <c:v>3679.7145585754411</c:v>
                </c:pt>
                <c:pt idx="101">
                  <c:v>3679.8123502477015</c:v>
                </c:pt>
                <c:pt idx="102">
                  <c:v>3680.1109394698587</c:v>
                </c:pt>
                <c:pt idx="103" formatCode="0.00E+00">
                  <c:v>3680.1688632632272</c:v>
                </c:pt>
                <c:pt idx="104" formatCode="0.00E+00">
                  <c:v>3680.1800991137111</c:v>
                </c:pt>
                <c:pt idx="105" formatCode="0.00E+00">
                  <c:v>3680.1822785708309</c:v>
                </c:pt>
                <c:pt idx="106">
                  <c:v>3680.1827013264901</c:v>
                </c:pt>
                <c:pt idx="107">
                  <c:v>3680.1827833295929</c:v>
                </c:pt>
                <c:pt idx="108">
                  <c:v>3680.1827992359631</c:v>
                </c:pt>
                <c:pt idx="109">
                  <c:v>3680.1828023213657</c:v>
                </c:pt>
              </c:numCache>
            </c:numRef>
          </c:yVal>
          <c:smooth val="0"/>
        </c:ser>
        <c:ser>
          <c:idx val="1"/>
          <c:order val="2"/>
          <c:tx>
            <c:v>Italy Confirmed Cases</c:v>
          </c:tx>
          <c:spPr>
            <a:ln w="6350" cap="rnd">
              <a:solidFill>
                <a:schemeClr val="tx1"/>
              </a:solidFill>
              <a:round/>
            </a:ln>
            <a:effectLst/>
          </c:spPr>
          <c:marker>
            <c:symbol val="diamond"/>
            <c:size val="4"/>
            <c:spPr>
              <a:noFill/>
              <a:ln w="9525">
                <a:solidFill>
                  <a:schemeClr val="tx1"/>
                </a:solidFill>
              </a:ln>
              <a:effectLst/>
            </c:spPr>
          </c:marker>
          <c:xVal>
            <c:numRef>
              <c:f>myData!ItalyDates</c:f>
              <c:numCache>
                <c:formatCode>m/d/yyyy</c:formatCode>
                <c:ptCount val="93"/>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numCache>
            </c:numRef>
          </c:xVal>
          <c:yVal>
            <c:numRef>
              <c:f>myData!ItalyCases</c:f>
              <c:numCache>
                <c:formatCode>0.0</c:formatCode>
                <c:ptCount val="93"/>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c:v>10.250475324460611</c:v>
                </c:pt>
                <c:pt idx="23">
                  <c:v>25.626188311151527</c:v>
                </c:pt>
                <c:pt idx="24">
                  <c:v>37.860626601636774</c:v>
                </c:pt>
                <c:pt idx="25">
                  <c:v>53.236339588327688</c:v>
                </c:pt>
                <c:pt idx="26">
                  <c:v>74.894601967429949</c:v>
                </c:pt>
                <c:pt idx="27">
                  <c:v>108.29131189551129</c:v>
                </c:pt>
                <c:pt idx="28">
                  <c:v>146.81325948582293</c:v>
                </c:pt>
                <c:pt idx="29">
                  <c:v>186.49251880631562</c:v>
                </c:pt>
                <c:pt idx="30">
                  <c:v>280.06943870381087</c:v>
                </c:pt>
                <c:pt idx="31">
                  <c:v>336.61238323551294</c:v>
                </c:pt>
                <c:pt idx="32">
                  <c:v>413.65627841613627</c:v>
                </c:pt>
                <c:pt idx="33">
                  <c:v>510.70513350417463</c:v>
                </c:pt>
                <c:pt idx="34">
                  <c:v>637.84409357691993</c:v>
                </c:pt>
                <c:pt idx="35">
                  <c:v>766.47102587418374</c:v>
                </c:pt>
                <c:pt idx="36">
                  <c:v>972.63784409357697</c:v>
                </c:pt>
                <c:pt idx="37">
                  <c:v>1219.3105728693065</c:v>
                </c:pt>
                <c:pt idx="38">
                  <c:v>1516.4090270314955</c:v>
                </c:pt>
                <c:pt idx="39">
                  <c:v>1677.9366785153345</c:v>
                </c:pt>
                <c:pt idx="40">
                  <c:v>2060.3455402165828</c:v>
                </c:pt>
                <c:pt idx="41">
                  <c:v>2060.3455402165828</c:v>
                </c:pt>
                <c:pt idx="42">
                  <c:v>2919.732164999587</c:v>
                </c:pt>
                <c:pt idx="43">
                  <c:v>3497.8920393485992</c:v>
                </c:pt>
                <c:pt idx="44">
                  <c:v>4091.4276266843021</c:v>
                </c:pt>
                <c:pt idx="45">
                  <c:v>4625.9403157807719</c:v>
                </c:pt>
                <c:pt idx="46">
                  <c:v>5208.8947672976774</c:v>
                </c:pt>
                <c:pt idx="47">
                  <c:v>5904.4391171364805</c:v>
                </c:pt>
                <c:pt idx="48">
                  <c:v>6784.3266925684056</c:v>
                </c:pt>
                <c:pt idx="49">
                  <c:v>7773.9935521203606</c:v>
                </c:pt>
                <c:pt idx="50">
                  <c:v>8858.0639828056555</c:v>
                </c:pt>
                <c:pt idx="51">
                  <c:v>9777.3001570637352</c:v>
                </c:pt>
                <c:pt idx="52">
                  <c:v>10569.066710754732</c:v>
                </c:pt>
                <c:pt idx="53">
                  <c:v>11436.885178143342</c:v>
                </c:pt>
                <c:pt idx="54">
                  <c:v>12298.255765892371</c:v>
                </c:pt>
                <c:pt idx="55">
                  <c:v>13323.799289079938</c:v>
                </c:pt>
                <c:pt idx="56">
                  <c:v>14300.735719599901</c:v>
                </c:pt>
                <c:pt idx="57">
                  <c:v>15288.418616185832</c:v>
                </c:pt>
                <c:pt idx="58">
                  <c:v>16150.946515665042</c:v>
                </c:pt>
                <c:pt idx="59">
                  <c:v>16820.534016698355</c:v>
                </c:pt>
                <c:pt idx="60">
                  <c:v>17490.617508473177</c:v>
                </c:pt>
                <c:pt idx="61">
                  <c:v>18281.226750433994</c:v>
                </c:pt>
                <c:pt idx="62">
                  <c:v>19052.988344217574</c:v>
                </c:pt>
                <c:pt idx="63">
                  <c:v>19811.027527486156</c:v>
                </c:pt>
                <c:pt idx="64">
                  <c:v>20605.439365131853</c:v>
                </c:pt>
                <c:pt idx="65">
                  <c:v>21319.004711912046</c:v>
                </c:pt>
                <c:pt idx="66">
                  <c:v>21914.028271472267</c:v>
                </c:pt>
                <c:pt idx="67">
                  <c:v>22416.466892618006</c:v>
                </c:pt>
                <c:pt idx="68">
                  <c:v>23050.673720757215</c:v>
                </c:pt>
                <c:pt idx="69">
                  <c:v>23745.72207985451</c:v>
                </c:pt>
                <c:pt idx="70">
                  <c:v>24398.941886418121</c:v>
                </c:pt>
                <c:pt idx="71">
                  <c:v>25175.002066628091</c:v>
                </c:pt>
                <c:pt idx="72">
                  <c:v>25851.53343804249</c:v>
                </c:pt>
                <c:pt idx="73">
                  <c:v>26372.819707365463</c:v>
                </c:pt>
                <c:pt idx="74">
                  <c:v>26864.181201950898</c:v>
                </c:pt>
                <c:pt idx="75">
                  <c:v>27305.116971149873</c:v>
                </c:pt>
                <c:pt idx="76">
                  <c:v>27931.057286930645</c:v>
                </c:pt>
                <c:pt idx="77">
                  <c:v>28508.555840290981</c:v>
                </c:pt>
                <c:pt idx="78">
                  <c:v>29085.723733156981</c:v>
                </c:pt>
                <c:pt idx="79">
                  <c:v>29589.484996280069</c:v>
                </c:pt>
                <c:pt idx="80">
                  <c:v>29962.470033892703</c:v>
                </c:pt>
                <c:pt idx="81">
                  <c:v>30413.656278416136</c:v>
                </c:pt>
                <c:pt idx="82">
                  <c:v>30970.819211374721</c:v>
                </c:pt>
                <c:pt idx="83">
                  <c:v>31408.283045383156</c:v>
                </c:pt>
                <c:pt idx="84">
                  <c:v>31907.745722079857</c:v>
                </c:pt>
                <c:pt idx="85">
                  <c:v>32297.429114656527</c:v>
                </c:pt>
                <c:pt idx="86">
                  <c:v>32681.656609076632</c:v>
                </c:pt>
                <c:pt idx="87">
                  <c:v>32969.165908903036</c:v>
                </c:pt>
                <c:pt idx="88">
                  <c:v>33314.871455732828</c:v>
                </c:pt>
                <c:pt idx="89">
                  <c:v>33659.750351326773</c:v>
                </c:pt>
                <c:pt idx="90">
                  <c:v>33969.24857402662</c:v>
                </c:pt>
                <c:pt idx="91">
                  <c:v>34294.122509713154</c:v>
                </c:pt>
                <c:pt idx="92">
                  <c:v>34608.249979333719</c:v>
                </c:pt>
              </c:numCache>
            </c:numRef>
          </c:yVal>
          <c:smooth val="0"/>
        </c:ser>
        <c:ser>
          <c:idx val="0"/>
          <c:order val="3"/>
          <c:tx>
            <c:strRef>
              <c:f>myData!ItalySeries</c:f>
              <c:strCache>
                <c:ptCount val="1"/>
                <c:pt idx="0">
                  <c:v>Italy Limit 26.7 k r^2=90.76%</c:v>
                </c:pt>
              </c:strCache>
            </c:strRef>
          </c:tx>
          <c:spPr>
            <a:ln w="12700" cap="rnd">
              <a:solidFill>
                <a:schemeClr val="tx1"/>
              </a:solidFill>
              <a:prstDash val="sysDash"/>
              <a:round/>
            </a:ln>
            <a:effectLst/>
          </c:spPr>
          <c:marker>
            <c:symbol val="none"/>
          </c:marker>
          <c:xVal>
            <c:numRef>
              <c:f>myData!ItalyLogiDates</c:f>
              <c:numCache>
                <c:formatCode>m/d/yyyy</c:formatCode>
                <c:ptCount val="105"/>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43926</c:v>
                </c:pt>
                <c:pt idx="66">
                  <c:v>43927</c:v>
                </c:pt>
                <c:pt idx="67">
                  <c:v>43928</c:v>
                </c:pt>
                <c:pt idx="68">
                  <c:v>43929</c:v>
                </c:pt>
                <c:pt idx="69">
                  <c:v>43930</c:v>
                </c:pt>
                <c:pt idx="70">
                  <c:v>43931</c:v>
                </c:pt>
                <c:pt idx="71">
                  <c:v>43932</c:v>
                </c:pt>
                <c:pt idx="72">
                  <c:v>43933</c:v>
                </c:pt>
                <c:pt idx="73">
                  <c:v>43934</c:v>
                </c:pt>
                <c:pt idx="74">
                  <c:v>43935</c:v>
                </c:pt>
                <c:pt idx="75">
                  <c:v>43936</c:v>
                </c:pt>
                <c:pt idx="76">
                  <c:v>43937</c:v>
                </c:pt>
                <c:pt idx="77">
                  <c:v>43938</c:v>
                </c:pt>
                <c:pt idx="78">
                  <c:v>43939</c:v>
                </c:pt>
                <c:pt idx="79">
                  <c:v>43940</c:v>
                </c:pt>
                <c:pt idx="80">
                  <c:v>43941</c:v>
                </c:pt>
                <c:pt idx="81">
                  <c:v>43942</c:v>
                </c:pt>
                <c:pt idx="82">
                  <c:v>43943</c:v>
                </c:pt>
                <c:pt idx="83">
                  <c:v>43944</c:v>
                </c:pt>
                <c:pt idx="84">
                  <c:v>43945</c:v>
                </c:pt>
                <c:pt idx="85">
                  <c:v>43946</c:v>
                </c:pt>
                <c:pt idx="86">
                  <c:v>43947</c:v>
                </c:pt>
                <c:pt idx="87">
                  <c:v>43948</c:v>
                </c:pt>
                <c:pt idx="88">
                  <c:v>43949</c:v>
                </c:pt>
                <c:pt idx="89">
                  <c:v>43950</c:v>
                </c:pt>
                <c:pt idx="90">
                  <c:v>43951</c:v>
                </c:pt>
                <c:pt idx="91">
                  <c:v>43952</c:v>
                </c:pt>
                <c:pt idx="92">
                  <c:v>43953</c:v>
                </c:pt>
                <c:pt idx="93">
                  <c:v>43954</c:v>
                </c:pt>
                <c:pt idx="94">
                  <c:v>43955</c:v>
                </c:pt>
                <c:pt idx="95">
                  <c:v>43956</c:v>
                </c:pt>
                <c:pt idx="96">
                  <c:v>43957</c:v>
                </c:pt>
                <c:pt idx="97">
                  <c:v>43964</c:v>
                </c:pt>
                <c:pt idx="98">
                  <c:v>43971</c:v>
                </c:pt>
                <c:pt idx="99">
                  <c:v>43978</c:v>
                </c:pt>
                <c:pt idx="100">
                  <c:v>43985</c:v>
                </c:pt>
                <c:pt idx="101">
                  <c:v>43992</c:v>
                </c:pt>
                <c:pt idx="102">
                  <c:v>43999</c:v>
                </c:pt>
                <c:pt idx="103">
                  <c:v>44006</c:v>
                </c:pt>
                <c:pt idx="104">
                  <c:v>44013</c:v>
                </c:pt>
              </c:numCache>
            </c:numRef>
          </c:xVal>
          <c:yVal>
            <c:numRef>
              <c:f>myData!ItalyLogi</c:f>
              <c:numCache>
                <c:formatCode>0.0</c:formatCode>
                <c:ptCount val="105"/>
                <c:pt idx="0">
                  <c:v>9.4319527547555293E-2</c:v>
                </c:pt>
                <c:pt idx="1">
                  <c:v>0.12149455820816397</c:v>
                </c:pt>
                <c:pt idx="2">
                  <c:v>0.15649912299719076</c:v>
                </c:pt>
                <c:pt idx="3">
                  <c:v>0.20158899791412627</c:v>
                </c:pt>
                <c:pt idx="4">
                  <c:v>0.25966985319378766</c:v>
                </c:pt>
                <c:pt idx="5">
                  <c:v>0.33448447616768234</c:v>
                </c:pt>
                <c:pt idx="6">
                  <c:v>0.43085392099664788</c:v>
                </c:pt>
                <c:pt idx="7">
                  <c:v>0.55498811242163526</c:v>
                </c:pt>
                <c:pt idx="8">
                  <c:v>0.71488589763593113</c:v>
                </c:pt>
                <c:pt idx="9">
                  <c:v>0.92085028993716922</c:v>
                </c:pt>
                <c:pt idx="10">
                  <c:v>1.1861520466036888</c:v>
                </c:pt>
                <c:pt idx="11">
                  <c:v>1.5278842418080443</c:v>
                </c:pt>
                <c:pt idx="12">
                  <c:v>1.968062736022371</c:v>
                </c:pt>
                <c:pt idx="13">
                  <c:v>2.5350431773579438</c:v>
                </c:pt>
                <c:pt idx="14">
                  <c:v>3.2653453821171445</c:v>
                </c:pt>
                <c:pt idx="15">
                  <c:v>4.2060018852081189</c:v>
                </c:pt>
                <c:pt idx="16">
                  <c:v>5.4175807169099581</c:v>
                </c:pt>
                <c:pt idx="17">
                  <c:v>6.9780750603904869</c:v>
                </c:pt>
                <c:pt idx="18">
                  <c:v>8.987906897289486</c:v>
                </c:pt>
                <c:pt idx="19" formatCode="0">
                  <c:v>11.576361197749186</c:v>
                </c:pt>
                <c:pt idx="20" formatCode="0">
                  <c:v>14.909855523149005</c:v>
                </c:pt>
                <c:pt idx="21" formatCode="0">
                  <c:v>19.202561768875942</c:v>
                </c:pt>
                <c:pt idx="22" formatCode="0">
                  <c:v>24.730037726544385</c:v>
                </c:pt>
                <c:pt idx="23" formatCode="0">
                  <c:v>31.846702530948502</c:v>
                </c:pt>
                <c:pt idx="24" formatCode="0">
                  <c:v>41.008208727584538</c:v>
                </c:pt>
                <c:pt idx="25" formatCode="0">
                  <c:v>52.800031324427046</c:v>
                </c:pt>
                <c:pt idx="26" formatCode="0">
                  <c:v>67.973915870243303</c:v>
                </c:pt>
                <c:pt idx="27" formatCode="0">
                  <c:v>87.494204228525732</c:v>
                </c:pt>
                <c:pt idx="28" formatCode="0">
                  <c:v>112.59648035891601</c:v>
                </c:pt>
                <c:pt idx="29" formatCode="0">
                  <c:v>144.86142442829504</c:v>
                </c:pt>
                <c:pt idx="30" formatCode="0">
                  <c:v>186.30717761188527</c:v>
                </c:pt>
                <c:pt idx="31" formatCode="0">
                  <c:v>239.50379734378745</c:v>
                </c:pt>
                <c:pt idx="32" formatCode="0">
                  <c:v>307.71333696252458</c:v>
                </c:pt>
                <c:pt idx="33" formatCode="0">
                  <c:v>395.05840021142262</c:v>
                </c:pt>
                <c:pt idx="34" formatCode="0">
                  <c:v>506.72019530733627</c:v>
                </c:pt>
                <c:pt idx="35" formatCode="0">
                  <c:v>649.163376127883</c:v>
                </c:pt>
                <c:pt idx="36" formatCode="0">
                  <c:v>830.3782083809582</c:v>
                </c:pt>
                <c:pt idx="37" formatCode="0">
                  <c:v>1060.1193946728774</c:v>
                </c:pt>
                <c:pt idx="38" formatCode="0">
                  <c:v>1350.10361330397</c:v>
                </c:pt>
                <c:pt idx="39" formatCode="0">
                  <c:v>1714.1032075128903</c:v>
                </c:pt>
                <c:pt idx="40" formatCode="0">
                  <c:v>2167.8418193639991</c:v>
                </c:pt>
                <c:pt idx="41" formatCode="0">
                  <c:v>2728.5632323224359</c:v>
                </c:pt>
                <c:pt idx="42" formatCode="0">
                  <c:v>3414.118536188962</c:v>
                </c:pt>
                <c:pt idx="43" formatCode="0">
                  <c:v>4241.4207285673319</c:v>
                </c:pt>
                <c:pt idx="44" formatCode="0">
                  <c:v>5224.1825377232135</c:v>
                </c:pt>
                <c:pt idx="45" formatCode="0">
                  <c:v>6370.0169233749111</c:v>
                </c:pt>
                <c:pt idx="46" formatCode="0">
                  <c:v>7677.2518534716501</c:v>
                </c:pt>
                <c:pt idx="47" formatCode="0">
                  <c:v>9132.141439709354</c:v>
                </c:pt>
                <c:pt idx="48" formatCode="0">
                  <c:v>10707.403293036923</c:v>
                </c:pt>
                <c:pt idx="49" formatCode="0">
                  <c:v>12362.972668598062</c:v>
                </c:pt>
                <c:pt idx="50" formatCode="0">
                  <c:v>14049.389926771717</c:v>
                </c:pt>
                <c:pt idx="51" formatCode="0">
                  <c:v>15713.4029658457</c:v>
                </c:pt>
                <c:pt idx="52" formatCode="0">
                  <c:v>17304.524192570669</c:v>
                </c:pt>
                <c:pt idx="53" formatCode="0">
                  <c:v>18780.888378182644</c:v>
                </c:pt>
                <c:pt idx="54" formatCode="0">
                  <c:v>20113.047380114629</c:v>
                </c:pt>
                <c:pt idx="55" formatCode="0">
                  <c:v>21285.136744478561</c:v>
                </c:pt>
                <c:pt idx="56" formatCode="0">
                  <c:v>22293.715099281151</c:v>
                </c:pt>
                <c:pt idx="57" formatCode="0">
                  <c:v>23145.121706068341</c:v>
                </c:pt>
                <c:pt idx="58" formatCode="0">
                  <c:v>23852.300433501554</c:v>
                </c:pt>
                <c:pt idx="59" formatCode="0">
                  <c:v>24431.822438348365</c:v>
                </c:pt>
                <c:pt idx="60" formatCode="0">
                  <c:v>24901.51069681322</c:v>
                </c:pt>
                <c:pt idx="61" formatCode="0">
                  <c:v>25278.782494527903</c:v>
                </c:pt>
                <c:pt idx="62" formatCode="0">
                  <c:v>25579.6446071957</c:v>
                </c:pt>
                <c:pt idx="63" formatCode="0">
                  <c:v>25818.195796411841</c:v>
                </c:pt>
                <c:pt idx="64" formatCode="0">
                  <c:v>26006.479614044893</c:v>
                </c:pt>
                <c:pt idx="65" formatCode="0">
                  <c:v>26154.553599475301</c:v>
                </c:pt>
                <c:pt idx="66" formatCode="0">
                  <c:v>26270.675137727121</c:v>
                </c:pt>
                <c:pt idx="67" formatCode="0">
                  <c:v>26361.536771338855</c:v>
                </c:pt>
                <c:pt idx="68" formatCode="0">
                  <c:v>26432.509590004611</c:v>
                </c:pt>
                <c:pt idx="69" formatCode="0">
                  <c:v>26487.871713755019</c:v>
                </c:pt>
                <c:pt idx="70" formatCode="0">
                  <c:v>26531.010953830308</c:v>
                </c:pt>
                <c:pt idx="71" formatCode="0">
                  <c:v>26564.598093789271</c:v>
                </c:pt>
                <c:pt idx="72" formatCode="0">
                  <c:v>26590.731369834783</c:v>
                </c:pt>
                <c:pt idx="73" formatCode="0">
                  <c:v>26611.054801604278</c:v>
                </c:pt>
                <c:pt idx="74" formatCode="0">
                  <c:v>26626.853851255484</c:v>
                </c:pt>
                <c:pt idx="75" formatCode="0">
                  <c:v>26639.132011378493</c:v>
                </c:pt>
                <c:pt idx="76" formatCode="0">
                  <c:v>26648.671681402164</c:v>
                </c:pt>
                <c:pt idx="77" formatCode="0">
                  <c:v>26656.082291287421</c:v>
                </c:pt>
                <c:pt idx="78" formatCode="0">
                  <c:v>26661.838185741926</c:v>
                </c:pt>
                <c:pt idx="79" formatCode="0">
                  <c:v>26666.308352721691</c:v>
                </c:pt>
                <c:pt idx="80" formatCode="0">
                  <c:v>26669.779694972924</c:v>
                </c:pt>
                <c:pt idx="81" formatCode="0">
                  <c:v>26672.475212785157</c:v>
                </c:pt>
                <c:pt idx="82" formatCode="0">
                  <c:v>26674.568190112601</c:v>
                </c:pt>
                <c:pt idx="83" formatCode="0">
                  <c:v>26676.193250135853</c:v>
                </c:pt>
                <c:pt idx="84" formatCode="0">
                  <c:v>26677.454963643617</c:v>
                </c:pt>
                <c:pt idx="85" formatCode="0">
                  <c:v>26678.434547429631</c:v>
                </c:pt>
                <c:pt idx="86" formatCode="0">
                  <c:v>26679.195073775736</c:v>
                </c:pt>
                <c:pt idx="87" formatCode="0">
                  <c:v>26679.78552034486</c:v>
                </c:pt>
                <c:pt idx="88" formatCode="0">
                  <c:v>26680.24391761727</c:v>
                </c:pt>
                <c:pt idx="89" formatCode="0">
                  <c:v>26680.599794376958</c:v>
                </c:pt>
                <c:pt idx="90" formatCode="0">
                  <c:v>26680.876077442303</c:v>
                </c:pt>
                <c:pt idx="91" formatCode="0">
                  <c:v>26681.090567221705</c:v>
                </c:pt>
                <c:pt idx="92" formatCode="0">
                  <c:v>26681.257083675166</c:v>
                </c:pt>
                <c:pt idx="93" formatCode="0">
                  <c:v>26681.386356225059</c:v>
                </c:pt>
                <c:pt idx="94" formatCode="0">
                  <c:v>26681.486714780454</c:v>
                </c:pt>
                <c:pt idx="95" formatCode="0">
                  <c:v>26681.564626295793</c:v>
                </c:pt>
                <c:pt idx="96" formatCode="0">
                  <c:v>26681.625111374771</c:v>
                </c:pt>
                <c:pt idx="97" formatCode="0">
                  <c:v>26681.799367527132</c:v>
                </c:pt>
                <c:pt idx="98" formatCode="0">
                  <c:v>26681.828981854735</c:v>
                </c:pt>
                <c:pt idx="99" formatCode="0">
                  <c:v>26681.834014691878</c:v>
                </c:pt>
                <c:pt idx="100" formatCode="0">
                  <c:v>26681.83487000161</c:v>
                </c:pt>
                <c:pt idx="101" formatCode="0">
                  <c:v>26681.835015357909</c:v>
                </c:pt>
                <c:pt idx="102" formatCode="0">
                  <c:v>26681.835040060607</c:v>
                </c:pt>
                <c:pt idx="103" formatCode="0">
                  <c:v>26681.835044258722</c:v>
                </c:pt>
                <c:pt idx="104" formatCode="0">
                  <c:v>26681.835044972173</c:v>
                </c:pt>
              </c:numCache>
            </c:numRef>
          </c:yVal>
          <c:smooth val="0"/>
        </c:ser>
        <c:ser>
          <c:idx val="2"/>
          <c:order val="4"/>
          <c:tx>
            <c:v>US Confirmed Cases</c:v>
          </c:tx>
          <c:spPr>
            <a:ln w="9525"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myData!USDates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myData!USCases</c:f>
              <c:numCache>
                <c:formatCode>0.0</c:formatCode>
                <c:ptCount val="102"/>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417.55289968786536</c:v>
                </c:pt>
                <c:pt idx="58">
                  <c:v>585.40023537384366</c:v>
                </c:pt>
                <c:pt idx="59">
                  <c:v>777.57723372440194</c:v>
                </c:pt>
                <c:pt idx="60">
                  <c:v>1010.7289073989531</c:v>
                </c:pt>
                <c:pt idx="61">
                  <c:v>1331.6921350851153</c:v>
                </c:pt>
                <c:pt idx="62">
                  <c:v>1632.1832121646273</c:v>
                </c:pt>
                <c:pt idx="63">
                  <c:v>1997.9482531220199</c:v>
                </c:pt>
                <c:pt idx="64">
                  <c:v>2546.4439440046467</c:v>
                </c:pt>
                <c:pt idx="65">
                  <c:v>3087.7409706531844</c:v>
                </c:pt>
                <c:pt idx="66">
                  <c:v>3689.3913552474405</c:v>
                </c:pt>
                <c:pt idx="67">
                  <c:v>4279.9855635496779</c:v>
                </c:pt>
                <c:pt idx="68">
                  <c:v>4915.472707455222</c:v>
                </c:pt>
                <c:pt idx="69">
                  <c:v>5715.557157202662</c:v>
                </c:pt>
                <c:pt idx="70">
                  <c:v>6477.0361122601134</c:v>
                </c:pt>
                <c:pt idx="71">
                  <c:v>7399.8015950939935</c:v>
                </c:pt>
                <c:pt idx="72">
                  <c:v>8364.0277390229439</c:v>
                </c:pt>
                <c:pt idx="73">
                  <c:v>9374.9692651967434</c:v>
                </c:pt>
                <c:pt idx="74">
                  <c:v>10230.061229408047</c:v>
                </c:pt>
                <c:pt idx="75">
                  <c:v>11126.553106493036</c:v>
                </c:pt>
                <c:pt idx="76">
                  <c:v>12062.197212260477</c:v>
                </c:pt>
                <c:pt idx="77">
                  <c:v>13019.984044722647</c:v>
                </c:pt>
                <c:pt idx="78">
                  <c:v>14056.530946210107</c:v>
                </c:pt>
                <c:pt idx="79">
                  <c:v>15081.809052630699</c:v>
                </c:pt>
                <c:pt idx="80">
                  <c:v>15988.810372015245</c:v>
                </c:pt>
                <c:pt idx="81">
                  <c:v>16867.138530906203</c:v>
                </c:pt>
                <c:pt idx="82">
                  <c:v>17635.78577608705</c:v>
                </c:pt>
                <c:pt idx="83">
                  <c:v>18457.435844426065</c:v>
                </c:pt>
                <c:pt idx="84">
                  <c:v>19328.565339082936</c:v>
                </c:pt>
                <c:pt idx="85">
                  <c:v>20277.513305333629</c:v>
                </c:pt>
                <c:pt idx="86">
                  <c:v>21252.94749610806</c:v>
                </c:pt>
                <c:pt idx="87">
                  <c:v>22239.832726613513</c:v>
                </c:pt>
                <c:pt idx="88">
                  <c:v>23048.148560358582</c:v>
                </c:pt>
                <c:pt idx="89">
                  <c:v>23823.204742895519</c:v>
                </c:pt>
                <c:pt idx="90">
                  <c:v>24659.677377252403</c:v>
                </c:pt>
                <c:pt idx="91">
                  <c:v>25524.914294434955</c:v>
                </c:pt>
                <c:pt idx="92">
                  <c:v>26400.265790478064</c:v>
                </c:pt>
                <c:pt idx="93">
                  <c:v>27499.444108213167</c:v>
                </c:pt>
                <c:pt idx="94">
                  <c:v>28495.593442479789</c:v>
                </c:pt>
                <c:pt idx="95">
                  <c:v>29334.86049502037</c:v>
                </c:pt>
                <c:pt idx="96">
                  <c:v>30015.605063857533</c:v>
                </c:pt>
                <c:pt idx="97">
                  <c:v>30756.277753090715</c:v>
                </c:pt>
                <c:pt idx="98">
                  <c:v>31586.311075980822</c:v>
                </c:pt>
                <c:pt idx="99">
                  <c:v>32482.802953065813</c:v>
                </c:pt>
                <c:pt idx="100">
                  <c:v>33516.64655870165</c:v>
                </c:pt>
                <c:pt idx="101">
                  <c:v>34399.864949414077</c:v>
                </c:pt>
              </c:numCache>
            </c:numRef>
          </c:yVal>
          <c:smooth val="0"/>
        </c:ser>
        <c:ser>
          <c:idx val="5"/>
          <c:order val="5"/>
          <c:tx>
            <c:strRef>
              <c:f>myData!USSeries</c:f>
              <c:strCache>
                <c:ptCount val="1"/>
                <c:pt idx="0">
                  <c:v>USA Limit 24.7 k r^2=92.46%</c:v>
                </c:pt>
              </c:strCache>
            </c:strRef>
          </c:tx>
          <c:spPr>
            <a:ln w="19050" cap="rnd">
              <a:solidFill>
                <a:schemeClr val="accent6"/>
              </a:solidFill>
              <a:prstDash val="sysDash"/>
              <a:round/>
            </a:ln>
            <a:effectLst/>
          </c:spPr>
          <c:marker>
            <c:symbol val="none"/>
          </c:marker>
          <c:xVal>
            <c:numRef>
              <c:f>myData!USLogiDates</c:f>
              <c:numCache>
                <c:formatCode>m/d/yyyy</c:formatCode>
                <c:ptCount val="113"/>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43926</c:v>
                </c:pt>
                <c:pt idx="74">
                  <c:v>43927</c:v>
                </c:pt>
                <c:pt idx="75">
                  <c:v>43928</c:v>
                </c:pt>
                <c:pt idx="76">
                  <c:v>43929</c:v>
                </c:pt>
                <c:pt idx="77">
                  <c:v>43930</c:v>
                </c:pt>
                <c:pt idx="78">
                  <c:v>43931</c:v>
                </c:pt>
                <c:pt idx="79">
                  <c:v>43932</c:v>
                </c:pt>
                <c:pt idx="80">
                  <c:v>43933</c:v>
                </c:pt>
                <c:pt idx="81">
                  <c:v>43934</c:v>
                </c:pt>
                <c:pt idx="82">
                  <c:v>43935</c:v>
                </c:pt>
                <c:pt idx="83">
                  <c:v>43936</c:v>
                </c:pt>
                <c:pt idx="84">
                  <c:v>43937</c:v>
                </c:pt>
                <c:pt idx="85">
                  <c:v>43938</c:v>
                </c:pt>
                <c:pt idx="86">
                  <c:v>43939</c:v>
                </c:pt>
                <c:pt idx="87">
                  <c:v>43940</c:v>
                </c:pt>
                <c:pt idx="88">
                  <c:v>43941</c:v>
                </c:pt>
                <c:pt idx="89">
                  <c:v>43942</c:v>
                </c:pt>
                <c:pt idx="90">
                  <c:v>43943</c:v>
                </c:pt>
                <c:pt idx="91">
                  <c:v>43944</c:v>
                </c:pt>
                <c:pt idx="92">
                  <c:v>43945</c:v>
                </c:pt>
                <c:pt idx="93">
                  <c:v>43946</c:v>
                </c:pt>
                <c:pt idx="94">
                  <c:v>43947</c:v>
                </c:pt>
                <c:pt idx="95">
                  <c:v>43948</c:v>
                </c:pt>
                <c:pt idx="96">
                  <c:v>43949</c:v>
                </c:pt>
                <c:pt idx="97">
                  <c:v>43950</c:v>
                </c:pt>
                <c:pt idx="98">
                  <c:v>43951</c:v>
                </c:pt>
                <c:pt idx="99">
                  <c:v>43952</c:v>
                </c:pt>
                <c:pt idx="100">
                  <c:v>43953</c:v>
                </c:pt>
                <c:pt idx="101">
                  <c:v>43954</c:v>
                </c:pt>
                <c:pt idx="102">
                  <c:v>43955</c:v>
                </c:pt>
                <c:pt idx="103">
                  <c:v>43956</c:v>
                </c:pt>
                <c:pt idx="104">
                  <c:v>43957</c:v>
                </c:pt>
                <c:pt idx="105">
                  <c:v>43964</c:v>
                </c:pt>
                <c:pt idx="106">
                  <c:v>43971</c:v>
                </c:pt>
                <c:pt idx="107">
                  <c:v>43978</c:v>
                </c:pt>
                <c:pt idx="108">
                  <c:v>43985</c:v>
                </c:pt>
                <c:pt idx="109">
                  <c:v>43992</c:v>
                </c:pt>
                <c:pt idx="110">
                  <c:v>43999</c:v>
                </c:pt>
                <c:pt idx="111">
                  <c:v>44006</c:v>
                </c:pt>
                <c:pt idx="112">
                  <c:v>44013</c:v>
                </c:pt>
              </c:numCache>
            </c:numRef>
          </c:xVal>
          <c:yVal>
            <c:numRef>
              <c:f>myData!USLogi</c:f>
              <c:numCache>
                <c:formatCode>0.0</c:formatCode>
                <c:ptCount val="113"/>
                <c:pt idx="0">
                  <c:v>4.0340654737457579E-5</c:v>
                </c:pt>
                <c:pt idx="1">
                  <c:v>5.3577483828710432E-5</c:v>
                </c:pt>
                <c:pt idx="2">
                  <c:v>7.115766443536908E-5</c:v>
                </c:pt>
                <c:pt idx="3">
                  <c:v>9.4506364332119764E-5</c:v>
                </c:pt>
                <c:pt idx="4">
                  <c:v>1.2551638628637105E-4</c:v>
                </c:pt>
                <c:pt idx="5">
                  <c:v>1.6670161138075562E-4</c:v>
                </c:pt>
                <c:pt idx="6">
                  <c:v>2.2140079111533146E-4</c:v>
                </c:pt>
                <c:pt idx="7">
                  <c:v>2.9404820904174739E-4</c:v>
                </c:pt>
                <c:pt idx="8">
                  <c:v>3.9053315357032528E-4</c:v>
                </c:pt>
                <c:pt idx="9">
                  <c:v>5.1867734321242511E-4</c:v>
                </c:pt>
                <c:pt idx="10">
                  <c:v>6.8886900752102498E-4</c:v>
                </c:pt>
                <c:pt idx="11">
                  <c:v>9.1490502652635645E-4</c:v>
                </c:pt>
                <c:pt idx="12">
                  <c:v>1.2151093980299517E-3</c:v>
                </c:pt>
                <c:pt idx="13">
                  <c:v>1.6138187030185166E-3</c:v>
                </c:pt>
                <c:pt idx="14">
                  <c:v>2.143354990623696E-3</c:v>
                </c:pt>
                <c:pt idx="15">
                  <c:v>2.8466460172572759E-3</c:v>
                </c:pt>
                <c:pt idx="16">
                  <c:v>3.7807052528985086E-3</c:v>
                </c:pt>
                <c:pt idx="17">
                  <c:v>5.0212537650705207E-3</c:v>
                </c:pt>
                <c:pt idx="18">
                  <c:v>6.6688586576539735E-3</c:v>
                </c:pt>
                <c:pt idx="19">
                  <c:v>8.857085680864794E-3</c:v>
                </c:pt>
                <c:pt idx="20">
                  <c:v>1.1763326905764858E-2</c:v>
                </c:pt>
                <c:pt idx="21">
                  <c:v>1.5623181206184968E-2</c:v>
                </c:pt>
                <c:pt idx="22">
                  <c:v>2.0749553289146294E-2</c:v>
                </c:pt>
                <c:pt idx="23">
                  <c:v>2.755801950345612E-2</c:v>
                </c:pt>
                <c:pt idx="24">
                  <c:v>3.6600516632726433E-2</c:v>
                </c:pt>
                <c:pt idx="25">
                  <c:v>4.8610084506860288E-2</c:v>
                </c:pt>
                <c:pt idx="26">
                  <c:v>6.4560289205382454E-2</c:v>
                </c:pt>
                <c:pt idx="27">
                  <c:v>8.5744143455587798E-2</c:v>
                </c:pt>
                <c:pt idx="28">
                  <c:v>0.11387892091196908</c:v>
                </c:pt>
                <c:pt idx="29">
                  <c:v>0.15124535927074365</c:v>
                </c:pt>
                <c:pt idx="30">
                  <c:v>0.20087253343805211</c:v>
                </c:pt>
                <c:pt idx="31">
                  <c:v>0.26678337960123605</c:v>
                </c:pt>
                <c:pt idx="32">
                  <c:v>0.35432076307625854</c:v>
                </c:pt>
                <c:pt idx="33">
                  <c:v>0.47058050385245032</c:v>
                </c:pt>
                <c:pt idx="34">
                  <c:v>0.62498642969914964</c:v>
                </c:pt>
                <c:pt idx="35">
                  <c:v>0.83005401436263926</c:v>
                </c:pt>
                <c:pt idx="36">
                  <c:v>1.1024044004205729</c:v>
                </c:pt>
                <c:pt idx="37">
                  <c:v>1.4641108232088327</c:v>
                </c:pt>
                <c:pt idx="38">
                  <c:v>1.9444862560260094</c:v>
                </c:pt>
                <c:pt idx="39">
                  <c:v>2.5824566132340436</c:v>
                </c:pt>
                <c:pt idx="40">
                  <c:v>3.429710872882807</c:v>
                </c:pt>
                <c:pt idx="41">
                  <c:v>4.5548816795794389</c:v>
                </c:pt>
                <c:pt idx="42">
                  <c:v>6.0490921453604782</c:v>
                </c:pt>
                <c:pt idx="43">
                  <c:v>8.0333128863969367</c:v>
                </c:pt>
                <c:pt idx="44">
                  <c:v>10.668115796521105</c:v>
                </c:pt>
                <c:pt idx="45">
                  <c:v>14.166597804673456</c:v>
                </c:pt>
                <c:pt idx="46">
                  <c:v>18.81149155485226</c:v>
                </c:pt>
                <c:pt idx="47">
                  <c:v>24.977795992418262</c:v>
                </c:pt>
                <c:pt idx="48">
                  <c:v>33.162666242937291</c:v>
                </c:pt>
                <c:pt idx="49">
                  <c:v>44.02481855494667</c:v>
                </c:pt>
                <c:pt idx="50">
                  <c:v>58.436351084349859</c:v>
                </c:pt>
                <c:pt idx="51">
                  <c:v>77.550666881744121</c:v>
                </c:pt>
                <c:pt idx="52">
                  <c:v>102.89110561136106</c:v>
                </c:pt>
                <c:pt idx="53">
                  <c:v>136.46590035422193</c:v>
                </c:pt>
                <c:pt idx="54">
                  <c:v>180.91605414825486</c:v>
                </c:pt>
                <c:pt idx="55">
                  <c:v>239.7034166419875</c:v>
                </c:pt>
                <c:pt idx="56">
                  <c:v>317.34612994173438</c:v>
                </c:pt>
                <c:pt idx="57">
                  <c:v>419.70679796207605</c:v>
                </c:pt>
                <c:pt idx="58">
                  <c:v>554.33368492625448</c:v>
                </c:pt>
                <c:pt idx="59">
                  <c:v>730.84454884328738</c:v>
                </c:pt>
                <c:pt idx="60">
                  <c:v>961.322864186885</c:v>
                </c:pt>
                <c:pt idx="61">
                  <c:v>1260.6627673430748</c:v>
                </c:pt>
                <c:pt idx="62">
                  <c:v>1646.7479124482609</c:v>
                </c:pt>
                <c:pt idx="63">
                  <c:v>2140.279990136351</c:v>
                </c:pt>
                <c:pt idx="64">
                  <c:v>2763.994906946034</c:v>
                </c:pt>
                <c:pt idx="65">
                  <c:v>3540.9501020883458</c:v>
                </c:pt>
                <c:pt idx="66">
                  <c:v>4491.5995343139366</c:v>
                </c:pt>
                <c:pt idx="67">
                  <c:v>5629.5878912211256</c:v>
                </c:pt>
                <c:pt idx="68">
                  <c:v>6956.6738790963009</c:v>
                </c:pt>
                <c:pt idx="69">
                  <c:v>8457.8979909218742</c:v>
                </c:pt>
                <c:pt idx="70">
                  <c:v>10098.762284417062</c:v>
                </c:pt>
                <c:pt idx="71">
                  <c:v>11826.263685119791</c:v>
                </c:pt>
                <c:pt idx="72">
                  <c:v>13574.659840965507</c:v>
                </c:pt>
                <c:pt idx="73">
                  <c:v>15274.992599131874</c:v>
                </c:pt>
                <c:pt idx="74">
                  <c:v>16865.617760442015</c:v>
                </c:pt>
                <c:pt idx="75">
                  <c:v>18300.479076234064</c:v>
                </c:pt>
                <c:pt idx="76">
                  <c:v>19552.989871078098</c:v>
                </c:pt>
                <c:pt idx="77">
                  <c:v>20615.346380514362</c:v>
                </c:pt>
                <c:pt idx="78">
                  <c:v>21494.669534674089</c:v>
                </c:pt>
                <c:pt idx="79">
                  <c:v>22207.893397782344</c:v>
                </c:pt>
                <c:pt idx="80">
                  <c:v>22776.944387207401</c:v>
                </c:pt>
                <c:pt idx="81">
                  <c:v>23225.029717144425</c:v>
                </c:pt>
                <c:pt idx="82">
                  <c:v>23574.220877363194</c:v>
                </c:pt>
                <c:pt idx="83">
                  <c:v>23844.149807198261</c:v>
                </c:pt>
                <c:pt idx="84">
                  <c:v>24051.505026162646</c:v>
                </c:pt>
                <c:pt idx="85">
                  <c:v>24210.026838309092</c:v>
                </c:pt>
                <c:pt idx="86">
                  <c:v>24330.770198048624</c:v>
                </c:pt>
                <c:pt idx="87">
                  <c:v>24422.48055552072</c:v>
                </c:pt>
                <c:pt idx="88">
                  <c:v>24491.990547925245</c:v>
                </c:pt>
                <c:pt idx="89">
                  <c:v>24544.589108972894</c:v>
                </c:pt>
                <c:pt idx="90">
                  <c:v>24584.342025603743</c:v>
                </c:pt>
                <c:pt idx="91">
                  <c:v>24614.358686934051</c:v>
                </c:pt>
                <c:pt idx="92">
                  <c:v>24637.007861887476</c:v>
                </c:pt>
                <c:pt idx="93">
                  <c:v>24654.088867962506</c:v>
                </c:pt>
                <c:pt idx="94">
                  <c:v>24666.965486783713</c:v>
                </c:pt>
                <c:pt idx="95">
                  <c:v>24676.669693944634</c:v>
                </c:pt>
                <c:pt idx="96">
                  <c:v>24683.981424390706</c:v>
                </c:pt>
                <c:pt idx="97">
                  <c:v>24689.489582075796</c:v>
                </c:pt>
                <c:pt idx="98">
                  <c:v>24693.638519345615</c:v>
                </c:pt>
                <c:pt idx="99">
                  <c:v>24696.763342366979</c:v>
                </c:pt>
                <c:pt idx="100">
                  <c:v>24699.116669972147</c:v>
                </c:pt>
                <c:pt idx="101">
                  <c:v>24700.888881509723</c:v>
                </c:pt>
                <c:pt idx="102">
                  <c:v>24702.223419102193</c:v>
                </c:pt>
                <c:pt idx="103">
                  <c:v>24703.228341604692</c:v>
                </c:pt>
                <c:pt idx="104">
                  <c:v>24703.985042364446</c:v>
                </c:pt>
                <c:pt idx="105">
                  <c:v>24705.975011296989</c:v>
                </c:pt>
                <c:pt idx="106">
                  <c:v>24706.24804136507</c:v>
                </c:pt>
                <c:pt idx="107">
                  <c:v>24706.285498998466</c:v>
                </c:pt>
                <c:pt idx="108">
                  <c:v>24706.290637843045</c:v>
                </c:pt>
                <c:pt idx="109">
                  <c:v>24706.291342844459</c:v>
                </c:pt>
                <c:pt idx="110">
                  <c:v>24706.291439564036</c:v>
                </c:pt>
                <c:pt idx="111">
                  <c:v>24706.291452833055</c:v>
                </c:pt>
                <c:pt idx="112">
                  <c:v>24706.291454653438</c:v>
                </c:pt>
              </c:numCache>
            </c:numRef>
          </c:yVal>
          <c:smooth val="0"/>
        </c:ser>
        <c:ser>
          <c:idx val="7"/>
          <c:order val="6"/>
          <c:tx>
            <c:v>China Cases</c:v>
          </c:tx>
          <c:spPr>
            <a:ln w="6350" cap="rnd">
              <a:solidFill>
                <a:schemeClr val="accent2">
                  <a:lumMod val="75000"/>
                </a:schemeClr>
              </a:solidFill>
              <a:round/>
            </a:ln>
            <a:effectLst/>
          </c:spPr>
          <c:marker>
            <c:symbol val="x"/>
            <c:size val="3"/>
            <c:spPr>
              <a:noFill/>
              <a:ln w="9525">
                <a:solidFill>
                  <a:schemeClr val="accent2">
                    <a:lumMod val="60000"/>
                  </a:schemeClr>
                </a:solidFill>
              </a:ln>
              <a:effectLst/>
            </c:spPr>
          </c:marker>
          <c:xVal>
            <c:numRef>
              <c:f>myData!ChinaDates</c:f>
              <c:numCache>
                <c:formatCode>m/d/yyyy</c:formatCode>
                <c:ptCount val="102"/>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numCache>
            </c:numRef>
          </c:xVal>
          <c:yVal>
            <c:numRef>
              <c:f>myData!ChinaCases</c:f>
              <c:numCache>
                <c:formatCode>0.0</c:formatCode>
                <c:ptCount val="102"/>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c:v>536.64784316048156</c:v>
                </c:pt>
                <c:pt idx="34">
                  <c:v>540.21201689646796</c:v>
                </c:pt>
                <c:pt idx="35">
                  <c:v>543.07447221659743</c:v>
                </c:pt>
                <c:pt idx="36">
                  <c:v>546.08977709265605</c:v>
                </c:pt>
                <c:pt idx="37">
                  <c:v>548.36862501741928</c:v>
                </c:pt>
                <c:pt idx="38">
                  <c:v>551.34224365095179</c:v>
                </c:pt>
                <c:pt idx="39">
                  <c:v>555.34412293346293</c:v>
                </c:pt>
                <c:pt idx="40">
                  <c:v>556.7614551793522</c:v>
                </c:pt>
                <c:pt idx="41">
                  <c:v>557.6299185653138</c:v>
                </c:pt>
                <c:pt idx="42">
                  <c:v>558.49838195127541</c:v>
                </c:pt>
                <c:pt idx="43">
                  <c:v>559.54748572151709</c:v>
                </c:pt>
                <c:pt idx="44">
                  <c:v>560.61048490593407</c:v>
                </c:pt>
                <c:pt idx="45">
                  <c:v>561.1663014729495</c:v>
                </c:pt>
                <c:pt idx="46">
                  <c:v>561.5345299485972</c:v>
                </c:pt>
                <c:pt idx="47">
                  <c:v>561.79159511084185</c:v>
                </c:pt>
                <c:pt idx="48">
                  <c:v>561.97918320220958</c:v>
                </c:pt>
                <c:pt idx="49">
                  <c:v>562.21540524319107</c:v>
                </c:pt>
                <c:pt idx="50">
                  <c:v>562.29183002115576</c:v>
                </c:pt>
                <c:pt idx="51">
                  <c:v>562.38215021329574</c:v>
                </c:pt>
                <c:pt idx="52">
                  <c:v>562.60447684010194</c:v>
                </c:pt>
                <c:pt idx="53">
                  <c:v>562.78511722438191</c:v>
                </c:pt>
                <c:pt idx="54">
                  <c:v>562.99354843701269</c:v>
                </c:pt>
                <c:pt idx="55">
                  <c:v>563.16724111420501</c:v>
                </c:pt>
                <c:pt idx="56">
                  <c:v>563.47294022606354</c:v>
                </c:pt>
                <c:pt idx="57">
                  <c:v>563.84811640879889</c:v>
                </c:pt>
                <c:pt idx="58">
                  <c:v>564.50120087504206</c:v>
                </c:pt>
                <c:pt idx="59">
                  <c:v>564.88332476486516</c:v>
                </c:pt>
                <c:pt idx="60">
                  <c:v>565.78652668626523</c:v>
                </c:pt>
                <c:pt idx="61">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572.71339065269501</c:v>
                </c:pt>
                <c:pt idx="72">
                  <c:v>573.26225951262268</c:v>
                </c:pt>
                <c:pt idx="73">
                  <c:v>573.48458613942887</c:v>
                </c:pt>
                <c:pt idx="74">
                  <c:v>573.89450085760279</c:v>
                </c:pt>
                <c:pt idx="75">
                  <c:v>574.33220640412742</c:v>
                </c:pt>
                <c:pt idx="76">
                  <c:v>574.70043487977512</c:v>
                </c:pt>
                <c:pt idx="77">
                  <c:v>575.33267622475512</c:v>
                </c:pt>
                <c:pt idx="78">
                  <c:v>575.84680654924443</c:v>
                </c:pt>
                <c:pt idx="79">
                  <c:v>576.2497735603306</c:v>
                </c:pt>
                <c:pt idx="80">
                  <c:v>576.75695617773215</c:v>
                </c:pt>
                <c:pt idx="81">
                  <c:v>577.59068102825529</c:v>
                </c:pt>
                <c:pt idx="82">
                  <c:v>578.13954988818307</c:v>
                </c:pt>
                <c:pt idx="83">
                  <c:v>578.78568664733848</c:v>
                </c:pt>
                <c:pt idx="84">
                  <c:v>579.13307200172312</c:v>
                </c:pt>
                <c:pt idx="85">
                  <c:v>579.45961423484471</c:v>
                </c:pt>
                <c:pt idx="86">
                  <c:v>581.93994566515107</c:v>
                </c:pt>
                <c:pt idx="87">
                  <c:v>582.1275337565188</c:v>
                </c:pt>
                <c:pt idx="88">
                  <c:v>582.25259248409725</c:v>
                </c:pt>
                <c:pt idx="89">
                  <c:v>582.33596496914959</c:v>
                </c:pt>
                <c:pt idx="90">
                  <c:v>582.58608242430648</c:v>
                </c:pt>
                <c:pt idx="91">
                  <c:v>582.69029803062188</c:v>
                </c:pt>
                <c:pt idx="92">
                  <c:v>582.80146134402491</c:v>
                </c:pt>
                <c:pt idx="93">
                  <c:v>582.90567695034031</c:v>
                </c:pt>
                <c:pt idx="94">
                  <c:v>582.97515402121724</c:v>
                </c:pt>
                <c:pt idx="95">
                  <c:v>582.99599714248041</c:v>
                </c:pt>
                <c:pt idx="96">
                  <c:v>583.03768338500652</c:v>
                </c:pt>
                <c:pt idx="97">
                  <c:v>583.19053294093578</c:v>
                </c:pt>
                <c:pt idx="98">
                  <c:v>583.21832376928649</c:v>
                </c:pt>
                <c:pt idx="99">
                  <c:v>583.30169625433882</c:v>
                </c:pt>
                <c:pt idx="100">
                  <c:v>583.32253937560188</c:v>
                </c:pt>
                <c:pt idx="101">
                  <c:v>583.32253937560188</c:v>
                </c:pt>
              </c:numCache>
            </c:numRef>
          </c:yVal>
          <c:smooth val="0"/>
        </c:ser>
        <c:ser>
          <c:idx val="6"/>
          <c:order val="7"/>
          <c:tx>
            <c:strRef>
              <c:f>myData!ChinaSeries</c:f>
              <c:strCache>
                <c:ptCount val="1"/>
                <c:pt idx="0">
                  <c:v>China Limit 571   r^2=99.47%</c:v>
                </c:pt>
              </c:strCache>
            </c:strRef>
          </c:tx>
          <c:spPr>
            <a:ln w="19050" cap="rnd">
              <a:solidFill>
                <a:schemeClr val="accent2">
                  <a:lumMod val="75000"/>
                </a:schemeClr>
              </a:solidFill>
              <a:prstDash val="sysDot"/>
              <a:round/>
            </a:ln>
            <a:effectLst/>
          </c:spPr>
          <c:marker>
            <c:symbol val="none"/>
          </c:marker>
          <c:xVal>
            <c:numRef>
              <c:f>myData!$B$11:$B$124</c:f>
              <c:numCache>
                <c:formatCode>m/d/yyyy</c:formatCode>
                <c:ptCount val="114"/>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43926</c:v>
                </c:pt>
                <c:pt idx="75">
                  <c:v>43927</c:v>
                </c:pt>
                <c:pt idx="76">
                  <c:v>43928</c:v>
                </c:pt>
                <c:pt idx="77">
                  <c:v>43929</c:v>
                </c:pt>
                <c:pt idx="78">
                  <c:v>43930</c:v>
                </c:pt>
                <c:pt idx="79">
                  <c:v>43931</c:v>
                </c:pt>
                <c:pt idx="80">
                  <c:v>43932</c:v>
                </c:pt>
                <c:pt idx="81">
                  <c:v>43933</c:v>
                </c:pt>
                <c:pt idx="82">
                  <c:v>43934</c:v>
                </c:pt>
                <c:pt idx="83">
                  <c:v>43935</c:v>
                </c:pt>
                <c:pt idx="84">
                  <c:v>43936</c:v>
                </c:pt>
                <c:pt idx="85">
                  <c:v>43937</c:v>
                </c:pt>
                <c:pt idx="86">
                  <c:v>43938</c:v>
                </c:pt>
                <c:pt idx="87">
                  <c:v>43939</c:v>
                </c:pt>
                <c:pt idx="88">
                  <c:v>43940</c:v>
                </c:pt>
                <c:pt idx="89">
                  <c:v>43941</c:v>
                </c:pt>
                <c:pt idx="90">
                  <c:v>43942</c:v>
                </c:pt>
                <c:pt idx="91">
                  <c:v>43943</c:v>
                </c:pt>
                <c:pt idx="92">
                  <c:v>43944</c:v>
                </c:pt>
                <c:pt idx="93">
                  <c:v>43945</c:v>
                </c:pt>
                <c:pt idx="94">
                  <c:v>43946</c:v>
                </c:pt>
                <c:pt idx="95">
                  <c:v>43947</c:v>
                </c:pt>
                <c:pt idx="96">
                  <c:v>43948</c:v>
                </c:pt>
                <c:pt idx="97">
                  <c:v>43949</c:v>
                </c:pt>
                <c:pt idx="98">
                  <c:v>43950</c:v>
                </c:pt>
                <c:pt idx="99">
                  <c:v>43951</c:v>
                </c:pt>
                <c:pt idx="100">
                  <c:v>43952</c:v>
                </c:pt>
                <c:pt idx="101">
                  <c:v>43953</c:v>
                </c:pt>
                <c:pt idx="102">
                  <c:v>43954</c:v>
                </c:pt>
                <c:pt idx="103">
                  <c:v>43955</c:v>
                </c:pt>
                <c:pt idx="104">
                  <c:v>43956</c:v>
                </c:pt>
                <c:pt idx="105">
                  <c:v>43957</c:v>
                </c:pt>
                <c:pt idx="106">
                  <c:v>43964</c:v>
                </c:pt>
                <c:pt idx="107">
                  <c:v>43971</c:v>
                </c:pt>
                <c:pt idx="108">
                  <c:v>43978</c:v>
                </c:pt>
                <c:pt idx="109">
                  <c:v>43985</c:v>
                </c:pt>
                <c:pt idx="110">
                  <c:v>43992</c:v>
                </c:pt>
                <c:pt idx="111">
                  <c:v>43999</c:v>
                </c:pt>
                <c:pt idx="112">
                  <c:v>44006</c:v>
                </c:pt>
                <c:pt idx="113">
                  <c:v>44013</c:v>
                </c:pt>
              </c:numCache>
            </c:numRef>
          </c:xVal>
          <c:yVal>
            <c:numRef>
              <c:f>myData!$BS$11:$BS$124</c:f>
              <c:numCache>
                <c:formatCode>0</c:formatCode>
                <c:ptCount val="114"/>
                <c:pt idx="0">
                  <c:v>10.868519722956787</c:v>
                </c:pt>
                <c:pt idx="1">
                  <c:v>13.491154974958885</c:v>
                </c:pt>
                <c:pt idx="2">
                  <c:v>16.727733215250691</c:v>
                </c:pt>
                <c:pt idx="3">
                  <c:v>20.71191055118247</c:v>
                </c:pt>
                <c:pt idx="4">
                  <c:v>25.601167451466242</c:v>
                </c:pt>
                <c:pt idx="5">
                  <c:v>31.578301271805465</c:v>
                </c:pt>
                <c:pt idx="6">
                  <c:v>38.851439541667453</c:v>
                </c:pt>
                <c:pt idx="7">
                  <c:v>47.65163719860908</c:v>
                </c:pt>
                <c:pt idx="8">
                  <c:v>58.226880117398544</c:v>
                </c:pt>
                <c:pt idx="9">
                  <c:v>70.831172762397586</c:v>
                </c:pt>
                <c:pt idx="10">
                  <c:v>85.707482660423508</c:v>
                </c:pt>
                <c:pt idx="11">
                  <c:v>103.06384196214357</c:v>
                </c:pt>
                <c:pt idx="12">
                  <c:v>123.04306270425411</c:v>
                </c:pt>
                <c:pt idx="13">
                  <c:v>145.68839489623994</c:v>
                </c:pt>
                <c:pt idx="14">
                  <c:v>170.90985254174805</c:v>
                </c:pt>
                <c:pt idx="15">
                  <c:v>198.45821767457792</c:v>
                </c:pt>
                <c:pt idx="16">
                  <c:v>227.91483286633218</c:v>
                </c:pt>
                <c:pt idx="17">
                  <c:v>258.70403839683513</c:v>
                </c:pt>
                <c:pt idx="18">
                  <c:v>290.13093120725978</c:v>
                </c:pt>
                <c:pt idx="19">
                  <c:v>321.44076075413716</c:v>
                </c:pt>
                <c:pt idx="20">
                  <c:v>351.88989791682252</c:v>
                </c:pt>
                <c:pt idx="21">
                  <c:v>380.81461867292461</c:v>
                </c:pt>
                <c:pt idx="22">
                  <c:v>407.68465547464774</c:v>
                </c:pt>
                <c:pt idx="23">
                  <c:v>432.13324734217525</c:v>
                </c:pt>
                <c:pt idx="24">
                  <c:v>453.96208373003407</c:v>
                </c:pt>
                <c:pt idx="25">
                  <c:v>473.12540097660946</c:v>
                </c:pt>
                <c:pt idx="26">
                  <c:v>489.70077826957993</c:v>
                </c:pt>
                <c:pt idx="27">
                  <c:v>503.85460617942937</c:v>
                </c:pt>
                <c:pt idx="28">
                  <c:v>515.80860530846223</c:v>
                </c:pt>
                <c:pt idx="29">
                  <c:v>525.81135654885622</c:v>
                </c:pt>
                <c:pt idx="30">
                  <c:v>534.11652450142412</c:v>
                </c:pt>
                <c:pt idx="31">
                  <c:v>540.96779938546808</c:v>
                </c:pt>
                <c:pt idx="32">
                  <c:v>546.58963692827797</c:v>
                </c:pt>
                <c:pt idx="33">
                  <c:v>551.18250340062309</c:v>
                </c:pt>
                <c:pt idx="34">
                  <c:v>554.92133035244581</c:v>
                </c:pt>
                <c:pt idx="35">
                  <c:v>557.95607020857074</c:v>
                </c:pt>
                <c:pt idx="36">
                  <c:v>560.41349453983617</c:v>
                </c:pt>
                <c:pt idx="37">
                  <c:v>562.39962003209564</c:v>
                </c:pt>
                <c:pt idx="38">
                  <c:v>564.00235065620643</c:v>
                </c:pt>
                <c:pt idx="39">
                  <c:v>565.29407984662555</c:v>
                </c:pt>
                <c:pt idx="40">
                  <c:v>566.3341072855294</c:v>
                </c:pt>
                <c:pt idx="41">
                  <c:v>567.17079952997778</c:v>
                </c:pt>
                <c:pt idx="42">
                  <c:v>567.84347126979185</c:v>
                </c:pt>
                <c:pt idx="43">
                  <c:v>568.383992401471</c:v>
                </c:pt>
                <c:pt idx="44">
                  <c:v>568.81814159589476</c:v>
                </c:pt>
                <c:pt idx="45">
                  <c:v>569.16673421740654</c:v>
                </c:pt>
                <c:pt idx="46">
                  <c:v>569.44655453215466</c:v>
                </c:pt>
                <c:pt idx="47">
                  <c:v>569.67112128305757</c:v>
                </c:pt>
                <c:pt idx="48">
                  <c:v>569.85131330535239</c:v>
                </c:pt>
                <c:pt idx="49">
                  <c:v>569.99587878148066</c:v>
                </c:pt>
                <c:pt idx="50">
                  <c:v>570.11184850566463</c:v>
                </c:pt>
                <c:pt idx="51">
                  <c:v>570.20487043677394</c:v>
                </c:pt>
                <c:pt idx="52">
                  <c:v>570.279480008836</c:v>
                </c:pt>
                <c:pt idx="53">
                  <c:v>570.33931820022906</c:v>
                </c:pt>
                <c:pt idx="54">
                  <c:v>570.38730724288246</c:v>
                </c:pt>
                <c:pt idx="55">
                  <c:v>570.42579206185792</c:v>
                </c:pt>
                <c:pt idx="56">
                  <c:v>570.45665404044689</c:v>
                </c:pt>
                <c:pt idx="57">
                  <c:v>570.48140246869946</c:v>
                </c:pt>
                <c:pt idx="58">
                  <c:v>570.50124801648474</c:v>
                </c:pt>
                <c:pt idx="59">
                  <c:v>570.51716174089461</c:v>
                </c:pt>
                <c:pt idx="60">
                  <c:v>570.52992246093152</c:v>
                </c:pt>
                <c:pt idx="61">
                  <c:v>570.54015478304188</c:v>
                </c:pt>
                <c:pt idx="62">
                  <c:v>570.54835961625952</c:v>
                </c:pt>
                <c:pt idx="63">
                  <c:v>570.55493865631706</c:v>
                </c:pt>
                <c:pt idx="64">
                  <c:v>570.56021402812303</c:v>
                </c:pt>
                <c:pt idx="65">
                  <c:v>570.56444404236015</c:v>
                </c:pt>
                <c:pt idx="66">
                  <c:v>570.56783583388358</c:v>
                </c:pt>
                <c:pt idx="67">
                  <c:v>570.57055549831978</c:v>
                </c:pt>
                <c:pt idx="68">
                  <c:v>570.57273622166133</c:v>
                </c:pt>
                <c:pt idx="69">
                  <c:v>570.5744847999548</c:v>
                </c:pt>
                <c:pt idx="70">
                  <c:v>570.57588686770805</c:v>
                </c:pt>
                <c:pt idx="71">
                  <c:v>570.57701109065022</c:v>
                </c:pt>
                <c:pt idx="72">
                  <c:v>570.5779125279106</c:v>
                </c:pt>
                <c:pt idx="73">
                  <c:v>570.57863532810654</c:v>
                </c:pt>
                <c:pt idx="74">
                  <c:v>570.57921489126818</c:v>
                </c:pt>
                <c:pt idx="75">
                  <c:v>570.57967960241263</c:v>
                </c:pt>
                <c:pt idx="76">
                  <c:v>570.58005222162615</c:v>
                </c:pt>
                <c:pt idx="77">
                  <c:v>570.58035099870449</c:v>
                </c:pt>
                <c:pt idx="78">
                  <c:v>570.58059056692412</c:v>
                </c:pt>
                <c:pt idx="79">
                  <c:v>570.5807826597096</c:v>
                </c:pt>
                <c:pt idx="80">
                  <c:v>570.58093668528409</c:v>
                </c:pt>
                <c:pt idx="81">
                  <c:v>570.58106018744843</c:v>
                </c:pt>
                <c:pt idx="82">
                  <c:v>570.58115921504941</c:v>
                </c:pt>
                <c:pt idx="83">
                  <c:v>570.58123861823265</c:v>
                </c:pt>
                <c:pt idx="84">
                  <c:v>570.5813022859885</c:v>
                </c:pt>
                <c:pt idx="85">
                  <c:v>570.58135333662358</c:v>
                </c:pt>
                <c:pt idx="86">
                  <c:v>570.58139427048729</c:v>
                </c:pt>
                <c:pt idx="87">
                  <c:v>570.58142709243248</c:v>
                </c:pt>
                <c:pt idx="88">
                  <c:v>570.58145341000818</c:v>
                </c:pt>
                <c:pt idx="89">
                  <c:v>570.58147451219361</c:v>
                </c:pt>
                <c:pt idx="90">
                  <c:v>570.58149143252979</c:v>
                </c:pt>
                <c:pt idx="91">
                  <c:v>570.5815049997392</c:v>
                </c:pt>
                <c:pt idx="92">
                  <c:v>570.58151587831571</c:v>
                </c:pt>
                <c:pt idx="93">
                  <c:v>570.58152460106919</c:v>
                </c:pt>
                <c:pt idx="94">
                  <c:v>570.58153159522226</c:v>
                </c:pt>
                <c:pt idx="95">
                  <c:v>570.58153720333405</c:v>
                </c:pt>
                <c:pt idx="96">
                  <c:v>570.58154170007833</c:v>
                </c:pt>
                <c:pt idx="97">
                  <c:v>570.58154530569641</c:v>
                </c:pt>
                <c:pt idx="98">
                  <c:v>570.58154819678396</c:v>
                </c:pt>
                <c:pt idx="99">
                  <c:v>570.58155051494043</c:v>
                </c:pt>
                <c:pt idx="100">
                  <c:v>570.58155237370465</c:v>
                </c:pt>
                <c:pt idx="101">
                  <c:v>570.58155386411488</c:v>
                </c:pt>
                <c:pt idx="102">
                  <c:v>570.58155505916829</c:v>
                </c:pt>
                <c:pt idx="103">
                  <c:v>570.58155601739634</c:v>
                </c:pt>
                <c:pt idx="104">
                  <c:v>570.58155678573087</c:v>
                </c:pt>
                <c:pt idx="105">
                  <c:v>570.58155740180359</c:v>
                </c:pt>
                <c:pt idx="106">
                  <c:v>570.58155936333537</c:v>
                </c:pt>
                <c:pt idx="107">
                  <c:v>570.58155978132538</c:v>
                </c:pt>
                <c:pt idx="108">
                  <c:v>570.58155987039652</c:v>
                </c:pt>
                <c:pt idx="109">
                  <c:v>570.58155988937688</c:v>
                </c:pt>
                <c:pt idx="110">
                  <c:v>570.58155989342163</c:v>
                </c:pt>
                <c:pt idx="111">
                  <c:v>570.58155989428349</c:v>
                </c:pt>
                <c:pt idx="112">
                  <c:v>570.58155989446709</c:v>
                </c:pt>
                <c:pt idx="113">
                  <c:v>570.5815598945062</c:v>
                </c:pt>
              </c:numCache>
            </c:numRef>
          </c:yVal>
          <c:smooth val="0"/>
        </c:ser>
        <c:ser>
          <c:idx val="10"/>
          <c:order val="8"/>
          <c:tx>
            <c:v>Au Cases</c:v>
          </c:tx>
          <c:spPr>
            <a:ln w="9525" cap="rnd">
              <a:noFill/>
              <a:round/>
            </a:ln>
            <a:effectLst/>
          </c:spPr>
          <c:marker>
            <c:symbol val="diamond"/>
            <c:size val="3"/>
            <c:spPr>
              <a:solidFill>
                <a:srgbClr val="FF0000"/>
              </a:solidFill>
              <a:ln w="6350">
                <a:noFill/>
              </a:ln>
              <a:effectLst/>
            </c:spPr>
          </c:marker>
          <c:xVal>
            <c:numRef>
              <c:f>myData!AuDates</c:f>
              <c:numCache>
                <c:formatCode>m/d/yyyy</c:formatCode>
                <c:ptCount val="99"/>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numCache>
            </c:numRef>
          </c:xVal>
          <c:yVal>
            <c:numRef>
              <c:f>myData!AuCases</c:f>
              <c:numCache>
                <c:formatCode>0.000</c:formatCode>
                <c:ptCount val="99"/>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2024.9172054880933</c:v>
                </c:pt>
                <c:pt idx="68">
                  <c:v>2114.0198706828578</c:v>
                </c:pt>
                <c:pt idx="69">
                  <c:v>2188.929190979341</c:v>
                </c:pt>
                <c:pt idx="70">
                  <c:v>2244.5197918309414</c:v>
                </c:pt>
                <c:pt idx="71">
                  <c:v>2286.7055669452766</c:v>
                </c:pt>
                <c:pt idx="72">
                  <c:v>2333.6224570257059</c:v>
                </c:pt>
                <c:pt idx="73">
                  <c:v>2376.5967513010564</c:v>
                </c:pt>
                <c:pt idx="74">
                  <c:v>2412.474373127267</c:v>
                </c:pt>
                <c:pt idx="75">
                  <c:v>2454.6601482416022</c:v>
                </c:pt>
                <c:pt idx="76">
                  <c:v>2487.7779530042581</c:v>
                </c:pt>
                <c:pt idx="77">
                  <c:v>2496.0574041949221</c:v>
                </c:pt>
                <c:pt idx="78">
                  <c:v>2515.7703832203124</c:v>
                </c:pt>
                <c:pt idx="79">
                  <c:v>2530.752247279609</c:v>
                </c:pt>
                <c:pt idx="80">
                  <c:v>2544.9455921778899</c:v>
                </c:pt>
                <c:pt idx="81">
                  <c:v>2555.9848604321087</c:v>
                </c:pt>
                <c:pt idx="82">
                  <c:v>2574.5150607159753</c:v>
                </c:pt>
                <c:pt idx="83">
                  <c:v>2590.2854439362877</c:v>
                </c:pt>
                <c:pt idx="84">
                  <c:v>2606.8443463176154</c:v>
                </c:pt>
                <c:pt idx="85">
                  <c:v>2611.1812017032016</c:v>
                </c:pt>
                <c:pt idx="86">
                  <c:v>2619.8549124743731</c:v>
                </c:pt>
                <c:pt idx="87">
                  <c:v>2622.6147295379278</c:v>
                </c:pt>
                <c:pt idx="88">
                  <c:v>2625.7688061819904</c:v>
                </c:pt>
                <c:pt idx="89">
                  <c:v>2631.6826998896072</c:v>
                </c:pt>
                <c:pt idx="90">
                  <c:v>2638.3851127582402</c:v>
                </c:pt>
                <c:pt idx="91">
                  <c:v>2647.0588235294117</c:v>
                </c:pt>
                <c:pt idx="92">
                  <c:v>2649.0301214319506</c:v>
                </c:pt>
                <c:pt idx="93">
                  <c:v>2654.54975555906</c:v>
                </c:pt>
                <c:pt idx="94">
                  <c:v>2659.6751301056615</c:v>
                </c:pt>
                <c:pt idx="95">
                  <c:v>2662.8292067497241</c:v>
                </c:pt>
                <c:pt idx="96">
                  <c:v>2667.1660621353099</c:v>
                </c:pt>
                <c:pt idx="97">
                  <c:v>2672.6856962624192</c:v>
                </c:pt>
                <c:pt idx="98">
                  <c:v>2679.7823687115597</c:v>
                </c:pt>
              </c:numCache>
            </c:numRef>
          </c:yVal>
          <c:smooth val="0"/>
        </c:ser>
        <c:ser>
          <c:idx val="9"/>
          <c:order val="9"/>
          <c:tx>
            <c:strRef>
              <c:f>myData!AuSeries</c:f>
              <c:strCache>
                <c:ptCount val="1"/>
                <c:pt idx="0">
                  <c:v>Australia Limit 2.62 k r^2=99.94%</c:v>
                </c:pt>
              </c:strCache>
            </c:strRef>
          </c:tx>
          <c:spPr>
            <a:ln w="19050" cap="rnd">
              <a:solidFill>
                <a:srgbClr val="FF0000"/>
              </a:solidFill>
              <a:prstDash val="sysDot"/>
              <a:round/>
            </a:ln>
            <a:effectLst/>
          </c:spPr>
          <c:marker>
            <c:symbol val="none"/>
          </c:marker>
          <c:xVal>
            <c:numRef>
              <c:f>myData!AuLogiDates</c:f>
              <c:numCache>
                <c:formatCode>m/d/yyyy</c:formatCode>
                <c:ptCount val="110"/>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43926</c:v>
                </c:pt>
                <c:pt idx="71">
                  <c:v>43927</c:v>
                </c:pt>
                <c:pt idx="72">
                  <c:v>43928</c:v>
                </c:pt>
                <c:pt idx="73">
                  <c:v>43929</c:v>
                </c:pt>
                <c:pt idx="74">
                  <c:v>43930</c:v>
                </c:pt>
                <c:pt idx="75">
                  <c:v>43931</c:v>
                </c:pt>
                <c:pt idx="76">
                  <c:v>43932</c:v>
                </c:pt>
                <c:pt idx="77">
                  <c:v>43933</c:v>
                </c:pt>
                <c:pt idx="78">
                  <c:v>43934</c:v>
                </c:pt>
                <c:pt idx="79">
                  <c:v>43935</c:v>
                </c:pt>
                <c:pt idx="80">
                  <c:v>43936</c:v>
                </c:pt>
                <c:pt idx="81">
                  <c:v>43937</c:v>
                </c:pt>
                <c:pt idx="82">
                  <c:v>43938</c:v>
                </c:pt>
                <c:pt idx="83">
                  <c:v>43939</c:v>
                </c:pt>
                <c:pt idx="84">
                  <c:v>43940</c:v>
                </c:pt>
                <c:pt idx="85">
                  <c:v>43941</c:v>
                </c:pt>
                <c:pt idx="86">
                  <c:v>43942</c:v>
                </c:pt>
                <c:pt idx="87">
                  <c:v>43943</c:v>
                </c:pt>
                <c:pt idx="88">
                  <c:v>43944</c:v>
                </c:pt>
                <c:pt idx="89">
                  <c:v>43945</c:v>
                </c:pt>
                <c:pt idx="90">
                  <c:v>43946</c:v>
                </c:pt>
                <c:pt idx="91">
                  <c:v>43947</c:v>
                </c:pt>
                <c:pt idx="92">
                  <c:v>43948</c:v>
                </c:pt>
                <c:pt idx="93">
                  <c:v>43949</c:v>
                </c:pt>
                <c:pt idx="94">
                  <c:v>43950</c:v>
                </c:pt>
                <c:pt idx="95">
                  <c:v>43951</c:v>
                </c:pt>
                <c:pt idx="96">
                  <c:v>43952</c:v>
                </c:pt>
                <c:pt idx="97">
                  <c:v>43953</c:v>
                </c:pt>
                <c:pt idx="98">
                  <c:v>43954</c:v>
                </c:pt>
                <c:pt idx="99">
                  <c:v>43955</c:v>
                </c:pt>
                <c:pt idx="100">
                  <c:v>43956</c:v>
                </c:pt>
                <c:pt idx="101">
                  <c:v>43957</c:v>
                </c:pt>
                <c:pt idx="102">
                  <c:v>43964</c:v>
                </c:pt>
                <c:pt idx="103">
                  <c:v>43971</c:v>
                </c:pt>
                <c:pt idx="104">
                  <c:v>43978</c:v>
                </c:pt>
                <c:pt idx="105">
                  <c:v>43985</c:v>
                </c:pt>
                <c:pt idx="106">
                  <c:v>43992</c:v>
                </c:pt>
                <c:pt idx="107">
                  <c:v>43999</c:v>
                </c:pt>
                <c:pt idx="108">
                  <c:v>44006</c:v>
                </c:pt>
                <c:pt idx="109">
                  <c:v>44013</c:v>
                </c:pt>
              </c:numCache>
            </c:numRef>
          </c:xVal>
          <c:yVal>
            <c:numRef>
              <c:f>myData!AuLogi</c:f>
              <c:numCache>
                <c:formatCode>0.000</c:formatCode>
                <c:ptCount val="110"/>
                <c:pt idx="0">
                  <c:v>2.3188278729988315E-3</c:v>
                </c:pt>
                <c:pt idx="1">
                  <c:v>2.9073388959562382E-3</c:v>
                </c:pt>
                <c:pt idx="2">
                  <c:v>3.6452119074376014E-3</c:v>
                </c:pt>
                <c:pt idx="3">
                  <c:v>4.5703543259517166E-3</c:v>
                </c:pt>
                <c:pt idx="4">
                  <c:v>5.730294238788158E-3</c:v>
                </c:pt>
                <c:pt idx="5">
                  <c:v>7.1846220294552038E-3</c:v>
                </c:pt>
                <c:pt idx="6">
                  <c:v>9.0080516429624207E-3</c:v>
                </c:pt>
                <c:pt idx="7">
                  <c:v>1.1294258728326371E-2</c:v>
                </c:pt>
                <c:pt idx="8">
                  <c:v>1.416069279148187E-2</c:v>
                </c:pt>
                <c:pt idx="9">
                  <c:v>1.775461050302966E-2</c:v>
                </c:pt>
                <c:pt idx="10">
                  <c:v>2.2260639997440781E-2</c:v>
                </c:pt>
                <c:pt idx="11">
                  <c:v>2.7910264585124179E-2</c:v>
                </c:pt>
                <c:pt idx="12">
                  <c:v>3.4993712799062618E-2</c:v>
                </c:pt>
                <c:pt idx="13">
                  <c:v>4.3874865151404242E-2</c:v>
                </c:pt>
                <c:pt idx="14">
                  <c:v>5.5009942689421588E-2</c:v>
                </c:pt>
                <c:pt idx="15">
                  <c:v>6.897093630732111E-2</c:v>
                </c:pt>
                <c:pt idx="16">
                  <c:v>8.6474978662865146E-2</c:v>
                </c:pt>
                <c:pt idx="17">
                  <c:v>0.10842116480668629</c:v>
                </c:pt>
                <c:pt idx="18">
                  <c:v>0.13593670867268079</c:v>
                </c:pt>
                <c:pt idx="19">
                  <c:v>0.17043479963630248</c:v>
                </c:pt>
                <c:pt idx="20">
                  <c:v>0.21368712039924725</c:v>
                </c:pt>
                <c:pt idx="21">
                  <c:v>0.26791473433919627</c:v>
                </c:pt>
                <c:pt idx="22" formatCode="0.0">
                  <c:v>0.33590198422618112</c:v>
                </c:pt>
                <c:pt idx="23" formatCode="0.0">
                  <c:v>0.42113921075668181</c:v>
                </c:pt>
                <c:pt idx="24" formatCode="0.0">
                  <c:v>0.52800155537659232</c:v>
                </c:pt>
                <c:pt idx="25" formatCode="0.0">
                  <c:v>0.66197292705905852</c:v>
                </c:pt>
                <c:pt idx="26" formatCode="0.0">
                  <c:v>0.82992647232639705</c:v>
                </c:pt>
                <c:pt idx="27" formatCode="0.0">
                  <c:v>1.040475695390817</c:v>
                </c:pt>
                <c:pt idx="28" formatCode="0.0">
                  <c:v>1.3044138553905029</c:v>
                </c:pt>
                <c:pt idx="29" formatCode="0.0">
                  <c:v>1.6352635682569125</c:v>
                </c:pt>
                <c:pt idx="30" formatCode="0.0">
                  <c:v>2.0499638344026363</c:v>
                </c:pt>
                <c:pt idx="31" formatCode="0.0">
                  <c:v>2.5697281965668943</c:v>
                </c:pt>
                <c:pt idx="32" formatCode="0">
                  <c:v>3.2211156198200408</c:v>
                </c:pt>
                <c:pt idx="33" formatCode="0">
                  <c:v>4.0373651990027684</c:v>
                </c:pt>
                <c:pt idx="34" formatCode="0">
                  <c:v>5.0600571398640071</c:v>
                </c:pt>
                <c:pt idx="35" formatCode="0">
                  <c:v>6.3411757664315225</c:v>
                </c:pt>
                <c:pt idx="36" formatCode="0">
                  <c:v>7.945665573452076</c:v>
                </c:pt>
                <c:pt idx="37" formatCode="0">
                  <c:v>9.9545882915729518</c:v>
                </c:pt>
                <c:pt idx="38" formatCode="0">
                  <c:v>12.46900680692597</c:v>
                </c:pt>
                <c:pt idx="39" formatCode="0">
                  <c:v>15.614739014416774</c:v>
                </c:pt>
                <c:pt idx="40" formatCode="0">
                  <c:v>19.548138426621428</c:v>
                </c:pt>
                <c:pt idx="41" formatCode="0">
                  <c:v>24.463063723787876</c:v>
                </c:pt>
                <c:pt idx="42" formatCode="0">
                  <c:v>30.599188468791834</c:v>
                </c:pt>
                <c:pt idx="43" formatCode="0">
                  <c:v>38.251762508268072</c:v>
                </c:pt>
                <c:pt idx="44" formatCode="0">
                  <c:v>47.782849476414434</c:v>
                </c:pt>
                <c:pt idx="45" formatCode="0">
                  <c:v>59.633903428766914</c:v>
                </c:pt>
                <c:pt idx="46" formatCode="0">
                  <c:v>74.339275212779953</c:v>
                </c:pt>
                <c:pt idx="47" formatCode="0">
                  <c:v>92.539809038600183</c:v>
                </c:pt>
                <c:pt idx="48" formatCode="0">
                  <c:v>114.99504911497115</c:v>
                </c:pt>
                <c:pt idx="49" formatCode="0">
                  <c:v>142.59167847691626</c:v>
                </c:pt>
                <c:pt idx="50" formatCode="0">
                  <c:v>176.34464318788378</c:v>
                </c:pt>
                <c:pt idx="51" formatCode="0">
                  <c:v>217.38604211570967</c:v>
                </c:pt>
                <c:pt idx="52" formatCode="0">
                  <c:v>266.93550945431411</c:v>
                </c:pt>
                <c:pt idx="53" formatCode="0">
                  <c:v>326.24496017939964</c:v>
                </c:pt>
                <c:pt idx="54" formatCode="0">
                  <c:v>396.51101380735787</c:v>
                </c:pt>
                <c:pt idx="55" formatCode="0">
                  <c:v>478.75126813074223</c:v>
                </c:pt>
                <c:pt idx="56" formatCode="0">
                  <c:v>573.64699806741282</c:v>
                </c:pt>
                <c:pt idx="57" formatCode="0">
                  <c:v>681.36530092804173</c:v>
                </c:pt>
                <c:pt idx="58" formatCode="0">
                  <c:v>801.38701807846428</c:v>
                </c:pt>
                <c:pt idx="59" formatCode="0">
                  <c:v>932.3791225046034</c:v>
                </c:pt>
                <c:pt idx="60" formatCode="0">
                  <c:v>1072.1553405639772</c:v>
                </c:pt>
                <c:pt idx="61" formatCode="0">
                  <c:v>1217.7599744150418</c:v>
                </c:pt>
                <c:pt idx="62" formatCode="0">
                  <c:v>1365.6846659933269</c:v>
                </c:pt>
                <c:pt idx="63" formatCode="0">
                  <c:v>1512.1917398417318</c:v>
                </c:pt>
                <c:pt idx="64" formatCode="0">
                  <c:v>1653.6842699547524</c:v>
                </c:pt>
                <c:pt idx="65" formatCode="0">
                  <c:v>1787.0473001577361</c:v>
                </c:pt>
                <c:pt idx="66" formatCode="0">
                  <c:v>1909.8944188893768</c:v>
                </c:pt>
                <c:pt idx="67" formatCode="0">
                  <c:v>2020.6843145817807</c:v>
                </c:pt>
                <c:pt idx="68" formatCode="0">
                  <c:v>2118.7088589502237</c:v>
                </c:pt>
                <c:pt idx="69" formatCode="0">
                  <c:v>2203.9830009755624</c:v>
                </c:pt>
                <c:pt idx="70" formatCode="0">
                  <c:v>2277.0795780082394</c:v>
                </c:pt>
                <c:pt idx="71" formatCode="0">
                  <c:v>2338.9499144648839</c:v>
                </c:pt>
                <c:pt idx="72" formatCode="0">
                  <c:v>2390.759841123886</c:v>
                </c:pt>
                <c:pt idx="73" formatCode="0">
                  <c:v>2433.7572283194595</c:v>
                </c:pt>
                <c:pt idx="74" formatCode="0">
                  <c:v>2469.1757865939749</c:v>
                </c:pt>
                <c:pt idx="75" formatCode="0">
                  <c:v>2498.1725018782945</c:v>
                </c:pt>
                <c:pt idx="76" formatCode="0">
                  <c:v>2521.7924473362295</c:v>
                </c:pt>
                <c:pt idx="77" formatCode="0">
                  <c:v>2540.9537923237012</c:v>
                </c:pt>
                <c:pt idx="78" formatCode="0">
                  <c:v>2556.4464565137037</c:v>
                </c:pt>
                <c:pt idx="79" formatCode="0">
                  <c:v>2568.9391450524281</c:v>
                </c:pt>
                <c:pt idx="80" formatCode="0">
                  <c:v>2578.9908973220035</c:v>
                </c:pt>
                <c:pt idx="81" formatCode="0">
                  <c:v>2587.0645111847912</c:v>
                </c:pt>
                <c:pt idx="82" formatCode="0">
                  <c:v>2593.540169122015</c:v>
                </c:pt>
                <c:pt idx="83" formatCode="0">
                  <c:v>2598.7282922214154</c:v>
                </c:pt>
                <c:pt idx="84" formatCode="0">
                  <c:v>2602.8811244210742</c:v>
                </c:pt>
                <c:pt idx="85" formatCode="0">
                  <c:v>2606.2028555843967</c:v>
                </c:pt>
                <c:pt idx="86" formatCode="0">
                  <c:v>2608.8582766121476</c:v>
                </c:pt>
                <c:pt idx="87" formatCode="0">
                  <c:v>2610.9800621511981</c:v>
                </c:pt>
                <c:pt idx="88" formatCode="0">
                  <c:v>2612.6748257001937</c:v>
                </c:pt>
                <c:pt idx="89" formatCode="0">
                  <c:v>2614.028108519648</c:v>
                </c:pt>
                <c:pt idx="90" formatCode="0">
                  <c:v>2615.1084614878873</c:v>
                </c:pt>
                <c:pt idx="91" formatCode="0">
                  <c:v>2615.9707667943894</c:v>
                </c:pt>
                <c:pt idx="92" formatCode="0">
                  <c:v>2616.6589296488069</c:v>
                </c:pt>
                <c:pt idx="93" formatCode="0">
                  <c:v>2617.2080522813549</c:v>
                </c:pt>
                <c:pt idx="94" formatCode="0">
                  <c:v>2617.6461852423276</c:v>
                </c:pt>
                <c:pt idx="95" formatCode="0">
                  <c:v>2617.9957352930619</c:v>
                </c:pt>
                <c:pt idx="96" formatCode="0">
                  <c:v>2618.2745953891331</c:v>
                </c:pt>
                <c:pt idx="97" formatCode="0">
                  <c:v>2618.4970504461385</c:v>
                </c:pt>
                <c:pt idx="98" formatCode="0">
                  <c:v>2618.6745026373965</c:v>
                </c:pt>
                <c:pt idx="99" formatCode="0">
                  <c:v>2618.8160517097999</c:v>
                </c:pt>
                <c:pt idx="100" formatCode="0">
                  <c:v>2618.9289589993732</c:v>
                </c:pt>
                <c:pt idx="101" formatCode="0">
                  <c:v>2619.0190182638667</c:v>
                </c:pt>
                <c:pt idx="102" formatCode="0">
                  <c:v>2619.3010522732375</c:v>
                </c:pt>
                <c:pt idx="103" formatCode="0">
                  <c:v>2619.3589640834371</c:v>
                </c:pt>
                <c:pt idx="104" formatCode="0">
                  <c:v>2619.3708542518293</c:v>
                </c:pt>
                <c:pt idx="105" formatCode="0">
                  <c:v>2619.3732954310976</c:v>
                </c:pt>
                <c:pt idx="106" formatCode="0">
                  <c:v>2619.3737966292401</c:v>
                </c:pt>
                <c:pt idx="107" formatCode="0">
                  <c:v>2619.3738995300619</c:v>
                </c:pt>
                <c:pt idx="108" formatCode="0">
                  <c:v>2619.3739206565911</c:v>
                </c:pt>
                <c:pt idx="109" formatCode="0">
                  <c:v>2619.3739249940709</c:v>
                </c:pt>
              </c:numCache>
            </c:numRef>
          </c:yVal>
          <c:smooth val="0"/>
        </c:ser>
        <c:ser>
          <c:idx val="8"/>
          <c:order val="10"/>
          <c:tx>
            <c:v>Pop Limit</c:v>
          </c:tx>
          <c:spPr>
            <a:ln w="28575" cap="rnd">
              <a:solidFill>
                <a:srgbClr val="FF0000"/>
              </a:solidFill>
              <a:round/>
            </a:ln>
            <a:effectLst/>
          </c:spPr>
          <c:marker>
            <c:symbol val="none"/>
          </c:marker>
          <c:xVal>
            <c:numRef>
              <c:f>myData!$FI$11:$FI$12</c:f>
              <c:numCache>
                <c:formatCode>m/d/yyyy</c:formatCode>
                <c:ptCount val="2"/>
                <c:pt idx="0">
                  <c:v>43852</c:v>
                </c:pt>
                <c:pt idx="1">
                  <c:v>44004</c:v>
                </c:pt>
              </c:numCache>
            </c:numRef>
          </c:xVal>
          <c:yVal>
            <c:numRef>
              <c:f>myData!$FK$11:$FK$12</c:f>
              <c:numCache>
                <c:formatCode>0.00000E+00</c:formatCode>
                <c:ptCount val="2"/>
                <c:pt idx="0">
                  <c:v>10000000</c:v>
                </c:pt>
                <c:pt idx="1">
                  <c:v>10000000</c:v>
                </c:pt>
              </c:numCache>
            </c:numRef>
          </c:yVal>
          <c:smooth val="0"/>
        </c:ser>
        <c:dLbls>
          <c:showLegendKey val="0"/>
          <c:showVal val="0"/>
          <c:showCatName val="0"/>
          <c:showSerName val="0"/>
          <c:showPercent val="0"/>
          <c:showBubbleSize val="0"/>
        </c:dLbls>
        <c:axId val="805509320"/>
        <c:axId val="805503832"/>
      </c:scatterChart>
      <c:valAx>
        <c:axId val="805509320"/>
        <c:scaling>
          <c:orientation val="minMax"/>
          <c:max val="43953"/>
          <c:min val="43849"/>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03832"/>
        <c:crossesAt val="1.0000000000000002E-2"/>
        <c:crossBetween val="midCat"/>
        <c:majorUnit val="14"/>
        <c:minorUnit val="7"/>
      </c:valAx>
      <c:valAx>
        <c:axId val="805503832"/>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myData!lblVertLog</c:f>
              <c:strCache>
                <c:ptCount val="1"/>
                <c:pt idx="0">
                  <c:v>Cases per 10 M population (Log Scale)</c:v>
                </c:pt>
              </c:strCache>
            </c:strRef>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509320"/>
        <c:crosses val="autoZero"/>
        <c:crossBetween val="midCat"/>
      </c:valAx>
      <c:spPr>
        <a:noFill/>
        <a:ln>
          <a:noFill/>
        </a:ln>
        <a:effectLst/>
      </c:spPr>
    </c:plotArea>
    <c:legend>
      <c:legendPos val="b"/>
      <c:layout>
        <c:manualLayout>
          <c:xMode val="edge"/>
          <c:yMode val="edge"/>
          <c:x val="0.56219883517796521"/>
          <c:y val="0.82106511438545426"/>
          <c:w val="0.43780116768655969"/>
          <c:h val="0.1443372053740807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2.xml"/></Relationships>
</file>

<file path=xl/chartsheets/_rels/sheet8.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9.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10.xml.rels><?xml version="1.0" encoding="UTF-8" standalone="yes"?>
<Relationships xmlns="http://schemas.openxmlformats.org/package/2006/relationships"><Relationship Id="rId1" Type="http://schemas.openxmlformats.org/officeDocument/2006/relationships/drawing" Target="../drawings/drawing18.xml"/></Relationships>
</file>

<file path=xl/chartsheets/_rels/sheet11.xml.rels><?xml version="1.0" encoding="UTF-8" standalone="yes"?>
<Relationships xmlns="http://schemas.openxmlformats.org/package/2006/relationships"><Relationship Id="rId1" Type="http://schemas.openxmlformats.org/officeDocument/2006/relationships/drawing" Target="../drawings/drawing20.xml"/></Relationships>
</file>

<file path=xl/chartsheets/_rels/sheet12.xml.rels><?xml version="1.0" encoding="UTF-8" standalone="yes"?>
<Relationships xmlns="http://schemas.openxmlformats.org/package/2006/relationships"><Relationship Id="rId1" Type="http://schemas.openxmlformats.org/officeDocument/2006/relationships/drawing" Target="../drawings/drawing21.xml"/></Relationships>
</file>

<file path=xl/chartsheets/_rels/sheet13.xml.rels><?xml version="1.0" encoding="UTF-8" standalone="yes"?>
<Relationships xmlns="http://schemas.openxmlformats.org/package/2006/relationships"><Relationship Id="rId1" Type="http://schemas.openxmlformats.org/officeDocument/2006/relationships/drawing" Target="../drawings/drawing23.xml"/></Relationships>
</file>

<file path=xl/chartsheets/_rels/sheet14.xml.rels><?xml version="1.0" encoding="UTF-8" standalone="yes"?>
<Relationships xmlns="http://schemas.openxmlformats.org/package/2006/relationships"><Relationship Id="rId1" Type="http://schemas.openxmlformats.org/officeDocument/2006/relationships/drawing" Target="../drawings/drawing25.xml"/></Relationships>
</file>

<file path=xl/chartsheets/_rels/sheet15.xml.rels><?xml version="1.0" encoding="UTF-8" standalone="yes"?>
<Relationships xmlns="http://schemas.openxmlformats.org/package/2006/relationships"><Relationship Id="rId1" Type="http://schemas.openxmlformats.org/officeDocument/2006/relationships/drawing" Target="../drawings/drawing27.xml"/></Relationships>
</file>

<file path=xl/chartsheets/_rels/sheet16.xml.rels><?xml version="1.0" encoding="UTF-8" standalone="yes"?>
<Relationships xmlns="http://schemas.openxmlformats.org/package/2006/relationships"><Relationship Id="rId1" Type="http://schemas.openxmlformats.org/officeDocument/2006/relationships/drawing" Target="../drawings/drawing29.xml"/></Relationships>
</file>

<file path=xl/chartsheets/_rels/sheet17.xml.rels><?xml version="1.0" encoding="UTF-8" standalone="yes"?>
<Relationships xmlns="http://schemas.openxmlformats.org/package/2006/relationships"><Relationship Id="rId1" Type="http://schemas.openxmlformats.org/officeDocument/2006/relationships/drawing" Target="../drawings/drawing30.xml"/></Relationships>
</file>

<file path=xl/chartsheets/_rels/sheet18.xml.rels><?xml version="1.0" encoding="UTF-8" standalone="yes"?>
<Relationships xmlns="http://schemas.openxmlformats.org/package/2006/relationships"><Relationship Id="rId1" Type="http://schemas.openxmlformats.org/officeDocument/2006/relationships/drawing" Target="../drawings/drawing31.xml"/></Relationships>
</file>

<file path=xl/chartsheets/_rels/sheet19.xml.rels><?xml version="1.0" encoding="UTF-8" standalone="yes"?>
<Relationships xmlns="http://schemas.openxmlformats.org/package/2006/relationships"><Relationship Id="rId1" Type="http://schemas.openxmlformats.org/officeDocument/2006/relationships/drawing" Target="../drawings/drawing33.xml"/></Relationships>
</file>

<file path=xl/chartsheets/_rels/sheet20.xml.rels><?xml version="1.0" encoding="UTF-8" standalone="yes"?>
<Relationships xmlns="http://schemas.openxmlformats.org/package/2006/relationships"><Relationship Id="rId1" Type="http://schemas.openxmlformats.org/officeDocument/2006/relationships/drawing" Target="../drawings/drawing35.xml"/></Relationships>
</file>

<file path=xl/chartsheets/_rels/sheet21.xml.rels><?xml version="1.0" encoding="UTF-8" standalone="yes"?>
<Relationships xmlns="http://schemas.openxmlformats.org/package/2006/relationships"><Relationship Id="rId1" Type="http://schemas.openxmlformats.org/officeDocument/2006/relationships/drawing" Target="../drawings/drawing36.xml"/></Relationships>
</file>

<file path=xl/chartsheets/_rels/sheet22.xml.rels><?xml version="1.0" encoding="UTF-8" standalone="yes"?>
<Relationships xmlns="http://schemas.openxmlformats.org/package/2006/relationships"><Relationship Id="rId1" Type="http://schemas.openxmlformats.org/officeDocument/2006/relationships/drawing" Target="../drawings/drawing38.xml"/></Relationships>
</file>

<file path=xl/chartsheets/_rels/sheet23.xml.rels><?xml version="1.0" encoding="UTF-8" standalone="yes"?>
<Relationships xmlns="http://schemas.openxmlformats.org/package/2006/relationships"><Relationship Id="rId1" Type="http://schemas.openxmlformats.org/officeDocument/2006/relationships/drawing" Target="../drawings/drawing39.xml"/></Relationships>
</file>

<file path=xl/chartsheets/_rels/sheet24.xml.rels><?xml version="1.0" encoding="UTF-8" standalone="yes"?>
<Relationships xmlns="http://schemas.openxmlformats.org/package/2006/relationships"><Relationship Id="rId1" Type="http://schemas.openxmlformats.org/officeDocument/2006/relationships/drawing" Target="../drawings/drawing41.xml"/></Relationships>
</file>

<file path=xl/chartsheets/_rels/sheet25.xml.rels><?xml version="1.0" encoding="UTF-8" standalone="yes"?>
<Relationships xmlns="http://schemas.openxmlformats.org/package/2006/relationships"><Relationship Id="rId1" Type="http://schemas.openxmlformats.org/officeDocument/2006/relationships/drawing" Target="../drawings/drawing43.xml"/></Relationships>
</file>

<file path=xl/chartsheets/_rels/sheet26.xml.rels><?xml version="1.0" encoding="UTF-8" standalone="yes"?>
<Relationships xmlns="http://schemas.openxmlformats.org/package/2006/relationships"><Relationship Id="rId1" Type="http://schemas.openxmlformats.org/officeDocument/2006/relationships/drawing" Target="../drawings/drawing45.xml"/></Relationships>
</file>

<file path=xl/chartsheets/_rels/sheet27.xml.rels><?xml version="1.0" encoding="UTF-8" standalone="yes"?>
<Relationships xmlns="http://schemas.openxmlformats.org/package/2006/relationships"><Relationship Id="rId1" Type="http://schemas.openxmlformats.org/officeDocument/2006/relationships/drawing" Target="../drawings/drawing47.xml"/></Relationships>
</file>

<file path=xl/chartsheets/_rels/sheet28.xml.rels><?xml version="1.0" encoding="UTF-8" standalone="yes"?>
<Relationships xmlns="http://schemas.openxmlformats.org/package/2006/relationships"><Relationship Id="rId1" Type="http://schemas.openxmlformats.org/officeDocument/2006/relationships/drawing" Target="../drawings/drawing49.xml"/></Relationships>
</file>

<file path=xl/chartsheets/_rels/sheet29.xml.rels><?xml version="1.0" encoding="UTF-8" standalone="yes"?>
<Relationships xmlns="http://schemas.openxmlformats.org/package/2006/relationships"><Relationship Id="rId1" Type="http://schemas.openxmlformats.org/officeDocument/2006/relationships/drawing" Target="../drawings/drawing51.xml"/></Relationships>
</file>

<file path=xl/chartsheets/_rels/sheet30.xml.rels><?xml version="1.0" encoding="UTF-8" standalone="yes"?>
<Relationships xmlns="http://schemas.openxmlformats.org/package/2006/relationships"><Relationship Id="rId1" Type="http://schemas.openxmlformats.org/officeDocument/2006/relationships/drawing" Target="../drawings/drawing53.xml"/></Relationships>
</file>

<file path=xl/chartsheets/_rels/sheet31.xml.rels><?xml version="1.0" encoding="UTF-8" standalone="yes"?>
<Relationships xmlns="http://schemas.openxmlformats.org/package/2006/relationships"><Relationship Id="rId1" Type="http://schemas.openxmlformats.org/officeDocument/2006/relationships/drawing" Target="../drawings/drawing55.xml"/></Relationships>
</file>

<file path=xl/chartsheets/_rels/sheet32.xml.rels><?xml version="1.0" encoding="UTF-8" standalone="yes"?>
<Relationships xmlns="http://schemas.openxmlformats.org/package/2006/relationships"><Relationship Id="rId1" Type="http://schemas.openxmlformats.org/officeDocument/2006/relationships/drawing" Target="../drawings/drawing57.xml"/></Relationships>
</file>

<file path=xl/chartsheets/_rels/sheet33.xml.rels><?xml version="1.0" encoding="UTF-8" standalone="yes"?>
<Relationships xmlns="http://schemas.openxmlformats.org/package/2006/relationships"><Relationship Id="rId1" Type="http://schemas.openxmlformats.org/officeDocument/2006/relationships/drawing" Target="../drawings/drawing59.xml"/></Relationships>
</file>

<file path=xl/chartsheets/_rels/sheet34.xml.rels><?xml version="1.0" encoding="UTF-8" standalone="yes"?>
<Relationships xmlns="http://schemas.openxmlformats.org/package/2006/relationships"><Relationship Id="rId1" Type="http://schemas.openxmlformats.org/officeDocument/2006/relationships/drawing" Target="../drawings/drawing60.xml"/></Relationships>
</file>

<file path=xl/chartsheets/_rels/sheet35.xml.rels><?xml version="1.0" encoding="UTF-8" standalone="yes"?>
<Relationships xmlns="http://schemas.openxmlformats.org/package/2006/relationships"><Relationship Id="rId1" Type="http://schemas.openxmlformats.org/officeDocument/2006/relationships/drawing" Target="../drawings/drawing62.xml"/></Relationships>
</file>

<file path=xl/chartsheets/sheet1.xml><?xml version="1.0" encoding="utf-8"?>
<chartsheet xmlns="http://schemas.openxmlformats.org/spreadsheetml/2006/main" xmlns:r="http://schemas.openxmlformats.org/officeDocument/2006/relationships">
  <sheetPr codeName="Chart36"/>
  <sheetViews>
    <sheetView zoomScale="85"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32"/>
  <sheetViews>
    <sheetView zoomScale="106"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sheetPr codeName="Chart30"/>
  <sheetViews>
    <sheetView zoomScale="106"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sheetPr codeName="Chart34"/>
  <sheetViews>
    <sheetView zoomScale="106"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sheetPr codeName="Chart33"/>
  <sheetViews>
    <sheetView zoomScale="85" workbookViewId="0" zoomToFit="1"/>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sheetPr codeName="Chart31"/>
  <sheetViews>
    <sheetView zoomScale="106"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sheetPr codeName="Chart29"/>
  <sheetViews>
    <sheetView zoomScale="85" workbookViewId="0" zoomToFit="1"/>
  </sheetViews>
  <pageMargins left="0.7" right="0.7" top="0.75" bottom="0.75" header="0.3" footer="0.3"/>
  <drawing r:id="rId1"/>
</chartsheet>
</file>

<file path=xl/chartsheets/sheet8.xml><?xml version="1.0" encoding="utf-8"?>
<chartsheet xmlns="http://schemas.openxmlformats.org/spreadsheetml/2006/main" xmlns:r="http://schemas.openxmlformats.org/officeDocument/2006/relationships">
  <sheetPr codeName="Chart35"/>
  <sheetViews>
    <sheetView zoomScale="85" workbookViewId="0" zoomToFit="1"/>
  </sheetViews>
  <pageMargins left="0.7" right="0.7" top="0.75" bottom="0.75" header="0.3" footer="0.3"/>
  <drawing r:id="rId1"/>
</chartsheet>
</file>

<file path=xl/chartsheets/sheet9.xml><?xml version="1.0" encoding="utf-8"?>
<chartsheet xmlns="http://schemas.openxmlformats.org/spreadsheetml/2006/main" xmlns:r="http://schemas.openxmlformats.org/officeDocument/2006/relationships">
  <sheetPr codeName="Chart28"/>
  <sheetViews>
    <sheetView zoomScale="106" workbookViewId="0"/>
  </sheetViews>
  <pageMargins left="0.7" right="0.7" top="0.75" bottom="0.75" header="0.3" footer="0.3"/>
  <drawing r:id="rId1"/>
</chartsheet>
</file>

<file path=xl/chartsheets/sheet10.xml><?xml version="1.0" encoding="utf-8"?>
<chartsheet xmlns="http://schemas.openxmlformats.org/spreadsheetml/2006/main" xmlns:r="http://schemas.openxmlformats.org/officeDocument/2006/relationships">
  <sheetPr codeName="Chart26"/>
  <sheetViews>
    <sheetView zoomScale="106" workbookViewId="0"/>
  </sheetViews>
  <pageMargins left="0.7" right="0.7" top="0.75" bottom="0.75" header="0.3" footer="0.3"/>
  <drawing r:id="rId1"/>
</chartsheet>
</file>

<file path=xl/chartsheets/sheet11.xml><?xml version="1.0" encoding="utf-8"?>
<chartsheet xmlns="http://schemas.openxmlformats.org/spreadsheetml/2006/main" xmlns:r="http://schemas.openxmlformats.org/officeDocument/2006/relationships">
  <sheetPr codeName="Chart4"/>
  <sheetViews>
    <sheetView zoomScale="85" workbookViewId="0" zoomToFit="1"/>
  </sheetViews>
  <pageMargins left="0.7" right="0.7" top="0.75" bottom="0.75" header="0.3" footer="0.3"/>
  <drawing r:id="rId1"/>
</chartsheet>
</file>

<file path=xl/chartsheets/sheet12.xml><?xml version="1.0" encoding="utf-8"?>
<chartsheet xmlns="http://schemas.openxmlformats.org/spreadsheetml/2006/main" xmlns:r="http://schemas.openxmlformats.org/officeDocument/2006/relationships">
  <sheetPr codeName="Chart25"/>
  <sheetViews>
    <sheetView zoomScale="106" workbookViewId="0"/>
  </sheetViews>
  <pageMargins left="0.7" right="0.7" top="0.75" bottom="0.75" header="0.3" footer="0.3"/>
  <drawing r:id="rId1"/>
</chartsheet>
</file>

<file path=xl/chartsheets/sheet13.xml><?xml version="1.0" encoding="utf-8"?>
<chartsheet xmlns="http://schemas.openxmlformats.org/spreadsheetml/2006/main" xmlns:r="http://schemas.openxmlformats.org/officeDocument/2006/relationships">
  <sheetPr codeName="Chart24"/>
  <sheetViews>
    <sheetView zoomScale="85" workbookViewId="0" zoomToFit="1"/>
  </sheetViews>
  <pageMargins left="0.7" right="0.7" top="0.75" bottom="0.75" header="0.3" footer="0.3"/>
  <drawing r:id="rId1"/>
</chartsheet>
</file>

<file path=xl/chartsheets/sheet14.xml><?xml version="1.0" encoding="utf-8"?>
<chartsheet xmlns="http://schemas.openxmlformats.org/spreadsheetml/2006/main" xmlns:r="http://schemas.openxmlformats.org/officeDocument/2006/relationships">
  <sheetPr codeName="Chart23"/>
  <sheetViews>
    <sheetView zoomScale="106" workbookViewId="0"/>
  </sheetViews>
  <pageMargins left="0.7" right="0.7" top="0.75" bottom="0.75" header="0.3" footer="0.3"/>
  <drawing r:id="rId1"/>
</chartsheet>
</file>

<file path=xl/chartsheets/sheet15.xml><?xml version="1.0" encoding="utf-8"?>
<chartsheet xmlns="http://schemas.openxmlformats.org/spreadsheetml/2006/main" xmlns:r="http://schemas.openxmlformats.org/officeDocument/2006/relationships">
  <sheetPr codeName="Chart19"/>
  <sheetViews>
    <sheetView zoomScale="85" workbookViewId="0" zoomToFit="1"/>
  </sheetViews>
  <pageMargins left="0.7" right="0.7" top="0.75" bottom="0.75" header="0.3" footer="0.3"/>
  <drawing r:id="rId1"/>
</chartsheet>
</file>

<file path=xl/chartsheets/sheet16.xml><?xml version="1.0" encoding="utf-8"?>
<chartsheet xmlns="http://schemas.openxmlformats.org/spreadsheetml/2006/main" xmlns:r="http://schemas.openxmlformats.org/officeDocument/2006/relationships">
  <sheetPr codeName="Chart9"/>
  <sheetViews>
    <sheetView zoomScale="85" workbookViewId="0" zoomToFit="1"/>
  </sheetViews>
  <pageMargins left="0.7" right="0.7" top="0.75" bottom="0.75" header="0.3" footer="0.3"/>
  <drawing r:id="rId1"/>
</chartsheet>
</file>

<file path=xl/chartsheets/sheet17.xml><?xml version="1.0" encoding="utf-8"?>
<chartsheet xmlns="http://schemas.openxmlformats.org/spreadsheetml/2006/main" xmlns:r="http://schemas.openxmlformats.org/officeDocument/2006/relationships">
  <sheetPr codeName="Chart22"/>
  <sheetViews>
    <sheetView zoomScale="85" workbookViewId="0" zoomToFit="1"/>
  </sheetViews>
  <pageMargins left="0.7" right="0.7" top="0.75" bottom="0.75" header="0.3" footer="0.3"/>
  <drawing r:id="rId1"/>
</chartsheet>
</file>

<file path=xl/chartsheets/sheet18.xml><?xml version="1.0" encoding="utf-8"?>
<chartsheet xmlns="http://schemas.openxmlformats.org/spreadsheetml/2006/main" xmlns:r="http://schemas.openxmlformats.org/officeDocument/2006/relationships">
  <sheetPr codeName="Chart21"/>
  <sheetViews>
    <sheetView zoomScale="85" workbookViewId="0" zoomToFit="1"/>
  </sheetViews>
  <pageMargins left="0.7" right="0.7" top="0.75" bottom="0.75" header="0.3" footer="0.3"/>
  <drawing r:id="rId1"/>
</chartsheet>
</file>

<file path=xl/chartsheets/sheet19.xml><?xml version="1.0" encoding="utf-8"?>
<chartsheet xmlns="http://schemas.openxmlformats.org/spreadsheetml/2006/main" xmlns:r="http://schemas.openxmlformats.org/officeDocument/2006/relationships">
  <sheetPr codeName="Chart20"/>
  <sheetViews>
    <sheetView zoomScale="85" workbookViewId="0" zoomToFit="1"/>
  </sheetViews>
  <pageMargins left="0.7" right="0.7" top="0.75" bottom="0.75" header="0.3" footer="0.3"/>
  <drawing r:id="rId1"/>
</chartsheet>
</file>

<file path=xl/chartsheets/sheet20.xml><?xml version="1.0" encoding="utf-8"?>
<chartsheet xmlns="http://schemas.openxmlformats.org/spreadsheetml/2006/main" xmlns:r="http://schemas.openxmlformats.org/officeDocument/2006/relationships">
  <sheetPr codeName="Chart15"/>
  <sheetViews>
    <sheetView zoomScale="85" workbookViewId="0" zoomToFit="1"/>
  </sheetViews>
  <pageMargins left="0.7" right="0.7" top="0.75" bottom="0.75" header="0.3" footer="0.3"/>
  <drawing r:id="rId1"/>
</chartsheet>
</file>

<file path=xl/chartsheets/sheet21.xml><?xml version="1.0" encoding="utf-8"?>
<chartsheet xmlns="http://schemas.openxmlformats.org/spreadsheetml/2006/main" xmlns:r="http://schemas.openxmlformats.org/officeDocument/2006/relationships">
  <sheetPr codeName="Chart18"/>
  <sheetViews>
    <sheetView zoomScale="95" workbookViewId="0"/>
  </sheetViews>
  <pageMargins left="0.7" right="0.7" top="0.75" bottom="0.75" header="0.3" footer="0.3"/>
  <drawing r:id="rId1"/>
</chartsheet>
</file>

<file path=xl/chartsheets/sheet22.xml><?xml version="1.0" encoding="utf-8"?>
<chartsheet xmlns="http://schemas.openxmlformats.org/spreadsheetml/2006/main" xmlns:r="http://schemas.openxmlformats.org/officeDocument/2006/relationships">
  <sheetPr codeName="Chart16"/>
  <sheetViews>
    <sheetView zoomScale="85" workbookViewId="0" zoomToFit="1"/>
  </sheetViews>
  <pageMargins left="0.7" right="0.7" top="0.75" bottom="0.75" header="0.3" footer="0.3"/>
  <drawing r:id="rId1"/>
</chartsheet>
</file>

<file path=xl/chartsheets/sheet23.xml><?xml version="1.0" encoding="utf-8"?>
<chartsheet xmlns="http://schemas.openxmlformats.org/spreadsheetml/2006/main" xmlns:r="http://schemas.openxmlformats.org/officeDocument/2006/relationships">
  <sheetPr codeName="Chart17"/>
  <sheetViews>
    <sheetView zoomScale="95" workbookViewId="0"/>
  </sheetViews>
  <pageMargins left="0.7" right="0.7" top="0.75" bottom="0.75" header="0.3" footer="0.3"/>
  <drawing r:id="rId1"/>
</chartsheet>
</file>

<file path=xl/chartsheets/sheet24.xml><?xml version="1.0" encoding="utf-8"?>
<chartsheet xmlns="http://schemas.openxmlformats.org/spreadsheetml/2006/main" xmlns:r="http://schemas.openxmlformats.org/officeDocument/2006/relationships">
  <sheetPr codeName="Chart14"/>
  <sheetViews>
    <sheetView zoomScale="85" workbookViewId="0" zoomToFit="1"/>
  </sheetViews>
  <pageMargins left="0.7" right="0.7" top="0.75" bottom="0.75" header="0.3" footer="0.3"/>
  <drawing r:id="rId1"/>
</chartsheet>
</file>

<file path=xl/chartsheets/sheet25.xml><?xml version="1.0" encoding="utf-8"?>
<chartsheet xmlns="http://schemas.openxmlformats.org/spreadsheetml/2006/main" xmlns:r="http://schemas.openxmlformats.org/officeDocument/2006/relationships">
  <sheetPr codeName="Chart13"/>
  <sheetViews>
    <sheetView zoomScale="85" workbookViewId="0" zoomToFit="1"/>
  </sheetViews>
  <pageMargins left="0.7" right="0.7" top="0.75" bottom="0.75" header="0.3" footer="0.3"/>
  <drawing r:id="rId1"/>
</chartsheet>
</file>

<file path=xl/chartsheets/sheet26.xml><?xml version="1.0" encoding="utf-8"?>
<chartsheet xmlns="http://schemas.openxmlformats.org/spreadsheetml/2006/main" xmlns:r="http://schemas.openxmlformats.org/officeDocument/2006/relationships">
  <sheetPr codeName="Chart12"/>
  <sheetViews>
    <sheetView zoomScale="93" workbookViewId="0"/>
  </sheetViews>
  <pageMargins left="0.7" right="0.7" top="0.75" bottom="0.75" header="0.3" footer="0.3"/>
  <drawing r:id="rId1"/>
</chartsheet>
</file>

<file path=xl/chartsheets/sheet27.xml><?xml version="1.0" encoding="utf-8"?>
<chartsheet xmlns="http://schemas.openxmlformats.org/spreadsheetml/2006/main" xmlns:r="http://schemas.openxmlformats.org/officeDocument/2006/relationships">
  <sheetPr codeName="Chart7"/>
  <sheetViews>
    <sheetView zoomScale="98" workbookViewId="0"/>
  </sheetViews>
  <pageMargins left="0.7" right="0.7" top="0.75" bottom="0.75" header="0.3" footer="0.3"/>
  <drawing r:id="rId1"/>
</chartsheet>
</file>

<file path=xl/chartsheets/sheet28.xml><?xml version="1.0" encoding="utf-8"?>
<chartsheet xmlns="http://schemas.openxmlformats.org/spreadsheetml/2006/main" xmlns:r="http://schemas.openxmlformats.org/officeDocument/2006/relationships">
  <sheetPr codeName="Chart1"/>
  <sheetViews>
    <sheetView zoomScale="106" workbookViewId="0"/>
  </sheetViews>
  <pageMargins left="0.7" right="0.7" top="0.75" bottom="0.75" header="0.3" footer="0.3"/>
  <drawing r:id="rId1"/>
</chartsheet>
</file>

<file path=xl/chartsheets/sheet29.xml><?xml version="1.0" encoding="utf-8"?>
<chartsheet xmlns="http://schemas.openxmlformats.org/spreadsheetml/2006/main" xmlns:r="http://schemas.openxmlformats.org/officeDocument/2006/relationships">
  <sheetPr codeName="Chart2"/>
  <sheetViews>
    <sheetView zoomScale="85" workbookViewId="0" zoomToFit="1"/>
  </sheetViews>
  <pageMargins left="0.7" right="0.7" top="0.75" bottom="0.75" header="0.3" footer="0.3"/>
  <drawing r:id="rId1"/>
</chartsheet>
</file>

<file path=xl/chartsheets/sheet30.xml><?xml version="1.0" encoding="utf-8"?>
<chartsheet xmlns="http://schemas.openxmlformats.org/spreadsheetml/2006/main" xmlns:r="http://schemas.openxmlformats.org/officeDocument/2006/relationships">
  <sheetPr codeName="Chart3"/>
  <sheetViews>
    <sheetView zoomScale="85" workbookViewId="0" zoomToFit="1"/>
  </sheetViews>
  <pageMargins left="0.7" right="0.7" top="0.75" bottom="0.75" header="0.3" footer="0.3"/>
  <drawing r:id="rId1"/>
</chartsheet>
</file>

<file path=xl/chartsheets/sheet31.xml><?xml version="1.0" encoding="utf-8"?>
<chartsheet xmlns="http://schemas.openxmlformats.org/spreadsheetml/2006/main" xmlns:r="http://schemas.openxmlformats.org/officeDocument/2006/relationships">
  <sheetPr codeName="Chart5"/>
  <sheetViews>
    <sheetView zoomScale="85" workbookViewId="0" zoomToFit="1"/>
  </sheetViews>
  <pageMargins left="0.7" right="0.7" top="0.75" bottom="0.75" header="0.3" footer="0.3"/>
  <drawing r:id="rId1"/>
</chartsheet>
</file>

<file path=xl/chartsheets/sheet32.xml><?xml version="1.0" encoding="utf-8"?>
<chartsheet xmlns="http://schemas.openxmlformats.org/spreadsheetml/2006/main" xmlns:r="http://schemas.openxmlformats.org/officeDocument/2006/relationships">
  <sheetPr codeName="Chart6"/>
  <sheetViews>
    <sheetView zoomScale="85" workbookViewId="0" zoomToFit="1"/>
  </sheetViews>
  <pageMargins left="0.7" right="0.7" top="0.75" bottom="0.75" header="0.3" footer="0.3"/>
  <drawing r:id="rId1"/>
</chartsheet>
</file>

<file path=xl/chartsheets/sheet33.xml><?xml version="1.0" encoding="utf-8"?>
<chartsheet xmlns="http://schemas.openxmlformats.org/spreadsheetml/2006/main" xmlns:r="http://schemas.openxmlformats.org/officeDocument/2006/relationships">
  <sheetPr codeName="Chart8"/>
  <sheetViews>
    <sheetView zoomScale="85" workbookViewId="0" zoomToFit="1"/>
  </sheetViews>
  <pageMargins left="0.7" right="0.7" top="0.75" bottom="0.75" header="0.3" footer="0.3"/>
  <drawing r:id="rId1"/>
</chartsheet>
</file>

<file path=xl/chartsheets/sheet34.xml><?xml version="1.0" encoding="utf-8"?>
<chartsheet xmlns="http://schemas.openxmlformats.org/spreadsheetml/2006/main" xmlns:r="http://schemas.openxmlformats.org/officeDocument/2006/relationships">
  <sheetPr codeName="Chart11"/>
  <sheetViews>
    <sheetView zoomScale="85" workbookViewId="0" zoomToFit="1"/>
  </sheetViews>
  <pageMargins left="0.7" right="0.7" top="0.75" bottom="0.75" header="0.3" footer="0.3"/>
  <drawing r:id="rId1"/>
</chartsheet>
</file>

<file path=xl/chartsheets/sheet35.xml><?xml version="1.0" encoding="utf-8"?>
<chartsheet xmlns="http://schemas.openxmlformats.org/spreadsheetml/2006/main" xmlns:r="http://schemas.openxmlformats.org/officeDocument/2006/relationships">
  <sheetPr codeName="Chart10"/>
  <sheetViews>
    <sheetView zoomScale="9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3.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50.xml.rels><?xml version="1.0" encoding="UTF-8" standalone="yes"?>
<Relationships xmlns="http://schemas.openxmlformats.org/package/2006/relationships"><Relationship Id="rId1" Type="http://schemas.openxmlformats.org/officeDocument/2006/relationships/image" Target="../media/image1.png"/></Relationships>
</file>

<file path=xl/drawings/_rels/drawing51.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52.xml.rels><?xml version="1.0" encoding="UTF-8" standalone="yes"?>
<Relationships xmlns="http://schemas.openxmlformats.org/package/2006/relationships"><Relationship Id="rId1" Type="http://schemas.openxmlformats.org/officeDocument/2006/relationships/image" Target="../media/image1.png"/></Relationships>
</file>

<file path=xl/drawings/_rels/drawing53.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5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56.xml.rels><?xml version="1.0" encoding="UTF-8" standalone="yes"?>
<Relationships xmlns="http://schemas.openxmlformats.org/package/2006/relationships"><Relationship Id="rId1" Type="http://schemas.openxmlformats.org/officeDocument/2006/relationships/image" Target="../media/image1.png"/></Relationships>
</file>

<file path=xl/drawings/_rels/drawing57.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58.xml.rels><?xml version="1.0" encoding="UTF-8" standalone="yes"?>
<Relationships xmlns="http://schemas.openxmlformats.org/package/2006/relationships"><Relationship Id="rId1" Type="http://schemas.openxmlformats.org/officeDocument/2006/relationships/image" Target="../media/image1.png"/></Relationships>
</file>

<file path=xl/drawings/_rels/drawing59.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60.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6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2.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6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3</xdr:row>
          <xdr:rowOff>200025</xdr:rowOff>
        </xdr:from>
        <xdr:to>
          <xdr:col>1</xdr:col>
          <xdr:colOff>561975</xdr:colOff>
          <xdr:row>5</xdr:row>
          <xdr:rowOff>152400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GetJHConfirmed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120</xdr:col>
          <xdr:colOff>19050</xdr:colOff>
          <xdr:row>6</xdr:row>
          <xdr:rowOff>104775</xdr:rowOff>
        </xdr:from>
        <xdr:to>
          <xdr:col>121</xdr:col>
          <xdr:colOff>304800</xdr:colOff>
          <xdr:row>8</xdr:row>
          <xdr:rowOff>85725</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SolveAll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790575</xdr:colOff>
          <xdr:row>3</xdr:row>
          <xdr:rowOff>228600</xdr:rowOff>
        </xdr:from>
        <xdr:to>
          <xdr:col>2</xdr:col>
          <xdr:colOff>219075</xdr:colOff>
          <xdr:row>5</xdr:row>
          <xdr:rowOff>133350</xdr:rowOff>
        </xdr:to>
        <xdr:sp macro="" textlink="">
          <xdr:nvSpPr>
            <xdr:cNvPr id="19461" name="Button 5" hidden="1">
              <a:extLst>
                <a:ext uri="{63B3BB69-23CF-44E3-9099-C40C66FF867C}">
                  <a14:compatExt spid="_x0000_s194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SolveAll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170</xdr:col>
          <xdr:colOff>1333500</xdr:colOff>
          <xdr:row>3</xdr:row>
          <xdr:rowOff>0</xdr:rowOff>
        </xdr:from>
        <xdr:to>
          <xdr:col>172</xdr:col>
          <xdr:colOff>228600</xdr:colOff>
          <xdr:row>6</xdr:row>
          <xdr:rowOff>38100</xdr:rowOff>
        </xdr:to>
        <xdr:sp macro="" textlink="">
          <xdr:nvSpPr>
            <xdr:cNvPr id="19469" name="Button 13" hidden="1">
              <a:extLst>
                <a:ext uri="{63B3BB69-23CF-44E3-9099-C40C66FF867C}">
                  <a14:compatExt spid="_x0000_s194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rPr>
                <a:t>HistorySort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9</xdr:row>
          <xdr:rowOff>38100</xdr:rowOff>
        </xdr:from>
        <xdr:to>
          <xdr:col>1</xdr:col>
          <xdr:colOff>190500</xdr:colOff>
          <xdr:row>9</xdr:row>
          <xdr:rowOff>371475</xdr:rowOff>
        </xdr:to>
        <xdr:sp macro="" textlink="">
          <xdr:nvSpPr>
            <xdr:cNvPr id="19627" name="Button 171" hidden="1">
              <a:extLst>
                <a:ext uri="{63B3BB69-23CF-44E3-9099-C40C66FF867C}">
                  <a14:compatExt spid="_x0000_s196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Transpose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323850</xdr:colOff>
          <xdr:row>0</xdr:row>
          <xdr:rowOff>85725</xdr:rowOff>
        </xdr:from>
        <xdr:to>
          <xdr:col>8</xdr:col>
          <xdr:colOff>619125</xdr:colOff>
          <xdr:row>0</xdr:row>
          <xdr:rowOff>390525</xdr:rowOff>
        </xdr:to>
        <xdr:sp macro="" textlink="">
          <xdr:nvSpPr>
            <xdr:cNvPr id="19629" name="Button 173" hidden="1">
              <a:extLst>
                <a:ext uri="{63B3BB69-23CF-44E3-9099-C40C66FF867C}">
                  <a14:compatExt spid="_x0000_s196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GetAusTweet</a:t>
              </a:r>
            </a:p>
            <a:p>
              <a:pPr algn="ctr" rtl="0">
                <a:defRPr sz="1000"/>
              </a:pPr>
              <a:endParaRPr lang="en-AU"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590550</xdr:rowOff>
        </xdr:from>
        <xdr:to>
          <xdr:col>8</xdr:col>
          <xdr:colOff>752475</xdr:colOff>
          <xdr:row>1</xdr:row>
          <xdr:rowOff>171450</xdr:rowOff>
        </xdr:to>
        <xdr:sp macro="" textlink="">
          <xdr:nvSpPr>
            <xdr:cNvPr id="19631" name="Button 175" hidden="1">
              <a:extLst>
                <a:ext uri="{63B3BB69-23CF-44E3-9099-C40C66FF867C}">
                  <a14:compatExt spid="_x0000_s19631"/>
                </a:ext>
              </a:extLst>
            </xdr:cNvPr>
            <xdr:cNvSpPr/>
          </xdr:nvSpPr>
          <xdr:spPr bwMode="auto">
            <a:xfrm>
              <a:off x="0" y="0"/>
              <a:ext cx="0" cy="0"/>
            </a:xfrm>
            <a:prstGeom prst="rect">
              <a:avLst/>
            </a:prstGeom>
            <a:noFill/>
            <a:ln w="9525">
              <a:miter lim="800000"/>
              <a:headEnd/>
              <a:tailEnd/>
            </a:ln>
          </xdr:spPr>
          <xdr:txBody>
            <a:bodyPr vertOverflow="clip" wrap="square" lIns="0" tIns="46800" rIns="90000" bIns="46800" anchor="ctr" upright="1"/>
            <a:lstStyle/>
            <a:p>
              <a:pPr algn="ctr" rtl="0">
                <a:defRPr sz="1000"/>
              </a:pPr>
              <a:r>
                <a:rPr lang="en-AU" sz="1600" b="0" i="0" u="none" strike="noStrike" baseline="0">
                  <a:solidFill>
                    <a:srgbClr val="000000"/>
                  </a:solidFill>
                  <a:latin typeface="Calibri"/>
                </a:rPr>
                <a:t>NSWHealth</a:t>
              </a:r>
            </a:p>
            <a:p>
              <a:pPr algn="ctr" rtl="0">
                <a:defRPr sz="1000"/>
              </a:pPr>
              <a:endParaRPr lang="en-AU" sz="1600" b="0" i="0" u="none" strike="noStrike" baseline="0">
                <a:solidFill>
                  <a:srgbClr val="000000"/>
                </a:solidFill>
                <a:latin typeface="Calibri"/>
              </a:endParaRP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0.42954</cdr:x>
      <cdr:y>0.52732</cdr:y>
    </cdr:from>
    <cdr:to>
      <cdr:x>0.64479</cdr:x>
      <cdr:y>0.67504</cdr:y>
    </cdr:to>
    <cdr:sp macro="" textlink="">
      <cdr:nvSpPr>
        <cdr:cNvPr id="3" name="Oval 2"/>
        <cdr:cNvSpPr/>
      </cdr:nvSpPr>
      <cdr:spPr>
        <a:xfrm xmlns:a="http://schemas.openxmlformats.org/drawingml/2006/main">
          <a:off x="3998704" y="3207932"/>
          <a:ext cx="2003844" cy="898643"/>
        </a:xfrm>
        <a:prstGeom xmlns:a="http://schemas.openxmlformats.org/drawingml/2006/main" prst="ellipse">
          <a:avLst/>
        </a:prstGeom>
        <a:solidFill xmlns:a="http://schemas.openxmlformats.org/drawingml/2006/main">
          <a:srgbClr val="FFCCFF">
            <a:alpha val="46000"/>
          </a:srgbClr>
        </a:solidFill>
        <a:ln xmlns:a="http://schemas.openxmlformats.org/drawingml/2006/main">
          <a:solidFill>
            <a:srgbClr val="FFCCCC">
              <a:alpha val="23000"/>
            </a:srgb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0.09846</cdr:x>
      <cdr:y>0.10931</cdr:y>
    </cdr:from>
    <cdr:to>
      <cdr:x>0.35715</cdr:x>
      <cdr:y>0.23043</cdr:y>
    </cdr:to>
    <cdr:sp macro="" textlink="myData!VicBadCompare">
      <cdr:nvSpPr>
        <cdr:cNvPr id="6" name="TextBox 5"/>
        <cdr:cNvSpPr txBox="1"/>
      </cdr:nvSpPr>
      <cdr:spPr>
        <a:xfrm xmlns:a="http://schemas.openxmlformats.org/drawingml/2006/main">
          <a:off x="916565" y="664953"/>
          <a:ext cx="2408233" cy="736824"/>
        </a:xfrm>
        <a:prstGeom xmlns:a="http://schemas.openxmlformats.org/drawingml/2006/main" prst="rect">
          <a:avLst/>
        </a:prstGeom>
        <a:solidFill xmlns:a="http://schemas.openxmlformats.org/drawingml/2006/main">
          <a:srgbClr val="FFFFCC">
            <a:alpha val="69804"/>
          </a:srgbClr>
        </a:solidFill>
        <a:ln xmlns:a="http://schemas.openxmlformats.org/drawingml/2006/main">
          <a:noFill/>
        </a:ln>
        <a:effectLst xmlns:a="http://schemas.openxmlformats.org/drawingml/2006/main">
          <a:outerShdw blurRad="44450" dist="27940" dir="5400000" algn="ctr">
            <a:srgbClr val="000000">
              <a:alpha val="32000"/>
            </a:srgbClr>
          </a:outerShdw>
        </a:effectLst>
        <a:scene3d xmlns:a="http://schemas.openxmlformats.org/drawingml/2006/main">
          <a:camera prst="orthographicFront">
            <a:rot lat="0" lon="0" rev="0"/>
          </a:camera>
          <a:lightRig rig="balanced" dir="t">
            <a:rot lat="0" lon="0" rev="8700000"/>
          </a:lightRig>
        </a:scene3d>
        <a:sp3d xmlns:a="http://schemas.openxmlformats.org/drawingml/2006/main">
          <a:bevelT w="190500" h="38100"/>
        </a:sp3d>
      </cdr:spPr>
      <cdr:style>
        <a:lnRef xmlns:a="http://schemas.openxmlformats.org/drawingml/2006/main" idx="2">
          <a:schemeClr val="accent4">
            <a:shade val="50000"/>
          </a:schemeClr>
        </a:lnRef>
        <a:fillRef xmlns:a="http://schemas.openxmlformats.org/drawingml/2006/main" idx="1">
          <a:schemeClr val="accent4"/>
        </a:fillRef>
        <a:effectRef xmlns:a="http://schemas.openxmlformats.org/drawingml/2006/main" idx="0">
          <a:schemeClr val="accent4"/>
        </a:effectRef>
        <a:fontRef xmlns:a="http://schemas.openxmlformats.org/drawingml/2006/main" idx="minor">
          <a:schemeClr val="lt1"/>
        </a:fontRef>
      </cdr:style>
      <cdr:txBody>
        <a:bodyPr xmlns:a="http://schemas.openxmlformats.org/drawingml/2006/main" vertOverflow="clip" wrap="square" rtlCol="0" anchor="ctr"/>
        <a:lstStyle xmlns:a="http://schemas.openxmlformats.org/drawingml/2006/main"/>
        <a:p xmlns:a="http://schemas.openxmlformats.org/drawingml/2006/main">
          <a:pPr algn="ctr"/>
          <a:fld id="{EC80268D-0A7D-436C-BCE0-1337ABDCAEE7}" type="TxLink">
            <a:rPr lang="en-US" sz="1100" b="0" i="0" u="none" strike="noStrike">
              <a:solidFill>
                <a:srgbClr val="000000"/>
              </a:solidFill>
              <a:latin typeface="Calibri"/>
            </a:rPr>
            <a:pPr algn="ctr"/>
            <a:t>At Day 48 after  100c/10M:  Vic's 2088 is 0.56 x NSW's 3733 and 1.0 x Skorea's 2033, 1.2214x Singapore's 1709</a:t>
          </a:fld>
          <a:endParaRPr lang="en-AU" sz="1100"/>
        </a:p>
      </cdr:txBody>
    </cdr:sp>
  </cdr:relSizeAnchor>
  <cdr:relSizeAnchor xmlns:cdr="http://schemas.openxmlformats.org/drawingml/2006/chartDrawing">
    <cdr:from>
      <cdr:x>0.51543</cdr:x>
      <cdr:y>0.77844</cdr:y>
    </cdr:from>
    <cdr:to>
      <cdr:x>0.84072</cdr:x>
      <cdr:y>0.88871</cdr:y>
    </cdr:to>
    <cdr:sp macro="" textlink="myData!TaiwanBadCompare">
      <cdr:nvSpPr>
        <cdr:cNvPr id="13" name="TextBox 1"/>
        <cdr:cNvSpPr txBox="1"/>
      </cdr:nvSpPr>
      <cdr:spPr>
        <a:xfrm xmlns:a="http://schemas.openxmlformats.org/drawingml/2006/main">
          <a:off x="4798343" y="4735598"/>
          <a:ext cx="3028235" cy="670818"/>
        </a:xfrm>
        <a:prstGeom xmlns:a="http://schemas.openxmlformats.org/drawingml/2006/main" prst="rect">
          <a:avLst/>
        </a:prstGeom>
        <a:solidFill xmlns:a="http://schemas.openxmlformats.org/drawingml/2006/main">
          <a:srgbClr val="FFFF00">
            <a:alpha val="44000"/>
          </a:srgbClr>
        </a:solidFill>
        <a:ln xmlns:a="http://schemas.openxmlformats.org/drawingml/2006/main">
          <a:noFill/>
        </a:ln>
        <a:effectLst xmlns:a="http://schemas.openxmlformats.org/drawingml/2006/main">
          <a:outerShdw blurRad="44450" dist="27940" dir="5400000" algn="ctr">
            <a:srgbClr val="000000">
              <a:alpha val="32000"/>
            </a:srgbClr>
          </a:outerShdw>
        </a:effectLst>
        <a:scene3d xmlns:a="http://schemas.openxmlformats.org/drawingml/2006/main">
          <a:camera prst="orthographicFront">
            <a:rot lat="0" lon="0" rev="0"/>
          </a:camera>
          <a:lightRig rig="balanced" dir="t">
            <a:rot lat="0" lon="0" rev="8700000"/>
          </a:lightRig>
        </a:scene3d>
        <a:sp3d xmlns:a="http://schemas.openxmlformats.org/drawingml/2006/main">
          <a:bevelT w="190500" h="38100"/>
        </a:sp3d>
      </cdr:spPr>
      <cdr:style>
        <a:lnRef xmlns:a="http://schemas.openxmlformats.org/drawingml/2006/main" idx="2">
          <a:schemeClr val="accent4">
            <a:shade val="50000"/>
          </a:schemeClr>
        </a:lnRef>
        <a:fillRef xmlns:a="http://schemas.openxmlformats.org/drawingml/2006/main" idx="1">
          <a:schemeClr val="accent4"/>
        </a:fillRef>
        <a:effectRef xmlns:a="http://schemas.openxmlformats.org/drawingml/2006/main" idx="0">
          <a:schemeClr val="accent4"/>
        </a:effectRef>
        <a:fontRef xmlns:a="http://schemas.openxmlformats.org/drawingml/2006/main" idx="minor">
          <a:schemeClr val="lt1"/>
        </a:fontRef>
      </cdr:style>
      <cdr:txBody>
        <a:bodyPr xmlns:a="http://schemas.openxmlformats.org/drawingml/2006/main" wrap="square"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82345827-3AD7-4E19-A47E-0937AFC43FFA}" type="TxLink">
            <a:rPr lang="en-US" sz="1100" b="0" i="0" u="none" strike="noStrike">
              <a:solidFill>
                <a:srgbClr val="000000"/>
              </a:solidFill>
              <a:latin typeface="Calibri"/>
            </a:rPr>
            <a:pPr algn="ctr"/>
            <a:t>At Day 38 after  100c/10M:  Taiwan's 181 is 0.2 x Singapore's 778 and 0.1 x Skorea's 1904, 0.0496x NSW's 3660</a:t>
          </a:fld>
          <a:endParaRPr lang="en-AU" sz="1100"/>
        </a:p>
      </cdr:txBody>
    </cdr:sp>
  </cdr:relSizeAnchor>
</c:userShapes>
</file>

<file path=xl/drawings/drawing5.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0.01062</cdr:x>
      <cdr:y>0.15805</cdr:y>
    </cdr:from>
    <cdr:to>
      <cdr:x>0.26931</cdr:x>
      <cdr:y>0.27917</cdr:y>
    </cdr:to>
    <cdr:sp macro="" textlink="myData!VicBadCompare">
      <cdr:nvSpPr>
        <cdr:cNvPr id="6" name="TextBox 5"/>
        <cdr:cNvSpPr txBox="1"/>
      </cdr:nvSpPr>
      <cdr:spPr>
        <a:xfrm xmlns:a="http://schemas.openxmlformats.org/drawingml/2006/main">
          <a:off x="98886" y="961512"/>
          <a:ext cx="2408233" cy="736823"/>
        </a:xfrm>
        <a:prstGeom xmlns:a="http://schemas.openxmlformats.org/drawingml/2006/main" prst="rect">
          <a:avLst/>
        </a:prstGeom>
        <a:solidFill xmlns:a="http://schemas.openxmlformats.org/drawingml/2006/main">
          <a:srgbClr val="FFFFCC">
            <a:alpha val="69804"/>
          </a:srgbClr>
        </a:solidFill>
        <a:ln xmlns:a="http://schemas.openxmlformats.org/drawingml/2006/main">
          <a:noFill/>
        </a:ln>
        <a:effectLst xmlns:a="http://schemas.openxmlformats.org/drawingml/2006/main">
          <a:outerShdw blurRad="44450" dist="27940" dir="5400000" algn="ctr">
            <a:srgbClr val="000000">
              <a:alpha val="32000"/>
            </a:srgbClr>
          </a:outerShdw>
        </a:effectLst>
        <a:scene3d xmlns:a="http://schemas.openxmlformats.org/drawingml/2006/main">
          <a:camera prst="orthographicFront">
            <a:rot lat="0" lon="0" rev="0"/>
          </a:camera>
          <a:lightRig rig="balanced" dir="t">
            <a:rot lat="0" lon="0" rev="8700000"/>
          </a:lightRig>
        </a:scene3d>
        <a:sp3d xmlns:a="http://schemas.openxmlformats.org/drawingml/2006/main">
          <a:bevelT w="190500" h="38100"/>
        </a:sp3d>
      </cdr:spPr>
      <cdr:style>
        <a:lnRef xmlns:a="http://schemas.openxmlformats.org/drawingml/2006/main" idx="2">
          <a:schemeClr val="accent4">
            <a:shade val="50000"/>
          </a:schemeClr>
        </a:lnRef>
        <a:fillRef xmlns:a="http://schemas.openxmlformats.org/drawingml/2006/main" idx="1">
          <a:schemeClr val="accent4"/>
        </a:fillRef>
        <a:effectRef xmlns:a="http://schemas.openxmlformats.org/drawingml/2006/main" idx="0">
          <a:schemeClr val="accent4"/>
        </a:effectRef>
        <a:fontRef xmlns:a="http://schemas.openxmlformats.org/drawingml/2006/main" idx="minor">
          <a:schemeClr val="lt1"/>
        </a:fontRef>
      </cdr:style>
      <cdr:txBody>
        <a:bodyPr xmlns:a="http://schemas.openxmlformats.org/drawingml/2006/main" vertOverflow="clip" wrap="square" rtlCol="0" anchor="ctr"/>
        <a:lstStyle xmlns:a="http://schemas.openxmlformats.org/drawingml/2006/main"/>
        <a:p xmlns:a="http://schemas.openxmlformats.org/drawingml/2006/main">
          <a:pPr algn="ctr"/>
          <a:fld id="{EC80268D-0A7D-436C-BCE0-1337ABDCAEE7}" type="TxLink">
            <a:rPr lang="en-US" sz="1100" b="0" i="0" u="none" strike="noStrike">
              <a:solidFill>
                <a:srgbClr val="000000"/>
              </a:solidFill>
              <a:latin typeface="Calibri"/>
            </a:rPr>
            <a:pPr algn="ctr"/>
            <a:t>At Day 48 after  100c/10M:  Vic's 2088 is 0.56 x NSW's 3733 and 1.0 x Skorea's 2033, 1.2214x Singapore's 1709</a:t>
          </a:fld>
          <a:endParaRPr lang="en-AU" sz="1100"/>
        </a:p>
      </cdr:txBody>
    </cdr:sp>
  </cdr:relSizeAnchor>
  <cdr:relSizeAnchor xmlns:cdr="http://schemas.openxmlformats.org/drawingml/2006/chartDrawing">
    <cdr:from>
      <cdr:x>0.17857</cdr:x>
      <cdr:y>0.25997</cdr:y>
    </cdr:from>
    <cdr:to>
      <cdr:x>0.36004</cdr:x>
      <cdr:y>0.51108</cdr:y>
    </cdr:to>
    <cdr:cxnSp macro="">
      <cdr:nvCxnSpPr>
        <cdr:cNvPr id="8" name="Straight Arrow Connector 7"/>
        <cdr:cNvCxnSpPr/>
      </cdr:nvCxnSpPr>
      <cdr:spPr>
        <a:xfrm xmlns:a="http://schemas.openxmlformats.org/drawingml/2006/main">
          <a:off x="1662380" y="1581492"/>
          <a:ext cx="1689366" cy="1527608"/>
        </a:xfrm>
        <a:prstGeom xmlns:a="http://schemas.openxmlformats.org/drawingml/2006/main" prst="straightConnector1">
          <a:avLst/>
        </a:prstGeom>
        <a:ln xmlns:a="http://schemas.openxmlformats.org/drawingml/2006/main" w="38100">
          <a:tailEnd type="triangle"/>
        </a:ln>
      </cdr:spPr>
      <cdr:style>
        <a:lnRef xmlns:a="http://schemas.openxmlformats.org/drawingml/2006/main" idx="1">
          <a:schemeClr val="accent4"/>
        </a:lnRef>
        <a:fillRef xmlns:a="http://schemas.openxmlformats.org/drawingml/2006/main" idx="0">
          <a:schemeClr val="accent4"/>
        </a:fillRef>
        <a:effectRef xmlns:a="http://schemas.openxmlformats.org/drawingml/2006/main" idx="0">
          <a:schemeClr val="accent4"/>
        </a:effectRef>
        <a:fontRef xmlns:a="http://schemas.openxmlformats.org/drawingml/2006/main" idx="minor">
          <a:schemeClr val="tx1"/>
        </a:fontRef>
      </cdr:style>
    </cdr:cxnSp>
  </cdr:relSizeAnchor>
  <cdr:relSizeAnchor xmlns:cdr="http://schemas.openxmlformats.org/drawingml/2006/chartDrawing">
    <cdr:from>
      <cdr:x>0.55405</cdr:x>
      <cdr:y>0.76958</cdr:y>
    </cdr:from>
    <cdr:to>
      <cdr:x>0.87934</cdr:x>
      <cdr:y>0.87985</cdr:y>
    </cdr:to>
    <cdr:sp macro="" textlink="myData!TaiwanBadCompare">
      <cdr:nvSpPr>
        <cdr:cNvPr id="13" name="TextBox 1"/>
        <cdr:cNvSpPr txBox="1"/>
      </cdr:nvSpPr>
      <cdr:spPr>
        <a:xfrm xmlns:a="http://schemas.openxmlformats.org/drawingml/2006/main">
          <a:off x="5157854" y="4681693"/>
          <a:ext cx="3028235" cy="670818"/>
        </a:xfrm>
        <a:prstGeom xmlns:a="http://schemas.openxmlformats.org/drawingml/2006/main" prst="rect">
          <a:avLst/>
        </a:prstGeom>
        <a:solidFill xmlns:a="http://schemas.openxmlformats.org/drawingml/2006/main">
          <a:srgbClr val="FFFF00">
            <a:alpha val="44000"/>
          </a:srgbClr>
        </a:solidFill>
        <a:ln xmlns:a="http://schemas.openxmlformats.org/drawingml/2006/main">
          <a:noFill/>
        </a:ln>
        <a:effectLst xmlns:a="http://schemas.openxmlformats.org/drawingml/2006/main">
          <a:outerShdw blurRad="44450" dist="27940" dir="5400000" algn="ctr">
            <a:srgbClr val="000000">
              <a:alpha val="32000"/>
            </a:srgbClr>
          </a:outerShdw>
        </a:effectLst>
        <a:scene3d xmlns:a="http://schemas.openxmlformats.org/drawingml/2006/main">
          <a:camera prst="orthographicFront">
            <a:rot lat="0" lon="0" rev="0"/>
          </a:camera>
          <a:lightRig rig="balanced" dir="t">
            <a:rot lat="0" lon="0" rev="8700000"/>
          </a:lightRig>
        </a:scene3d>
        <a:sp3d xmlns:a="http://schemas.openxmlformats.org/drawingml/2006/main">
          <a:bevelT w="190500" h="38100"/>
        </a:sp3d>
      </cdr:spPr>
      <cdr:style>
        <a:lnRef xmlns:a="http://schemas.openxmlformats.org/drawingml/2006/main" idx="2">
          <a:schemeClr val="accent4">
            <a:shade val="50000"/>
          </a:schemeClr>
        </a:lnRef>
        <a:fillRef xmlns:a="http://schemas.openxmlformats.org/drawingml/2006/main" idx="1">
          <a:schemeClr val="accent4"/>
        </a:fillRef>
        <a:effectRef xmlns:a="http://schemas.openxmlformats.org/drawingml/2006/main" idx="0">
          <a:schemeClr val="accent4"/>
        </a:effectRef>
        <a:fontRef xmlns:a="http://schemas.openxmlformats.org/drawingml/2006/main" idx="minor">
          <a:schemeClr val="lt1"/>
        </a:fontRef>
      </cdr:style>
      <cdr:txBody>
        <a:bodyPr xmlns:a="http://schemas.openxmlformats.org/drawingml/2006/main" wrap="square"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82345827-3AD7-4E19-A47E-0937AFC43FFA}" type="TxLink">
            <a:rPr lang="en-US" sz="1100" b="0" i="0" u="none" strike="noStrike">
              <a:solidFill>
                <a:srgbClr val="000000"/>
              </a:solidFill>
              <a:latin typeface="Calibri"/>
            </a:rPr>
            <a:pPr algn="ctr"/>
            <a:t>At Day 38 after  100c/10M:  Taiwan's 181 is 0.2 x Singapore's 778 and 0.1 x Skorea's 1904, 0.0496x NSW's 3660</a:t>
          </a:fld>
          <a:endParaRPr lang="en-AU" sz="1100"/>
        </a:p>
      </cdr:txBody>
    </cdr:sp>
  </cdr:relSizeAnchor>
  <cdr:relSizeAnchor xmlns:cdr="http://schemas.openxmlformats.org/drawingml/2006/chartDrawing">
    <cdr:from>
      <cdr:x>0.38418</cdr:x>
      <cdr:y>0.80206</cdr:y>
    </cdr:from>
    <cdr:to>
      <cdr:x>0.53861</cdr:x>
      <cdr:y>0.81093</cdr:y>
    </cdr:to>
    <cdr:cxnSp macro="">
      <cdr:nvCxnSpPr>
        <cdr:cNvPr id="3" name="Straight Arrow Connector 2"/>
        <cdr:cNvCxnSpPr/>
      </cdr:nvCxnSpPr>
      <cdr:spPr>
        <a:xfrm xmlns:a="http://schemas.openxmlformats.org/drawingml/2006/main" flipH="1" flipV="1">
          <a:off x="3576443" y="4879294"/>
          <a:ext cx="1437642" cy="53960"/>
        </a:xfrm>
        <a:prstGeom xmlns:a="http://schemas.openxmlformats.org/drawingml/2006/main" prst="straightConnector1">
          <a:avLst/>
        </a:prstGeom>
        <a:ln xmlns:a="http://schemas.openxmlformats.org/drawingml/2006/main" w="44450">
          <a:solidFill>
            <a:srgbClr val="FF0000">
              <a:alpha val="39000"/>
            </a:srgbClr>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7.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0.3919</cdr:x>
      <cdr:y>0.77252</cdr:y>
    </cdr:from>
    <cdr:to>
      <cdr:x>0.58302</cdr:x>
      <cdr:y>0.79911</cdr:y>
    </cdr:to>
    <cdr:cxnSp macro="">
      <cdr:nvCxnSpPr>
        <cdr:cNvPr id="3" name="Straight Arrow Connector 2"/>
        <cdr:cNvCxnSpPr/>
      </cdr:nvCxnSpPr>
      <cdr:spPr>
        <a:xfrm xmlns:a="http://schemas.openxmlformats.org/drawingml/2006/main" flipH="1">
          <a:off x="3648288" y="4699565"/>
          <a:ext cx="1779201" cy="161758"/>
        </a:xfrm>
        <a:prstGeom xmlns:a="http://schemas.openxmlformats.org/drawingml/2006/main" prst="straightConnector1">
          <a:avLst/>
        </a:prstGeom>
        <a:ln xmlns:a="http://schemas.openxmlformats.org/drawingml/2006/main" w="44450">
          <a:solidFill>
            <a:srgbClr val="FF0000">
              <a:alpha val="39000"/>
            </a:srgbClr>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9.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0.44015</cdr:x>
      <cdr:y>0.53176</cdr:y>
    </cdr:from>
    <cdr:to>
      <cdr:x>0.47007</cdr:x>
      <cdr:y>0.7932</cdr:y>
    </cdr:to>
    <cdr:sp macro="" textlink="">
      <cdr:nvSpPr>
        <cdr:cNvPr id="5" name="Down Arrow 4"/>
        <cdr:cNvSpPr/>
      </cdr:nvSpPr>
      <cdr:spPr>
        <a:xfrm xmlns:a="http://schemas.openxmlformats.org/drawingml/2006/main">
          <a:off x="4097465" y="3234931"/>
          <a:ext cx="278535" cy="1590449"/>
        </a:xfrm>
        <a:prstGeom xmlns:a="http://schemas.openxmlformats.org/drawingml/2006/main" prst="downArrow">
          <a:avLst/>
        </a:prstGeom>
        <a:solidFill xmlns:a="http://schemas.openxmlformats.org/drawingml/2006/main">
          <a:srgbClr val="FF0000">
            <a:alpha val="55000"/>
          </a:srgbClr>
        </a:solidFill>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vertOverflow="clip" vert="vert270" anchor="ctr" anchorCtr="0"/>
        <a:lstStyle xmlns:a="http://schemas.openxmlformats.org/drawingml/2006/main"/>
        <a:p xmlns:a="http://schemas.openxmlformats.org/drawingml/2006/main">
          <a:pPr algn="ctr"/>
          <a:r>
            <a:rPr lang="en-US">
              <a:ln>
                <a:noFill/>
              </a:ln>
              <a:solidFill>
                <a:schemeClr val="bg1">
                  <a:lumMod val="95000"/>
                </a:schemeClr>
              </a:solidFill>
            </a:rPr>
            <a:t>NSW </a:t>
          </a:r>
          <a:r>
            <a:rPr lang="en-US" baseline="0">
              <a:ln>
                <a:noFill/>
              </a:ln>
              <a:solidFill>
                <a:schemeClr val="bg1">
                  <a:lumMod val="95000"/>
                </a:schemeClr>
              </a:solidFill>
            </a:rPr>
            <a:t> </a:t>
          </a:r>
          <a:r>
            <a:rPr lang="en-US">
              <a:ln>
                <a:noFill/>
              </a:ln>
              <a:solidFill>
                <a:schemeClr val="bg1">
                  <a:lumMod val="95000"/>
                </a:schemeClr>
              </a:solidFill>
            </a:rPr>
            <a:t>Lags</a:t>
          </a:r>
        </a:p>
      </cdr:txBody>
    </cdr:sp>
  </cdr:relSizeAnchor>
  <cdr:relSizeAnchor xmlns:cdr="http://schemas.openxmlformats.org/drawingml/2006/chartDrawing">
    <cdr:from>
      <cdr:x>0.11487</cdr:x>
      <cdr:y>0.20827</cdr:y>
    </cdr:from>
    <cdr:to>
      <cdr:x>0.4334</cdr:x>
      <cdr:y>0.31462</cdr:y>
    </cdr:to>
    <cdr:sp macro="" textlink="myData!NSWBadCompare">
      <cdr:nvSpPr>
        <cdr:cNvPr id="6" name="TextBox 5"/>
        <cdr:cNvSpPr txBox="1"/>
      </cdr:nvSpPr>
      <cdr:spPr>
        <a:xfrm xmlns:a="http://schemas.openxmlformats.org/drawingml/2006/main">
          <a:off x="1133525" y="1343013"/>
          <a:ext cx="3143199" cy="685790"/>
        </a:xfrm>
        <a:prstGeom xmlns:a="http://schemas.openxmlformats.org/drawingml/2006/main" prst="rect">
          <a:avLst/>
        </a:prstGeom>
        <a:gradFill xmlns:a="http://schemas.openxmlformats.org/drawingml/2006/main" flip="none" rotWithShape="1">
          <a:gsLst>
            <a:gs pos="84000">
              <a:schemeClr val="accent1">
                <a:lumMod val="5000"/>
                <a:lumOff val="95000"/>
              </a:schemeClr>
            </a:gs>
            <a:gs pos="91000">
              <a:schemeClr val="accent1">
                <a:lumMod val="30000"/>
                <a:lumOff val="70000"/>
              </a:schemeClr>
            </a:gs>
          </a:gsLst>
          <a:path path="shape">
            <a:fillToRect l="50000" t="50000" r="50000" b="50000"/>
          </a:path>
          <a:tileRect/>
        </a:gradFill>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pPr algn="ctr"/>
          <a:fld id="{BA6E00DC-C684-4289-93B5-EB90AABBF1E4}" type="TxLink">
            <a:rPr lang="en-US" sz="1100" b="0" i="0" u="none" strike="noStrike">
              <a:solidFill>
                <a:srgbClr val="000000"/>
              </a:solidFill>
              <a:latin typeface="Calibri"/>
            </a:rPr>
            <a:pPr algn="ctr"/>
            <a:t>At Day 52 after 100c/10M:  NSW's 3756 is 1.7 times Singapore's 2238, 1.8 times, Skorea's, 2055 and NSW's 3660 was 20.2x Taiwan's 181 At Day 38</a:t>
          </a:fld>
          <a:endParaRPr lang="en-AU" sz="1100">
            <a:solidFill>
              <a:schemeClr val="tx1"/>
            </a:solidFill>
          </a:endParaRPr>
        </a:p>
      </cdr:txBody>
    </cdr:sp>
  </cdr:relSizeAnchor>
  <cdr:relSizeAnchor xmlns:cdr="http://schemas.openxmlformats.org/drawingml/2006/chartDrawing">
    <cdr:from>
      <cdr:x>0.10391</cdr:x>
      <cdr:y>0.33774</cdr:y>
    </cdr:from>
    <cdr:to>
      <cdr:x>0.33687</cdr:x>
      <cdr:y>0.46972</cdr:y>
    </cdr:to>
    <cdr:sp macro="" textlink="myData!USBadCompare">
      <cdr:nvSpPr>
        <cdr:cNvPr id="4" name="TextBox 1"/>
        <cdr:cNvSpPr txBox="1"/>
      </cdr:nvSpPr>
      <cdr:spPr>
        <a:xfrm xmlns:a="http://schemas.openxmlformats.org/drawingml/2006/main">
          <a:off x="967333" y="2054614"/>
          <a:ext cx="2168727" cy="802886"/>
        </a:xfrm>
        <a:prstGeom xmlns:a="http://schemas.openxmlformats.org/drawingml/2006/main" prst="rect">
          <a:avLst/>
        </a:prstGeom>
        <a:gradFill xmlns:a="http://schemas.openxmlformats.org/drawingml/2006/main" flip="none" rotWithShape="1">
          <a:gsLst>
            <a:gs pos="78000">
              <a:schemeClr val="accent1">
                <a:lumMod val="5000"/>
                <a:lumOff val="95000"/>
              </a:schemeClr>
            </a:gs>
            <a:gs pos="100000">
              <a:schemeClr val="accent1">
                <a:lumMod val="30000"/>
                <a:lumOff val="70000"/>
              </a:schemeClr>
            </a:gs>
          </a:gsLst>
          <a:path path="shape">
            <a:fillToRect l="50000" t="50000" r="50000" b="50000"/>
          </a:path>
          <a:tileRect/>
        </a:gradFill>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39A00E5-6901-4E10-A9EE-AF94ED921064}" type="TxLink">
            <a:rPr lang="en-US" sz="1100" b="0" i="0" u="none" strike="noStrike">
              <a:solidFill>
                <a:srgbClr val="000000"/>
              </a:solidFill>
              <a:latin typeface="Calibri"/>
            </a:rPr>
            <a:pPr algn="ctr"/>
            <a:t>At Day 49 after  100c/10M:  USA's 34400 is 1.3 x Italy's 27305 and 16.9 x Skorea's 2039, 19.2 x Singapore 1793</a:t>
          </a:fld>
          <a:endParaRPr lang="en-AU" sz="1100">
            <a:solidFill>
              <a:schemeClr val="tx1"/>
            </a:solidFill>
          </a:endParaRP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0.62936</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860676" y="786216"/>
          <a:ext cx="3294503" cy="4425471"/>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xdr:absoluteAnchor>
    <xdr:pos x="0" y="0"/>
    <xdr:ext cx="7915275" cy="51720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0.44111</cdr:x>
      <cdr:y>0.53029</cdr:y>
    </cdr:from>
    <cdr:to>
      <cdr:x>0.47103</cdr:x>
      <cdr:y>0.78877</cdr:y>
    </cdr:to>
    <cdr:sp macro="" textlink="">
      <cdr:nvSpPr>
        <cdr:cNvPr id="5" name="Down Arrow 4"/>
        <cdr:cNvSpPr/>
      </cdr:nvSpPr>
      <cdr:spPr>
        <a:xfrm xmlns:a="http://schemas.openxmlformats.org/drawingml/2006/main">
          <a:off x="4106461" y="3225967"/>
          <a:ext cx="278536" cy="1572476"/>
        </a:xfrm>
        <a:prstGeom xmlns:a="http://schemas.openxmlformats.org/drawingml/2006/main" prst="downArrow">
          <a:avLst/>
        </a:prstGeom>
        <a:solidFill xmlns:a="http://schemas.openxmlformats.org/drawingml/2006/main">
          <a:srgbClr val="FF0000">
            <a:alpha val="55000"/>
          </a:srgbClr>
        </a:solidFill>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vertOverflow="clip" vert="vert270" anchor="ctr" anchorCtr="0"/>
        <a:lstStyle xmlns:a="http://schemas.openxmlformats.org/drawingml/2006/main"/>
        <a:p xmlns:a="http://schemas.openxmlformats.org/drawingml/2006/main">
          <a:pPr algn="ctr"/>
          <a:r>
            <a:rPr lang="en-US">
              <a:ln>
                <a:noFill/>
              </a:ln>
              <a:solidFill>
                <a:schemeClr val="bg1">
                  <a:lumMod val="95000"/>
                </a:schemeClr>
              </a:solidFill>
            </a:rPr>
            <a:t>NSW </a:t>
          </a:r>
          <a:r>
            <a:rPr lang="en-US" baseline="0">
              <a:ln>
                <a:noFill/>
              </a:ln>
              <a:solidFill>
                <a:schemeClr val="bg1">
                  <a:lumMod val="95000"/>
                </a:schemeClr>
              </a:solidFill>
            </a:rPr>
            <a:t> </a:t>
          </a:r>
          <a:r>
            <a:rPr lang="en-US">
              <a:ln>
                <a:noFill/>
              </a:ln>
              <a:solidFill>
                <a:schemeClr val="bg1">
                  <a:lumMod val="95000"/>
                </a:schemeClr>
              </a:solidFill>
            </a:rPr>
            <a:t>Lags</a:t>
          </a:r>
        </a:p>
      </cdr:txBody>
    </cdr:sp>
  </cdr:relSizeAnchor>
  <cdr:relSizeAnchor xmlns:cdr="http://schemas.openxmlformats.org/drawingml/2006/chartDrawing">
    <cdr:from>
      <cdr:x>0.11487</cdr:x>
      <cdr:y>0.20827</cdr:y>
    </cdr:from>
    <cdr:to>
      <cdr:x>0.39865</cdr:x>
      <cdr:y>0.31462</cdr:y>
    </cdr:to>
    <cdr:sp macro="" textlink="myData!NSWBadCompare">
      <cdr:nvSpPr>
        <cdr:cNvPr id="6" name="TextBox 5"/>
        <cdr:cNvSpPr txBox="1"/>
      </cdr:nvSpPr>
      <cdr:spPr>
        <a:xfrm xmlns:a="http://schemas.openxmlformats.org/drawingml/2006/main">
          <a:off x="1069363" y="1267001"/>
          <a:ext cx="2641793" cy="646985"/>
        </a:xfrm>
        <a:prstGeom xmlns:a="http://schemas.openxmlformats.org/drawingml/2006/main" prst="rect">
          <a:avLst/>
        </a:prstGeom>
        <a:gradFill xmlns:a="http://schemas.openxmlformats.org/drawingml/2006/main" flip="none" rotWithShape="1">
          <a:gsLst>
            <a:gs pos="84000">
              <a:schemeClr val="accent1">
                <a:lumMod val="5000"/>
                <a:lumOff val="95000"/>
              </a:schemeClr>
            </a:gs>
            <a:gs pos="91000">
              <a:schemeClr val="accent1">
                <a:lumMod val="30000"/>
                <a:lumOff val="70000"/>
              </a:schemeClr>
            </a:gs>
          </a:gsLst>
          <a:path path="shape">
            <a:fillToRect l="50000" t="50000" r="50000" b="50000"/>
          </a:path>
          <a:tileRect/>
        </a:gradFill>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pPr algn="ctr"/>
          <a:fld id="{BA6E00DC-C684-4289-93B5-EB90AABBF1E4}" type="TxLink">
            <a:rPr lang="en-US" sz="1100" b="0" i="0" u="none" strike="noStrike">
              <a:solidFill>
                <a:srgbClr val="000000"/>
              </a:solidFill>
              <a:latin typeface="Calibri"/>
            </a:rPr>
            <a:pPr algn="ctr"/>
            <a:t>At Day 52 after 100c/10M:  NSW's 3756 is 1.7 times Singapore's 2238, 1.8 times, Skorea's, 2055 and NSW's 3660 was 20.2x Taiwan's 181 At Day 38</a:t>
          </a:fld>
          <a:endParaRPr lang="en-AU" sz="1100">
            <a:solidFill>
              <a:schemeClr val="tx1"/>
            </a:solidFill>
          </a:endParaRPr>
        </a:p>
      </cdr:txBody>
    </cdr:sp>
  </cdr:relSizeAnchor>
  <cdr:relSizeAnchor xmlns:cdr="http://schemas.openxmlformats.org/drawingml/2006/chartDrawing">
    <cdr:from>
      <cdr:x>0.10391</cdr:x>
      <cdr:y>0.33774</cdr:y>
    </cdr:from>
    <cdr:to>
      <cdr:x>0.33687</cdr:x>
      <cdr:y>0.46972</cdr:y>
    </cdr:to>
    <cdr:sp macro="" textlink="myData!USBadCompare">
      <cdr:nvSpPr>
        <cdr:cNvPr id="4" name="TextBox 1"/>
        <cdr:cNvSpPr txBox="1"/>
      </cdr:nvSpPr>
      <cdr:spPr>
        <a:xfrm xmlns:a="http://schemas.openxmlformats.org/drawingml/2006/main">
          <a:off x="967333" y="2054614"/>
          <a:ext cx="2168727" cy="802886"/>
        </a:xfrm>
        <a:prstGeom xmlns:a="http://schemas.openxmlformats.org/drawingml/2006/main" prst="rect">
          <a:avLst/>
        </a:prstGeom>
        <a:gradFill xmlns:a="http://schemas.openxmlformats.org/drawingml/2006/main" flip="none" rotWithShape="1">
          <a:gsLst>
            <a:gs pos="78000">
              <a:schemeClr val="accent1">
                <a:lumMod val="5000"/>
                <a:lumOff val="95000"/>
              </a:schemeClr>
            </a:gs>
            <a:gs pos="100000">
              <a:schemeClr val="accent1">
                <a:lumMod val="30000"/>
                <a:lumOff val="70000"/>
              </a:schemeClr>
            </a:gs>
          </a:gsLst>
          <a:path path="shape">
            <a:fillToRect l="50000" t="50000" r="50000" b="50000"/>
          </a:path>
          <a:tileRect/>
        </a:gradFill>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39A00E5-6901-4E10-A9EE-AF94ED921064}" type="TxLink">
            <a:rPr lang="en-US" sz="1100" b="0" i="0" u="none" strike="noStrike">
              <a:solidFill>
                <a:srgbClr val="000000"/>
              </a:solidFill>
              <a:latin typeface="Calibri"/>
            </a:rPr>
            <a:pPr algn="ctr"/>
            <a:t>At Day 49 after  100c/10M:  USA's 34400 is 1.3 x Italy's 27305 and 16.9 x Skorea's 2039, 19.2 x Singapore 1793</a:t>
          </a:fld>
          <a:endParaRPr lang="en-AU" sz="1100">
            <a:solidFill>
              <a:schemeClr val="tx1"/>
            </a:solidFill>
          </a:endParaRPr>
        </a:p>
      </cdr:txBody>
    </cdr:sp>
  </cdr:relSizeAnchor>
</c:userShapes>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1</xdr:row>
          <xdr:rowOff>57150</xdr:rowOff>
        </xdr:from>
        <xdr:to>
          <xdr:col>3</xdr:col>
          <xdr:colOff>76200</xdr:colOff>
          <xdr:row>3</xdr:row>
          <xdr:rowOff>57150</xdr:rowOff>
        </xdr:to>
        <xdr:sp macro="" textlink="">
          <xdr:nvSpPr>
            <xdr:cNvPr id="70659" name="CreateChartIndex" hidden="1">
              <a:extLst>
                <a:ext uri="{63B3BB69-23CF-44E3-9099-C40C66FF867C}">
                  <a14:compatExt spid="_x0000_s706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Create Chart Index</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0.65734</cdr:x>
      <cdr:y>0.66322</cdr:y>
    </cdr:from>
    <cdr:to>
      <cdr:x>0.68726</cdr:x>
      <cdr:y>0.77991</cdr:y>
    </cdr:to>
    <cdr:sp macro="" textlink="">
      <cdr:nvSpPr>
        <cdr:cNvPr id="5" name="Down Arrow 4"/>
        <cdr:cNvSpPr/>
      </cdr:nvSpPr>
      <cdr:spPr>
        <a:xfrm xmlns:a="http://schemas.openxmlformats.org/drawingml/2006/main">
          <a:off x="6119424" y="4034630"/>
          <a:ext cx="278535" cy="709898"/>
        </a:xfrm>
        <a:prstGeom xmlns:a="http://schemas.openxmlformats.org/drawingml/2006/main" prst="downArrow">
          <a:avLst/>
        </a:prstGeom>
        <a:solidFill xmlns:a="http://schemas.openxmlformats.org/drawingml/2006/main">
          <a:srgbClr val="FF0000">
            <a:alpha val="55000"/>
          </a:srgbClr>
        </a:solidFill>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vertOverflow="clip" vert="vert270" anchor="ctr" anchorCtr="0"/>
        <a:lstStyle xmlns:a="http://schemas.openxmlformats.org/drawingml/2006/main"/>
        <a:p xmlns:a="http://schemas.openxmlformats.org/drawingml/2006/main">
          <a:pPr algn="ctr"/>
          <a:r>
            <a:rPr lang="en-US">
              <a:ln>
                <a:noFill/>
              </a:ln>
              <a:solidFill>
                <a:schemeClr val="bg1">
                  <a:lumMod val="95000"/>
                </a:schemeClr>
              </a:solidFill>
            </a:rPr>
            <a:t>NSW </a:t>
          </a:r>
          <a:r>
            <a:rPr lang="en-US" baseline="0">
              <a:ln>
                <a:noFill/>
              </a:ln>
              <a:solidFill>
                <a:schemeClr val="bg1">
                  <a:lumMod val="95000"/>
                </a:schemeClr>
              </a:solidFill>
            </a:rPr>
            <a:t> </a:t>
          </a:r>
          <a:r>
            <a:rPr lang="en-US">
              <a:ln>
                <a:noFill/>
              </a:ln>
              <a:solidFill>
                <a:schemeClr val="bg1">
                  <a:lumMod val="95000"/>
                </a:schemeClr>
              </a:solidFill>
            </a:rPr>
            <a:t>Lags</a:t>
          </a:r>
        </a:p>
      </cdr:txBody>
    </cdr:sp>
  </cdr:relSizeAnchor>
  <cdr:relSizeAnchor xmlns:cdr="http://schemas.openxmlformats.org/drawingml/2006/chartDrawing">
    <cdr:from>
      <cdr:x>0.09653</cdr:x>
      <cdr:y>0.1935</cdr:y>
    </cdr:from>
    <cdr:to>
      <cdr:x>0.27703</cdr:x>
      <cdr:y>0.35303</cdr:y>
    </cdr:to>
    <cdr:sp macro="" textlink="myData!NSWBadCompare">
      <cdr:nvSpPr>
        <cdr:cNvPr id="6" name="TextBox 5"/>
        <cdr:cNvSpPr txBox="1"/>
      </cdr:nvSpPr>
      <cdr:spPr>
        <a:xfrm xmlns:a="http://schemas.openxmlformats.org/drawingml/2006/main">
          <a:off x="898585" y="1177146"/>
          <a:ext cx="1680354" cy="970472"/>
        </a:xfrm>
        <a:prstGeom xmlns:a="http://schemas.openxmlformats.org/drawingml/2006/main" prst="rect">
          <a:avLst/>
        </a:prstGeom>
        <a:solidFill xmlns:a="http://schemas.openxmlformats.org/drawingml/2006/main">
          <a:schemeClr val="lt1">
            <a:alpha val="79000"/>
          </a:schemeClr>
        </a:solidFill>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pPr algn="ctr"/>
          <a:fld id="{33770C0A-E2B2-4D05-899D-12C92442A6EF}" type="TxLink">
            <a:rPr lang="en-US" sz="1100" b="0" i="0" u="none" strike="noStrike">
              <a:solidFill>
                <a:srgbClr val="000000"/>
              </a:solidFill>
              <a:latin typeface="Calibri"/>
            </a:rPr>
            <a:pPr algn="ctr"/>
            <a:t>At Day 52 after 100c/10M:  NSW's 3756 is 1.7 times Singapore's 2238, 1.8 times, Skorea's, 2055 and NSW's 3660 was 20.2x Taiwan's 181 At Day 38</a:t>
          </a:fld>
          <a:endParaRPr lang="en-AU" sz="1100">
            <a:solidFill>
              <a:schemeClr val="accent6">
                <a:lumMod val="75000"/>
              </a:schemeClr>
            </a:solidFill>
          </a:endParaRPr>
        </a:p>
      </cdr:txBody>
    </cdr:sp>
  </cdr:relSizeAnchor>
</c:userShapes>
</file>

<file path=xl/drawings/drawing20.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2.xml><?xml version="1.0" encoding="utf-8"?>
<c:userShapes xmlns:c="http://schemas.openxmlformats.org/drawingml/2006/chart">
  <cdr:relSizeAnchor xmlns:cdr="http://schemas.openxmlformats.org/drawingml/2006/chartDrawing">
    <cdr:from>
      <cdr:x>0.59942</cdr:x>
      <cdr:y>0.51846</cdr:y>
    </cdr:from>
    <cdr:to>
      <cdr:x>0.62934</cdr:x>
      <cdr:y>0.60414</cdr:y>
    </cdr:to>
    <cdr:sp macro="" textlink="">
      <cdr:nvSpPr>
        <cdr:cNvPr id="5" name="Down Arrow 4"/>
        <cdr:cNvSpPr/>
      </cdr:nvSpPr>
      <cdr:spPr>
        <a:xfrm xmlns:a="http://schemas.openxmlformats.org/drawingml/2006/main">
          <a:off x="5580192" y="3154001"/>
          <a:ext cx="278535" cy="521227"/>
        </a:xfrm>
        <a:prstGeom xmlns:a="http://schemas.openxmlformats.org/drawingml/2006/main" prst="downArrow">
          <a:avLst/>
        </a:prstGeom>
        <a:solidFill xmlns:a="http://schemas.openxmlformats.org/drawingml/2006/main">
          <a:srgbClr val="FF0000">
            <a:alpha val="55000"/>
          </a:srgbClr>
        </a:solidFill>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vertOverflow="clip" vert="vert270" anchor="ctr" anchorCtr="0"/>
        <a:lstStyle xmlns:a="http://schemas.openxmlformats.org/drawingml/2006/main"/>
        <a:p xmlns:a="http://schemas.openxmlformats.org/drawingml/2006/main">
          <a:pPr algn="ctr"/>
          <a:r>
            <a:rPr lang="en-US">
              <a:ln>
                <a:noFill/>
              </a:ln>
              <a:solidFill>
                <a:schemeClr val="bg1">
                  <a:lumMod val="95000"/>
                </a:schemeClr>
              </a:solidFill>
            </a:rPr>
            <a:t>NSW </a:t>
          </a:r>
          <a:r>
            <a:rPr lang="en-US" baseline="0">
              <a:ln>
                <a:noFill/>
              </a:ln>
              <a:solidFill>
                <a:schemeClr val="bg1">
                  <a:lumMod val="95000"/>
                </a:schemeClr>
              </a:solidFill>
            </a:rPr>
            <a:t> </a:t>
          </a:r>
          <a:r>
            <a:rPr lang="en-US">
              <a:ln>
                <a:noFill/>
              </a:ln>
              <a:solidFill>
                <a:schemeClr val="bg1">
                  <a:lumMod val="95000"/>
                </a:schemeClr>
              </a:solidFill>
            </a:rPr>
            <a:t>Lags</a:t>
          </a:r>
        </a:p>
      </cdr:txBody>
    </cdr:sp>
  </cdr:relSizeAnchor>
  <cdr:relSizeAnchor xmlns:cdr="http://schemas.openxmlformats.org/drawingml/2006/chartDrawing">
    <cdr:from>
      <cdr:x>0.11487</cdr:x>
      <cdr:y>0.20827</cdr:y>
    </cdr:from>
    <cdr:to>
      <cdr:x>0.39865</cdr:x>
      <cdr:y>0.31462</cdr:y>
    </cdr:to>
    <cdr:sp macro="" textlink="">
      <cdr:nvSpPr>
        <cdr:cNvPr id="6" name="TextBox 5"/>
        <cdr:cNvSpPr txBox="1"/>
      </cdr:nvSpPr>
      <cdr:spPr>
        <a:xfrm xmlns:a="http://schemas.openxmlformats.org/drawingml/2006/main">
          <a:off x="1069363" y="1267001"/>
          <a:ext cx="2641793" cy="646985"/>
        </a:xfrm>
        <a:prstGeom xmlns:a="http://schemas.openxmlformats.org/drawingml/2006/main" prst="rect">
          <a:avLst/>
        </a:prstGeom>
        <a:gradFill xmlns:a="http://schemas.openxmlformats.org/drawingml/2006/main" flip="none" rotWithShape="1">
          <a:gsLst>
            <a:gs pos="84000">
              <a:schemeClr val="accent1">
                <a:lumMod val="5000"/>
                <a:lumOff val="95000"/>
              </a:schemeClr>
            </a:gs>
            <a:gs pos="91000">
              <a:schemeClr val="accent1">
                <a:lumMod val="30000"/>
                <a:lumOff val="70000"/>
              </a:schemeClr>
            </a:gs>
          </a:gsLst>
          <a:path path="shape">
            <a:fillToRect l="50000" t="50000" r="50000" b="50000"/>
          </a:path>
          <a:tileRect/>
        </a:gradFill>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pPr algn="ctr"/>
          <a:r>
            <a:rPr lang="en-AU" sz="1100">
              <a:solidFill>
                <a:schemeClr val="tx1"/>
              </a:solidFill>
            </a:rPr>
            <a:t>At Day</a:t>
          </a:r>
          <a:r>
            <a:rPr lang="en-AU" sz="1100" baseline="0">
              <a:solidFill>
                <a:schemeClr val="tx1"/>
              </a:solidFill>
            </a:rPr>
            <a:t> 23</a:t>
          </a:r>
          <a:r>
            <a:rPr lang="en-AU" sz="1100">
              <a:solidFill>
                <a:schemeClr val="tx1"/>
              </a:solidFill>
            </a:rPr>
            <a:t>, NSW 3193 case</a:t>
          </a:r>
          <a:r>
            <a:rPr lang="en-AU" sz="1100" baseline="0">
              <a:solidFill>
                <a:schemeClr val="tx1"/>
              </a:solidFill>
            </a:rPr>
            <a:t> per 10m is 24x Singapore's 130 at same day of outbreak, and 1.9x S Korea's 1619</a:t>
          </a:r>
          <a:endParaRPr lang="en-AU" sz="1100">
            <a:solidFill>
              <a:schemeClr val="tx1"/>
            </a:solidFill>
          </a:endParaRPr>
        </a:p>
      </cdr:txBody>
    </cdr:sp>
  </cdr:relSizeAnchor>
  <cdr:relSizeAnchor xmlns:cdr="http://schemas.openxmlformats.org/drawingml/2006/chartDrawing">
    <cdr:from>
      <cdr:x>0.10391</cdr:x>
      <cdr:y>0.33774</cdr:y>
    </cdr:from>
    <cdr:to>
      <cdr:x>0.30309</cdr:x>
      <cdr:y>0.43575</cdr:y>
    </cdr:to>
    <cdr:sp macro="" textlink="">
      <cdr:nvSpPr>
        <cdr:cNvPr id="4" name="TextBox 1"/>
        <cdr:cNvSpPr txBox="1"/>
      </cdr:nvSpPr>
      <cdr:spPr>
        <a:xfrm xmlns:a="http://schemas.openxmlformats.org/drawingml/2006/main">
          <a:off x="967357" y="2054644"/>
          <a:ext cx="1854200" cy="596182"/>
        </a:xfrm>
        <a:prstGeom xmlns:a="http://schemas.openxmlformats.org/drawingml/2006/main" prst="rect">
          <a:avLst/>
        </a:prstGeom>
        <a:gradFill xmlns:a="http://schemas.openxmlformats.org/drawingml/2006/main" flip="none" rotWithShape="1">
          <a:gsLst>
            <a:gs pos="78000">
              <a:schemeClr val="accent1">
                <a:lumMod val="5000"/>
                <a:lumOff val="95000"/>
              </a:schemeClr>
            </a:gs>
            <a:gs pos="100000">
              <a:schemeClr val="accent1">
                <a:lumMod val="30000"/>
                <a:lumOff val="70000"/>
              </a:schemeClr>
            </a:gs>
          </a:gsLst>
          <a:path path="shape">
            <a:fillToRect l="50000" t="50000" r="50000" b="50000"/>
          </a:path>
          <a:tileRect/>
        </a:gradFill>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AU" sz="1100">
              <a:solidFill>
                <a:schemeClr val="tx1"/>
              </a:solidFill>
            </a:rPr>
            <a:t>At Day 22 Apr, USA 9400 cases</a:t>
          </a:r>
          <a:r>
            <a:rPr lang="en-AU" sz="1100" baseline="0">
              <a:solidFill>
                <a:schemeClr val="tx1"/>
              </a:solidFill>
            </a:rPr>
            <a:t> per 10m is 2.4x Italys 6784, and 6x S Korea's 1573</a:t>
          </a:r>
          <a:endParaRPr lang="en-AU" sz="1100">
            <a:solidFill>
              <a:schemeClr val="tx1"/>
            </a:solidFill>
          </a:endParaRPr>
        </a:p>
      </cdr:txBody>
    </cdr:sp>
  </cdr:relSizeAnchor>
</c:userShapes>
</file>

<file path=xl/drawings/drawing23.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0.66425</cdr:x>
      <cdr:y>0.01111</cdr:y>
    </cdr:from>
    <cdr:to>
      <cdr:x>0.95427</cdr:x>
      <cdr:y>0.60734</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257709" y="57487"/>
          <a:ext cx="2295615" cy="3083701"/>
        </a:xfrm>
        <a:prstGeom xmlns:a="http://schemas.openxmlformats.org/drawingml/2006/main" prst="rect">
          <a:avLst/>
        </a:prstGeom>
      </cdr:spPr>
    </cdr:pic>
  </cdr:relSizeAnchor>
</c:userShapes>
</file>

<file path=xl/drawings/drawing25.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c:userShapes xmlns:c="http://schemas.openxmlformats.org/drawingml/2006/chart">
  <cdr:relSizeAnchor xmlns:cdr="http://schemas.openxmlformats.org/drawingml/2006/chartDrawing">
    <cdr:from>
      <cdr:x>0.5367</cdr:x>
      <cdr:y>0.17525</cdr:y>
    </cdr:from>
    <cdr:to>
      <cdr:x>0.97954</cdr:x>
      <cdr:y>0.90255</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997797" y="1066363"/>
          <a:ext cx="4123765" cy="4425471"/>
        </a:xfrm>
        <a:prstGeom xmlns:a="http://schemas.openxmlformats.org/drawingml/2006/main" prst="rect">
          <a:avLst/>
        </a:prstGeom>
      </cdr:spPr>
    </cdr:pic>
  </cdr:relSizeAnchor>
</c:userShapes>
</file>

<file path=xl/drawings/drawing27.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c:userShapes xmlns:c="http://schemas.openxmlformats.org/drawingml/2006/chart">
  <cdr:relSizeAnchor xmlns:cdr="http://schemas.openxmlformats.org/drawingml/2006/chartDrawing">
    <cdr:from>
      <cdr:x>0.54031</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037487" y="786210"/>
          <a:ext cx="4128728" cy="4425471"/>
        </a:xfrm>
        <a:prstGeom xmlns:a="http://schemas.openxmlformats.org/drawingml/2006/main" prst="rect">
          <a:avLst/>
        </a:prstGeom>
      </cdr:spPr>
    </cdr:pic>
  </cdr:relSizeAnchor>
</c:userShapes>
</file>

<file path=xl/drawings/drawing29.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c:userShapes xmlns:c="http://schemas.openxmlformats.org/drawingml/2006/chart">
  <cdr:relSizeAnchor xmlns:cdr="http://schemas.openxmlformats.org/drawingml/2006/chartDrawing">
    <cdr:from>
      <cdr:x>0.47052</cdr:x>
      <cdr:y>0.27256</cdr:y>
    </cdr:from>
    <cdr:to>
      <cdr:x>0.61011</cdr:x>
      <cdr:y>0.52118</cdr:y>
    </cdr:to>
    <cdr:sp macro="" textlink="">
      <cdr:nvSpPr>
        <cdr:cNvPr id="3" name="Rectangle 2"/>
        <cdr:cNvSpPr/>
      </cdr:nvSpPr>
      <cdr:spPr>
        <a:xfrm xmlns:a="http://schemas.openxmlformats.org/drawingml/2006/main">
          <a:off x="4381507" y="1658457"/>
          <a:ext cx="1299875" cy="1512801"/>
        </a:xfrm>
        <a:prstGeom xmlns:a="http://schemas.openxmlformats.org/drawingml/2006/main" prst="rect">
          <a:avLst/>
        </a:prstGeom>
        <a:solidFill xmlns:a="http://schemas.openxmlformats.org/drawingml/2006/main">
          <a:srgbClr val="FFFF00">
            <a:alpha val="25000"/>
          </a:srgb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0.38267</cdr:x>
      <cdr:y>0.44014</cdr:y>
    </cdr:from>
    <cdr:to>
      <cdr:x>0.47172</cdr:x>
      <cdr:y>0.67219</cdr:y>
    </cdr:to>
    <cdr:sp macro="" textlink="">
      <cdr:nvSpPr>
        <cdr:cNvPr id="4" name="Rectangle 3"/>
        <cdr:cNvSpPr/>
      </cdr:nvSpPr>
      <cdr:spPr>
        <a:xfrm xmlns:a="http://schemas.openxmlformats.org/drawingml/2006/main">
          <a:off x="3563479" y="2678189"/>
          <a:ext cx="829227" cy="1411977"/>
        </a:xfrm>
        <a:prstGeom xmlns:a="http://schemas.openxmlformats.org/drawingml/2006/main" prst="rect">
          <a:avLst/>
        </a:prstGeom>
        <a:solidFill xmlns:a="http://schemas.openxmlformats.org/drawingml/2006/main">
          <a:schemeClr val="accent1">
            <a:alpha val="28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0.62093</cdr:x>
      <cdr:y>0.21731</cdr:y>
    </cdr:from>
    <cdr:to>
      <cdr:x>0.81467</cdr:x>
      <cdr:y>0.41622</cdr:y>
    </cdr:to>
    <cdr:sp macro="" textlink="">
      <cdr:nvSpPr>
        <cdr:cNvPr id="5" name="Rectangle 4"/>
        <cdr:cNvSpPr/>
      </cdr:nvSpPr>
      <cdr:spPr>
        <a:xfrm xmlns:a="http://schemas.openxmlformats.org/drawingml/2006/main">
          <a:off x="5782201" y="1322317"/>
          <a:ext cx="1804124" cy="1210266"/>
        </a:xfrm>
        <a:prstGeom xmlns:a="http://schemas.openxmlformats.org/drawingml/2006/main" prst="rect">
          <a:avLst/>
        </a:prstGeom>
        <a:solidFill xmlns:a="http://schemas.openxmlformats.org/drawingml/2006/main">
          <a:srgbClr val="FF0000">
            <a:alpha val="14000"/>
          </a:srgb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33.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4.xml><?xml version="1.0" encoding="utf-8"?>
<c:userShapes xmlns:c="http://schemas.openxmlformats.org/drawingml/2006/chart">
  <cdr:relSizeAnchor xmlns:cdr="http://schemas.openxmlformats.org/drawingml/2006/chartDrawing">
    <cdr:from>
      <cdr:x>0.54031</cdr:x>
      <cdr:y>0.2727</cdr:y>
    </cdr:from>
    <cdr:to>
      <cdr:x>0.98315</cdr:x>
      <cdr:y>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276702" y="1410425"/>
          <a:ext cx="3505201" cy="3761650"/>
        </a:xfrm>
        <a:prstGeom xmlns:a="http://schemas.openxmlformats.org/drawingml/2006/main" prst="rect">
          <a:avLst/>
        </a:prstGeom>
      </cdr:spPr>
    </cdr:pic>
  </cdr:relSizeAnchor>
</c:userShapes>
</file>

<file path=xl/drawings/drawing35.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6.xml><?xml version="1.0" encoding="utf-8"?>
<xdr:wsDr xmlns:xdr="http://schemas.openxmlformats.org/drawingml/2006/spreadsheetDrawing" xmlns:a="http://schemas.openxmlformats.org/drawingml/2006/main">
  <xdr:absoluteAnchor>
    <xdr:pos x="0" y="0"/>
    <xdr:ext cx="9294395" cy="607594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7.xml><?xml version="1.0" encoding="utf-8"?>
<c:userShapes xmlns:c="http://schemas.openxmlformats.org/drawingml/2006/chart">
  <cdr:relSizeAnchor xmlns:cdr="http://schemas.openxmlformats.org/drawingml/2006/chartDrawing">
    <cdr:from>
      <cdr:x>0.5782</cdr:x>
      <cdr:y>0.66336</cdr:y>
    </cdr:from>
    <cdr:to>
      <cdr:x>0.80582</cdr:x>
      <cdr:y>0.80363</cdr:y>
    </cdr:to>
    <cdr:sp macro="" textlink="">
      <cdr:nvSpPr>
        <cdr:cNvPr id="3" name="Rectangular Callout 2"/>
        <cdr:cNvSpPr/>
      </cdr:nvSpPr>
      <cdr:spPr>
        <a:xfrm xmlns:a="http://schemas.openxmlformats.org/drawingml/2006/main">
          <a:off x="5374019" y="4030540"/>
          <a:ext cx="2115590" cy="852273"/>
        </a:xfrm>
        <a:prstGeom xmlns:a="http://schemas.openxmlformats.org/drawingml/2006/main" prst="wedgeRectCallout">
          <a:avLst>
            <a:gd name="adj1" fmla="val -50689"/>
            <a:gd name="adj2" fmla="val -177500"/>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baseline="0"/>
            <a:t>For 2 weeks to26th Mar, Au, NSW, UK and US cases virtually straight line on Log Scale ==&gt; unlimited expoonetnial growth</a:t>
          </a:r>
          <a:endParaRPr lang="en-US"/>
        </a:p>
      </cdr:txBody>
    </cdr:sp>
  </cdr:relSizeAnchor>
</c:userShapes>
</file>

<file path=xl/drawings/drawing38.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9.xml><?xml version="1.0" encoding="utf-8"?>
<xdr:wsDr xmlns:xdr="http://schemas.openxmlformats.org/drawingml/2006/spreadsheetDrawing" xmlns:a="http://schemas.openxmlformats.org/drawingml/2006/main">
  <xdr:absoluteAnchor>
    <xdr:pos x="0" y="0"/>
    <xdr:ext cx="9294395" cy="607594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0.xml><?xml version="1.0" encoding="utf-8"?>
<c:userShapes xmlns:c="http://schemas.openxmlformats.org/drawingml/2006/chart">
  <cdr:relSizeAnchor xmlns:cdr="http://schemas.openxmlformats.org/drawingml/2006/chartDrawing">
    <cdr:from>
      <cdr:x>0.55717</cdr:x>
      <cdr:y>0.09165</cdr:y>
    </cdr:from>
    <cdr:to>
      <cdr:x>0.95197</cdr:x>
      <cdr:y>0.63696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178558" y="556861"/>
          <a:ext cx="3669427" cy="3313297"/>
        </a:xfrm>
        <a:prstGeom xmlns:a="http://schemas.openxmlformats.org/drawingml/2006/main" prst="rect">
          <a:avLst/>
        </a:prstGeom>
      </cdr:spPr>
    </cdr:pic>
  </cdr:relSizeAnchor>
</c:userShapes>
</file>

<file path=xl/drawings/drawing41.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2.xml><?xml version="1.0" encoding="utf-8"?>
<c:userShapes xmlns:c="http://schemas.openxmlformats.org/drawingml/2006/chart">
  <cdr:relSizeAnchor xmlns:cdr="http://schemas.openxmlformats.org/drawingml/2006/chartDrawing">
    <cdr:from>
      <cdr:x>0.58284</cdr:x>
      <cdr:y>0.34254</cdr:y>
    </cdr:from>
    <cdr:to>
      <cdr:x>0.98315</cdr:x>
      <cdr:y>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427413" y="2084294"/>
          <a:ext cx="3727766" cy="4000500"/>
        </a:xfrm>
        <a:prstGeom xmlns:a="http://schemas.openxmlformats.org/drawingml/2006/main" prst="rect">
          <a:avLst/>
        </a:prstGeom>
      </cdr:spPr>
    </cdr:pic>
  </cdr:relSizeAnchor>
</c:userShapes>
</file>

<file path=xl/drawings/drawing43.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4.xml><?xml version="1.0" encoding="utf-8"?>
<c:userShapes xmlns:c="http://schemas.openxmlformats.org/drawingml/2006/chart">
  <cdr:relSizeAnchor xmlns:cdr="http://schemas.openxmlformats.org/drawingml/2006/chartDrawing">
    <cdr:from>
      <cdr:x>0.60409</cdr:x>
      <cdr:y>0.23772</cdr:y>
    </cdr:from>
    <cdr:to>
      <cdr:x>0.97112</cdr:x>
      <cdr:y>0.92449</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625353" y="1446504"/>
          <a:ext cx="3417767" cy="4178848"/>
        </a:xfrm>
        <a:prstGeom xmlns:a="http://schemas.openxmlformats.org/drawingml/2006/main" prst="rect">
          <a:avLst/>
        </a:prstGeom>
      </cdr:spPr>
    </cdr:pic>
  </cdr:relSizeAnchor>
</c:userShapes>
</file>

<file path=xl/drawings/drawing45.xml><?xml version="1.0" encoding="utf-8"?>
<xdr:wsDr xmlns:xdr="http://schemas.openxmlformats.org/drawingml/2006/spreadsheetDrawing" xmlns:a="http://schemas.openxmlformats.org/drawingml/2006/main">
  <xdr:absoluteAnchor>
    <xdr:pos x="0" y="0"/>
    <xdr:ext cx="9299677" cy="607346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6.xml><?xml version="1.0" encoding="utf-8"?>
<c:userShapes xmlns:c="http://schemas.openxmlformats.org/drawingml/2006/chart">
  <cdr:relSizeAnchor xmlns:cdr="http://schemas.openxmlformats.org/drawingml/2006/chartDrawing">
    <cdr:from>
      <cdr:x>0.62996</cdr:x>
      <cdr:y>0.17198</cdr:y>
    </cdr:from>
    <cdr:to>
      <cdr:x>0.97687</cdr:x>
      <cdr:y>0.74175</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858387" y="1044511"/>
          <a:ext cx="3226209" cy="3460461"/>
        </a:xfrm>
        <a:prstGeom xmlns:a="http://schemas.openxmlformats.org/drawingml/2006/main" prst="rect">
          <a:avLst/>
        </a:prstGeom>
      </cdr:spPr>
    </cdr:pic>
  </cdr:relSizeAnchor>
</c:userShapes>
</file>

<file path=xl/drawings/drawing47.xml><?xml version="1.0" encoding="utf-8"?>
<xdr:wsDr xmlns:xdr="http://schemas.openxmlformats.org/drawingml/2006/spreadsheetDrawing" xmlns:a="http://schemas.openxmlformats.org/drawingml/2006/main">
  <xdr:absoluteAnchor>
    <xdr:pos x="0" y="0"/>
    <xdr:ext cx="9301454" cy="607461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8.xml><?xml version="1.0" encoding="utf-8"?>
<c:userShapes xmlns:c="http://schemas.openxmlformats.org/drawingml/2006/chart">
  <cdr:relSizeAnchor xmlns:cdr="http://schemas.openxmlformats.org/drawingml/2006/chartDrawing">
    <cdr:from>
      <cdr:x>0.55717</cdr:x>
      <cdr:y>0.12089</cdr:y>
    </cdr:from>
    <cdr:to>
      <cdr:x>0.93417</cdr:x>
      <cdr:y>0.74006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182491" y="734333"/>
          <a:ext cx="3506642" cy="3761248"/>
        </a:xfrm>
        <a:prstGeom xmlns:a="http://schemas.openxmlformats.org/drawingml/2006/main" prst="rect">
          <a:avLst/>
        </a:prstGeom>
      </cdr:spPr>
    </cdr:pic>
  </cdr:relSizeAnchor>
</c:userShapes>
</file>

<file path=xl/drawings/drawing49.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0.xml><?xml version="1.0" encoding="utf-8"?>
<c:userShapes xmlns:c="http://schemas.openxmlformats.org/drawingml/2006/chart">
  <cdr:relSizeAnchor xmlns:cdr="http://schemas.openxmlformats.org/drawingml/2006/chartDrawing">
    <cdr:from>
      <cdr:x>0.56757</cdr:x>
      <cdr:y>0.1429</cdr:y>
    </cdr:from>
    <cdr:to>
      <cdr:x>0.98244</cdr:x>
      <cdr:y>0.82426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283679" y="869339"/>
          <a:ext cx="3862149" cy="4145002"/>
        </a:xfrm>
        <a:prstGeom xmlns:a="http://schemas.openxmlformats.org/drawingml/2006/main" prst="rect">
          <a:avLst/>
        </a:prstGeom>
      </cdr:spPr>
    </cdr:pic>
  </cdr:relSizeAnchor>
</c:userShapes>
</file>

<file path=xl/drawings/drawing51.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2.xml><?xml version="1.0" encoding="utf-8"?>
<c:userShapes xmlns:c="http://schemas.openxmlformats.org/drawingml/2006/chart">
  <cdr:relSizeAnchor xmlns:cdr="http://schemas.openxmlformats.org/drawingml/2006/chartDrawing">
    <cdr:from>
      <cdr:x>0.57153</cdr:x>
      <cdr:y>0.18048</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322106" y="1098176"/>
          <a:ext cx="3833073" cy="4113511"/>
        </a:xfrm>
        <a:prstGeom xmlns:a="http://schemas.openxmlformats.org/drawingml/2006/main" prst="rect">
          <a:avLst/>
        </a:prstGeom>
      </cdr:spPr>
    </cdr:pic>
  </cdr:relSizeAnchor>
</c:userShapes>
</file>

<file path=xl/drawings/drawing53.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4.xml><?xml version="1.0" encoding="utf-8"?>
<c:userShapes xmlns:c="http://schemas.openxmlformats.org/drawingml/2006/chart">
  <cdr:relSizeAnchor xmlns:cdr="http://schemas.openxmlformats.org/drawingml/2006/chartDrawing">
    <cdr:from>
      <cdr:x>0.58243</cdr:x>
      <cdr:y>0.19839</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423647" y="1207146"/>
          <a:ext cx="3731532" cy="4004541"/>
        </a:xfrm>
        <a:prstGeom xmlns:a="http://schemas.openxmlformats.org/drawingml/2006/main" prst="rect">
          <a:avLst/>
        </a:prstGeom>
      </cdr:spPr>
    </cdr:pic>
  </cdr:relSizeAnchor>
</c:userShapes>
</file>

<file path=xl/drawings/drawing55.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6.xml><?xml version="1.0" encoding="utf-8"?>
<c:userShapes xmlns:c="http://schemas.openxmlformats.org/drawingml/2006/chart">
  <cdr:relSizeAnchor xmlns:cdr="http://schemas.openxmlformats.org/drawingml/2006/chartDrawing">
    <cdr:from>
      <cdr:x>0.58386</cdr:x>
      <cdr:y>0.20074</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436968" y="1221441"/>
          <a:ext cx="3718211" cy="3990246"/>
        </a:xfrm>
        <a:prstGeom xmlns:a="http://schemas.openxmlformats.org/drawingml/2006/main" prst="rect">
          <a:avLst/>
        </a:prstGeom>
      </cdr:spPr>
    </cdr:pic>
  </cdr:relSizeAnchor>
</c:userShapes>
</file>

<file path=xl/drawings/drawing57.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8.xml><?xml version="1.0" encoding="utf-8"?>
<c:userShapes xmlns:c="http://schemas.openxmlformats.org/drawingml/2006/chart">
  <cdr:relSizeAnchor xmlns:cdr="http://schemas.openxmlformats.org/drawingml/2006/chartDrawing">
    <cdr:from>
      <cdr:x>0.57672</cdr:x>
      <cdr:y>0.25599</cdr:y>
    </cdr:from>
    <cdr:to>
      <cdr:x>0.97713</cdr:x>
      <cdr:y>0.9136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370469" y="1557618"/>
          <a:ext cx="3728652" cy="4001450"/>
        </a:xfrm>
        <a:prstGeom xmlns:a="http://schemas.openxmlformats.org/drawingml/2006/main" prst="rect">
          <a:avLst/>
        </a:prstGeom>
      </cdr:spPr>
    </cdr:pic>
  </cdr:relSizeAnchor>
</c:userShapes>
</file>

<file path=xl/drawings/drawing59.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0.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1.xml><?xml version="1.0" encoding="utf-8"?>
<c:userShapes xmlns:c="http://schemas.openxmlformats.org/drawingml/2006/chart">
  <cdr:relSizeAnchor xmlns:cdr="http://schemas.openxmlformats.org/drawingml/2006/chartDrawing">
    <cdr:from>
      <cdr:x>0.59171</cdr:x>
      <cdr:y>0.21363</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510061" y="1299882"/>
          <a:ext cx="3645118" cy="3911805"/>
        </a:xfrm>
        <a:prstGeom xmlns:a="http://schemas.openxmlformats.org/drawingml/2006/main" prst="rect">
          <a:avLst/>
        </a:prstGeom>
      </cdr:spPr>
    </cdr:pic>
  </cdr:relSizeAnchor>
</c:userShapes>
</file>

<file path=xl/drawings/drawing62.xml><?xml version="1.0" encoding="utf-8"?>
<xdr:wsDr xmlns:xdr="http://schemas.openxmlformats.org/drawingml/2006/spreadsheetDrawing" xmlns:a="http://schemas.openxmlformats.org/drawingml/2006/main">
  <xdr:absoluteAnchor>
    <xdr:pos x="0" y="0"/>
    <xdr:ext cx="9294395" cy="607594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3.xml><?xml version="1.0" encoding="utf-8"?>
<c:userShapes xmlns:c="http://schemas.openxmlformats.org/drawingml/2006/chart">
  <cdr:relSizeAnchor xmlns:cdr="http://schemas.openxmlformats.org/drawingml/2006/chartDrawing">
    <cdr:from>
      <cdr:x>0.58306</cdr:x>
      <cdr:y>0.16426</cdr:y>
    </cdr:from>
    <cdr:to>
      <cdr:x>0.97786</cdr:x>
      <cdr:y>0.81267</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148230" y="948118"/>
          <a:ext cx="3485956" cy="3742719"/>
        </a:xfrm>
        <a:prstGeom xmlns:a="http://schemas.openxmlformats.org/drawingml/2006/main" prst="rect">
          <a:avLst/>
        </a:prstGeom>
      </cdr:spPr>
    </cdr:pic>
  </cdr:relSizeAnchor>
</c:userShapes>
</file>

<file path=xl/tables/table1.xml><?xml version="1.0" encoding="utf-8"?>
<table xmlns="http://schemas.openxmlformats.org/spreadsheetml/2006/main" id="1" name="tblData" displayName="tblData" ref="B10:DH124" totalsRowShown="0" headerRowDxfId="351">
  <tableColumns count="111">
    <tableColumn id="1" name="Dates" dataDxfId="350"/>
    <tableColumn id="3" name="From Diamond Princess"/>
    <tableColumn id="12" name="Australian Capital Territory"/>
    <tableColumn id="4" name="New South Wales"/>
    <tableColumn id="5" name="Northern Territory"/>
    <tableColumn id="6" name="Queensland"/>
    <tableColumn id="7" name="South Australia"/>
    <tableColumn id="8" name="Tasmania"/>
    <tableColumn id="9" name="Victoria"/>
    <tableColumn id="10" name="Western Australia"/>
    <tableColumn id="37" name="NSW Cases per Capita" dataDxfId="349">
      <calculatedColumnFormula>tblData[[#This Row],[New South Wales]]/$E$9</calculatedColumnFormula>
    </tableColumn>
    <tableColumn id="27" name="Italy"/>
    <tableColumn id="38" name="Italy Cases per Capita" dataDxfId="348">
      <calculatedColumnFormula>IF(ISNUMBER(tblData[Italy]),tblData[Italy]/ItalyPopscale,"")</calculatedColumnFormula>
    </tableColumn>
    <tableColumn id="28" name="US"/>
    <tableColumn id="39" name="US Cases Per Capita" dataDxfId="347">
      <calculatedColumnFormula>IF(ISNUMBER(tblData[US]),tblData[US]/USPopscale,"")</calculatedColumnFormula>
    </tableColumn>
    <tableColumn id="49" name="SKorea" dataDxfId="346"/>
    <tableColumn id="50" name="SKorea Cases Per Capita" dataDxfId="345">
      <calculatedColumnFormula>IF(ISNUMBER(tblData[SKorea]),tblData[SKorea]/SKoreaPopscale,"")</calculatedColumnFormula>
    </tableColumn>
    <tableColumn id="51" name="United Kingdom" dataDxfId="344"/>
    <tableColumn id="52" name="United Kingdom Cases Per Capita" dataDxfId="343">
      <calculatedColumnFormula>IF(ISNUMBER(tblData[United Kingdom]),tblData[United Kingdom]/UKPopscale,"")</calculatedColumnFormula>
    </tableColumn>
    <tableColumn id="31" name="China"/>
    <tableColumn id="40" name="China Cases Per Capita" dataDxfId="342">
      <calculatedColumnFormula>IF(ISNUMBER(tblData[China]),tblData[China]/ChinaPopscale,"")</calculatedColumnFormula>
    </tableColumn>
    <tableColumn id="32" name="Days# China" dataDxfId="341">
      <calculatedColumnFormula>IF(tblData[[#This Row],[Dates]]&lt;StartDt2China,"",tblData[[#This Row],[Dates]]-ChinaStart)</calculatedColumnFormula>
    </tableColumn>
    <tableColumn id="61" name="Singapore" dataDxfId="340"/>
    <tableColumn id="60" name="Singapore Cases Per Capita" dataDxfId="339">
      <calculatedColumnFormula>IF(ISNUMBER(tblData[Singapore]),tblData[Singapore]/SingaporePopscale,"")</calculatedColumnFormula>
    </tableColumn>
    <tableColumn id="66" name="Generic" dataDxfId="338"/>
    <tableColumn id="67" name="Generic Cases Per Capita" dataDxfId="337">
      <calculatedColumnFormula>IF(AND(LEN(tblData[Generic])&gt;0,ISNUMBER(tblData[Generic])),tblData[Generic]/GenericPopscale,"")</calculatedColumnFormula>
    </tableColumn>
    <tableColumn id="11" name="Days# Italy" dataDxfId="336">
      <calculatedColumnFormula>IF(tblData[[#This Row],[Dates]]&lt;StartDt2Italy,"",tblData[[#This Row],[Dates]]-ItalyStart)</calculatedColumnFormula>
    </tableColumn>
    <tableColumn id="26" name="Days# US" dataDxfId="335">
      <calculatedColumnFormula>IF(tblData[[#This Row],[Dates]]&lt;=StartDt2US,"",tblData[[#This Row],[Dates]]-USStart)</calculatedColumnFormula>
    </tableColumn>
    <tableColumn id="54" name="Days# Skorea" dataDxfId="334">
      <calculatedColumnFormula>IF(tblData[[#This Row],[Dates]]&lt;=SKoreaStart,"",tblData[[#This Row],[Dates]]-SKoreaStart)</calculatedColumnFormula>
    </tableColumn>
    <tableColumn id="53" name="Days# UK" dataDxfId="333">
      <calculatedColumnFormula>IF(tblData[[#This Row],[Dates]]&lt;=StartDt2UK,"",tblData[[#This Row],[Dates]]-UKStart)</calculatedColumnFormula>
    </tableColumn>
    <tableColumn id="65" name="Day# Singapore" dataDxfId="332">
      <calculatedColumnFormula>IF(tblData[[#This Row],[Dates]]&lt;StartDt2Singapore,"",tblData[[#This Row],[Dates]]-SingaporeStart)</calculatedColumnFormula>
    </tableColumn>
    <tableColumn id="68" name="Day# Generic" dataDxfId="331">
      <calculatedColumnFormula>IF(tblData[[#This Row],[Dates]]&lt;StartDt2Generic,"",tblData[[#This Row],[Dates]]-GenericStart)</calculatedColumnFormula>
    </tableColumn>
    <tableColumn id="13" name="Day# Aust" dataDxfId="330">
      <calculatedColumnFormula>IF(tblData[Dates]&gt;StartDt2Au,tblData[Dates]-AuStart,"")</calculatedColumnFormula>
    </tableColumn>
    <tableColumn id="14" name="Au">
      <calculatedColumnFormula>SUM(C11:K11)</calculatedColumnFormula>
    </tableColumn>
    <tableColumn id="42" name="Au Cases Per Capita" dataDxfId="329">
      <calculatedColumnFormula>IF(ISNUMBER(tblData[Au]),tblData[Au]/AuPopScale,"")</calculatedColumnFormula>
    </tableColumn>
    <tableColumn id="19" name="Au LogiP(t)" dataDxfId="328">
      <calculatedColumnFormula>IF(ISNUMBER(tblData[[#This Row],[Day'# Aust]]),betaAu/(deltaAu+betaPodeltaAu*EXP(-betaAu*tblData[[#This Row],[Day'# Aust]])),"")</calculatedColumnFormula>
    </tableColumn>
    <tableColumn id="47" name="Au LogiP(t) Per Capita" dataDxfId="327">
      <calculatedColumnFormula>IF(ISNUMBER(tblData[Day'# Aust]),tblData[Au LogiP(t)]/AuPopScale,"")</calculatedColumnFormula>
    </tableColumn>
    <tableColumn id="48" name="AU Sq Err" dataDxfId="326">
      <calculatedColumnFormula>IF(AND(tblData[Dates]&gt;StartDt2Au,ISNUMBER(tblData[Au])),(tblData[[#This Row],[Au LogiP(t)]]-tblData[[#This Row],[Au]])^2,"")</calculatedColumnFormula>
    </tableColumn>
    <tableColumn id="87" name="AU Mean Devn Sq" dataDxfId="325">
      <calculatedColumnFormula>IF(AND(ISNUMBER(tblData[Au]),tblData[Dates]&gt;StartDt2Au),(tblData[Au]-AVERAGE(tblData[Au]))^2,"")</calculatedColumnFormula>
    </tableColumn>
    <tableColumn id="79" name="AU100Days" dataDxfId="324">
      <calculatedColumnFormula>tblData[[#This Row],[Dates]]-Au100dt</calculatedColumnFormula>
    </tableColumn>
    <tableColumn id="15" name="Day # NSW" dataDxfId="323">
      <calculatedColumnFormula>IF(tblData[Dates]&gt;StartDt2NSW,tblData[Dates]-StartDt2NSW,"")</calculatedColumnFormula>
    </tableColumn>
    <tableColumn id="16" name="NSW" dataDxfId="322">
      <calculatedColumnFormula>IF(tblData[[#This Row],[New South Wales]]&gt;0,tblData[[#This Row],[New South Wales]],"")</calculatedColumnFormula>
    </tableColumn>
    <tableColumn id="17" name="NSW LogiP(t)" dataDxfId="321">
      <calculatedColumnFormula>IF(tblData[Dates]&gt;StartDt2NSW,betaNSW/(deltaNSW+betaPodeltaNSW*EXP(-betaNSW*tblData[[#This Row],[Day '# NSW]])),"")</calculatedColumnFormula>
    </tableColumn>
    <tableColumn id="18" name="NSW Sq Err" dataDxfId="320">
      <calculatedColumnFormula>IF(AND(ISNUMBER(tblData[NSW]),tblData[Dates]&gt;StartDt2NSW),(tblData[[#This Row],[NSW LogiP(t)]]-tblData[[#This Row],[NSW]])^2,"")</calculatedColumnFormula>
    </tableColumn>
    <tableColumn id="43" name="Nsw LogiP(t) Per Capita" dataDxfId="319">
      <calculatedColumnFormula>IF(AND(tblData[Dates]&gt;StartDt2NSW,ISNUMBER(tblData[Day'# Aust])),tblData[NSW LogiP(t)]/NSWpopscale,"")</calculatedColumnFormula>
    </tableColumn>
    <tableColumn id="77" name="NSW100Days" dataDxfId="318">
      <calculatedColumnFormula>tblData[[#This Row],[Dates]]-NSW100dt+1</calculatedColumnFormula>
    </tableColumn>
    <tableColumn id="86" name="NSW Mean Devn Sq" dataDxfId="317">
      <calculatedColumnFormula>IF(AND(ISNUMBER(tblData[NSW]),tblData[Dates]&gt;StartDt2NSW),(tblData[NSW]-AVERAGE(tblData[NSW]))^2,"")</calculatedColumnFormula>
    </tableColumn>
    <tableColumn id="20" name="Italy LogiP(t)" dataDxfId="316">
      <calculatedColumnFormula>IF(AND(tblData[Dates]&gt;StartDt2Italy,ISNUMBER(tblData[Days'# Italy])),betaItaly/(deltaItaly+betaPodeltaItaly*EXP(-betaItaly*tblData[Days'# Italy])),"")</calculatedColumnFormula>
    </tableColumn>
    <tableColumn id="21" name="Italy Sq Err" dataDxfId="315">
      <calculatedColumnFormula>IF(AND(tblData[Dates]&gt;StartDt2Italy,ISNUMBER(tblData[Italy])),(tblData[[#This Row],[Italy LogiP(t)]]-tblData[[#This Row],[Italy]])^2,"")</calculatedColumnFormula>
    </tableColumn>
    <tableColumn id="44" name="Italy LogiP(t) Per Capita" dataDxfId="314">
      <calculatedColumnFormula>IF(AND(tblData[Dates]&gt;StartDt2Italy,ISNUMBER(tblData[Days'# Italy])),tblData[[#This Row],[Italy LogiP(t)]]/ItalyPopscale,"")</calculatedColumnFormula>
    </tableColumn>
    <tableColumn id="88" name="Italy Mean Devn Sq" dataDxfId="313">
      <calculatedColumnFormula>IF(AND(ISNUMBER(tblData[Italy]),tblData[Dates]&gt;StartDt2Italy),(tblData[Italy]-AVERAGE(tblData[Italy]))^2,"")</calculatedColumnFormula>
    </tableColumn>
    <tableColumn id="78" name="Italy100Days" dataDxfId="312">
      <calculatedColumnFormula>tblData[[#This Row],[Dates]]-Italy100dt+1</calculatedColumnFormula>
    </tableColumn>
    <tableColumn id="29" name="US LogiP(t)" dataDxfId="311">
      <calculatedColumnFormula>IF(AND(tblData[Dates]&gt;StartDt2US,ISNUMBER(tblData[[#This Row],[Days'# US]])),betaUS/(deltaUS+betaPodeltaUS*EXP(-betaUS*tblData[Days'# US])),"")</calculatedColumnFormula>
    </tableColumn>
    <tableColumn id="30" name="US Sq Err" dataDxfId="310">
      <calculatedColumnFormula>IF(AND(tblData[Dates]&gt;StartDt2US,ISNUMBER(tblData[US])),(tblData[[#This Row],[US LogiP(t)]]-tblData[US])^2,"")</calculatedColumnFormula>
    </tableColumn>
    <tableColumn id="46" name="US LogiP(t) Per Capita" dataDxfId="309">
      <calculatedColumnFormula>IF(AND(tblData[Dates]&gt;=StartDt2US,ISNUMBER(tblData[[#This Row],[Days'# US]])),tblData[[#This Row],[US LogiP(t)]]/USPopscale,"")</calculatedColumnFormula>
    </tableColumn>
    <tableColumn id="89" name="US Mean Devn Sq" dataDxfId="308">
      <calculatedColumnFormula>IF(AND(ISNUMBER(tblData[US]),tblData[Dates]&gt;StartDt2US),(tblData[US]-AVERAGE(tblData[US]))^2,"")</calculatedColumnFormula>
    </tableColumn>
    <tableColumn id="81" name="US100Days" dataDxfId="307">
      <calculatedColumnFormula>tblData[[#This Row],[Dates]]-US100dt+1</calculatedColumnFormula>
    </tableColumn>
    <tableColumn id="41" name="SKorea LogiP(t)" dataDxfId="306">
      <calculatedColumnFormula>IF(tblData[Dates]&gt;StartDt2SKorea,betaSKorea/(deltaSKorea+betaPodeltaSKorea*EXP(-betaSKorea*(tblData[Dates]-StartDt2SKorea))),"")</calculatedColumnFormula>
    </tableColumn>
    <tableColumn id="55" name="Skorea Sq Err" dataDxfId="305">
      <calculatedColumnFormula>IF(AND(tblData[Dates]&gt;StartDt2SKorea,ISNUMBER(tblData[SKorea])),(tblData[[#This Row],[SKorea LogiP(t)]]-tblData[[#This Row],[SKorea]])^2,"")</calculatedColumnFormula>
    </tableColumn>
    <tableColumn id="56" name="Skorea LogiP(t) Per Capita" dataDxfId="304">
      <calculatedColumnFormula>IF(tblData[Dates]&gt;StartDt2SKorea,tblData[[#This Row],[SKorea LogiP(t)]]/SKoreaPopscale,"")</calculatedColumnFormula>
    </tableColumn>
    <tableColumn id="92" name="Skorea Mean Devn Sq" dataDxfId="303">
      <calculatedColumnFormula>IF(AND(ISNUMBER(tblData[SKorea]),tblData[Dates]&gt;StartDt2SKorea),(tblData[SKorea]-AVERAGE(tblData[SKorea]))^2,"")</calculatedColumnFormula>
    </tableColumn>
    <tableColumn id="80" name="SKorea100Days" dataDxfId="302">
      <calculatedColumnFormula>tblData[[#This Row],[Dates]]-SKorea100dt+1</calculatedColumnFormula>
    </tableColumn>
    <tableColumn id="57" name="UK LogiP(t)" dataDxfId="301">
      <calculatedColumnFormula>IF(AND(tblData[Dates]&gt;StartDt2UK,ISNUMBER(tblData[Days'# UK])),betaUK/(deltaUK+betaPodeltaUK*EXP(-betaUK*tblData[Days'# UK])),"")</calculatedColumnFormula>
    </tableColumn>
    <tableColumn id="58" name="UK Sq Err" dataDxfId="300">
      <calculatedColumnFormula>IF(AND(tblData[Dates]&gt;StartDt2UK,ISNUMBER(tblData[United Kingdom])),(tblData[[#This Row],[UK LogiP(t)]]-tblData[[#This Row],[United Kingdom]])^2,"")</calculatedColumnFormula>
    </tableColumn>
    <tableColumn id="59" name="UK LogiP(t) Per Capita" dataDxfId="299">
      <calculatedColumnFormula>IF(ISNUMBER(tblData[Days'# UK]),tblData[[#This Row],[UK LogiP(t)]]/UKPopscale,"")</calculatedColumnFormula>
    </tableColumn>
    <tableColumn id="91" name="UK Mean Devn Sq" dataDxfId="298">
      <calculatedColumnFormula>IF(AND(ISNUMBER(tblData[United Kingdom]),tblData[Dates]&gt;StartDt2UK),(tblData[United Kingdom]-AVERAGE(tblData[United Kingdom]))^2,"")</calculatedColumnFormula>
    </tableColumn>
    <tableColumn id="82" name="UK100Days" dataDxfId="297">
      <calculatedColumnFormula>tblData[[#This Row],[Dates]]-UK100dt</calculatedColumnFormula>
    </tableColumn>
    <tableColumn id="34" name="China LogiP(t)" dataDxfId="296">
      <calculatedColumnFormula>IF(ISNUMBER(tblData[Days'# China]),betaChina/(deltaChina+betaPodeltaChina*EXP(-betaChina*tblData[Days'# China])),"")</calculatedColumnFormula>
    </tableColumn>
    <tableColumn id="33" name="China Sq Err" dataDxfId="295">
      <calculatedColumnFormula>IF(ISNUMBER(tblData[China]),(tblData[[#This Row],[China LogiP(t)]]-tblData[[#This Row],[China]])^2,"")</calculatedColumnFormula>
    </tableColumn>
    <tableColumn id="45" name="China LogiP(t) Per Capita" dataDxfId="294">
      <calculatedColumnFormula>tblData[[#This Row],[China LogiP(t)]]/ChinaPopscale</calculatedColumnFormula>
    </tableColumn>
    <tableColumn id="90" name="China Mean Devn Sq" dataDxfId="293">
      <calculatedColumnFormula>IF(AND(ISNUMBER(tblData[China]),tblData[Dates]&gt;StartDt2China),(tblData[China]-AVERAGE(tblData[China]))^2,"")</calculatedColumnFormula>
    </tableColumn>
    <tableColumn id="83" name="China100Days" dataDxfId="292">
      <calculatedColumnFormula>tblData[[#This Row],[Dates]]-China100dt</calculatedColumnFormula>
    </tableColumn>
    <tableColumn id="64" name="Singapore LogiP(t)" dataDxfId="291">
      <calculatedColumnFormula>IF(ISNUMBER(tblData[Day'# Singapore]),betaSingapore/(deltaSingapore+betaPodeltaSingapore*EXP(-betaSingapore*tblData[Day'# Singapore])),"")</calculatedColumnFormula>
    </tableColumn>
    <tableColumn id="63" name="Singapore Sq Err" dataDxfId="290">
      <calculatedColumnFormula>IF(AND(ISNUMBER(tblData[Singapore]),tblData[Dates]&gt;=StartDt2Singapore),(tblData[[#This Row],[Singapore LogiP(t)]]-tblData[[#This Row],[Singapore]])^2,"")</calculatedColumnFormula>
    </tableColumn>
    <tableColumn id="62" name="Singapore LogiP(t) Per Capita" dataDxfId="289">
      <calculatedColumnFormula>IF(ISNUMBER(tblData[Day'# Singapore]),tblData[Singapore LogiP(t)]/SingaporePopscale,"")</calculatedColumnFormula>
    </tableColumn>
    <tableColumn id="95" name="Singapore Mean Devn Sq" dataDxfId="288">
      <calculatedColumnFormula>IF(AND(ISNUMBER(tblData[Singapore]),tblData[Dates]&gt;StartDt2Singapore),(tblData[Singapore]-AVERAGE(tblData[Singapore]))^2,"")</calculatedColumnFormula>
    </tableColumn>
    <tableColumn id="84" name="Singapore100Days" dataDxfId="287">
      <calculatedColumnFormula>tblData[[#This Row],[Dates]]-Singapore100dt+1</calculatedColumnFormula>
    </tableColumn>
    <tableColumn id="70" name="Generic LogiP(t)" dataDxfId="286">
      <calculatedColumnFormula>IF(AND(tblData[Dates]&gt;StartDt2Generic,ISNUMBER(tblData[Day'# Generic])),betaGeneric/(deltaGeneric+betaPodeltaGeneric*EXP(-betaGeneric*tblData[Day'# Generic])),"")</calculatedColumnFormula>
    </tableColumn>
    <tableColumn id="71" name="Generic Sq Err" dataDxfId="285">
      <calculatedColumnFormula>IF(AND(ISNUMBER(tblData[Generic]),tblData[Dates]&gt;StartDt2Generic),(tblData[Generic LogiP(t)]-tblData[[#This Row],[Generic]])^2,"")</calculatedColumnFormula>
    </tableColumn>
    <tableColumn id="72" name="Generic LogiP(t) Per Capita" dataDxfId="284">
      <calculatedColumnFormula>IF(AND(ISNUMBER(tblData[Day'# Generic]),tblData[Dates]&gt;StartDt2Generic),tblData[Generic LogiP(t)]/GenericPopscale,"")</calculatedColumnFormula>
    </tableColumn>
    <tableColumn id="93" name="Generic Mean Devn Sq" dataDxfId="283">
      <calculatedColumnFormula>IF(AND(ISNUMBER(tblData[Generic]),tblData[Dates]&gt;StartDt2Generic),(tblData[Generic]-AVERAGE(tblData[Generic]))^2,"")</calculatedColumnFormula>
    </tableColumn>
    <tableColumn id="85" name="Generic100Days" dataDxfId="282">
      <calculatedColumnFormula>tblData[[#This Row],[Dates]]-Generic100dt+1</calculatedColumnFormula>
    </tableColumn>
    <tableColumn id="22" name="Tests" dataDxfId="281"/>
    <tableColumn id="23" name="NSW Under Investigation'" dataDxfId="280"/>
    <tableColumn id="24" name="Increase NSW Tests/Day " dataDxfId="279">
      <calculatedColumnFormula>IF(ISNUMBER(tblData[[#This Row],[Tests]]),tblData[[#This Row],[Tests]]-CH10,"")</calculatedColumnFormula>
    </tableColumn>
    <tableColumn id="25" name="IncreasNSW Investig" dataDxfId="278">
      <calculatedColumnFormula>IF(ISNUMBER(tblData[[#This Row],[NSW Under Investigation'']]),tblData[[#This Row],[NSW Under Investigation'']]-CG10,"")</calculatedColumnFormula>
    </tableColumn>
    <tableColumn id="36" name="NSW Test Day Number" dataDxfId="277"/>
    <tableColumn id="2" name="NSW Test Logi" dataDxfId="276">
      <calculatedColumnFormula>IF(AND(tblData[[#This Row],[NSW Test Day Number]]&gt;0,ISNUMBER(tblData[[#This Row],[NSW Test Day Number]])),betaTests/(deltaTests+betaPodeltaTests*EXP(-betaTests*tblData[[#This Row],[NSW Test Day Number]])),"")</calculatedColumnFormula>
    </tableColumn>
    <tableColumn id="35" name="NSW Test Sq Err" dataDxfId="275">
      <calculatedColumnFormula>IF(tblData[Tests]&gt;0,(tblData[[#This Row],[Tests]]-tblData[[#This Row],[NSW Test Logi]])^2,"")</calculatedColumnFormula>
    </tableColumn>
    <tableColumn id="94" name="NSW Tests Mean Devn Sq" dataDxfId="274">
      <calculatedColumnFormula>IF(AND(ISNUMBER(tblData[Tests]),tblData[Dates]&gt;StartDt2Tests),(tblData[Tests]-AVERAGE(tblData[Tests]))^2,"")</calculatedColumnFormula>
    </tableColumn>
    <tableColumn id="69" name="NSW Test Per Capita" dataDxfId="273">
      <calculatedColumnFormula>IF(ISNUMBER(tblData[Tests]),tblData[Tests]/NSWpopscale/100,"")</calculatedColumnFormula>
    </tableColumn>
    <tableColumn id="73" name="NSW Test LOGEST" dataDxfId="272">
      <calculatedColumnFormula>IF(AND(tblData[[#This Row],[NSW Test Day Number]]&gt;0,ISNUMBER(tblData[[#This Row],[NSW Test Day Number]])),TestsLogestB*TestsLogestM^tblData[[#This Row],[NSW Test Day Number]],"")</calculatedColumnFormula>
    </tableColumn>
    <tableColumn id="75" name="Test LOGEST Sq Err" dataDxfId="271">
      <calculatedColumnFormula>IF(AND(tblData[[#This Row],[NSW Test Day Number]]&gt;0,ISNUMBER(tblData[Tests])),(tblData[Tests]-tblData[[#This Row],[NSW Test Per Capita]])^2,"")</calculatedColumnFormula>
    </tableColumn>
    <tableColumn id="74" name="NSW Cases LogEst" dataDxfId="270">
      <calculatedColumnFormula>IF(AND(tblData[Day '# NSW]&gt;0,ISNUMBER(tblData[[#This Row],[Day '# NSW]])),NSWLogestB*NSWLogestM^tblData[[#This Row],[Day '# NSW]]/NSWpopscale,"")</calculatedColumnFormula>
    </tableColumn>
    <tableColumn id="76" name="NSW LOGEST Sq Err" dataDxfId="269">
      <calculatedColumnFormula>IF(AND(ISNUMBER(tblData[NSW]),tblData[Dates]&gt;StartDt2NSW),(tblData[NSW]/NSWpopscale-tblData[[#This Row],[NSW Cases LogEst]])^2,"")</calculatedColumnFormula>
    </tableColumn>
    <tableColumn id="96" name="Taiwan" dataDxfId="268"/>
    <tableColumn id="97" name="Taiwan Cases per Capita" dataDxfId="267">
      <calculatedColumnFormula>IF(ISNUMBER(tblData[Taiwan]),tblData[Taiwan]/TaiwanPopscale,"")</calculatedColumnFormula>
    </tableColumn>
    <tableColumn id="98" name="Days# Taiwan" dataDxfId="266">
      <calculatedColumnFormula>IF(tblData[[#This Row],[Dates]]&lt;StartDt2Taiwan,"",tblData[[#This Row],[Dates]]-TaiwanStart)</calculatedColumnFormula>
    </tableColumn>
    <tableColumn id="99" name="Taiwan LogiP(t)" dataDxfId="265">
      <calculatedColumnFormula>IF(AND(tblData[Dates]&gt;StartDt2Taiwan,ISNUMBER(tblData[Days'# Taiwan])),betaTaiwan/(deltaTaiwan+betaPodeltaTaiwan*EXP(-betaTaiwan*tblData[Days'# Taiwan])),"")</calculatedColumnFormula>
    </tableColumn>
    <tableColumn id="100" name="Taiwan Sq Err" dataDxfId="264">
      <calculatedColumnFormula>IF(AND(tblData[Dates]&gt;StartDt2Taiwan,ISNUMBER(tblData[Taiwan])),(tblData[[#This Row],[Taiwan LogiP(t)]]-tblData[[#This Row],[Taiwan]])^2,"")</calculatedColumnFormula>
    </tableColumn>
    <tableColumn id="101" name="Taiwan LogiP(t) Per Capita" dataDxfId="263">
      <calculatedColumnFormula>IF(AND(tblData[Dates]&gt;StartDt2Taiwan,ISNUMBER(tblData[Days'# Taiwan])),tblData[[#This Row],[Taiwan LogiP(t)]]/TaiwanPopscale,"")</calculatedColumnFormula>
    </tableColumn>
    <tableColumn id="102" name="Taiwan Mean Devn Sq" dataDxfId="262">
      <calculatedColumnFormula>IF(AND(ISNUMBER(tblData[Taiwan]),tblData[Dates]&gt;StartDt2Taiwan),(tblData[Taiwan]-AVERAGE(tblData[Taiwan]))^2,"")</calculatedColumnFormula>
    </tableColumn>
    <tableColumn id="103" name="Taiwan100Days" dataDxfId="261">
      <calculatedColumnFormula>tblData[[#This Row],[Dates]]-Taiwan100dt+1</calculatedColumnFormula>
    </tableColumn>
    <tableColumn id="104" name="NZ" dataDxfId="260"/>
    <tableColumn id="105" name="NZ Cases per Capita" dataDxfId="259">
      <calculatedColumnFormula>IF(ISNUMBER(tblData[NZ]),tblData[NZ]/NZPopscale,"")</calculatedColumnFormula>
    </tableColumn>
    <tableColumn id="106" name="Days# NZ" dataDxfId="258">
      <calculatedColumnFormula>IF(tblData[[#This Row],[Dates]]&lt;StartDt2NZ,"",tblData[[#This Row],[Dates]]-NZStart)</calculatedColumnFormula>
    </tableColumn>
    <tableColumn id="107" name="NZ LogiP(t)" dataDxfId="257">
      <calculatedColumnFormula>IF(AND(tblData[Dates]&gt;StartDt2NZ,ISNUMBER(tblData[Days'# NZ])),betaNZ/(deltaNZ+betaPodeltaNZ*EXP(-betaNZ*tblData[Days'# NZ])),"")</calculatedColumnFormula>
    </tableColumn>
    <tableColumn id="108" name="NZ Sq Err" dataDxfId="256">
      <calculatedColumnFormula>IF(AND(tblData[Dates]&gt;StartDt2NZ,ISNUMBER(tblData[NZ])),(tblData[[#This Row],[NZ LogiP(t)]]-tblData[[#This Row],[NZ]])^2,"")</calculatedColumnFormula>
    </tableColumn>
    <tableColumn id="109" name="NZ LogiP(t) Per Capita" dataDxfId="255">
      <calculatedColumnFormula>IF(AND(tblData[Dates]&gt;StartDt2NZ,ISNUMBER(tblData[Days'# NZ])),tblData[[#This Row],[NZ LogiP(t)]]/NZPopscale,"")</calculatedColumnFormula>
    </tableColumn>
    <tableColumn id="110" name="NZ Mean Devn Sq" dataDxfId="254">
      <calculatedColumnFormula>IF(AND(ISNUMBER(tblData[NZ]),tblData[Dates]&gt;StartDt2NZ),(tblData[NZ]-AVERAGE(tblData[NZ]))^2,"")</calculatedColumnFormula>
    </tableColumn>
    <tableColumn id="111" name="NZ100Days" dataDxfId="253">
      <calculatedColumnFormula>tblData[[#This Row],[Dates]]-NZ100dt+1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blRuns" displayName="tblRuns" ref="DL10:EX25" totalsRowCount="1" headerRowDxfId="252">
  <tableColumns count="39">
    <tableColumn id="1" name="Place"/>
    <tableColumn id="2" name="RunTime" dataDxfId="251" totalsRowDxfId="250"/>
    <tableColumn id="3" name="Day 0" dataDxfId="249" totalsRowDxfId="248"/>
    <tableColumn id="4" name="Logistic Start2" dataDxfId="247" totalsRowDxfId="246"/>
    <tableColumn id="5" name="Sort Order"/>
    <tableColumn id="6" name="b" dataDxfId="245" totalsRowDxfId="244"/>
    <tableColumn id="7" name="d" dataDxfId="243" totalsRowDxfId="242"/>
    <tableColumn id="8" name="Po" dataDxfId="241" totalsRowDxfId="240"/>
    <tableColumn id="9" name="Asymptote b/d"/>
    <tableColumn id="10" name="Mean Sq Err" dataDxfId="239" totalsRowDxfId="238"/>
    <tableColumn id="34" name="R2" dataDxfId="237" totalsRowDxfId="236">
      <calculatedColumnFormula>1-(SUM(tblData[NSW Sq Err])/SUM(tblData[NSW Mean Devn Sq]))</calculatedColumnFormula>
    </tableColumn>
    <tableColumn id="11" name="(beta/Po)-delta" dataDxfId="235" totalsRowDxfId="234"/>
    <tableColumn id="12" name="delta*1000" dataDxfId="233" totalsRowDxfId="232">
      <calculatedColumnFormula>tblRuns[d]*1000</calculatedColumnFormula>
    </tableColumn>
    <tableColumn id="13" name="AtDate" dataDxfId="231" totalsRowDxfId="230"/>
    <tableColumn id="14" name="Asymptote" dataDxfId="229" totalsRowDxfId="228"/>
    <tableColumn id="15" name="Limit Cases" dataDxfId="227" totalsRowDxfId="226"/>
    <tableColumn id="16" name="MaxCases"/>
    <tableColumn id="17" name="Asymp PerP" totalsRowLabel="Mindate"/>
    <tableColumn id="18" name="Last Date" totalsRowFunction="custom" dataDxfId="225" totalsRowDxfId="224">
      <totalsRowFormula>MIN(tblRuns[Last Date])</totalsRowFormula>
    </tableColumn>
    <tableColumn id="19" name="Points" dataDxfId="223" totalsRowDxfId="222"/>
    <tableColumn id="20" name="Parameter List" dataDxfId="221" totalsRowDxfId="220">
      <calculatedColumnFormula>"b="&amp;TEXT(tblRuns[b],"##0.###")&amp;", d="&amp;TEXT(tblRuns[d],"0.00E+00")&amp;", P0="&amp;TEXT(Po,"#.###")&amp; ", r2=" &amp;TEXT(tblRuns[[#This Row],[R2]],"0.####") &amp;", Limit="&amp;IF(PopScaling=0,tblRuns[Asymptote b/d],tblRuns[[#This Row],[Asymp PerP]])&amp;"=&gt;"&amp;Cengnotation(tblRuns[[#This Row],[Limit Cases]],3)&amp;" cases "&amp;tblRuns[[#This Row],[Notes]]</calculatedColumnFormula>
    </tableColumn>
    <tableColumn id="21" name="Logistic Eqn"/>
    <tableColumn id="22" name="SeriesLabel"/>
    <tableColumn id="23" name="Notes"/>
    <tableColumn id="24" name="ChartLabel" dataDxfId="219" totalsRowDxfId="218"/>
    <tableColumn id="25" name="Max Cases Per Capita" dataDxfId="217" totalsRowDxfId="216"/>
    <tableColumn id="26" name="Date of NSW Case Match" dataDxfId="215" totalsRowDxfId="214"/>
    <tableColumn id="27" name="Days NSW is Behind" dataDxfId="213" totalsRowDxfId="212"/>
    <tableColumn id="28" name="Date of AUS Case Match" dataDxfId="211" totalsRowDxfId="210"/>
    <tableColumn id="29" name="Days AU is Behind" dataDxfId="209" totalsRowDxfId="208"/>
    <tableColumn id="30" name="SummaryWords"/>
    <tableColumn id="31" name="GrowthInNextWeek" dataDxfId="207" totalsRowDxfId="206">
      <calculatedColumnFormula>INDEX(tblData[NSW LogiP(t)],MATCH(VALUE(tblRuns[AtDate])+7,tblData[Dates],0))</calculatedColumnFormula>
    </tableColumn>
    <tableColumn id="32" name="MSQ per MaxCasesPerCapita" dataDxfId="205" totalsRowDxfId="204">
      <calculatedColumnFormula>tblRuns[Mean Sq Err]/tblRuns[Max Cases Per Capita]</calculatedColumnFormula>
    </tableColumn>
    <tableColumn id="33" name="DateOver100" dataDxfId="203">
      <calculatedColumnFormula>INDEX(tblData[Dates],1+MATCH(100, tblData[NSW],1))</calculatedColumnFormula>
    </tableColumn>
    <tableColumn id="35" name="Cases Label" dataDxfId="202">
      <calculatedColumnFormula>tblRuns[[#This Row],[Place]]&amp;" from "&amp;TEXT(Au100dt,"dd-mmm")</calculatedColumnFormula>
    </tableColumn>
    <tableColumn id="36" name="Predict Extra Tomorrow" dataDxfId="201">
      <calculatedColumnFormula>INDEX(tblData[Au LogiP(t)],MATCH(tblRuns[[#This Row],[Last Date]]+1,tblData[Dates],0))-INDEX(tblData[Au],MATCH(tblRuns[[#This Row],[Last Date]],tblData[Dates],0))</calculatedColumnFormula>
    </tableColumn>
    <tableColumn id="37" name="DefinedNameStr" dataDxfId="200"/>
    <tableColumn id="38" name="CtryAbbrev" dataDxfId="199">
      <calculatedColumnFormula>INDEX(tblPopulation[CtryAbbrev],MATCH(tblRuns[Place],tblPopulation[Country],0))</calculatedColumnFormula>
    </tableColumn>
    <tableColumn id="39" name="ChartLabel2" dataDxfId="198">
      <calculatedColumnFormula>SUBSTITUTE(tblRuns[[#This Row],[ChartLabel]]," since " &amp; solvMsgs!MinCases,"")</calculatedColumnFormula>
    </tableColumn>
  </tableColumns>
  <tableStyleInfo name="TableStyleLight21" showFirstColumn="0" showLastColumn="0" showRowStripes="1" showColumnStripes="0"/>
</table>
</file>

<file path=xl/tables/table3.xml><?xml version="1.0" encoding="utf-8"?>
<table xmlns="http://schemas.openxmlformats.org/spreadsheetml/2006/main" id="4" name="tblHist" displayName="tblHist" ref="FO10:HA469" totalsRowShown="0" headerRowDxfId="197">
  <autoFilter ref="FO10:HA469"/>
  <sortState ref="FO11:HA469">
    <sortCondition ref="FS11:FS469"/>
    <sortCondition ref="GB11:GB469"/>
    <sortCondition ref="FP11:FP469"/>
  </sortState>
  <tableColumns count="39">
    <tableColumn id="33" name="History of Fits Table" dataDxfId="196"/>
    <tableColumn id="1" name="RunTime" dataDxfId="195"/>
    <tableColumn id="2" name="Day0" dataDxfId="194"/>
    <tableColumn id="3" name="Start Logistic" dataDxfId="193"/>
    <tableColumn id="4" name="Sort Order" dataDxfId="192"/>
    <tableColumn id="5" name="b"/>
    <tableColumn id="6" name="d"/>
    <tableColumn id="7" name="Po" dataDxfId="191"/>
    <tableColumn id="8" name="Asymptote b/d" dataDxfId="190"/>
    <tableColumn id="9" name="Mean Sq Err" dataDxfId="189"/>
    <tableColumn id="10" name="R2" dataDxfId="188"/>
    <tableColumn id="32" name="(beta/Po)-delta" dataDxfId="187"/>
    <tableColumn id="11" name="delta*1000" dataDxfId="186"/>
    <tableColumn id="12" name="AtDate" dataDxfId="185"/>
    <tableColumn id="13" name="Asymptote" dataDxfId="184"/>
    <tableColumn id="14" name="Limit Cases" dataDxfId="183"/>
    <tableColumn id="15" name="MaxCases" dataDxfId="182"/>
    <tableColumn id="16" name="Asymp PerP" dataDxfId="181"/>
    <tableColumn id="17" name="Last Date" dataDxfId="180"/>
    <tableColumn id="18" name="Points" dataDxfId="179"/>
    <tableColumn id="19" name="Parameter List"/>
    <tableColumn id="20" name="Logistic Eqn"/>
    <tableColumn id="21" name="SeriesLabel" dataDxfId="178"/>
    <tableColumn id="22" name="Notes"/>
    <tableColumn id="23" name="ChartLabel"/>
    <tableColumn id="24" name="Max Cases Per Capita"/>
    <tableColumn id="25" name="Date of NSW Case Match" dataDxfId="177"/>
    <tableColumn id="26" name="Days NSW is Behind" dataDxfId="176"/>
    <tableColumn id="27" name="Date of AUS Case Match" dataDxfId="175"/>
    <tableColumn id="28" name="Days AU is Behind"/>
    <tableColumn id="29" name="SummaryWords"/>
    <tableColumn id="30" name="GrowthInNextWeek" dataDxfId="174"/>
    <tableColumn id="31" name="MSQ per MaxCasesPerCapita" dataDxfId="173"/>
    <tableColumn id="34" name="DateOver100" dataDxfId="172"/>
    <tableColumn id="35" name="Cases Label"/>
    <tableColumn id="36" name="Predict Tomorrow" dataDxfId="171"/>
    <tableColumn id="37" name="DefinedNameStr"/>
    <tableColumn id="38" name="CtryAbbrev"/>
    <tableColumn id="39" name="ChartTitleDates"/>
  </tableColumns>
  <tableStyleInfo name="TableStyleMedium5" showFirstColumn="0" showLastColumn="0" showRowStripes="1" showColumnStripes="0"/>
</table>
</file>

<file path=xl/tables/table4.xml><?xml version="1.0" encoding="utf-8"?>
<table xmlns="http://schemas.openxmlformats.org/spreadsheetml/2006/main" id="5" name="tblNSWKnown" displayName="tblNSWKnown" ref="HK10:HV78" totalsRowShown="0" headerRowDxfId="170">
  <tableColumns count="12">
    <tableColumn id="1" name="Date" dataDxfId="169"/>
    <tableColumn id="6" name="As At" dataDxfId="168"/>
    <tableColumn id="2" name="NSWConfirmedCases"/>
    <tableColumn id="3" name="NSWTests"/>
    <tableColumn id="4" name="Known Locally"/>
    <tableColumn id="5" name="Unknown Locally"/>
    <tableColumn id="7" name="Total Local" dataDxfId="167">
      <calculatedColumnFormula>IF(ISNUMBER(tblNSWKnown[[#This Row],[Unknown Locally]]),tblNSWKnown[[#This Row],[Known Locally]]+tblNSWKnown[[#This Row],[Unknown Locally]],"")</calculatedColumnFormula>
    </tableColumn>
    <tableColumn id="9" name="Day # NSW Unknown"/>
    <tableColumn id="8" name="NSW Unknown Logi P(t)" dataDxfId="166">
      <calculatedColumnFormula>IF(ISNUMBER(tblNSWKnown[[#This Row],[Day '# NSW Unknown]]),betaNSWUnknown/(deltaNSWUnknown+betaPodeltaNSWUnknown*EXP(-betaNSWUnknown*tblNSWKnown[Day '# NSW Unknown])),"")</calculatedColumnFormula>
    </tableColumn>
    <tableColumn id="10" name="NSW Unknown Sum Sq Err" dataDxfId="165">
      <calculatedColumnFormula>IF(ISNUMBER(tblNSWKnown[[#This Row],[Total Local]]),(tblNSWKnown[[#This Row],[Total Local]]-tblNSWKnown[[#This Row],[NSW Unknown Logi P(t)]])^2,"")</calculatedColumnFormula>
    </tableColumn>
    <tableColumn id="11" name="NSW Unknown Mean Devn Sq" dataDxfId="164">
      <calculatedColumnFormula>IF(ISNUMBER(tblNSWKnown[Total Local]),(tblNSWKnown[Total Local]-AVERAGE(tblNSWKnown[Total Local]))^2,"")</calculatedColumnFormula>
    </tableColumn>
    <tableColumn id="12" name="Comment" dataDxfId="163"/>
  </tableColumns>
  <tableStyleInfo name="TableStyleMedium15" showFirstColumn="0" showLastColumn="0" showRowStripes="1" showColumnStripes="0"/>
</table>
</file>

<file path=xl/tables/table5.xml><?xml version="1.0" encoding="utf-8"?>
<table xmlns="http://schemas.openxmlformats.org/spreadsheetml/2006/main" id="6" name="Table6" displayName="Table6" ref="A6:H12" totalsRowShown="0" headerRowDxfId="162" tableBorderDxfId="161">
  <autoFilter ref="A6:H12"/>
  <sortState ref="A2:G6">
    <sortCondition ref="F2:F6"/>
  </sortState>
  <tableColumns count="8">
    <tableColumn id="1" name="State" dataDxfId="160"/>
    <tableColumn id="6" name="Confirmed Cases at 22/4/2019" dataDxfId="159"/>
    <tableColumn id="2" name="Population" dataDxfId="158"/>
    <tableColumn id="3" name="COVID19 Cases per 10m population" dataDxfId="157"/>
    <tableColumn id="4" name="% of Qld" dataDxfId="156" dataCellStyle="Percent"/>
    <tableColumn id="5" name="Government"/>
    <tableColumn id="8" name="Deaths per 10m Pop" dataDxfId="155">
      <calculatedColumnFormula>DeathsTimeS!$LY$2</calculatedColumnFormula>
    </tableColumn>
    <tableColumn id="9" name="Deaths" dataDxfId="154">
      <calculatedColumnFormula>Table6[[#This Row],[Population]]*Table6[[#This Row],[Deaths per 10m Pop]]/10^7</calculatedColumnFormula>
    </tableColumn>
  </tableColumns>
  <tableStyleInfo name="TableStyleLight10" showFirstColumn="0" showLastColumn="0" showRowStripes="1" showColumnStripes="0"/>
</table>
</file>

<file path=xl/tables/table6.xml><?xml version="1.0" encoding="utf-8"?>
<table xmlns="http://schemas.openxmlformats.org/spreadsheetml/2006/main" id="10" name="Table611" displayName="Table611" ref="A21:H29" totalsRowShown="0" headerRowDxfId="153" tableBorderDxfId="152">
  <autoFilter ref="A21:H29"/>
  <sortState ref="A21:G25">
    <sortCondition ref="F2:F6"/>
  </sortState>
  <tableColumns count="8">
    <tableColumn id="1" name="State" dataDxfId="151"/>
    <tableColumn id="6" name="Confirmed Cases" dataDxfId="150"/>
    <tableColumn id="2" name="Population" dataDxfId="149"/>
    <tableColumn id="3" name="COVID19 Cases per 10m population" dataDxfId="148"/>
    <tableColumn id="4" name="% of Qld" dataDxfId="147" dataCellStyle="Percent"/>
    <tableColumn id="5" name="Government"/>
    <tableColumn id="8" name="Deaths per 10m Pop" dataDxfId="146">
      <calculatedColumnFormula>DeathsTimeS!$LY$2</calculatedColumnFormula>
    </tableColumn>
    <tableColumn id="9" name="Deaths" dataDxfId="145">
      <calculatedColumnFormula>Table611[[#This Row],[Population]]*Table611[[#This Row],[Deaths per 10m Pop]]/10^7</calculatedColumnFormula>
    </tableColumn>
  </tableColumns>
  <tableStyleInfo name="TableStyleLight10" showFirstColumn="0" showLastColumn="0" showRowStripes="1" showColumnStripes="0"/>
</table>
</file>

<file path=xl/tables/table7.xml><?xml version="1.0" encoding="utf-8"?>
<table xmlns="http://schemas.openxmlformats.org/spreadsheetml/2006/main" id="11" name="tblCrates" displayName="tblCrates" ref="J36:Q57" totalsRowCount="1" headerRowDxfId="144" dataDxfId="143">
  <autoFilter ref="J36:Q56"/>
  <sortState ref="J37:Q56">
    <sortCondition descending="1" ref="O37:O56"/>
    <sortCondition descending="1" ref="M37:M56"/>
  </sortState>
  <tableColumns count="8">
    <tableColumn id="6" name="Place" totalsRowLabel="Worst" dataDxfId="142"/>
    <tableColumn id="9" name="Country" dataDxfId="141"/>
    <tableColumn id="2" name="Population" totalsRowFunction="custom" totalsRowDxfId="140">
      <totalsRowFormula>MAX(tblCrates[Population])</totalsRowFormula>
    </tableColumn>
    <tableColumn id="4" name="Death Per 10m" totalsRowFunction="custom" dataDxfId="139" totalsRowDxfId="138">
      <totalsRowFormula>MAX(tblCrates[Death Per 10m])</totalsRowFormula>
    </tableColumn>
    <tableColumn id="3" name="Death cf Worst" dataDxfId="137" dataCellStyle="Percent">
      <calculatedColumnFormula>tblCrates[[#This Row],[Death Per 10m]]/tblCrates[[#Totals],[Death Per 10m]]</calculatedColumnFormula>
    </tableColumn>
    <tableColumn id="5" name="Confirmed Cases per 10m" totalsRowFunction="custom" dataDxfId="136" totalsRowDxfId="135">
      <totalsRowFormula>MAX(tblCrates[Confirmed Cases per 10m])</totalsRowFormula>
    </tableColumn>
    <tableColumn id="8" name="Cases cf Worst" dataDxfId="134">
      <calculatedColumnFormula>tblCrates[[#This Row],[Confirmed Cases per 10m]]/tblCrates[[#Totals],[Confirmed Cases per 10m]]</calculatedColumnFormula>
    </tableColumn>
    <tableColumn id="7" name="Comment" dataDxfId="133"/>
  </tableColumns>
  <tableStyleInfo name="TableStyleMedium10" showFirstColumn="0" showLastColumn="0" showRowStripes="1" showColumnStripes="0"/>
</table>
</file>

<file path=xl/tables/table8.xml><?xml version="1.0" encoding="utf-8"?>
<table xmlns="http://schemas.openxmlformats.org/spreadsheetml/2006/main" id="7" name="tblTST100" displayName="tblTST100" ref="LN9:NG111" totalsRowShown="0">
  <autoFilter ref="LN9:NG111"/>
  <tableColumns count="46">
    <tableColumn id="1" name="Days100 Sweden" dataDxfId="132">
      <calculatedColumnFormula>$A10 - TST!Sweden100dt + 1</calculatedColumnFormula>
    </tableColumn>
    <tableColumn id="2" name="Sweden" dataDxfId="131">
      <calculatedColumnFormula>INDEX(OFFSET(TST!HeadRow,ROW()-ROW(TST!HeadRow),0,1,COLUMNS(TST!HeadRow)),1,MATCH(LO$5,TST!HeadRow,0))/LO$8</calculatedColumnFormula>
    </tableColumn>
    <tableColumn id="3" name="Days100 Spain" dataDxfId="130">
      <calculatedColumnFormula>$A10 - TST!Spain100dt + 1</calculatedColumnFormula>
    </tableColumn>
    <tableColumn id="4" name="Spain" dataDxfId="129">
      <calculatedColumnFormula>INDEX(OFFSET(TST!HeadRow,ROW()-ROW(TST!HeadRow),0,1,COLUMNS(TST!HeadRow)),1,MATCH(LQ$5,TST!HeadRow,0))/LQ$8</calculatedColumnFormula>
    </tableColumn>
    <tableColumn id="5" name="Days100 Victoria" dataDxfId="128">
      <calculatedColumnFormula>$A10 - TST!Victoria100dt + 1</calculatedColumnFormula>
    </tableColumn>
    <tableColumn id="6" name="Victoria" dataDxfId="127">
      <calculatedColumnFormula>INDEX(10:10,1,LS$6)/LS$8</calculatedColumnFormula>
    </tableColumn>
    <tableColumn id="7" name="Days100 Iran" dataDxfId="126">
      <calculatedColumnFormula>$A10 - TST!Iran100dt + 1</calculatedColumnFormula>
    </tableColumn>
    <tableColumn id="8" name="Iran" dataDxfId="125">
      <calculatedColumnFormula>INDEX(OFFSET(TST!HeadRow,ROW()-ROW(TST!HeadRow),0,1,COLUMNS(TST!HeadRow)),1,MATCH(LU$5,TST!HeadRow,0))/LU$8</calculatedColumnFormula>
    </tableColumn>
    <tableColumn id="9" name="Days100 Japan" dataDxfId="124">
      <calculatedColumnFormula>$A10 - TST!Japan100dt + 1</calculatedColumnFormula>
    </tableColumn>
    <tableColumn id="10" name="Japan" dataDxfId="123">
      <calculatedColumnFormula>INDEX(OFFSET(TST!HeadRow,ROW()-ROW(TST!HeadRow),0,1,COLUMNS(TST!HeadRow)),1,MATCH(LW$5,TST!HeadRow,0))/LW$8</calculatedColumnFormula>
    </tableColumn>
    <tableColumn id="11" name="Days100 Queensland" dataDxfId="122">
      <calculatedColumnFormula>$A10 - TST!Queensland100dt + 1</calculatedColumnFormula>
    </tableColumn>
    <tableColumn id="12" name="Queensland" dataDxfId="121">
      <calculatedColumnFormula>INDEX(OFFSET(TST!HeadRow,ROW()-ROW(TST!HeadRow),0,1,COLUMNS(TST!HeadRow)),1,MATCH(LY$5,TST!HeadRow,0))/LY$8</calculatedColumnFormula>
    </tableColumn>
    <tableColumn id="13" name="Days100 Tasmania" dataDxfId="120">
      <calculatedColumnFormula>$A10 - TST!Tasmania100dt + 1</calculatedColumnFormula>
    </tableColumn>
    <tableColumn id="14" name="Tasmania" dataDxfId="119">
      <calculatedColumnFormula>INDEX(OFFSET(TST!HeadRow,ROW()-ROW(TST!HeadRow),0,1,COLUMNS(TST!HeadRow)),1,MATCH(MA$5,TST!HeadRow,0))/MA$8</calculatedColumnFormula>
    </tableColumn>
    <tableColumn id="15" name="Days100 South Australia" dataDxfId="118">
      <calculatedColumnFormula>$A10 - TST!SouthAustralia100dt + 1</calculatedColumnFormula>
    </tableColumn>
    <tableColumn id="16" name="South Australia" dataDxfId="117">
      <calculatedColumnFormula>INDEX(OFFSET(TST!HeadRow,ROW()-ROW(TST!HeadRow),0,1,COLUMNS(TST!HeadRow)),1,MATCH(MC$5,TST!HeadRow,0))/MC$8</calculatedColumnFormula>
    </tableColumn>
    <tableColumn id="18" name="Days100 Australian Capital Territory" dataDxfId="116">
      <calculatedColumnFormula>$A10 - TST!AustralianCapitalTerritory100dt + 1</calculatedColumnFormula>
    </tableColumn>
    <tableColumn id="19" name="Australian Capital Territory" dataDxfId="115">
      <calculatedColumnFormula>INDEX(OFFSET(TST!HeadRow,ROW()-ROW(TST!HeadRow),0,1,COLUMNS(TST!HeadRow)),1,MATCH(ME$5,TST!HeadRow,0))/ME$8</calculatedColumnFormula>
    </tableColumn>
    <tableColumn id="20" name="Days100 Northern Territory" dataDxfId="114">
      <calculatedColumnFormula>$A10 - TST!NorthernTerritory100dt + 1</calculatedColumnFormula>
    </tableColumn>
    <tableColumn id="21" name="Northern Territory" dataDxfId="113">
      <calculatedColumnFormula>INDEX(OFFSET(TST!HeadRow,ROW()-ROW(TST!HeadRow),0,1,COLUMNS(TST!HeadRow)),1,MATCH(MG$5,TST!HeadRow,0))/MG$8</calculatedColumnFormula>
    </tableColumn>
    <tableColumn id="24" name="Days100 Western Australia" dataDxfId="112">
      <calculatedColumnFormula>$A10 - TST!WesternAustralia100dt + 1</calculatedColumnFormula>
    </tableColumn>
    <tableColumn id="25" name="Western Australia" dataDxfId="111">
      <calculatedColumnFormula>INDEX(OFFSET(TST!HeadRow,ROW()-ROW(TST!HeadRow),0,1,COLUMNS(TST!HeadRow)),1,MATCH(MI$5,TST!HeadRow,0))/MI$8</calculatedColumnFormula>
    </tableColumn>
    <tableColumn id="26" name="Days100 Germany" dataDxfId="110">
      <calculatedColumnFormula>$A10 - TST!Germany100dt + 1</calculatedColumnFormula>
    </tableColumn>
    <tableColumn id="27" name="Germany" dataDxfId="109">
      <calculatedColumnFormula>INDEX(OFFSET(TST!HeadRow,ROW()-ROW(TST!HeadRow),0,1,COLUMNS(TST!HeadRow)),1,MATCH(MK$5,TST!HeadRow,0))/MK$8</calculatedColumnFormula>
    </tableColumn>
    <tableColumn id="28" name="Days100 Denmark" dataDxfId="108">
      <calculatedColumnFormula>$A10 - TST!Denmark100dt + 1</calculatedColumnFormula>
    </tableColumn>
    <tableColumn id="29" name="Denmark" dataDxfId="107"/>
    <tableColumn id="30" name="Days100 South Africa" dataDxfId="106">
      <calculatedColumnFormula>$A10 - TST!SouthAfrica100dt + 1</calculatedColumnFormula>
    </tableColumn>
    <tableColumn id="31" name="South Africa" dataDxfId="105">
      <calculatedColumnFormula>INDEX(OFFSET(TST!HeadRow,ROW()-ROW(TST!HeadRow),0,1,COLUMNS(TST!HeadRow)),1,MATCH(MO$5,TST!HeadRow,0))/MO$8</calculatedColumnFormula>
    </tableColumn>
    <tableColumn id="32" name="Days100 United Kingdom" dataDxfId="104">
      <calculatedColumnFormula>$A10 - TST!UnitedKingdom100dt + 1</calculatedColumnFormula>
    </tableColumn>
    <tableColumn id="33" name="United Kingdom" dataDxfId="103">
      <calculatedColumnFormula>INDEX(OFFSET(TST!HeadRow,ROW()-ROW(TST!HeadRow),0,1,COLUMNS(TST!HeadRow)),1,MATCH(MQ$5,TST!HeadRow,0))/MQ$8</calculatedColumnFormula>
    </tableColumn>
    <tableColumn id="34" name="Days100 Ireland" dataDxfId="102">
      <calculatedColumnFormula>$A10 - TST!Ireland100dt + 1</calculatedColumnFormula>
    </tableColumn>
    <tableColumn id="35" name="Ireland" dataDxfId="101">
      <calculatedColumnFormula>INDEX(OFFSET(TST!HeadRow,ROW()-ROW(TST!HeadRow),0,1,COLUMNS(TST!HeadRow)),1,MATCH(MS$5,TST!HeadRow,0))/MS$8</calculatedColumnFormula>
    </tableColumn>
    <tableColumn id="36" name="Days100 Italy" dataDxfId="100">
      <calculatedColumnFormula>$A10 - TST!Italy100dt + 1</calculatedColumnFormula>
    </tableColumn>
    <tableColumn id="37" name="Italy" dataDxfId="99">
      <calculatedColumnFormula>INDEX(OFFSET(TST!HeadRow,ROW()-ROW(TST!HeadRow),0,1,COLUMNS(TST!HeadRow)),1,MATCH(MU$5,TST!HeadRow,0))/MU$8</calculatedColumnFormula>
    </tableColumn>
    <tableColumn id="38" name="Days100 US" dataDxfId="98">
      <calculatedColumnFormula>$A10 - TST!US100dt + 1</calculatedColumnFormula>
    </tableColumn>
    <tableColumn id="39" name="US" dataDxfId="97">
      <calculatedColumnFormula>INDEX(OFFSET(TST!HeadRow,ROW()-ROW(TST!HeadRow),0,1,COLUMNS(TST!HeadRow)),1,MATCH(MW$5,TST!HeadRow,0))/MW$8</calculatedColumnFormula>
    </tableColumn>
    <tableColumn id="40" name="Days100 Australia Sum" dataDxfId="96">
      <calculatedColumnFormula>$A10 - TST!AustraliaSum100dt + 1</calculatedColumnFormula>
    </tableColumn>
    <tableColumn id="41" name="Australia Sum" dataDxfId="95">
      <calculatedColumnFormula>SUM($J10:$Q10)/$MY$8</calculatedColumnFormula>
    </tableColumn>
    <tableColumn id="42" name="Days100 New South Wales" dataDxfId="94">
      <calculatedColumnFormula>$A10 - TST!NewSouthWales100dt + 1</calculatedColumnFormula>
    </tableColumn>
    <tableColumn id="43" name="New South Wales" dataDxfId="93">
      <calculatedColumnFormula>INDEX(OFFSET(TST!HeadRow,ROW()-ROW(TST!HeadRow),0,1,COLUMNS(TST!HeadRow)),1,MATCH(NA$5,TST!HeadRow,0))/NA$8</calculatedColumnFormula>
    </tableColumn>
    <tableColumn id="44" name="Days100 Taiwan" dataDxfId="92">
      <calculatedColumnFormula>$A10 - TST!Taiwan100dt + 1</calculatedColumnFormula>
    </tableColumn>
    <tableColumn id="45" name="Taiwan" dataDxfId="91">
      <calculatedColumnFormula>INDEX(OFFSET(TST!HeadRow,ROW()-ROW(TST!HeadRow),0,1,COLUMNS(TST!HeadRow)),1,MATCH(NC$5,TST!HeadRow,0))/NC$8</calculatedColumnFormula>
    </tableColumn>
    <tableColumn id="46" name="Days100 Hubei" dataDxfId="90"/>
    <tableColumn id="47" name="Hubei" dataDxfId="89">
      <calculatedColumnFormula>INDEX(OFFSET(TST!HeadRow,ROW()-ROW(TST!HeadRow),0,1,COLUMNS(TST!HeadRow)),1,MATCH(NE$5,TST!HeadRow,0))/NE$8</calculatedColumnFormula>
    </tableColumn>
    <tableColumn id="48" name="Days100 Hong Kong" dataDxfId="88"/>
    <tableColumn id="49" name="Hong Kong" dataDxfId="87">
      <calculatedColumnFormula>INDEX(OFFSET(TST!HeadRow,ROW()-ROW(TST!HeadRow),0,1,COLUMNS(TST!HeadRow)),1,MATCH(NG$5,TST!HeadRow,0))/NG$8</calculatedColumnFormula>
    </tableColumn>
  </tableColumns>
  <tableStyleInfo name="TableStyleLight21" showFirstColumn="0" showLastColumn="0" showRowStripes="1" showColumnStripes="0"/>
</table>
</file>

<file path=xl/tables/table9.xml><?xml version="1.0" encoding="utf-8"?>
<table xmlns="http://schemas.openxmlformats.org/spreadsheetml/2006/main" id="8" name="tblDeath100" displayName="tblDeath100" ref="LN10:NI106" headerRowDxfId="86">
  <autoFilter ref="LN10:NI106"/>
  <tableColumns count="48">
    <tableColumn id="1" name="Days100 Sweden" totalsRowFunction="custom" dataDxfId="85" totalsRowDxfId="84">
      <calculatedColumnFormula>$A11 - DeathsTimeS!Sweden100dt + 1</calculatedColumnFormula>
      <totalsRowFormula>$A103 - DeathsTimeS!Sweden100dt</totalsRowFormula>
    </tableColumn>
    <tableColumn id="2" name="Sweden" totalsRowFunction="custom" dataDxfId="83" totalsRowDxfId="82">
      <calculatedColumnFormula>INDEX(OFFSET(DeathsTimeS!HeadRow,ROW()-ROW(DeathsTimeS!HeadRow),0,1,COLUMNS(DeathsTimeS!HeadRow)),1,MATCH(LO$5,DeathsTimeS!HeadRow,0))/LO$8</calculatedColumnFormula>
      <totalsRowFormula>INDEX(OFFSET(DeathsTimeS!HeadRow,ROW()-ROW(DeathsTimeS!HeadRow),0,1,COLUMNS(DeathsTimeS!HeadRow)),1,MATCH(LO$5,DeathsTimeS!HeadRow,0))/$LO$8</totalsRowFormula>
    </tableColumn>
    <tableColumn id="3" name="Days100 Spain" totalsRowFunction="custom" dataDxfId="81" totalsRowDxfId="80">
      <calculatedColumnFormula>$A11 - DeathsTimeS!Spain100dt</calculatedColumnFormula>
      <totalsRowFormula>$A103 - DeathsTimeS!Spain100dt</totalsRowFormula>
    </tableColumn>
    <tableColumn id="4" name="Spain" totalsRowFunction="custom" dataDxfId="79" totalsRowDxfId="78">
      <calculatedColumnFormula>INDEX(OFFSET(TST!HeadRow,ROW()-ROW(TST!HeadRow),0,1,COLUMNS(TST!HeadRow)),1,MATCH(LQ$5,TST!HeadRow,0))/LQ$8</calculatedColumnFormula>
      <totalsRowFormula>INDEX(OFFSET(DeathsTimeS!HeadRow,ROW()-ROW(DeathsTimeS!HeadRow),0,1,COLUMNS(DeathsTimeS!HeadRow)),1,MATCH(LQ$5,DeathsTimeS!HeadRow,0))/LQ$8</totalsRowFormula>
    </tableColumn>
    <tableColumn id="5" name="Days100 Victoria" totalsRowFunction="custom" dataDxfId="77" totalsRowDxfId="76">
      <calculatedColumnFormula>$A11 - DeathsTimeS!Victoria100dt</calculatedColumnFormula>
      <totalsRowFormula>$A103 - DeathsTimeS!Victoria100dt</totalsRowFormula>
    </tableColumn>
    <tableColumn id="6" name="Victoria" totalsRowFunction="custom" dataDxfId="75" totalsRowDxfId="74">
      <calculatedColumnFormula>INDEX(OFFSET(DeathsTimeS!HeadRow,ROW()-ROW(DeathsTimeS!HeadRow),0,1,COLUMNS(DeathsTimeS!HeadRow)),1,MATCH(LS$5,DeathsTimeS!HeadRow,0))/LS$8</calculatedColumnFormula>
      <totalsRowFormula>INDEX(OFFSET(DeathsTimeS!HeadRow,ROW()-ROW(DeathsTimeS!HeadRow),0,1,COLUMNS(DeathsTimeS!HeadRow)),1,MATCH(LS$5,DeathsTimeS!HeadRow,0))/LS$8</totalsRowFormula>
    </tableColumn>
    <tableColumn id="7" name="Days100 Iran" totalsRowFunction="custom" dataDxfId="73" totalsRowDxfId="72">
      <calculatedColumnFormula>$A11 - DeathsTimeS!Iran100dt</calculatedColumnFormula>
      <totalsRowFormula>$A103 - DeathsTimeS!Iran100dt</totalsRowFormula>
    </tableColumn>
    <tableColumn id="8" name="Iran" totalsRowFunction="custom" dataDxfId="71" totalsRowDxfId="70">
      <calculatedColumnFormula>INDEX(OFFSET(DeathsTimeS!HeadRow,ROW()-ROW(DeathsTimeS!HeadRow),0,1,COLUMNS(DeathsTimeS!HeadRow)),1,MATCH(LU$5,DeathsTimeS!HeadRow,0))/LU$8</calculatedColumnFormula>
      <totalsRowFormula>INDEX(OFFSET(DeathsTimeS!HeadRow,ROW()-ROW(DeathsTimeS!HeadRow),0,1,COLUMNS(DeathsTimeS!HeadRow)),1,MATCH(LU$5,DeathsTimeS!HeadRow,0))/LU$8</totalsRowFormula>
    </tableColumn>
    <tableColumn id="9" name="Days100 Japan" totalsRowFunction="custom" dataDxfId="69" totalsRowDxfId="68">
      <calculatedColumnFormula>$A11 - DeathsTimeS!Japan100dt</calculatedColumnFormula>
      <totalsRowFormula>$A103 - DeathsTimeS!Japan100dt</totalsRowFormula>
    </tableColumn>
    <tableColumn id="10" name="Japan" totalsRowFunction="custom" dataDxfId="67" totalsRowDxfId="66">
      <calculatedColumnFormula>INDEX(OFFSET(DeathsTimeS!HeadRow,ROW()-ROW(DeathsTimeS!HeadRow),0,1,COLUMNS(DeathsTimeS!HeadRow)),1,MATCH(LW$5,DeathsTimeS!HeadRow,0))/LW$8</calculatedColumnFormula>
      <totalsRowFormula>INDEX(OFFSET(DeathsTimeS!HeadRow,ROW()-ROW(DeathsTimeS!HeadRow),0,1,COLUMNS(DeathsTimeS!HeadRow)),1,MATCH(LW$5,DeathsTimeS!HeadRow,0))/LW$8</totalsRowFormula>
    </tableColumn>
    <tableColumn id="11" name="Days100 Queensland" totalsRowFunction="custom" dataDxfId="65" totalsRowDxfId="64">
      <calculatedColumnFormula>$A11 - DeathsTimeS!Queensland100dt</calculatedColumnFormula>
      <totalsRowFormula>$A103 - DeathsTimeS!Queensland100dt</totalsRowFormula>
    </tableColumn>
    <tableColumn id="12" name="Queensland" totalsRowFunction="custom" dataDxfId="63" totalsRowDxfId="62">
      <calculatedColumnFormula>INDEX(OFFSET(DeathsTimeS!HeadRow,ROW()-ROW(DeathsTimeS!HeadRow),0,1,COLUMNS(DeathsTimeS!HeadRow)),1,MATCH(LY$5,DeathsTimeS!HeadRow,0))/LY$8</calculatedColumnFormula>
      <totalsRowFormula>INDEX(OFFSET(DeathsTimeS!HeadRow,ROW()-ROW(DeathsTimeS!HeadRow),0,1,COLUMNS(DeathsTimeS!HeadRow)),1,MATCH(LY$5,DeathsTimeS!HeadRow,0))/LY$8</totalsRowFormula>
    </tableColumn>
    <tableColumn id="13" name="Days100 Tasmania" totalsRowFunction="custom" dataDxfId="61" totalsRowDxfId="60">
      <calculatedColumnFormula>$A11 - DeathsTimeS!Tasmania100dt</calculatedColumnFormula>
      <totalsRowFormula>$A103 - DeathsTimeS!Tasmania100dt</totalsRowFormula>
    </tableColumn>
    <tableColumn id="14" name="Tasmania" totalsRowFunction="custom" dataDxfId="59" totalsRowDxfId="58">
      <calculatedColumnFormula>INDEX(OFFSET(DeathsTimeS!HeadRow,ROW()-ROW(DeathsTimeS!HeadRow),0,1,COLUMNS(DeathsTimeS!HeadRow)),1,MATCH(MA$5,DeathsTimeS!HeadRow,0))/MA$8</calculatedColumnFormula>
      <totalsRowFormula>INDEX(OFFSET(DeathsTimeS!HeadRow,ROW()-ROW(DeathsTimeS!HeadRow),0,1,COLUMNS(DeathsTimeS!HeadRow)),1,MATCH(MA$5,DeathsTimeS!HeadRow,0))/MA$8</totalsRowFormula>
    </tableColumn>
    <tableColumn id="15" name="Days100 South Australia" totalsRowFunction="custom" dataDxfId="57" totalsRowDxfId="56">
      <calculatedColumnFormula>$A11 - DeathsTimeS!SouthAustralia100dt</calculatedColumnFormula>
      <totalsRowFormula>$A103 - DeathsTimeS!SouthAustralia100dt</totalsRowFormula>
    </tableColumn>
    <tableColumn id="16" name="South Australia" totalsRowFunction="custom" dataDxfId="55" totalsRowDxfId="54">
      <calculatedColumnFormula>INDEX(OFFSET(DeathsTimeS!HeadRow,ROW()-ROW(DeathsTimeS!HeadRow),0,1,COLUMNS(DeathsTimeS!HeadRow)),1,MATCH(MC$5,DeathsTimeS!HeadRow,0))/MC$8</calculatedColumnFormula>
      <totalsRowFormula>INDEX(OFFSET(DeathsTimeS!HeadRow,ROW()-ROW(DeathsTimeS!HeadRow),0,1,COLUMNS(DeathsTimeS!HeadRow)),1,MATCH(MC$5,DeathsTimeS!HeadRow,0))/MC$8</totalsRowFormula>
    </tableColumn>
    <tableColumn id="17" name="Days100 Western Australia" totalsRowFunction="custom" dataDxfId="53" totalsRowDxfId="52">
      <calculatedColumnFormula>$A11 - DeathsTimeS!WesternAustralia100dt</calculatedColumnFormula>
      <totalsRowFormula>$A103 - DeathsTimeS!WesternAustralia100dt</totalsRowFormula>
    </tableColumn>
    <tableColumn id="18" name="Western Australia" totalsRowFunction="custom" dataDxfId="51" totalsRowDxfId="50">
      <calculatedColumnFormula>INDEX(OFFSET(DeathsTimeS!HeadRow,ROW()-ROW(DeathsTimeS!HeadRow),0,1,COLUMNS(DeathsTimeS!HeadRow)),1,MATCH(ME$5,DeathsTimeS!HeadRow,0))/ME$8</calculatedColumnFormula>
      <totalsRowFormula>INDEX(OFFSET(DeathsTimeS!HeadRow,ROW()-ROW(DeathsTimeS!HeadRow),0,1,COLUMNS(DeathsTimeS!HeadRow)),1,MATCH(ME$5,DeathsTimeS!HeadRow,0))/ME$8</totalsRowFormula>
    </tableColumn>
    <tableColumn id="19" name="Days100 New South Wales" totalsRowFunction="custom" dataDxfId="49" totalsRowDxfId="48">
      <calculatedColumnFormula>$A11 - DeathsTimeS!NewSouthWales100dt</calculatedColumnFormula>
      <totalsRowFormula>$A103 - DeathsTimeS!NewSouthWales100dt</totalsRowFormula>
    </tableColumn>
    <tableColumn id="20" name="New South Wales" totalsRowFunction="custom" dataDxfId="47" totalsRowDxfId="46">
      <calculatedColumnFormula>INDEX(OFFSET(DeathsTimeS!HeadRow,ROW()-ROW(DeathsTimeS!HeadRow),0,1,COLUMNS(DeathsTimeS!HeadRow)),1,MATCH(MG$5,DeathsTimeS!HeadRow,0))/MG$8</calculatedColumnFormula>
      <totalsRowFormula>INDEX(OFFSET(DeathsTimeS!HeadRow,ROW()-ROW(DeathsTimeS!HeadRow),0,1,COLUMNS(DeathsTimeS!HeadRow)),1,MATCH(MG$5,DeathsTimeS!HeadRow,0))/MG$8</totalsRowFormula>
    </tableColumn>
    <tableColumn id="21" name="Days100 New York" totalsRowFunction="custom" dataDxfId="45" totalsRowDxfId="44">
      <calculatedColumnFormula>$A11 - DeathsTimeS!NewYork100dt</calculatedColumnFormula>
      <totalsRowFormula>$A103 - DeathsTimeS!NewYork100dt</totalsRowFormula>
    </tableColumn>
    <tableColumn id="22" name="New York" totalsRowFunction="custom" dataDxfId="43" totalsRowDxfId="42">
      <calculatedColumnFormula>INDEX(OFFSET(DeathsTimeS!HeadRow,ROW()-ROW(DeathsTimeS!HeadRow),0,1,COLUMNS(DeathsTimeS!HeadRow)),1,MATCH(MI$5,DeathsTimeS!HeadRow,0))/MI$8</calculatedColumnFormula>
      <totalsRowFormula>INDEX(OFFSET(DeathsTimeS!HeadRow,ROW()-ROW(DeathsTimeS!HeadRow),0,1,COLUMNS(DeathsTimeS!HeadRow)),1,MATCH(MI$5,DeathsTimeS!HeadRow,0))/MI$8</totalsRowFormula>
    </tableColumn>
    <tableColumn id="23" name="Days100 Italy" totalsRowFunction="custom" dataDxfId="41" totalsRowDxfId="40">
      <calculatedColumnFormula>$A11 - DeathsTimeS!Italy100dt</calculatedColumnFormula>
      <totalsRowFormula>$A103 - DeathsTimeS!Italy100dt</totalsRowFormula>
    </tableColumn>
    <tableColumn id="24" name="Italy" totalsRowFunction="custom" dataDxfId="39" totalsRowDxfId="38">
      <calculatedColumnFormula>INDEX(OFFSET(DeathsTimeS!HeadRow,ROW()-ROW(DeathsTimeS!HeadRow),0,1,COLUMNS(DeathsTimeS!HeadRow)),1,MATCH(MK$5,DeathsTimeS!HeadRow,0))/MK$8</calculatedColumnFormula>
      <totalsRowFormula>INDEX(OFFSET(DeathsTimeS!HeadRow,ROW()-ROW(DeathsTimeS!HeadRow),0,1,COLUMNS(DeathsTimeS!HeadRow)),1,MATCH(MK$5,DeathsTimeS!HeadRow,0))/MK$8</totalsRowFormula>
    </tableColumn>
    <tableColumn id="25" name="Days100 Australian Capital Territory" totalsRowFunction="custom" dataDxfId="37" totalsRowDxfId="36">
      <calculatedColumnFormula>$A11 - DeathsTimeS!AustralianCapitalTerritory100dt</calculatedColumnFormula>
      <totalsRowFormula>$A103 - DeathsTimeS!AustralianCapitalTerritory100dt</totalsRowFormula>
    </tableColumn>
    <tableColumn id="26" name="Australian Capital Territory" totalsRowFunction="custom" dataDxfId="35" totalsRowDxfId="34">
      <calculatedColumnFormula>INDEX(OFFSET(DeathsTimeS!HeadRow,ROW()-ROW(DeathsTimeS!HeadRow),0,1,COLUMNS(DeathsTimeS!HeadRow)),1,MATCH(MM$5,DeathsTimeS!HeadRow,0))/MM$8</calculatedColumnFormula>
      <totalsRowFormula>INDEX(OFFSET(DeathsTimeS!HeadRow,ROW()-ROW(DeathsTimeS!HeadRow),0,1,COLUMNS(DeathsTimeS!HeadRow)),1,MATCH(MM$5,DeathsTimeS!HeadRow,0))/MM$8</totalsRowFormula>
    </tableColumn>
    <tableColumn id="27" name="Days100 Northern Territory" totalsRowFunction="custom" dataDxfId="33" totalsRowDxfId="32">
      <calculatedColumnFormula>IF(DeathsTimeS!NorthernTerritory100dt&gt;0,$A11 - DeathsTimeS!NorthernTerritory100dt,"")</calculatedColumnFormula>
      <totalsRowFormula>IF(DeathsTimeS!NorthernTerritory100dt&gt;0,$A103 - DeathsTimeS!NorthernTerritory100dt,"")</totalsRowFormula>
    </tableColumn>
    <tableColumn id="28" name="Northern Territory" totalsRowFunction="custom" dataDxfId="31" totalsRowDxfId="30">
      <calculatedColumnFormula>INDEX(OFFSET(DeathsTimeS!HeadRow,ROW()-ROW(DeathsTimeS!HeadRow),0,1,COLUMNS(DeathsTimeS!HeadRow)),1,MATCH(MO$5,DeathsTimeS!HeadRow,0))/MO$8</calculatedColumnFormula>
      <totalsRowFormula>INDEX(OFFSET(DeathsTimeS!HeadRow,ROW()-ROW(DeathsTimeS!HeadRow),0,1,COLUMNS(DeathsTimeS!HeadRow)),1,MATCH(MO$5,DeathsTimeS!HeadRow,0))/MO$8</totalsRowFormula>
    </tableColumn>
    <tableColumn id="29" name="Days100 South Africa" dataDxfId="29">
      <calculatedColumnFormula>$A11 - DeathsTimeS!SouthAfrica100dt + 1</calculatedColumnFormula>
    </tableColumn>
    <tableColumn id="30" name="South Africa" dataDxfId="28">
      <calculatedColumnFormula>INDEX(OFFSET(DeathsTimeS!HeadRow,ROW()-ROW(DeathsTimeS!HeadRow),0,1,COLUMNS(DeathsTimeS!HeadRow)),1,MATCH(MQ$5,DeathsTimeS!HeadRow,0))/MQ$8</calculatedColumnFormula>
    </tableColumn>
    <tableColumn id="31" name="Days100 Germany" dataDxfId="27">
      <calculatedColumnFormula>$A11 - DeathsTimeS!Germany100dt + 1</calculatedColumnFormula>
    </tableColumn>
    <tableColumn id="32" name="Germany" dataDxfId="26">
      <calculatedColumnFormula>INDEX(OFFSET(DeathsTimeS!HeadRow,ROW()-ROW(DeathsTimeS!HeadRow),0,1,COLUMNS(DeathsTimeS!HeadRow)),1,MATCH(MS$5,DeathsTimeS!HeadRow,0))/MS$8</calculatedColumnFormula>
    </tableColumn>
    <tableColumn id="33" name="Days100 Ireland" dataDxfId="25">
      <calculatedColumnFormula>$A11 - DeathsTimeS!Ireland100dt + 1</calculatedColumnFormula>
    </tableColumn>
    <tableColumn id="34" name="Ireland" dataDxfId="24">
      <calculatedColumnFormula>INDEX(OFFSET(DeathsTimeS!HeadRow,ROW()-ROW(DeathsTimeS!HeadRow),0,1,COLUMNS(DeathsTimeS!HeadRow)),1,MATCH(MU$5,DeathsTimeS!HeadRow,0))/MU$8</calculatedColumnFormula>
    </tableColumn>
    <tableColumn id="35" name="Days100 United Kingdom" dataDxfId="23">
      <calculatedColumnFormula>$A11 - DeathsTimeS!UnitedKingdom100dt + 1</calculatedColumnFormula>
    </tableColumn>
    <tableColumn id="36" name="United Kingdom" dataDxfId="22">
      <calculatedColumnFormula>INDEX(OFFSET(DeathsTimeS!HeadRow,ROW()-ROW(DeathsTimeS!HeadRow),0,1,COLUMNS(DeathsTimeS!HeadRow)),1,MATCH(MW$5,DeathsTimeS!HeadRow,0))/MW$8</calculatedColumnFormula>
    </tableColumn>
    <tableColumn id="37" name="Days100 Denmark" dataDxfId="21">
      <calculatedColumnFormula>$A11 - DeathsTimeS!Denmark100dt + 1</calculatedColumnFormula>
    </tableColumn>
    <tableColumn id="38" name="Denmark" dataDxfId="20">
      <calculatedColumnFormula>INDEX(OFFSET(DeathsTimeS!HeadRow,ROW()-ROW(DeathsTimeS!HeadRow),0,1,COLUMNS(DeathsTimeS!HeadRow)),1,MATCH(MY$5,DeathsTimeS!HeadRow,0))/MY$8</calculatedColumnFormula>
    </tableColumn>
    <tableColumn id="39" name="Days100 US" dataDxfId="19">
      <calculatedColumnFormula>$A11 - DeathsTimeS!US100dt + 1</calculatedColumnFormula>
    </tableColumn>
    <tableColumn id="40" name="US" dataDxfId="18">
      <calculatedColumnFormula>INDEX(OFFSET(DeathsTimeS!HeadRow,ROW()-ROW(DeathsTimeS!HeadRow),0,1,COLUMNS(DeathsTimeS!HeadRow)),1,MATCH(NA$5,DeathsTimeS!HeadRow,0))/NA$8</calculatedColumnFormula>
    </tableColumn>
    <tableColumn id="41" name="Days100 Australia Sum" dataDxfId="17">
      <calculatedColumnFormula>$A11 - DeathsTimeS!AustraliaSum100dt + 1</calculatedColumnFormula>
    </tableColumn>
    <tableColumn id="42" name="Australia Sum" dataDxfId="16">
      <calculatedColumnFormula>SUM($J11:$Q11)</calculatedColumnFormula>
    </tableColumn>
    <tableColumn id="43" name="Days100 Taiwan" dataDxfId="15">
      <calculatedColumnFormula>$A11 - DeathsTimeS!Taiwan100dt + 1</calculatedColumnFormula>
    </tableColumn>
    <tableColumn id="44" name="Taiwan" dataDxfId="14">
      <calculatedColumnFormula>INDEX(OFFSET(DeathsTimeS!HeadRow,ROW()-ROW(DeathsTimeS!HeadRow),0,1,COLUMNS(DeathsTimeS!HeadRow)),1,MATCH(NE$5,DeathsTimeS!HeadRow,0))/NE$8</calculatedColumnFormula>
    </tableColumn>
    <tableColumn id="45" name="Days100 Hubei" dataDxfId="13">
      <calculatedColumnFormula>$A11 - DeathsTimeS!Hubei100dt + 1</calculatedColumnFormula>
    </tableColumn>
    <tableColumn id="46" name="Hubei" dataDxfId="12">
      <calculatedColumnFormula>INDEX(OFFSET(DeathsTimeS!HeadRow,ROW()-ROW(DeathsTimeS!HeadRow),0,1,COLUMNS(DeathsTimeS!HeadRow)),1,MATCH(NG$5,DeathsTimeS!HeadRow,0))/NG$8</calculatedColumnFormula>
    </tableColumn>
    <tableColumn id="47" name="Days100 Hong Kong" dataDxfId="11">
      <calculatedColumnFormula>$A11 - DeathsTimeS!HongKong100dt + 1</calculatedColumnFormula>
    </tableColumn>
    <tableColumn id="48" name="Hong Kong" dataDxfId="10">
      <calculatedColumnFormula>INDEX(OFFSET(DeathsTimeS!HeadRow,ROW()-ROW(DeathsTimeS!HeadRow),0,1,COLUMNS(DeathsTimeS!HeadRow)),1,MATCH(NI$5,DeathsTimeS!HeadRow,0))/NI$8</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id="2" name="tblPopulation" displayName="tblPopulation" ref="K1:AA34" totalsRowShown="0">
  <tableColumns count="17">
    <tableColumn id="1" name="Country"/>
    <tableColumn id="5" name="CtryAbbrev"/>
    <tableColumn id="2" name="State"/>
    <tableColumn id="16" name="Headng"/>
    <tableColumn id="12" name="Abbrv"/>
    <tableColumn id="3" name="Population" dataDxfId="9"/>
    <tableColumn id="7" name="SumStates" dataDxfId="8"/>
    <tableColumn id="8" name="MinLoadingDate" dataDxfId="7"/>
    <tableColumn id="4" name="Day 0" dataDxfId="6"/>
    <tableColumn id="6" name="Logistic Start2" dataDxfId="5">
      <calculatedColumnFormula>IF(OR(StartMethod=1,tblPopulation[[#This Row],[Country]]="Tests"),tblPopulation[[#This Row],[LogistStartSave]],INT(NOW())-LastNDays)</calculatedColumnFormula>
    </tableColumn>
    <tableColumn id="9" name="JHName"/>
    <tableColumn id="10" name="SortOrder"/>
    <tableColumn id="11" name="LogistStartSave" dataDxfId="4"/>
    <tableColumn id="13" name="OldStart" dataDxfId="3"/>
    <tableColumn id="14" name="LoadMyData" dataDxfId="2"/>
    <tableColumn id="15" name="SolveAll" dataDxfId="1"/>
    <tableColumn id="17" name="CountrySum"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3.xml"/><Relationship Id="rId12" Type="http://schemas.openxmlformats.org/officeDocument/2006/relationships/table" Target="../tables/table1.xml"/><Relationship Id="rId2" Type="http://schemas.openxmlformats.org/officeDocument/2006/relationships/hyperlink" Target="https://www.health.nsw.gov.au/news/Pages/20200312_00.aspx" TargetMode="External"/><Relationship Id="rId16" Type="http://schemas.openxmlformats.org/officeDocument/2006/relationships/comments" Target="../comments1.xml"/><Relationship Id="rId1" Type="http://schemas.openxmlformats.org/officeDocument/2006/relationships/hyperlink" Target="https://www.health.gov.au/news/health-alerts/novel-coronavirus-2019-ncov-health-alert"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table" Target="../tables/table4.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0.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J469"/>
  <sheetViews>
    <sheetView zoomScale="66" zoomScaleNormal="66" workbookViewId="0">
      <pane xSplit="2" ySplit="10" topLeftCell="Q81" activePane="bottomRight" state="frozen"/>
      <selection pane="topRight" activeCell="C1" sqref="C1"/>
      <selection pane="bottomLeft" activeCell="A11" sqref="A11"/>
      <selection pane="bottomRight" activeCell="AI113" sqref="AI113"/>
    </sheetView>
  </sheetViews>
  <sheetFormatPr defaultRowHeight="15" x14ac:dyDescent="0.25"/>
  <cols>
    <col min="1" max="1" width="12.28515625" bestFit="1" customWidth="1"/>
    <col min="2" max="2" width="18.5703125" customWidth="1"/>
    <col min="3" max="3" width="15.28515625" customWidth="1"/>
    <col min="4" max="4" width="17.42578125" bestFit="1" customWidth="1"/>
    <col min="5" max="5" width="18.140625" bestFit="1" customWidth="1"/>
    <col min="6" max="6" width="11.7109375" customWidth="1"/>
    <col min="7" max="7" width="14.42578125" customWidth="1"/>
    <col min="8" max="8" width="10.85546875" customWidth="1"/>
    <col min="9" max="9" width="16.85546875" bestFit="1" customWidth="1"/>
    <col min="10" max="10" width="11.140625" customWidth="1"/>
    <col min="11" max="11" width="11.28515625" customWidth="1"/>
    <col min="12" max="12" width="14.140625" style="11" customWidth="1"/>
    <col min="13" max="13" width="13.85546875" bestFit="1" customWidth="1"/>
    <col min="14" max="14" width="12.28515625" customWidth="1"/>
    <col min="15" max="15" width="13.140625" customWidth="1"/>
    <col min="16" max="16" width="13.85546875" style="95" customWidth="1"/>
    <col min="17" max="17" width="13.28515625" customWidth="1"/>
    <col min="18" max="18" width="15.140625" customWidth="1"/>
    <col min="19" max="19" width="12.42578125" customWidth="1"/>
    <col min="20" max="20" width="13.42578125" customWidth="1"/>
    <col min="21" max="21" width="15" customWidth="1"/>
    <col min="22" max="22" width="12.7109375" customWidth="1"/>
    <col min="23" max="23" width="15.5703125" customWidth="1"/>
    <col min="24" max="24" width="11.42578125" bestFit="1" customWidth="1"/>
    <col min="25" max="25" width="19.42578125" bestFit="1" customWidth="1"/>
    <col min="26" max="26" width="15.7109375" style="25" customWidth="1"/>
    <col min="27" max="27" width="14.85546875" style="25" customWidth="1"/>
    <col min="28" max="28" width="14.140625" customWidth="1"/>
    <col min="29" max="29" width="13.42578125" customWidth="1"/>
    <col min="31" max="32" width="12.28515625" bestFit="1" customWidth="1"/>
    <col min="33" max="34" width="12.28515625" style="25" customWidth="1"/>
    <col min="35" max="35" width="14.5703125" customWidth="1"/>
    <col min="36" max="36" width="15" customWidth="1"/>
    <col min="37" max="37" width="12.28515625" bestFit="1" customWidth="1"/>
    <col min="38" max="38" width="16" customWidth="1"/>
    <col min="39" max="39" width="16.7109375" customWidth="1"/>
    <col min="40" max="40" width="12.7109375" customWidth="1"/>
    <col min="41" max="41" width="12.7109375" style="25" customWidth="1"/>
    <col min="42" max="42" width="19.5703125" style="25" customWidth="1"/>
    <col min="43" max="43" width="15.42578125" customWidth="1"/>
    <col min="44" max="44" width="17.7109375" customWidth="1"/>
    <col min="45" max="45" width="15.5703125" customWidth="1"/>
    <col min="46" max="46" width="12.7109375" customWidth="1"/>
    <col min="47" max="47" width="12.7109375" style="25" customWidth="1"/>
    <col min="48" max="48" width="12.7109375" style="39" bestFit="1" customWidth="1"/>
    <col min="49" max="49" width="12.7109375" style="39" customWidth="1"/>
    <col min="50" max="50" width="16.7109375" customWidth="1"/>
    <col min="51" max="51" width="12.7109375" bestFit="1" customWidth="1"/>
    <col min="52" max="53" width="12.7109375" style="11" customWidth="1"/>
    <col min="54" max="54" width="15.28515625" customWidth="1"/>
    <col min="55" max="55" width="16.85546875" customWidth="1"/>
    <col min="56" max="56" width="13.85546875" style="126" customWidth="1"/>
    <col min="57" max="57" width="18.28515625" customWidth="1"/>
    <col min="58" max="58" width="18.28515625" style="25" customWidth="1"/>
    <col min="59" max="59" width="17.140625" customWidth="1"/>
    <col min="60" max="60" width="11.42578125" bestFit="1" customWidth="1"/>
    <col min="61" max="61" width="11.42578125" style="126" customWidth="1"/>
    <col min="62" max="62" width="14.5703125" customWidth="1"/>
    <col min="63" max="63" width="14.5703125" style="25" customWidth="1"/>
    <col min="64" max="64" width="13.5703125" customWidth="1"/>
    <col min="65" max="65" width="17" customWidth="1"/>
    <col min="66" max="66" width="12.85546875" customWidth="1"/>
    <col min="67" max="67" width="14.5703125" customWidth="1"/>
    <col min="68" max="68" width="15.42578125" style="25" customWidth="1"/>
    <col min="69" max="69" width="10.28515625" style="11" customWidth="1"/>
    <col min="70" max="70" width="11" style="25" bestFit="1" customWidth="1"/>
    <col min="71" max="71" width="14.28515625" style="61" customWidth="1"/>
    <col min="72" max="72" width="15.42578125" style="25" customWidth="1"/>
    <col min="73" max="73" width="6" style="25" customWidth="1"/>
    <col min="74" max="74" width="13.28515625" style="95" customWidth="1"/>
    <col min="75" max="75" width="16" style="25" customWidth="1"/>
    <col min="76" max="76" width="16.5703125" customWidth="1"/>
    <col min="77" max="77" width="15.42578125" customWidth="1"/>
    <col min="78" max="78" width="15.42578125" style="25" customWidth="1"/>
    <col min="79" max="79" width="14.85546875" style="11" customWidth="1"/>
    <col min="80" max="80" width="14" customWidth="1"/>
    <col min="81" max="81" width="13" customWidth="1"/>
    <col min="82" max="82" width="17.85546875" customWidth="1"/>
    <col min="83" max="83" width="15.140625" style="25" customWidth="1"/>
    <col min="84" max="84" width="9.140625" style="25"/>
    <col min="85" max="85" width="19.140625" customWidth="1"/>
    <col min="86" max="86" width="14.5703125" customWidth="1"/>
    <col min="87" max="87" width="17.140625" style="25" customWidth="1"/>
    <col min="88" max="88" width="12.140625" style="25" customWidth="1"/>
    <col min="89" max="89" width="11.28515625" style="25" customWidth="1"/>
    <col min="90" max="90" width="13" style="39" customWidth="1"/>
    <col min="91" max="92" width="15" style="25" customWidth="1"/>
    <col min="93" max="93" width="12.42578125" customWidth="1"/>
    <col min="94" max="94" width="16.28515625" customWidth="1"/>
    <col min="95" max="95" width="14.7109375" customWidth="1"/>
    <col min="96" max="96" width="13" customWidth="1"/>
    <col min="97" max="97" width="13" style="25" customWidth="1"/>
    <col min="98" max="98" width="13" style="19" customWidth="1"/>
    <col min="99" max="99" width="13" style="25" customWidth="1"/>
    <col min="100" max="100" width="13" style="19" customWidth="1"/>
    <col min="101" max="101" width="14.5703125" style="25" customWidth="1"/>
    <col min="102" max="103" width="13" style="25" customWidth="1"/>
    <col min="104" max="105" width="13" style="11" customWidth="1"/>
    <col min="106" max="106" width="13" style="20" customWidth="1"/>
    <col min="107" max="107" width="13" style="11" customWidth="1"/>
    <col min="108" max="108" width="13" style="20" customWidth="1"/>
    <col min="109" max="109" width="13" style="95" customWidth="1"/>
    <col min="110" max="110" width="13" style="20" customWidth="1"/>
    <col min="111" max="111" width="13" style="95" customWidth="1"/>
    <col min="112" max="112" width="13" style="11" customWidth="1"/>
    <col min="113" max="113" width="13" style="25" customWidth="1"/>
    <col min="114" max="114" width="17.140625" bestFit="1" customWidth="1"/>
    <col min="115" max="115" width="12.42578125" customWidth="1"/>
    <col min="116" max="116" width="13.5703125" customWidth="1"/>
    <col min="117" max="117" width="21.5703125" customWidth="1"/>
    <col min="118" max="118" width="11" bestFit="1" customWidth="1"/>
    <col min="119" max="119" width="10.140625" style="25" customWidth="1"/>
    <col min="120" max="120" width="7" style="25" customWidth="1"/>
    <col min="121" max="121" width="13" customWidth="1"/>
    <col min="122" max="122" width="12.5703125" bestFit="1" customWidth="1"/>
    <col min="123" max="123" width="11.42578125" customWidth="1"/>
    <col min="124" max="124" width="15.140625" customWidth="1"/>
    <col min="125" max="125" width="11.5703125" customWidth="1"/>
    <col min="126" max="126" width="13" customWidth="1"/>
    <col min="127" max="127" width="13" style="25" customWidth="1"/>
    <col min="128" max="128" width="12.28515625" customWidth="1"/>
    <col min="129" max="130" width="12.85546875" customWidth="1"/>
    <col min="131" max="131" width="14.28515625" customWidth="1"/>
    <col min="132" max="132" width="13.140625" customWidth="1"/>
    <col min="133" max="133" width="11" customWidth="1"/>
    <col min="134" max="134" width="15.85546875" customWidth="1"/>
    <col min="135" max="135" width="7.7109375" customWidth="1"/>
    <col min="136" max="136" width="55" customWidth="1"/>
    <col min="137" max="137" width="19" customWidth="1"/>
    <col min="138" max="138" width="29.5703125" style="25" customWidth="1"/>
    <col min="139" max="139" width="13.140625" style="25" customWidth="1"/>
    <col min="140" max="140" width="41.5703125" style="25" customWidth="1"/>
    <col min="141" max="141" width="12.42578125" style="25" customWidth="1"/>
    <col min="142" max="142" width="14.28515625" customWidth="1"/>
    <col min="143" max="143" width="12.140625" customWidth="1"/>
    <col min="144" max="144" width="18.7109375" customWidth="1"/>
    <col min="145" max="145" width="16.42578125" customWidth="1"/>
    <col min="146" max="146" width="17.5703125" customWidth="1"/>
    <col min="149" max="149" width="14.140625" customWidth="1"/>
    <col min="150" max="150" width="23.140625" customWidth="1"/>
    <col min="151" max="151" width="15.140625" style="25" customWidth="1"/>
    <col min="152" max="152" width="27.42578125" customWidth="1"/>
    <col min="153" max="153" width="27.42578125" style="25" customWidth="1"/>
    <col min="154" max="154" width="11.5703125" style="25" customWidth="1"/>
    <col min="155" max="156" width="27.42578125" style="25" customWidth="1"/>
    <col min="157" max="157" width="12.5703125" customWidth="1"/>
    <col min="158" max="158" width="13.85546875" customWidth="1"/>
    <col min="159" max="159" width="13.5703125" customWidth="1"/>
    <col min="160" max="160" width="17.28515625" bestFit="1" customWidth="1"/>
    <col min="161" max="161" width="14" customWidth="1"/>
    <col min="162" max="162" width="16.7109375" style="59" bestFit="1" customWidth="1"/>
    <col min="163" max="163" width="14.7109375" style="26" customWidth="1"/>
    <col min="164" max="164" width="19.140625" style="59" customWidth="1"/>
    <col min="165" max="165" width="20.42578125" style="26" customWidth="1"/>
    <col min="166" max="166" width="22.42578125" style="59" customWidth="1"/>
    <col min="167" max="167" width="18.5703125" style="26" customWidth="1"/>
    <col min="168" max="168" width="15.42578125" style="25" customWidth="1"/>
    <col min="169" max="169" width="19.85546875" style="59" customWidth="1"/>
    <col min="170" max="170" width="18" style="26" customWidth="1"/>
    <col min="171" max="171" width="15.7109375" style="263" customWidth="1"/>
    <col min="172" max="172" width="20.140625" customWidth="1"/>
    <col min="173" max="173" width="16.42578125" bestFit="1" customWidth="1"/>
    <col min="174" max="174" width="14.85546875" style="73" bestFit="1" customWidth="1"/>
    <col min="175" max="175" width="12.7109375" style="26" bestFit="1" customWidth="1"/>
    <col min="176" max="177" width="12.85546875" style="72" customWidth="1"/>
    <col min="178" max="178" width="13.5703125" style="74" customWidth="1"/>
    <col min="179" max="179" width="15.5703125" customWidth="1"/>
    <col min="180" max="180" width="16.5703125" style="26" customWidth="1"/>
    <col min="181" max="181" width="14.42578125" style="25" customWidth="1"/>
    <col min="182" max="182" width="16.7109375" style="74" customWidth="1"/>
    <col min="183" max="183" width="15.7109375" style="74" customWidth="1"/>
    <col min="184" max="184" width="14.28515625" customWidth="1"/>
    <col min="185" max="185" width="13.5703125" style="26" bestFit="1" customWidth="1"/>
    <col min="186" max="186" width="14.140625" style="25" customWidth="1"/>
    <col min="187" max="187" width="13.5703125" customWidth="1"/>
    <col min="188" max="188" width="13.7109375" style="62" customWidth="1"/>
    <col min="189" max="189" width="13.28515625" customWidth="1"/>
    <col min="190" max="190" width="12.85546875" customWidth="1"/>
    <col min="191" max="191" width="16" customWidth="1"/>
    <col min="192" max="192" width="13.140625" style="19" customWidth="1"/>
    <col min="193" max="193" width="13" style="62" customWidth="1"/>
    <col min="194" max="194" width="9.140625" style="25"/>
    <col min="195" max="195" width="15.140625" customWidth="1"/>
    <col min="196" max="196" width="14.7109375" customWidth="1"/>
    <col min="197" max="197" width="16.140625" customWidth="1"/>
    <col min="198" max="198" width="13.140625" customWidth="1"/>
    <col min="199" max="199" width="14.5703125" customWidth="1"/>
    <col min="200" max="200" width="9.140625" customWidth="1"/>
    <col min="201" max="201" width="17.140625" customWidth="1"/>
    <col min="202" max="202" width="15.42578125" customWidth="1"/>
    <col min="203" max="203" width="11.5703125" customWidth="1"/>
    <col min="204" max="204" width="14.7109375" customWidth="1"/>
    <col min="206" max="206" width="10.7109375" bestFit="1" customWidth="1"/>
    <col min="212" max="212" width="17.28515625" bestFit="1" customWidth="1"/>
    <col min="213" max="214" width="11.7109375" bestFit="1" customWidth="1"/>
    <col min="217" max="217" width="11" bestFit="1" customWidth="1"/>
    <col min="219" max="219" width="18.28515625" style="164" bestFit="1" customWidth="1"/>
    <col min="220" max="220" width="19.5703125" bestFit="1" customWidth="1"/>
    <col min="221" max="221" width="15.5703125" customWidth="1"/>
    <col min="222" max="222" width="15" customWidth="1"/>
    <col min="223" max="223" width="12.7109375" customWidth="1"/>
    <col min="224" max="224" width="12.85546875" customWidth="1"/>
    <col min="230" max="230" width="16.28515625" customWidth="1"/>
    <col min="234" max="234" width="156.7109375" bestFit="1" customWidth="1"/>
  </cols>
  <sheetData>
    <row r="1" spans="1:230" ht="45.75" thickBot="1" x14ac:dyDescent="0.3">
      <c r="A1" s="2" t="s">
        <v>156</v>
      </c>
      <c r="B1" s="3" t="s">
        <v>157</v>
      </c>
      <c r="C1" s="4" t="s">
        <v>158</v>
      </c>
      <c r="D1" s="5" t="s">
        <v>159</v>
      </c>
      <c r="E1" s="6" t="s">
        <v>160</v>
      </c>
      <c r="F1" s="7" t="s">
        <v>161</v>
      </c>
      <c r="G1" s="8" t="s">
        <v>162</v>
      </c>
      <c r="J1" s="43" t="s">
        <v>504</v>
      </c>
      <c r="L1" s="11" t="s">
        <v>542</v>
      </c>
      <c r="M1" s="19"/>
      <c r="N1" s="11"/>
      <c r="V1" t="s">
        <v>3317</v>
      </c>
      <c r="X1" s="25"/>
      <c r="Y1" t="s">
        <v>1129</v>
      </c>
      <c r="Z1" s="25" t="s">
        <v>1067</v>
      </c>
      <c r="AA1" s="25" t="s">
        <v>1066</v>
      </c>
      <c r="AB1" t="s">
        <v>1070</v>
      </c>
      <c r="AC1" t="s">
        <v>1071</v>
      </c>
      <c r="AF1" s="25"/>
      <c r="AH1"/>
      <c r="AI1" s="103"/>
      <c r="AJ1" s="104"/>
      <c r="AK1" s="102"/>
      <c r="AL1" s="105"/>
      <c r="AM1" s="106"/>
      <c r="AN1" s="106"/>
      <c r="AP1"/>
      <c r="AQ1" s="120" t="s">
        <v>1462</v>
      </c>
      <c r="AR1" s="121" t="s">
        <v>1204</v>
      </c>
      <c r="AT1" s="25"/>
      <c r="AU1" s="39"/>
      <c r="AW1"/>
      <c r="AY1" s="11"/>
      <c r="BA1"/>
      <c r="BC1" s="126"/>
      <c r="BD1"/>
      <c r="BE1" s="25"/>
      <c r="BF1"/>
      <c r="BH1" s="126"/>
      <c r="BI1"/>
      <c r="BJ1" s="25"/>
      <c r="BK1"/>
      <c r="BO1" s="25"/>
      <c r="BP1" s="11"/>
      <c r="BQ1" s="25"/>
      <c r="BR1" s="95"/>
      <c r="BS1" s="25"/>
      <c r="BU1" s="95"/>
      <c r="BV1" s="25"/>
      <c r="BW1"/>
      <c r="BY1" s="25"/>
      <c r="BZ1" s="93" t="s">
        <v>3019</v>
      </c>
      <c r="CA1"/>
      <c r="CB1" s="120" t="s">
        <v>1203</v>
      </c>
      <c r="CC1" s="121" t="s">
        <v>1204</v>
      </c>
      <c r="CD1" s="122" t="s">
        <v>1208</v>
      </c>
      <c r="CE1" s="123" t="s">
        <v>1205</v>
      </c>
      <c r="CF1" s="124" t="s">
        <v>1207</v>
      </c>
      <c r="CG1" s="25"/>
      <c r="CH1" s="25"/>
      <c r="CI1" s="39"/>
      <c r="CK1"/>
      <c r="CL1" s="25"/>
      <c r="CN1"/>
      <c r="DM1" s="25"/>
      <c r="DN1" s="25"/>
      <c r="DP1"/>
      <c r="DU1" s="25"/>
      <c r="DW1"/>
      <c r="EE1" s="25"/>
      <c r="EF1" s="25" t="s">
        <v>2074</v>
      </c>
      <c r="EG1" s="25"/>
      <c r="EI1" t="s">
        <v>2421</v>
      </c>
      <c r="EJ1"/>
      <c r="EK1"/>
      <c r="EW1" s="25" t="s">
        <v>2423</v>
      </c>
      <c r="FE1" s="59"/>
      <c r="FF1" s="26"/>
      <c r="FG1" s="59"/>
      <c r="FH1" s="26"/>
      <c r="FI1" s="25"/>
      <c r="FL1" s="26"/>
      <c r="FM1"/>
      <c r="FN1"/>
      <c r="FO1" s="261"/>
      <c r="FP1" s="26"/>
      <c r="FQ1" s="72"/>
      <c r="FR1" s="72"/>
      <c r="FS1" s="74"/>
      <c r="FT1"/>
      <c r="FU1" s="26"/>
      <c r="FV1" s="25"/>
      <c r="FW1" s="74"/>
      <c r="FX1" s="74"/>
      <c r="FY1"/>
      <c r="FZ1" s="26"/>
      <c r="GA1" s="25"/>
      <c r="GC1" s="62"/>
      <c r="GD1"/>
      <c r="GF1"/>
      <c r="GG1" s="19"/>
      <c r="GH1" s="62"/>
      <c r="GI1" s="25"/>
      <c r="GJ1" t="s">
        <v>862</v>
      </c>
      <c r="GK1"/>
      <c r="GL1"/>
      <c r="GS1" t="s">
        <v>1137</v>
      </c>
    </row>
    <row r="2" spans="1:230" ht="15.75" thickBot="1" x14ac:dyDescent="0.3">
      <c r="A2" s="9">
        <f>betaNZ</f>
        <v>0.23298763387202967</v>
      </c>
      <c r="B2" s="35">
        <f>deltaNZ</f>
        <v>1.5946007988690015E-4</v>
      </c>
      <c r="C2" s="9">
        <f>PoNZ</f>
        <v>0.6389765835282526</v>
      </c>
      <c r="D2" s="9">
        <f>beta/delta</f>
        <v>1461.1032054999609</v>
      </c>
      <c r="E2" s="9">
        <f ca="1">msqNZ</f>
        <v>20.717935572032008</v>
      </c>
      <c r="F2" s="38">
        <f>(beta/Po)-delta</f>
        <v>0.36446678738842592</v>
      </c>
      <c r="G2" s="10">
        <f>delta*1000</f>
        <v>0.15946007988690014</v>
      </c>
      <c r="J2">
        <v>1</v>
      </c>
      <c r="L2" s="348">
        <v>10000000</v>
      </c>
      <c r="M2" s="184" t="s">
        <v>2133</v>
      </c>
      <c r="N2" s="181">
        <f ca="1">OFFSET(TaiwanCases,ROWS(TaiwanCases)-1,0,1,1)</f>
        <v>181.45708527332098</v>
      </c>
      <c r="O2" s="167"/>
      <c r="P2" s="178" t="s">
        <v>153</v>
      </c>
      <c r="Q2" s="181">
        <f ca="1">OFFSET(NSWCases,ROWS(NSWCases)-1,0,1,1)</f>
        <v>3756.1881188118809</v>
      </c>
      <c r="R2" s="167"/>
      <c r="S2" s="184" t="s">
        <v>208</v>
      </c>
      <c r="T2" s="181">
        <f ca="1">OFFSET(USCases,ROWS(USCases)-1,0,1,1)</f>
        <v>34399.864949414077</v>
      </c>
      <c r="U2" s="167"/>
      <c r="V2" s="185" t="s">
        <v>2508</v>
      </c>
      <c r="W2" s="280">
        <f ca="1">OFFSET(TST!Victoria100Cases,ROWS(TST!Victoria100Cases)-1,0,1,1)</f>
        <v>2087.7960476693315</v>
      </c>
      <c r="X2" s="167"/>
      <c r="Y2">
        <f>IF(ISBLANK(GenState),MATCH(GenName,tblPopulation[Country],0),MATCH(GenName,tblPopulation[State],0))</f>
        <v>14</v>
      </c>
      <c r="Z2" s="25" t="s">
        <v>659</v>
      </c>
      <c r="AB2" s="25" t="str">
        <f>IF(ISBLANK(GenState),GenCountry,GenState)</f>
        <v>Ireland</v>
      </c>
      <c r="AC2" s="26">
        <v>43889</v>
      </c>
      <c r="AF2" s="25"/>
      <c r="AH2">
        <f ca="1">COUNT(tblData[Au LogiP(t)])</f>
        <v>110</v>
      </c>
      <c r="AI2" s="107"/>
      <c r="AJ2" s="108"/>
      <c r="AK2" s="107"/>
      <c r="AL2" s="107"/>
      <c r="AM2" s="107"/>
      <c r="AN2" s="107"/>
      <c r="AO2" s="11">
        <f ca="1">COUNTA(myData!NSWCases)</f>
        <v>99</v>
      </c>
      <c r="AP2"/>
      <c r="AQ2" s="116">
        <f t="array" aca="1" ref="AQ2:AR6" ca="1">LOGEST(myData!NSWCases,myData!NSWDayNo,TRUE,TRUE)</f>
        <v>1.100955632225759</v>
      </c>
      <c r="AR2" s="115">
        <f ca="1"/>
        <v>1.1450247607758586</v>
      </c>
      <c r="AT2" s="25"/>
      <c r="AU2" s="39"/>
      <c r="AW2"/>
      <c r="AY2" s="11"/>
      <c r="BA2"/>
      <c r="BC2" s="126"/>
      <c r="BD2"/>
      <c r="BE2" s="25"/>
      <c r="BF2"/>
      <c r="BH2" s="126"/>
      <c r="BI2"/>
      <c r="BJ2" s="25"/>
      <c r="BK2"/>
      <c r="BO2" s="25"/>
      <c r="BP2" s="11"/>
      <c r="BQ2" s="25"/>
      <c r="BR2" s="95"/>
      <c r="BS2" s="25"/>
      <c r="BU2" s="95"/>
      <c r="BV2" s="25"/>
      <c r="BW2"/>
      <c r="BY2" s="25"/>
      <c r="BZ2" s="11">
        <f ca="1">COUNTA(myData!TestsCases)</f>
        <v>58</v>
      </c>
      <c r="CA2" s="19"/>
      <c r="CB2" s="116">
        <f t="array" aca="1" ref="CB2:CC6" ca="1">LOGEST(myData!TestsCases,myData!TestsDayNo,TRUE,TRUE)</f>
        <v>1.0600114347165392</v>
      </c>
      <c r="CC2" s="115">
        <f ca="1"/>
        <v>13256.874958025677</v>
      </c>
      <c r="CD2" s="109">
        <v>1</v>
      </c>
      <c r="CE2" s="113">
        <f ca="1">TestsLogestB*(TestsLogestM^CD2)</f>
        <v>14052.439044114559</v>
      </c>
      <c r="CF2" s="110">
        <f ca="1">TestsLogestB*EXP(LN(TestsLogestM*CD2))</f>
        <v>14052.439044114559</v>
      </c>
      <c r="CG2" s="25"/>
      <c r="CH2" s="130"/>
      <c r="CI2" s="39"/>
      <c r="CK2"/>
      <c r="CL2" s="25"/>
      <c r="CN2"/>
      <c r="DM2" s="25"/>
      <c r="DN2" s="25"/>
      <c r="DP2"/>
      <c r="DU2" s="25"/>
      <c r="DW2"/>
      <c r="DZ2" s="128" t="s">
        <v>1243</v>
      </c>
      <c r="EE2" s="25"/>
      <c r="EF2" s="25"/>
      <c r="EG2" s="25"/>
      <c r="EI2"/>
      <c r="EJ2"/>
      <c r="EK2"/>
      <c r="FE2" s="59"/>
      <c r="FF2" s="26"/>
      <c r="FG2" s="59"/>
      <c r="FH2" s="26"/>
      <c r="FI2" s="25"/>
      <c r="FL2" s="26"/>
      <c r="FM2"/>
      <c r="FN2"/>
      <c r="FO2" s="261"/>
      <c r="FP2" s="26"/>
      <c r="FQ2" s="72"/>
      <c r="FR2" s="72"/>
      <c r="FS2" s="74"/>
      <c r="FT2"/>
      <c r="FU2" s="26"/>
      <c r="FV2" s="25"/>
      <c r="FW2" s="74"/>
      <c r="FX2" s="74"/>
      <c r="FY2"/>
      <c r="FZ2" s="26"/>
      <c r="GA2" s="25"/>
      <c r="GC2" s="62"/>
      <c r="GD2"/>
      <c r="GF2"/>
      <c r="GG2" s="19"/>
      <c r="GH2" s="62"/>
      <c r="GI2" s="25"/>
      <c r="GJ2">
        <f t="array" aca="1" ref="GJ2:GK6" ca="1">LOGEST(NSWCases,NSWDates,TRUE,TRUE)</f>
        <v>1.100955632225759</v>
      </c>
      <c r="GK2" s="39">
        <f ca="1"/>
        <v>0</v>
      </c>
      <c r="GL2"/>
      <c r="GM2">
        <f t="array" aca="1" ref="GM2:GN6" ca="1">LINEST(LOG(NSWCases),NSWDates,TRUE,TRUE)</f>
        <v>4.1769817547792215E-2</v>
      </c>
      <c r="GN2">
        <f ca="1"/>
        <v>-1831.7565336801779</v>
      </c>
      <c r="GP2">
        <f ca="1">EXP(GN2/10)</f>
        <v>2.8043003310260199E-80</v>
      </c>
      <c r="GQ2">
        <f ca="1">LN(LogEstMNSW)</f>
        <v>-3.1755812685028895</v>
      </c>
      <c r="GR2">
        <f ca="1">LN(ABS(LogestBNSW))</f>
        <v>7.5130306399397728</v>
      </c>
      <c r="GS2">
        <f t="array" aca="1" ref="GS2:GT6" ca="1">LOGEST(NSWCases,NSWDates,TRUE,TRUE)</f>
        <v>1.100955632225759</v>
      </c>
      <c r="GT2">
        <f ca="1"/>
        <v>0</v>
      </c>
    </row>
    <row r="3" spans="1:230" ht="18.75" x14ac:dyDescent="0.3">
      <c r="B3" s="39">
        <v>9.9999999999999998E-13</v>
      </c>
      <c r="D3" t="str">
        <f>Cengnotation(D2)</f>
        <v>1.46 k</v>
      </c>
      <c r="K3" s="41">
        <f>NSWpop/E9</f>
        <v>10000000</v>
      </c>
      <c r="L3" s="11" t="str">
        <f>"Cases per " &amp; Cengnotation(L2,2)  &amp; " population"</f>
        <v>Cases per 10 M population</v>
      </c>
      <c r="M3" s="179" t="s">
        <v>1908</v>
      </c>
      <c r="N3" s="169">
        <f ca="1">INDEX(myData!Taiwan100Dates,ROWS(Taiwan100Cases))</f>
        <v>38</v>
      </c>
      <c r="O3" s="168"/>
      <c r="P3" s="179" t="s">
        <v>1908</v>
      </c>
      <c r="Q3" s="169">
        <f ca="1">INDEX(myData!NSW100Dates,ROWS(NSW100Cases))</f>
        <v>52</v>
      </c>
      <c r="R3" s="168"/>
      <c r="S3" s="185"/>
      <c r="T3" s="169">
        <f ca="1">INDEX(myData!US100Dates,ROWS(US100Cases))</f>
        <v>49</v>
      </c>
      <c r="U3" s="168"/>
      <c r="V3" s="185" t="s">
        <v>1908</v>
      </c>
      <c r="W3" s="168">
        <f ca="1">INDEX(TST!Victoria100Days,ROWS(TST!Victoria100Cases))</f>
        <v>48</v>
      </c>
      <c r="X3" s="168"/>
      <c r="Y3" s="25"/>
      <c r="AB3" s="25"/>
      <c r="AF3" s="25"/>
      <c r="AH3"/>
      <c r="AI3" s="102"/>
      <c r="AJ3" s="102"/>
      <c r="AK3" s="102"/>
      <c r="AL3" s="102"/>
      <c r="AM3" s="102"/>
      <c r="AN3" s="102"/>
      <c r="AO3" s="11">
        <f ca="1">ROWS(myData!NSWDayNo)</f>
        <v>99</v>
      </c>
      <c r="AP3"/>
      <c r="AQ3" s="116">
        <f ca="1"/>
        <v>3.2954120173208658E-3</v>
      </c>
      <c r="AR3" s="115">
        <f ca="1"/>
        <v>0.18978445371950486</v>
      </c>
      <c r="AT3" s="25"/>
      <c r="AU3" s="39"/>
      <c r="AW3"/>
      <c r="AY3" s="11"/>
      <c r="BA3"/>
      <c r="BC3" s="126"/>
      <c r="BD3"/>
      <c r="BE3" s="25"/>
      <c r="BF3"/>
      <c r="BH3" s="126"/>
      <c r="BI3"/>
      <c r="BJ3" s="25"/>
      <c r="BK3"/>
      <c r="BO3" s="25"/>
      <c r="BP3" s="11"/>
      <c r="BQ3" s="25"/>
      <c r="BR3" s="95"/>
      <c r="BS3" s="25"/>
      <c r="BU3" s="95"/>
      <c r="BV3" s="25"/>
      <c r="BW3">
        <f>MATCH(solvMsgs!MinCases,tblData[Generic Cases Per Capita],1)</f>
        <v>51</v>
      </c>
      <c r="BY3" s="25"/>
      <c r="BZ3" s="11">
        <f ca="1">ROWS(myData!TestsDayNo)</f>
        <v>58</v>
      </c>
      <c r="CA3"/>
      <c r="CB3" s="116">
        <f ca="1"/>
        <v>3.2101862881620501E-3</v>
      </c>
      <c r="CC3" s="115">
        <f ca="1"/>
        <v>0.10888637680358153</v>
      </c>
      <c r="CD3" s="109">
        <v>5</v>
      </c>
      <c r="CE3" s="113">
        <f ca="1">TestsLogestB*(TestsLogestM^CD3)</f>
        <v>17741.646054140689</v>
      </c>
      <c r="CF3" s="110">
        <f ca="1">TestsLogestB*EXP(LN(TestsLogestM*CD3))</f>
        <v>70262.195220572801</v>
      </c>
      <c r="CG3" s="25"/>
      <c r="CH3" s="25"/>
      <c r="CI3" s="39"/>
      <c r="CK3"/>
      <c r="CL3" s="25"/>
      <c r="CN3"/>
      <c r="CV3" s="44">
        <f>betaPodeltaTaiwan-betaPodeltaGeneric</f>
        <v>3.4571383134168276</v>
      </c>
      <c r="DM3" s="25"/>
      <c r="DN3" s="25"/>
      <c r="DP3"/>
      <c r="DU3" s="25"/>
      <c r="DV3" s="25"/>
      <c r="DW3"/>
      <c r="EE3" s="25"/>
      <c r="EF3" s="25"/>
      <c r="EG3" s="25"/>
      <c r="EI3" s="17" t="s">
        <v>171</v>
      </c>
      <c r="EJ3"/>
      <c r="EK3"/>
      <c r="ER3" s="30" t="s">
        <v>2077</v>
      </c>
      <c r="FE3" s="59"/>
      <c r="FF3" s="26"/>
      <c r="FG3" s="59"/>
      <c r="FH3" s="26"/>
      <c r="FI3" s="25"/>
      <c r="FL3" s="26"/>
      <c r="FM3"/>
      <c r="FN3"/>
      <c r="FO3" s="261"/>
      <c r="FP3" s="26"/>
      <c r="FQ3" s="72"/>
      <c r="FR3" s="72"/>
      <c r="FS3" s="74"/>
      <c r="FT3"/>
      <c r="FU3" s="26"/>
      <c r="FV3" s="25"/>
      <c r="FW3" s="74"/>
      <c r="FX3" s="74"/>
      <c r="FY3"/>
      <c r="FZ3" s="26"/>
      <c r="GA3" s="25"/>
      <c r="GC3" s="62"/>
      <c r="GD3"/>
      <c r="GF3"/>
      <c r="GG3" s="19"/>
      <c r="GH3" s="62"/>
      <c r="GI3" s="25"/>
      <c r="GJ3">
        <f ca="1"/>
        <v>3.2954120173208658E-3</v>
      </c>
      <c r="GK3">
        <f ca="1"/>
        <v>144.68509526906462</v>
      </c>
      <c r="GL3"/>
      <c r="GM3">
        <f ca="1"/>
        <v>1.4311792547201162E-3</v>
      </c>
      <c r="GN3">
        <f ca="1"/>
        <v>62.83593848900108</v>
      </c>
      <c r="GS3">
        <f ca="1"/>
        <v>3.2954120173208658E-3</v>
      </c>
      <c r="GT3">
        <f ca="1"/>
        <v>144.68509526906462</v>
      </c>
    </row>
    <row r="4" spans="1:230" ht="15.75" thickBot="1" x14ac:dyDescent="0.3">
      <c r="A4" s="28" t="s">
        <v>212</v>
      </c>
      <c r="M4" s="185" t="s">
        <v>677</v>
      </c>
      <c r="N4" s="182">
        <f ca="1">INDEX(SKorea100Cases,N$3)</f>
        <v>1903.8910505836577</v>
      </c>
      <c r="O4" s="170">
        <f ca="1">N$2/N4</f>
        <v>9.5308544686784166E-2</v>
      </c>
      <c r="P4" s="179" t="s">
        <v>677</v>
      </c>
      <c r="Q4" s="182">
        <f ca="1">INDEX(SKorea100Cases,Q$3)</f>
        <v>2055.252918287938</v>
      </c>
      <c r="R4" s="170">
        <f ca="1">$Q$2/Q4</f>
        <v>1.827603836680525</v>
      </c>
      <c r="S4" s="185" t="s">
        <v>677</v>
      </c>
      <c r="T4" s="182">
        <f ca="1">INDEX(SKorea100Cases,T$3)</f>
        <v>2038.910505836576</v>
      </c>
      <c r="U4" s="174">
        <f ca="1">T$2/T4</f>
        <v>16.871689488548505</v>
      </c>
      <c r="V4" s="185" t="s">
        <v>677</v>
      </c>
      <c r="W4" s="174">
        <f ca="1">INDEX(SKorea100Cases,W$3)</f>
        <v>2033.0739299610896</v>
      </c>
      <c r="X4" s="170">
        <f ca="1">$W$2/W4</f>
        <v>1.0269159507196521</v>
      </c>
      <c r="Y4">
        <f ca="1">MATCH(myData!StartDt2Singapore,tblData[Dates],0)</f>
        <v>2</v>
      </c>
      <c r="AA4" s="25">
        <f>COUNTIF(tblData[Generic],"&gt;0")+MATCH(MIN(tblData[Generic]),tblData[Generic],0)-MATCH(myData!StartDt2Generic,tblData[Dates],0)</f>
        <v>63</v>
      </c>
      <c r="AF4" s="25"/>
      <c r="AH4" s="30" t="s">
        <v>3013</v>
      </c>
      <c r="AI4" s="99"/>
      <c r="AJ4" s="99"/>
      <c r="AK4" s="99"/>
      <c r="AL4" s="99"/>
      <c r="AM4" s="99"/>
      <c r="AN4" s="99"/>
      <c r="AO4" s="11" t="str">
        <f ca="1">ADDRESS(ROW(myData!TestsDayNo),COLUMN(myData!TestsDayNo))&amp;":"&amp;ADDRESS(ROW(myData!TestsDayNo)+ROWS(myData!TestsDayNo)-1,COLUMN(myData!TestsDayNo)+COLUMNS(myData!TestsDayNo)-1)</f>
        <v>$CJ$55:$CJ$112</v>
      </c>
      <c r="AP4"/>
      <c r="AQ4" s="117">
        <f ca="1"/>
        <v>0.89776548367534559</v>
      </c>
      <c r="AR4" s="115">
        <f ca="1"/>
        <v>0.9370218825734753</v>
      </c>
      <c r="AT4" s="25"/>
      <c r="AU4" s="39"/>
      <c r="AW4"/>
      <c r="AY4" s="11"/>
      <c r="BA4"/>
      <c r="BC4" s="126"/>
      <c r="BD4"/>
      <c r="BE4" s="25"/>
      <c r="BF4"/>
      <c r="BH4" s="126"/>
      <c r="BI4"/>
      <c r="BJ4" s="25"/>
      <c r="BK4"/>
      <c r="BO4" s="25"/>
      <c r="BP4" s="11"/>
      <c r="BQ4" s="25"/>
      <c r="BR4" s="95"/>
      <c r="BS4" s="25"/>
      <c r="BU4" s="95"/>
      <c r="BV4" s="25"/>
      <c r="BW4"/>
      <c r="BX4">
        <f>COUNT(tblData[Generic],0)-MATCH(0,tblData[Generic])</f>
        <v>28</v>
      </c>
      <c r="BY4" s="25"/>
      <c r="BZ4" s="11" t="str">
        <f ca="1">ADDRESS(ROW(myData!TestsDayNo),COLUMN(myData!TestsDayNo))&amp;":"&amp;ADDRESS(ROW(myData!TestsDayNo)+ROWS(myData!TestsDayNo)-1,COLUMN(myData!TestsDayNo)+COLUMNS(myData!TestsDayNo)-1)</f>
        <v>$CJ$55:$CJ$112</v>
      </c>
      <c r="CA4"/>
      <c r="CB4" s="117">
        <f ca="1"/>
        <v>0.85476803251253575</v>
      </c>
      <c r="CC4" s="115">
        <f ca="1"/>
        <v>0.40927672045751068</v>
      </c>
      <c r="CD4" s="111">
        <v>10</v>
      </c>
      <c r="CE4" s="114">
        <f ca="1">TestsLogestB*(TestsLogestM^CD4)</f>
        <v>23743.605163888744</v>
      </c>
      <c r="CF4" s="112">
        <f ca="1">TestsLogestB*EXP(LN(TestsLogestM*CD4))</f>
        <v>140524.39044114563</v>
      </c>
      <c r="CG4" s="25"/>
      <c r="CH4" s="25"/>
      <c r="CI4" s="39"/>
      <c r="CK4"/>
      <c r="CL4" s="25"/>
      <c r="CN4"/>
      <c r="CV4" s="19">
        <f>betaGeneric</f>
        <v>0.12928194698289414</v>
      </c>
      <c r="DM4" s="25"/>
      <c r="DN4" s="25"/>
      <c r="DP4"/>
      <c r="DU4" s="25"/>
      <c r="DW4"/>
      <c r="EE4" s="25"/>
      <c r="EF4" s="25"/>
      <c r="EG4" s="25"/>
      <c r="EJ4"/>
      <c r="EK4"/>
      <c r="EM4">
        <f>MIN(tblData[China Cases Per Capita])</f>
        <v>3.8073434840556684</v>
      </c>
      <c r="EO4" s="26">
        <f ca="1">$ED11</f>
        <v>43954</v>
      </c>
      <c r="ER4" s="30" t="s">
        <v>2075</v>
      </c>
      <c r="FE4" s="59"/>
      <c r="FF4" s="26"/>
      <c r="FG4" s="11"/>
      <c r="FH4" s="26"/>
      <c r="FI4" s="25"/>
      <c r="FL4" s="26"/>
      <c r="FM4"/>
      <c r="FN4"/>
      <c r="FO4" s="261"/>
      <c r="FP4" s="26"/>
      <c r="FQ4" s="72"/>
      <c r="FR4" s="72"/>
      <c r="FS4" s="74"/>
      <c r="FT4"/>
      <c r="FU4" s="26"/>
      <c r="FV4" s="25"/>
      <c r="FW4" s="74"/>
      <c r="FX4" s="74"/>
      <c r="FY4"/>
      <c r="FZ4" s="26"/>
      <c r="GA4" s="25"/>
      <c r="GC4" s="62"/>
      <c r="GD4"/>
      <c r="GF4"/>
      <c r="GG4" s="19"/>
      <c r="GH4" s="62"/>
      <c r="GI4" s="25"/>
      <c r="GJ4">
        <f ca="1"/>
        <v>0.89776548367534559</v>
      </c>
      <c r="GK4">
        <f ca="1"/>
        <v>0.9370218825734753</v>
      </c>
      <c r="GL4"/>
      <c r="GM4">
        <f ca="1"/>
        <v>0.89776548367534559</v>
      </c>
      <c r="GN4">
        <f ca="1"/>
        <v>0.40694343302425734</v>
      </c>
      <c r="GS4">
        <f ca="1"/>
        <v>0.89776548367534559</v>
      </c>
      <c r="GT4">
        <f ca="1"/>
        <v>0.9370218825734753</v>
      </c>
    </row>
    <row r="5" spans="1:230" x14ac:dyDescent="0.25">
      <c r="C5" t="s">
        <v>2004</v>
      </c>
      <c r="D5">
        <f>MAX(tblData[Australian Capital Territory])</f>
        <v>106</v>
      </c>
      <c r="E5" s="11">
        <f>MAX(tblData[New South Wales])</f>
        <v>3035</v>
      </c>
      <c r="F5">
        <f>MAX(tblData[Northern Territory])</f>
        <v>28</v>
      </c>
      <c r="G5" s="11">
        <f>MAX(tblData[Queensland])</f>
        <v>1035</v>
      </c>
      <c r="H5" s="11">
        <f>MAX(tblData[South Australia])</f>
        <v>438</v>
      </c>
      <c r="I5" s="11">
        <f>MAX(tblData[Tasmania])</f>
        <v>221</v>
      </c>
      <c r="J5" s="11">
        <f>MAX(tblData[Victoria])</f>
        <v>1384</v>
      </c>
      <c r="K5" s="11">
        <f>MAX(tblData[Western Australia])</f>
        <v>551</v>
      </c>
      <c r="L5" s="11" t="str">
        <f ca="1">OFFSET(NSWCases,ROWS(NSWCases),0,1,1)</f>
        <v/>
      </c>
      <c r="M5" s="185" t="s">
        <v>40</v>
      </c>
      <c r="N5" s="182">
        <f ca="1">INDEX(Singapore100Cases,N$3)</f>
        <v>777.77777777777783</v>
      </c>
      <c r="O5" s="170">
        <f ca="1">N$2/N5</f>
        <v>0.2333019667799841</v>
      </c>
      <c r="P5" s="179" t="s">
        <v>40</v>
      </c>
      <c r="Q5" s="182">
        <f ca="1">INDEX(Singapore100Cases,Q$3)</f>
        <v>2237.6068376068379</v>
      </c>
      <c r="R5" s="177">
        <f ca="1">$Q$2/Q5</f>
        <v>1.6786631394231857</v>
      </c>
      <c r="S5" s="185" t="s">
        <v>40</v>
      </c>
      <c r="T5" s="182">
        <f ca="1">INDEX(Singapore100Cases,T$3)</f>
        <v>1793.1623931623933</v>
      </c>
      <c r="U5" s="174">
        <f ca="1">T$2/T5</f>
        <v>19.183909433181348</v>
      </c>
      <c r="V5" s="186" t="s">
        <v>153</v>
      </c>
      <c r="W5" s="174">
        <f ca="1">INDEX(NSW100Cases,W$3)</f>
        <v>3732.6732673267325</v>
      </c>
      <c r="X5" s="170">
        <f ca="1">$W$2/W5</f>
        <v>0.55932997563555042</v>
      </c>
      <c r="Y5" s="26">
        <f ca="1">myData!StartDt2Singapore</f>
        <v>43853</v>
      </c>
      <c r="AA5" s="25">
        <f>MATCH(MIN(tblData[Generic]),tblData[Generic],0)</f>
        <v>38</v>
      </c>
      <c r="AF5" s="25"/>
      <c r="AH5"/>
      <c r="AN5" s="25"/>
      <c r="AO5" s="11">
        <f ca="1">INDEX(myData!NSWDayNo,8,1)</f>
        <v>8</v>
      </c>
      <c r="AP5"/>
      <c r="AQ5" s="118">
        <f ca="1"/>
        <v>851.79893295497425</v>
      </c>
      <c r="AR5" s="119">
        <f ca="1"/>
        <v>97</v>
      </c>
      <c r="AT5" s="25"/>
      <c r="AU5" s="39"/>
      <c r="AW5"/>
      <c r="AY5" s="11"/>
      <c r="BA5"/>
      <c r="BC5" s="126"/>
      <c r="BD5"/>
      <c r="BE5" s="25"/>
      <c r="BF5"/>
      <c r="BG5">
        <f ca="1">COUNTA(tblData[Dates])-COUNT(tblData[Skorea LogiP(t) Per Capita])</f>
        <v>1</v>
      </c>
      <c r="BH5" s="126"/>
      <c r="BI5"/>
      <c r="BJ5" s="25"/>
      <c r="BK5"/>
      <c r="BO5" s="25"/>
      <c r="BP5" s="11"/>
      <c r="BQ5" s="25"/>
      <c r="BR5" s="95"/>
      <c r="BS5" s="25"/>
      <c r="BU5" s="95"/>
      <c r="BV5" s="25"/>
      <c r="BW5"/>
      <c r="BX5">
        <f>MATCH(0,tblData[Generic])</f>
        <v>38</v>
      </c>
      <c r="BY5" s="25">
        <v>8</v>
      </c>
      <c r="BZ5" s="11">
        <f ca="1">INDEX(myData!TestsDayNo,8,1)</f>
        <v>8</v>
      </c>
      <c r="CA5"/>
      <c r="CB5" s="118">
        <f ca="1"/>
        <v>329.59003894809643</v>
      </c>
      <c r="CC5" s="119">
        <f ca="1"/>
        <v>56</v>
      </c>
      <c r="CF5"/>
      <c r="CG5" s="25"/>
      <c r="CH5" s="25"/>
      <c r="CI5" s="39"/>
      <c r="CJ5" s="26">
        <f>myData!TestsStart</f>
        <v>43895</v>
      </c>
      <c r="CK5"/>
      <c r="CL5" s="25"/>
      <c r="CN5"/>
      <c r="CS5" s="25">
        <f>MAX(tblData[Taiwan])</f>
        <v>432</v>
      </c>
      <c r="DM5" s="25"/>
      <c r="DN5" s="25"/>
      <c r="DP5"/>
      <c r="DU5" s="25"/>
      <c r="DV5">
        <f ca="1">MAX(tblData[Au Cases Per Capita],myData!AuCases,0)</f>
        <v>2679.7823687115597</v>
      </c>
      <c r="DW5"/>
      <c r="EA5" s="26"/>
      <c r="EE5" s="25" t="s">
        <v>2426</v>
      </c>
      <c r="EG5" s="25"/>
      <c r="EI5" s="25" t="s">
        <v>954</v>
      </c>
      <c r="EJ5"/>
      <c r="EK5"/>
      <c r="EO5">
        <v>43940</v>
      </c>
      <c r="FE5" s="59"/>
      <c r="FF5" s="26"/>
      <c r="FG5" s="59"/>
      <c r="FH5" s="26"/>
      <c r="FI5" s="25"/>
      <c r="FL5" s="26"/>
      <c r="FM5"/>
      <c r="FN5"/>
      <c r="FO5" s="262"/>
      <c r="FP5" s="26"/>
      <c r="FQ5" s="72"/>
      <c r="FR5" s="72"/>
      <c r="FS5" s="74"/>
      <c r="FT5"/>
      <c r="FU5" s="26"/>
      <c r="FV5" s="25"/>
      <c r="FW5" s="74"/>
      <c r="FX5" s="74"/>
      <c r="FY5"/>
      <c r="FZ5" s="26"/>
      <c r="GA5" s="25"/>
      <c r="GC5" s="62"/>
      <c r="GD5"/>
      <c r="GF5"/>
      <c r="GG5" s="19"/>
      <c r="GH5" s="62"/>
      <c r="GI5" s="25"/>
      <c r="GJ5">
        <f ca="1"/>
        <v>851.79893295497425</v>
      </c>
      <c r="GK5">
        <f ca="1"/>
        <v>97</v>
      </c>
      <c r="GL5"/>
      <c r="GM5">
        <f ca="1"/>
        <v>851.79893295497391</v>
      </c>
      <c r="GN5">
        <f ca="1"/>
        <v>97</v>
      </c>
      <c r="GS5">
        <f ca="1"/>
        <v>851.79893295497425</v>
      </c>
      <c r="GT5">
        <f ca="1"/>
        <v>97</v>
      </c>
      <c r="HO5">
        <f>NSWKnLclBl</f>
        <v>33</v>
      </c>
    </row>
    <row r="6" spans="1:230" s="25" customFormat="1" ht="15.75" thickBot="1" x14ac:dyDescent="0.3">
      <c r="D6" s="295">
        <f t="shared" ref="D6:K6" si="0">D7/$C$7</f>
        <v>1.223896794458134</v>
      </c>
      <c r="E6" s="295">
        <f t="shared" si="0"/>
        <v>1.8564827312622565</v>
      </c>
      <c r="F6" s="295">
        <f t="shared" si="0"/>
        <v>0.65294775795789683</v>
      </c>
      <c r="G6" s="295">
        <f t="shared" si="0"/>
        <v>1</v>
      </c>
      <c r="H6" s="295">
        <f t="shared" si="0"/>
        <v>1.2962871578581967</v>
      </c>
      <c r="I6" s="295">
        <f t="shared" si="0"/>
        <v>2.1209411772430937</v>
      </c>
      <c r="J6" s="295">
        <f t="shared" si="0"/>
        <v>1.0318858338015584</v>
      </c>
      <c r="K6" s="295">
        <f t="shared" si="0"/>
        <v>1.0518725641556714</v>
      </c>
      <c r="L6" s="11"/>
      <c r="M6" s="186" t="s">
        <v>153</v>
      </c>
      <c r="N6" s="183">
        <f ca="1">INDEX(NSW100Cases,N$3)</f>
        <v>3659.6534653465346</v>
      </c>
      <c r="O6" s="171">
        <f ca="1">N$2/N6</f>
        <v>4.958313320961899E-2</v>
      </c>
      <c r="P6" s="180" t="s">
        <v>2133</v>
      </c>
      <c r="Q6" s="183" t="str">
        <f ca="1">IF(Q$3&lt;COUNT(Taiwan100Cases),INDEX(Taiwan100Cases,Q$3),TEXT(MAX(Taiwan100Cases),"####")&amp;" At Day "&amp;INDEX(Taiwan100Dates,COUNT(Taiwan100Cases)))</f>
        <v>181 At Day 38</v>
      </c>
      <c r="R6" s="177" t="str">
        <f ca="1">IF(Q3&lt;COUNT(Taiwan100Cases),INDEX(Taiwan100Cases,Q$3),"NSW's "&amp;TEXT(INDEX(NSW100Cases,INDEX(Taiwan100Dates,COUNT(Taiwan100Cases))),"####0")&amp;" was "&amp;TEXT(INDEX(NSW100Cases,INDEX(Taiwan100Dates,COUNT(Taiwan100Cases)))/MAX(Taiwan100Cases),"##.#x "))&amp;P6&amp;"'s "&amp;Q6</f>
        <v>NSW's 3660 was 20.2x Taiwan's 181 At Day 38</v>
      </c>
      <c r="S6" s="189" t="s">
        <v>58</v>
      </c>
      <c r="T6" s="183">
        <f ca="1">INDEX(Italy100Cases,T$3)</f>
        <v>27305.116971149873</v>
      </c>
      <c r="U6" s="171">
        <f ca="1">T$2/T6</f>
        <v>1.2598321767220553</v>
      </c>
      <c r="V6" s="185" t="s">
        <v>40</v>
      </c>
      <c r="W6" s="171">
        <f ca="1">INDEX(Singapore100Cases,W$3)</f>
        <v>1709.4017094017095</v>
      </c>
      <c r="X6" s="171">
        <f ca="1">$W$2/W6</f>
        <v>1.2213606878865588</v>
      </c>
      <c r="AB6" s="130"/>
      <c r="AQ6" s="118">
        <f ca="1"/>
        <v>747.88798829725545</v>
      </c>
      <c r="AR6" s="119">
        <f ca="1"/>
        <v>85.166970816889346</v>
      </c>
      <c r="AS6" s="25" t="str">
        <f ca="1">"NSW Exponential Growth: "&amp;CHAR(10)&amp;"y = " &amp; TEXT(NSWLogestB,"##0.#") &amp; " x " &amp; TEXT(NSWLogestM,"#0.###") &amp; "^ [day#]"&amp;", r^2="&amp;TEXT(100*AQ4,"##.#")&amp;"%"&amp;" mse="&amp;TEXT(NSWLogestmsq,"#####")</f>
        <v>NSW Exponential Growth: 
y = 1.1 x 1.101^ [day#], r^2=89.8% mse=3296</v>
      </c>
      <c r="AY6" s="11"/>
      <c r="AZ6" s="11"/>
      <c r="BC6" s="126"/>
      <c r="BG6" s="25">
        <f ca="1">COUNT(tblData[Skorea LogiP(t) Per Capita])</f>
        <v>113</v>
      </c>
      <c r="BH6" s="126"/>
      <c r="BP6" s="11"/>
      <c r="BR6" s="95"/>
      <c r="BU6" s="95"/>
      <c r="BZ6" s="11"/>
      <c r="CB6" s="118">
        <f ca="1"/>
        <v>55.20878166598348</v>
      </c>
      <c r="CC6" s="119">
        <f ca="1"/>
        <v>9.3804162988734987</v>
      </c>
      <c r="CD6" s="25" t="str">
        <f ca="1">"Exponential Growth: "&amp;CHAR(10)&amp;"y = " &amp; TEXT(TestsLogestB,"##0.#") &amp; " x " &amp; TEXT(TestsLogestM,"#0.###") &amp; "^ [day number]"&amp;", r^2="&amp;TEXT(100*CB4,"##.0")&amp;"%"</f>
        <v>Exponential Growth: 
y = 13256.9 x 1.06^ [day number], r^2=85.5%</v>
      </c>
      <c r="CI6" s="39"/>
      <c r="CS6" s="295">
        <f t="shared" ref="CS6" si="1">CS7/$C$7</f>
        <v>8.9684524475216923E-2</v>
      </c>
      <c r="CT6" s="19"/>
      <c r="CV6" s="19"/>
      <c r="CZ6" s="11"/>
      <c r="DA6" s="11"/>
      <c r="DB6" s="20"/>
      <c r="DC6" s="11"/>
      <c r="DD6" s="20"/>
      <c r="DE6" s="95"/>
      <c r="DF6" s="20"/>
      <c r="DG6" s="95"/>
      <c r="DH6" s="11"/>
      <c r="DL6" s="26"/>
      <c r="DV6" s="25">
        <f ca="1">MATCH(MAX(tblData[Au Cases Per Capita]),myData!AuCases,0)-1</f>
        <v>98</v>
      </c>
      <c r="DZ6" s="30" t="s">
        <v>1242</v>
      </c>
      <c r="EE6" s="25" t="s">
        <v>2427</v>
      </c>
      <c r="EF6" s="25" t="str">
        <f>"Days Since " &amp; solvMsgs!MinCases &amp; " cases per 10m population"</f>
        <v>Days Since 100 cases per 10m population</v>
      </c>
      <c r="EI6" s="25" t="str">
        <f ca="1">"COVID 19  " &amp; TEXT(MAX(ED11:ED25),"ddd dd-mmm-yyyy")&amp;IF(PopScaling=0,"",", "&amp;PerPersonLabel)</f>
        <v>COVID 19  Sun 03-May-2020, Cases per 10 M population</v>
      </c>
      <c r="EN6" s="20">
        <f>AuMaxCasespc</f>
        <v>2679.7823687115597</v>
      </c>
      <c r="ER6" s="25">
        <f>MIN(tblData[US Cases Per Capita])</f>
        <v>3.037411069235945E-2</v>
      </c>
      <c r="FE6" s="59"/>
      <c r="FF6" s="26"/>
      <c r="FG6" s="59"/>
      <c r="FH6" s="26"/>
      <c r="FJ6" s="59"/>
      <c r="FK6" s="26"/>
      <c r="FL6" s="26"/>
      <c r="FN6" s="209"/>
      <c r="FO6" s="261"/>
      <c r="FP6" s="26"/>
      <c r="FQ6" s="72"/>
      <c r="FR6" s="72"/>
      <c r="FS6" s="74"/>
      <c r="FU6" s="26"/>
      <c r="FW6" s="74"/>
      <c r="FX6" s="74"/>
      <c r="FZ6" s="26"/>
      <c r="GC6" s="62"/>
      <c r="GG6" s="19"/>
      <c r="GH6" s="62"/>
      <c r="GJ6" s="25">
        <f ca="1"/>
        <v>747.88798829725545</v>
      </c>
      <c r="GK6" s="25">
        <f ca="1"/>
        <v>85.166970816889346</v>
      </c>
      <c r="GM6" s="25">
        <f ca="1"/>
        <v>141.06042264734754</v>
      </c>
      <c r="GN6" s="25">
        <f ca="1"/>
        <v>16.063486895112121</v>
      </c>
      <c r="GS6" s="25">
        <f ca="1"/>
        <v>747.88798829725545</v>
      </c>
      <c r="GT6" s="25">
        <f ca="1"/>
        <v>85.166970816889346</v>
      </c>
      <c r="HK6" s="164"/>
    </row>
    <row r="7" spans="1:230" s="25" customFormat="1" ht="15.75" thickBot="1" x14ac:dyDescent="0.3">
      <c r="B7" s="25" t="s">
        <v>721</v>
      </c>
      <c r="C7" s="11">
        <f>G7</f>
        <v>2023.2820136484545</v>
      </c>
      <c r="D7" s="20">
        <f>MAX(tblData[Australian Capital Territory])/D$9</f>
        <v>2476.2883707891419</v>
      </c>
      <c r="E7" s="20">
        <f>MAX(tblData[New South Wales])/E$9</f>
        <v>3756.1881188118809</v>
      </c>
      <c r="F7" s="20">
        <f>MAX(tblData[Northern Territory])/F$9</f>
        <v>1321.0974545282972</v>
      </c>
      <c r="G7" s="11">
        <f>MAX(tblData[Queensland])/$G$9</f>
        <v>2023.2820136484545</v>
      </c>
      <c r="H7" s="11">
        <f>MAX(tblData[South Australia])/$H$9</f>
        <v>2622.754491017964</v>
      </c>
      <c r="I7" s="11">
        <f>MAX(tblData[Tasmania])/$I$9</f>
        <v>4291.2621359223303</v>
      </c>
      <c r="J7" s="11">
        <f>MAX(tblData[Victoria])/$J$9</f>
        <v>2087.7960476693315</v>
      </c>
      <c r="K7" s="11">
        <f>MAX(tblData[Western Australia])/$K$9</f>
        <v>2128.2348397064502</v>
      </c>
      <c r="L7" s="11"/>
      <c r="M7" s="172" t="str">
        <f ca="1">"At Day "&amp;N3&amp;" after "&amp;TEXT(solvMsgs!MinCases," ##c")&amp;"/10M:  "&amp;M2&amp;"'s "&amp;TEXT(N2,"####0")&amp;" is "&amp;TEXT(O5,"#0.#")&amp;" x "&amp;M5&amp;"'s "&amp;TEXT(N5,"###0")&amp;" and "&amp;TEXT(O4,"#0.0")&amp;" x "&amp;M4&amp;"'s "&amp;TEXT(N4,"###0")&amp;", "&amp;TEXT(O6,"#0.####")&amp;"x "&amp;M6&amp;"'s " &amp;TEXT(N6,"####0")</f>
        <v>At Day 38 after  100c/10M:  Taiwan's 181 is 0.2 x Singapore's 778 and 0.1 x Skorea's 1904, 0.0496x NSW's 3660</v>
      </c>
      <c r="N7" s="187"/>
      <c r="O7" s="188"/>
      <c r="P7" s="175" t="str">
        <f ca="1">"At Day "&amp;Q3&amp;" after" &amp; TEXT(solvMsgs!MinCases," ##c")&amp; "/10M:  "&amp;P2&amp;"'s "&amp;TEXT(Q2,"####0")&amp;" is "&amp;TEXT(R5,"##.#")&amp;" times "&amp;P5&amp;"'s "&amp;TEXT(Q5,"###0")&amp;", "&amp;TEXT(R4,"##.0")&amp;" times, "&amp;P4&amp;"'s, "&amp;TEXT(Q4,"###0")&amp;" and "&amp;R6</f>
        <v>At Day 52 after 100c/10M:  NSW's 3756 is 1.7 times Singapore's 2238, 1.8 times, Skorea's, 2055 and NSW's 3660 was 20.2x Taiwan's 181 At Day 38</v>
      </c>
      <c r="Q7" s="176"/>
      <c r="R7" s="176"/>
      <c r="S7" s="173" t="str">
        <f ca="1">"At Day "&amp;T3&amp;" after " &amp; TEXT(solvMsgs!MinCases," ##c")&amp; "/10M:  "&amp;S2&amp;"'s "&amp;TEXT(T2,"####0")&amp;" is "&amp;TEXT(U6,"##.#")&amp;" x "&amp;S6&amp;"'s "&amp;TEXT(T6,"###0")&amp;" and "&amp;TEXT(U4,"##.0")&amp;" x "&amp;S4&amp;"'s "&amp;TEXT(T4,"###0")&amp;", "&amp;TEXT(U5,"##.0")&amp;" x "&amp;S5&amp;" "&amp;TEXT(T5,"####")</f>
        <v>At Day 49 after  100c/10M:  USA's 34400 is 1.3 x Italy's 27305 and 16.9 x Skorea's 2039, 19.2 x Singapore 1793</v>
      </c>
      <c r="U7" s="19"/>
      <c r="V7" s="172" t="str">
        <f ca="1">"At Day "&amp;W3&amp;" after "&amp;TEXT(solvMsgs!MinCases," ##c")&amp;"/10M:  "&amp;V2&amp;"'s "&amp;TEXT(W2,"####0")&amp;" is "&amp;TEXT(X5,"#0.##")&amp;" x "&amp;V5&amp;"'s "&amp;TEXT(W5,"###0")&amp;" and "&amp;TEXT(X4,"#0.0")&amp;" x "&amp;V4&amp;"'s "&amp;TEXT(W4,"###0")&amp;", "&amp;TEXT(X6,"#0.####")&amp;"x "&amp;V6&amp;"'s " &amp;TEXT(W6,"####0")</f>
        <v>At Day 48 after  100c/10M:  Vic's 2088 is 0.56 x NSW's 3733 and 1.0 x Skorea's 2033, 1.2214x Singapore's 1709</v>
      </c>
      <c r="AA7" s="25">
        <f>MIN(tblData[Generic])</f>
        <v>0</v>
      </c>
      <c r="AC7" s="13"/>
      <c r="AS7" s="25" t="str">
        <f ca="1">"NSW Logistic Growth Limit " &amp; TEXT(DT12,"##0.00E+0") &amp; " mse = " &amp; TEXT( msqNSW,"#####")</f>
        <v>NSW Logistic Growth Limit 2.97E+3 mse = 29</v>
      </c>
      <c r="AY7" s="11"/>
      <c r="AZ7" s="11"/>
      <c r="BC7" s="126"/>
      <c r="BH7" s="126"/>
      <c r="BP7" s="11"/>
      <c r="BR7" s="95"/>
      <c r="BU7" s="95"/>
      <c r="BZ7" s="11"/>
      <c r="CD7" s="25" t="str">
        <f ca="1">"Test Logistic Growth Limit " &amp; TEXT(DT19,"##0.00E+0") &amp; " r^2 = " &amp; TEXT( 100*$DV$18,"#0.0") &amp; "%"</f>
        <v>Test Logistic Growth Limit 172.55E+3 r^2 = 97.4%</v>
      </c>
      <c r="CH7" s="30" t="s">
        <v>1641</v>
      </c>
      <c r="CI7" s="39"/>
      <c r="CK7" s="26"/>
      <c r="CS7" s="19">
        <f>MAX(tblData[Taiwan])/CS$9</f>
        <v>181.45708527332098</v>
      </c>
      <c r="CT7" s="19"/>
      <c r="CV7" s="19"/>
      <c r="CZ7" s="11"/>
      <c r="DA7" s="11"/>
      <c r="DB7" s="20"/>
      <c r="DC7" s="11"/>
      <c r="DD7" s="20"/>
      <c r="DE7" s="95"/>
      <c r="DF7" s="20"/>
      <c r="DG7" s="95"/>
      <c r="DH7" s="11"/>
      <c r="DZ7" s="132" t="s">
        <v>1600</v>
      </c>
      <c r="EE7" s="25" t="s">
        <v>2428</v>
      </c>
      <c r="EF7" s="25" t="str">
        <f>IF(PopScaling=0,"Cases",PerPersonLabel)&amp;" (Log Scale)"</f>
        <v>Cases per 10 M population (Log Scale)</v>
      </c>
      <c r="EI7" s="18" t="str">
        <f ca="1">"Spain, Ireland, US, Italy, UK, Sweden, Taiwan, Japan, Skorea, Singapore, China, NSW and Victoria @ " &amp;CHAR(11) &amp; TEXT(MAX(myData!AuDates),"ddd dd-mmm")</f>
        <v>Spain, Ireland, US, Italy, UK, Sweden, Taiwan, Japan, Skorea, Singapore, China, NSW and Victoria @ _x000B_Sun 03-May</v>
      </c>
      <c r="EN7" s="20">
        <f>NSWMaxCasespc</f>
        <v>3756.1881188118809</v>
      </c>
      <c r="ER7" s="25">
        <f>1+MATCH(solvMsgs!MinCases, tblData[US Cases Per Capita],1)</f>
        <v>54</v>
      </c>
      <c r="FE7" s="59"/>
      <c r="FF7" s="26"/>
      <c r="FG7" s="59"/>
      <c r="FH7" s="26"/>
      <c r="FJ7" s="59"/>
      <c r="FK7" s="26"/>
      <c r="FL7" s="26"/>
      <c r="FO7" s="261"/>
      <c r="FP7" s="26"/>
      <c r="FQ7" s="72"/>
      <c r="FR7" s="72"/>
      <c r="FS7" s="74"/>
      <c r="FU7" s="26"/>
      <c r="FW7" s="74"/>
      <c r="FX7" s="74"/>
      <c r="FZ7" s="26"/>
      <c r="GC7" s="62"/>
      <c r="GE7" s="62"/>
      <c r="GG7" s="19"/>
      <c r="GH7" s="62"/>
      <c r="HK7" s="164"/>
      <c r="HL7" s="26"/>
    </row>
    <row r="8" spans="1:230" x14ac:dyDescent="0.25">
      <c r="B8" s="42" t="s">
        <v>503</v>
      </c>
      <c r="C8" s="40"/>
      <c r="D8" s="40">
        <v>428060</v>
      </c>
      <c r="E8" s="41">
        <f>INDEX(tblPopulation[Population],MATCH("NSW",tblPopulation[State],0),1)</f>
        <v>8080000</v>
      </c>
      <c r="F8" s="40">
        <v>211945</v>
      </c>
      <c r="G8" s="41">
        <f>INDEX(tblPopulation[Population],MATCH(G10,tblPopulation[State],0),1)</f>
        <v>5115451</v>
      </c>
      <c r="H8" s="41">
        <f>INDEX(tblPopulation[Population],MATCH(H10,tblPopulation[State],0),1)</f>
        <v>1670000</v>
      </c>
      <c r="I8" s="41">
        <f>INDEX(tblPopulation[Population],MATCH(I10,tblPopulation[State],0),1)</f>
        <v>515000</v>
      </c>
      <c r="J8" s="41">
        <f>INDEX(tblPopulation[Population],MATCH(J10,tblPopulation[State],0),1)</f>
        <v>6629000</v>
      </c>
      <c r="K8" s="41">
        <f>INDEX(tblPopulation[Population],MATCH(K10,tblPopulation[State],0),1)</f>
        <v>2589000</v>
      </c>
      <c r="M8" s="41">
        <f>INDEX(tblPopulation[Population],MATCH(M$10,tblPopulation[Country],0),1)</f>
        <v>60485000</v>
      </c>
      <c r="O8" s="95">
        <f>INDEX(tblPopulation[Population],MATCH(O$10,tblPopulation[CtryAbbrev],0),1)</f>
        <v>329227746</v>
      </c>
      <c r="Q8" s="41">
        <f>INDEX(tblPopulation[Population],MATCH(Q$10,tblPopulation[CtryAbbrev],0),1)</f>
        <v>51400000</v>
      </c>
      <c r="S8" s="96">
        <f>INDEX(tblPopulation[Population],MATCH(S$10,tblPopulation[CtryAbbrev],0),1)</f>
        <v>66440000</v>
      </c>
      <c r="U8" s="41">
        <f>INDEX(tblPopulation[Population],MATCH(U$10,tblPopulation[Country],0),1)</f>
        <v>1439323776</v>
      </c>
      <c r="W8" s="40"/>
      <c r="X8" s="41">
        <f>INDEX(tblPopulation[Population],MATCH(X$10,tblPopulation[Country],0),1)</f>
        <v>5850000</v>
      </c>
      <c r="Z8" s="96">
        <f>INDEX(tblPopulation[Population],$Y$2,1)</f>
        <v>4900000</v>
      </c>
      <c r="AB8" s="40"/>
      <c r="AC8" s="40"/>
      <c r="AD8" s="40"/>
      <c r="AF8" s="41"/>
      <c r="AG8" s="41"/>
      <c r="AH8" s="40"/>
      <c r="AI8" s="96">
        <v>25364000</v>
      </c>
      <c r="AJ8" s="96"/>
      <c r="AK8" s="40"/>
      <c r="AL8" s="40"/>
      <c r="AM8" s="41"/>
      <c r="AN8" s="41"/>
      <c r="AO8" s="40"/>
      <c r="AP8" s="40"/>
      <c r="AQ8" s="40"/>
      <c r="AR8" s="41">
        <f>NSWpop</f>
        <v>8080000</v>
      </c>
      <c r="AS8" s="25" t="s">
        <v>1461</v>
      </c>
      <c r="AT8" s="25"/>
      <c r="AU8" s="11">
        <f ca="1">SQRT(SUM(tblData[NSW LOGEST Sq Err])/COUNT(tblData[NSW LOGEST Sq Err]))</f>
        <v>3296.3119732008154</v>
      </c>
      <c r="AV8" s="11"/>
      <c r="AW8" s="41">
        <f>ItalyPop</f>
        <v>60485000</v>
      </c>
      <c r="AX8" s="41"/>
      <c r="AY8" s="11"/>
      <c r="BA8" s="40"/>
      <c r="BB8" s="41">
        <f>USpop</f>
        <v>329227746</v>
      </c>
      <c r="BC8" s="126"/>
      <c r="BE8" s="126"/>
      <c r="BF8" s="41"/>
      <c r="BG8" s="41">
        <f>SKoreaPop</f>
        <v>51400000</v>
      </c>
      <c r="BH8" s="41"/>
      <c r="BI8" s="41"/>
      <c r="BJ8" s="41"/>
      <c r="BK8" s="127"/>
      <c r="BL8" s="41">
        <f>UKPop</f>
        <v>66440000</v>
      </c>
      <c r="BM8" s="41"/>
      <c r="BN8" s="41"/>
      <c r="BO8" s="41"/>
      <c r="BP8" s="41"/>
      <c r="BQ8" s="41">
        <f>ChinaPop</f>
        <v>1439323776</v>
      </c>
      <c r="BR8" s="41"/>
      <c r="BS8" s="41"/>
      <c r="BT8" s="41"/>
      <c r="BU8" s="11"/>
      <c r="BV8" s="41">
        <f>SingaporePop</f>
        <v>5850000</v>
      </c>
      <c r="BW8" s="41"/>
      <c r="BX8" s="41"/>
      <c r="BY8" s="41"/>
      <c r="BZ8" s="95"/>
      <c r="CA8" s="95">
        <f>INDEX(tblPopulation[Population],GenMatch,1)</f>
        <v>4900000</v>
      </c>
      <c r="CB8" s="41"/>
      <c r="CC8" s="41"/>
      <c r="CD8" s="41"/>
      <c r="CE8"/>
      <c r="CF8" s="11"/>
      <c r="CG8" s="11"/>
      <c r="CH8" s="11"/>
      <c r="CI8" s="11"/>
      <c r="CJ8" s="11"/>
      <c r="CK8"/>
      <c r="CL8"/>
      <c r="CN8" s="41">
        <f>NSWpop</f>
        <v>8080000</v>
      </c>
      <c r="CO8" t="s">
        <v>1210</v>
      </c>
      <c r="CP8" s="11">
        <f>SQRT(SUM(tblData[Test LOGEST Sq Err])/COUNT(tblData[Test LOGEST Sq Err]))</f>
        <v>126666.71798554849</v>
      </c>
      <c r="CQ8" s="25"/>
      <c r="CR8" s="41"/>
      <c r="CS8" s="41">
        <f>INDEX(tblPopulation[Population],MATCH(CS$10,tblPopulation[Country],0),1)</f>
        <v>23807282</v>
      </c>
      <c r="CU8" s="41"/>
      <c r="CW8" s="41"/>
      <c r="CX8" s="41"/>
      <c r="CY8" s="41"/>
      <c r="DA8" s="41">
        <f>INDEX(tblPopulation[Population],MATCH(DA$10,tblPopulation[CtryAbbrev],0),1)</f>
        <v>5230000</v>
      </c>
      <c r="DK8" s="25"/>
      <c r="DM8" s="25"/>
      <c r="DO8"/>
      <c r="DP8"/>
      <c r="DV8" s="25"/>
      <c r="DW8"/>
      <c r="DY8" s="25"/>
      <c r="EC8" s="25"/>
      <c r="ED8" s="25"/>
      <c r="EE8" t="s">
        <v>2429</v>
      </c>
      <c r="EF8" t="str">
        <f>IF(PopScaling=0,"Cases",PerPersonLabel)</f>
        <v>Cases per 10 M population</v>
      </c>
      <c r="EH8"/>
      <c r="EI8" s="25" t="str">
        <f ca="1">"South Korea, NSW, Victoria, Queensland, United Kingdom, USA, Taiwan, NZ &amp; Japan @ " &amp;CHAR(11) &amp; TEXT(MAX(myData!AuDates),"ddd dd-mmm") &amp; " Linear Scale"</f>
        <v>South Korea, NSW, Victoria, Queensland, United Kingdom, USA, Taiwan, NZ &amp; Japan @ _x000B_Sun 03-May Linear Scale</v>
      </c>
      <c r="EJ8"/>
      <c r="EK8"/>
      <c r="EN8" s="25"/>
      <c r="EO8" s="25"/>
      <c r="EP8" s="25"/>
      <c r="EQ8" s="25"/>
      <c r="ER8" s="25" t="str">
        <f ca="1">"COVID 19 Least Sq Err Logistic Eqns at " &amp; TEXT(MAX(ED16:ED27),"ddd dd-mmm-yyyy")&amp;IF(PopScaling=0,"",", "&amp;PerPersonLabel)</f>
        <v>COVID 19 Least Sq Err Logistic Eqns at Sun 03-May-2020, Cases per 10 M population</v>
      </c>
      <c r="EW8" s="30" t="s">
        <v>3010</v>
      </c>
      <c r="FF8" s="132">
        <f>INDEX(tblData[Dates],ER7)</f>
        <v>43905</v>
      </c>
      <c r="FG8"/>
      <c r="FH8"/>
      <c r="FI8"/>
      <c r="FJ8"/>
      <c r="FK8"/>
      <c r="FL8"/>
      <c r="FM8"/>
      <c r="FN8" s="59"/>
      <c r="FP8" s="59" t="s">
        <v>719</v>
      </c>
      <c r="FQ8" s="73"/>
      <c r="FR8" s="25"/>
      <c r="FS8" s="59"/>
      <c r="FT8" s="26"/>
      <c r="FU8" s="26"/>
      <c r="FV8"/>
      <c r="FX8" s="73"/>
      <c r="FY8" s="26"/>
      <c r="FZ8" s="72"/>
      <c r="GA8" s="72"/>
      <c r="GB8" s="74"/>
      <c r="GC8"/>
      <c r="GD8" s="26"/>
      <c r="GE8" s="25"/>
      <c r="GF8" s="74"/>
      <c r="GG8" s="74"/>
      <c r="GI8" s="26"/>
      <c r="GJ8" s="25"/>
      <c r="GK8"/>
      <c r="GL8" s="62"/>
      <c r="GM8" s="62"/>
      <c r="GO8" s="62"/>
      <c r="GP8" s="19"/>
      <c r="GQ8" s="62"/>
      <c r="GR8" s="25"/>
    </row>
    <row r="9" spans="1:230" s="25" customFormat="1" ht="15.75" thickBot="1" x14ac:dyDescent="0.3">
      <c r="B9" s="42" t="s">
        <v>505</v>
      </c>
      <c r="C9" s="40"/>
      <c r="D9" s="41">
        <f>IF(PopScaling=0,1,ACTpop/PerPerson)</f>
        <v>4.2805999999999997E-2</v>
      </c>
      <c r="E9" s="41">
        <f>IF(PopScaling=0,1,NSWpop/PerPerson)</f>
        <v>0.80800000000000005</v>
      </c>
      <c r="F9" s="41">
        <f>IF(PopScaling=0,1,NTpop/PerPerson)</f>
        <v>2.1194500000000002E-2</v>
      </c>
      <c r="G9" s="41">
        <f>IF(PopScaling=0,1,G8/PerPerson)</f>
        <v>0.51154509999999997</v>
      </c>
      <c r="H9" s="41">
        <f>IF(PopScaling=0,1,H8/PerPerson)</f>
        <v>0.16700000000000001</v>
      </c>
      <c r="I9" s="41">
        <f>IF(PopScaling=0,1,I8/PerPerson)</f>
        <v>5.1499999999999997E-2</v>
      </c>
      <c r="J9" s="41">
        <f>IF(PopScaling=0,1,J8/PerPerson)</f>
        <v>0.66290000000000004</v>
      </c>
      <c r="K9" s="41">
        <f>IF(PopScaling=0,1,K8/PerPerson)</f>
        <v>0.25890000000000002</v>
      </c>
      <c r="L9" s="11"/>
      <c r="M9" s="41">
        <f>IF(PopScaling=0,1,ItalyPop/PerPerson)</f>
        <v>6.0484999999999998</v>
      </c>
      <c r="O9" s="95">
        <f>IF(PopScaling=0,1,USpop/PerPerson)</f>
        <v>32.922774599999997</v>
      </c>
      <c r="Q9" s="41">
        <f>IF(PopScaling=0,1,SKoreaPop/PerPerson)</f>
        <v>5.14</v>
      </c>
      <c r="S9" s="41">
        <f>IF(PopScaling=0,1,UKPop/PerPerson)</f>
        <v>6.6440000000000001</v>
      </c>
      <c r="U9" s="41">
        <f>IF(PopScaling=0,1,ChinaPop/PerPerson)</f>
        <v>143.9323776</v>
      </c>
      <c r="W9" s="40"/>
      <c r="X9" s="41">
        <f>IF(PopScaling=0,1,SingaporePop/PerPerson)</f>
        <v>0.58499999999999996</v>
      </c>
      <c r="Z9" s="41">
        <f>IF(PopScaling=0,1,GenericPop/PerPerson)</f>
        <v>0.49</v>
      </c>
      <c r="AB9" s="40"/>
      <c r="AC9" s="40"/>
      <c r="AD9" s="40"/>
      <c r="AF9" s="40"/>
      <c r="AG9" s="40"/>
      <c r="AH9" s="40"/>
      <c r="AI9" s="40">
        <f>IF(PopScaling=0,1,AuPop/PerPerson)</f>
        <v>2.5364</v>
      </c>
      <c r="AJ9" s="40"/>
      <c r="AK9" s="40"/>
      <c r="AL9" s="40"/>
      <c r="AM9" s="41"/>
      <c r="AN9" s="41"/>
      <c r="AO9" s="40"/>
      <c r="AP9" s="40"/>
      <c r="AQ9" s="40"/>
      <c r="AR9" s="41">
        <f>IF(PopScaling=0,1,AR8/10000000)</f>
        <v>0.80800000000000005</v>
      </c>
      <c r="AS9" s="25" t="s">
        <v>1460</v>
      </c>
      <c r="AU9" s="20">
        <f ca="1">msqNSW</f>
        <v>28.502705999431782</v>
      </c>
      <c r="AV9" s="20"/>
      <c r="AW9" s="41">
        <f>IF(PopScaling=0,1,AW8/10000000)</f>
        <v>6.0484999999999998</v>
      </c>
      <c r="AX9" s="41"/>
      <c r="AY9" s="11"/>
      <c r="AZ9" s="11"/>
      <c r="BA9" s="40"/>
      <c r="BB9" s="41">
        <f>IF(PopScaling=0,1,BB8/10000000)</f>
        <v>32.922774599999997</v>
      </c>
      <c r="BC9" s="126"/>
      <c r="BD9" s="126"/>
      <c r="BE9" s="126"/>
      <c r="BF9" s="41"/>
      <c r="BG9" s="41">
        <f>IF(PopScaling=0,1,BG8/10000000)</f>
        <v>5.14</v>
      </c>
      <c r="BH9" s="41"/>
      <c r="BI9" s="41"/>
      <c r="BJ9" s="41"/>
      <c r="BK9" s="127"/>
      <c r="BL9" s="41">
        <f>IF(PopScaling=0,1,BL8/10000000)</f>
        <v>6.6440000000000001</v>
      </c>
      <c r="BM9" s="41"/>
      <c r="BN9" s="41"/>
      <c r="BO9" s="41"/>
      <c r="BP9" s="41"/>
      <c r="BQ9" s="41">
        <f>IF(PopScaling=0,1,BQ8/10000000)</f>
        <v>143.9323776</v>
      </c>
      <c r="BR9" s="41"/>
      <c r="BS9" s="41"/>
      <c r="BT9" s="41"/>
      <c r="BU9" s="11"/>
      <c r="BV9" s="41">
        <f>IF(PopScaling=0,1,BV8/10000000)</f>
        <v>0.58499999999999996</v>
      </c>
      <c r="BW9" s="41"/>
      <c r="BX9" s="41"/>
      <c r="BY9" s="41"/>
      <c r="BZ9" s="95"/>
      <c r="CA9" s="95">
        <f>IF(PopScaling=0,1,CA8/10000000)</f>
        <v>0.49</v>
      </c>
      <c r="CB9" s="41"/>
      <c r="CC9" s="41"/>
      <c r="CD9" s="41"/>
      <c r="CF9" s="11"/>
      <c r="CG9" s="11"/>
      <c r="CH9" s="11"/>
      <c r="CI9" s="11"/>
      <c r="CJ9" s="11"/>
      <c r="CN9" s="41">
        <f>NSWpopscale</f>
        <v>0.80800000000000005</v>
      </c>
      <c r="CO9" s="25" t="s">
        <v>1460</v>
      </c>
      <c r="CP9" s="20">
        <f>msqTests</f>
        <v>22930.592298715936</v>
      </c>
      <c r="CR9" s="41"/>
      <c r="CS9" s="41">
        <f>IF(PopScaling=0,1,TaiwanPop/PerPerson)</f>
        <v>2.3807282000000001</v>
      </c>
      <c r="CT9" s="19"/>
      <c r="CU9" s="41"/>
      <c r="CV9" s="19"/>
      <c r="CW9" s="41"/>
      <c r="CX9" s="41"/>
      <c r="CY9" s="41"/>
      <c r="CZ9" s="11"/>
      <c r="DA9" s="41">
        <f>IF(PopScaling=0,1,NZPop/PerPerson)</f>
        <v>0.52300000000000002</v>
      </c>
      <c r="DB9" s="20"/>
      <c r="DC9" s="11"/>
      <c r="DD9" s="20"/>
      <c r="DE9" s="95"/>
      <c r="DF9" s="20"/>
      <c r="DG9" s="95"/>
      <c r="DH9" s="11"/>
      <c r="ER9" s="25" t="str">
        <f ca="1">"COVID 19 Least Sq Err Logistic Eqns at " &amp; TEXT(MAX(ED16:ED27),"ddd dd-mmm-yyyy")&amp;IF(PopScaling=0,"",", "&amp;PerPersonLabel)</f>
        <v>COVID 19 Least Sq Err Logistic Eqns at Sun 03-May-2020, Cases per 10 M population</v>
      </c>
      <c r="FA9" s="25" t="s">
        <v>608</v>
      </c>
      <c r="FN9" s="59"/>
      <c r="FO9" s="263"/>
      <c r="FP9" s="59"/>
      <c r="FQ9" s="26"/>
      <c r="FS9" s="59"/>
      <c r="FT9" s="26"/>
      <c r="FU9" s="26"/>
      <c r="FX9" s="73"/>
      <c r="FY9" s="26"/>
      <c r="FZ9" s="72"/>
      <c r="GA9" s="72"/>
      <c r="GB9" s="74"/>
      <c r="GD9" s="26"/>
      <c r="GF9" s="74"/>
      <c r="GG9" s="74"/>
      <c r="GI9" s="26"/>
      <c r="GL9" s="62"/>
      <c r="GM9" s="62"/>
      <c r="GO9" s="62"/>
      <c r="GP9" s="19"/>
      <c r="GQ9" s="62"/>
      <c r="HK9" s="164"/>
    </row>
    <row r="10" spans="1:230" s="14" customFormat="1" ht="69.75" customHeight="1" x14ac:dyDescent="0.25">
      <c r="B10" s="14" t="s">
        <v>3012</v>
      </c>
      <c r="C10" s="14" t="s">
        <v>66</v>
      </c>
      <c r="D10" s="55" t="s">
        <v>196</v>
      </c>
      <c r="E10" s="55" t="s">
        <v>47</v>
      </c>
      <c r="F10" s="55" t="s">
        <v>117</v>
      </c>
      <c r="G10" s="55" t="s">
        <v>50</v>
      </c>
      <c r="H10" s="55" t="s">
        <v>62</v>
      </c>
      <c r="I10" s="55" t="s">
        <v>106</v>
      </c>
      <c r="J10" s="55" t="s">
        <v>49</v>
      </c>
      <c r="K10" s="55" t="s">
        <v>95</v>
      </c>
      <c r="L10" s="11" t="s">
        <v>506</v>
      </c>
      <c r="M10" s="137" t="s">
        <v>58</v>
      </c>
      <c r="N10" s="137" t="s">
        <v>507</v>
      </c>
      <c r="O10" s="139" t="s">
        <v>37</v>
      </c>
      <c r="P10" s="140" t="s">
        <v>537</v>
      </c>
      <c r="Q10" s="142" t="s">
        <v>678</v>
      </c>
      <c r="R10" s="142" t="s">
        <v>676</v>
      </c>
      <c r="S10" s="143" t="s">
        <v>609</v>
      </c>
      <c r="T10" s="143" t="s">
        <v>3473</v>
      </c>
      <c r="U10" s="144" t="s">
        <v>176</v>
      </c>
      <c r="V10" s="144" t="s">
        <v>536</v>
      </c>
      <c r="W10" s="144" t="s">
        <v>355</v>
      </c>
      <c r="X10" s="145" t="s">
        <v>40</v>
      </c>
      <c r="Y10" s="145" t="s">
        <v>985</v>
      </c>
      <c r="Z10" s="94" t="s">
        <v>1068</v>
      </c>
      <c r="AA10" s="94" t="s">
        <v>1065</v>
      </c>
      <c r="AB10" s="137" t="s">
        <v>163</v>
      </c>
      <c r="AC10" s="203" t="s">
        <v>211</v>
      </c>
      <c r="AD10" s="142" t="s">
        <v>679</v>
      </c>
      <c r="AE10" s="143" t="s">
        <v>675</v>
      </c>
      <c r="AF10" s="145" t="s">
        <v>986</v>
      </c>
      <c r="AG10" s="94" t="s">
        <v>1064</v>
      </c>
      <c r="AH10" s="45" t="s">
        <v>168</v>
      </c>
      <c r="AI10" s="45" t="s">
        <v>569</v>
      </c>
      <c r="AJ10" s="58" t="s">
        <v>570</v>
      </c>
      <c r="AK10" s="45" t="s">
        <v>571</v>
      </c>
      <c r="AL10" s="58" t="s">
        <v>573</v>
      </c>
      <c r="AM10" s="45" t="s">
        <v>572</v>
      </c>
      <c r="AN10" s="45" t="s">
        <v>1591</v>
      </c>
      <c r="AO10" s="45" t="s">
        <v>1474</v>
      </c>
      <c r="AP10" s="138" t="s">
        <v>164</v>
      </c>
      <c r="AQ10" s="138" t="s">
        <v>153</v>
      </c>
      <c r="AR10" s="138" t="s">
        <v>165</v>
      </c>
      <c r="AS10" s="138" t="s">
        <v>166</v>
      </c>
      <c r="AT10" s="138" t="s">
        <v>540</v>
      </c>
      <c r="AU10" s="138" t="s">
        <v>1471</v>
      </c>
      <c r="AV10" s="138" t="s">
        <v>1589</v>
      </c>
      <c r="AW10" s="137" t="s">
        <v>174</v>
      </c>
      <c r="AX10" s="137" t="s">
        <v>175</v>
      </c>
      <c r="AY10" s="137" t="s">
        <v>538</v>
      </c>
      <c r="AZ10" s="137" t="s">
        <v>1592</v>
      </c>
      <c r="BA10" s="137" t="s">
        <v>1472</v>
      </c>
      <c r="BB10" s="139" t="s">
        <v>209</v>
      </c>
      <c r="BC10" s="139" t="s">
        <v>210</v>
      </c>
      <c r="BD10" s="139" t="s">
        <v>541</v>
      </c>
      <c r="BE10" s="139" t="s">
        <v>1593</v>
      </c>
      <c r="BF10" s="139" t="s">
        <v>1534</v>
      </c>
      <c r="BG10" s="142" t="s">
        <v>680</v>
      </c>
      <c r="BH10" s="142" t="s">
        <v>681</v>
      </c>
      <c r="BI10" s="142" t="s">
        <v>682</v>
      </c>
      <c r="BJ10" s="142" t="s">
        <v>1596</v>
      </c>
      <c r="BK10" s="142" t="s">
        <v>1481</v>
      </c>
      <c r="BL10" s="143" t="s">
        <v>683</v>
      </c>
      <c r="BM10" s="143" t="s">
        <v>684</v>
      </c>
      <c r="BN10" s="143" t="s">
        <v>685</v>
      </c>
      <c r="BO10" s="143" t="s">
        <v>1595</v>
      </c>
      <c r="BP10" s="143" t="s">
        <v>1535</v>
      </c>
      <c r="BQ10" s="144" t="s">
        <v>371</v>
      </c>
      <c r="BR10" s="144" t="s">
        <v>372</v>
      </c>
      <c r="BS10" s="144" t="s">
        <v>539</v>
      </c>
      <c r="BT10" s="144" t="s">
        <v>1594</v>
      </c>
      <c r="BU10" s="144" t="s">
        <v>1536</v>
      </c>
      <c r="BV10" s="145" t="s">
        <v>982</v>
      </c>
      <c r="BW10" s="145" t="s">
        <v>983</v>
      </c>
      <c r="BX10" s="145" t="s">
        <v>984</v>
      </c>
      <c r="BY10" s="145" t="s">
        <v>1599</v>
      </c>
      <c r="BZ10" s="145" t="s">
        <v>1537</v>
      </c>
      <c r="CA10" s="94" t="s">
        <v>1072</v>
      </c>
      <c r="CB10" s="94" t="s">
        <v>1073</v>
      </c>
      <c r="CC10" s="94" t="s">
        <v>1074</v>
      </c>
      <c r="CD10" s="94" t="s">
        <v>1597</v>
      </c>
      <c r="CE10" s="94" t="s">
        <v>1538</v>
      </c>
      <c r="CF10" s="141" t="s">
        <v>568</v>
      </c>
      <c r="CG10" s="141" t="s">
        <v>188</v>
      </c>
      <c r="CH10" s="141" t="s">
        <v>191</v>
      </c>
      <c r="CI10" s="141" t="s">
        <v>192</v>
      </c>
      <c r="CJ10" s="141" t="s">
        <v>502</v>
      </c>
      <c r="CK10" s="141" t="s">
        <v>500</v>
      </c>
      <c r="CL10" s="141" t="s">
        <v>501</v>
      </c>
      <c r="CM10" s="141" t="s">
        <v>1598</v>
      </c>
      <c r="CN10" s="141" t="s">
        <v>1136</v>
      </c>
      <c r="CO10" s="138" t="s">
        <v>1206</v>
      </c>
      <c r="CP10" s="138" t="s">
        <v>1209</v>
      </c>
      <c r="CQ10" s="138" t="s">
        <v>1458</v>
      </c>
      <c r="CR10" s="138" t="s">
        <v>1459</v>
      </c>
      <c r="CS10" s="205" t="s">
        <v>2133</v>
      </c>
      <c r="CT10" s="206" t="s">
        <v>2203</v>
      </c>
      <c r="CU10" s="205" t="s">
        <v>2204</v>
      </c>
      <c r="CV10" s="207" t="s">
        <v>2205</v>
      </c>
      <c r="CW10" s="205" t="s">
        <v>2206</v>
      </c>
      <c r="CX10" s="205" t="s">
        <v>2207</v>
      </c>
      <c r="CY10" s="205" t="s">
        <v>2208</v>
      </c>
      <c r="CZ10" s="208" t="s">
        <v>2209</v>
      </c>
      <c r="DA10" s="210" t="s">
        <v>1452</v>
      </c>
      <c r="DB10" s="210" t="s">
        <v>2303</v>
      </c>
      <c r="DC10" s="210" t="s">
        <v>2304</v>
      </c>
      <c r="DD10" s="210" t="s">
        <v>2305</v>
      </c>
      <c r="DE10" s="210" t="s">
        <v>2306</v>
      </c>
      <c r="DF10" s="210" t="s">
        <v>2307</v>
      </c>
      <c r="DG10" s="210" t="s">
        <v>2308</v>
      </c>
      <c r="DH10" s="210" t="s">
        <v>2309</v>
      </c>
      <c r="DI10" s="138"/>
      <c r="DK10" s="1"/>
      <c r="DL10" s="80" t="s">
        <v>720</v>
      </c>
      <c r="DM10" s="80" t="s">
        <v>722</v>
      </c>
      <c r="DN10" s="80" t="s">
        <v>155</v>
      </c>
      <c r="DO10" s="90" t="s">
        <v>723</v>
      </c>
      <c r="DP10" s="90" t="s">
        <v>497</v>
      </c>
      <c r="DQ10" s="81" t="s">
        <v>156</v>
      </c>
      <c r="DR10" s="82" t="s">
        <v>157</v>
      </c>
      <c r="DS10" s="83" t="s">
        <v>158</v>
      </c>
      <c r="DT10" s="84" t="s">
        <v>167</v>
      </c>
      <c r="DU10" s="85" t="s">
        <v>160</v>
      </c>
      <c r="DV10" s="86" t="s">
        <v>1590</v>
      </c>
      <c r="DW10" s="86" t="s">
        <v>161</v>
      </c>
      <c r="DX10" s="87" t="s">
        <v>162</v>
      </c>
      <c r="DY10" s="88" t="s">
        <v>187</v>
      </c>
      <c r="DZ10" s="88" t="s">
        <v>213</v>
      </c>
      <c r="EA10" s="89" t="s">
        <v>827</v>
      </c>
      <c r="EB10" s="88" t="s">
        <v>495</v>
      </c>
      <c r="EC10" s="125" t="s">
        <v>543</v>
      </c>
      <c r="ED10" s="80" t="s">
        <v>173</v>
      </c>
      <c r="EE10" s="80" t="s">
        <v>172</v>
      </c>
      <c r="EF10" s="88" t="s">
        <v>462</v>
      </c>
      <c r="EG10" s="88" t="s">
        <v>464</v>
      </c>
      <c r="EH10" s="88" t="s">
        <v>496</v>
      </c>
      <c r="EI10" s="88" t="s">
        <v>560</v>
      </c>
      <c r="EJ10" s="80" t="s">
        <v>463</v>
      </c>
      <c r="EK10" s="88" t="s">
        <v>597</v>
      </c>
      <c r="EL10" s="89" t="s">
        <v>594</v>
      </c>
      <c r="EM10" s="89" t="s">
        <v>595</v>
      </c>
      <c r="EN10" s="90" t="s">
        <v>2384</v>
      </c>
      <c r="EO10" s="90" t="s">
        <v>596</v>
      </c>
      <c r="EP10" s="80" t="s">
        <v>1178</v>
      </c>
      <c r="EQ10" s="90" t="s">
        <v>1179</v>
      </c>
      <c r="ER10" s="90" t="s">
        <v>1202</v>
      </c>
      <c r="ES10" s="90" t="s">
        <v>1398</v>
      </c>
      <c r="ET10" s="90" t="s">
        <v>1473</v>
      </c>
      <c r="EU10" s="90" t="s">
        <v>2076</v>
      </c>
      <c r="EV10" s="90" t="s">
        <v>2072</v>
      </c>
      <c r="EW10" s="90" t="s">
        <v>1075</v>
      </c>
      <c r="EX10" s="90" t="s">
        <v>3011</v>
      </c>
      <c r="EY10" s="90"/>
      <c r="EZ10" s="25"/>
      <c r="FA10"/>
      <c r="FI10" s="67" t="s">
        <v>154</v>
      </c>
      <c r="FJ10" s="68" t="s">
        <v>544</v>
      </c>
      <c r="FK10" s="69" t="s">
        <v>545</v>
      </c>
      <c r="FL10" s="70"/>
      <c r="FO10" s="264" t="s">
        <v>567</v>
      </c>
      <c r="FP10" s="146" t="s">
        <v>722</v>
      </c>
      <c r="FQ10" s="146" t="s">
        <v>566</v>
      </c>
      <c r="FR10" s="146" t="s">
        <v>724</v>
      </c>
      <c r="FS10" s="146" t="s">
        <v>497</v>
      </c>
      <c r="FT10" s="77" t="s">
        <v>156</v>
      </c>
      <c r="FU10" s="78" t="s">
        <v>157</v>
      </c>
      <c r="FV10" s="79" t="s">
        <v>158</v>
      </c>
      <c r="FW10" s="147" t="s">
        <v>167</v>
      </c>
      <c r="FX10" s="147" t="s">
        <v>160</v>
      </c>
      <c r="FY10" s="147" t="s">
        <v>1590</v>
      </c>
      <c r="FZ10" s="148" t="s">
        <v>161</v>
      </c>
      <c r="GA10" s="76" t="s">
        <v>162</v>
      </c>
      <c r="GB10" s="149" t="s">
        <v>187</v>
      </c>
      <c r="GC10" s="150" t="s">
        <v>213</v>
      </c>
      <c r="GD10" s="150" t="s">
        <v>827</v>
      </c>
      <c r="GE10" s="150" t="s">
        <v>495</v>
      </c>
      <c r="GF10" s="150" t="s">
        <v>543</v>
      </c>
      <c r="GG10" s="150" t="s">
        <v>173</v>
      </c>
      <c r="GH10" s="150" t="s">
        <v>172</v>
      </c>
      <c r="GI10" s="150" t="s">
        <v>462</v>
      </c>
      <c r="GJ10" s="150" t="s">
        <v>464</v>
      </c>
      <c r="GK10" s="150" t="s">
        <v>496</v>
      </c>
      <c r="GL10" s="150" t="s">
        <v>560</v>
      </c>
      <c r="GM10" s="151" t="s">
        <v>463</v>
      </c>
      <c r="GN10" s="151" t="s">
        <v>597</v>
      </c>
      <c r="GO10" s="151" t="s">
        <v>594</v>
      </c>
      <c r="GP10" s="152" t="s">
        <v>595</v>
      </c>
      <c r="GQ10" s="153" t="s">
        <v>2384</v>
      </c>
      <c r="GR10" s="151" t="s">
        <v>596</v>
      </c>
      <c r="GS10" s="151" t="s">
        <v>1178</v>
      </c>
      <c r="GT10" s="151" t="s">
        <v>1179</v>
      </c>
      <c r="GU10" s="151" t="s">
        <v>1202</v>
      </c>
      <c r="GV10" s="151" t="s">
        <v>1398</v>
      </c>
      <c r="GW10" s="151" t="s">
        <v>1473</v>
      </c>
      <c r="GX10" s="151" t="s">
        <v>1879</v>
      </c>
      <c r="GY10" s="151" t="s">
        <v>2072</v>
      </c>
      <c r="GZ10" s="151" t="s">
        <v>1075</v>
      </c>
      <c r="HA10" s="151" t="s">
        <v>2422</v>
      </c>
      <c r="HK10" s="164" t="s">
        <v>154</v>
      </c>
      <c r="HL10" s="14" t="s">
        <v>1962</v>
      </c>
      <c r="HM10" s="14" t="s">
        <v>1959</v>
      </c>
      <c r="HN10" s="14" t="s">
        <v>1958</v>
      </c>
      <c r="HO10" s="14" t="s">
        <v>1961</v>
      </c>
      <c r="HP10" s="14" t="s">
        <v>1960</v>
      </c>
      <c r="HQ10" s="14" t="s">
        <v>2005</v>
      </c>
      <c r="HR10" s="14" t="s">
        <v>2066</v>
      </c>
      <c r="HS10" s="14" t="s">
        <v>2073</v>
      </c>
      <c r="HT10" s="14" t="s">
        <v>2067</v>
      </c>
      <c r="HU10" s="14" t="s">
        <v>2068</v>
      </c>
      <c r="HV10" s="14" t="s">
        <v>3493</v>
      </c>
    </row>
    <row r="11" spans="1:230" x14ac:dyDescent="0.25">
      <c r="B11" s="1">
        <v>43852</v>
      </c>
      <c r="C11">
        <v>0</v>
      </c>
      <c r="D11" s="25">
        <v>0</v>
      </c>
      <c r="E11">
        <v>0</v>
      </c>
      <c r="F11">
        <v>0</v>
      </c>
      <c r="G11">
        <v>0</v>
      </c>
      <c r="H11">
        <v>0</v>
      </c>
      <c r="I11">
        <v>0</v>
      </c>
      <c r="J11">
        <v>0</v>
      </c>
      <c r="K11">
        <v>0</v>
      </c>
      <c r="L11" s="11" t="str">
        <f>IF(ISNUMBER(tblData[[#This Row],[NSW]]),tblData[[#This Row],[New South Wales]]/NSWpopscale,"")</f>
        <v/>
      </c>
      <c r="N11" s="20" t="str">
        <f>IF(ISNUMBER(tblData[Italy]),tblData[Italy]/ItalyPopscale,"")</f>
        <v/>
      </c>
      <c r="O11">
        <v>1</v>
      </c>
      <c r="P11" s="20">
        <f>IF(ISNUMBER(tblData[US]),tblData[US]/USPopscale,"")</f>
        <v>3.037411069235945E-2</v>
      </c>
      <c r="Q11">
        <v>1</v>
      </c>
      <c r="R11" s="20">
        <f>IF(ISNUMBER(tblData[SKorea]),tblData[SKorea]/SKoreaPopscale,"")</f>
        <v>0.19455252918287938</v>
      </c>
      <c r="T11" s="12" t="str">
        <f>IF(ISNUMBER(tblData[United Kingdom]),tblData[United Kingdom]/UKPopscale,"")</f>
        <v/>
      </c>
      <c r="U11">
        <v>548</v>
      </c>
      <c r="V11" s="20">
        <f>IF(ISNUMBER(tblData[China]),tblData[China]/ChinaPopscale,"")</f>
        <v>3.8073434840556684</v>
      </c>
      <c r="W11" s="25">
        <f ca="1">IF(tblData[[#This Row],[Dates]]&lt;StartDt2China,"",tblData[[#This Row],[Dates]]-ChinaStart)</f>
        <v>0</v>
      </c>
      <c r="X11">
        <v>0</v>
      </c>
      <c r="Y11" s="20">
        <f>IF(ISNUMBER(tblData[Singapore]),tblData[Singapore]/SingaporePopscale,"")</f>
        <v>0</v>
      </c>
      <c r="Z11"/>
      <c r="AA11" s="20" t="str">
        <f>IF(AND(LEN(tblData[Generic])&gt;0,ISNUMBER(tblData[Generic])),tblData[Generic]/GenericPopscale,"")</f>
        <v/>
      </c>
      <c r="AB11" s="25" t="str">
        <f ca="1">IF(tblData[[#This Row],[Dates]]&lt;StartDt2Italy,"",tblData[[#This Row],[Dates]]-ItalyStart)</f>
        <v/>
      </c>
      <c r="AC11" s="25" t="str">
        <f ca="1">IF(tblData[[#This Row],[Dates]]&lt;=StartDt2US,"",tblData[[#This Row],[Dates]]-USStart)</f>
        <v/>
      </c>
      <c r="AD11" s="25" t="str">
        <f>IF(tblData[[#This Row],[Dates]]&lt;=SKoreaStart,"",tblData[[#This Row],[Dates]]-SKoreaStart)</f>
        <v/>
      </c>
      <c r="AE11" s="25" t="str">
        <f ca="1">IF(tblData[[#This Row],[Dates]]&lt;=StartDt2UK,"",tblData[[#This Row],[Dates]]-UKStart)</f>
        <v/>
      </c>
      <c r="AF11" s="25" t="str">
        <f ca="1">IF(tblData[[#This Row],[Dates]]&lt;StartDt2Singapore,"",tblData[[#This Row],[Dates]]-SingaporeStart)</f>
        <v/>
      </c>
      <c r="AG11" s="25" t="str">
        <f>IF(tblData[[#This Row],[Dates]]&lt;StartDt2Generic,"",tblData[[#This Row],[Dates]]-GenericStart)</f>
        <v/>
      </c>
      <c r="AH11" t="str">
        <f ca="1">IF(tblData[Dates]&gt;StartDt2Au,tblData[Dates]-AuStart,"")</f>
        <v/>
      </c>
      <c r="AI11" s="25"/>
      <c r="AJ11" s="25" t="str">
        <f>IF(ISNUMBER(tblData[Au]),tblData[Au]/AuPopScale,"")</f>
        <v/>
      </c>
      <c r="AK11" s="11" t="str">
        <f ca="1">IF(ISNUMBER(tblData[[#This Row],[Day'# Aust]]),betaAu/(deltaAu+betaPodeltaAu*EXP(-betaAu*tblData[[#This Row],[Day'# Aust]])),"")</f>
        <v/>
      </c>
      <c r="AL11" s="56" t="str">
        <f ca="1">IF(ISNUMBER(tblData[Day'# Aust]),tblData[Au LogiP(t)]/AuPopScale,"")</f>
        <v/>
      </c>
      <c r="AM11" s="11" t="str">
        <f ca="1">IF(AND(tblData[Dates]&gt;StartDt2Au,ISNUMBER(tblData[Au])),(tblData[[#This Row],[Au LogiP(t)]]-tblData[[#This Row],[Au]])^2,"")</f>
        <v/>
      </c>
      <c r="AN11" s="11" t="str">
        <f ca="1">IF(AND(ISNUMBER(tblData[Au]),tblData[Dates]&gt;StartDt2Au),(tblData[Au]-AVERAGE(tblData[Au]))^2,"")</f>
        <v/>
      </c>
      <c r="AO11" s="11">
        <f>tblData[[#This Row],[Dates]]-Au100dt</f>
        <v>-53</v>
      </c>
      <c r="AP11" t="str">
        <f ca="1">IF(tblData[Dates]&gt;StartDt2NSW,tblData[Dates]-StartDt2NSW,"")</f>
        <v/>
      </c>
      <c r="AQ11" t="str">
        <f>IF(tblData[[#This Row],[New South Wales]]&gt;0,tblData[[#This Row],[New South Wales]],"")</f>
        <v/>
      </c>
      <c r="AR11" s="11" t="str">
        <f ca="1">IF(tblData[Dates]&gt;StartDt2NSW,betaNSW/(deltaNSW+betaPodeltaNSW*EXP(-betaNSW*tblData[[#This Row],[Day '# NSW]])),"")</f>
        <v/>
      </c>
      <c r="AS11" s="12" t="str">
        <f ca="1">IF(AND(ISNUMBER(tblData[NSW]),tblData[Dates]&gt;StartDt2NSW),(tblData[[#This Row],[NSW LogiP(t)]]-tblData[[#This Row],[NSW]])^2,"")</f>
        <v/>
      </c>
      <c r="AT11" s="12" t="str">
        <f ca="1">IF(AND(tblData[Dates]&gt;StartDt2NSW,ISNUMBER(tblData[Day'# Aust])),tblData[NSW LogiP(t)]/NSWpopscale,"")</f>
        <v/>
      </c>
      <c r="AU11" s="11">
        <f>tblData[[#This Row],[Dates]]-NSW100dt+1</f>
        <v>-50</v>
      </c>
      <c r="AV11" s="11" t="str">
        <f ca="1">IF(AND(ISNUMBER(tblData[NSW]),tblData[Dates]&gt;StartDt2NSW),(tblData[NSW]-AVERAGE(tblData[NSW]))^2,"")</f>
        <v/>
      </c>
      <c r="AW11" s="39" t="str">
        <f ca="1">IF(AND(tblData[Dates]&gt;StartDt2Italy,ISNUMBER(tblData[Days'# Italy])),betaItaly/(deltaItaly+betaPodeltaItaly*EXP(-betaItaly*tblData[Days'# Italy])),"")</f>
        <v/>
      </c>
      <c r="AX11" s="11" t="str">
        <f ca="1">IF(AND(tblData[Dates]&gt;StartDt2Italy,ISNUMBER(tblData[Italy])),(tblData[[#This Row],[Italy LogiP(t)]]-tblData[[#This Row],[Italy]])^2,"")</f>
        <v/>
      </c>
      <c r="AY11" s="11" t="str">
        <f ca="1">IF(AND(tblData[Dates]&gt;StartDt2Italy,ISNUMBER(tblData[Days'# Italy])),tblData[[#This Row],[Italy LogiP(t)]]/ItalyPopscale,"")</f>
        <v/>
      </c>
      <c r="AZ11" s="11" t="str">
        <f ca="1">IF(AND(ISNUMBER(tblData[Italy]),tblData[Dates]&gt;StartDt2Italy),(tblData[Italy]-AVERAGE(tblData[Italy]))^2,"")</f>
        <v/>
      </c>
      <c r="BA11" s="11">
        <f>tblData[[#This Row],[Dates]]-Italy100dt+1</f>
        <v>-35</v>
      </c>
      <c r="BB11" s="11" t="str">
        <f ca="1">IF(AND(tblData[Dates]&gt;StartDt2US,ISNUMBER(tblData[[#This Row],[Days'# US]])),betaUS/(deltaUS+betaPodeltaUS*EXP(-betaUS*tblData[Days'# US])),"")</f>
        <v/>
      </c>
      <c r="BC11" s="11" t="str">
        <f ca="1">IF(AND(tblData[Dates]&gt;StartDt2US,ISNUMBER(tblData[US])),(tblData[[#This Row],[US LogiP(t)]]-tblData[US])^2,"")</f>
        <v/>
      </c>
      <c r="BD11" s="20" t="str">
        <f ca="1">IF(AND(tblData[Dates]&gt;=StartDt2US,ISNUMBER(tblData[[#This Row],[Days'# US]])),tblData[[#This Row],[US LogiP(t)]]/USPopscale,"")</f>
        <v/>
      </c>
      <c r="BE11" s="126" t="str">
        <f ca="1">IF(AND(ISNUMBER(tblData[US]),tblData[Dates]&gt;StartDt2US),(tblData[US]-AVERAGE(tblData[US]))^2,"")</f>
        <v/>
      </c>
      <c r="BF11" s="11">
        <f>tblData[[#This Row],[Dates]]-US100dt+1</f>
        <v>-52</v>
      </c>
      <c r="BG11" s="11" t="str">
        <f ca="1">IF(tblData[Dates]&gt;StartDt2SKorea,betaSKorea/(deltaSKorea+betaPodeltaSKorea*EXP(-betaSKorea*(tblData[Dates]-StartDt2SKorea))),"")</f>
        <v/>
      </c>
      <c r="BH11" s="11" t="str">
        <f ca="1">IF(AND(tblData[Dates]&gt;StartDt2SKorea,ISNUMBER(tblData[SKorea])),(tblData[[#This Row],[SKorea LogiP(t)]]-tblData[[#This Row],[SKorea]])^2,"")</f>
        <v/>
      </c>
      <c r="BI11" s="11" t="str">
        <f ca="1">IF(tblData[Dates]&gt;StartDt2SKorea,tblData[[#This Row],[SKorea LogiP(t)]]/SKoreaPopscale,"")</f>
        <v/>
      </c>
      <c r="BJ11" s="11" t="str">
        <f ca="1">IF(AND(ISNUMBER(tblData[SKorea]),tblData[Dates]&gt;StartDt2SKorea),(tblData[SKorea]-AVERAGE(tblData[SKorea]))^2,"")</f>
        <v/>
      </c>
      <c r="BK11" s="11">
        <f>tblData[[#This Row],[Dates]]-SKorea100dt+1</f>
        <v>-31</v>
      </c>
      <c r="BL11" s="126" t="str">
        <f ca="1">IF(AND(tblData[Dates]&gt;StartDt2UK,ISNUMBER(tblData[Days'# UK])),betaUK/(deltaUK+betaPodeltaUK*EXP(-betaUK*tblData[Days'# UK])),"")</f>
        <v/>
      </c>
      <c r="BM11" s="11" t="str">
        <f ca="1">IF(AND(tblData[Dates]&gt;StartDt2UK,ISNUMBER(tblData[United Kingdom])),(tblData[[#This Row],[UK LogiP(t)]]-tblData[[#This Row],[United Kingdom]])^2,"")</f>
        <v/>
      </c>
      <c r="BN11" s="11" t="str">
        <f ca="1">IF(ISNUMBER(tblData[Days'# UK]),tblData[[#This Row],[UK LogiP(t)]]/UKPopscale,"")</f>
        <v/>
      </c>
      <c r="BO11" s="126" t="str">
        <f ca="1">IF(AND(ISNUMBER(tblData[United Kingdom]),tblData[Dates]&gt;StartDt2UK),(tblData[United Kingdom]-AVERAGE(tblData[United Kingdom]))^2,"")</f>
        <v/>
      </c>
      <c r="BP11" s="11">
        <f>tblData[[#This Row],[Dates]]-UK100dt</f>
        <v>-50</v>
      </c>
      <c r="BQ11" s="11">
        <f ca="1">IF(ISNUMBER(tblData[Days'# China]),betaChina/(deltaChina+betaPodeltaChina*EXP(-betaChina*tblData[Days'# China])),"")</f>
        <v>1564.3318847176636</v>
      </c>
      <c r="BR11" s="11">
        <f ca="1">IF(ISNUMBER(tblData[China]),(tblData[[#This Row],[China LogiP(t)]]-tblData[[#This Row],[China]])^2,"")</f>
        <v>1032930.4998937582</v>
      </c>
      <c r="BS11" s="11">
        <f ca="1">tblData[[#This Row],[China LogiP(t)]]/ChinaPopscale</f>
        <v>10.868519722956787</v>
      </c>
      <c r="BT11" s="126" t="str">
        <f ca="1">IF(AND(ISNUMBER(tblData[China]),tblData[Dates]&gt;StartDt2China),(tblData[China]-AVERAGE(tblData[China]))^2,"")</f>
        <v/>
      </c>
      <c r="BU11" s="11">
        <f>tblData[[#This Row],[Dates]]-China100dt</f>
        <v>-11</v>
      </c>
      <c r="BV11" s="95" t="str">
        <f ca="1">IF(ISNUMBER(tblData[Day'# Singapore]),betaSingapore/(deltaSingapore+betaPodeltaSingapore*EXP(-betaSingapore*tblData[Day'# Singapore])),"")</f>
        <v/>
      </c>
      <c r="BW11" s="11" t="str">
        <f ca="1">IF(AND(ISNUMBER(tblData[Singapore]),tblData[Dates]&gt;=StartDt2Singapore),(tblData[[#This Row],[Singapore LogiP(t)]]-tblData[[#This Row],[Singapore]])^2,"")</f>
        <v/>
      </c>
      <c r="BX11" s="20" t="str">
        <f ca="1">IF(ISNUMBER(tblData[Day'# Singapore]),tblData[Singapore LogiP(t)]/SingaporePopscale,"")</f>
        <v/>
      </c>
      <c r="BY11" s="95" t="str">
        <f ca="1">IF(AND(ISNUMBER(tblData[Singapore]),tblData[Dates]&gt;StartDt2Singapore),(tblData[Singapore]-AVERAGE(tblData[Singapore]))^2,"")</f>
        <v/>
      </c>
      <c r="BZ11" s="11">
        <f>tblData[[#This Row],[Dates]]-Singapore100dt+1</f>
        <v>-22</v>
      </c>
      <c r="CA11" s="11" t="str">
        <f>IF(AND(tblData[Dates]&gt;StartDt2Generic,ISNUMBER(tblData[Day'# Generic])),betaGeneric/(deltaGeneric+betaPodeltaGeneric*EXP(-betaGeneric*tblData[Day'# Generic])),"")</f>
        <v/>
      </c>
      <c r="CB11" s="95" t="str">
        <f>IF(AND(ISNUMBER(tblData[Generic]),tblData[Dates]&gt;StartDt2Generic),(tblData[Generic LogiP(t)]-tblData[[#This Row],[Generic]])^2,"")</f>
        <v/>
      </c>
      <c r="CC11" s="93" t="str">
        <f>IF(AND(ISNUMBER(tblData[Day'# Generic]),tblData[Dates]&gt;StartDt2Generic),tblData[Generic LogiP(t)]/GenericPopscale,"")</f>
        <v/>
      </c>
      <c r="CD11" s="95" t="str">
        <f>IF(AND(ISNUMBER(tblData[Generic]),tblData[Dates]&gt;StartDt2Generic),(tblData[Generic]-AVERAGE(tblData[Generic]))^2,"")</f>
        <v/>
      </c>
      <c r="CE11" s="11">
        <f>tblData[[#This Row],[Dates]]-Generic100dt+1</f>
        <v>-50</v>
      </c>
      <c r="CF11"/>
      <c r="CG11" s="11"/>
      <c r="CH11" s="11" t="str">
        <f>IF(ISNUMBER(tblData[[#This Row],[Tests]]),tblData[[#This Row],[Tests]]-CH10,"")</f>
        <v/>
      </c>
      <c r="CI11" s="11" t="str">
        <f>IF(ISNUMBER(tblData[[#This Row],[NSW Under Investigation'']]),tblData[[#This Row],[NSW Under Investigation'']]-CG10,"")</f>
        <v/>
      </c>
      <c r="CJ11" s="11"/>
      <c r="CK11" s="11" t="str">
        <f>IF(AND(tblData[[#This Row],[NSW Test Day Number]]&gt;0,ISNUMBER(tblData[[#This Row],[NSW Test Day Number]])),betaTests/(deltaTests+betaPodeltaTests*EXP(-betaTests*tblData[[#This Row],[NSW Test Day Number]])),"")</f>
        <v/>
      </c>
      <c r="CL11" s="11" t="str">
        <f>IF(tblData[Tests]&gt;0,(tblData[[#This Row],[Tests]]-tblData[[#This Row],[NSW Test Logi]])^2,"")</f>
        <v/>
      </c>
      <c r="CM11" s="95" t="str">
        <f>IF(AND(ISNUMBER(tblData[Tests]),tblData[Dates]&gt;StartDt2Tests),(tblData[Tests]-AVERAGE(tblData[Tests]))^2,"")</f>
        <v/>
      </c>
      <c r="CN11" s="11" t="str">
        <f>IF(ISNUMBER(tblData[Tests]),tblData[Tests]/NSWpopscale/100,"")</f>
        <v/>
      </c>
      <c r="CO11" s="11" t="str">
        <f>IF(AND(tblData[[#This Row],[NSW Test Day Number]]&gt;0,ISNUMBER(tblData[[#This Row],[NSW Test Day Number]])),TestsLogestB*TestsLogestM^tblData[[#This Row],[NSW Test Day Number]],"")</f>
        <v/>
      </c>
      <c r="CP11" s="11" t="str">
        <f>IF(AND(tblData[[#This Row],[NSW Test Day Number]]&gt;0,ISNUMBER(tblData[Tests])),(tblData[Tests]-tblData[[#This Row],[NSW Test Per Capita]])^2,"")</f>
        <v/>
      </c>
      <c r="CQ11" s="20" t="str">
        <f ca="1">IF(AND(tblData[Day '# NSW]&gt;0,ISNUMBER(tblData[[#This Row],[Day '# NSW]])),NSWLogestB*NSWLogestM^tblData[[#This Row],[Day '# NSW]]/NSWpopscale,"")</f>
        <v/>
      </c>
      <c r="CR11" s="39" t="str">
        <f ca="1">IF(AND(ISNUMBER(tblData[NSW]),tblData[Dates]&gt;StartDt2NSW),(tblData[NSW]/NSWpopscale-tblData[[#This Row],[NSW Cases LogEst]])^2,"")</f>
        <v/>
      </c>
      <c r="CS11">
        <v>1</v>
      </c>
      <c r="CT11" s="19">
        <f>IF(ISNUMBER(tblData[Taiwan]),tblData[Taiwan]/TaiwanPopscale,"")</f>
        <v>0.4200395492437986</v>
      </c>
      <c r="CU11" s="11">
        <f ca="1">IF(tblData[[#This Row],[Dates]]&lt;StartDt2Taiwan,"",tblData[[#This Row],[Dates]]-TaiwanStart)</f>
        <v>0</v>
      </c>
      <c r="CV11" s="19" t="str">
        <f ca="1">IF(AND(tblData[Dates]&gt;StartDt2Taiwan,ISNUMBER(tblData[Days'# Taiwan])),betaTaiwan/(deltaTaiwan+betaPodeltaTaiwan*EXP(-betaTaiwan*tblData[Days'# Taiwan])),"")</f>
        <v/>
      </c>
      <c r="CW11" s="39" t="str">
        <f ca="1">IF(AND(tblData[Dates]&gt;StartDt2Taiwan,ISNUMBER(tblData[Taiwan])),(tblData[[#This Row],[Taiwan LogiP(t)]]-tblData[[#This Row],[Taiwan]])^2,"")</f>
        <v/>
      </c>
      <c r="CX11" s="20" t="str">
        <f ca="1">IF(AND(tblData[Dates]&gt;StartDt2Taiwan,ISNUMBER(tblData[Days'# Taiwan])),tblData[[#This Row],[Taiwan LogiP(t)]]/TaiwanPopscale,"")</f>
        <v/>
      </c>
      <c r="CY11" s="39" t="str">
        <f ca="1">IF(AND(ISNUMBER(tblData[Taiwan]),tblData[Dates]&gt;StartDt2Taiwan),(tblData[Taiwan]-AVERAGE(tblData[Taiwan]))^2,"")</f>
        <v/>
      </c>
      <c r="CZ11" s="11">
        <f>tblData[[#This Row],[Dates]]-Taiwan100dt+1</f>
        <v>-63</v>
      </c>
      <c r="DA11"/>
      <c r="DB11" s="20" t="str">
        <f>IF(ISNUMBER(tblData[NZ]),tblData[NZ]/NZPopscale,"")</f>
        <v/>
      </c>
      <c r="DC11" s="11" t="str">
        <f ca="1">IF(tblData[[#This Row],[Dates]]&lt;StartDt2NZ,"",tblData[[#This Row],[Dates]]-NZStart)</f>
        <v/>
      </c>
      <c r="DD11" s="20" t="str">
        <f ca="1">IF(AND(tblData[Dates]&gt;StartDt2NZ,ISNUMBER(tblData[Days'# NZ])),betaNZ/(deltaNZ+betaPodeltaNZ*EXP(-betaNZ*tblData[Days'# NZ])),"")</f>
        <v/>
      </c>
      <c r="DE11" s="95" t="str">
        <f ca="1">IF(AND(tblData[Dates]&gt;StartDt2NZ,ISNUMBER(tblData[NZ])),(tblData[[#This Row],[NZ LogiP(t)]]-tblData[[#This Row],[NZ]])^2,"")</f>
        <v/>
      </c>
      <c r="DF11" s="20" t="str">
        <f ca="1">IF(AND(tblData[Dates]&gt;StartDt2NZ,ISNUMBER(tblData[Days'# NZ])),tblData[[#This Row],[NZ LogiP(t)]]/NZPopscale,"")</f>
        <v/>
      </c>
      <c r="DG11" s="95" t="str">
        <f ca="1">IF(AND(ISNUMBER(tblData[NZ]),tblData[Dates]&gt;StartDt2NZ),(tblData[NZ]-AVERAGE(tblData[NZ]))^2,"")</f>
        <v/>
      </c>
      <c r="DH11" s="11">
        <f>tblData[[#This Row],[Dates]]-NZ100dt+1</f>
        <v>-59</v>
      </c>
      <c r="DI11" s="39"/>
      <c r="DJ11" s="11"/>
      <c r="DK11" s="1"/>
      <c r="DL11" t="s">
        <v>48</v>
      </c>
      <c r="DM11" s="154">
        <v>43954.723761574074</v>
      </c>
      <c r="DN11" s="62">
        <f>INDEX(tblPopulation[Day 0],MATCH(tblRuns[[#This Row],[Place]],tblPopulation[Country],0),1)</f>
        <v>43855</v>
      </c>
      <c r="DO11" s="62">
        <f ca="1">INDEX(tblPopulation[Logistic Start2],MATCH($DL11,tblPopulation[Country],0),1)</f>
        <v>43855</v>
      </c>
      <c r="DP11">
        <v>0</v>
      </c>
      <c r="DQ11" s="44">
        <v>0.22617658788235581</v>
      </c>
      <c r="DR11" s="71">
        <v>3.4043358899679669E-5</v>
      </c>
      <c r="DS11" s="71">
        <v>4.6909314915610954E-3</v>
      </c>
      <c r="DT11">
        <f>betaAu/deltaAu</f>
        <v>6643.7800261972397</v>
      </c>
      <c r="DU11" s="19">
        <f ca="1">SQRT(SUM(tblData[AU Sq Err])/COUNT(tblData[AU Sq Err]))</f>
        <v>70.263255044114118</v>
      </c>
      <c r="DV11" s="71">
        <f ca="1">1-(SUM(tblData[AU Sq Err])/SUM(tblData[AU Mean Devn Sq]))</f>
        <v>0.99940940602316419</v>
      </c>
      <c r="DW11" s="73">
        <f>(betaAu/PoAu)-deltaAu</f>
        <v>48.215674987831086</v>
      </c>
      <c r="DX11" s="73">
        <f>tblRuns[d]*1000</f>
        <v>3.4043358899679667E-2</v>
      </c>
      <c r="DY11" s="26">
        <f t="array" ref="DY11">MAX(IF((tblData[Au]&gt;1),tblData[Dates]))</f>
        <v>44013</v>
      </c>
      <c r="DZ11" s="26" t="str">
        <f>Cengnotation(tblRuns[[#This Row],[Asymptote b/d]],3)</f>
        <v>6.64 k</v>
      </c>
      <c r="EA11" s="95">
        <f ca="1">MAX(tblData[Au LogiP(t)])</f>
        <v>6643.7800233549615</v>
      </c>
      <c r="EB11" s="25">
        <f>MAX(tblData[Au])</f>
        <v>6797</v>
      </c>
      <c r="EC11" s="25" t="str">
        <f>Cengnotation(DT11/(AuPop/PerPerson),3)</f>
        <v>2.62 k</v>
      </c>
      <c r="ED11" s="1">
        <f ca="1">MAX(myData!AuDates)</f>
        <v>43954</v>
      </c>
      <c r="EE11">
        <f t="array" ref="EE11">COUNT(IF(ISNUMBER(tblData[Au]),tblData[Dates]))</f>
        <v>100</v>
      </c>
      <c r="EF11" s="26" t="str">
        <f ca="1">"b="&amp;TEXT(tblRuns[b],"##0.###")&amp;", d="&amp;TEXT(tblRuns[d],"0.00E+00")&amp;", P0="&amp;TEXT(Po,"#.###")&amp; ", r2=" &amp;TEXT(tblRuns[[#This Row],[R2]],"0.####") &amp;", Limit="&amp;IF(PopScaling=0,tblRuns[Asymptote b/d],tblRuns[[#This Row],[Asymp PerP]])&amp;"=&gt;"&amp;Cengnotation(tblRuns[[#This Row],[Limit Cases]],3)&amp;" cases "&amp;tblRuns[[#This Row],[Notes]]</f>
        <v xml:space="preserve">b=0.226, d=3.40E-05, P0=.639, r2=0.9994, Limit=2.62 k=&gt;6.64 k cases </v>
      </c>
      <c r="EG11" s="25"/>
      <c r="EH11" s="25" t="str">
        <f ca="1">tblRuns[Place]&amp;" Limit " &amp; IF(PopScaling=0,tblRuns[[#This Row],[Asymptote]],tblRuns[[#This Row],[Asymp PerP]])&amp;" r^2="&amp;TEXT(tblRuns[[#This Row],[R2]]*100,"##.00")&amp;"%"</f>
        <v>Australia Limit 2.62 k r^2=99.94%</v>
      </c>
      <c r="EJ11" s="18" t="str">
        <f ca="1">"COVID19 "&amp;tblRuns[[#This Row],[Place]] &amp; " " &amp;LogFormula&amp;CHAR(10)&amp;tblRuns[[#This Row],[Parameter List]]&amp;CHAR(10)&amp;" (Fit: " &amp; TEXT(tblRuns[Logistic Start2],"ddd dd-mmm") &amp; " - " &amp; TEXT(tblRuns[Last Date],"ddd dd-mmm")&amp;")"</f>
        <v>COVID19 Australia P(t) = b / {d+[( b/Po - d ) ]* exp(-b*t)}
b=0.226, d=3.40E-05, P0=.639, r2=0.9994, Limit=2.62 k=&gt;6.64 k cases 
 (Fit: Sat 25-Jan - Sun 03-May)</v>
      </c>
      <c r="EK11" s="11">
        <f>MAX(tblData[Au Cases Per Capita])</f>
        <v>2679.7823687115597</v>
      </c>
      <c r="EL11" s="156"/>
      <c r="EM11" s="25"/>
      <c r="EP11" s="25" t="str">
        <f ca="1">"At " &amp; TEXT(tblRuns[[#This Row],[Last Date]],"ddd dd-mmm ") &amp; tblRuns[[#This Row],[Place]] &amp;  TEXT(AuMaxCasespc," ###0") &amp; " cases per 10M was " &amp; EO13  &amp; " days behind Italy, " &amp; IF(EO14&gt;0, EO14 &amp; " days behind", -EO14 &amp; " days ahead of ") &amp; " USA, "&amp;  IF(ISERROR(EO15),",",EO15 &amp; "days behind China, ") &amp; EO16 &amp; " days behind South Korea, " &amp; EO17 &amp; " days behind UK"</f>
        <v>At Sun 03-May Australia 2680 cases per 10M was 53 days behind Italy, 38 days behind USA, -43days behind China, -31 days behind South Korea, 95 days behind UK</v>
      </c>
      <c r="EQ11" s="11">
        <f ca="1">INDEX(tblData[Au LogiP(t)],MATCH(VALUE(tblRuns[AtDate])+7,tblData[Dates],1))</f>
        <v>6643.7800233549615</v>
      </c>
      <c r="ER11" s="19">
        <f ca="1">tblRuns[Mean Sq Err]/tblRuns[Max Cases Per Capita]</f>
        <v>2.6219761673369289E-2</v>
      </c>
      <c r="ES11" s="132">
        <f>IF(MIN(tblData[Au Cases Per Capita])&gt;0,MIN(tblData[Dates]),INDEX(tblData[Dates],1+MATCH(solvMsgs!MinCases, tblData[Au Cases Per Capita],1)))</f>
        <v>43905</v>
      </c>
      <c r="ET11" s="133" t="str">
        <f>tblRuns[[#This Row],[Place]]&amp;" from "&amp;TEXT(tblRuns[DateOver100],"dd-mmm")</f>
        <v>Australia from 15-Mar</v>
      </c>
      <c r="EU11" s="163">
        <f ca="1">INDEX(tblData[Au LogiP(t)],MATCH(tblRuns[[#This Row],[Last Date]]+1,tblData[Dates],0))-INDEX(tblData[Au],MATCH(tblRuns[[#This Row],[Last Date]],tblData[Dates],0))</f>
        <v>-154.63496644326369</v>
      </c>
      <c r="EV11" s="25" t="s">
        <v>569</v>
      </c>
      <c r="EW11" s="25" t="str">
        <f>INDEX(tblPopulation[CtryAbbrev],MATCH(tblRuns[Place],tblPopulation[Country],0))</f>
        <v>Au</v>
      </c>
      <c r="EX11" s="26" t="str">
        <f ca="1">SUBSTITUTE(tblRuns[[#This Row],[ChartLabel]]," since " &amp; solvMsgs!MinCases,"")</f>
        <v>COVID19 Australia P(t) = b / {d+[( b/Po - d ) ]* exp(-b*t)}
b=0.226, d=3.40E-05, P0=.639, r2=0.9994, Limit=2.62 k=&gt;6.64 k cases 
 (Fit: Sat 25-Jan - Sun 03-May)</v>
      </c>
      <c r="FA11" t="str">
        <f ca="1">CELL("address",INDEX(tblData[Au],1+MATCH(100,tblData[Au],1)) OFFSET(tblData[Au],30,0,30,20))</f>
        <v>$AI$59</v>
      </c>
      <c r="FB11" t="str">
        <f ca="1">CELL("address",OFFSET(tblData[Au],50,0,30,1))</f>
        <v>$AI$61</v>
      </c>
      <c r="FC11" s="25" t="str">
        <f ca="1">CELL("address",INDEX(tblData[NSW],1+MATCH(100,tblData[NSW],1)))</f>
        <v>$AQ$63</v>
      </c>
      <c r="FD11" s="134"/>
      <c r="FF11"/>
      <c r="FG11"/>
      <c r="FH11"/>
      <c r="FI11" s="63">
        <v>43852</v>
      </c>
      <c r="FJ11" s="65">
        <f>NSWpop</f>
        <v>8080000</v>
      </c>
      <c r="FK11" s="66">
        <f>PerPerson</f>
        <v>10000000</v>
      </c>
      <c r="FL11" s="64"/>
      <c r="FM11"/>
      <c r="FN11"/>
      <c r="FO11" s="265" t="s">
        <v>48</v>
      </c>
      <c r="FP11" s="250"/>
      <c r="FQ11" s="156">
        <v>43855</v>
      </c>
      <c r="FR11" s="26"/>
      <c r="FS11" s="211">
        <v>0</v>
      </c>
      <c r="FT11" s="22">
        <v>0.19828176912463458</v>
      </c>
      <c r="FU11" s="24">
        <v>1.0000000000015669E-10</v>
      </c>
      <c r="FV11" s="21">
        <v>1.5235707215503663E-2</v>
      </c>
      <c r="FW11" s="212">
        <v>1982817691.2432389</v>
      </c>
      <c r="FX11" s="212">
        <v>10.841918819926793</v>
      </c>
      <c r="FY11" s="212"/>
      <c r="FZ11" s="213">
        <v>13.014280618450188</v>
      </c>
      <c r="GA11" s="213">
        <v>1.0000000000015668E-7</v>
      </c>
      <c r="GB11" s="156">
        <v>43908</v>
      </c>
      <c r="GC11" s="26" t="s">
        <v>574</v>
      </c>
      <c r="GD11" s="212"/>
      <c r="GE11" s="212">
        <v>565</v>
      </c>
      <c r="GF11" s="19" t="s">
        <v>575</v>
      </c>
      <c r="GG11" s="156">
        <v>43908</v>
      </c>
      <c r="GH11" s="25">
        <v>57</v>
      </c>
      <c r="GI11" s="18" t="s">
        <v>576</v>
      </c>
      <c r="GJ11" s="25"/>
      <c r="GK11" s="25" t="s">
        <v>577</v>
      </c>
      <c r="GM11" s="25" t="s">
        <v>578</v>
      </c>
      <c r="GN11" s="19"/>
      <c r="GO11" s="156"/>
      <c r="GP11" s="218"/>
      <c r="GQ11" s="156"/>
      <c r="GR11" s="25"/>
      <c r="GS11" s="25"/>
      <c r="GT11" s="11"/>
      <c r="GU11" s="12"/>
      <c r="GV11" s="26"/>
      <c r="GX11" s="219"/>
      <c r="HI11" s="11">
        <f ca="1">INT(NOW())-B56</f>
        <v>58</v>
      </c>
      <c r="HK11" s="164">
        <v>43897</v>
      </c>
      <c r="HL11" s="60">
        <v>43897</v>
      </c>
      <c r="HM11">
        <v>34</v>
      </c>
      <c r="HN11">
        <v>6217</v>
      </c>
      <c r="HQ11" t="str">
        <f>IF(ISNUMBER(tblNSWKnown[[#This Row],[Unknown Locally]]),tblNSWKnown[[#This Row],[Known Locally]]+tblNSWKnown[[#This Row],[Unknown Locally]],"")</f>
        <v/>
      </c>
      <c r="HR11" s="25"/>
      <c r="HS11" t="str">
        <f>IF(ISNUMBER(tblNSWKnown[[#This Row],[Day '# NSW Unknown]]),betaNSWUnknown/(deltaNSWUnknown+betaPodeltaNSWUnknown*EXP(-betaNSWUnknown*tblNSWKnown[Day '# NSW Unknown])),"")</f>
        <v/>
      </c>
      <c r="HT11" t="str">
        <f>IF(ISNUMBER(tblNSWKnown[[#This Row],[Total Local]]),(tblNSWKnown[[#This Row],[Total Local]]-tblNSWKnown[[#This Row],[NSW Unknown Logi P(t)]])^2,"")</f>
        <v/>
      </c>
      <c r="HU11" s="166" t="str">
        <f>IF(ISNUMBER(tblNSWKnown[Total Local]),(tblNSWKnown[Total Local]-AVERAGE(tblNSWKnown[Total Local]))^2,"")</f>
        <v/>
      </c>
      <c r="HV11" s="166"/>
    </row>
    <row r="12" spans="1:230" x14ac:dyDescent="0.25">
      <c r="B12" s="1">
        <v>43853</v>
      </c>
      <c r="C12">
        <v>0</v>
      </c>
      <c r="D12" s="25">
        <v>0</v>
      </c>
      <c r="E12">
        <v>0</v>
      </c>
      <c r="F12">
        <v>0</v>
      </c>
      <c r="G12">
        <v>0</v>
      </c>
      <c r="H12">
        <v>0</v>
      </c>
      <c r="I12">
        <v>0</v>
      </c>
      <c r="J12">
        <v>0</v>
      </c>
      <c r="K12">
        <v>0</v>
      </c>
      <c r="L12" s="11" t="str">
        <f>IF(ISNUMBER(tblData[[#This Row],[NSW]]),tblData[[#This Row],[New South Wales]]/NSWpopscale,"")</f>
        <v/>
      </c>
      <c r="N12" s="20" t="str">
        <f>IF(ISNUMBER(tblData[Italy]),tblData[Italy]/ItalyPopscale,"")</f>
        <v/>
      </c>
      <c r="O12">
        <v>1</v>
      </c>
      <c r="P12" s="20">
        <f>IF(ISNUMBER(tblData[US]),tblData[US]/USPopscale,"")</f>
        <v>3.037411069235945E-2</v>
      </c>
      <c r="Q12">
        <v>1</v>
      </c>
      <c r="R12" s="20">
        <f>IF(ISNUMBER(tblData[SKorea]),tblData[SKorea]/SKoreaPopscale,"")</f>
        <v>0.19455252918287938</v>
      </c>
      <c r="T12" s="12" t="str">
        <f>IF(ISNUMBER(tblData[United Kingdom]),tblData[United Kingdom]/UKPopscale,"")</f>
        <v/>
      </c>
      <c r="U12">
        <v>643</v>
      </c>
      <c r="V12" s="20">
        <f>IF(ISNUMBER(tblData[China]),tblData[China]/ChinaPopscale,"")</f>
        <v>4.4673756573864862</v>
      </c>
      <c r="W12" s="25">
        <f ca="1">IF(tblData[[#This Row],[Dates]]&lt;StartDt2China,"",tblData[[#This Row],[Dates]]-ChinaStart)</f>
        <v>1</v>
      </c>
      <c r="X12">
        <v>1</v>
      </c>
      <c r="Y12" s="20">
        <f>IF(ISNUMBER(tblData[Singapore]),tblData[Singapore]/SingaporePopscale,"")</f>
        <v>1.7094017094017095</v>
      </c>
      <c r="Z12"/>
      <c r="AA12" s="20" t="str">
        <f>IF(AND(LEN(tblData[Generic])&gt;0,ISNUMBER(tblData[Generic])),tblData[Generic]/GenericPopscale,"")</f>
        <v/>
      </c>
      <c r="AB12" s="25" t="str">
        <f ca="1">IF(tblData[[#This Row],[Dates]]&lt;StartDt2Italy,"",tblData[[#This Row],[Dates]]-ItalyStart)</f>
        <v/>
      </c>
      <c r="AC12" s="25">
        <f ca="1">IF(tblData[[#This Row],[Dates]]&lt;=StartDt2US,"",tblData[[#This Row],[Dates]]-USStart)</f>
        <v>1</v>
      </c>
      <c r="AD12" s="25">
        <f>IF(tblData[[#This Row],[Dates]]&lt;=SKoreaStart,"",tblData[[#This Row],[Dates]]-SKoreaStart)</f>
        <v>1</v>
      </c>
      <c r="AE12" s="25" t="str">
        <f ca="1">IF(tblData[[#This Row],[Dates]]&lt;=StartDt2UK,"",tblData[[#This Row],[Dates]]-UKStart)</f>
        <v/>
      </c>
      <c r="AF12" s="25">
        <f ca="1">IF(tblData[[#This Row],[Dates]]&lt;StartDt2Singapore,"",tblData[[#This Row],[Dates]]-SingaporeStart)</f>
        <v>0</v>
      </c>
      <c r="AG12" s="25" t="str">
        <f>IF(tblData[[#This Row],[Dates]]&lt;StartDt2Generic,"",tblData[[#This Row],[Dates]]-GenericStart)</f>
        <v/>
      </c>
      <c r="AH12" t="str">
        <f ca="1">IF(tblData[Dates]&gt;StartDt2Au,tblData[Dates]-AuStart,"")</f>
        <v/>
      </c>
      <c r="AI12" s="25"/>
      <c r="AJ12" s="25" t="str">
        <f>IF(ISNUMBER(tblData[Au]),tblData[Au]/AuPopScale,"")</f>
        <v/>
      </c>
      <c r="AK12" s="11" t="str">
        <f ca="1">IF(ISNUMBER(tblData[[#This Row],[Day'# Aust]]),betaAu/(deltaAu+betaPodeltaAu*EXP(-betaAu*tblData[[#This Row],[Day'# Aust]])),"")</f>
        <v/>
      </c>
      <c r="AL12" s="56" t="str">
        <f ca="1">IF(ISNUMBER(tblData[Day'# Aust]),tblData[Au LogiP(t)]/AuPopScale,"")</f>
        <v/>
      </c>
      <c r="AM12" s="11" t="str">
        <f ca="1">IF(AND(tblData[Dates]&gt;StartDt2Au,ISNUMBER(tblData[Au])),(tblData[[#This Row],[Au LogiP(t)]]-tblData[[#This Row],[Au]])^2,"")</f>
        <v/>
      </c>
      <c r="AN12" s="11" t="str">
        <f ca="1">IF(AND(ISNUMBER(tblData[Au]),tblData[Dates]&gt;StartDt2Au),(tblData[Au]-AVERAGE(tblData[Au]))^2,"")</f>
        <v/>
      </c>
      <c r="AO12" s="11">
        <f>tblData[[#This Row],[Dates]]-Au100dt</f>
        <v>-52</v>
      </c>
      <c r="AP12" t="str">
        <f ca="1">IF(tblData[Dates]&gt;StartDt2NSW,tblData[Dates]-StartDt2NSW,"")</f>
        <v/>
      </c>
      <c r="AQ12" s="25" t="str">
        <f>IF(tblData[[#This Row],[New South Wales]]&gt;0,tblData[[#This Row],[New South Wales]],"")</f>
        <v/>
      </c>
      <c r="AR12" s="11" t="str">
        <f ca="1">IF(tblData[Dates]&gt;StartDt2NSW,betaNSW/(deltaNSW+betaPodeltaNSW*EXP(-betaNSW*tblData[[#This Row],[Day '# NSW]])),"")</f>
        <v/>
      </c>
      <c r="AS12" s="12" t="str">
        <f ca="1">IF(AND(ISNUMBER(tblData[NSW]),tblData[Dates]&gt;StartDt2NSW),(tblData[[#This Row],[NSW LogiP(t)]]-tblData[[#This Row],[NSW]])^2,"")</f>
        <v/>
      </c>
      <c r="AT12" s="12" t="str">
        <f ca="1">IF(AND(tblData[Dates]&gt;StartDt2NSW,ISNUMBER(tblData[Day'# Aust])),tblData[NSW LogiP(t)]/NSWpopscale,"")</f>
        <v/>
      </c>
      <c r="AU12" s="11">
        <f>tblData[[#This Row],[Dates]]-NSW100dt+1</f>
        <v>-49</v>
      </c>
      <c r="AV12" s="11" t="str">
        <f ca="1">IF(AND(ISNUMBER(tblData[NSW]),tblData[Dates]&gt;StartDt2NSW),(tblData[NSW]-AVERAGE(tblData[NSW]))^2,"")</f>
        <v/>
      </c>
      <c r="AW12" s="39" t="str">
        <f ca="1">IF(AND(tblData[Dates]&gt;StartDt2Italy,ISNUMBER(tblData[Days'# Italy])),betaItaly/(deltaItaly+betaPodeltaItaly*EXP(-betaItaly*tblData[Days'# Italy])),"")</f>
        <v/>
      </c>
      <c r="AX12" s="11" t="str">
        <f ca="1">IF(AND(tblData[Dates]&gt;StartDt2Italy,ISNUMBER(tblData[Italy])),(tblData[[#This Row],[Italy LogiP(t)]]-tblData[[#This Row],[Italy]])^2,"")</f>
        <v/>
      </c>
      <c r="AY12" s="11" t="str">
        <f ca="1">IF(AND(tblData[Dates]&gt;StartDt2Italy,ISNUMBER(tblData[Days'# Italy])),tblData[[#This Row],[Italy LogiP(t)]]/ItalyPopscale,"")</f>
        <v/>
      </c>
      <c r="AZ12" s="11" t="str">
        <f ca="1">IF(AND(ISNUMBER(tblData[Italy]),tblData[Dates]&gt;StartDt2Italy),(tblData[Italy]-AVERAGE(tblData[Italy]))^2,"")</f>
        <v/>
      </c>
      <c r="BA12" s="11">
        <f>tblData[[#This Row],[Dates]]-Italy100dt+1</f>
        <v>-34</v>
      </c>
      <c r="BB12" s="11">
        <f ca="1">IF(AND(tblData[Dates]&gt;StartDt2US,ISNUMBER(tblData[[#This Row],[Days'# US]])),betaUS/(deltaUS+betaPodeltaUS*EXP(-betaUS*tblData[Days'# US])),"")</f>
        <v>1.3281262831377379E-3</v>
      </c>
      <c r="BC12" s="11">
        <f ca="1">IF(AND(tblData[Dates]&gt;StartDt2US,ISNUMBER(tblData[US])),(tblData[[#This Row],[US LogiP(t)]]-tblData[US])^2,"")</f>
        <v>0.99734551135314853</v>
      </c>
      <c r="BD12" s="20">
        <f ca="1">IF(AND(tblData[Dates]&gt;=StartDt2US,ISNUMBER(tblData[[#This Row],[Days'# US]])),tblData[[#This Row],[US LogiP(t)]]/USPopscale,"")</f>
        <v>4.0340654737457579E-5</v>
      </c>
      <c r="BE12" s="126">
        <f ca="1">IF(AND(ISNUMBER(tblData[US]),tblData[Dates]&gt;StartDt2US),(tblData[US]-AVERAGE(tblData[US]))^2,"")</f>
        <v>50150129139.55027</v>
      </c>
      <c r="BF12" s="11">
        <f>tblData[[#This Row],[Dates]]-US100dt+1</f>
        <v>-51</v>
      </c>
      <c r="BG12" s="11">
        <f ca="1">IF(tblData[Dates]&gt;StartDt2SKorea,betaSKorea/(deltaSKorea+betaPodeltaSKorea*EXP(-betaSKorea*(tblData[Dates]-StartDt2SKorea))),"")</f>
        <v>6.1503179199711084</v>
      </c>
      <c r="BH12" s="11">
        <f ca="1">IF(AND(tblData[Dates]&gt;StartDt2SKorea,ISNUMBER(tblData[SKorea])),(tblData[[#This Row],[SKorea LogiP(t)]]-tblData[[#This Row],[SKorea]])^2,"")</f>
        <v>26.525774676775526</v>
      </c>
      <c r="BI12" s="11">
        <f ca="1">IF(tblData[Dates]&gt;StartDt2SKorea,tblData[[#This Row],[SKorea LogiP(t)]]/SKoreaPopscale,"")</f>
        <v>1.1965599066091652</v>
      </c>
      <c r="BJ12" s="11">
        <f ca="1">IF(AND(ISNUMBER(tblData[SKorea]),tblData[Dates]&gt;StartDt2SKorea),(tblData[SKorea]-AVERAGE(tblData[SKorea]))^2,"")</f>
        <v>33911667.844675124</v>
      </c>
      <c r="BK12" s="11">
        <f>tblData[[#This Row],[Dates]]-SKorea100dt+1</f>
        <v>-30</v>
      </c>
      <c r="BL12" s="126" t="str">
        <f ca="1">IF(AND(tblData[Dates]&gt;StartDt2UK,ISNUMBER(tblData[Days'# UK])),betaUK/(deltaUK+betaPodeltaUK*EXP(-betaUK*tblData[Days'# UK])),"")</f>
        <v/>
      </c>
      <c r="BM12" s="11" t="str">
        <f ca="1">IF(AND(tblData[Dates]&gt;StartDt2UK,ISNUMBER(tblData[United Kingdom])),(tblData[[#This Row],[UK LogiP(t)]]-tblData[[#This Row],[United Kingdom]])^2,"")</f>
        <v/>
      </c>
      <c r="BN12" s="11" t="str">
        <f ca="1">IF(ISNUMBER(tblData[Days'# UK]),tblData[[#This Row],[UK LogiP(t)]]/UKPopscale,"")</f>
        <v/>
      </c>
      <c r="BO12" s="126" t="str">
        <f ca="1">IF(AND(ISNUMBER(tblData[United Kingdom]),tblData[Dates]&gt;StartDt2UK),(tblData[United Kingdom]-AVERAGE(tblData[United Kingdom]))^2,"")</f>
        <v/>
      </c>
      <c r="BP12" s="11">
        <f>tblData[[#This Row],[Dates]]-UK100dt</f>
        <v>-49</v>
      </c>
      <c r="BQ12" s="11">
        <f ca="1">IF(ISNUMBER(tblData[Days'# China]),betaChina/(deltaChina+betaPodeltaChina*EXP(-betaChina*tblData[Days'# China])),"")</f>
        <v>1941.8140121159006</v>
      </c>
      <c r="BR12" s="11">
        <f ca="1">IF(ISNUMBER(tblData[China]),(tblData[[#This Row],[China LogiP(t)]]-tblData[[#This Row],[China]])^2,"")</f>
        <v>1686917.8380686028</v>
      </c>
      <c r="BS12" s="11">
        <f ca="1">tblData[[#This Row],[China LogiP(t)]]/ChinaPopscale</f>
        <v>13.491154974958885</v>
      </c>
      <c r="BT12" s="126">
        <f ca="1">IF(AND(ISNUMBER(tblData[China]),tblData[Dates]&gt;StartDt2China),(tblData[China]-AVERAGE(tblData[China]))^2,"")</f>
        <v>4430429366.8685131</v>
      </c>
      <c r="BU12" s="11">
        <f>tblData[[#This Row],[Dates]]-China100dt</f>
        <v>-10</v>
      </c>
      <c r="BV12" s="95">
        <f ca="1">IF(ISNUMBER(tblData[Day'# Singapore]),betaSingapore/(deltaSingapore+betaPodeltaSingapore*EXP(-betaSingapore*tblData[Day'# Singapore])),"")</f>
        <v>0.12214741562231426</v>
      </c>
      <c r="BW12" s="11">
        <f ca="1">IF(AND(ISNUMBER(tblData[Singapore]),tblData[Dates]&gt;=StartDt2Singapore),(tblData[[#This Row],[Singapore LogiP(t)]]-tblData[[#This Row],[Singapore]])^2,"")</f>
        <v>0.77062515989858194</v>
      </c>
      <c r="BX12" s="20">
        <f ca="1">IF(ISNUMBER(tblData[Day'# Singapore]),tblData[Singapore LogiP(t)]/SingaporePopscale,"")</f>
        <v>0.20879900106378507</v>
      </c>
      <c r="BY12" s="95" t="str">
        <f ca="1">IF(AND(ISNUMBER(tblData[Singapore]),tblData[Dates]&gt;StartDt2Singapore),(tblData[Singapore]-AVERAGE(tblData[Singapore]))^2,"")</f>
        <v/>
      </c>
      <c r="BZ12" s="11">
        <f>tblData[[#This Row],[Dates]]-Singapore100dt+1</f>
        <v>-21</v>
      </c>
      <c r="CA12" s="12" t="str">
        <f>IF(AND(tblData[Dates]&gt;StartDt2Generic,ISNUMBER(tblData[Day'# Generic])),betaGeneric/(deltaGeneric+betaPodeltaGeneric*EXP(-betaGeneric*tblData[Day'# Generic])),"")</f>
        <v/>
      </c>
      <c r="CB12" s="95" t="str">
        <f>IF(AND(ISNUMBER(tblData[Generic]),tblData[Dates]&gt;StartDt2Generic),(tblData[Generic LogiP(t)]-tblData[[#This Row],[Generic]])^2,"")</f>
        <v/>
      </c>
      <c r="CC12" s="11" t="str">
        <f>IF(AND(ISNUMBER(tblData[Day'# Generic]),tblData[Dates]&gt;StartDt2Generic),tblData[Generic LogiP(t)]/GenericPopscale,"")</f>
        <v/>
      </c>
      <c r="CD12" s="95" t="str">
        <f>IF(AND(ISNUMBER(tblData[Generic]),tblData[Dates]&gt;StartDt2Generic),(tblData[Generic]-AVERAGE(tblData[Generic]))^2,"")</f>
        <v/>
      </c>
      <c r="CE12" s="11">
        <f>tblData[[#This Row],[Dates]]-Generic100dt+1</f>
        <v>-49</v>
      </c>
      <c r="CF12"/>
      <c r="CG12" s="11"/>
      <c r="CH12" s="11" t="str">
        <f>IF(ISNUMBER(tblData[[#This Row],[Tests]]),tblData[[#This Row],[Tests]]-CH11,"")</f>
        <v/>
      </c>
      <c r="CI12" s="11" t="str">
        <f>IF(ISNUMBER(tblData[[#This Row],[NSW Under Investigation'']]),tblData[[#This Row],[NSW Under Investigation'']]-CG11,"")</f>
        <v/>
      </c>
      <c r="CJ12" s="11"/>
      <c r="CK12" s="11" t="str">
        <f>IF(AND(tblData[[#This Row],[NSW Test Day Number]]&gt;0,ISNUMBER(tblData[[#This Row],[NSW Test Day Number]])),betaTests/(deltaTests+betaPodeltaTests*EXP(-betaTests*tblData[[#This Row],[NSW Test Day Number]])),"")</f>
        <v/>
      </c>
      <c r="CL12" s="11" t="str">
        <f>IF(tblData[Tests]&gt;0,(tblData[[#This Row],[Tests]]-tblData[[#This Row],[NSW Test Logi]])^2,"")</f>
        <v/>
      </c>
      <c r="CM12" s="95" t="str">
        <f>IF(AND(ISNUMBER(tblData[Tests]),tblData[Dates]&gt;StartDt2Tests),(tblData[Tests]-AVERAGE(tblData[Tests]))^2,"")</f>
        <v/>
      </c>
      <c r="CN12" s="11" t="str">
        <f>IF(ISNUMBER(tblData[Tests]),tblData[Tests]/NSWpopscale/100,"")</f>
        <v/>
      </c>
      <c r="CO12" s="11" t="str">
        <f>IF(AND(tblData[[#This Row],[NSW Test Day Number]]&gt;0,ISNUMBER(tblData[[#This Row],[NSW Test Day Number]])),TestsLogestB*TestsLogestM^tblData[[#This Row],[NSW Test Day Number]],"")</f>
        <v/>
      </c>
      <c r="CP12" s="11" t="str">
        <f>IF(AND(tblData[[#This Row],[NSW Test Day Number]]&gt;0,ISNUMBER(tblData[Tests])),(tblData[Tests]-tblData[[#This Row],[NSW Test Per Capita]])^2,"")</f>
        <v/>
      </c>
      <c r="CQ12" s="20" t="str">
        <f ca="1">IF(AND(tblData[Day '# NSW]&gt;0,ISNUMBER(tblData[[#This Row],[Day '# NSW]])),NSWLogestB*NSWLogestM^tblData[[#This Row],[Day '# NSW]]/NSWpopscale,"")</f>
        <v/>
      </c>
      <c r="CR12" s="39" t="str">
        <f ca="1">IF(AND(ISNUMBER(tblData[NSW]),tblData[Dates]&gt;StartDt2NSW),(tblData[NSW]/NSWpopscale-tblData[[#This Row],[NSW Cases LogEst]])^2,"")</f>
        <v/>
      </c>
      <c r="CS12">
        <v>1</v>
      </c>
      <c r="CT12" s="19">
        <f>IF(ISNUMBER(tblData[Taiwan]),tblData[Taiwan]/TaiwanPopscale,"")</f>
        <v>0.4200395492437986</v>
      </c>
      <c r="CU12" s="11">
        <f ca="1">IF(tblData[[#This Row],[Dates]]&lt;StartDt2Taiwan,"",tblData[[#This Row],[Dates]]-TaiwanStart)</f>
        <v>1</v>
      </c>
      <c r="CV12" s="19">
        <f ca="1">IF(AND(tblData[Dates]&gt;StartDt2Taiwan,ISNUMBER(tblData[Days'# Taiwan])),betaTaiwan/(deltaTaiwan+betaPodeltaTaiwan*EXP(-betaTaiwan*tblData[Days'# Taiwan])),"")</f>
        <v>4.9424814038196041E-2</v>
      </c>
      <c r="CW12" s="95">
        <f ca="1">IF(AND(tblData[Dates]&gt;StartDt2Taiwan,ISNUMBER(tblData[Taiwan])),(tblData[[#This Row],[Taiwan LogiP(t)]]-tblData[[#This Row],[Taiwan]])^2,"")</f>
        <v>0.90359318416631806</v>
      </c>
      <c r="CX12" s="20">
        <f ca="1">IF(AND(tblData[Dates]&gt;StartDt2Taiwan,ISNUMBER(tblData[Days'# Taiwan])),tblData[[#This Row],[Taiwan LogiP(t)]]/TaiwanPopscale,"")</f>
        <v>2.0760376610062435E-2</v>
      </c>
      <c r="CY12" s="95">
        <f ca="1">IF(AND(ISNUMBER(tblData[Taiwan]),tblData[Dates]&gt;StartDt2Taiwan),(tblData[Taiwan]-AVERAGE(tblData[Taiwan]))^2,"")</f>
        <v>28408.772010765093</v>
      </c>
      <c r="CZ12" s="11">
        <f>tblData[[#This Row],[Dates]]-Taiwan100dt+1</f>
        <v>-62</v>
      </c>
      <c r="DA12"/>
      <c r="DB12" s="20" t="str">
        <f>IF(ISNUMBER(tblData[NZ]),tblData[NZ]/NZPopscale,"")</f>
        <v/>
      </c>
      <c r="DC12" s="11" t="str">
        <f ca="1">IF(tblData[[#This Row],[Dates]]&lt;StartDt2NZ,"",tblData[[#This Row],[Dates]]-NZStart)</f>
        <v/>
      </c>
      <c r="DD12" s="20" t="str">
        <f ca="1">IF(AND(tblData[Dates]&gt;StartDt2NZ,ISNUMBER(tblData[Days'# NZ])),betaNZ/(deltaNZ+betaPodeltaNZ*EXP(-betaNZ*tblData[Days'# NZ])),"")</f>
        <v/>
      </c>
      <c r="DE12" s="95" t="str">
        <f ca="1">IF(AND(tblData[Dates]&gt;StartDt2NZ,ISNUMBER(tblData[NZ])),(tblData[[#This Row],[NZ LogiP(t)]]-tblData[[#This Row],[NZ]])^2,"")</f>
        <v/>
      </c>
      <c r="DF12" s="20" t="str">
        <f ca="1">IF(AND(tblData[Dates]&gt;StartDt2NZ,ISNUMBER(tblData[Days'# NZ])),tblData[[#This Row],[NZ LogiP(t)]]/NZPopscale,"")</f>
        <v/>
      </c>
      <c r="DG12" s="95" t="str">
        <f ca="1">IF(AND(ISNUMBER(tblData[NZ]),tblData[Dates]&gt;StartDt2NZ),(tblData[NZ]-AVERAGE(tblData[NZ]))^2,"")</f>
        <v/>
      </c>
      <c r="DH12" s="11">
        <f>tblData[[#This Row],[Dates]]-NZ100dt+1</f>
        <v>-58</v>
      </c>
      <c r="DI12" s="39"/>
      <c r="DJ12" s="11"/>
      <c r="DK12" s="1"/>
      <c r="DL12" s="51" t="s">
        <v>153</v>
      </c>
      <c r="DM12" s="155">
        <v>43954.723819444444</v>
      </c>
      <c r="DN12" s="62">
        <f>INDEX(tblPopulation[Day 0],MATCH(tblRuns[[#This Row],[Place]],tblPopulation[State],0),1)</f>
        <v>43855</v>
      </c>
      <c r="DO12" s="62">
        <f ca="1">INDEX(tblPopulation[Logistic Start2],MATCH($DL12,tblPopulation[Headng],0),1)</f>
        <v>43855</v>
      </c>
      <c r="DP12" s="51">
        <v>1</v>
      </c>
      <c r="DQ12" s="44">
        <v>0.23429106135547312</v>
      </c>
      <c r="DR12" s="71">
        <v>7.8790701539194612E-5</v>
      </c>
      <c r="DS12" s="71">
        <v>1.2352054613844388E-3</v>
      </c>
      <c r="DT12" s="51">
        <f>betaNSW/deltaNSW</f>
        <v>2973.5877048756129</v>
      </c>
      <c r="DU12" s="53">
        <f ca="1">SQRT(SUM(tblData[NSW Sq Err])/COUNT(tblData[NSW Sq Err]))</f>
        <v>28.502705999431782</v>
      </c>
      <c r="DV12" s="158">
        <f ca="1">1-(SUM(tblData[NSW Sq Err])/SUM(tblData[NSW Mean Devn Sq]))</f>
        <v>0.99951740926642729</v>
      </c>
      <c r="DW12" s="73">
        <f>(betaNSW/PoNSW)-deltaNSW</f>
        <v>189.67772678900809</v>
      </c>
      <c r="DX12" s="73">
        <f>tblRuns[d]*1000</f>
        <v>7.879070153919461E-2</v>
      </c>
      <c r="DY12" s="26">
        <f t="array" ref="DY12">MAX(IF(ISNUMBER(tblData[NSW]),tblData[Dates]))</f>
        <v>43954</v>
      </c>
      <c r="DZ12" s="26" t="str">
        <f>Cengnotation(tblRuns[[#This Row],[Asymptote b/d]],3)</f>
        <v>2.97 k</v>
      </c>
      <c r="EA12" s="95">
        <f ca="1">MAX(tblData[NSW LogiP(t)])</f>
        <v>2973.5877042756638</v>
      </c>
      <c r="EB12" s="51">
        <f>MAX(tblData[NSW])</f>
        <v>3035</v>
      </c>
      <c r="EC12" s="51" t="str">
        <f>Cengnotation(DT12/(NSWpop/PerPerson),3)</f>
        <v>3.68 k</v>
      </c>
      <c r="ED12" s="26">
        <f ca="1">MAX(myData!NSWDates)</f>
        <v>43954</v>
      </c>
      <c r="EE12" s="91">
        <f t="array" ref="EE12">COUNT(IF(ISNUMBER(tblData[NSW]),tblData[Dates]))</f>
        <v>100</v>
      </c>
      <c r="EF12" s="26" t="str">
        <f ca="1">"b="&amp;TEXT(tblRuns[b],"##0.###")&amp;", d="&amp;TEXT(tblRuns[d],"0.00E+00")&amp;", P0="&amp;TEXT(Po,"#.###")&amp; ", r2=" &amp;TEXT(tblRuns[[#This Row],[R2]],"0.####") &amp;", Limit="&amp;IF(PopScaling=0,tblRuns[Asymptote b/d],tblRuns[[#This Row],[Asymp PerP]])&amp;"=&gt;"&amp;Cengnotation(tblRuns[[#This Row],[Limit Cases]],3)&amp;" cases "&amp;tblRuns[[#This Row],[Notes]]</f>
        <v xml:space="preserve">b=0.234, d=7.88E-05, P0=.639, r2=0.9995, Limit=3.68 k=&gt;2.97 k cases </v>
      </c>
      <c r="EG12" s="51"/>
      <c r="EH12" s="25" t="str">
        <f ca="1">tblRuns[Place]&amp;" Limit " &amp; IF(PopScaling=0,tblRuns[[#This Row],[Asymptote]],tblRuns[[#This Row],[Asymp PerP]])&amp;" r^2="&amp;TEXT(tblRuns[[#This Row],[R2]]*100,"##.00")&amp;"%"</f>
        <v>NSW Limit 3.68 k r^2=99.95%</v>
      </c>
      <c r="EI12" s="51"/>
      <c r="EJ12" s="18" t="str">
        <f ca="1">"COVID19 "&amp;tblRuns[[#This Row],[Place]] &amp; " " &amp;LogFormula&amp;CHAR(10)&amp;tblRuns[[#This Row],[Parameter List]]&amp;CHAR(10)&amp;" (Fit: " &amp; TEXT(tblRuns[Logistic Start2],"ddd dd-mmm") &amp; " - " &amp; TEXT(tblRuns[Last Date],"ddd dd-mmm")&amp;")"</f>
        <v>COVID19 NSW P(t) = b / {d+[( b/Po - d ) ]* exp(-b*t)}
b=0.234, d=7.88E-05, P0=.639, r2=0.9995, Limit=3.68 k=&gt;2.97 k cases 
 (Fit: Sat 25-Jan - Sun 03-May)</v>
      </c>
      <c r="EK12" s="11">
        <f>MAX(tblData[NSW Cases per Capita])</f>
        <v>3756.1881188118809</v>
      </c>
      <c r="EL12" s="157"/>
      <c r="EM12" s="53"/>
      <c r="EO12" s="11"/>
      <c r="EP12" s="25" t="str">
        <f ca="1">"At " &amp; TEXT(tblRuns[[#This Row],[Last Date]],"ddd dd-mmm " ) &amp;  DL12  &amp;  TEXT(NSWMaxCasespc," ###0") &amp; " cases per 10M was " &amp; EM13 &amp; " days behind Italy, " &amp; IF(EM14&gt;0, EM14 &amp; " days behind", -EM14 &amp; " days ahead of") &amp; " USA &amp; " &amp;  EM15 &amp; " days behind China, " &amp; EM16 &amp; " days behind South Korea, " &amp; EM17 &amp; " days behind UK"</f>
        <v>At Sun 03-May NSW 3756 cases per 10M was 49 days behind Italy, 35 days behind USA &amp; -42 days behind China, -35 days behind South Korea, 33 days behind UK</v>
      </c>
      <c r="EQ12" s="11">
        <f ca="1">INDEX(tblData[NSW LogiP(t)],MATCH(VALUE(tblRuns[AtDate])+7,tblData[Dates],1))</f>
        <v>2973.2883790001429</v>
      </c>
      <c r="ER12" s="19">
        <f ca="1">tblRuns[Mean Sq Err]/tblRuns[Max Cases Per Capita]</f>
        <v>7.5881998179706369E-3</v>
      </c>
      <c r="ES12" s="132">
        <f>IF(MIN(tblData[NSW Cases per Capita])&gt;0,MIN(tblData[Dates]),INDEX(tblData[Dates],1+MATCH(solvMsgs!MinCases, tblData[NSW Cases per Capita],1)))</f>
        <v>43903</v>
      </c>
      <c r="ET12" s="133" t="str">
        <f>tblRuns[[#This Row],[Place]]&amp;" from "&amp;TEXT(tblRuns[DateOver100],"dd-mmm")</f>
        <v>NSW from 13-Mar</v>
      </c>
      <c r="EU12" s="162">
        <f ca="1">INDEX(tblData[NSW LogiP(t)],MATCH(tblRuns[[#This Row],[Last Date]]+1,tblData[Dates],0))-INDEX(tblData[NSW],MATCH(tblRuns[[#This Row],[Last Date]],tblData[Dates],0))</f>
        <v>-61.890507445740241</v>
      </c>
      <c r="EV12" s="25" t="s">
        <v>153</v>
      </c>
      <c r="EW12" s="313" t="e">
        <f>INDEX(tblPopulation[CtryAbbrev],MATCH(tblRuns[Place],tblPopulation[CtryAbbrev],0))</f>
        <v>#N/A</v>
      </c>
      <c r="EX12" s="26" t="str">
        <f ca="1">SUBSTITUTE(tblRuns[[#This Row],[ChartLabel]]," since " &amp; solvMsgs!MinCases,"")</f>
        <v>COVID19 NSW P(t) = b / {d+[( b/Po - d ) ]* exp(-b*t)}
b=0.234, d=7.88E-05, P0=.639, r2=0.9995, Limit=3.68 k=&gt;2.97 k cases 
 (Fit: Sat 25-Jan - Sun 03-May)</v>
      </c>
      <c r="FA12" t="str">
        <f ca="1">CELL("address",INDEX(tblData[NSW Cases per Capita],1+MATCH(100,tblData[NSW],1)) NSWCases)</f>
        <v>$L$63</v>
      </c>
      <c r="FB12" s="25" t="str">
        <f ca="1">CELL("address",NSWCases)</f>
        <v>$L$15</v>
      </c>
      <c r="FC12" t="str">
        <f ca="1">ADDRESS(ROW(NSWCases),COLUMN(NSWCases))&amp;":"&amp;ADDRESS(ROW(NSWCases)+ROWS(NSWCases)-1,COLUMN(NSWCases)+COLUMNS(NSWCases)-1)</f>
        <v>$L$15:$L$113</v>
      </c>
      <c r="FD12" s="135">
        <f t="array" aca="1" ref="FD12" ca="1">COUNT(NSWCases OFFSET(tblData[NSW Cases per Capita],1+MATCH(100,tblData[NSW],1),0,100,1))</f>
        <v>50</v>
      </c>
      <c r="FF12"/>
      <c r="FG12"/>
      <c r="FH12"/>
      <c r="FI12" s="63">
        <v>44004</v>
      </c>
      <c r="FJ12" s="65">
        <f>FJ11</f>
        <v>8080000</v>
      </c>
      <c r="FK12" s="66">
        <f>PerPerson</f>
        <v>10000000</v>
      </c>
      <c r="FL12" s="64">
        <f>delta</f>
        <v>1.5946007988690015E-4</v>
      </c>
      <c r="FM12"/>
      <c r="FN12"/>
      <c r="FO12" s="265" t="s">
        <v>48</v>
      </c>
      <c r="FP12" s="250"/>
      <c r="FQ12" s="156">
        <v>43855</v>
      </c>
      <c r="FR12" s="26"/>
      <c r="FS12" s="211">
        <v>0</v>
      </c>
      <c r="FT12" s="25">
        <v>0.19828176912463458</v>
      </c>
      <c r="FU12" s="24">
        <v>1.0000000000015669E-10</v>
      </c>
      <c r="FV12" s="21">
        <v>1.5235707215503663E-2</v>
      </c>
      <c r="FW12" s="212">
        <v>1982817691.2432389</v>
      </c>
      <c r="FX12" s="212">
        <v>12.353786198782009</v>
      </c>
      <c r="FY12" s="212"/>
      <c r="FZ12" s="213">
        <v>13.014280618450188</v>
      </c>
      <c r="GA12" s="213">
        <v>1.0000000000015668E-7</v>
      </c>
      <c r="GB12" s="156">
        <v>43908</v>
      </c>
      <c r="GC12" s="26" t="s">
        <v>574</v>
      </c>
      <c r="GD12" s="212"/>
      <c r="GE12" s="212">
        <v>636</v>
      </c>
      <c r="GF12" s="25" t="s">
        <v>575</v>
      </c>
      <c r="GG12" s="156">
        <v>43908</v>
      </c>
      <c r="GH12" s="25">
        <v>58</v>
      </c>
      <c r="GI12" s="26" t="s">
        <v>576</v>
      </c>
      <c r="GJ12" s="25"/>
      <c r="GK12" s="25" t="s">
        <v>577</v>
      </c>
      <c r="GM12" s="18" t="s">
        <v>598</v>
      </c>
      <c r="GN12" s="20">
        <v>250.74909320296484</v>
      </c>
      <c r="GO12" s="156"/>
      <c r="GP12" s="218"/>
      <c r="GQ12" s="156"/>
      <c r="GR12" s="25"/>
      <c r="GS12" s="25" t="s">
        <v>599</v>
      </c>
      <c r="GT12" s="11"/>
      <c r="GU12" s="12"/>
      <c r="GV12" s="26"/>
      <c r="GX12" s="219"/>
      <c r="HK12" s="164">
        <v>43897</v>
      </c>
      <c r="HL12" s="60">
        <v>43897</v>
      </c>
      <c r="HM12">
        <v>36</v>
      </c>
      <c r="HN12">
        <v>6690</v>
      </c>
      <c r="HQ12" t="str">
        <f>IF(ISNUMBER(tblNSWKnown[[#This Row],[Unknown Locally]]),tblNSWKnown[[#This Row],[Known Locally]]+tblNSWKnown[[#This Row],[Unknown Locally]],"")</f>
        <v/>
      </c>
      <c r="HR12" s="25"/>
      <c r="HS12" t="str">
        <f>IF(ISNUMBER(tblNSWKnown[[#This Row],[Day '# NSW Unknown]]),betaNSWUnknown/(deltaNSWUnknown+betaPodeltaNSWUnknown*EXP(-betaNSWUnknown*tblNSWKnown[Day '# NSW Unknown])),"")</f>
        <v/>
      </c>
      <c r="HT12" t="str">
        <f>IF(ISNUMBER(tblNSWKnown[[#This Row],[Total Local]]),(tblNSWKnown[[#This Row],[Total Local]]-tblNSWKnown[[#This Row],[NSW Unknown Logi P(t)]])^2,"")</f>
        <v/>
      </c>
      <c r="HU12" s="166" t="str">
        <f>IF(ISNUMBER(tblNSWKnown[Total Local]),(tblNSWKnown[Total Local]-AVERAGE(tblNSWKnown[Total Local]))^2,"")</f>
        <v/>
      </c>
      <c r="HV12" s="166"/>
    </row>
    <row r="13" spans="1:230" x14ac:dyDescent="0.25">
      <c r="B13" s="26">
        <v>43854</v>
      </c>
      <c r="C13">
        <v>0</v>
      </c>
      <c r="D13" s="25">
        <v>0</v>
      </c>
      <c r="E13">
        <v>0</v>
      </c>
      <c r="F13">
        <v>0</v>
      </c>
      <c r="G13">
        <v>0</v>
      </c>
      <c r="H13">
        <v>0</v>
      </c>
      <c r="I13">
        <v>0</v>
      </c>
      <c r="J13">
        <v>0</v>
      </c>
      <c r="K13">
        <v>0</v>
      </c>
      <c r="L13" s="11" t="str">
        <f>IF(ISNUMBER(tblData[[#This Row],[NSW]]),tblData[[#This Row],[New South Wales]]/NSWpopscale,"")</f>
        <v/>
      </c>
      <c r="N13" s="20" t="str">
        <f>IF(ISNUMBER(tblData[Italy]),tblData[Italy]/ItalyPopscale,"")</f>
        <v/>
      </c>
      <c r="O13">
        <v>2</v>
      </c>
      <c r="P13" s="20">
        <f>IF(ISNUMBER(tblData[US]),tblData[US]/USPopscale,"")</f>
        <v>6.0748221384718901E-2</v>
      </c>
      <c r="Q13">
        <v>2</v>
      </c>
      <c r="R13" s="20">
        <f>IF(ISNUMBER(tblData[SKorea]),tblData[SKorea]/SKoreaPopscale,"")</f>
        <v>0.38910505836575876</v>
      </c>
      <c r="T13" s="12" t="str">
        <f>IF(ISNUMBER(tblData[United Kingdom]),tblData[United Kingdom]/UKPopscale,"")</f>
        <v/>
      </c>
      <c r="U13">
        <v>920</v>
      </c>
      <c r="V13" s="20">
        <f>IF(ISNUMBER(tblData[China]),tblData[China]/ChinaPopscale,"")</f>
        <v>6.391890520677399</v>
      </c>
      <c r="W13" s="25">
        <f ca="1">IF(tblData[[#This Row],[Dates]]&lt;StartDt2China,"",tblData[[#This Row],[Dates]]-ChinaStart)</f>
        <v>2</v>
      </c>
      <c r="X13">
        <v>3</v>
      </c>
      <c r="Y13" s="20">
        <f>IF(ISNUMBER(tblData[Singapore]),tblData[Singapore]/SingaporePopscale,"")</f>
        <v>5.1282051282051286</v>
      </c>
      <c r="Z13"/>
      <c r="AA13" s="20" t="str">
        <f>IF(AND(LEN(tblData[Generic])&gt;0,ISNUMBER(tblData[Generic])),tblData[Generic]/GenericPopscale,"")</f>
        <v/>
      </c>
      <c r="AB13" s="25" t="str">
        <f ca="1">IF(tblData[[#This Row],[Dates]]&lt;StartDt2Italy,"",tblData[[#This Row],[Dates]]-ItalyStart)</f>
        <v/>
      </c>
      <c r="AC13" s="25">
        <f ca="1">IF(tblData[[#This Row],[Dates]]&lt;=StartDt2US,"",tblData[[#This Row],[Dates]]-USStart)</f>
        <v>2</v>
      </c>
      <c r="AD13" s="25">
        <f>IF(tblData[[#This Row],[Dates]]&lt;=SKoreaStart,"",tblData[[#This Row],[Dates]]-SKoreaStart)</f>
        <v>2</v>
      </c>
      <c r="AE13" s="25" t="str">
        <f ca="1">IF(tblData[[#This Row],[Dates]]&lt;=StartDt2UK,"",tblData[[#This Row],[Dates]]-UKStart)</f>
        <v/>
      </c>
      <c r="AF13" s="25">
        <f ca="1">IF(tblData[[#This Row],[Dates]]&lt;StartDt2Singapore,"",tblData[[#This Row],[Dates]]-SingaporeStart)</f>
        <v>1</v>
      </c>
      <c r="AG13" s="25" t="str">
        <f>IF(tblData[[#This Row],[Dates]]&lt;StartDt2Generic,"",tblData[[#This Row],[Dates]]-GenericStart)</f>
        <v/>
      </c>
      <c r="AH13" t="str">
        <f ca="1">IF(tblData[Dates]&gt;StartDt2Au,tblData[Dates]-AuStart,"")</f>
        <v/>
      </c>
      <c r="AI13" s="25"/>
      <c r="AJ13" s="25" t="str">
        <f>IF(ISNUMBER(tblData[Au]),tblData[Au]/AuPopScale,"")</f>
        <v/>
      </c>
      <c r="AK13" s="11" t="str">
        <f ca="1">IF(ISNUMBER(tblData[[#This Row],[Day'# Aust]]),betaAu/(deltaAu+betaPodeltaAu*EXP(-betaAu*tblData[[#This Row],[Day'# Aust]])),"")</f>
        <v/>
      </c>
      <c r="AL13" s="56" t="str">
        <f ca="1">IF(ISNUMBER(tblData[Day'# Aust]),tblData[Au LogiP(t)]/AuPopScale,"")</f>
        <v/>
      </c>
      <c r="AM13" s="11" t="str">
        <f ca="1">IF(AND(tblData[Dates]&gt;StartDt2Au,ISNUMBER(tblData[Au])),(tblData[[#This Row],[Au LogiP(t)]]-tblData[[#This Row],[Au]])^2,"")</f>
        <v/>
      </c>
      <c r="AN13" s="11" t="str">
        <f ca="1">IF(AND(ISNUMBER(tblData[Au]),tblData[Dates]&gt;StartDt2Au),(tblData[Au]-AVERAGE(tblData[Au]))^2,"")</f>
        <v/>
      </c>
      <c r="AO13" s="11">
        <f>tblData[[#This Row],[Dates]]-Au100dt</f>
        <v>-51</v>
      </c>
      <c r="AP13" t="str">
        <f ca="1">IF(tblData[Dates]&gt;StartDt2NSW,tblData[Dates]-StartDt2NSW,"")</f>
        <v/>
      </c>
      <c r="AQ13" s="25" t="str">
        <f>IF(tblData[[#This Row],[New South Wales]]&gt;0,tblData[[#This Row],[New South Wales]],"")</f>
        <v/>
      </c>
      <c r="AR13" s="11" t="str">
        <f ca="1">IF(tblData[Dates]&gt;StartDt2NSW,betaNSW/(deltaNSW+betaPodeltaNSW*EXP(-betaNSW*tblData[[#This Row],[Day '# NSW]])),"")</f>
        <v/>
      </c>
      <c r="AS13" s="12" t="str">
        <f ca="1">IF(AND(ISNUMBER(tblData[NSW]),tblData[Dates]&gt;StartDt2NSW),(tblData[[#This Row],[NSW LogiP(t)]]-tblData[[#This Row],[NSW]])^2,"")</f>
        <v/>
      </c>
      <c r="AT13" s="12" t="str">
        <f ca="1">IF(AND(tblData[Dates]&gt;StartDt2NSW,ISNUMBER(tblData[Day'# Aust])),tblData[NSW LogiP(t)]/NSWpopscale,"")</f>
        <v/>
      </c>
      <c r="AU13" s="11">
        <f>tblData[[#This Row],[Dates]]-NSW100dt+1</f>
        <v>-48</v>
      </c>
      <c r="AV13" s="11" t="str">
        <f ca="1">IF(AND(ISNUMBER(tblData[NSW]),tblData[Dates]&gt;StartDt2NSW),(tblData[NSW]-AVERAGE(tblData[NSW]))^2,"")</f>
        <v/>
      </c>
      <c r="AW13" s="39" t="str">
        <f ca="1">IF(AND(tblData[Dates]&gt;StartDt2Italy,ISNUMBER(tblData[Days'# Italy])),betaItaly/(deltaItaly+betaPodeltaItaly*EXP(-betaItaly*tblData[Days'# Italy])),"")</f>
        <v/>
      </c>
      <c r="AX13" s="11" t="str">
        <f ca="1">IF(AND(tblData[Dates]&gt;StartDt2Italy,ISNUMBER(tblData[Italy])),(tblData[[#This Row],[Italy LogiP(t)]]-tblData[[#This Row],[Italy]])^2,"")</f>
        <v/>
      </c>
      <c r="AY13" s="11" t="str">
        <f ca="1">IF(AND(tblData[Dates]&gt;StartDt2Italy,ISNUMBER(tblData[Days'# Italy])),tblData[[#This Row],[Italy LogiP(t)]]/ItalyPopscale,"")</f>
        <v/>
      </c>
      <c r="AZ13" s="11" t="str">
        <f ca="1">IF(AND(ISNUMBER(tblData[Italy]),tblData[Dates]&gt;StartDt2Italy),(tblData[Italy]-AVERAGE(tblData[Italy]))^2,"")</f>
        <v/>
      </c>
      <c r="BA13" s="11">
        <f>tblData[[#This Row],[Dates]]-Italy100dt+1</f>
        <v>-33</v>
      </c>
      <c r="BB13" s="11">
        <f ca="1">IF(AND(tblData[Dates]&gt;StartDt2US,ISNUMBER(tblData[[#This Row],[Days'# US]])),betaUS/(deltaUS+betaPodeltaUS*EXP(-betaUS*tblData[Days'# US])),"")</f>
        <v>1.7639194237277784E-3</v>
      </c>
      <c r="BC13" s="11">
        <f ca="1">IF(AND(tblData[Dates]&gt;StartDt2US,ISNUMBER(tblData[US])),(tblData[[#This Row],[US LogiP(t)]]-tblData[US])^2,"")</f>
        <v>3.9929474337168225</v>
      </c>
      <c r="BD13" s="20">
        <f ca="1">IF(AND(tblData[Dates]&gt;=StartDt2US,ISNUMBER(tblData[[#This Row],[Days'# US]])),tblData[[#This Row],[US LogiP(t)]]/USPopscale,"")</f>
        <v>5.3577483828710432E-5</v>
      </c>
      <c r="BE13" s="126">
        <f ca="1">IF(AND(ISNUMBER(tblData[US]),tblData[Dates]&gt;StartDt2US),(tblData[US]-AVERAGE(tblData[US]))^2,"")</f>
        <v>50149681256.060074</v>
      </c>
      <c r="BF13" s="11">
        <f>tblData[[#This Row],[Dates]]-US100dt+1</f>
        <v>-50</v>
      </c>
      <c r="BG13" s="11">
        <f ca="1">IF(tblData[Dates]&gt;StartDt2SKorea,betaSKorea/(deltaSKorea+betaPodeltaSKorea*EXP(-betaSKorea*(tblData[Dates]-StartDt2SKorea))),"")</f>
        <v>7.342697676554284</v>
      </c>
      <c r="BH13" s="11">
        <f ca="1">IF(AND(tblData[Dates]&gt;StartDt2SKorea,ISNUMBER(tblData[SKorea])),(tblData[[#This Row],[SKorea LogiP(t)]]-tblData[[#This Row],[SKorea]])^2,"")</f>
        <v>28.544418463058545</v>
      </c>
      <c r="BI13" s="11">
        <f ca="1">IF(tblData[Dates]&gt;StartDt2SKorea,tblData[[#This Row],[SKorea LogiP(t)]]/SKoreaPopscale,"")</f>
        <v>1.428540403998888</v>
      </c>
      <c r="BJ13" s="11">
        <f ca="1">IF(AND(ISNUMBER(tblData[SKorea]),tblData[Dates]&gt;StartDt2SKorea),(tblData[SKorea]-AVERAGE(tblData[SKorea]))^2,"")</f>
        <v>33900022.099577084</v>
      </c>
      <c r="BK13" s="11">
        <f>tblData[[#This Row],[Dates]]-SKorea100dt+1</f>
        <v>-29</v>
      </c>
      <c r="BL13" s="126" t="str">
        <f ca="1">IF(AND(tblData[Dates]&gt;StartDt2UK,ISNUMBER(tblData[Days'# UK])),betaUK/(deltaUK+betaPodeltaUK*EXP(-betaUK*tblData[Days'# UK])),"")</f>
        <v/>
      </c>
      <c r="BM13" s="11" t="str">
        <f ca="1">IF(AND(tblData[Dates]&gt;StartDt2UK,ISNUMBER(tblData[United Kingdom])),(tblData[[#This Row],[UK LogiP(t)]]-tblData[[#This Row],[United Kingdom]])^2,"")</f>
        <v/>
      </c>
      <c r="BN13" s="11" t="str">
        <f ca="1">IF(ISNUMBER(tblData[Days'# UK]),tblData[[#This Row],[UK LogiP(t)]]/UKPopscale,"")</f>
        <v/>
      </c>
      <c r="BO13" s="126" t="str">
        <f ca="1">IF(AND(ISNUMBER(tblData[United Kingdom]),tblData[Dates]&gt;StartDt2UK),(tblData[United Kingdom]-AVERAGE(tblData[United Kingdom]))^2,"")</f>
        <v/>
      </c>
      <c r="BP13" s="11">
        <f>tblData[[#This Row],[Dates]]-UK100dt</f>
        <v>-48</v>
      </c>
      <c r="BQ13" s="11">
        <f ca="1">IF(ISNUMBER(tblData[Days'# China]),betaChina/(deltaChina+betaPodeltaChina*EXP(-betaChina*tblData[Days'# China])),"")</f>
        <v>2407.6624135295247</v>
      </c>
      <c r="BR13" s="11">
        <f ca="1">IF(ISNUMBER(tblData[China]),(tblData[[#This Row],[China LogiP(t)]]-tblData[[#This Row],[China]])^2,"")</f>
        <v>2213139.4566284902</v>
      </c>
      <c r="BS13" s="11">
        <f ca="1">tblData[[#This Row],[China LogiP(t)]]/ChinaPopscale</f>
        <v>16.727733215250691</v>
      </c>
      <c r="BT13" s="126">
        <f ca="1">IF(AND(ISNUMBER(tblData[China]),tblData[Dates]&gt;StartDt2China),(tblData[China]-AVERAGE(tblData[China]))^2,"")</f>
        <v>4393631041.162631</v>
      </c>
      <c r="BU13" s="11">
        <f>tblData[[#This Row],[Dates]]-China100dt</f>
        <v>-9</v>
      </c>
      <c r="BV13" s="95">
        <f ca="1">IF(ISNUMBER(tblData[Day'# Singapore]),betaSingapore/(deltaSingapore+betaPodeltaSingapore*EXP(-betaSingapore*tblData[Day'# Singapore])),"")</f>
        <v>0.13849486843179404</v>
      </c>
      <c r="BW13" s="11">
        <f ca="1">IF(AND(ISNUMBER(tblData[Singapore]),tblData[Dates]&gt;=StartDt2Singapore),(tblData[[#This Row],[Singapore LogiP(t)]]-tblData[[#This Row],[Singapore]])^2,"")</f>
        <v>8.1882116179911755</v>
      </c>
      <c r="BX13" s="20">
        <f ca="1">IF(ISNUMBER(tblData[Day'# Singapore]),tblData[Singapore LogiP(t)]/SingaporePopscale,"")</f>
        <v>0.23674336484067357</v>
      </c>
      <c r="BY13" s="95">
        <f ca="1">IF(AND(ISNUMBER(tblData[Singapore]),tblData[Dates]&gt;StartDt2Singapore),(tblData[Singapore]-AVERAGE(tblData[Singapore]))^2,"")</f>
        <v>5372215.0188389085</v>
      </c>
      <c r="BZ13" s="11">
        <f>tblData[[#This Row],[Dates]]-Singapore100dt+1</f>
        <v>-20</v>
      </c>
      <c r="CA13" s="11" t="str">
        <f>IF(AND(tblData[Dates]&gt;StartDt2Generic,ISNUMBER(tblData[Day'# Generic])),betaGeneric/(deltaGeneric+betaPodeltaGeneric*EXP(-betaGeneric*tblData[Day'# Generic])),"")</f>
        <v/>
      </c>
      <c r="CB13" s="95" t="str">
        <f>IF(AND(ISNUMBER(tblData[Generic]),tblData[Dates]&gt;StartDt2Generic),(tblData[Generic LogiP(t)]-tblData[[#This Row],[Generic]])^2,"")</f>
        <v/>
      </c>
      <c r="CC13" s="11" t="str">
        <f>IF(AND(ISNUMBER(tblData[Day'# Generic]),tblData[Dates]&gt;StartDt2Generic),tblData[Generic LogiP(t)]/GenericPopscale,"")</f>
        <v/>
      </c>
      <c r="CD13" s="95" t="str">
        <f>IF(AND(ISNUMBER(tblData[Generic]),tblData[Dates]&gt;StartDt2Generic),(tblData[Generic]-AVERAGE(tblData[Generic]))^2,"")</f>
        <v/>
      </c>
      <c r="CE13" s="11">
        <f>tblData[[#This Row],[Dates]]-Generic100dt+1</f>
        <v>-48</v>
      </c>
      <c r="CF13"/>
      <c r="CG13" s="11"/>
      <c r="CH13" s="11" t="str">
        <f>IF(ISNUMBER(tblData[[#This Row],[Tests]]),tblData[[#This Row],[Tests]]-CH12,"")</f>
        <v/>
      </c>
      <c r="CI13" s="11" t="str">
        <f>IF(ISNUMBER(tblData[[#This Row],[NSW Under Investigation'']]),tblData[[#This Row],[NSW Under Investigation'']]-CG12,"")</f>
        <v/>
      </c>
      <c r="CJ13" s="11"/>
      <c r="CK13" s="11" t="str">
        <f>IF(AND(tblData[[#This Row],[NSW Test Day Number]]&gt;0,ISNUMBER(tblData[[#This Row],[NSW Test Day Number]])),betaTests/(deltaTests+betaPodeltaTests*EXP(-betaTests*tblData[[#This Row],[NSW Test Day Number]])),"")</f>
        <v/>
      </c>
      <c r="CL13" s="11" t="str">
        <f>IF(tblData[Tests]&gt;0,(tblData[[#This Row],[Tests]]-tblData[[#This Row],[NSW Test Logi]])^2,"")</f>
        <v/>
      </c>
      <c r="CM13" s="95" t="str">
        <f>IF(AND(ISNUMBER(tblData[Tests]),tblData[Dates]&gt;StartDt2Tests),(tblData[Tests]-AVERAGE(tblData[Tests]))^2,"")</f>
        <v/>
      </c>
      <c r="CN13" s="11" t="str">
        <f>IF(ISNUMBER(tblData[Tests]),tblData[Tests]/NSWpopscale/100,"")</f>
        <v/>
      </c>
      <c r="CO13" s="11" t="str">
        <f>IF(AND(tblData[[#This Row],[NSW Test Day Number]]&gt;0,ISNUMBER(tblData[[#This Row],[NSW Test Day Number]])),TestsLogestB*TestsLogestM^tblData[[#This Row],[NSW Test Day Number]],"")</f>
        <v/>
      </c>
      <c r="CP13" s="11" t="str">
        <f>IF(AND(tblData[[#This Row],[NSW Test Day Number]]&gt;0,ISNUMBER(tblData[Tests])),(tblData[Tests]-tblData[[#This Row],[NSW Test Per Capita]])^2,"")</f>
        <v/>
      </c>
      <c r="CQ13" s="20" t="str">
        <f ca="1">IF(AND(tblData[Day '# NSW]&gt;0,ISNUMBER(tblData[[#This Row],[Day '# NSW]])),NSWLogestB*NSWLogestM^tblData[[#This Row],[Day '# NSW]]/NSWpopscale,"")</f>
        <v/>
      </c>
      <c r="CR13" s="39" t="str">
        <f ca="1">IF(AND(ISNUMBER(tblData[NSW]),tblData[Dates]&gt;StartDt2NSW),(tblData[NSW]/NSWpopscale-tblData[[#This Row],[NSW Cases LogEst]])^2,"")</f>
        <v/>
      </c>
      <c r="CS13">
        <v>3</v>
      </c>
      <c r="CT13" s="19">
        <f>IF(ISNUMBER(tblData[Taiwan]),tblData[Taiwan]/TaiwanPopscale,"")</f>
        <v>1.2601186477313957</v>
      </c>
      <c r="CU13" s="11">
        <f ca="1">IF(tblData[[#This Row],[Dates]]&lt;StartDt2Taiwan,"",tblData[[#This Row],[Dates]]-TaiwanStart)</f>
        <v>2</v>
      </c>
      <c r="CV13" s="19">
        <f ca="1">IF(AND(tblData[Dates]&gt;StartDt2Taiwan,ISNUMBER(tblData[Days'# Taiwan])),betaTaiwan/(deltaTaiwan+betaPodeltaTaiwan*EXP(-betaTaiwan*tblData[Days'# Taiwan])),"")</f>
        <v>5.7281143555455889E-2</v>
      </c>
      <c r="CW13" s="95">
        <f ca="1">IF(AND(tblData[Dates]&gt;StartDt2Taiwan,ISNUMBER(tblData[Taiwan])),(tblData[[#This Row],[Taiwan LogiP(t)]]-tblData[[#This Row],[Taiwan]])^2,"")</f>
        <v>8.6595942680742848</v>
      </c>
      <c r="CX13" s="20">
        <f ca="1">IF(AND(tblData[Dates]&gt;StartDt2Taiwan,ISNUMBER(tblData[Days'# Taiwan])),tblData[[#This Row],[Taiwan LogiP(t)]]/TaiwanPopscale,"")</f>
        <v>2.406034571920301E-2</v>
      </c>
      <c r="CY13" s="95">
        <f ca="1">IF(AND(ISNUMBER(tblData[Taiwan]),tblData[Dates]&gt;StartDt2Taiwan),(tblData[Taiwan]-AVERAGE(tblData[Taiwan]))^2,"")</f>
        <v>27738.575932333722</v>
      </c>
      <c r="CZ13" s="11">
        <f>tblData[[#This Row],[Dates]]-Taiwan100dt+1</f>
        <v>-61</v>
      </c>
      <c r="DA13"/>
      <c r="DB13" s="20" t="str">
        <f>IF(ISNUMBER(tblData[NZ]),tblData[NZ]/NZPopscale,"")</f>
        <v/>
      </c>
      <c r="DC13" s="11" t="str">
        <f ca="1">IF(tblData[[#This Row],[Dates]]&lt;StartDt2NZ,"",tblData[[#This Row],[Dates]]-NZStart)</f>
        <v/>
      </c>
      <c r="DD13" s="20" t="str">
        <f ca="1">IF(AND(tblData[Dates]&gt;StartDt2NZ,ISNUMBER(tblData[Days'# NZ])),betaNZ/(deltaNZ+betaPodeltaNZ*EXP(-betaNZ*tblData[Days'# NZ])),"")</f>
        <v/>
      </c>
      <c r="DE13" s="95" t="str">
        <f ca="1">IF(AND(tblData[Dates]&gt;StartDt2NZ,ISNUMBER(tblData[NZ])),(tblData[[#This Row],[NZ LogiP(t)]]-tblData[[#This Row],[NZ]])^2,"")</f>
        <v/>
      </c>
      <c r="DF13" s="20" t="str">
        <f ca="1">IF(AND(tblData[Dates]&gt;StartDt2NZ,ISNUMBER(tblData[Days'# NZ])),tblData[[#This Row],[NZ LogiP(t)]]/NZPopscale,"")</f>
        <v/>
      </c>
      <c r="DG13" s="95" t="str">
        <f ca="1">IF(AND(ISNUMBER(tblData[NZ]),tblData[Dates]&gt;StartDt2NZ),(tblData[NZ]-AVERAGE(tblData[NZ]))^2,"")</f>
        <v/>
      </c>
      <c r="DH13" s="11">
        <f>tblData[[#This Row],[Dates]]-NZ100dt+1</f>
        <v>-57</v>
      </c>
      <c r="DI13" s="39"/>
      <c r="DJ13" s="11"/>
      <c r="DK13" s="1"/>
      <c r="DL13" t="s">
        <v>58</v>
      </c>
      <c r="DM13" s="154">
        <v>43954.72388888889</v>
      </c>
      <c r="DN13" s="62">
        <f>INDEX(tblPopulation[Day 0],MATCH(tblRuns[[#This Row],[Place]],tblPopulation[Country],0),1)</f>
        <v>43860</v>
      </c>
      <c r="DO13" s="62">
        <f ca="1">INDEX(tblPopulation[Logistic Start2],MATCH($DL13,tblPopulation[CtryAbbrev],0),1)</f>
        <v>43860</v>
      </c>
      <c r="DP13">
        <v>2</v>
      </c>
      <c r="DQ13" s="44">
        <v>0.25318224467706324</v>
      </c>
      <c r="DR13" s="71">
        <v>1.5688082555194651E-6</v>
      </c>
      <c r="DS13" s="71">
        <v>0.4428880815754267</v>
      </c>
      <c r="DT13" s="23">
        <f>betaItaly/deltaItaly</f>
        <v>161385.07927039772</v>
      </c>
      <c r="DU13" s="21">
        <f ca="1">SQRT(SUM(tblData[Italy Sq Err])/COUNT(tblData[Italy Sq Err]))</f>
        <v>23215.218654653261</v>
      </c>
      <c r="DV13" s="72">
        <f ca="1">1-(SUM(tblData[Italy Sq Err])/SUM(tblData[Italy Mean Devn Sq]))</f>
        <v>0.90756802440136131</v>
      </c>
      <c r="DW13" s="73">
        <f>(betaItaly/PoItaly)-deltaItaly</f>
        <v>0.57166033678299866</v>
      </c>
      <c r="DX13" s="73">
        <f>tblRuns[d]*1000</f>
        <v>1.5688082555194651E-3</v>
      </c>
      <c r="DY13" s="26">
        <f t="array" ref="DY13">MAX(IF(ISNUMBER(tblData[Italy]),tblData[Dates]))</f>
        <v>43953</v>
      </c>
      <c r="DZ13" s="26" t="str">
        <f>Cengnotation(tblRuns[[#This Row],[Asymptote b/d]],3)</f>
        <v>161 k</v>
      </c>
      <c r="EA13" s="95">
        <f ca="1">MAX(tblData[Italy LogiP(t)])</f>
        <v>161385.07926951419</v>
      </c>
      <c r="EB13" s="25">
        <f>MAX(tblData[Italy])</f>
        <v>209328</v>
      </c>
      <c r="EC13" s="25" t="str">
        <f>Cengnotation(DT13/(ItalyPop/PerPerson),3)</f>
        <v>26.7 k</v>
      </c>
      <c r="ED13" s="1">
        <f t="array" ref="ED13">MAX(IF(ISNUMBER(tblData[Italy]),tblData[Dates]))</f>
        <v>43953</v>
      </c>
      <c r="EE13" s="11">
        <f t="array" ref="EE13">COUNT(IF(ISNUMBER(tblData[Italy]),tblData[Dates]))</f>
        <v>94</v>
      </c>
      <c r="EF13" s="26" t="str">
        <f ca="1">"b="&amp;TEXT(tblRuns[b],"##0.###")&amp;", d="&amp;TEXT(tblRuns[d],"0.00E+00")&amp;", P0="&amp;TEXT(Po,"#.###")&amp; ", r2=" &amp;TEXT(tblRuns[[#This Row],[R2]],"0.####") &amp;", Limit="&amp;IF(PopScaling=0,tblRuns[Asymptote b/d],tblRuns[[#This Row],[Asymp PerP]])&amp;"=&gt;"&amp;Cengnotation(tblRuns[[#This Row],[Limit Cases]],3)&amp;" cases "&amp;tblRuns[[#This Row],[Notes]]</f>
        <v xml:space="preserve">b=0.253, d=1.57E-06, P0=.639, r2=0.9076, Limit=26.7 k=&gt;161 k cases </v>
      </c>
      <c r="EH13" s="25" t="str">
        <f ca="1">tblRuns[Place]&amp;" Limit " &amp; IF(PopScaling=0,tblRuns[[#This Row],[Asymptote]],tblRuns[[#This Row],[Asymp PerP]])&amp;" r^2="&amp;TEXT(tblRuns[[#This Row],[R2]]*100,"##.00")&amp;"%"</f>
        <v>Italy Limit 26.7 k r^2=90.76%</v>
      </c>
      <c r="EJ13" s="18" t="str">
        <f ca="1">"COVID19 "&amp;tblRuns[[#This Row],[Place]] &amp; " " &amp;LogFormula&amp;CHAR(10)&amp;tblRuns[[#This Row],[Parameter List]]&amp;CHAR(10)&amp;" (Fit: " &amp; TEXT(tblRuns[Logistic Start2],"ddd dd-mmm") &amp; " - " &amp; TEXT(tblRuns[Last Date],"ddd dd-mmm")&amp;")"</f>
        <v>COVID19 Italy P(t) = b / {d+[( b/Po - d ) ]* exp(-b*t)}
b=0.253, d=1.57E-06, P0=.639, r2=0.9076, Limit=26.7 k=&gt;161 k cases 
 (Fit: Thu 30-Jan - Sat 02-May)</v>
      </c>
      <c r="EK13" s="11">
        <f>MAX(tblData[Italy Cases per Capita])</f>
        <v>34608.249979333719</v>
      </c>
      <c r="EL13" s="156">
        <f>IF(tblRuns[[#This Row],[Max Cases Per Capita]]&gt;NSWMaxCasespc,INDEX(tblData[Dates],1+MATCH(NSWMaxCasespc,tblData[Italy Cases per Capita],1)),INDEX(tblData[Dates],1+MATCH(tblRuns[[#This Row],[Max Cases Per Capita]],tblData[NSW Cases per Capita],1)))</f>
        <v>43905</v>
      </c>
      <c r="EM13" s="11">
        <f>IF(tblRuns[[#This Row],[Max Cases Per Capita]]&gt;NSWMaxCasespc,1,-1)*(DY$12-tblRuns[[#This Row],[Date of NSW Case Match]])</f>
        <v>49</v>
      </c>
      <c r="EN13" s="26">
        <f>IF(tblRuns[[#This Row],[Max Cases Per Capita]]&gt;AuMaxCasespc,INDEX(tblData[Dates],MATCH(AuMaxCasespc,tblData[Italy Cases per Capita],1)),INDEX(tblData[Dates],1+MATCH(tblRuns[[#This Row],[Max Cases Per Capita]],tblData[Au Cases Per Capita],1)))</f>
        <v>43902</v>
      </c>
      <c r="EO13" s="11">
        <f ca="1">IF(tblRuns[[#This Row],[Max Cases Per Capita]]&gt;AuMaxCasespc,1,-1)*(ED$11-tblRuns[[#This Row],[Date of AUS Case Match]]+1)</f>
        <v>53</v>
      </c>
      <c r="EQ13" s="11">
        <f ca="1">INDEX(tblData[Italy LogiP(t)],MATCH(VALUE(tblRuns[AtDate])+7,tblData[Dates],1))</f>
        <v>161383.80948615031</v>
      </c>
      <c r="ER13" s="19">
        <f ca="1">tblRuns[Mean Sq Err]/tblRuns[Max Cases Per Capita]</f>
        <v>0.67080013200656508</v>
      </c>
      <c r="ES13" s="132">
        <f>IF(MIN(tblData[Italy Cases per Capita])&gt;0,MIN(tblData[Dates]),INDEX(tblData[Dates],1+MATCH(solvMsgs!MinCases, tblData[Italy Cases per Capita],1)))</f>
        <v>43888</v>
      </c>
      <c r="ET13" s="133" t="str">
        <f>tblRuns[[#This Row],[Place]]&amp;" from "&amp;TEXT(tblRuns[DateOver100],"dd-mmm")</f>
        <v>Italy from 27-Feb</v>
      </c>
      <c r="EU13" s="162">
        <f ca="1">INDEX(tblData[Italy LogiP(t)],MATCH(tblRuns[[#This Row],[Last Date]]+1,tblData[Dates],0))-INDEX(tblData[Italy],MATCH(tblRuns[[#This Row],[Last Date]],tblData[Dates],0))</f>
        <v>-47945.634624372731</v>
      </c>
      <c r="EV13" s="25" t="s">
        <v>58</v>
      </c>
      <c r="EW13" s="25" t="str">
        <f>INDEX(tblPopulation[CtryAbbrev],MATCH(tblRuns[Place],tblPopulation[Country],0))</f>
        <v>Italy</v>
      </c>
      <c r="EX13" s="26" t="str">
        <f ca="1">SUBSTITUTE(tblRuns[[#This Row],[ChartLabel]]," since " &amp; solvMsgs!MinCases,"")</f>
        <v>COVID19 Italy P(t) = b / {d+[( b/Po - d ) ]* exp(-b*t)}
b=0.253, d=1.57E-06, P0=.639, r2=0.9076, Limit=26.7 k=&gt;161 k cases 
 (Fit: Thu 30-Jan - Sat 02-May)</v>
      </c>
      <c r="FD13" s="134"/>
      <c r="FF13"/>
      <c r="FG13"/>
      <c r="FH13"/>
      <c r="FI13"/>
      <c r="FJ13"/>
      <c r="FK13"/>
      <c r="FL13"/>
      <c r="FM13"/>
      <c r="FN13"/>
      <c r="FO13" s="265" t="s">
        <v>48</v>
      </c>
      <c r="FP13" s="250"/>
      <c r="FQ13" s="156">
        <v>43855</v>
      </c>
      <c r="FR13" s="26"/>
      <c r="FS13" s="211">
        <v>0</v>
      </c>
      <c r="FT13" s="25">
        <v>0.20329336152663352</v>
      </c>
      <c r="FU13" s="24">
        <v>9.9999999999999995E-7</v>
      </c>
      <c r="FV13" s="21">
        <v>1.1946625698450987E-2</v>
      </c>
      <c r="FW13" s="212">
        <v>203293.36152663353</v>
      </c>
      <c r="FX13" s="212">
        <v>11.355599354824715</v>
      </c>
      <c r="FY13" s="212"/>
      <c r="FZ13" s="213">
        <v>17.016800786381637</v>
      </c>
      <c r="GA13" s="213">
        <v>1E-3</v>
      </c>
      <c r="GB13" s="156">
        <v>43910</v>
      </c>
      <c r="GC13" s="25" t="s">
        <v>687</v>
      </c>
      <c r="GD13" s="212"/>
      <c r="GE13" s="212">
        <v>876</v>
      </c>
      <c r="GF13" s="25" t="s">
        <v>688</v>
      </c>
      <c r="GG13" s="156">
        <v>43910</v>
      </c>
      <c r="GH13" s="25">
        <v>59</v>
      </c>
      <c r="GI13" s="25" t="s">
        <v>689</v>
      </c>
      <c r="GJ13" s="25"/>
      <c r="GK13" s="25" t="s">
        <v>690</v>
      </c>
      <c r="GM13" s="25" t="s">
        <v>691</v>
      </c>
      <c r="GN13" s="20">
        <v>345.37139252483837</v>
      </c>
      <c r="GO13" s="156"/>
      <c r="GP13" s="218"/>
      <c r="GQ13" s="156"/>
      <c r="GR13" s="25"/>
      <c r="GS13" s="25" t="s">
        <v>692</v>
      </c>
      <c r="GT13" s="11"/>
      <c r="GU13" s="12"/>
      <c r="GV13" s="26"/>
      <c r="GX13" s="219"/>
      <c r="HK13" s="164">
        <v>43898</v>
      </c>
      <c r="HL13" s="60">
        <v>43898</v>
      </c>
      <c r="HM13">
        <v>38</v>
      </c>
      <c r="HN13">
        <v>6690</v>
      </c>
      <c r="HQ13" t="str">
        <f>IF(ISNUMBER(tblNSWKnown[[#This Row],[Unknown Locally]]),tblNSWKnown[[#This Row],[Known Locally]]+tblNSWKnown[[#This Row],[Unknown Locally]],"")</f>
        <v/>
      </c>
      <c r="HR13" s="25"/>
      <c r="HS13" t="str">
        <f>IF(ISNUMBER(tblNSWKnown[[#This Row],[Day '# NSW Unknown]]),betaNSWUnknown/(deltaNSWUnknown+betaPodeltaNSWUnknown*EXP(-betaNSWUnknown*tblNSWKnown[Day '# NSW Unknown])),"")</f>
        <v/>
      </c>
      <c r="HT13" t="str">
        <f>IF(ISNUMBER(tblNSWKnown[[#This Row],[Total Local]]),(tblNSWKnown[[#This Row],[Total Local]]-tblNSWKnown[[#This Row],[NSW Unknown Logi P(t)]])^2,"")</f>
        <v/>
      </c>
      <c r="HU13" s="166" t="str">
        <f>IF(ISNUMBER(tblNSWKnown[Total Local]),(tblNSWKnown[Total Local]-AVERAGE(tblNSWKnown[Total Local]))^2,"")</f>
        <v/>
      </c>
      <c r="HV13" s="166"/>
    </row>
    <row r="14" spans="1:230" ht="18.75" customHeight="1" x14ac:dyDescent="0.25">
      <c r="B14" s="26">
        <v>43855</v>
      </c>
      <c r="C14">
        <v>0</v>
      </c>
      <c r="D14" s="25">
        <v>0</v>
      </c>
      <c r="E14">
        <v>0</v>
      </c>
      <c r="F14">
        <v>0</v>
      </c>
      <c r="G14">
        <v>0</v>
      </c>
      <c r="H14">
        <v>0</v>
      </c>
      <c r="I14">
        <v>0</v>
      </c>
      <c r="J14">
        <v>0</v>
      </c>
      <c r="K14">
        <v>0</v>
      </c>
      <c r="L14" s="11">
        <f>IF(ISNUMBER(tblData[[#This Row],[NSW]]),tblData[[#This Row],[New South Wales]]/NSWpopscale,"")</f>
        <v>0</v>
      </c>
      <c r="N14" s="20" t="str">
        <f>IF(ISNUMBER(tblData[Italy]),tblData[Italy]/ItalyPopscale,"")</f>
        <v/>
      </c>
      <c r="O14">
        <v>2</v>
      </c>
      <c r="P14" s="20">
        <f>IF(ISNUMBER(tblData[US]),tblData[US]/USPopscale,"")</f>
        <v>6.0748221384718901E-2</v>
      </c>
      <c r="Q14">
        <v>2</v>
      </c>
      <c r="R14" s="20">
        <f>IF(ISNUMBER(tblData[SKorea]),tblData[SKorea]/SKoreaPopscale,"")</f>
        <v>0.38910505836575876</v>
      </c>
      <c r="T14" s="12" t="str">
        <f>IF(ISNUMBER(tblData[United Kingdom]),tblData[United Kingdom]/UKPopscale,"")</f>
        <v/>
      </c>
      <c r="U14">
        <v>1406</v>
      </c>
      <c r="V14" s="20">
        <f>IF(ISNUMBER(tblData[China]),tblData[China]/ChinaPopscale,"")</f>
        <v>9.7684761652961125</v>
      </c>
      <c r="W14" s="25">
        <f ca="1">IF(tblData[[#This Row],[Dates]]&lt;StartDt2China,"",tblData[[#This Row],[Dates]]-ChinaStart)</f>
        <v>3</v>
      </c>
      <c r="X14">
        <v>3</v>
      </c>
      <c r="Y14" s="20">
        <f>IF(ISNUMBER(tblData[Singapore]),tblData[Singapore]/SingaporePopscale,"")</f>
        <v>5.1282051282051286</v>
      </c>
      <c r="Z14"/>
      <c r="AA14" s="20" t="str">
        <f>IF(AND(LEN(tblData[Generic])&gt;0,ISNUMBER(tblData[Generic])),tblData[Generic]/GenericPopscale,"")</f>
        <v/>
      </c>
      <c r="AB14" s="25" t="str">
        <f ca="1">IF(tblData[[#This Row],[Dates]]&lt;StartDt2Italy,"",tblData[[#This Row],[Dates]]-ItalyStart)</f>
        <v/>
      </c>
      <c r="AC14" s="25">
        <f ca="1">IF(tblData[[#This Row],[Dates]]&lt;=StartDt2US,"",tblData[[#This Row],[Dates]]-USStart)</f>
        <v>3</v>
      </c>
      <c r="AD14" s="25">
        <f>IF(tblData[[#This Row],[Dates]]&lt;=SKoreaStart,"",tblData[[#This Row],[Dates]]-SKoreaStart)</f>
        <v>3</v>
      </c>
      <c r="AE14" s="25" t="str">
        <f ca="1">IF(tblData[[#This Row],[Dates]]&lt;=StartDt2UK,"",tblData[[#This Row],[Dates]]-UKStart)</f>
        <v/>
      </c>
      <c r="AF14" s="25">
        <f ca="1">IF(tblData[[#This Row],[Dates]]&lt;StartDt2Singapore,"",tblData[[#This Row],[Dates]]-SingaporeStart)</f>
        <v>2</v>
      </c>
      <c r="AG14" s="25" t="str">
        <f>IF(tblData[[#This Row],[Dates]]&lt;StartDt2Generic,"",tblData[[#This Row],[Dates]]-GenericStart)</f>
        <v/>
      </c>
      <c r="AH14" t="str">
        <f ca="1">IF(tblData[Dates]&gt;StartDt2Au,tblData[Dates]-AuStart,"")</f>
        <v/>
      </c>
      <c r="AI14" s="25">
        <f>IF(AND(COUNTBLANK(tblData[[#This Row],[Australian Capital Territory]:[Western Australia]])&lt;1,tblData[New South Wales]&gt;=0),SUM(tblData[[#This Row],[Australian Capital Territory]:[Western Australia]]),"")</f>
        <v>0</v>
      </c>
      <c r="AJ14" s="25">
        <f>IF(ISNUMBER(tblData[Au]),tblData[Au]/AuPopScale,"")</f>
        <v>0</v>
      </c>
      <c r="AK14" s="19" t="str">
        <f ca="1">IF(ISNUMBER(tblData[[#This Row],[Day'# Aust]]),betaAu/(deltaAu+betaPodeltaAu*EXP(-betaAu*tblData[[#This Row],[Day'# Aust]])),"")</f>
        <v/>
      </c>
      <c r="AL14" s="57" t="str">
        <f ca="1">IF(ISNUMBER(tblData[Day'# Aust]),tblData[Au LogiP(t)]/AuPopScale,"")</f>
        <v/>
      </c>
      <c r="AM14" s="11" t="str">
        <f ca="1">IF(AND(tblData[Dates]&gt;StartDt2Au,ISNUMBER(tblData[Au])),(tblData[[#This Row],[Au LogiP(t)]]-tblData[[#This Row],[Au]])^2,"")</f>
        <v/>
      </c>
      <c r="AN14" s="11" t="str">
        <f ca="1">IF(AND(ISNUMBER(tblData[Au]),tblData[Dates]&gt;StartDt2Au),(tblData[Au]-AVERAGE(tblData[Au]))^2,"")</f>
        <v/>
      </c>
      <c r="AO14" s="11">
        <f>tblData[[#This Row],[Dates]]-Au100dt</f>
        <v>-50</v>
      </c>
      <c r="AP14" t="str">
        <f ca="1">IF(tblData[Dates]&gt;StartDt2NSW,tblData[Dates]-StartDt2NSW,"")</f>
        <v/>
      </c>
      <c r="AQ14" s="25">
        <f>IF(tblData[[#This Row],[New South Wales]]&gt;=0,tblData[[#This Row],[New South Wales]],"")</f>
        <v>0</v>
      </c>
      <c r="AR14" s="11" t="str">
        <f ca="1">IF(tblData[Dates]&gt;StartDt2NSW,betaNSW/(deltaNSW+betaPodeltaNSW*EXP(-betaNSW*tblData[[#This Row],[Day '# NSW]])),"")</f>
        <v/>
      </c>
      <c r="AS14" s="12" t="str">
        <f ca="1">IF(AND(ISNUMBER(tblData[NSW]),tblData[Dates]&gt;StartDt2NSW),(tblData[[#This Row],[NSW LogiP(t)]]-tblData[[#This Row],[NSW]])^2,"")</f>
        <v/>
      </c>
      <c r="AT14" s="12" t="str">
        <f ca="1">IF(AND(tblData[Dates]&gt;StartDt2NSW,ISNUMBER(tblData[Day'# Aust])),tblData[NSW LogiP(t)]/NSWpopscale,"")</f>
        <v/>
      </c>
      <c r="AU14" s="11">
        <f>tblData[[#This Row],[Dates]]-NSW100dt+1</f>
        <v>-47</v>
      </c>
      <c r="AV14" s="11" t="str">
        <f ca="1">IF(AND(ISNUMBER(tblData[NSW]),tblData[Dates]&gt;StartDt2NSW),(tblData[NSW]-AVERAGE(tblData[NSW]))^2,"")</f>
        <v/>
      </c>
      <c r="AW14" s="39" t="str">
        <f ca="1">IF(AND(tblData[Dates]&gt;StartDt2Italy,ISNUMBER(tblData[Days'# Italy])),betaItaly/(deltaItaly+betaPodeltaItaly*EXP(-betaItaly*tblData[Days'# Italy])),"")</f>
        <v/>
      </c>
      <c r="AX14" s="11" t="str">
        <f ca="1">IF(AND(tblData[Dates]&gt;StartDt2Italy,ISNUMBER(tblData[Italy])),(tblData[[#This Row],[Italy LogiP(t)]]-tblData[[#This Row],[Italy]])^2,"")</f>
        <v/>
      </c>
      <c r="AY14" s="11" t="str">
        <f ca="1">IF(AND(tblData[Dates]&gt;StartDt2Italy,ISNUMBER(tblData[Days'# Italy])),tblData[[#This Row],[Italy LogiP(t)]]/ItalyPopscale,"")</f>
        <v/>
      </c>
      <c r="AZ14" s="11" t="str">
        <f ca="1">IF(AND(ISNUMBER(tblData[Italy]),tblData[Dates]&gt;StartDt2Italy),(tblData[Italy]-AVERAGE(tblData[Italy]))^2,"")</f>
        <v/>
      </c>
      <c r="BA14" s="11">
        <f>tblData[[#This Row],[Dates]]-Italy100dt+1</f>
        <v>-32</v>
      </c>
      <c r="BB14" s="11">
        <f ca="1">IF(AND(tblData[Dates]&gt;StartDt2US,ISNUMBER(tblData[[#This Row],[Days'# US]])),betaUS/(deltaUS+betaPodeltaUS*EXP(-betaUS*tblData[Days'# US])),"")</f>
        <v>2.3427077472680923E-3</v>
      </c>
      <c r="BC14" s="11">
        <f ca="1">IF(AND(tblData[Dates]&gt;StartDt2US,ISNUMBER(tblData[US])),(tblData[[#This Row],[US LogiP(t)]]-tblData[US])^2,"")</f>
        <v>3.9906346572905163</v>
      </c>
      <c r="BD14" s="20">
        <f ca="1">IF(AND(tblData[Dates]&gt;=StartDt2US,ISNUMBER(tblData[[#This Row],[Days'# US]])),tblData[[#This Row],[US LogiP(t)]]/USPopscale,"")</f>
        <v>7.115766443536908E-5</v>
      </c>
      <c r="BE14" s="126">
        <f ca="1">IF(AND(ISNUMBER(tblData[US]),tblData[Dates]&gt;StartDt2US),(tblData[US]-AVERAGE(tblData[US]))^2,"")</f>
        <v>50149681256.060074</v>
      </c>
      <c r="BF14" s="11">
        <f>tblData[[#This Row],[Dates]]-US100dt+1</f>
        <v>-49</v>
      </c>
      <c r="BG14" s="11">
        <f ca="1">IF(tblData[Dates]&gt;StartDt2SKorea,betaSKorea/(deltaSKorea+betaPodeltaSKorea*EXP(-betaSKorea*(tblData[Dates]-StartDt2SKorea))),"")</f>
        <v>8.7660493861592901</v>
      </c>
      <c r="BH14" s="11">
        <f ca="1">IF(AND(tblData[Dates]&gt;StartDt2SKorea,ISNUMBER(tblData[SKorea])),(tblData[[#This Row],[SKorea LogiP(t)]]-tblData[[#This Row],[SKorea]])^2,"")</f>
        <v>45.779424295946505</v>
      </c>
      <c r="BI14" s="11">
        <f ca="1">IF(tblData[Dates]&gt;StartDt2SKorea,tblData[[#This Row],[SKorea LogiP(t)]]/SKoreaPopscale,"")</f>
        <v>1.7054570790193173</v>
      </c>
      <c r="BJ14" s="11">
        <f ca="1">IF(AND(ISNUMBER(tblData[SKorea]),tblData[Dates]&gt;StartDt2SKorea),(tblData[SKorea]-AVERAGE(tblData[SKorea]))^2,"")</f>
        <v>33900022.099577084</v>
      </c>
      <c r="BK14" s="11">
        <f>tblData[[#This Row],[Dates]]-SKorea100dt+1</f>
        <v>-28</v>
      </c>
      <c r="BL14" s="126" t="str">
        <f ca="1">IF(AND(tblData[Dates]&gt;StartDt2UK,ISNUMBER(tblData[Days'# UK])),betaUK/(deltaUK+betaPodeltaUK*EXP(-betaUK*tblData[Days'# UK])),"")</f>
        <v/>
      </c>
      <c r="BM14" s="11" t="str">
        <f ca="1">IF(AND(tblData[Dates]&gt;StartDt2UK,ISNUMBER(tblData[United Kingdom])),(tblData[[#This Row],[UK LogiP(t)]]-tblData[[#This Row],[United Kingdom]])^2,"")</f>
        <v/>
      </c>
      <c r="BN14" s="11" t="str">
        <f ca="1">IF(ISNUMBER(tblData[Days'# UK]),tblData[[#This Row],[UK LogiP(t)]]/UKPopscale,"")</f>
        <v/>
      </c>
      <c r="BO14" s="126" t="str">
        <f ca="1">IF(AND(ISNUMBER(tblData[United Kingdom]),tblData[Dates]&gt;StartDt2UK),(tblData[United Kingdom]-AVERAGE(tblData[United Kingdom]))^2,"")</f>
        <v/>
      </c>
      <c r="BP14" s="11">
        <f>tblData[[#This Row],[Dates]]-UK100dt</f>
        <v>-47</v>
      </c>
      <c r="BQ14" s="11">
        <f ca="1">IF(ISNUMBER(tblData[Days'# China]),betaChina/(deltaChina+betaPodeltaChina*EXP(-betaChina*tblData[Days'# China])),"")</f>
        <v>2981.1145302702193</v>
      </c>
      <c r="BR14" s="11">
        <f ca="1">IF(ISNUMBER(tblData[China]),(tblData[[#This Row],[China LogiP(t)]]-tblData[[#This Row],[China]])^2,"")</f>
        <v>2480985.7834683736</v>
      </c>
      <c r="BS14" s="11">
        <f ca="1">tblData[[#This Row],[China LogiP(t)]]/ChinaPopscale</f>
        <v>20.71191055118247</v>
      </c>
      <c r="BT14" s="126">
        <f ca="1">IF(AND(ISNUMBER(tblData[China]),tblData[Dates]&gt;StartDt2China),(tblData[China]-AVERAGE(tblData[China]))^2,"")</f>
        <v>4329438731.7508659</v>
      </c>
      <c r="BU14" s="11">
        <f>tblData[[#This Row],[Dates]]-China100dt</f>
        <v>-8</v>
      </c>
      <c r="BV14" s="95">
        <f ca="1">IF(ISNUMBER(tblData[Day'# Singapore]),betaSingapore/(deltaSingapore+betaPodeltaSingapore*EXP(-betaSingapore*tblData[Day'# Singapore])),"")</f>
        <v>0.15703015330065292</v>
      </c>
      <c r="BW14" s="11">
        <f ca="1">IF(AND(ISNUMBER(tblData[Singapore]),tblData[Dates]&gt;=StartDt2Singapore),(tblData[[#This Row],[Singapore LogiP(t)]]-tblData[[#This Row],[Singapore]])^2,"")</f>
        <v>8.0824775492417089</v>
      </c>
      <c r="BX14" s="20">
        <f ca="1">IF(ISNUMBER(tblData[Day'# Singapore]),tblData[Singapore LogiP(t)]/SingaporePopscale,"")</f>
        <v>0.26842761247974861</v>
      </c>
      <c r="BY14" s="95">
        <f ca="1">IF(AND(ISNUMBER(tblData[Singapore]),tblData[Dates]&gt;StartDt2Singapore),(tblData[Singapore]-AVERAGE(tblData[Singapore]))^2,"")</f>
        <v>5372215.0188389085</v>
      </c>
      <c r="BZ14" s="11">
        <f>tblData[[#This Row],[Dates]]-Singapore100dt+1</f>
        <v>-19</v>
      </c>
      <c r="CA14" s="11" t="str">
        <f>IF(AND(tblData[Dates]&gt;StartDt2Generic,ISNUMBER(tblData[Day'# Generic])),betaGeneric/(deltaGeneric+betaPodeltaGeneric*EXP(-betaGeneric*tblData[Day'# Generic])),"")</f>
        <v/>
      </c>
      <c r="CB14" s="95" t="str">
        <f>IF(AND(ISNUMBER(tblData[Generic]),tblData[Dates]&gt;StartDt2Generic),(tblData[Generic LogiP(t)]-tblData[[#This Row],[Generic]])^2,"")</f>
        <v/>
      </c>
      <c r="CC14" s="11" t="str">
        <f>IF(AND(ISNUMBER(tblData[Day'# Generic]),tblData[Dates]&gt;StartDt2Generic),tblData[Generic LogiP(t)]/GenericPopscale,"")</f>
        <v/>
      </c>
      <c r="CD14" s="95" t="str">
        <f>IF(AND(ISNUMBER(tblData[Generic]),tblData[Dates]&gt;StartDt2Generic),(tblData[Generic]-AVERAGE(tblData[Generic]))^2,"")</f>
        <v/>
      </c>
      <c r="CE14" s="11">
        <f>tblData[[#This Row],[Dates]]-Generic100dt+1</f>
        <v>-47</v>
      </c>
      <c r="CF14"/>
      <c r="CG14" s="11"/>
      <c r="CH14" s="11" t="str">
        <f>IF(ISNUMBER(tblData[[#This Row],[Tests]]),tblData[[#This Row],[Tests]]-CH13,"")</f>
        <v/>
      </c>
      <c r="CI14" s="11" t="str">
        <f>IF(ISNUMBER(tblData[[#This Row],[NSW Under Investigation'']]),tblData[[#This Row],[NSW Under Investigation'']]-CG13,"")</f>
        <v/>
      </c>
      <c r="CJ14" s="11"/>
      <c r="CK14" s="11" t="str">
        <f>IF(AND(tblData[[#This Row],[NSW Test Day Number]]&gt;0,ISNUMBER(tblData[[#This Row],[NSW Test Day Number]])),betaTests/(deltaTests+betaPodeltaTests*EXP(-betaTests*tblData[[#This Row],[NSW Test Day Number]])),"")</f>
        <v/>
      </c>
      <c r="CL14" s="11" t="str">
        <f>IF(tblData[Tests]&gt;0,(tblData[[#This Row],[Tests]]-tblData[[#This Row],[NSW Test Logi]])^2,"")</f>
        <v/>
      </c>
      <c r="CM14" s="95" t="str">
        <f>IF(AND(ISNUMBER(tblData[Tests]),tblData[Dates]&gt;StartDt2Tests),(tblData[Tests]-AVERAGE(tblData[Tests]))^2,"")</f>
        <v/>
      </c>
      <c r="CN14" s="11" t="str">
        <f>IF(ISNUMBER(tblData[Tests]),tblData[Tests]/NSWpopscale/100,"")</f>
        <v/>
      </c>
      <c r="CO14" s="11" t="str">
        <f>IF(AND(tblData[[#This Row],[NSW Test Day Number]]&gt;0,ISNUMBER(tblData[[#This Row],[NSW Test Day Number]])),TestsLogestB*TestsLogestM^tblData[[#This Row],[NSW Test Day Number]],"")</f>
        <v/>
      </c>
      <c r="CP14" s="11" t="str">
        <f>IF(AND(tblData[[#This Row],[NSW Test Day Number]]&gt;0,ISNUMBER(tblData[Tests])),(tblData[Tests]-tblData[[#This Row],[NSW Test Per Capita]])^2,"")</f>
        <v/>
      </c>
      <c r="CQ14" s="20" t="str">
        <f ca="1">IF(AND(tblData[Day '# NSW]&gt;0,ISNUMBER(tblData[[#This Row],[Day '# NSW]])),NSWLogestB*NSWLogestM^tblData[[#This Row],[Day '# NSW]]/NSWpopscale,"")</f>
        <v/>
      </c>
      <c r="CR14" s="39" t="str">
        <f ca="1">IF(AND(ISNUMBER(tblData[NSW]),tblData[Dates]&gt;StartDt2NSW),(tblData[NSW]/NSWpopscale-tblData[[#This Row],[NSW Cases LogEst]])^2,"")</f>
        <v/>
      </c>
      <c r="CS14">
        <v>3</v>
      </c>
      <c r="CT14" s="19">
        <f>IF(ISNUMBER(tblData[Taiwan]),tblData[Taiwan]/TaiwanPopscale,"")</f>
        <v>1.2601186477313957</v>
      </c>
      <c r="CU14" s="11">
        <f ca="1">IF(tblData[[#This Row],[Dates]]&lt;StartDt2Taiwan,"",tblData[[#This Row],[Dates]]-TaiwanStart)</f>
        <v>3</v>
      </c>
      <c r="CV14" s="19">
        <f ca="1">IF(AND(tblData[Dates]&gt;StartDt2Taiwan,ISNUMBER(tblData[Days'# Taiwan])),betaTaiwan/(deltaTaiwan+betaPodeltaTaiwan*EXP(-betaTaiwan*tblData[Days'# Taiwan])),"")</f>
        <v>6.6386082707295846E-2</v>
      </c>
      <c r="CW14" s="95">
        <f ca="1">IF(AND(tblData[Dates]&gt;StartDt2Taiwan,ISNUMBER(tblData[Taiwan])),(tblData[[#This Row],[Taiwan LogiP(t)]]-tblData[[#This Row],[Taiwan]])^2,"")</f>
        <v>8.6060906157334447</v>
      </c>
      <c r="CX14" s="20">
        <f ca="1">IF(AND(tblData[Dates]&gt;StartDt2Taiwan,ISNUMBER(tblData[Days'# Taiwan])),tblData[[#This Row],[Taiwan LogiP(t)]]/TaiwanPopscale,"")</f>
        <v>2.788478025643408E-2</v>
      </c>
      <c r="CY14" s="95">
        <f ca="1">IF(AND(ISNUMBER(tblData[Taiwan]),tblData[Dates]&gt;StartDt2Taiwan),(tblData[Taiwan]-AVERAGE(tblData[Taiwan]))^2,"")</f>
        <v>27738.575932333722</v>
      </c>
      <c r="CZ14" s="11">
        <f>tblData[[#This Row],[Dates]]-Taiwan100dt+1</f>
        <v>-60</v>
      </c>
      <c r="DA14"/>
      <c r="DB14" s="20" t="str">
        <f>IF(ISNUMBER(tblData[NZ]),tblData[NZ]/NZPopscale,"")</f>
        <v/>
      </c>
      <c r="DC14" s="11" t="str">
        <f ca="1">IF(tblData[[#This Row],[Dates]]&lt;StartDt2NZ,"",tblData[[#This Row],[Dates]]-NZStart)</f>
        <v/>
      </c>
      <c r="DD14" s="20" t="str">
        <f ca="1">IF(AND(tblData[Dates]&gt;StartDt2NZ,ISNUMBER(tblData[Days'# NZ])),betaNZ/(deltaNZ+betaPodeltaNZ*EXP(-betaNZ*tblData[Days'# NZ])),"")</f>
        <v/>
      </c>
      <c r="DE14" s="95" t="str">
        <f ca="1">IF(AND(tblData[Dates]&gt;StartDt2NZ,ISNUMBER(tblData[NZ])),(tblData[[#This Row],[NZ LogiP(t)]]-tblData[[#This Row],[NZ]])^2,"")</f>
        <v/>
      </c>
      <c r="DF14" s="20" t="str">
        <f ca="1">IF(AND(tblData[Dates]&gt;StartDt2NZ,ISNUMBER(tblData[Days'# NZ])),tblData[[#This Row],[NZ LogiP(t)]]/NZPopscale,"")</f>
        <v/>
      </c>
      <c r="DG14" s="95" t="str">
        <f ca="1">IF(AND(ISNUMBER(tblData[NZ]),tblData[Dates]&gt;StartDt2NZ),(tblData[NZ]-AVERAGE(tblData[NZ]))^2,"")</f>
        <v/>
      </c>
      <c r="DH14" s="11">
        <f>tblData[[#This Row],[Dates]]-NZ100dt+1</f>
        <v>-56</v>
      </c>
      <c r="DI14" s="39"/>
      <c r="DJ14" s="11"/>
      <c r="DK14" s="26"/>
      <c r="DL14" s="25" t="s">
        <v>208</v>
      </c>
      <c r="DM14" s="154">
        <v>43954.723958333336</v>
      </c>
      <c r="DN14" s="62">
        <f>INDEX(tblPopulation[Day 0],MATCH(tblRuns[[#This Row],[Place]],tblPopulation[Country],0),1)</f>
        <v>43852</v>
      </c>
      <c r="DO14" s="62">
        <f ca="1">INDEX(tblPopulation[Logistic Start2],MATCH($DL14,tblPopulation[Country],0),1)</f>
        <v>43852</v>
      </c>
      <c r="DP14" s="25">
        <v>3</v>
      </c>
      <c r="DQ14" s="44">
        <v>0.28376913966081674</v>
      </c>
      <c r="DR14" s="71">
        <v>3.4886803124023049E-7</v>
      </c>
      <c r="DS14" s="71">
        <v>1.0000000000000002E-3</v>
      </c>
      <c r="DT14" s="23">
        <f>betaUS/deltaUS</f>
        <v>813399.66477299074</v>
      </c>
      <c r="DU14" s="21">
        <f ca="1">SQRT(SUM(tblData[US Sq Err])/COUNT(tblData[US Sq Err]))</f>
        <v>95135.30164695681</v>
      </c>
      <c r="DV14" s="72">
        <f ca="1">1-(SUM(tblData[US Sq Err])/SUM(tblData[US Mean Devn Sq]))</f>
        <v>0.92460853864118842</v>
      </c>
      <c r="DW14" s="73">
        <f>(betaUS/PoUS)-deltaUS</f>
        <v>283.76913931194866</v>
      </c>
      <c r="DX14" s="73">
        <f>tblRuns[d]*1000</f>
        <v>3.4886803124023046E-4</v>
      </c>
      <c r="DY14" s="26">
        <f t="array" ref="DY14">MAX(IF(ISNUMBER(tblData[US]),tblData[Dates]))</f>
        <v>43953</v>
      </c>
      <c r="DZ14" s="26" t="str">
        <f>Cengnotation(tblRuns[[#This Row],[Asymptote b/d]],3)</f>
        <v>813 k</v>
      </c>
      <c r="EA14" s="95">
        <f ca="1">MAX(tblData[US LogiP(t)])</f>
        <v>813399.66476346122</v>
      </c>
      <c r="EB14" s="25">
        <f>MAX(tblData[US])</f>
        <v>1132539</v>
      </c>
      <c r="EC14" s="25" t="str">
        <f>Cengnotation(DT14/(USpop/PerPerson),3)</f>
        <v>24.7 k</v>
      </c>
      <c r="ED14" s="26">
        <f t="array" ref="ED14">MAX(IF(ISNUMBER(tblData[Italy]),tblData[Dates]))</f>
        <v>43953</v>
      </c>
      <c r="EE14" s="11">
        <f t="array" ref="EE14">COUNT(IF(ISNUMBER(tblData[US]),tblData[Dates]))</f>
        <v>102</v>
      </c>
      <c r="EF14" s="26" t="str">
        <f ca="1">"b="&amp;TEXT(tblRuns[b],"##0.###")&amp;", d="&amp;TEXT(tblRuns[d],"0.00E+00")&amp;", P0="&amp;TEXT(Po,"#.###")&amp; ", r2=" &amp;TEXT(tblRuns[[#This Row],[R2]],"0.####") &amp;", Limit="&amp;IF(PopScaling=0,tblRuns[Asymptote b/d],tblRuns[[#This Row],[Asymp PerP]])&amp;"=&gt;"&amp;Cengnotation(tblRuns[[#This Row],[Limit Cases]],3)&amp;" cases "&amp;tblRuns[[#This Row],[Notes]]</f>
        <v xml:space="preserve">b=0.284, d=3.49E-07, P0=.639, r2=0.9246, Limit=24.7 k=&gt;813 k cases </v>
      </c>
      <c r="EG14" s="25"/>
      <c r="EH14" s="25" t="str">
        <f ca="1">tblRuns[Place]&amp;" Limit " &amp; IF(PopScaling=0,tblRuns[[#This Row],[Asymptote]],tblRuns[[#This Row],[Asymp PerP]])&amp;" r^2="&amp;TEXT(tblRuns[[#This Row],[R2]]*100,"##.00")&amp;"%"</f>
        <v>USA Limit 24.7 k r^2=92.46%</v>
      </c>
      <c r="EI14" s="30"/>
      <c r="EJ14" s="18" t="str">
        <f ca="1">"COVID19 "&amp;tblRuns[[#This Row],[Place]] &amp; " " &amp;LogFormula&amp;CHAR(10)&amp;tblRuns[[#This Row],[Parameter List]]&amp;CHAR(10)&amp;" (Fit: " &amp; TEXT(tblRuns[Logistic Start2],"ddd dd-mmm") &amp; " - " &amp; TEXT(tblRuns[Last Date],"ddd dd-mmm")&amp;")"</f>
        <v>COVID19 USA P(t) = b / {d+[( b/Po - d ) ]* exp(-b*t)}
b=0.284, d=3.49E-07, P0=.639, r2=0.9246, Limit=24.7 k=&gt;813 k cases 
 (Fit: Wed 22-Jan - Sat 02-May)</v>
      </c>
      <c r="EK14" s="11">
        <f>MAX(tblData[US Cases Per Capita])</f>
        <v>34399.864949414077</v>
      </c>
      <c r="EL14" s="156">
        <f>IF(tblRuns[[#This Row],[Max Cases Per Capita]]&gt;NSWMaxCasespc,INDEX(tblData[Dates],1+MATCH(NSWMaxCasespc,tblData[US Cases Per Capita],1)),INDEX(tblData[Dates],1+MATCH(tblRuns[[#This Row],[Max Cases Per Capita]],tblData[NSW Cases per Capita],1)))</f>
        <v>43919</v>
      </c>
      <c r="EM14" s="11">
        <f>IF(tblRuns[[#This Row],[Max Cases Per Capita]]&gt;NSWMaxCasespc,1,-1)*(DY$12-tblRuns[[#This Row],[Date of NSW Case Match]])</f>
        <v>35</v>
      </c>
      <c r="EN14" s="26">
        <f>IF(tblRuns[[#This Row],[Max Cases Per Capita]]&gt;AuMaxCasespc,INDEX(tblData[Dates],1+MATCH(AuMaxCasespc,tblData[US Cases Per Capita],1)),INDEX(tblData[Dates],1+MATCH(tblRuns[[#This Row],[Max Cases Per Capita]],tblData[Au Cases Per Capita],1)))</f>
        <v>43917</v>
      </c>
      <c r="EO14" s="11">
        <f ca="1">IF(tblRuns[[#This Row],[Max Cases Per Capita]]&gt;AuMaxCasespc,1,-1)*(ED$11-tblRuns[[#This Row],[Date of AUS Case Match]]+1)</f>
        <v>38</v>
      </c>
      <c r="EP14" s="25" t="str">
        <f ca="1">EP11&amp;CHAR(10)&amp;EP12</f>
        <v>At Sun 03-May Australia 2680 cases per 10M was 53 days behind Italy, 38 days behind USA, -43days behind China, -31 days behind South Korea, 95 days behind UK
At Sun 03-May NSW 3756 cases per 10M was 49 days behind Italy, 35 days behind USA &amp; -42 days behind China, -35 days behind South Korea, 33 days behind UK</v>
      </c>
      <c r="EQ14" s="11">
        <f ca="1">INDEX(tblData[US LogiP(t)],MATCH(VALUE(tblRuns[AtDate])+7,tblData[Dates],1))</f>
        <v>813323.73127153597</v>
      </c>
      <c r="ER14" s="19">
        <f ca="1">tblRuns[Mean Sq Err]/tblRuns[Max Cases Per Capita]</f>
        <v>2.7655719517171309</v>
      </c>
      <c r="ES14" s="132">
        <f>IF(MIN(tblData[US Cases Per Capita])=0,MIN(tblData[Dates]),INDEX(tblData[Dates],1+MATCH(solvMsgs!MinCases, tblData[US Cases Per Capita],1)))</f>
        <v>43905</v>
      </c>
      <c r="ET14" s="133" t="str">
        <f>tblRuns[[#This Row],[Place]]&amp;" from "&amp;TEXT(tblRuns[DateOver100],"dd-mmm")</f>
        <v>USA from 15-Mar</v>
      </c>
      <c r="EU14" s="162">
        <f ca="1">INDEX(tblData[US LogiP(t)],MATCH(tblRuns[[#This Row],[Last Date]]+1,tblData[Dates],0))-INDEX(tblData[US],MATCH(tblRuns[[#This Row],[Last Date]],tblData[Dates],0))</f>
        <v>-319317.20293440938</v>
      </c>
      <c r="EV14" s="25" t="s">
        <v>37</v>
      </c>
      <c r="EW14" s="25" t="str">
        <f>INDEX(tblPopulation[CtryAbbrev],MATCH(tblRuns[Place],tblPopulation[Country],0))</f>
        <v>US</v>
      </c>
      <c r="EX14" s="26" t="str">
        <f ca="1">SUBSTITUTE(tblRuns[[#This Row],[ChartLabel]]," since " &amp; solvMsgs!MinCases,"")</f>
        <v>COVID19 USA P(t) = b / {d+[( b/Po - d ) ]* exp(-b*t)}
b=0.284, d=3.49E-07, P0=.639, r2=0.9246, Limit=24.7 k=&gt;813 k cases 
 (Fit: Wed 22-Jan - Sat 02-May)</v>
      </c>
      <c r="FD14" s="134"/>
      <c r="FF14"/>
      <c r="FG14"/>
      <c r="FH14"/>
      <c r="FI14" t="s">
        <v>955</v>
      </c>
      <c r="FJ14" t="s">
        <v>956</v>
      </c>
      <c r="FK14"/>
      <c r="FL14"/>
      <c r="FM14"/>
      <c r="FN14"/>
      <c r="FO14" s="265" t="s">
        <v>48</v>
      </c>
      <c r="FP14" s="250">
        <v>43911.866249999999</v>
      </c>
      <c r="FQ14" s="156">
        <v>43855</v>
      </c>
      <c r="FR14" s="26">
        <v>43855</v>
      </c>
      <c r="FS14" s="211">
        <v>0</v>
      </c>
      <c r="FT14" s="25">
        <v>0.20648931335259277</v>
      </c>
      <c r="FU14" s="24">
        <v>1.0000000000000768E-9</v>
      </c>
      <c r="FV14" s="21">
        <v>1.0150253776574341E-2</v>
      </c>
      <c r="FW14" s="212">
        <v>206489313.35257691</v>
      </c>
      <c r="FX14" s="212">
        <v>10.992507007919523</v>
      </c>
      <c r="FY14" s="212"/>
      <c r="FZ14" s="213">
        <v>20.343266078627209</v>
      </c>
      <c r="GA14" s="213">
        <v>1.0000000000000768E-6</v>
      </c>
      <c r="GB14" s="156">
        <v>43911</v>
      </c>
      <c r="GC14" s="25" t="s">
        <v>766</v>
      </c>
      <c r="GD14" s="212"/>
      <c r="GE14" s="212">
        <v>1068</v>
      </c>
      <c r="GF14" s="25" t="s">
        <v>767</v>
      </c>
      <c r="GG14" s="156">
        <v>43911</v>
      </c>
      <c r="GH14" s="25">
        <v>60</v>
      </c>
      <c r="GI14" s="25" t="s">
        <v>768</v>
      </c>
      <c r="GJ14"/>
      <c r="GK14" s="25" t="s">
        <v>769</v>
      </c>
      <c r="GM14" s="25" t="s">
        <v>770</v>
      </c>
      <c r="GN14" s="20">
        <v>421.06923198233716</v>
      </c>
      <c r="GO14" s="156"/>
      <c r="GP14" s="218"/>
      <c r="GQ14" s="156"/>
      <c r="GR14" s="25"/>
      <c r="GS14" s="25" t="s">
        <v>748</v>
      </c>
      <c r="GT14" s="11"/>
      <c r="GU14" s="12"/>
      <c r="GV14" s="26"/>
      <c r="GX14" s="219"/>
      <c r="HK14" s="164">
        <v>43900</v>
      </c>
      <c r="HL14" s="60">
        <v>43900</v>
      </c>
      <c r="HM14">
        <v>55</v>
      </c>
      <c r="HN14">
        <v>8361</v>
      </c>
      <c r="HQ14" t="str">
        <f>IF(ISNUMBER(tblNSWKnown[[#This Row],[Unknown Locally]]),tblNSWKnown[[#This Row],[Known Locally]]+tblNSWKnown[[#This Row],[Unknown Locally]],"")</f>
        <v/>
      </c>
      <c r="HR14" s="25"/>
      <c r="HS14" t="str">
        <f>IF(ISNUMBER(tblNSWKnown[[#This Row],[Day '# NSW Unknown]]),betaNSWUnknown/(deltaNSWUnknown+betaPodeltaNSWUnknown*EXP(-betaNSWUnknown*tblNSWKnown[Day '# NSW Unknown])),"")</f>
        <v/>
      </c>
      <c r="HT14" t="str">
        <f>IF(ISNUMBER(tblNSWKnown[[#This Row],[Total Local]]),(tblNSWKnown[[#This Row],[Total Local]]-tblNSWKnown[[#This Row],[NSW Unknown Logi P(t)]])^2,"")</f>
        <v/>
      </c>
      <c r="HU14" s="166" t="str">
        <f>IF(ISNUMBER(tblNSWKnown[Total Local]),(tblNSWKnown[Total Local]-AVERAGE(tblNSWKnown[Total Local]))^2,"")</f>
        <v/>
      </c>
      <c r="HV14" s="166"/>
    </row>
    <row r="15" spans="1:230" ht="15" customHeight="1" x14ac:dyDescent="0.25">
      <c r="B15" s="26">
        <v>43856</v>
      </c>
      <c r="C15">
        <v>0</v>
      </c>
      <c r="D15" s="25">
        <v>0</v>
      </c>
      <c r="E15">
        <v>3</v>
      </c>
      <c r="F15">
        <v>0</v>
      </c>
      <c r="G15">
        <v>0</v>
      </c>
      <c r="H15">
        <v>0</v>
      </c>
      <c r="I15">
        <v>0</v>
      </c>
      <c r="J15">
        <v>1</v>
      </c>
      <c r="K15">
        <v>0</v>
      </c>
      <c r="L15" s="11">
        <f>IF(ISNUMBER(tblData[[#This Row],[NSW]]),tblData[[#This Row],[New South Wales]]/NSWpopscale,"")</f>
        <v>3.7128712871287126</v>
      </c>
      <c r="N15" s="20" t="str">
        <f>IF(ISNUMBER(tblData[Italy]),tblData[Italy]/ItalyPopscale,"")</f>
        <v/>
      </c>
      <c r="O15">
        <v>5</v>
      </c>
      <c r="P15" s="20">
        <f>IF(ISNUMBER(tblData[US]),tblData[US]/USPopscale,"")</f>
        <v>0.15187055346179726</v>
      </c>
      <c r="Q15">
        <v>3</v>
      </c>
      <c r="R15" s="20">
        <f>IF(ISNUMBER(tblData[SKorea]),tblData[SKorea]/SKoreaPopscale,"")</f>
        <v>0.58365758754863817</v>
      </c>
      <c r="T15" s="12" t="str">
        <f>IF(ISNUMBER(tblData[United Kingdom]),tblData[United Kingdom]/UKPopscale,"")</f>
        <v/>
      </c>
      <c r="U15">
        <v>2075</v>
      </c>
      <c r="V15" s="20">
        <f>IF(ISNUMBER(tblData[China]),tblData[China]/ChinaPopscale,"")</f>
        <v>14.416492206962612</v>
      </c>
      <c r="W15" s="25">
        <f ca="1">IF(tblData[[#This Row],[Dates]]&lt;StartDt2China,"",tblData[[#This Row],[Dates]]-ChinaStart)</f>
        <v>4</v>
      </c>
      <c r="X15">
        <v>4</v>
      </c>
      <c r="Y15" s="20">
        <f>IF(ISNUMBER(tblData[Singapore]),tblData[Singapore]/SingaporePopscale,"")</f>
        <v>6.8376068376068382</v>
      </c>
      <c r="Z15"/>
      <c r="AA15" s="20" t="str">
        <f>IF(AND(LEN(tblData[Generic])&gt;0,ISNUMBER(tblData[Generic])),tblData[Generic]/GenericPopscale,"")</f>
        <v/>
      </c>
      <c r="AB15" s="25" t="str">
        <f ca="1">IF(tblData[[#This Row],[Dates]]&lt;StartDt2Italy,"",tblData[[#This Row],[Dates]]-ItalyStart)</f>
        <v/>
      </c>
      <c r="AC15" s="25">
        <f ca="1">IF(tblData[[#This Row],[Dates]]&lt;=StartDt2US,"",tblData[[#This Row],[Dates]]-USStart)</f>
        <v>4</v>
      </c>
      <c r="AD15" s="25">
        <f>IF(tblData[[#This Row],[Dates]]&lt;=SKoreaStart,"",tblData[[#This Row],[Dates]]-SKoreaStart)</f>
        <v>4</v>
      </c>
      <c r="AE15" s="25" t="str">
        <f ca="1">IF(tblData[[#This Row],[Dates]]&lt;=StartDt2UK,"",tblData[[#This Row],[Dates]]-UKStart)</f>
        <v/>
      </c>
      <c r="AF15" s="25">
        <f ca="1">IF(tblData[[#This Row],[Dates]]&lt;StartDt2Singapore,"",tblData[[#This Row],[Dates]]-SingaporeStart)</f>
        <v>3</v>
      </c>
      <c r="AG15" s="25" t="str">
        <f>IF(tblData[[#This Row],[Dates]]&lt;StartDt2Generic,"",tblData[[#This Row],[Dates]]-GenericStart)</f>
        <v/>
      </c>
      <c r="AH15">
        <f ca="1">IF(tblData[Dates]&gt;StartDt2Au,tblData[Dates]-AuStart,"")</f>
        <v>1</v>
      </c>
      <c r="AI15" s="25">
        <f>IF(AND(COUNTBLANK(tblData[[#This Row],[Australian Capital Territory]:[Western Australia]])&lt;1,tblData[New South Wales]&gt;=0),SUM(tblData[[#This Row],[Australian Capital Territory]:[Western Australia]]),"")</f>
        <v>4</v>
      </c>
      <c r="AJ15" s="12">
        <f>IF(ISNUMBER(tblData[Au]),tblData[Au]/AuPopScale,"")</f>
        <v>1.5770383220312254</v>
      </c>
      <c r="AK15" s="19">
        <f ca="1">IF(ISNUMBER(tblData[[#This Row],[Day'# Aust]]),betaAu/(deltaAu+betaPodeltaAu*EXP(-betaAu*tblData[[#This Row],[Day'# Aust]])),"")</f>
        <v>5.8814750170742358E-3</v>
      </c>
      <c r="AL15" s="57">
        <f ca="1">IF(ISNUMBER(tblData[Day'# Aust]),tblData[Au LogiP(t)]/AuPopScale,"")</f>
        <v>2.3188278729988315E-3</v>
      </c>
      <c r="AM15" s="11">
        <f ca="1">IF(AND(tblData[Dates]&gt;StartDt2Au,ISNUMBER(tblData[Au])),(tblData[[#This Row],[Au LogiP(t)]]-tblData[[#This Row],[Au]])^2,"")</f>
        <v>15.952982791611783</v>
      </c>
      <c r="AN15" s="11">
        <f ca="1">IF(AND(ISNUMBER(tblData[Au]),tblData[Dates]&gt;StartDt2Au),(tblData[Au]-AVERAGE(tblData[Au]))^2,"")</f>
        <v>5977095.9360999996</v>
      </c>
      <c r="AO15" s="11">
        <f>tblData[[#This Row],[Dates]]-Au100dt</f>
        <v>-49</v>
      </c>
      <c r="AP15">
        <f ca="1">IF(tblData[Dates]&gt;StartDt2NSW,tblData[Dates]-StartDt2NSW,"")</f>
        <v>1</v>
      </c>
      <c r="AQ15" s="25">
        <f>IF(tblData[[#This Row],[New South Wales]]&gt;0,tblData[[#This Row],[New South Wales]],"")</f>
        <v>3</v>
      </c>
      <c r="AR15" s="44">
        <f ca="1">IF(tblData[Dates]&gt;StartDt2NSW,betaNSW/(deltaNSW+betaPodeltaNSW*EXP(-betaNSW*tblData[[#This Row],[Day '# NSW]])),"")</f>
        <v>1.5613147791135034E-3</v>
      </c>
      <c r="AS15" s="12">
        <f ca="1">IF(AND(ISNUMBER(tblData[NSW]),tblData[Dates]&gt;StartDt2NSW),(tblData[[#This Row],[NSW LogiP(t)]]-tblData[[#This Row],[NSW]])^2,"")</f>
        <v>8.9906345490291582</v>
      </c>
      <c r="AT15" s="12">
        <f ca="1">IF(AND(tblData[Dates]&gt;StartDt2NSW,ISNUMBER(tblData[Day'# Aust])),tblData[NSW LogiP(t)]/NSWpopscale,"")</f>
        <v>1.9323202711800784E-3</v>
      </c>
      <c r="AU15" s="11">
        <f>tblData[[#This Row],[Dates]]-NSW100dt+1</f>
        <v>-46</v>
      </c>
      <c r="AV15" s="11">
        <f ca="1">IF(AND(ISNUMBER(tblData[NSW]),tblData[Dates]&gt;StartDt2NSW),(tblData[NSW]-AVERAGE(tblData[NSW]))^2,"")</f>
        <v>1190848.3876</v>
      </c>
      <c r="AW15" s="39" t="str">
        <f ca="1">IF(AND(tblData[Dates]&gt;StartDt2Italy,ISNUMBER(tblData[Days'# Italy])),betaItaly/(deltaItaly+betaPodeltaItaly*EXP(-betaItaly*tblData[Days'# Italy])),"")</f>
        <v/>
      </c>
      <c r="AX15" s="11" t="str">
        <f ca="1">IF(AND(tblData[Dates]&gt;StartDt2Italy,ISNUMBER(tblData[Italy])),(tblData[[#This Row],[Italy LogiP(t)]]-tblData[[#This Row],[Italy]])^2,"")</f>
        <v/>
      </c>
      <c r="AY15" s="11" t="str">
        <f ca="1">IF(AND(tblData[Dates]&gt;StartDt2Italy,ISNUMBER(tblData[Days'# Italy])),tblData[[#This Row],[Italy LogiP(t)]]/ItalyPopscale,"")</f>
        <v/>
      </c>
      <c r="AZ15" s="11" t="str">
        <f ca="1">IF(AND(ISNUMBER(tblData[Italy]),tblData[Dates]&gt;StartDt2Italy),(tblData[Italy]-AVERAGE(tblData[Italy]))^2,"")</f>
        <v/>
      </c>
      <c r="BA15" s="11">
        <f>tblData[[#This Row],[Dates]]-Italy100dt+1</f>
        <v>-31</v>
      </c>
      <c r="BB15" s="11">
        <f ca="1">IF(AND(tblData[Dates]&gt;StartDt2US,ISNUMBER(tblData[[#This Row],[Days'# US]])),betaUS/(deltaUS+betaPodeltaUS*EXP(-betaUS*tblData[Days'# US])),"")</f>
        <v>3.1114117311718584E-3</v>
      </c>
      <c r="BC15" s="11">
        <f ca="1">IF(AND(tblData[Dates]&gt;StartDt2US,ISNUMBER(tblData[US])),(tblData[[#This Row],[US LogiP(t)]]-tblData[US])^2,"")</f>
        <v>24.968895563571245</v>
      </c>
      <c r="BD15" s="20">
        <f ca="1">IF(AND(tblData[Dates]&gt;=StartDt2US,ISNUMBER(tblData[[#This Row],[Days'# US]])),tblData[[#This Row],[US LogiP(t)]]/USPopscale,"")</f>
        <v>9.4506364332119764E-5</v>
      </c>
      <c r="BE15" s="126">
        <f ca="1">IF(AND(ISNUMBER(tblData[US]),tblData[Dates]&gt;StartDt2US),(tblData[US]-AVERAGE(tblData[US]))^2,"")</f>
        <v>50148337617.589485</v>
      </c>
      <c r="BF15" s="11">
        <f>tblData[[#This Row],[Dates]]-US100dt+1</f>
        <v>-48</v>
      </c>
      <c r="BG15" s="11">
        <f ca="1">IF(tblData[Dates]&gt;StartDt2SKorea,betaSKorea/(deltaSKorea+betaPodeltaSKorea*EXP(-betaSKorea*(tblData[Dates]-StartDt2SKorea))),"")</f>
        <v>10.465029627008954</v>
      </c>
      <c r="BH15" s="11">
        <f ca="1">IF(AND(tblData[Dates]&gt;StartDt2SKorea,ISNUMBER(tblData[SKorea])),(tblData[[#This Row],[SKorea LogiP(t)]]-tblData[[#This Row],[SKorea]])^2,"")</f>
        <v>55.726667332121451</v>
      </c>
      <c r="BI15" s="11">
        <f ca="1">IF(tblData[Dates]&gt;StartDt2SKorea,tblData[[#This Row],[SKorea LogiP(t)]]/SKoreaPopscale,"")</f>
        <v>2.0359979819083569</v>
      </c>
      <c r="BJ15" s="11">
        <f ca="1">IF(AND(ISNUMBER(tblData[SKorea]),tblData[Dates]&gt;StartDt2SKorea),(tblData[SKorea]-AVERAGE(tblData[SKorea]))^2,"")</f>
        <v>33888378.354479045</v>
      </c>
      <c r="BK15" s="11">
        <f>tblData[[#This Row],[Dates]]-SKorea100dt+1</f>
        <v>-27</v>
      </c>
      <c r="BL15" s="126" t="str">
        <f ca="1">IF(AND(tblData[Dates]&gt;StartDt2UK,ISNUMBER(tblData[Days'# UK])),betaUK/(deltaUK+betaPodeltaUK*EXP(-betaUK*tblData[Days'# UK])),"")</f>
        <v/>
      </c>
      <c r="BM15" s="11" t="str">
        <f ca="1">IF(AND(tblData[Dates]&gt;StartDt2UK,ISNUMBER(tblData[United Kingdom])),(tblData[[#This Row],[UK LogiP(t)]]-tblData[[#This Row],[United Kingdom]])^2,"")</f>
        <v/>
      </c>
      <c r="BN15" s="11" t="str">
        <f ca="1">IF(ISNUMBER(tblData[Days'# UK]),tblData[[#This Row],[UK LogiP(t)]]/UKPopscale,"")</f>
        <v/>
      </c>
      <c r="BO15" s="126" t="str">
        <f ca="1">IF(AND(ISNUMBER(tblData[United Kingdom]),tblData[Dates]&gt;StartDt2UK),(tblData[United Kingdom]-AVERAGE(tblData[United Kingdom]))^2,"")</f>
        <v/>
      </c>
      <c r="BP15" s="11">
        <f>tblData[[#This Row],[Dates]]-UK100dt</f>
        <v>-46</v>
      </c>
      <c r="BQ15" s="11">
        <f ca="1">IF(ISNUMBER(tblData[Days'# China]),betaChina/(deltaChina+betaPodeltaChina*EXP(-betaChina*tblData[Days'# China])),"")</f>
        <v>3684.8369006252688</v>
      </c>
      <c r="BR15" s="11">
        <f ca="1">IF(ISNUMBER(tblData[China]),(tblData[[#This Row],[China LogiP(t)]]-tblData[[#This Row],[China]])^2,"")</f>
        <v>2591574.8466147715</v>
      </c>
      <c r="BS15" s="11">
        <f ca="1">tblData[[#This Row],[China LogiP(t)]]/ChinaPopscale</f>
        <v>25.601167451466242</v>
      </c>
      <c r="BT15" s="126">
        <f ca="1">IF(AND(ISNUMBER(tblData[China]),tblData[Dates]&gt;StartDt2China),(tblData[China]-AVERAGE(tblData[China]))^2,"")</f>
        <v>4241847939.103807</v>
      </c>
      <c r="BU15" s="11">
        <f>tblData[[#This Row],[Dates]]-China100dt</f>
        <v>-7</v>
      </c>
      <c r="BV15" s="95">
        <f ca="1">IF(ISNUMBER(tblData[Day'# Singapore]),betaSingapore/(deltaSingapore+betaPodeltaSingapore*EXP(-betaSingapore*tblData[Day'# Singapore])),"")</f>
        <v>0.17804607205063111</v>
      </c>
      <c r="BW15" s="11">
        <f ca="1">IF(AND(ISNUMBER(tblData[Singapore]),tblData[Dates]&gt;=StartDt2Singapore),(tblData[[#This Row],[Singapore LogiP(t)]]-tblData[[#This Row],[Singapore]])^2,"")</f>
        <v>14.607331827367611</v>
      </c>
      <c r="BX15" s="20">
        <f ca="1">IF(ISNUMBER(tblData[Day'# Singapore]),tblData[Singapore LogiP(t)]/SingaporePopscale,"")</f>
        <v>0.30435225991560877</v>
      </c>
      <c r="BY15" s="95">
        <f ca="1">IF(AND(ISNUMBER(tblData[Singapore]),tblData[Dates]&gt;StartDt2Singapore),(tblData[Singapore]-AVERAGE(tblData[Singapore]))^2,"")</f>
        <v>5367580.4109957721</v>
      </c>
      <c r="BZ15" s="11">
        <f>tblData[[#This Row],[Dates]]-Singapore100dt+1</f>
        <v>-18</v>
      </c>
      <c r="CA15" s="11" t="str">
        <f>IF(AND(tblData[Dates]&gt;StartDt2Generic,ISNUMBER(tblData[Day'# Generic])),betaGeneric/(deltaGeneric+betaPodeltaGeneric*EXP(-betaGeneric*tblData[Day'# Generic])),"")</f>
        <v/>
      </c>
      <c r="CB15" s="95" t="str">
        <f>IF(AND(ISNUMBER(tblData[Generic]),tblData[Dates]&gt;StartDt2Generic),(tblData[Generic LogiP(t)]-tblData[[#This Row],[Generic]])^2,"")</f>
        <v/>
      </c>
      <c r="CC15" s="11" t="str">
        <f>IF(AND(ISNUMBER(tblData[Day'# Generic]),tblData[Dates]&gt;StartDt2Generic),tblData[Generic LogiP(t)]/GenericPopscale,"")</f>
        <v/>
      </c>
      <c r="CD15" s="95" t="str">
        <f>IF(AND(ISNUMBER(tblData[Generic]),tblData[Dates]&gt;StartDt2Generic),(tblData[Generic]-AVERAGE(tblData[Generic]))^2,"")</f>
        <v/>
      </c>
      <c r="CE15" s="11">
        <f>tblData[[#This Row],[Dates]]-Generic100dt+1</f>
        <v>-46</v>
      </c>
      <c r="CF15"/>
      <c r="CG15" s="11"/>
      <c r="CH15" s="11" t="str">
        <f>IF(ISNUMBER(tblData[[#This Row],[Tests]]),tblData[[#This Row],[Tests]]-CH14,"")</f>
        <v/>
      </c>
      <c r="CI15" s="11" t="str">
        <f>IF(ISNUMBER(tblData[[#This Row],[NSW Under Investigation'']]),tblData[[#This Row],[NSW Under Investigation'']]-CG14,"")</f>
        <v/>
      </c>
      <c r="CJ15" s="11"/>
      <c r="CK15" s="11" t="str">
        <f>IF(AND(tblData[[#This Row],[NSW Test Day Number]]&gt;0,ISNUMBER(tblData[[#This Row],[NSW Test Day Number]])),betaTests/(deltaTests+betaPodeltaTests*EXP(-betaTests*tblData[[#This Row],[NSW Test Day Number]])),"")</f>
        <v/>
      </c>
      <c r="CL15" s="11" t="str">
        <f>IF(tblData[Tests]&gt;0,(tblData[[#This Row],[Tests]]-tblData[[#This Row],[NSW Test Logi]])^2,"")</f>
        <v/>
      </c>
      <c r="CM15" s="95" t="str">
        <f>IF(AND(ISNUMBER(tblData[Tests]),tblData[Dates]&gt;StartDt2Tests),(tblData[Tests]-AVERAGE(tblData[Tests]))^2,"")</f>
        <v/>
      </c>
      <c r="CN15" s="11" t="str">
        <f>IF(ISNUMBER(tblData[Tests]),tblData[Tests]/NSWpopscale/100,"")</f>
        <v/>
      </c>
      <c r="CO15" s="11" t="str">
        <f>IF(AND(tblData[[#This Row],[NSW Test Day Number]]&gt;0,ISNUMBER(tblData[[#This Row],[NSW Test Day Number]])),TestsLogestB*TestsLogestM^tblData[[#This Row],[NSW Test Day Number]],"")</f>
        <v/>
      </c>
      <c r="CP15" s="11" t="str">
        <f>IF(AND(tblData[[#This Row],[NSW Test Day Number]]&gt;0,ISNUMBER(tblData[Tests])),(tblData[Tests]-tblData[[#This Row],[NSW Test Per Capita]])^2,"")</f>
        <v/>
      </c>
      <c r="CQ15" s="20">
        <f ca="1">IF(AND(tblData[Day '# NSW]&gt;0,ISNUMBER(tblData[[#This Row],[Day '# NSW]])),NSWLogestB*NSWLogestM^tblData[[#This Row],[Day '# NSW]]/NSWpopscale,"")</f>
        <v>1.5601750735323439</v>
      </c>
      <c r="CR15" s="39">
        <f ca="1">IF(AND(ISNUMBER(tblData[NSW]),tblData[Dates]&gt;StartDt2NSW),(tblData[NSW]/NSWpopscale-tblData[[#This Row],[NSW Cases LogEst]])^2,"")</f>
        <v>4.6341009880321433</v>
      </c>
      <c r="CS15">
        <v>4</v>
      </c>
      <c r="CT15" s="19">
        <f>IF(ISNUMBER(tblData[Taiwan]),tblData[Taiwan]/TaiwanPopscale,"")</f>
        <v>1.6801581969751944</v>
      </c>
      <c r="CU15" s="11">
        <f ca="1">IF(tblData[[#This Row],[Dates]]&lt;StartDt2Taiwan,"",tblData[[#This Row],[Dates]]-TaiwanStart)</f>
        <v>4</v>
      </c>
      <c r="CV15" s="19">
        <f ca="1">IF(AND(tblData[Dates]&gt;StartDt2Taiwan,ISNUMBER(tblData[Days'# Taiwan])),betaTaiwan/(deltaTaiwan+betaPodeltaTaiwan*EXP(-betaTaiwan*tblData[Days'# Taiwan])),"")</f>
        <v>7.6938006775484291E-2</v>
      </c>
      <c r="CW15" s="95">
        <f ca="1">IF(AND(tblData[Dates]&gt;StartDt2Taiwan,ISNUMBER(tblData[Taiwan])),(tblData[[#This Row],[Taiwan LogiP(t)]]-tblData[[#This Row],[Taiwan]])^2,"")</f>
        <v>15.390415402682709</v>
      </c>
      <c r="CX15" s="20">
        <f ca="1">IF(AND(tblData[Dates]&gt;StartDt2Taiwan,ISNUMBER(tblData[Days'# Taiwan])),tblData[[#This Row],[Taiwan LogiP(t)]]/TaiwanPopscale,"")</f>
        <v>3.2317005685690743E-2</v>
      </c>
      <c r="CY15" s="95">
        <f ca="1">IF(AND(ISNUMBER(tblData[Taiwan]),tblData[Dates]&gt;StartDt2Taiwan),(tblData[Taiwan]-AVERAGE(tblData[Taiwan]))^2,"")</f>
        <v>27406.477893118037</v>
      </c>
      <c r="CZ15" s="11">
        <f>tblData[[#This Row],[Dates]]-Taiwan100dt+1</f>
        <v>-59</v>
      </c>
      <c r="DA15"/>
      <c r="DB15" s="20" t="str">
        <f>IF(ISNUMBER(tblData[NZ]),tblData[NZ]/NZPopscale,"")</f>
        <v/>
      </c>
      <c r="DC15" s="11" t="str">
        <f ca="1">IF(tblData[[#This Row],[Dates]]&lt;StartDt2NZ,"",tblData[[#This Row],[Dates]]-NZStart)</f>
        <v/>
      </c>
      <c r="DD15" s="20" t="str">
        <f ca="1">IF(AND(tblData[Dates]&gt;StartDt2NZ,ISNUMBER(tblData[Days'# NZ])),betaNZ/(deltaNZ+betaPodeltaNZ*EXP(-betaNZ*tblData[Days'# NZ])),"")</f>
        <v/>
      </c>
      <c r="DE15" s="95" t="str">
        <f ca="1">IF(AND(tblData[Dates]&gt;StartDt2NZ,ISNUMBER(tblData[NZ])),(tblData[[#This Row],[NZ LogiP(t)]]-tblData[[#This Row],[NZ]])^2,"")</f>
        <v/>
      </c>
      <c r="DF15" s="20" t="str">
        <f ca="1">IF(AND(tblData[Dates]&gt;StartDt2NZ,ISNUMBER(tblData[Days'# NZ])),tblData[[#This Row],[NZ LogiP(t)]]/NZPopscale,"")</f>
        <v/>
      </c>
      <c r="DG15" s="95" t="str">
        <f ca="1">IF(AND(ISNUMBER(tblData[NZ]),tblData[Dates]&gt;StartDt2NZ),(tblData[NZ]-AVERAGE(tblData[NZ]))^2,"")</f>
        <v/>
      </c>
      <c r="DH15" s="11">
        <f>tblData[[#This Row],[Dates]]-NZ100dt+1</f>
        <v>-55</v>
      </c>
      <c r="DI15" s="39"/>
      <c r="DJ15" s="11"/>
      <c r="DK15" s="26"/>
      <c r="DL15" s="25" t="s">
        <v>176</v>
      </c>
      <c r="DM15" s="154">
        <v>43954.723993055559</v>
      </c>
      <c r="DN15" s="62">
        <f>INDEX(tblPopulation[Day 0],MATCH(tblRuns[[#This Row],[Place]],tblPopulation[Country],0),1)</f>
        <v>43852</v>
      </c>
      <c r="DO15" s="62">
        <f ca="1">INDEX(tblPopulation[Logistic Start2],MATCH($DL15,tblPopulation[Country],0),1)</f>
        <v>43852</v>
      </c>
      <c r="DP15" s="25">
        <v>4</v>
      </c>
      <c r="DQ15" s="44">
        <v>0.2208604623700402</v>
      </c>
      <c r="DR15" s="71">
        <v>2.6893154417452961E-6</v>
      </c>
      <c r="DS15" s="71">
        <v>1564.3318847176638</v>
      </c>
      <c r="DT15" s="23">
        <f>betaChina/deltaChina</f>
        <v>82125.160530334615</v>
      </c>
      <c r="DU15" s="21">
        <f ca="1">SQRT(SUM(tblData[China Sq Err])/COUNT(tblData[China Sq Err]))</f>
        <v>1886.0147478008641</v>
      </c>
      <c r="DV15" s="159">
        <f ca="1">1-(SUM(tblData[China Sq Err])/SUM(tblData[China Mean Devn Sq]))</f>
        <v>0.99471397905167969</v>
      </c>
      <c r="DW15" s="73">
        <f>(betaChina/PoChina)-deltaChina</f>
        <v>1.3849585410423114E-4</v>
      </c>
      <c r="DX15" s="73">
        <f>tblRuns[d]*1000</f>
        <v>2.689315441745296E-3</v>
      </c>
      <c r="DY15" s="26">
        <f t="array" ref="DY15">MAX(IF(ISNUMBER(tblData[Italy]),tblData[Dates]))</f>
        <v>43953</v>
      </c>
      <c r="DZ15" s="26" t="str">
        <f>Cengnotation(tblRuns[[#This Row],[Asymptote b/d]],3)</f>
        <v>82.1 k</v>
      </c>
      <c r="EA15" s="95">
        <f ca="1">MAX(tblData[China LogiP(t)])</f>
        <v>82125.160530333087</v>
      </c>
      <c r="EB15" s="25">
        <f>MAX(tblData[China])</f>
        <v>83959</v>
      </c>
      <c r="EC15" s="25" t="str">
        <f>Cengnotation(DT15/(ChinaPop/PerPerson),3)</f>
        <v xml:space="preserve">571  </v>
      </c>
      <c r="ED15" s="26">
        <f t="array" ref="ED15">MAX(IF(ISNUMBER(tblData[China]),tblData[Dates]))</f>
        <v>43953</v>
      </c>
      <c r="EE15" s="11">
        <f t="array" ref="EE15">COUNT(IF(ISNUMBER(tblData[China]),tblData[Dates]))</f>
        <v>102</v>
      </c>
      <c r="EF15" s="26" t="str">
        <f ca="1">"b="&amp;TEXT(tblRuns[b],"##0.###")&amp;", d="&amp;TEXT(tblRuns[d],"0.00E+00")&amp;", P0="&amp;TEXT(Po,"#.###")&amp; ", r2=" &amp;TEXT(tblRuns[[#This Row],[R2]],"0.####") &amp;", Limit="&amp;IF(PopScaling=0,tblRuns[Asymptote b/d],tblRuns[[#This Row],[Asymp PerP]])&amp;"=&gt;"&amp;Cengnotation(tblRuns[[#This Row],[Limit Cases]],3)&amp;" cases "&amp;tblRuns[[#This Row],[Notes]]</f>
        <v xml:space="preserve">b=0.221, d=2.69E-06, P0=.639, r2=0.9947, Limit=571  =&gt;82.1 k cases </v>
      </c>
      <c r="EG15" s="25"/>
      <c r="EH15" s="25" t="str">
        <f ca="1">tblRuns[Place]&amp;" Limit " &amp; IF(PopScaling=0,tblRuns[[#This Row],[Asymptote]],tblRuns[[#This Row],[Asymp PerP]])&amp;" r^2="&amp;TEXT(tblRuns[[#This Row],[R2]]*100,"##.00")&amp;"%"</f>
        <v>China Limit 571   r^2=99.47%</v>
      </c>
      <c r="EJ15" s="18" t="str">
        <f ca="1">"COVID19 "&amp;tblRuns[[#This Row],[Place]] &amp; " " &amp;LogFormula&amp;CHAR(10)&amp;tblRuns[[#This Row],[Parameter List]]&amp;CHAR(10)&amp;" (Fit: " &amp; TEXT(tblRuns[Logistic Start2],"ddd dd-mmm") &amp; " - " &amp; TEXT(tblRuns[Last Date],"ddd dd-mmm")&amp;")"</f>
        <v>COVID19 China P(t) = b / {d+[( b/Po - d ) ]* exp(-b*t)}
b=0.221, d=2.69E-06, P0=.639, r2=0.9947, Limit=571  =&gt;82.1 k cases 
 (Fit: Wed 22-Jan - Sat 02-May)</v>
      </c>
      <c r="EK15" s="11">
        <f>MAX(tblData[China Cases Per Capita])</f>
        <v>583.32253937560188</v>
      </c>
      <c r="EL15" s="156">
        <f>IF(tblRuns[[#This Row],[Max Cases Per Capita]]&gt;NSWMaxCasespc,INDEX(tblData[Dates],1+MATCH(NSWMaxCasespc,tblData[China Cases Per Capita],1)),INDEX(tblData[Dates],1+MATCH(tblRuns[[#This Row],[Max Cases Per Capita]],tblData[NSW Cases per Capita],1)))</f>
        <v>43912</v>
      </c>
      <c r="EM15" s="11">
        <f>IF(tblRuns[[#This Row],[Max Cases Per Capita]]&gt;NSWMaxCasespc,1,-1)*(DY$12-tblRuns[[#This Row],[Date of NSW Case Match]])</f>
        <v>-42</v>
      </c>
      <c r="EN15" s="26">
        <f>IF(tblRuns[[#This Row],[Max Cases Per Capita]]&gt;AuMaxCasespc,INDEX(tblData[Dates],1+MATCH(AuMaxCasespc,tblData[China Cases Per Capita],1)),INDEX(tblData[Dates],1+MATCH(tblRuns[[#This Row],[Max Cases Per Capita]],tblData[Au Cases Per Capita],1)))</f>
        <v>43912</v>
      </c>
      <c r="EO15" s="11">
        <f ca="1">IF(tblRuns[[#This Row],[Max Cases Per Capita]]&gt;AuMaxCasespc,1,-1)*(ED$11-tblRuns[[#This Row],[Date of AUS Case Match]]+1)</f>
        <v>-43</v>
      </c>
      <c r="EP15" s="25"/>
      <c r="EQ15" s="11">
        <f ca="1">INDEX(tblData[China LogiP(t)],MATCH(VALUE(tblRuns[AtDate])+7,tblData[Dates],1))</f>
        <v>82125.160171552459</v>
      </c>
      <c r="ER15" s="19">
        <f ca="1">tblRuns[Mean Sq Err]/tblRuns[Max Cases Per Capita]</f>
        <v>3.2332279665032071</v>
      </c>
      <c r="ES15" s="132">
        <f>IF(FALSE,MIN(tblData[Dates]),INDEX(tblData[Dates],1+MATCH(solvMsgs!MinCases, tblData[China Cases Per Capita],1)))</f>
        <v>43863</v>
      </c>
      <c r="ET15" s="133" t="str">
        <f>tblRuns[[#This Row],[Place]]&amp;" from "&amp;TEXT(tblRuns[DateOver100],"dd-mmm")</f>
        <v>China from 02-Feb</v>
      </c>
      <c r="EU15" s="162">
        <f ca="1">INDEX(tblData[China LogiP(t)],MATCH(tblRuns[[#This Row],[Last Date]]+1,tblData[Dates],0))-INDEX(tblData[China],MATCH(tblRuns[[#This Row],[Last Date]],tblData[Dates],0))</f>
        <v>-1833.8401656286005</v>
      </c>
      <c r="EV15" s="25" t="s">
        <v>176</v>
      </c>
      <c r="EW15" s="25" t="str">
        <f>INDEX(tblPopulation[CtryAbbrev],MATCH(tblRuns[Place],tblPopulation[Country],0))</f>
        <v>China</v>
      </c>
      <c r="EX15" s="26" t="str">
        <f ca="1">SUBSTITUTE(tblRuns[[#This Row],[ChartLabel]]," since " &amp; solvMsgs!MinCases,"")</f>
        <v>COVID19 China P(t) = b / {d+[( b/Po - d ) ]* exp(-b*t)}
b=0.221, d=2.69E-06, P0=.639, r2=0.9947, Limit=571  =&gt;82.1 k cases 
 (Fit: Wed 22-Jan - Sat 02-May)</v>
      </c>
      <c r="FD15" s="134"/>
      <c r="FF15"/>
      <c r="FG15"/>
      <c r="FH15"/>
      <c r="FI15" s="26">
        <v>43854</v>
      </c>
      <c r="FJ15">
        <v>0.1</v>
      </c>
      <c r="FK15"/>
      <c r="FL15"/>
      <c r="FM15"/>
      <c r="FN15"/>
      <c r="FO15" s="265" t="s">
        <v>48</v>
      </c>
      <c r="FP15" s="250">
        <v>43911.898379629631</v>
      </c>
      <c r="FQ15" s="156">
        <v>43855</v>
      </c>
      <c r="FR15" s="26">
        <v>43855</v>
      </c>
      <c r="FS15" s="211">
        <v>0</v>
      </c>
      <c r="FT15" s="25">
        <v>0.20648931335259277</v>
      </c>
      <c r="FU15" s="24">
        <v>1.0000000000000768E-9</v>
      </c>
      <c r="FV15" s="21">
        <v>1.0150253776574341E-2</v>
      </c>
      <c r="FW15" s="212">
        <v>206489313.35257691</v>
      </c>
      <c r="FX15" s="212">
        <v>10.992507007919523</v>
      </c>
      <c r="FY15" s="212"/>
      <c r="FZ15" s="213">
        <v>20.343266078627209</v>
      </c>
      <c r="GA15" s="213">
        <v>1.0000000000000768E-6</v>
      </c>
      <c r="GB15" s="156">
        <v>43911</v>
      </c>
      <c r="GC15" s="25" t="s">
        <v>766</v>
      </c>
      <c r="GD15" s="212"/>
      <c r="GE15" s="212">
        <v>1068</v>
      </c>
      <c r="GF15" s="25" t="s">
        <v>767</v>
      </c>
      <c r="GG15" s="156">
        <v>43911</v>
      </c>
      <c r="GH15" s="25">
        <v>57</v>
      </c>
      <c r="GI15" s="25" t="s">
        <v>768</v>
      </c>
      <c r="GJ15" s="25"/>
      <c r="GK15" s="25" t="s">
        <v>769</v>
      </c>
      <c r="GM15" s="25" t="s">
        <v>770</v>
      </c>
      <c r="GN15" s="20">
        <v>421.06923198233716</v>
      </c>
      <c r="GO15" s="156"/>
      <c r="GP15" s="218"/>
      <c r="GQ15" s="156"/>
      <c r="GR15" s="25"/>
      <c r="GS15" t="s">
        <v>748</v>
      </c>
      <c r="GT15" s="11"/>
      <c r="GU15" s="12"/>
      <c r="GV15" s="26"/>
      <c r="GX15" s="219"/>
      <c r="HK15" s="164">
        <v>43900</v>
      </c>
      <c r="HL15" s="60">
        <v>43900.833333333336</v>
      </c>
      <c r="HM15">
        <v>61</v>
      </c>
      <c r="HN15">
        <v>9096</v>
      </c>
      <c r="HQ15" t="str">
        <f>IF(ISNUMBER(tblNSWKnown[[#This Row],[Unknown Locally]]),tblNSWKnown[[#This Row],[Known Locally]]+tblNSWKnown[[#This Row],[Unknown Locally]],"")</f>
        <v/>
      </c>
      <c r="HR15" s="25"/>
      <c r="HS15" t="str">
        <f>IF(ISNUMBER(tblNSWKnown[[#This Row],[Day '# NSW Unknown]]),betaNSWUnknown/(deltaNSWUnknown+betaPodeltaNSWUnknown*EXP(-betaNSWUnknown*tblNSWKnown[Day '# NSW Unknown])),"")</f>
        <v/>
      </c>
      <c r="HT15" t="str">
        <f>IF(ISNUMBER(tblNSWKnown[[#This Row],[Total Local]]),(tblNSWKnown[[#This Row],[Total Local]]-tblNSWKnown[[#This Row],[NSW Unknown Logi P(t)]])^2,"")</f>
        <v/>
      </c>
      <c r="HU15" s="166" t="str">
        <f>IF(ISNUMBER(tblNSWKnown[Total Local]),(tblNSWKnown[Total Local]-AVERAGE(tblNSWKnown[Total Local]))^2,"")</f>
        <v/>
      </c>
      <c r="HV15" s="166"/>
    </row>
    <row r="16" spans="1:230" ht="18.75" customHeight="1" x14ac:dyDescent="0.25">
      <c r="B16" s="26">
        <v>43857</v>
      </c>
      <c r="C16">
        <v>0</v>
      </c>
      <c r="D16" s="25">
        <v>0</v>
      </c>
      <c r="E16">
        <v>4</v>
      </c>
      <c r="F16">
        <v>0</v>
      </c>
      <c r="G16">
        <v>0</v>
      </c>
      <c r="H16">
        <v>0</v>
      </c>
      <c r="I16">
        <v>0</v>
      </c>
      <c r="J16">
        <v>1</v>
      </c>
      <c r="K16">
        <v>0</v>
      </c>
      <c r="L16" s="11">
        <f>IF(ISNUMBER(tblData[[#This Row],[NSW]]),tblData[[#This Row],[New South Wales]]/NSWpopscale,"")</f>
        <v>4.9504950495049505</v>
      </c>
      <c r="N16" s="20" t="str">
        <f>IF(ISNUMBER(tblData[Italy]),tblData[Italy]/ItalyPopscale,"")</f>
        <v/>
      </c>
      <c r="O16">
        <v>5</v>
      </c>
      <c r="P16" s="20">
        <f>IF(ISNUMBER(tblData[US]),tblData[US]/USPopscale,"")</f>
        <v>0.15187055346179726</v>
      </c>
      <c r="Q16">
        <v>4</v>
      </c>
      <c r="R16" s="20">
        <f>IF(ISNUMBER(tblData[SKorea]),tblData[SKorea]/SKoreaPopscale,"")</f>
        <v>0.77821011673151752</v>
      </c>
      <c r="T16" s="12" t="str">
        <f>IF(ISNUMBER(tblData[United Kingdom]),tblData[United Kingdom]/UKPopscale,"")</f>
        <v/>
      </c>
      <c r="U16">
        <v>2877</v>
      </c>
      <c r="V16" s="20">
        <f>IF(ISNUMBER(tblData[China]),tblData[China]/ChinaPopscale,"")</f>
        <v>19.988553291292259</v>
      </c>
      <c r="W16" s="25">
        <f ca="1">IF(tblData[[#This Row],[Dates]]&lt;StartDt2China,"",tblData[[#This Row],[Dates]]-ChinaStart)</f>
        <v>5</v>
      </c>
      <c r="X16">
        <v>5</v>
      </c>
      <c r="Y16" s="20">
        <f>IF(ISNUMBER(tblData[Singapore]),tblData[Singapore]/SingaporePopscale,"")</f>
        <v>8.5470085470085468</v>
      </c>
      <c r="Z16"/>
      <c r="AA16" s="20" t="str">
        <f>IF(AND(LEN(tblData[Generic])&gt;0,ISNUMBER(tblData[Generic])),tblData[Generic]/GenericPopscale,"")</f>
        <v/>
      </c>
      <c r="AB16" s="25" t="str">
        <f ca="1">IF(tblData[[#This Row],[Dates]]&lt;StartDt2Italy,"",tblData[[#This Row],[Dates]]-ItalyStart)</f>
        <v/>
      </c>
      <c r="AC16" s="25">
        <f ca="1">IF(tblData[[#This Row],[Dates]]&lt;=StartDt2US,"",tblData[[#This Row],[Dates]]-USStart)</f>
        <v>5</v>
      </c>
      <c r="AD16" s="25">
        <f>IF(tblData[[#This Row],[Dates]]&lt;=SKoreaStart,"",tblData[[#This Row],[Dates]]-SKoreaStart)</f>
        <v>5</v>
      </c>
      <c r="AE16" s="25" t="str">
        <f ca="1">IF(tblData[[#This Row],[Dates]]&lt;=StartDt2UK,"",tblData[[#This Row],[Dates]]-UKStart)</f>
        <v/>
      </c>
      <c r="AF16" s="25">
        <f ca="1">IF(tblData[[#This Row],[Dates]]&lt;StartDt2Singapore,"",tblData[[#This Row],[Dates]]-SingaporeStart)</f>
        <v>4</v>
      </c>
      <c r="AG16" s="25" t="str">
        <f>IF(tblData[[#This Row],[Dates]]&lt;StartDt2Generic,"",tblData[[#This Row],[Dates]]-GenericStart)</f>
        <v/>
      </c>
      <c r="AH16">
        <f ca="1">IF(tblData[Dates]&gt;StartDt2Au,tblData[Dates]-AuStart,"")</f>
        <v>2</v>
      </c>
      <c r="AI16" s="25">
        <f>IF(AND(COUNTBLANK(tblData[[#This Row],[Australian Capital Territory]:[Western Australia]])&lt;1,tblData[New South Wales]&gt;=0),SUM(tblData[[#This Row],[Australian Capital Territory]:[Western Australia]]),"")</f>
        <v>5</v>
      </c>
      <c r="AJ16" s="12">
        <f>IF(ISNUMBER(tblData[Au]),tblData[Au]/AuPopScale,"")</f>
        <v>1.9712979025390318</v>
      </c>
      <c r="AK16" s="19">
        <f ca="1">IF(ISNUMBER(tblData[[#This Row],[Day'# Aust]]),betaAu/(deltaAu+betaPodeltaAu*EXP(-betaAu*tblData[[#This Row],[Day'# Aust]])),"")</f>
        <v>7.3741743757034031E-3</v>
      </c>
      <c r="AL16" s="57">
        <f ca="1">IF(ISNUMBER(tblData[Day'# Aust]),tblData[Au LogiP(t)]/AuPopScale,"")</f>
        <v>2.9073388959562382E-3</v>
      </c>
      <c r="AM16" s="11">
        <f ca="1">IF(AND(tblData[Dates]&gt;StartDt2Au,ISNUMBER(tblData[Au])),(tblData[[#This Row],[Au LogiP(t)]]-tblData[[#This Row],[Au]])^2,"")</f>
        <v>24.926312634690685</v>
      </c>
      <c r="AN16" s="11">
        <f ca="1">IF(AND(ISNUMBER(tblData[Au]),tblData[Dates]&gt;StartDt2Au),(tblData[Au]-AVERAGE(tblData[Au]))^2,"")</f>
        <v>5972207.3160999995</v>
      </c>
      <c r="AO16" s="11">
        <f>tblData[[#This Row],[Dates]]-Au100dt</f>
        <v>-48</v>
      </c>
      <c r="AP16">
        <f ca="1">IF(tblData[Dates]&gt;StartDt2NSW,tblData[Dates]-StartDt2NSW,"")</f>
        <v>2</v>
      </c>
      <c r="AQ16" s="25">
        <f>IF(tblData[[#This Row],[New South Wales]]&gt;0,tblData[[#This Row],[New South Wales]],"")</f>
        <v>4</v>
      </c>
      <c r="AR16" s="44">
        <f ca="1">IF(tblData[Dates]&gt;StartDt2NSW,betaNSW/(deltaNSW+betaPodeltaNSW*EXP(-betaNSW*tblData[[#This Row],[Day '# NSW]])),"")</f>
        <v>1.9735208798097991E-3</v>
      </c>
      <c r="AS16" s="12">
        <f ca="1">IF(AND(ISNUMBER(tblData[NSW]),tblData[Dates]&gt;StartDt2NSW),(tblData[[#This Row],[NSW LogiP(t)]]-tblData[[#This Row],[NSW]])^2,"")</f>
        <v>15.984215727746184</v>
      </c>
      <c r="AT16" s="12">
        <f ca="1">IF(AND(tblData[Dates]&gt;StartDt2NSW,ISNUMBER(tblData[Day'# Aust])),tblData[NSW LogiP(t)]/NSWpopscale,"")</f>
        <v>2.4424763363982659E-3</v>
      </c>
      <c r="AU16" s="11">
        <f>tblData[[#This Row],[Dates]]-NSW100dt+1</f>
        <v>-45</v>
      </c>
      <c r="AV16" s="11">
        <f ca="1">IF(AND(ISNUMBER(tblData[NSW]),tblData[Dates]&gt;StartDt2NSW),(tblData[NSW]-AVERAGE(tblData[NSW]))^2,"")</f>
        <v>1188666.8676</v>
      </c>
      <c r="AW16" s="39" t="str">
        <f ca="1">IF(AND(tblData[Dates]&gt;StartDt2Italy,ISNUMBER(tblData[Days'# Italy])),betaItaly/(deltaItaly+betaPodeltaItaly*EXP(-betaItaly*tblData[Days'# Italy])),"")</f>
        <v/>
      </c>
      <c r="AX16" s="11" t="str">
        <f ca="1">IF(AND(tblData[Dates]&gt;StartDt2Italy,ISNUMBER(tblData[Italy])),(tblData[[#This Row],[Italy LogiP(t)]]-tblData[[#This Row],[Italy]])^2,"")</f>
        <v/>
      </c>
      <c r="AY16" s="11" t="str">
        <f ca="1">IF(AND(tblData[Dates]&gt;StartDt2Italy,ISNUMBER(tblData[Days'# Italy])),tblData[[#This Row],[Italy LogiP(t)]]/ItalyPopscale,"")</f>
        <v/>
      </c>
      <c r="AZ16" s="11" t="str">
        <f ca="1">IF(AND(ISNUMBER(tblData[Italy]),tblData[Dates]&gt;StartDt2Italy),(tblData[Italy]-AVERAGE(tblData[Italy]))^2,"")</f>
        <v/>
      </c>
      <c r="BA16" s="11">
        <f>tblData[[#This Row],[Dates]]-Italy100dt+1</f>
        <v>-30</v>
      </c>
      <c r="BB16" s="11">
        <f ca="1">IF(AND(tblData[Dates]&gt;StartDt2US,ISNUMBER(tblData[[#This Row],[Days'# US]])),betaUS/(deltaUS+betaPodeltaUS*EXP(-betaUS*tblData[Days'# US])),"")</f>
        <v>4.1323476943127251E-3</v>
      </c>
      <c r="BC16" s="11">
        <f ca="1">IF(AND(tblData[Dates]&gt;StartDt2US,ISNUMBER(tblData[US])),(tblData[[#This Row],[US LogiP(t)]]-tblData[US])^2,"")</f>
        <v>24.958693599354341</v>
      </c>
      <c r="BD16" s="20">
        <f ca="1">IF(AND(tblData[Dates]&gt;=StartDt2US,ISNUMBER(tblData[[#This Row],[Days'# US]])),tblData[[#This Row],[US LogiP(t)]]/USPopscale,"")</f>
        <v>1.2551638628637105E-4</v>
      </c>
      <c r="BE16" s="126">
        <f ca="1">IF(AND(ISNUMBER(tblData[US]),tblData[Dates]&gt;StartDt2US),(tblData[US]-AVERAGE(tblData[US]))^2,"")</f>
        <v>50148337617.589485</v>
      </c>
      <c r="BF16" s="11">
        <f>tblData[[#This Row],[Dates]]-US100dt+1</f>
        <v>-47</v>
      </c>
      <c r="BG16" s="11">
        <f ca="1">IF(tblData[Dates]&gt;StartDt2SKorea,betaSKorea/(deltaSKorea+betaPodeltaSKorea*EXP(-betaSKorea*(tblData[Dates]-StartDt2SKorea))),"")</f>
        <v>12.492893166960366</v>
      </c>
      <c r="BH16" s="11">
        <f ca="1">IF(AND(tblData[Dates]&gt;StartDt2SKorea,ISNUMBER(tblData[SKorea])),(tblData[[#This Row],[SKorea LogiP(t)]]-tblData[[#This Row],[SKorea]])^2,"")</f>
        <v>72.129234345402082</v>
      </c>
      <c r="BI16" s="11">
        <f ca="1">IF(tblData[Dates]&gt;StartDt2SKorea,tblData[[#This Row],[SKorea LogiP(t)]]/SKoreaPopscale,"")</f>
        <v>2.430523962443651</v>
      </c>
      <c r="BJ16" s="11">
        <f ca="1">IF(AND(ISNUMBER(tblData[SKorea]),tblData[Dates]&gt;StartDt2SKorea),(tblData[SKorea]-AVERAGE(tblData[SKorea]))^2,"")</f>
        <v>33876736.609381005</v>
      </c>
      <c r="BK16" s="11">
        <f>tblData[[#This Row],[Dates]]-SKorea100dt+1</f>
        <v>-26</v>
      </c>
      <c r="BL16" s="126" t="str">
        <f ca="1">IF(AND(tblData[Dates]&gt;StartDt2UK,ISNUMBER(tblData[Days'# UK])),betaUK/(deltaUK+betaPodeltaUK*EXP(-betaUK*tblData[Days'# UK])),"")</f>
        <v/>
      </c>
      <c r="BM16" s="11" t="str">
        <f ca="1">IF(AND(tblData[Dates]&gt;StartDt2UK,ISNUMBER(tblData[United Kingdom])),(tblData[[#This Row],[UK LogiP(t)]]-tblData[[#This Row],[United Kingdom]])^2,"")</f>
        <v/>
      </c>
      <c r="BN16" s="11" t="str">
        <f ca="1">IF(ISNUMBER(tblData[Days'# UK]),tblData[[#This Row],[UK LogiP(t)]]/UKPopscale,"")</f>
        <v/>
      </c>
      <c r="BO16" s="126" t="str">
        <f ca="1">IF(AND(ISNUMBER(tblData[United Kingdom]),tblData[Dates]&gt;StartDt2UK),(tblData[United Kingdom]-AVERAGE(tblData[United Kingdom]))^2,"")</f>
        <v/>
      </c>
      <c r="BP16" s="11">
        <f>tblData[[#This Row],[Dates]]-UK100dt</f>
        <v>-45</v>
      </c>
      <c r="BQ16" s="11">
        <f ca="1">IF(ISNUMBER(tblData[Days'# China]),betaChina/(deltaChina+betaPodeltaChina*EXP(-betaChina*tblData[Days'# China])),"")</f>
        <v>4545.1399826200641</v>
      </c>
      <c r="BR16" s="11">
        <f ca="1">IF(ISNUMBER(tblData[China]),(tblData[[#This Row],[China LogiP(t)]]-tblData[[#This Row],[China]])^2,"")</f>
        <v>2782691.0016156677</v>
      </c>
      <c r="BS16" s="11">
        <f ca="1">tblData[[#This Row],[China LogiP(t)]]/ChinaPopscale</f>
        <v>31.578301271805465</v>
      </c>
      <c r="BT16" s="126">
        <f ca="1">IF(AND(ISNUMBER(tblData[China]),tblData[Dates]&gt;StartDt2China),(tblData[China]-AVERAGE(tblData[China]))^2,"")</f>
        <v>4138023472.2802777</v>
      </c>
      <c r="BU16" s="11">
        <f>tblData[[#This Row],[Dates]]-China100dt</f>
        <v>-6</v>
      </c>
      <c r="BV16" s="95">
        <f ca="1">IF(ISNUMBER(tblData[Day'# Singapore]),betaSingapore/(deltaSingapore+betaPodeltaSingapore*EXP(-betaSingapore*tblData[Day'# Singapore])),"")</f>
        <v>0.20187461195217221</v>
      </c>
      <c r="BW16" s="11">
        <f ca="1">IF(AND(ISNUMBER(tblData[Singapore]),tblData[Dates]&gt;=StartDt2Singapore),(tblData[[#This Row],[Singapore LogiP(t)]]-tblData[[#This Row],[Singapore]])^2,"")</f>
        <v>23.022007239429115</v>
      </c>
      <c r="BX16" s="20">
        <f ca="1">IF(ISNUMBER(tblData[Day'# Singapore]),tblData[Singapore LogiP(t)]/SingaporePopscale,"")</f>
        <v>0.34508480675584996</v>
      </c>
      <c r="BY16" s="95">
        <f ca="1">IF(AND(ISNUMBER(tblData[Singapore]),tblData[Dates]&gt;StartDt2Singapore),(tblData[Singapore]-AVERAGE(tblData[Singapore]))^2,"")</f>
        <v>5362947.8031526348</v>
      </c>
      <c r="BZ16" s="11">
        <f>tblData[[#This Row],[Dates]]-Singapore100dt+1</f>
        <v>-17</v>
      </c>
      <c r="CA16" s="11" t="str">
        <f>IF(AND(tblData[Dates]&gt;StartDt2Generic,ISNUMBER(tblData[Day'# Generic])),betaGeneric/(deltaGeneric+betaPodeltaGeneric*EXP(-betaGeneric*tblData[Day'# Generic])),"")</f>
        <v/>
      </c>
      <c r="CB16" s="95" t="str">
        <f>IF(AND(ISNUMBER(tblData[Generic]),tblData[Dates]&gt;StartDt2Generic),(tblData[Generic LogiP(t)]-tblData[[#This Row],[Generic]])^2,"")</f>
        <v/>
      </c>
      <c r="CC16" s="11" t="str">
        <f>IF(AND(ISNUMBER(tblData[Day'# Generic]),tblData[Dates]&gt;StartDt2Generic),tblData[Generic LogiP(t)]/GenericPopscale,"")</f>
        <v/>
      </c>
      <c r="CD16" s="95" t="str">
        <f>IF(AND(ISNUMBER(tblData[Generic]),tblData[Dates]&gt;StartDt2Generic),(tblData[Generic]-AVERAGE(tblData[Generic]))^2,"")</f>
        <v/>
      </c>
      <c r="CE16" s="11">
        <f>tblData[[#This Row],[Dates]]-Generic100dt+1</f>
        <v>-45</v>
      </c>
      <c r="CF16"/>
      <c r="CG16" s="11"/>
      <c r="CH16" s="11" t="str">
        <f>IF(ISNUMBER(tblData[[#This Row],[Tests]]),tblData[[#This Row],[Tests]]-CH15,"")</f>
        <v/>
      </c>
      <c r="CI16" s="11" t="str">
        <f>IF(ISNUMBER(tblData[[#This Row],[NSW Under Investigation'']]),tblData[[#This Row],[NSW Under Investigation'']]-CG15,"")</f>
        <v/>
      </c>
      <c r="CJ16" s="11"/>
      <c r="CK16" s="11" t="str">
        <f>IF(AND(tblData[[#This Row],[NSW Test Day Number]]&gt;0,ISNUMBER(tblData[[#This Row],[NSW Test Day Number]])),betaTests/(deltaTests+betaPodeltaTests*EXP(-betaTests*tblData[[#This Row],[NSW Test Day Number]])),"")</f>
        <v/>
      </c>
      <c r="CL16" s="11" t="str">
        <f>IF(tblData[Tests]&gt;0,(tblData[[#This Row],[Tests]]-tblData[[#This Row],[NSW Test Logi]])^2,"")</f>
        <v/>
      </c>
      <c r="CM16" s="95" t="str">
        <f>IF(AND(ISNUMBER(tblData[Tests]),tblData[Dates]&gt;StartDt2Tests),(tblData[Tests]-AVERAGE(tblData[Tests]))^2,"")</f>
        <v/>
      </c>
      <c r="CN16" s="11" t="str">
        <f>IF(ISNUMBER(tblData[Tests]),tblData[Tests]/NSWpopscale/100,"")</f>
        <v/>
      </c>
      <c r="CO16" s="11" t="str">
        <f>IF(AND(tblData[[#This Row],[NSW Test Day Number]]&gt;0,ISNUMBER(tblData[[#This Row],[NSW Test Day Number]])),TestsLogestB*TestsLogestM^tblData[[#This Row],[NSW Test Day Number]],"")</f>
        <v/>
      </c>
      <c r="CP16" s="11" t="str">
        <f>IF(AND(tblData[[#This Row],[NSW Test Day Number]]&gt;0,ISNUMBER(tblData[Tests])),(tblData[Tests]-tblData[[#This Row],[NSW Test Per Capita]])^2,"")</f>
        <v/>
      </c>
      <c r="CQ16" s="20">
        <f ca="1">IF(AND(tblData[Day '# NSW]&gt;0,ISNUMBER(tblData[[#This Row],[Day '# NSW]])),NSWLogestB*NSWLogestM^tblData[[#This Row],[Day '# NSW]]/NSWpopscale,"")</f>
        <v>1.7176835344636716</v>
      </c>
      <c r="CR16" s="39">
        <f ca="1">IF(AND(ISNUMBER(tblData[NSW]),tblData[Dates]&gt;StartDt2NSW),(tblData[NSW]/NSWpopscale-tblData[[#This Row],[NSW Cases LogEst]])^2,"")</f>
        <v>10.451070291783489</v>
      </c>
      <c r="CS16">
        <v>5</v>
      </c>
      <c r="CT16" s="19">
        <f>IF(ISNUMBER(tblData[Taiwan]),tblData[Taiwan]/TaiwanPopscale,"")</f>
        <v>2.1001977462189929</v>
      </c>
      <c r="CU16" s="11">
        <f ca="1">IF(tblData[[#This Row],[Dates]]&lt;StartDt2Taiwan,"",tblData[[#This Row],[Dates]]-TaiwanStart)</f>
        <v>5</v>
      </c>
      <c r="CV16" s="19">
        <f ca="1">IF(AND(tblData[Dates]&gt;StartDt2Taiwan,ISNUMBER(tblData[Days'# Taiwan])),betaTaiwan/(deltaTaiwan+betaPodeltaTaiwan*EXP(-betaTaiwan*tblData[Days'# Taiwan])),"")</f>
        <v>8.9166785394381942E-2</v>
      </c>
      <c r="CW16" s="95">
        <f ca="1">IF(AND(tblData[Dates]&gt;StartDt2Taiwan,ISNUMBER(tblData[Taiwan])),(tblData[[#This Row],[Taiwan LogiP(t)]]-tblData[[#This Row],[Taiwan]])^2,"")</f>
        <v>24.116282861673746</v>
      </c>
      <c r="CX16" s="20">
        <f ca="1">IF(AND(tblData[Dates]&gt;StartDt2Taiwan,ISNUMBER(tblData[Days'# Taiwan])),tblData[[#This Row],[Taiwan LogiP(t)]]/TaiwanPopscale,"")</f>
        <v>3.7453576344574711E-2</v>
      </c>
      <c r="CY16" s="95">
        <f ca="1">IF(AND(ISNUMBER(tblData[Taiwan]),tblData[Dates]&gt;StartDt2Taiwan),(tblData[Taiwan]-AVERAGE(tblData[Taiwan]))^2,"")</f>
        <v>27076.379853902348</v>
      </c>
      <c r="CZ16" s="11">
        <f>tblData[[#This Row],[Dates]]-Taiwan100dt+1</f>
        <v>-58</v>
      </c>
      <c r="DA16"/>
      <c r="DB16" s="20" t="str">
        <f>IF(ISNUMBER(tblData[NZ]),tblData[NZ]/NZPopscale,"")</f>
        <v/>
      </c>
      <c r="DC16" s="11" t="str">
        <f ca="1">IF(tblData[[#This Row],[Dates]]&lt;StartDt2NZ,"",tblData[[#This Row],[Dates]]-NZStart)</f>
        <v/>
      </c>
      <c r="DD16" s="20" t="str">
        <f ca="1">IF(AND(tblData[Dates]&gt;StartDt2NZ,ISNUMBER(tblData[Days'# NZ])),betaNZ/(deltaNZ+betaPodeltaNZ*EXP(-betaNZ*tblData[Days'# NZ])),"")</f>
        <v/>
      </c>
      <c r="DE16" s="95" t="str">
        <f ca="1">IF(AND(tblData[Dates]&gt;StartDt2NZ,ISNUMBER(tblData[NZ])),(tblData[[#This Row],[NZ LogiP(t)]]-tblData[[#This Row],[NZ]])^2,"")</f>
        <v/>
      </c>
      <c r="DF16" s="20" t="str">
        <f ca="1">IF(AND(tblData[Dates]&gt;StartDt2NZ,ISNUMBER(tblData[Days'# NZ])),tblData[[#This Row],[NZ LogiP(t)]]/NZPopscale,"")</f>
        <v/>
      </c>
      <c r="DG16" s="95" t="str">
        <f ca="1">IF(AND(ISNUMBER(tblData[NZ]),tblData[Dates]&gt;StartDt2NZ),(tblData[NZ]-AVERAGE(tblData[NZ]))^2,"")</f>
        <v/>
      </c>
      <c r="DH16" s="11">
        <f>tblData[[#This Row],[Dates]]-NZ100dt+1</f>
        <v>-54</v>
      </c>
      <c r="DI16" s="39"/>
      <c r="DJ16" s="11"/>
      <c r="DK16" s="26"/>
      <c r="DL16" s="25" t="s">
        <v>2302</v>
      </c>
      <c r="DM16" s="154">
        <v>43954.724027777775</v>
      </c>
      <c r="DN16" s="62">
        <f>INDEX(tblPopulation[Day 0],MATCH(tblRuns[[#This Row],[Place]],tblPopulation[Country],0),1)</f>
        <v>43852</v>
      </c>
      <c r="DO16" s="62">
        <f ca="1">INDEX(tblPopulation[Logistic Start2],MATCH($DL16,tblPopulation[Country],0),1)</f>
        <v>43852</v>
      </c>
      <c r="DP16" s="25">
        <v>5</v>
      </c>
      <c r="DQ16" s="44">
        <v>0.17731911744864057</v>
      </c>
      <c r="DR16" s="71">
        <v>1.7326146115585089E-5</v>
      </c>
      <c r="DS16" s="71">
        <v>5.1514710272591699</v>
      </c>
      <c r="DT16" s="23">
        <f>betaSKorea/deltaSKorea</f>
        <v>10234.192662679889</v>
      </c>
      <c r="DU16" s="21">
        <f t="array" aca="1" ref="DU16" ca="1">SQRT(SUM(tblData[Skorea Sq Err])/COUNT(tblData[Skorea Sq Err]))</f>
        <v>507.87303791598583</v>
      </c>
      <c r="DV16" s="72">
        <f ca="1">1-(SUM(tblData[Skorea Sq Err])/SUM(tblData[Skorea Mean Devn Sq]))</f>
        <v>0.98751560463952381</v>
      </c>
      <c r="DW16" s="73">
        <f>(betaSKorea/PoSKorea)-deltaSKorea</f>
        <v>3.4403738538195151E-2</v>
      </c>
      <c r="DX16" s="73">
        <f>tblRuns[d]*1000</f>
        <v>1.7326146115585087E-2</v>
      </c>
      <c r="DY16" s="26">
        <f t="array" ref="DY16">MAX(IF(ISNUMBER(tblData[SKorea]),tblData[Dates]))</f>
        <v>43953</v>
      </c>
      <c r="DZ16" s="26" t="str">
        <f>Cengnotation(tblRuns[[#This Row],[Asymptote b/d]],3)</f>
        <v>10.2 k</v>
      </c>
      <c r="EA16" s="95">
        <f ca="1">MAX(tblData[SKorea LogiP(t)])</f>
        <v>10234.192654559922</v>
      </c>
      <c r="EB16" s="25">
        <f>MAX(tblData[SKorea])</f>
        <v>10793</v>
      </c>
      <c r="EC16" s="25" t="str">
        <f>Cengnotation(DT16/(SKoreaPop/PerPerson),3)</f>
        <v>1.99 k</v>
      </c>
      <c r="ED16" s="26">
        <f t="array" ref="ED16">MAX(IF(ISNUMBER(tblData[SKorea]),tblData[Dates]))</f>
        <v>43953</v>
      </c>
      <c r="EE16" s="11">
        <f t="array" ref="EE16">COUNT(IF(ISNUMBER(tblData[SKorea]),tblData[Dates]))</f>
        <v>102</v>
      </c>
      <c r="EF16" s="26" t="str">
        <f ca="1">"b="&amp;TEXT(tblRuns[b],"##0.###")&amp;", d="&amp;TEXT(tblRuns[d],"0.00E+00")&amp;", P0="&amp;TEXT(Po,"#.###")&amp; ", r2=" &amp;TEXT(tblRuns[[#This Row],[R2]],"0.####") &amp;", Limit="&amp;IF(PopScaling=0,tblRuns[Asymptote b/d],tblRuns[[#This Row],[Asymp PerP]])&amp;"=&gt;"&amp;Cengnotation(tblRuns[[#This Row],[Limit Cases]],3)&amp;" cases "&amp;tblRuns[[#This Row],[Notes]]</f>
        <v xml:space="preserve">b=0.177, d=1.73E-05, P0=.639, r2=0.9875, Limit=1.99 k=&gt;10.2 k cases , log fit from 19th Feb </v>
      </c>
      <c r="EG16" s="25"/>
      <c r="EH16" s="25" t="str">
        <f ca="1">tblRuns[Place]&amp;" Limit " &amp; IF(PopScaling=0,tblRuns[[#This Row],[Asymptote]],tblRuns[[#This Row],[Asymp PerP]])&amp;" r^2="&amp;TEXT(tblRuns[[#This Row],[R2]]*100,"##.00")&amp;"%"</f>
        <v>South Korea Limit 1.99 k r^2=98.75%</v>
      </c>
      <c r="EI16" s="30" t="str">
        <f xml:space="preserve"> ", log fit from 19th Feb "</f>
        <v xml:space="preserve">, log fit from 19th Feb </v>
      </c>
      <c r="EJ16" s="18" t="str">
        <f ca="1">"COVID19 "&amp;tblRuns[[#This Row],[Place]] &amp; " " &amp;LogFormula&amp;CHAR(10)&amp;tblRuns[[#This Row],[Parameter List]]&amp;CHAR(10)&amp;" (Fit: " &amp; TEXT(tblRuns[Logistic Start2],"ddd dd-mmm") &amp; " - " &amp; TEXT(tblRuns[Last Date],"ddd dd-mmm")&amp;")"</f>
        <v>COVID19 South Korea P(t) = b / {d+[( b/Po - d ) ]* exp(-b*t)}
b=0.177, d=1.73E-05, P0=.639, r2=0.9875, Limit=1.99 k=&gt;10.2 k cases , log fit from 19th Feb 
 (Fit: Wed 22-Jan - Sat 02-May)</v>
      </c>
      <c r="EK16" s="11">
        <f>MAX(tblData[SKorea Cases Per Capita])</f>
        <v>2099.8054474708174</v>
      </c>
      <c r="EL16" s="156">
        <f>IF(tblRuns[[#This Row],[Max Cases Per Capita]]&gt;NSWMaxCasespc,INDEX(tblData[Dates],1+MATCH(NSWMaxCasespc,tblData[SKorea Cases Per Capita],1)),INDEX(tblData[Dates],1+MATCH(tblRuns[[#This Row],[Max Cases Per Capita]],tblData[NSW Cases per Capita],1)))</f>
        <v>43919</v>
      </c>
      <c r="EM16" s="11">
        <f>IF(tblRuns[[#This Row],[Max Cases Per Capita]]&gt;NSWMaxCasespc,1,-1)*(DY$12-tblRuns[[#This Row],[Date of NSW Case Match]])</f>
        <v>-35</v>
      </c>
      <c r="EN16" s="26">
        <f>IF(tblRuns[[#This Row],[Max Cases Per Capita]]&gt;AuMaxCasespc,INDEX(tblData[Dates],1+MATCH(AuMaxCasespc,tblData[SKorea Cases Per Capita],1)),INDEX(tblData[Dates],1+MATCH(tblRuns[[#This Row],[Max Cases Per Capita]],tblData[Au Cases Per Capita],1)))</f>
        <v>43924</v>
      </c>
      <c r="EO16" s="11">
        <f ca="1">IF(tblRuns[[#This Row],[Max Cases Per Capita]]&gt;AuMaxCasespc,1,-1)*(ED$11-tblRuns[[#This Row],[Date of AUS Case Match]]+1)</f>
        <v>-31</v>
      </c>
      <c r="EP16" s="25"/>
      <c r="EQ16" s="11">
        <f ca="1">INDEX(tblData[SKorea LogiP(t)],MATCH(VALUE(tblRuns[AtDate])+7,tblData[Dates],1))</f>
        <v>10234.025924451398</v>
      </c>
      <c r="ER16" s="19">
        <f ca="1">tblRuns[Mean Sq Err]/tblRuns[Max Cases Per Capita]</f>
        <v>0.24186671128399581</v>
      </c>
      <c r="ES16" s="132">
        <f>IF(MIN(tblData[SKorea Cases Per Capita])&gt;solvMsgs!MinCases,MIN(tblData[Dates]),INDEX(tblData[Dates],1+MATCH(solvMsgs!MinCases, tblData[SKorea Cases Per Capita],1)))</f>
        <v>43884</v>
      </c>
      <c r="ET16" s="133" t="str">
        <f>tblRuns[[#This Row],[Place]]&amp;" from "&amp;TEXT(tblRuns[DateOver100],"dd-mmm")</f>
        <v>South Korea from 23-Feb</v>
      </c>
      <c r="EU16" s="162">
        <f ca="1">INDEX(tblData[SKorea LogiP(t)],MATCH(tblRuns[[#This Row],[Last Date]]+1,tblData[Dates],0))-INDEX(tblData[SKorea],MATCH(tblRuns[[#This Row],[Last Date]],tblData[Dates],0))</f>
        <v>-559.09116605200506</v>
      </c>
      <c r="EV16" s="25" t="s">
        <v>678</v>
      </c>
      <c r="EW16" s="25" t="str">
        <f>INDEX(tblPopulation[CtryAbbrev],MATCH(tblRuns[Place],tblPopulation[Country],0))</f>
        <v>SKorea</v>
      </c>
      <c r="EX16" s="26" t="str">
        <f ca="1">SUBSTITUTE(tblRuns[[#This Row],[ChartLabel]]," since " &amp; solvMsgs!MinCases,"")</f>
        <v>COVID19 South Korea P(t) = b / {d+[( b/Po - d ) ]* exp(-b*t)}
b=0.177, d=1.73E-05, P0=.639, r2=0.9875, Limit=1.99 k=&gt;10.2 k cases , log fit from 19th Feb 
 (Fit: Wed 22-Jan - Sat 02-May)</v>
      </c>
      <c r="FA16" s="25"/>
      <c r="FB16" s="25"/>
      <c r="FC16" s="25"/>
      <c r="FD16" s="134"/>
      <c r="FE16" s="25"/>
      <c r="FF16" s="25"/>
      <c r="FG16"/>
      <c r="FH16"/>
      <c r="FI16" s="26">
        <v>43854</v>
      </c>
      <c r="FJ16" s="39">
        <v>10000000</v>
      </c>
      <c r="FK16"/>
      <c r="FL16"/>
      <c r="FM16"/>
      <c r="FN16"/>
      <c r="FO16" s="265" t="s">
        <v>48</v>
      </c>
      <c r="FP16" s="250">
        <v>43912.326643518521</v>
      </c>
      <c r="FQ16" s="156">
        <v>43855</v>
      </c>
      <c r="FR16" s="26">
        <v>43855</v>
      </c>
      <c r="FS16" s="211">
        <v>0</v>
      </c>
      <c r="FT16" s="25">
        <v>0.20700169092268883</v>
      </c>
      <c r="FU16" s="24">
        <v>1.0000000000000768E-9</v>
      </c>
      <c r="FV16" s="21">
        <v>9.888722941768591E-3</v>
      </c>
      <c r="FW16" s="212">
        <v>207001690.92267293</v>
      </c>
      <c r="FX16" s="212">
        <v>11.00426291537671</v>
      </c>
      <c r="FY16" s="212"/>
      <c r="FZ16" s="213">
        <v>20.933106542853348</v>
      </c>
      <c r="GA16" s="213">
        <v>1.0000000000000768E-6</v>
      </c>
      <c r="GB16" s="156">
        <v>43911</v>
      </c>
      <c r="GC16" s="25" t="s">
        <v>779</v>
      </c>
      <c r="GD16" s="212"/>
      <c r="GE16" s="212">
        <v>1073</v>
      </c>
      <c r="GF16" s="25" t="s">
        <v>780</v>
      </c>
      <c r="GG16" s="156">
        <v>43911</v>
      </c>
      <c r="GH16" s="25">
        <v>57</v>
      </c>
      <c r="GI16" s="25" t="s">
        <v>781</v>
      </c>
      <c r="GJ16" s="25"/>
      <c r="GK16" t="s">
        <v>782</v>
      </c>
      <c r="GM16" s="25" t="s">
        <v>783</v>
      </c>
      <c r="GN16" s="20">
        <v>423.04052988487621</v>
      </c>
      <c r="GO16" s="156"/>
      <c r="GP16" s="218"/>
      <c r="GQ16" s="156"/>
      <c r="GR16" s="25"/>
      <c r="GS16" t="s">
        <v>778</v>
      </c>
      <c r="GT16" s="11"/>
      <c r="GU16" s="12"/>
      <c r="GV16" s="26"/>
      <c r="GX16" s="219"/>
      <c r="HK16" s="164">
        <v>43901</v>
      </c>
      <c r="HL16" s="60">
        <v>43901.541666666664</v>
      </c>
      <c r="HM16">
        <v>65</v>
      </c>
      <c r="HN16">
        <v>9152</v>
      </c>
      <c r="HQ16" t="str">
        <f>IF(ISNUMBER(tblNSWKnown[[#This Row],[Unknown Locally]]),tblNSWKnown[[#This Row],[Known Locally]]+tblNSWKnown[[#This Row],[Unknown Locally]],"")</f>
        <v/>
      </c>
      <c r="HR16" s="25"/>
      <c r="HS16" t="str">
        <f>IF(ISNUMBER(tblNSWKnown[[#This Row],[Day '# NSW Unknown]]),betaNSWUnknown/(deltaNSWUnknown+betaPodeltaNSWUnknown*EXP(-betaNSWUnknown*tblNSWKnown[Day '# NSW Unknown])),"")</f>
        <v/>
      </c>
      <c r="HT16" t="str">
        <f>IF(ISNUMBER(tblNSWKnown[[#This Row],[Total Local]]),(tblNSWKnown[[#This Row],[Total Local]]-tblNSWKnown[[#This Row],[NSW Unknown Logi P(t)]])^2,"")</f>
        <v/>
      </c>
      <c r="HU16" s="166" t="str">
        <f>IF(ISNUMBER(tblNSWKnown[Total Local]),(tblNSWKnown[Total Local]-AVERAGE(tblNSWKnown[Total Local]))^2,"")</f>
        <v/>
      </c>
      <c r="HV16" s="166"/>
    </row>
    <row r="17" spans="2:230" ht="15" customHeight="1" x14ac:dyDescent="0.25">
      <c r="B17" s="26">
        <v>43858</v>
      </c>
      <c r="C17">
        <v>0</v>
      </c>
      <c r="D17" s="25">
        <v>0</v>
      </c>
      <c r="E17">
        <v>4</v>
      </c>
      <c r="F17">
        <v>0</v>
      </c>
      <c r="G17">
        <v>0</v>
      </c>
      <c r="H17">
        <v>0</v>
      </c>
      <c r="I17">
        <v>0</v>
      </c>
      <c r="J17">
        <v>1</v>
      </c>
      <c r="K17">
        <v>0</v>
      </c>
      <c r="L17" s="11">
        <f>IF(ISNUMBER(tblData[[#This Row],[NSW]]),tblData[[#This Row],[New South Wales]]/NSWpopscale,"")</f>
        <v>4.9504950495049505</v>
      </c>
      <c r="N17" s="20" t="str">
        <f>IF(ISNUMBER(tblData[Italy]),tblData[Italy]/ItalyPopscale,"")</f>
        <v/>
      </c>
      <c r="O17">
        <v>5</v>
      </c>
      <c r="P17" s="20">
        <f>IF(ISNUMBER(tblData[US]),tblData[US]/USPopscale,"")</f>
        <v>0.15187055346179726</v>
      </c>
      <c r="Q17">
        <v>4</v>
      </c>
      <c r="R17" s="20">
        <f>IF(ISNUMBER(tblData[SKorea]),tblData[SKorea]/SKoreaPopscale,"")</f>
        <v>0.77821011673151752</v>
      </c>
      <c r="T17" s="12" t="str">
        <f>IF(ISNUMBER(tblData[United Kingdom]),tblData[United Kingdom]/UKPopscale,"")</f>
        <v/>
      </c>
      <c r="U17">
        <v>5509</v>
      </c>
      <c r="V17" s="20">
        <f>IF(ISNUMBER(tblData[China]),tblData[China]/ChinaPopscale,"")</f>
        <v>38.274918346099774</v>
      </c>
      <c r="W17" s="25">
        <f ca="1">IF(tblData[[#This Row],[Dates]]&lt;StartDt2China,"",tblData[[#This Row],[Dates]]-ChinaStart)</f>
        <v>6</v>
      </c>
      <c r="X17">
        <v>7</v>
      </c>
      <c r="Y17" s="20">
        <f>IF(ISNUMBER(tblData[Singapore]),tblData[Singapore]/SingaporePopscale,"")</f>
        <v>11.965811965811966</v>
      </c>
      <c r="Z17"/>
      <c r="AA17" s="20" t="str">
        <f>IF(AND(LEN(tblData[Generic])&gt;0,ISNUMBER(tblData[Generic])),tblData[Generic]/GenericPopscale,"")</f>
        <v/>
      </c>
      <c r="AB17" s="25" t="str">
        <f ca="1">IF(tblData[[#This Row],[Dates]]&lt;StartDt2Italy,"",tblData[[#This Row],[Dates]]-ItalyStart)</f>
        <v/>
      </c>
      <c r="AC17" s="25">
        <f ca="1">IF(tblData[[#This Row],[Dates]]&lt;=StartDt2US,"",tblData[[#This Row],[Dates]]-USStart)</f>
        <v>6</v>
      </c>
      <c r="AD17" s="25">
        <f>IF(tblData[[#This Row],[Dates]]&lt;=SKoreaStart,"",tblData[[#This Row],[Dates]]-SKoreaStart)</f>
        <v>6</v>
      </c>
      <c r="AE17" s="25" t="str">
        <f ca="1">IF(tblData[[#This Row],[Dates]]&lt;=StartDt2UK,"",tblData[[#This Row],[Dates]]-UKStart)</f>
        <v/>
      </c>
      <c r="AF17" s="25">
        <f ca="1">IF(tblData[[#This Row],[Dates]]&lt;StartDt2Singapore,"",tblData[[#This Row],[Dates]]-SingaporeStart)</f>
        <v>5</v>
      </c>
      <c r="AG17" s="25" t="str">
        <f>IF(tblData[[#This Row],[Dates]]&lt;StartDt2Generic,"",tblData[[#This Row],[Dates]]-GenericStart)</f>
        <v/>
      </c>
      <c r="AH17">
        <f ca="1">IF(tblData[Dates]&gt;StartDt2Au,tblData[Dates]-AuStart,"")</f>
        <v>3</v>
      </c>
      <c r="AI17" s="25">
        <f>IF(AND(COUNTBLANK(tblData[[#This Row],[Australian Capital Territory]:[Western Australia]])&lt;1,tblData[New South Wales]&gt;=0),SUM(tblData[[#This Row],[Australian Capital Territory]:[Western Australia]]),"")</f>
        <v>5</v>
      </c>
      <c r="AJ17" s="12">
        <f>IF(ISNUMBER(tblData[Au]),tblData[Au]/AuPopScale,"")</f>
        <v>1.9712979025390318</v>
      </c>
      <c r="AK17" s="19">
        <f ca="1">IF(ISNUMBER(tblData[[#This Row],[Day'# Aust]]),betaAu/(deltaAu+betaPodeltaAu*EXP(-betaAu*tblData[[#This Row],[Day'# Aust]])),"")</f>
        <v>9.2457154820247325E-3</v>
      </c>
      <c r="AL17" s="57">
        <f ca="1">IF(ISNUMBER(tblData[Day'# Aust]),tblData[Au LogiP(t)]/AuPopScale,"")</f>
        <v>3.6452119074376014E-3</v>
      </c>
      <c r="AM17" s="11">
        <f ca="1">IF(AND(tblData[Dates]&gt;StartDt2Au,ISNUMBER(tblData[Au])),(tblData[[#This Row],[Au LogiP(t)]]-tblData[[#This Row],[Au]])^2,"")</f>
        <v>24.907628328434527</v>
      </c>
      <c r="AN17" s="11">
        <f ca="1">IF(AND(ISNUMBER(tblData[Au]),tblData[Dates]&gt;StartDt2Au),(tblData[Au]-AVERAGE(tblData[Au]))^2,"")</f>
        <v>5972207.3160999995</v>
      </c>
      <c r="AO17" s="11">
        <f>tblData[[#This Row],[Dates]]-Au100dt</f>
        <v>-47</v>
      </c>
      <c r="AP17">
        <f ca="1">IF(tblData[Dates]&gt;StartDt2NSW,tblData[Dates]-StartDt2NSW,"")</f>
        <v>3</v>
      </c>
      <c r="AQ17" s="25">
        <f>IF(tblData[[#This Row],[New South Wales]]&gt;0,tblData[[#This Row],[New South Wales]],"")</f>
        <v>4</v>
      </c>
      <c r="AR17" s="44">
        <f ca="1">IF(tblData[Dates]&gt;StartDt2NSW,betaNSW/(deltaNSW+betaPodeltaNSW*EXP(-betaNSW*tblData[[#This Row],[Day '# NSW]])),"")</f>
        <v>2.4945543157640347E-3</v>
      </c>
      <c r="AS17" s="12">
        <f ca="1">IF(AND(ISNUMBER(tblData[NSW]),tblData[Dates]&gt;StartDt2NSW),(tblData[[#This Row],[NSW LogiP(t)]]-tblData[[#This Row],[NSW]])^2,"")</f>
        <v>15.980049788275123</v>
      </c>
      <c r="AT17" s="12">
        <f ca="1">IF(AND(tblData[Dates]&gt;StartDt2NSW,ISNUMBER(tblData[Day'# Aust])),tblData[NSW LogiP(t)]/NSWpopscale,"")</f>
        <v>3.0873196977277656E-3</v>
      </c>
      <c r="AU17" s="11">
        <f>tblData[[#This Row],[Dates]]-NSW100dt+1</f>
        <v>-44</v>
      </c>
      <c r="AV17" s="11">
        <f ca="1">IF(AND(ISNUMBER(tblData[NSW]),tblData[Dates]&gt;StartDt2NSW),(tblData[NSW]-AVERAGE(tblData[NSW]))^2,"")</f>
        <v>1188666.8676</v>
      </c>
      <c r="AW17" s="39" t="str">
        <f ca="1">IF(AND(tblData[Dates]&gt;StartDt2Italy,ISNUMBER(tblData[Days'# Italy])),betaItaly/(deltaItaly+betaPodeltaItaly*EXP(-betaItaly*tblData[Days'# Italy])),"")</f>
        <v/>
      </c>
      <c r="AX17" s="11" t="str">
        <f ca="1">IF(AND(tblData[Dates]&gt;StartDt2Italy,ISNUMBER(tblData[Italy])),(tblData[[#This Row],[Italy LogiP(t)]]-tblData[[#This Row],[Italy]])^2,"")</f>
        <v/>
      </c>
      <c r="AY17" s="11" t="str">
        <f ca="1">IF(AND(tblData[Dates]&gt;StartDt2Italy,ISNUMBER(tblData[Days'# Italy])),tblData[[#This Row],[Italy LogiP(t)]]/ItalyPopscale,"")</f>
        <v/>
      </c>
      <c r="AZ17" s="11" t="str">
        <f ca="1">IF(AND(ISNUMBER(tblData[Italy]),tblData[Dates]&gt;StartDt2Italy),(tblData[Italy]-AVERAGE(tblData[Italy]))^2,"")</f>
        <v/>
      </c>
      <c r="BA17" s="11">
        <f>tblData[[#This Row],[Dates]]-Italy100dt+1</f>
        <v>-29</v>
      </c>
      <c r="BB17" s="11">
        <f ca="1">IF(AND(tblData[Dates]&gt;StartDt2US,ISNUMBER(tblData[[#This Row],[Days'# US]])),betaUS/(deltaUS+betaPodeltaUS*EXP(-betaUS*tblData[Days'# US])),"")</f>
        <v>5.4882795769454111E-3</v>
      </c>
      <c r="BC17" s="11">
        <f ca="1">IF(AND(tblData[Dates]&gt;StartDt2US,ISNUMBER(tblData[US])),(tblData[[#This Row],[US LogiP(t)]]-tblData[US])^2,"")</f>
        <v>24.945147325443262</v>
      </c>
      <c r="BD17" s="20">
        <f ca="1">IF(AND(tblData[Dates]&gt;=StartDt2US,ISNUMBER(tblData[[#This Row],[Days'# US]])),tblData[[#This Row],[US LogiP(t)]]/USPopscale,"")</f>
        <v>1.6670161138075562E-4</v>
      </c>
      <c r="BE17" s="126">
        <f ca="1">IF(AND(ISNUMBER(tblData[US]),tblData[Dates]&gt;StartDt2US),(tblData[US]-AVERAGE(tblData[US]))^2,"")</f>
        <v>50148337617.589485</v>
      </c>
      <c r="BF17" s="11">
        <f>tblData[[#This Row],[Dates]]-US100dt+1</f>
        <v>-46</v>
      </c>
      <c r="BG17" s="11">
        <f ca="1">IF(tblData[Dates]&gt;StartDt2SKorea,betaSKorea/(deltaSKorea+betaPodeltaSKorea*EXP(-betaSKorea*(tblData[Dates]-StartDt2SKorea))),"")</f>
        <v>14.913133246694219</v>
      </c>
      <c r="BH17" s="11">
        <f ca="1">IF(AND(tblData[Dates]&gt;StartDt2SKorea,ISNUMBER(tblData[SKorea])),(tblData[[#This Row],[SKorea LogiP(t)]]-tblData[[#This Row],[SKorea]])^2,"")</f>
        <v>119.0964772601027</v>
      </c>
      <c r="BI17" s="11">
        <f ca="1">IF(tblData[Dates]&gt;StartDt2SKorea,tblData[[#This Row],[SKorea LogiP(t)]]/SKoreaPopscale,"")</f>
        <v>2.901387791185646</v>
      </c>
      <c r="BJ17" s="11">
        <f ca="1">IF(AND(ISNUMBER(tblData[SKorea]),tblData[Dates]&gt;StartDt2SKorea),(tblData[SKorea]-AVERAGE(tblData[SKorea]))^2,"")</f>
        <v>33876736.609381005</v>
      </c>
      <c r="BK17" s="11">
        <f>tblData[[#This Row],[Dates]]-SKorea100dt+1</f>
        <v>-25</v>
      </c>
      <c r="BL17" s="126" t="str">
        <f ca="1">IF(AND(tblData[Dates]&gt;StartDt2UK,ISNUMBER(tblData[Days'# UK])),betaUK/(deltaUK+betaPodeltaUK*EXP(-betaUK*tblData[Days'# UK])),"")</f>
        <v/>
      </c>
      <c r="BM17" s="11" t="str">
        <f ca="1">IF(AND(tblData[Dates]&gt;StartDt2UK,ISNUMBER(tblData[United Kingdom])),(tblData[[#This Row],[UK LogiP(t)]]-tblData[[#This Row],[United Kingdom]])^2,"")</f>
        <v/>
      </c>
      <c r="BN17" s="11" t="str">
        <f ca="1">IF(ISNUMBER(tblData[Days'# UK]),tblData[[#This Row],[UK LogiP(t)]]/UKPopscale,"")</f>
        <v/>
      </c>
      <c r="BO17" s="126" t="str">
        <f ca="1">IF(AND(ISNUMBER(tblData[United Kingdom]),tblData[Dates]&gt;StartDt2UK),(tblData[United Kingdom]-AVERAGE(tblData[United Kingdom]))^2,"")</f>
        <v/>
      </c>
      <c r="BP17" s="11">
        <f>tblData[[#This Row],[Dates]]-UK100dt</f>
        <v>-44</v>
      </c>
      <c r="BQ17" s="11">
        <f ca="1">IF(ISNUMBER(tblData[Days'# China]),betaChina/(deltaChina+betaPodeltaChina*EXP(-betaChina*tblData[Days'# China])),"")</f>
        <v>5591.9800664148506</v>
      </c>
      <c r="BR17" s="11">
        <f ca="1">IF(ISNUMBER(tblData[China]),(tblData[[#This Row],[China LogiP(t)]]-tblData[[#This Row],[China]])^2,"")</f>
        <v>6885.6914222130208</v>
      </c>
      <c r="BS17" s="11">
        <f ca="1">tblData[[#This Row],[China LogiP(t)]]/ChinaPopscale</f>
        <v>38.851439541667453</v>
      </c>
      <c r="BT17" s="126">
        <f ca="1">IF(AND(ISNUMBER(tblData[China]),tblData[Dates]&gt;StartDt2China),(tblData[China]-AVERAGE(tblData[China]))^2,"")</f>
        <v>3806331091.103807</v>
      </c>
      <c r="BU17" s="11">
        <f>tblData[[#This Row],[Dates]]-China100dt</f>
        <v>-5</v>
      </c>
      <c r="BV17" s="95">
        <f ca="1">IF(ISNUMBER(tblData[Day'# Singapore]),betaSingapore/(deltaSingapore+betaPodeltaSingapore*EXP(-betaSingapore*tblData[Day'# Singapore])),"")</f>
        <v>0.22889218965842167</v>
      </c>
      <c r="BW17" s="11">
        <f ca="1">IF(AND(ISNUMBER(tblData[Singapore]),tblData[Dates]&gt;=StartDt2Singapore),(tblData[[#This Row],[Singapore LogiP(t)]]-tblData[[#This Row],[Singapore]])^2,"")</f>
        <v>45.847900979268722</v>
      </c>
      <c r="BX17" s="20">
        <f ca="1">IF(ISNUMBER(tblData[Day'# Singapore]),tblData[Singapore LogiP(t)]/SingaporePopscale,"")</f>
        <v>0.39126870027080629</v>
      </c>
      <c r="BY17" s="95">
        <f ca="1">IF(AND(ISNUMBER(tblData[Singapore]),tblData[Dates]&gt;StartDt2Singapore),(tblData[Singapore]-AVERAGE(tblData[Singapore]))^2,"")</f>
        <v>5353688.5874663601</v>
      </c>
      <c r="BZ17" s="11">
        <f>tblData[[#This Row],[Dates]]-Singapore100dt+1</f>
        <v>-16</v>
      </c>
      <c r="CA17" s="11" t="str">
        <f>IF(AND(tblData[Dates]&gt;StartDt2Generic,ISNUMBER(tblData[Day'# Generic])),betaGeneric/(deltaGeneric+betaPodeltaGeneric*EXP(-betaGeneric*tblData[Day'# Generic])),"")</f>
        <v/>
      </c>
      <c r="CB17" s="95" t="str">
        <f>IF(AND(ISNUMBER(tblData[Generic]),tblData[Dates]&gt;StartDt2Generic),(tblData[Generic LogiP(t)]-tblData[[#This Row],[Generic]])^2,"")</f>
        <v/>
      </c>
      <c r="CC17" s="11" t="str">
        <f>IF(AND(ISNUMBER(tblData[Day'# Generic]),tblData[Dates]&gt;StartDt2Generic),tblData[Generic LogiP(t)]/GenericPopscale,"")</f>
        <v/>
      </c>
      <c r="CD17" s="95" t="str">
        <f>IF(AND(ISNUMBER(tblData[Generic]),tblData[Dates]&gt;StartDt2Generic),(tblData[Generic]-AVERAGE(tblData[Generic]))^2,"")</f>
        <v/>
      </c>
      <c r="CE17" s="11">
        <f>tblData[[#This Row],[Dates]]-Generic100dt+1</f>
        <v>-44</v>
      </c>
      <c r="CF17"/>
      <c r="CG17" s="11"/>
      <c r="CH17" s="11" t="str">
        <f>IF(ISNUMBER(tblData[[#This Row],[Tests]]),tblData[[#This Row],[Tests]]-CH16,"")</f>
        <v/>
      </c>
      <c r="CI17" s="11" t="str">
        <f>IF(ISNUMBER(tblData[[#This Row],[NSW Under Investigation'']]),tblData[[#This Row],[NSW Under Investigation'']]-CG16,"")</f>
        <v/>
      </c>
      <c r="CJ17" s="11"/>
      <c r="CK17" s="11" t="str">
        <f>IF(AND(tblData[[#This Row],[NSW Test Day Number]]&gt;0,ISNUMBER(tblData[[#This Row],[NSW Test Day Number]])),betaTests/(deltaTests+betaPodeltaTests*EXP(-betaTests*tblData[[#This Row],[NSW Test Day Number]])),"")</f>
        <v/>
      </c>
      <c r="CL17" s="11" t="str">
        <f>IF(tblData[Tests]&gt;0,(tblData[[#This Row],[Tests]]-tblData[[#This Row],[NSW Test Logi]])^2,"")</f>
        <v/>
      </c>
      <c r="CM17" s="95" t="str">
        <f>IF(AND(ISNUMBER(tblData[Tests]),tblData[Dates]&gt;StartDt2Tests),(tblData[Tests]-AVERAGE(tblData[Tests]))^2,"")</f>
        <v/>
      </c>
      <c r="CN17" s="11" t="str">
        <f>IF(ISNUMBER(tblData[Tests]),tblData[Tests]/NSWpopscale/100,"")</f>
        <v/>
      </c>
      <c r="CO17" s="11" t="str">
        <f>IF(AND(tblData[[#This Row],[NSW Test Day Number]]&gt;0,ISNUMBER(tblData[[#This Row],[NSW Test Day Number]])),TestsLogestB*TestsLogestM^tblData[[#This Row],[NSW Test Day Number]],"")</f>
        <v/>
      </c>
      <c r="CP17" s="11" t="str">
        <f>IF(AND(tblData[[#This Row],[NSW Test Day Number]]&gt;0,ISNUMBER(tblData[Tests])),(tblData[Tests]-tblData[[#This Row],[NSW Test Per Capita]])^2,"")</f>
        <v/>
      </c>
      <c r="CQ17" s="20">
        <f ca="1">IF(AND(tblData[Day '# NSW]&gt;0,ISNUMBER(tblData[[#This Row],[Day '# NSW]])),NSWLogestB*NSWLogestM^tblData[[#This Row],[Day '# NSW]]/NSWpopscale,"")</f>
        <v>1.8910933616492276</v>
      </c>
      <c r="CR17" s="39">
        <f ca="1">IF(AND(ISNUMBER(tblData[NSW]),tblData[Dates]&gt;StartDt2NSW),(tblData[NSW]/NSWpopscale-tblData[[#This Row],[NSW Cases LogEst]])^2,"")</f>
        <v>9.359938687654445</v>
      </c>
      <c r="CS17">
        <v>8</v>
      </c>
      <c r="CT17" s="19">
        <f>IF(ISNUMBER(tblData[Taiwan]),tblData[Taiwan]/TaiwanPopscale,"")</f>
        <v>3.3603163939503888</v>
      </c>
      <c r="CU17" s="11">
        <f ca="1">IF(tblData[[#This Row],[Dates]]&lt;StartDt2Taiwan,"",tblData[[#This Row],[Dates]]-TaiwanStart)</f>
        <v>6</v>
      </c>
      <c r="CV17" s="19">
        <f ca="1">IF(AND(tblData[Dates]&gt;StartDt2Taiwan,ISNUMBER(tblData[Days'# Taiwan])),betaTaiwan/(deltaTaiwan+betaPodeltaTaiwan*EXP(-betaTaiwan*tblData[Days'# Taiwan])),"")</f>
        <v>0.10333877478102266</v>
      </c>
      <c r="CW17" s="95">
        <f ca="1">IF(AND(tblData[Dates]&gt;StartDt2Taiwan,ISNUMBER(tblData[Taiwan])),(tblData[[#This Row],[Taiwan LogiP(t)]]-tblData[[#This Row],[Taiwan]])^2,"")</f>
        <v>62.357258505876885</v>
      </c>
      <c r="CX17" s="20">
        <f ca="1">IF(AND(tblData[Dates]&gt;StartDt2Taiwan,ISNUMBER(tblData[Days'# Taiwan])),tblData[[#This Row],[Taiwan LogiP(t)]]/TaiwanPopscale,"")</f>
        <v>4.3406372378427177E-2</v>
      </c>
      <c r="CY17" s="95">
        <f ca="1">IF(AND(ISNUMBER(tblData[Taiwan]),tblData[Dates]&gt;StartDt2Taiwan),(tblData[Taiwan]-AVERAGE(tblData[Taiwan]))^2,"")</f>
        <v>26098.085736255289</v>
      </c>
      <c r="CZ17" s="11">
        <f>tblData[[#This Row],[Dates]]-Taiwan100dt+1</f>
        <v>-57</v>
      </c>
      <c r="DA17"/>
      <c r="DB17" s="20" t="str">
        <f>IF(ISNUMBER(tblData[NZ]),tblData[NZ]/NZPopscale,"")</f>
        <v/>
      </c>
      <c r="DC17" s="11" t="str">
        <f ca="1">IF(tblData[[#This Row],[Dates]]&lt;StartDt2NZ,"",tblData[[#This Row],[Dates]]-NZStart)</f>
        <v/>
      </c>
      <c r="DD17" s="20" t="str">
        <f ca="1">IF(AND(tblData[Dates]&gt;StartDt2NZ,ISNUMBER(tblData[Days'# NZ])),betaNZ/(deltaNZ+betaPodeltaNZ*EXP(-betaNZ*tblData[Days'# NZ])),"")</f>
        <v/>
      </c>
      <c r="DE17" s="95" t="str">
        <f ca="1">IF(AND(tblData[Dates]&gt;StartDt2NZ,ISNUMBER(tblData[NZ])),(tblData[[#This Row],[NZ LogiP(t)]]-tblData[[#This Row],[NZ]])^2,"")</f>
        <v/>
      </c>
      <c r="DF17" s="20" t="str">
        <f ca="1">IF(AND(tblData[Dates]&gt;StartDt2NZ,ISNUMBER(tblData[Days'# NZ])),tblData[[#This Row],[NZ LogiP(t)]]/NZPopscale,"")</f>
        <v/>
      </c>
      <c r="DG17" s="95" t="str">
        <f ca="1">IF(AND(ISNUMBER(tblData[NZ]),tblData[Dates]&gt;StartDt2NZ),(tblData[NZ]-AVERAGE(tblData[NZ]))^2,"")</f>
        <v/>
      </c>
      <c r="DH17" s="11">
        <f>tblData[[#This Row],[Dates]]-NZ100dt+1</f>
        <v>-53</v>
      </c>
      <c r="DI17" s="39"/>
      <c r="DJ17" s="11"/>
      <c r="DK17" s="26"/>
      <c r="DL17" s="25" t="s">
        <v>609</v>
      </c>
      <c r="DM17" s="154">
        <v>43954.724097222221</v>
      </c>
      <c r="DN17" s="62">
        <f>INDEX(tblPopulation[Day 0],MATCH(tblRuns[[#This Row],[Place]],tblPopulation[Country],0),1)</f>
        <v>43860</v>
      </c>
      <c r="DO17" s="62">
        <f ca="1">INDEX(tblPopulation[Logistic Start2],MATCH($DL17,tblPopulation[Country],0),1)</f>
        <v>43860</v>
      </c>
      <c r="DP17" s="25">
        <v>6</v>
      </c>
      <c r="DQ17" s="44">
        <v>0.21320765569136632</v>
      </c>
      <c r="DR17" s="71">
        <v>1.4927317132333329E-6</v>
      </c>
      <c r="DS17" s="71">
        <v>8.7960332998513288E-2</v>
      </c>
      <c r="DT17" s="23">
        <f>betaUK/deltaUK</f>
        <v>142830.52594196427</v>
      </c>
      <c r="DU17" s="21">
        <f ca="1">SQRT(SUM(tblData[UK Sq Err])/COUNT(tblData[UK Sq Err]))</f>
        <v>12265.496795749195</v>
      </c>
      <c r="DV17" s="72">
        <f ca="1">1-(SUM(tblData[UK Sq Err])/SUM(tblData[UK Mean Devn Sq]))</f>
        <v>0.95274112664898136</v>
      </c>
      <c r="DW17" s="73">
        <f>(tblRuns[b]/tblRuns[Po])-tblRuns[d]</f>
        <v>2.4239053800966328</v>
      </c>
      <c r="DX17" s="73">
        <f>tblRuns[d]*1000</f>
        <v>1.4927317132333328E-3</v>
      </c>
      <c r="DY17" s="26">
        <f t="array" ref="DY17">MAX(IF(ISNUMBER(tblData[United Kingdom]),tblData[Dates]))</f>
        <v>43953</v>
      </c>
      <c r="DZ17" s="26" t="str">
        <f>Cengnotation(tblRuns[[#This Row],[Asymptote b/d]],3)</f>
        <v>143 k</v>
      </c>
      <c r="EA17" s="95">
        <f ca="1">MAX(tblData[UK LogiP(t)])</f>
        <v>142830.52436313941</v>
      </c>
      <c r="EB17" s="25">
        <f>MAX(tblData[United Kingdom])</f>
        <v>183500</v>
      </c>
      <c r="EC17" s="25" t="str">
        <f>Cengnotation(DT17/(UKPop/PerPerson),3)</f>
        <v>21.5 k</v>
      </c>
      <c r="ED17" s="26">
        <f t="array" ref="ED17">MAX(IF(ISNUMBER(tblData[United Kingdom]),tblData[Dates]))</f>
        <v>43953</v>
      </c>
      <c r="EE17" s="11">
        <f t="array" ref="EE17">COUNT(IF(ISNUMBER(tblData[United Kingdom]),tblData[Dates]))</f>
        <v>94</v>
      </c>
      <c r="EF17" s="26" t="str">
        <f ca="1">"b="&amp;TEXT(tblRuns[b],"##0.###")&amp;", d="&amp;TEXT(tblRuns[d],"0.00E+00")&amp;", P0="&amp;TEXT(Po,"#.###")&amp; ", r2=" &amp;TEXT(tblRuns[[#This Row],[R2]],"0.####") &amp;", Limit="&amp;IF(PopScaling=0,tblRuns[Asymptote b/d],tblRuns[[#This Row],[Asymp PerP]])&amp;"=&gt;"&amp;Cengnotation(tblRuns[[#This Row],[Limit Cases]],3)&amp;" cases "&amp;tblRuns[[#This Row],[Notes]]</f>
        <v xml:space="preserve">b=0.213, d=1.49E-06, P0=.639, r2=0.9527, Limit=21.5 k=&gt;143 k cases </v>
      </c>
      <c r="EG17" s="25"/>
      <c r="EH17" s="25" t="str">
        <f ca="1">tblRuns[Place]&amp;" Limit " &amp; IF(PopScaling=0,tblRuns[[#This Row],[Asymptote]],tblRuns[[#This Row],[Asymp PerP]])&amp;" r^2="&amp;TEXT(tblRuns[[#This Row],[R2]]*100,"##.00")&amp;"%"</f>
        <v>United Kingdom Limit 21.5 k r^2=95.27%</v>
      </c>
      <c r="EJ17" s="18" t="str">
        <f ca="1">"COVID19 "&amp;tblRuns[[#This Row],[Place]] &amp; " " &amp;LogFormula&amp;CHAR(10)&amp;tblRuns[[#This Row],[Parameter List]]&amp;CHAR(10)&amp;" (Fit: " &amp; TEXT(tblRuns[Logistic Start2],"ddd dd-mmm") &amp; " - " &amp; TEXT(tblRuns[Last Date],"ddd dd-mmm")&amp;")"</f>
        <v>COVID19 United Kingdom P(t) = b / {d+[( b/Po - d ) ]* exp(-b*t)}
b=0.213, d=1.49E-06, P0=.639, r2=0.9527, Limit=21.5 k=&gt;143 k cases 
 (Fit: Thu 30-Jan - Sat 02-May)</v>
      </c>
      <c r="EK17" s="11">
        <f>MAX(tblData[United Kingdom Cases Per Capita])</f>
        <v>27618.904274533412</v>
      </c>
      <c r="EL17" s="156">
        <f>IF(tblRuns[[#This Row],[Max Cases Per Capita]]&gt;NSWMaxCasespc,INDEX(tblData[Dates],1+MATCH(NSWMaxCasespc,tblData[United Kingdom Cases Per Capita],1)),INDEX(tblData[Dates],1+MATCH(tblRuns[[#This Row],[Max Cases Per Capita]],tblData[NSW Cases per Capita],1)))</f>
        <v>43921</v>
      </c>
      <c r="EM17" s="11">
        <f>IF(tblRuns[[#This Row],[Max Cases Per Capita]]&gt;NSWMaxCasespc,1,-1)*(DY$12-tblRuns[[#This Row],[Date of NSW Case Match]])</f>
        <v>33</v>
      </c>
      <c r="EN17" s="26">
        <f>IF(tblRuns[[#This Row],[Max Cases Per Capita]]&gt;AuMaxCasespc,INDEX(tblData[Dates],1+MATCH(AuMaxCasespc,tblData[United Kingdom Cases Per Capita],1)),INDEX(tblData[Dates],1+MATCH(tblRuns[[#This Row],[Max Cases Per Capita]],tblData[Au Cases Per Capita],1)))</f>
        <v>43919</v>
      </c>
      <c r="EO17" s="11">
        <f>IF(tblRuns[[#This Row],[Max Cases Per Capita]]&gt;AuMaxCasespc,1,-1)*(DY$11-tblRuns[[#This Row],[Date of AUS Case Match]]+1)</f>
        <v>95</v>
      </c>
      <c r="EP17" s="25"/>
      <c r="EQ17" s="11">
        <f ca="1">INDEX(tblData[UK LogiP(t)],MATCH(VALUE(tblRuns[AtDate])+7,tblData[Dates],1))</f>
        <v>142589.02774128955</v>
      </c>
      <c r="ER17" s="19">
        <f ca="1">tblRuns[Mean Sq Err]/tblRuns[Max Cases Per Capita]</f>
        <v>0.4440978785338292</v>
      </c>
      <c r="ES17" s="132">
        <f>IF(MIN(tblData[United Kingdom Cases Per Capita])&gt;0,MIN(tblData[Dates]),INDEX(tblData[Dates],MATCH(solvMsgs!MinCases, tblData[United Kingdom Cases Per Capita],1)))</f>
        <v>43902</v>
      </c>
      <c r="ET17" s="133" t="str">
        <f>tblRuns[[#This Row],[Place]]&amp;" from "&amp;TEXT(tblRuns[DateOver100],"dd-mmm")</f>
        <v>United Kingdom from 12-Mar</v>
      </c>
      <c r="EU17" s="162">
        <f ca="1">INDEX(tblData[UK LogiP(t)],MATCH(tblRuns[[#This Row],[Last Date]]+1,tblData[Dates],0))-INDEX(tblData[United Kingdom],MATCH(tblRuns[[#This Row],[Last Date]],tblData[Dates],0))</f>
        <v>-41126.605775786738</v>
      </c>
      <c r="EV17" s="102" t="s">
        <v>658</v>
      </c>
      <c r="EW17" s="102" t="str">
        <f>INDEX(tblPopulation[CtryAbbrev],MATCH(tblRuns[Place],tblPopulation[Country],0))</f>
        <v>United Kingdom</v>
      </c>
      <c r="EX17" s="26" t="str">
        <f ca="1">SUBSTITUTE(tblRuns[[#This Row],[ChartLabel]]," since " &amp; solvMsgs!MinCases,"")</f>
        <v>COVID19 United Kingdom P(t) = b / {d+[( b/Po - d ) ]* exp(-b*t)}
b=0.213, d=1.49E-06, P0=.639, r2=0.9527, Limit=21.5 k=&gt;143 k cases 
 (Fit: Thu 30-Jan - Sat 02-May)</v>
      </c>
      <c r="EY17" s="102"/>
      <c r="EZ17" s="102"/>
      <c r="FA17" s="102"/>
      <c r="FB17" s="25"/>
      <c r="FC17" s="25"/>
      <c r="FD17" s="134"/>
      <c r="FE17" s="25"/>
      <c r="FF17" s="25"/>
      <c r="FG17"/>
      <c r="FH17"/>
      <c r="FI17" s="26">
        <v>43860</v>
      </c>
      <c r="FJ17">
        <v>10000000</v>
      </c>
      <c r="FK17"/>
      <c r="FL17"/>
      <c r="FM17"/>
      <c r="FN17"/>
      <c r="FO17" s="265" t="s">
        <v>48</v>
      </c>
      <c r="FP17" s="250">
        <v>43912.58866898148</v>
      </c>
      <c r="FQ17" s="156">
        <v>43855</v>
      </c>
      <c r="FR17" s="26">
        <v>43855</v>
      </c>
      <c r="FS17" s="211">
        <v>0</v>
      </c>
      <c r="FT17" s="25">
        <v>0.20700168935626589</v>
      </c>
      <c r="FU17" s="24">
        <v>3.2194465727293212E-6</v>
      </c>
      <c r="FV17" s="21">
        <v>9.8887229355213678E-3</v>
      </c>
      <c r="FW17" s="212">
        <v>64297.289822945546</v>
      </c>
      <c r="FX17" s="212">
        <v>11.818703286404629</v>
      </c>
      <c r="FY17" s="212"/>
      <c r="FZ17" s="213">
        <v>20.933103179226336</v>
      </c>
      <c r="GA17" s="213">
        <v>3.2194465727293214E-3</v>
      </c>
      <c r="GB17" s="156">
        <v>43912</v>
      </c>
      <c r="GC17" s="25" t="s">
        <v>807</v>
      </c>
      <c r="GD17" s="212"/>
      <c r="GE17" s="212">
        <v>1267</v>
      </c>
      <c r="GF17" s="25" t="s">
        <v>808</v>
      </c>
      <c r="GG17" s="156">
        <v>43912</v>
      </c>
      <c r="GH17" s="25">
        <v>58</v>
      </c>
      <c r="GI17" s="25" t="s">
        <v>809</v>
      </c>
      <c r="GJ17" s="25"/>
      <c r="GK17" s="25" t="s">
        <v>810</v>
      </c>
      <c r="GM17" s="25" t="s">
        <v>811</v>
      </c>
      <c r="GN17" s="20">
        <v>499.52688850339064</v>
      </c>
      <c r="GO17" s="156"/>
      <c r="GP17" s="218"/>
      <c r="GQ17" s="156"/>
      <c r="GR17" s="25"/>
      <c r="GS17" s="25" t="s">
        <v>806</v>
      </c>
      <c r="GT17" s="11"/>
      <c r="GU17" s="12"/>
      <c r="GV17" s="26"/>
      <c r="GX17" s="219"/>
      <c r="HK17" s="164">
        <v>43902</v>
      </c>
      <c r="HL17" s="60">
        <v>43902.541666666664</v>
      </c>
      <c r="HM17">
        <v>78</v>
      </c>
      <c r="HN17">
        <v>11040</v>
      </c>
      <c r="HQ17" t="str">
        <f>IF(ISNUMBER(tblNSWKnown[[#This Row],[Unknown Locally]]),tblNSWKnown[[#This Row],[Known Locally]]+tblNSWKnown[[#This Row],[Unknown Locally]],"")</f>
        <v/>
      </c>
      <c r="HR17" s="25"/>
      <c r="HS17" t="str">
        <f>IF(ISNUMBER(tblNSWKnown[[#This Row],[Day '# NSW Unknown]]),betaNSWUnknown/(deltaNSWUnknown+betaPodeltaNSWUnknown*EXP(-betaNSWUnknown*tblNSWKnown[Day '# NSW Unknown])),"")</f>
        <v/>
      </c>
      <c r="HT17" t="str">
        <f>IF(ISNUMBER(tblNSWKnown[[#This Row],[Total Local]]),(tblNSWKnown[[#This Row],[Total Local]]-tblNSWKnown[[#This Row],[NSW Unknown Logi P(t)]])^2,"")</f>
        <v/>
      </c>
      <c r="HU17" s="166" t="str">
        <f>IF(ISNUMBER(tblNSWKnown[Total Local]),(tblNSWKnown[Total Local]-AVERAGE(tblNSWKnown[Total Local]))^2,"")</f>
        <v/>
      </c>
      <c r="HV17" s="166"/>
    </row>
    <row r="18" spans="2:230" x14ac:dyDescent="0.25">
      <c r="B18" s="26">
        <v>43859</v>
      </c>
      <c r="C18">
        <v>0</v>
      </c>
      <c r="D18" s="25">
        <v>0</v>
      </c>
      <c r="E18">
        <v>4</v>
      </c>
      <c r="F18">
        <v>0</v>
      </c>
      <c r="G18">
        <v>1</v>
      </c>
      <c r="H18">
        <v>0</v>
      </c>
      <c r="I18">
        <v>0</v>
      </c>
      <c r="J18">
        <v>1</v>
      </c>
      <c r="K18">
        <v>0</v>
      </c>
      <c r="L18" s="11">
        <f>IF(ISNUMBER(tblData[[#This Row],[NSW]]),tblData[[#This Row],[New South Wales]]/NSWpopscale,"")</f>
        <v>4.9504950495049505</v>
      </c>
      <c r="N18" s="20" t="str">
        <f>IF(ISNUMBER(tblData[Italy]),tblData[Italy]/ItalyPopscale,"")</f>
        <v/>
      </c>
      <c r="O18">
        <v>5</v>
      </c>
      <c r="P18" s="20">
        <f>IF(ISNUMBER(tblData[US]),tblData[US]/USPopscale,"")</f>
        <v>0.15187055346179726</v>
      </c>
      <c r="Q18">
        <v>4</v>
      </c>
      <c r="R18" s="20">
        <f>IF(ISNUMBER(tblData[SKorea]),tblData[SKorea]/SKoreaPopscale,"")</f>
        <v>0.77821011673151752</v>
      </c>
      <c r="T18" s="12" t="str">
        <f>IF(ISNUMBER(tblData[United Kingdom]),tblData[United Kingdom]/UKPopscale,"")</f>
        <v/>
      </c>
      <c r="U18">
        <v>6087</v>
      </c>
      <c r="V18" s="20">
        <f>IF(ISNUMBER(tblData[China]),tblData[China]/ChinaPopscale,"")</f>
        <v>42.290693042786231</v>
      </c>
      <c r="W18" s="25">
        <f ca="1">IF(tblData[[#This Row],[Dates]]&lt;StartDt2China,"",tblData[[#This Row],[Dates]]-ChinaStart)</f>
        <v>7</v>
      </c>
      <c r="X18">
        <v>7</v>
      </c>
      <c r="Y18" s="20">
        <f>IF(ISNUMBER(tblData[Singapore]),tblData[Singapore]/SingaporePopscale,"")</f>
        <v>11.965811965811966</v>
      </c>
      <c r="Z18"/>
      <c r="AA18" s="20" t="str">
        <f>IF(AND(LEN(tblData[Generic])&gt;0,ISNUMBER(tblData[Generic])),tblData[Generic]/GenericPopscale,"")</f>
        <v/>
      </c>
      <c r="AB18" s="25" t="str">
        <f ca="1">IF(tblData[[#This Row],[Dates]]&lt;StartDt2Italy,"",tblData[[#This Row],[Dates]]-ItalyStart)</f>
        <v/>
      </c>
      <c r="AC18" s="25">
        <f ca="1">IF(tblData[[#This Row],[Dates]]&lt;=StartDt2US,"",tblData[[#This Row],[Dates]]-USStart)</f>
        <v>7</v>
      </c>
      <c r="AD18" s="25">
        <f>IF(tblData[[#This Row],[Dates]]&lt;=SKoreaStart,"",tblData[[#This Row],[Dates]]-SKoreaStart)</f>
        <v>7</v>
      </c>
      <c r="AE18" s="25" t="str">
        <f ca="1">IF(tblData[[#This Row],[Dates]]&lt;=StartDt2UK,"",tblData[[#This Row],[Dates]]-UKStart)</f>
        <v/>
      </c>
      <c r="AF18" s="25">
        <f ca="1">IF(tblData[[#This Row],[Dates]]&lt;StartDt2Singapore,"",tblData[[#This Row],[Dates]]-SingaporeStart)</f>
        <v>6</v>
      </c>
      <c r="AG18" s="25" t="str">
        <f>IF(tblData[[#This Row],[Dates]]&lt;StartDt2Generic,"",tblData[[#This Row],[Dates]]-GenericStart)</f>
        <v/>
      </c>
      <c r="AH18">
        <f ca="1">IF(tblData[Dates]&gt;StartDt2Au,tblData[Dates]-AuStart,"")</f>
        <v>4</v>
      </c>
      <c r="AI18" s="25">
        <f>IF(AND(COUNTBLANK(tblData[[#This Row],[Australian Capital Territory]:[Western Australia]])&lt;1,tblData[New South Wales]&gt;=0),SUM(tblData[[#This Row],[Australian Capital Territory]:[Western Australia]]),"")</f>
        <v>6</v>
      </c>
      <c r="AJ18" s="12">
        <f>IF(ISNUMBER(tblData[Au]),tblData[Au]/AuPopScale,"")</f>
        <v>2.365557483046838</v>
      </c>
      <c r="AK18" s="19">
        <f ca="1">IF(ISNUMBER(tblData[[#This Row],[Day'# Aust]]),betaAu/(deltaAu+betaPodeltaAu*EXP(-betaAu*tblData[[#This Row],[Day'# Aust]])),"")</f>
        <v>1.1592246712343934E-2</v>
      </c>
      <c r="AL18" s="57">
        <f ca="1">IF(ISNUMBER(tblData[Day'# Aust]),tblData[Au LogiP(t)]/AuPopScale,"")</f>
        <v>4.5703543259517166E-3</v>
      </c>
      <c r="AM18" s="11">
        <f ca="1">IF(AND(tblData[Dates]&gt;StartDt2Au,ISNUMBER(tblData[Au])),(tblData[[#This Row],[Au LogiP(t)]]-tblData[[#This Row],[Au]])^2,"")</f>
        <v>35.861027419635711</v>
      </c>
      <c r="AN18" s="11">
        <f ca="1">IF(AND(ISNUMBER(tblData[Au]),tblData[Dates]&gt;StartDt2Au),(tblData[Au]-AVERAGE(tblData[Au]))^2,"")</f>
        <v>5967320.6960999994</v>
      </c>
      <c r="AO18" s="11">
        <f>tblData[[#This Row],[Dates]]-Au100dt</f>
        <v>-46</v>
      </c>
      <c r="AP18">
        <f ca="1">IF(tblData[Dates]&gt;StartDt2NSW,tblData[Dates]-StartDt2NSW,"")</f>
        <v>4</v>
      </c>
      <c r="AQ18" s="25">
        <f>IF(tblData[[#This Row],[New South Wales]]&gt;0,tblData[[#This Row],[New South Wales]],"")</f>
        <v>4</v>
      </c>
      <c r="AR18" s="44">
        <f ca="1">IF(tblData[Dates]&gt;StartDt2NSW,betaNSW/(deltaNSW+betaPodeltaNSW*EXP(-betaNSW*tblData[[#This Row],[Day '# NSW]])),"")</f>
        <v>3.1531467490871945E-3</v>
      </c>
      <c r="AS18" s="12">
        <f ca="1">IF(AND(ISNUMBER(tblData[NSW]),tblData[Dates]&gt;StartDt2NSW),(tblData[[#This Row],[NSW LogiP(t)]]-tblData[[#This Row],[NSW]])^2,"")</f>
        <v>15.974784768341722</v>
      </c>
      <c r="AT18" s="12">
        <f ca="1">IF(AND(tblData[Dates]&gt;StartDt2NSW,ISNUMBER(tblData[Day'# Aust])),tblData[NSW LogiP(t)]/NSWpopscale,"")</f>
        <v>3.9024093429296958E-3</v>
      </c>
      <c r="AU18" s="11">
        <f>tblData[[#This Row],[Dates]]-NSW100dt+1</f>
        <v>-43</v>
      </c>
      <c r="AV18" s="11">
        <f ca="1">IF(AND(ISNUMBER(tblData[NSW]),tblData[Dates]&gt;StartDt2NSW),(tblData[NSW]-AVERAGE(tblData[NSW]))^2,"")</f>
        <v>1188666.8676</v>
      </c>
      <c r="AW18" s="39" t="str">
        <f ca="1">IF(AND(tblData[Dates]&gt;StartDt2Italy,ISNUMBER(tblData[Days'# Italy])),betaItaly/(deltaItaly+betaPodeltaItaly*EXP(-betaItaly*tblData[Days'# Italy])),"")</f>
        <v/>
      </c>
      <c r="AX18" s="11" t="str">
        <f ca="1">IF(AND(tblData[Dates]&gt;StartDt2Italy,ISNUMBER(tblData[Italy])),(tblData[[#This Row],[Italy LogiP(t)]]-tblData[[#This Row],[Italy]])^2,"")</f>
        <v/>
      </c>
      <c r="AY18" s="11" t="str">
        <f ca="1">IF(AND(tblData[Dates]&gt;StartDt2Italy,ISNUMBER(tblData[Days'# Italy])),tblData[[#This Row],[Italy LogiP(t)]]/ItalyPopscale,"")</f>
        <v/>
      </c>
      <c r="AZ18" s="11" t="str">
        <f ca="1">IF(AND(ISNUMBER(tblData[Italy]),tblData[Dates]&gt;StartDt2Italy),(tblData[Italy]-AVERAGE(tblData[Italy]))^2,"")</f>
        <v/>
      </c>
      <c r="BA18" s="11">
        <f>tblData[[#This Row],[Dates]]-Italy100dt+1</f>
        <v>-28</v>
      </c>
      <c r="BB18" s="11">
        <f ca="1">IF(AND(tblData[Dates]&gt;StartDt2US,ISNUMBER(tblData[[#This Row],[Days'# US]])),betaUS/(deltaUS+betaPodeltaUS*EXP(-betaUS*tblData[Days'# US])),"")</f>
        <v>7.2891283421517399E-3</v>
      </c>
      <c r="BC18" s="11">
        <f ca="1">IF(AND(tblData[Dates]&gt;StartDt2US,ISNUMBER(tblData[US])),(tblData[[#This Row],[US LogiP(t)]]-tblData[US])^2,"")</f>
        <v>24.927161847970467</v>
      </c>
      <c r="BD18" s="20">
        <f ca="1">IF(AND(tblData[Dates]&gt;=StartDt2US,ISNUMBER(tblData[[#This Row],[Days'# US]])),tblData[[#This Row],[US LogiP(t)]]/USPopscale,"")</f>
        <v>2.2140079111533146E-4</v>
      </c>
      <c r="BE18" s="126">
        <f ca="1">IF(AND(ISNUMBER(tblData[US]),tblData[Dates]&gt;StartDt2US),(tblData[US]-AVERAGE(tblData[US]))^2,"")</f>
        <v>50148337617.589485</v>
      </c>
      <c r="BF18" s="11">
        <f>tblData[[#This Row],[Dates]]-US100dt+1</f>
        <v>-45</v>
      </c>
      <c r="BG18" s="11">
        <f ca="1">IF(tblData[Dates]&gt;StartDt2SKorea,betaSKorea/(deltaSKorea+betaPodeltaSKorea*EXP(-betaSKorea*(tblData[Dates]-StartDt2SKorea))),"")</f>
        <v>17.801428309955167</v>
      </c>
      <c r="BH18" s="11">
        <f ca="1">IF(AND(tblData[Dates]&gt;StartDt2SKorea,ISNUMBER(tblData[SKorea])),(tblData[[#This Row],[SKorea LogiP(t)]]-tblData[[#This Row],[SKorea]])^2,"")</f>
        <v>190.47942339483194</v>
      </c>
      <c r="BI18" s="11">
        <f ca="1">IF(tblData[Dates]&gt;StartDt2SKorea,tblData[[#This Row],[SKorea LogiP(t)]]/SKoreaPopscale,"")</f>
        <v>3.4633129007694881</v>
      </c>
      <c r="BJ18" s="11">
        <f ca="1">IF(AND(ISNUMBER(tblData[SKorea]),tblData[Dates]&gt;StartDt2SKorea),(tblData[SKorea]-AVERAGE(tblData[SKorea]))^2,"")</f>
        <v>33876736.609381005</v>
      </c>
      <c r="BK18" s="11">
        <f>tblData[[#This Row],[Dates]]-SKorea100dt+1</f>
        <v>-24</v>
      </c>
      <c r="BL18" s="126" t="str">
        <f ca="1">IF(AND(tblData[Dates]&gt;StartDt2UK,ISNUMBER(tblData[Days'# UK])),betaUK/(deltaUK+betaPodeltaUK*EXP(-betaUK*tblData[Days'# UK])),"")</f>
        <v/>
      </c>
      <c r="BM18" s="11" t="str">
        <f ca="1">IF(AND(tblData[Dates]&gt;StartDt2UK,ISNUMBER(tblData[United Kingdom])),(tblData[[#This Row],[UK LogiP(t)]]-tblData[[#This Row],[United Kingdom]])^2,"")</f>
        <v/>
      </c>
      <c r="BN18" s="11" t="str">
        <f ca="1">IF(ISNUMBER(tblData[Days'# UK]),tblData[[#This Row],[UK LogiP(t)]]/UKPopscale,"")</f>
        <v/>
      </c>
      <c r="BO18" s="126" t="str">
        <f ca="1">IF(AND(ISNUMBER(tblData[United Kingdom]),tblData[Dates]&gt;StartDt2UK),(tblData[United Kingdom]-AVERAGE(tblData[United Kingdom]))^2,"")</f>
        <v/>
      </c>
      <c r="BP18" s="11">
        <f>tblData[[#This Row],[Dates]]-UK100dt</f>
        <v>-43</v>
      </c>
      <c r="BQ18" s="11">
        <f ca="1">IF(ISNUMBER(tblData[Days'# China]),betaChina/(deltaChina+betaPodeltaChina*EXP(-betaChina*tblData[Days'# China])),"")</f>
        <v>6858.6134385284076</v>
      </c>
      <c r="BR18" s="11">
        <f ca="1">IF(ISNUMBER(tblData[China]),(tblData[[#This Row],[China LogiP(t)]]-tblData[[#This Row],[China]])^2,"")</f>
        <v>595387.29851763276</v>
      </c>
      <c r="BS18" s="11">
        <f ca="1">tblData[[#This Row],[China LogiP(t)]]/ChinaPopscale</f>
        <v>47.65163719860908</v>
      </c>
      <c r="BT18" s="126">
        <f ca="1">IF(AND(ISNUMBER(tblData[China]),tblData[Dates]&gt;StartDt2China),(tblData[China]-AVERAGE(tblData[China]))^2,"")</f>
        <v>3735345211.103807</v>
      </c>
      <c r="BU18" s="11">
        <f>tblData[[#This Row],[Dates]]-China100dt</f>
        <v>-4</v>
      </c>
      <c r="BV18" s="95">
        <f ca="1">IF(ISNUMBER(tblData[Day'# Singapore]),betaSingapore/(deltaSingapore+betaPodeltaSingapore*EXP(-betaSingapore*tblData[Day'# Singapore])),"")</f>
        <v>0.25952559683650495</v>
      </c>
      <c r="BW18" s="11">
        <f ca="1">IF(AND(ISNUMBER(tblData[Singapore]),tblData[Dates]&gt;=StartDt2Singapore),(tblData[[#This Row],[Singapore LogiP(t)]]-tblData[[#This Row],[Singapore]])^2,"")</f>
        <v>45.433995179702279</v>
      </c>
      <c r="BX18" s="20">
        <f ca="1">IF(ISNUMBER(tblData[Day'# Singapore]),tblData[Singapore LogiP(t)]/SingaporePopscale,"")</f>
        <v>0.44363349886582043</v>
      </c>
      <c r="BY18" s="95">
        <f ca="1">IF(AND(ISNUMBER(tblData[Singapore]),tblData[Dates]&gt;StartDt2Singapore),(tblData[Singapore]-AVERAGE(tblData[Singapore]))^2,"")</f>
        <v>5353688.5874663601</v>
      </c>
      <c r="BZ18" s="11">
        <f>tblData[[#This Row],[Dates]]-Singapore100dt+1</f>
        <v>-15</v>
      </c>
      <c r="CA18" s="11" t="str">
        <f>IF(AND(tblData[Dates]&gt;StartDt2Generic,ISNUMBER(tblData[Day'# Generic])),betaGeneric/(deltaGeneric+betaPodeltaGeneric*EXP(-betaGeneric*tblData[Day'# Generic])),"")</f>
        <v/>
      </c>
      <c r="CB18" s="95" t="str">
        <f>IF(AND(ISNUMBER(tblData[Generic]),tblData[Dates]&gt;StartDt2Generic),(tblData[Generic LogiP(t)]-tblData[[#This Row],[Generic]])^2,"")</f>
        <v/>
      </c>
      <c r="CC18" s="11" t="str">
        <f>IF(AND(ISNUMBER(tblData[Day'# Generic]),tblData[Dates]&gt;StartDt2Generic),tblData[Generic LogiP(t)]/GenericPopscale,"")</f>
        <v/>
      </c>
      <c r="CD18" s="95" t="str">
        <f>IF(AND(ISNUMBER(tblData[Generic]),tblData[Dates]&gt;StartDt2Generic),(tblData[Generic]-AVERAGE(tblData[Generic]))^2,"")</f>
        <v/>
      </c>
      <c r="CE18" s="11">
        <f>tblData[[#This Row],[Dates]]-Generic100dt+1</f>
        <v>-43</v>
      </c>
      <c r="CF18"/>
      <c r="CG18" s="11"/>
      <c r="CH18" s="11" t="str">
        <f>IF(ISNUMBER(tblData[[#This Row],[Tests]]),tblData[[#This Row],[Tests]]-CH17,"")</f>
        <v/>
      </c>
      <c r="CI18" s="11" t="str">
        <f>IF(ISNUMBER(tblData[[#This Row],[NSW Under Investigation'']]),tblData[[#This Row],[NSW Under Investigation'']]-CG17,"")</f>
        <v/>
      </c>
      <c r="CJ18" s="11"/>
      <c r="CK18" s="11" t="str">
        <f>IF(AND(tblData[[#This Row],[NSW Test Day Number]]&gt;0,ISNUMBER(tblData[[#This Row],[NSW Test Day Number]])),betaTests/(deltaTests+betaPodeltaTests*EXP(-betaTests*tblData[[#This Row],[NSW Test Day Number]])),"")</f>
        <v/>
      </c>
      <c r="CL18" s="11" t="str">
        <f>IF(tblData[Tests]&gt;0,(tblData[[#This Row],[Tests]]-tblData[[#This Row],[NSW Test Logi]])^2,"")</f>
        <v/>
      </c>
      <c r="CM18" s="95" t="str">
        <f>IF(AND(ISNUMBER(tblData[Tests]),tblData[Dates]&gt;StartDt2Tests),(tblData[Tests]-AVERAGE(tblData[Tests]))^2,"")</f>
        <v/>
      </c>
      <c r="CN18" s="11" t="str">
        <f>IF(ISNUMBER(tblData[Tests]),tblData[Tests]/NSWpopscale/100,"")</f>
        <v/>
      </c>
      <c r="CO18" s="11" t="str">
        <f>IF(AND(tblData[[#This Row],[NSW Test Day Number]]&gt;0,ISNUMBER(tblData[[#This Row],[NSW Test Day Number]])),TestsLogestB*TestsLogestM^tblData[[#This Row],[NSW Test Day Number]],"")</f>
        <v/>
      </c>
      <c r="CP18" s="11" t="str">
        <f>IF(AND(tblData[[#This Row],[NSW Test Day Number]]&gt;0,ISNUMBER(tblData[Tests])),(tblData[Tests]-tblData[[#This Row],[NSW Test Per Capita]])^2,"")</f>
        <v/>
      </c>
      <c r="CQ18" s="20">
        <f ca="1">IF(AND(tblData[Day '# NSW]&gt;0,ISNUMBER(tblData[[#This Row],[Day '# NSW]])),NSWLogestB*NSWLogestM^tblData[[#This Row],[Day '# NSW]]/NSWpopscale,"")</f>
        <v>2.0820098875724615</v>
      </c>
      <c r="CR18" s="39">
        <f ca="1">IF(AND(ISNUMBER(tblData[NSW]),tblData[Dates]&gt;StartDt2NSW),(tblData[NSW]/NSWpopscale-tblData[[#This Row],[NSW Cases LogEst]])^2,"")</f>
        <v>8.2282071242268575</v>
      </c>
      <c r="CS18">
        <v>8</v>
      </c>
      <c r="CT18" s="19">
        <f>IF(ISNUMBER(tblData[Taiwan]),tblData[Taiwan]/TaiwanPopscale,"")</f>
        <v>3.3603163939503888</v>
      </c>
      <c r="CU18" s="11">
        <f ca="1">IF(tblData[[#This Row],[Dates]]&lt;StartDt2Taiwan,"",tblData[[#This Row],[Dates]]-TaiwanStart)</f>
        <v>7</v>
      </c>
      <c r="CV18" s="19">
        <f ca="1">IF(AND(tblData[Dates]&gt;StartDt2Taiwan,ISNUMBER(tblData[Days'# Taiwan])),betaTaiwan/(deltaTaiwan+betaPodeltaTaiwan*EXP(-betaTaiwan*tblData[Days'# Taiwan])),"")</f>
        <v>0.11976259859565183</v>
      </c>
      <c r="CW18" s="95">
        <f ca="1">IF(AND(tblData[Dates]&gt;StartDt2Taiwan,ISNUMBER(tblData[Taiwan])),(tblData[[#This Row],[Taiwan LogiP(t)]]-tblData[[#This Row],[Taiwan]])^2,"")</f>
        <v>62.098141502491956</v>
      </c>
      <c r="CX18" s="20">
        <f ca="1">IF(AND(tblData[Dates]&gt;StartDt2Taiwan,ISNUMBER(tblData[Days'# Taiwan])),tblData[[#This Row],[Taiwan LogiP(t)]]/TaiwanPopscale,"")</f>
        <v>5.0305027930383578E-2</v>
      </c>
      <c r="CY18" s="95">
        <f ca="1">IF(AND(ISNUMBER(tblData[Taiwan]),tblData[Dates]&gt;StartDt2Taiwan),(tblData[Taiwan]-AVERAGE(tblData[Taiwan]))^2,"")</f>
        <v>26098.085736255289</v>
      </c>
      <c r="CZ18" s="11">
        <f>tblData[[#This Row],[Dates]]-Taiwan100dt+1</f>
        <v>-56</v>
      </c>
      <c r="DA18"/>
      <c r="DB18" s="20" t="str">
        <f>IF(ISNUMBER(tblData[NZ]),tblData[NZ]/NZPopscale,"")</f>
        <v/>
      </c>
      <c r="DC18" s="11" t="str">
        <f ca="1">IF(tblData[[#This Row],[Dates]]&lt;StartDt2NZ,"",tblData[[#This Row],[Dates]]-NZStart)</f>
        <v/>
      </c>
      <c r="DD18" s="20" t="str">
        <f ca="1">IF(AND(tblData[Dates]&gt;StartDt2NZ,ISNUMBER(tblData[Days'# NZ])),betaNZ/(deltaNZ+betaPodeltaNZ*EXP(-betaNZ*tblData[Days'# NZ])),"")</f>
        <v/>
      </c>
      <c r="DE18" s="95" t="str">
        <f ca="1">IF(AND(tblData[Dates]&gt;StartDt2NZ,ISNUMBER(tblData[NZ])),(tblData[[#This Row],[NZ LogiP(t)]]-tblData[[#This Row],[NZ]])^2,"")</f>
        <v/>
      </c>
      <c r="DF18" s="20" t="str">
        <f ca="1">IF(AND(tblData[Dates]&gt;StartDt2NZ,ISNUMBER(tblData[Days'# NZ])),tblData[[#This Row],[NZ LogiP(t)]]/NZPopscale,"")</f>
        <v/>
      </c>
      <c r="DG18" s="95" t="str">
        <f ca="1">IF(AND(ISNUMBER(tblData[NZ]),tblData[Dates]&gt;StartDt2NZ),(tblData[NZ]-AVERAGE(tblData[NZ]))^2,"")</f>
        <v/>
      </c>
      <c r="DH18" s="11">
        <f>tblData[[#This Row],[Dates]]-NZ100dt+1</f>
        <v>-52</v>
      </c>
      <c r="DI18" s="39"/>
      <c r="DJ18" s="11"/>
      <c r="DK18" s="26"/>
      <c r="DL18" s="25" t="s">
        <v>40</v>
      </c>
      <c r="DM18" s="154">
        <v>43954.724178240744</v>
      </c>
      <c r="DN18" s="62">
        <f>INDEX(tblPopulation[Day 0],MATCH(tblRuns[[#This Row],[Place]],tblPopulation[CtryAbbrev],0),1)</f>
        <v>43853</v>
      </c>
      <c r="DO18" s="62">
        <f ca="1">INDEX(tblPopulation[Logistic Start2],MATCH($DL18,tblPopulation[CtryAbbrev],0),1)</f>
        <v>43853</v>
      </c>
      <c r="DP18" s="25">
        <v>7</v>
      </c>
      <c r="DQ18" s="44">
        <v>0.12560509409067391</v>
      </c>
      <c r="DR18" s="71">
        <v>3.5363263460273354E-6</v>
      </c>
      <c r="DS18" s="71">
        <v>0.12214741562231426</v>
      </c>
      <c r="DT18" s="23">
        <f>betaSingapore/deltaSingapore</f>
        <v>35518.524536565215</v>
      </c>
      <c r="DU18" s="21">
        <f ca="1">SQRT(SUM(tblData[Singapore Sq Err])/COUNT(tblData[Singapore Sq Err]))</f>
        <v>727.02549535665173</v>
      </c>
      <c r="DV18" s="72">
        <f ca="1">1-(SUM(tblData[Singapore Sq Err])/SUM(tblData[Singapore Mean Devn Sq]))</f>
        <v>0.97385854420363571</v>
      </c>
      <c r="DW18" s="73">
        <f>(tblRuns[b]/tblRuns[Po])-tblRuns[d]</f>
        <v>1.0283038859039446</v>
      </c>
      <c r="DX18" s="73">
        <f>tblRuns[d]*1000</f>
        <v>3.5363263460273355E-3</v>
      </c>
      <c r="DY18" s="26">
        <f t="array" ref="DY18">MAX(IF(ISNUMBER(tblData[Singapore]),tblData[Dates]))</f>
        <v>43953</v>
      </c>
      <c r="DZ18" s="26" t="str">
        <f>Cengnotation(tblRuns[[#This Row],[Asymptote b/d]],3)</f>
        <v>35.5 k</v>
      </c>
      <c r="EA18" s="95">
        <f t="array" aca="1" ref="EA18" ca="1">MAX(tblData[Singapore LogiP(t)])</f>
        <v>35499.211437670434</v>
      </c>
      <c r="EB18" s="25">
        <f>MAX(tblData[Singapore])</f>
        <v>17548</v>
      </c>
      <c r="EC18" s="25" t="str">
        <f>Cengnotation(tblRuns[[#This Row],[Asymptote b/d]]/(SingaporePop/PerPerson),3)</f>
        <v>60.7 k</v>
      </c>
      <c r="ED18" s="26">
        <f t="array" ref="ED18">MAX(IF(ISNUMBER(tblData[Singapore]),tblData[Dates]))</f>
        <v>43953</v>
      </c>
      <c r="EE18" s="11">
        <f t="array" ref="EE18">COUNT(IF(ISNUMBER(tblData[Singapore]),tblData[Dates]))</f>
        <v>102</v>
      </c>
      <c r="EF18" s="26" t="str">
        <f ca="1">"b="&amp;TEXT(tblRuns[b],"##0.###")&amp;", d="&amp;TEXT(tblRuns[d],"0.00E+00")&amp;", P0="&amp;TEXT(Po,"#.###")&amp; ", r2=" &amp;TEXT(tblRuns[[#This Row],[R2]],"0.####") &amp;", Limit="&amp;IF(PopScaling=0,tblRuns[Asymptote b/d],tblRuns[[#This Row],[Asymp PerP]])&amp;"=&gt;"&amp;Cengnotation(tblRuns[[#This Row],[Limit Cases]],3)&amp;" cases "&amp;tblRuns[[#This Row],[Notes]]</f>
        <v xml:space="preserve">b=0.126, d=3.54E-06, P0=.639, r2=0.9739, Limit=60.7 k=&gt;35.5 k cases </v>
      </c>
      <c r="EG18" s="25"/>
      <c r="EH18" s="25" t="str">
        <f ca="1">tblRuns[Place]&amp;" Limit " &amp; IF(PopScaling=0,tblRuns[[#This Row],[Asymptote]],tblRuns[[#This Row],[Asymp PerP]])&amp;" r^2="&amp;TEXT(tblRuns[[#This Row],[R2]]*100,"##.00")&amp;"%"</f>
        <v>Singapore Limit 60.7 k r^2=97.39%</v>
      </c>
      <c r="EJ18" s="18" t="str">
        <f ca="1">"COVID19 "&amp;tblRuns[[#This Row],[Place]] &amp; " " &amp;LogFormula&amp;CHAR(10)&amp;tblRuns[[#This Row],[Parameter List]]&amp;CHAR(10)&amp;" (Fit: " &amp; TEXT(tblRuns[Logistic Start2],"ddd dd-mmm") &amp; " - " &amp; TEXT(tblRuns[Last Date],"ddd dd-mmm")&amp;")"</f>
        <v>COVID19 Singapore P(t) = b / {d+[( b/Po - d ) ]* exp(-b*t)}
b=0.126, d=3.54E-06, P0=.639, r2=0.9739, Limit=60.7 k=&gt;35.5 k cases 
 (Fit: Thu 23-Jan - Sat 02-May)</v>
      </c>
      <c r="EK18" s="11">
        <f>MAX(tblData[Singapore Cases Per Capita])</f>
        <v>29996.581196581199</v>
      </c>
      <c r="EL18" s="156">
        <f>IF(tblRuns[[#This Row],[Max Cases Per Capita]]&gt;NSWMaxCasespc,INDEX(tblData[Dates],1+MATCH(NSWMaxCasespc,tblData[Singapore Cases Per Capita],1)),INDEX(tblData[Dates],1+MATCH(tblRuns[[#This Row],[Max Cases Per Capita]],tblData[NSW Cases per Capita],1)))</f>
        <v>43932</v>
      </c>
      <c r="EM18" s="11">
        <f>IF(tblRuns[[#This Row],[Max Cases Per Capita]]&gt;NSWMaxCasespc,1,-1)*(DY$12-tblRuns[[#This Row],[Date of NSW Case Match]])</f>
        <v>22</v>
      </c>
      <c r="EN18" s="26">
        <f>IF(tblRuns[[#This Row],[Max Cases Per Capita]]&gt;AuMaxCasespc,INDEX(tblData[Dates],1+MATCH(AuMaxCasespc,tblData[Singapore Cases Per Capita],1)),INDEX(tblData[Dates],1+MATCH(tblRuns[[#This Row],[Max Cases Per Capita]],tblData[Au Cases Per Capita],1)))</f>
        <v>43929</v>
      </c>
      <c r="EO18" s="11">
        <f>IF(tblRuns[[#This Row],[Max Cases Per Capita]]&gt;AuMaxCasespc,1,-1)*(DY$11-tblRuns[[#This Row],[Date of AUS Case Match]]+1)</f>
        <v>85</v>
      </c>
      <c r="EP18" s="25"/>
      <c r="EQ18" s="11">
        <f ca="1">INDEX(tblData[Singapore LogiP(t)],MATCH(VALUE(tblRuns[AtDate])+7,tblData[Dates],1))</f>
        <v>21963.267287384893</v>
      </c>
      <c r="ER18" s="19">
        <f ca="1">tblRuns[Mean Sq Err]/tblRuns[Max Cases Per Capita]</f>
        <v>2.4236945223594781E-2</v>
      </c>
      <c r="ES18" s="132">
        <f>IF(MIN(tblData[Singapore Cases Per Capita])&gt;0,MIN(tblData[Dates]),INDEX(tblData[Dates],1+MATCH(solvMsgs!MinCases, tblData[Singapore Cases Per Capita],1)))</f>
        <v>43875</v>
      </c>
      <c r="ET18" s="133" t="str">
        <f>tblRuns[[#This Row],[Place]]&amp;" from "&amp;TEXT(tblRuns[DateOver100],"dd-mmm")</f>
        <v>Singapore from 14-Feb</v>
      </c>
      <c r="EU18" s="162">
        <f ca="1">INDEX(tblData[Singapore LogiP(t)],MATCH(tblRuns[[#This Row],[Last Date]]+1,tblData[Dates],0))-INDEX(tblData[Singapore],MATCH(tblRuns[[#This Row],[Last Date]],tblData[Dates],0))</f>
        <v>1149.6893638559559</v>
      </c>
      <c r="EV18" s="102" t="s">
        <v>40</v>
      </c>
      <c r="EW18" s="102" t="str">
        <f>INDEX(tblPopulation[CtryAbbrev],MATCH(tblRuns[Place],tblPopulation[Country],0))</f>
        <v>Singapore</v>
      </c>
      <c r="EX18" s="26" t="str">
        <f ca="1">SUBSTITUTE(tblRuns[[#This Row],[ChartLabel]]," since " &amp; solvMsgs!MinCases,"")</f>
        <v>COVID19 Singapore P(t) = b / {d+[( b/Po - d ) ]* exp(-b*t)}
b=0.126, d=3.54E-06, P0=.639, r2=0.9739, Limit=60.7 k=&gt;35.5 k cases 
 (Fit: Thu 23-Jan - Sat 02-May)</v>
      </c>
      <c r="EY18" s="102"/>
      <c r="EZ18" s="102"/>
      <c r="FA18" s="102"/>
      <c r="FD18" s="134"/>
      <c r="FF18"/>
      <c r="FG18"/>
      <c r="FH18"/>
      <c r="FI18" s="26">
        <v>43860</v>
      </c>
      <c r="FJ18">
        <v>0.1</v>
      </c>
      <c r="FK18"/>
      <c r="FL18"/>
      <c r="FM18"/>
      <c r="FN18"/>
      <c r="FO18" s="265" t="s">
        <v>48</v>
      </c>
      <c r="FP18" s="250">
        <v>43912.787418981483</v>
      </c>
      <c r="FQ18" s="156">
        <v>43855</v>
      </c>
      <c r="FR18" s="26">
        <v>43855</v>
      </c>
      <c r="FS18" s="211">
        <v>0</v>
      </c>
      <c r="FT18" s="25">
        <v>0.20992855907156063</v>
      </c>
      <c r="FU18" s="24">
        <v>9.9999999999795755E-11</v>
      </c>
      <c r="FV18" s="21">
        <v>8.4862960776543872E-3</v>
      </c>
      <c r="FW18" s="212">
        <v>2099285590.7198939</v>
      </c>
      <c r="FX18" s="212">
        <v>11.255677732956892</v>
      </c>
      <c r="FY18" s="212"/>
      <c r="FZ18" s="213">
        <v>24.737359756217259</v>
      </c>
      <c r="GA18" s="213">
        <v>9.9999999999795755E-8</v>
      </c>
      <c r="GB18" s="156">
        <v>43912</v>
      </c>
      <c r="GC18" s="25" t="s">
        <v>829</v>
      </c>
      <c r="GD18" s="212">
        <v>2099285590.7198939</v>
      </c>
      <c r="GE18" s="212">
        <v>1349</v>
      </c>
      <c r="GF18" s="25" t="s">
        <v>830</v>
      </c>
      <c r="GG18" s="156">
        <v>43912</v>
      </c>
      <c r="GH18" s="25">
        <v>58</v>
      </c>
      <c r="GI18" s="25" t="s">
        <v>831</v>
      </c>
      <c r="GJ18" s="25"/>
      <c r="GK18" s="25" t="s">
        <v>832</v>
      </c>
      <c r="GM18" s="25" t="s">
        <v>833</v>
      </c>
      <c r="GN18" s="20">
        <v>531.85617410503073</v>
      </c>
      <c r="GO18" s="156"/>
      <c r="GP18" s="218"/>
      <c r="GQ18" s="156"/>
      <c r="GR18" s="25"/>
      <c r="GS18" s="25" t="s">
        <v>828</v>
      </c>
      <c r="GT18" s="11"/>
      <c r="GU18" s="12"/>
      <c r="GV18" s="26"/>
      <c r="GX18" s="219"/>
      <c r="HK18" s="164">
        <v>43903</v>
      </c>
      <c r="HL18" s="60">
        <v>43903.458333333336</v>
      </c>
      <c r="HM18">
        <v>92</v>
      </c>
      <c r="HN18">
        <v>14665</v>
      </c>
      <c r="HQ18" t="str">
        <f>IF(ISNUMBER(tblNSWKnown[[#This Row],[Unknown Locally]]),tblNSWKnown[[#This Row],[Known Locally]]+tblNSWKnown[[#This Row],[Unknown Locally]],"")</f>
        <v/>
      </c>
      <c r="HR18" s="25"/>
      <c r="HS18" t="str">
        <f>IF(ISNUMBER(tblNSWKnown[[#This Row],[Day '# NSW Unknown]]),betaNSWUnknown/(deltaNSWUnknown+betaPodeltaNSWUnknown*EXP(-betaNSWUnknown*tblNSWKnown[Day '# NSW Unknown])),"")</f>
        <v/>
      </c>
      <c r="HT18" t="str">
        <f>IF(ISNUMBER(tblNSWKnown[[#This Row],[Total Local]]),(tblNSWKnown[[#This Row],[Total Local]]-tblNSWKnown[[#This Row],[NSW Unknown Logi P(t)]])^2,"")</f>
        <v/>
      </c>
      <c r="HU18" s="166" t="str">
        <f>IF(ISNUMBER(tblNSWKnown[Total Local]),(tblNSWKnown[Total Local]-AVERAGE(tblNSWKnown[Total Local]))^2,"")</f>
        <v/>
      </c>
      <c r="HV18" s="166"/>
    </row>
    <row r="19" spans="2:230" ht="15" customHeight="1" x14ac:dyDescent="0.25">
      <c r="B19" s="26">
        <v>43860</v>
      </c>
      <c r="C19">
        <v>0</v>
      </c>
      <c r="D19" s="25">
        <v>0</v>
      </c>
      <c r="E19">
        <v>4</v>
      </c>
      <c r="F19">
        <v>0</v>
      </c>
      <c r="G19">
        <v>3</v>
      </c>
      <c r="H19">
        <v>0</v>
      </c>
      <c r="I19">
        <v>0</v>
      </c>
      <c r="J19">
        <v>2</v>
      </c>
      <c r="K19">
        <v>0</v>
      </c>
      <c r="L19" s="11">
        <f>IF(ISNUMBER(tblData[[#This Row],[NSW]]),tblData[[#This Row],[New South Wales]]/NSWpopscale,"")</f>
        <v>4.9504950495049505</v>
      </c>
      <c r="M19">
        <v>0</v>
      </c>
      <c r="N19" s="20">
        <f>IF(ISNUMBER(tblData[Italy]),tblData[Italy]/ItalyPopscale,"")</f>
        <v>0</v>
      </c>
      <c r="O19">
        <v>5</v>
      </c>
      <c r="P19" s="20">
        <f>IF(ISNUMBER(tblData[US]),tblData[US]/USPopscale,"")</f>
        <v>0.15187055346179726</v>
      </c>
      <c r="Q19">
        <v>4</v>
      </c>
      <c r="R19" s="20">
        <f>IF(ISNUMBER(tblData[SKorea]),tblData[SKorea]/SKoreaPopscale,"")</f>
        <v>0.77821011673151752</v>
      </c>
      <c r="S19">
        <v>0</v>
      </c>
      <c r="T19" s="20">
        <f>IF(ISNUMBER(tblData[United Kingdom]),tblData[United Kingdom]/UKPopscale,"")</f>
        <v>0</v>
      </c>
      <c r="U19">
        <v>8141</v>
      </c>
      <c r="V19" s="20">
        <f>IF(ISNUMBER(tblData[China]),tblData[China]/ChinaPopscale,"")</f>
        <v>56.561283400907293</v>
      </c>
      <c r="W19" s="25">
        <f ca="1">IF(tblData[[#This Row],[Dates]]&lt;StartDt2China,"",tblData[[#This Row],[Dates]]-ChinaStart)</f>
        <v>8</v>
      </c>
      <c r="X19">
        <v>10</v>
      </c>
      <c r="Y19" s="20">
        <f>IF(ISNUMBER(tblData[Singapore]),tblData[Singapore]/SingaporePopscale,"")</f>
        <v>17.094017094017094</v>
      </c>
      <c r="Z19"/>
      <c r="AA19" s="20" t="str">
        <f>IF(AND(LEN(tblData[Generic])&gt;0,ISNUMBER(tblData[Generic])),tblData[Generic]/GenericPopscale,"")</f>
        <v/>
      </c>
      <c r="AB19" s="25">
        <f ca="1">IF(tblData[[#This Row],[Dates]]&lt;StartDt2Italy,"",tblData[[#This Row],[Dates]]-ItalyStart)</f>
        <v>0</v>
      </c>
      <c r="AC19" s="25">
        <f ca="1">IF(tblData[[#This Row],[Dates]]&lt;=StartDt2US,"",tblData[[#This Row],[Dates]]-USStart)</f>
        <v>8</v>
      </c>
      <c r="AD19" s="25">
        <f>IF(tblData[[#This Row],[Dates]]&lt;=SKoreaStart,"",tblData[[#This Row],[Dates]]-SKoreaStart)</f>
        <v>8</v>
      </c>
      <c r="AE19" s="25" t="str">
        <f ca="1">IF(tblData[[#This Row],[Dates]]&lt;=StartDt2UK,"",tblData[[#This Row],[Dates]]-UKStart)</f>
        <v/>
      </c>
      <c r="AF19" s="25">
        <f ca="1">IF(tblData[[#This Row],[Dates]]&lt;StartDt2Singapore,"",tblData[[#This Row],[Dates]]-SingaporeStart)</f>
        <v>7</v>
      </c>
      <c r="AG19" s="25" t="str">
        <f>IF(tblData[[#This Row],[Dates]]&lt;StartDt2Generic,"",tblData[[#This Row],[Dates]]-GenericStart)</f>
        <v/>
      </c>
      <c r="AH19">
        <f ca="1">IF(tblData[Dates]&gt;StartDt2Au,tblData[Dates]-AuStart,"")</f>
        <v>5</v>
      </c>
      <c r="AI19" s="25">
        <f>IF(AND(COUNTBLANK(tblData[[#This Row],[Australian Capital Territory]:[Western Australia]])&lt;1,tblData[New South Wales]&gt;=0),SUM(tblData[[#This Row],[Australian Capital Territory]:[Western Australia]]),"")</f>
        <v>9</v>
      </c>
      <c r="AJ19" s="12">
        <f>IF(ISNUMBER(tblData[Au]),tblData[Au]/AuPopScale,"")</f>
        <v>3.548336224570257</v>
      </c>
      <c r="AK19" s="19">
        <f ca="1">IF(ISNUMBER(tblData[[#This Row],[Day'# Aust]]),betaAu/(deltaAu+betaPodeltaAu*EXP(-betaAu*tblData[[#This Row],[Day'# Aust]])),"")</f>
        <v>1.4534318307262284E-2</v>
      </c>
      <c r="AL19" s="57">
        <f ca="1">IF(ISNUMBER(tblData[Day'# Aust]),tblData[Au LogiP(t)]/AuPopScale,"")</f>
        <v>5.730294238788158E-3</v>
      </c>
      <c r="AM19" s="11">
        <f ca="1">IF(AND(tblData[Dates]&gt;StartDt2Au,ISNUMBER(tblData[Au])),(tblData[[#This Row],[Au LogiP(t)]]-tblData[[#This Row],[Au]])^2,"")</f>
        <v>80.738593516877927</v>
      </c>
      <c r="AN19" s="11">
        <f ca="1">IF(AND(ISNUMBER(tblData[Au]),tblData[Dates]&gt;StartDt2Au),(tblData[Au]-AVERAGE(tblData[Au]))^2,"")</f>
        <v>5952672.8361</v>
      </c>
      <c r="AO19" s="11">
        <f>tblData[[#This Row],[Dates]]-Au100dt</f>
        <v>-45</v>
      </c>
      <c r="AP19">
        <f ca="1">IF(tblData[Dates]&gt;StartDt2NSW,tblData[Dates]-StartDt2NSW,"")</f>
        <v>5</v>
      </c>
      <c r="AQ19" s="25">
        <f>IF(tblData[[#This Row],[New South Wales]]&gt;0,tblData[[#This Row],[New South Wales]],"")</f>
        <v>4</v>
      </c>
      <c r="AR19" s="44">
        <f ca="1">IF(tblData[Dates]&gt;StartDt2NSW,betaNSW/(deltaNSW+betaPodeltaNSW*EXP(-betaNSW*tblData[[#This Row],[Day '# NSW]])),"")</f>
        <v>3.9856152969231125E-3</v>
      </c>
      <c r="AS19" s="12">
        <f ca="1">IF(AND(ISNUMBER(tblData[NSW]),tblData[Dates]&gt;StartDt2NSW),(tblData[[#This Row],[NSW LogiP(t)]]-tblData[[#This Row],[NSW]])^2,"")</f>
        <v>15.968130962753909</v>
      </c>
      <c r="AT19" s="12">
        <f ca="1">IF(AND(tblData[Dates]&gt;StartDt2NSW,ISNUMBER(tblData[Day'# Aust])),tblData[NSW LogiP(t)]/NSWpopscale,"")</f>
        <v>4.9326921991622672E-3</v>
      </c>
      <c r="AU19" s="11">
        <f>tblData[[#This Row],[Dates]]-NSW100dt+1</f>
        <v>-42</v>
      </c>
      <c r="AV19" s="11">
        <f ca="1">IF(AND(ISNUMBER(tblData[NSW]),tblData[Dates]&gt;StartDt2NSW),(tblData[NSW]-AVERAGE(tblData[NSW]))^2,"")</f>
        <v>1188666.8676</v>
      </c>
      <c r="AW19" s="39" t="str">
        <f ca="1">IF(AND(tblData[Dates]&gt;StartDt2Italy,ISNUMBER(tblData[Days'# Italy])),betaItaly/(deltaItaly+betaPodeltaItaly*EXP(-betaItaly*tblData[Days'# Italy])),"")</f>
        <v/>
      </c>
      <c r="AX19" s="11" t="str">
        <f ca="1">IF(AND(tblData[Dates]&gt;StartDt2Italy,ISNUMBER(tblData[Italy])),(tblData[[#This Row],[Italy LogiP(t)]]-tblData[[#This Row],[Italy]])^2,"")</f>
        <v/>
      </c>
      <c r="AY19" s="39" t="str">
        <f ca="1">IF(AND(tblData[Dates]&gt;StartDt2Italy,ISNUMBER(tblData[Days'# Italy])),tblData[[#This Row],[Italy LogiP(t)]]/ItalyPopscale,"")</f>
        <v/>
      </c>
      <c r="AZ19" s="39" t="str">
        <f ca="1">IF(AND(ISNUMBER(tblData[Italy]),tblData[Dates]&gt;StartDt2Italy),(tblData[Italy]-AVERAGE(tblData[Italy]))^2,"")</f>
        <v/>
      </c>
      <c r="BA19" s="11">
        <f>tblData[[#This Row],[Dates]]-Italy100dt+1</f>
        <v>-27</v>
      </c>
      <c r="BB19" s="11">
        <f ca="1">IF(AND(tblData[Dates]&gt;StartDt2US,ISNUMBER(tblData[[#This Row],[Days'# US]])),betaUS/(deltaUS+betaPodeltaUS*EXP(-betaUS*tblData[Days'# US])),"")</f>
        <v>9.6808829078151304E-3</v>
      </c>
      <c r="BC19" s="11">
        <f ca="1">IF(AND(tblData[Dates]&gt;StartDt2US,ISNUMBER(tblData[US])),(tblData[[#This Row],[US LogiP(t)]]-tblData[US])^2,"")</f>
        <v>24.903284890415726</v>
      </c>
      <c r="BD19" s="20">
        <f ca="1">IF(AND(tblData[Dates]&gt;=StartDt2US,ISNUMBER(tblData[[#This Row],[Days'# US]])),tblData[[#This Row],[US LogiP(t)]]/USPopscale,"")</f>
        <v>2.9404820904174739E-4</v>
      </c>
      <c r="BE19" s="126">
        <f ca="1">IF(AND(ISNUMBER(tblData[US]),tblData[Dates]&gt;StartDt2US),(tblData[US]-AVERAGE(tblData[US]))^2,"")</f>
        <v>50148337617.589485</v>
      </c>
      <c r="BF19" s="11">
        <f>tblData[[#This Row],[Dates]]-US100dt+1</f>
        <v>-44</v>
      </c>
      <c r="BG19" s="11">
        <f ca="1">IF(tblData[Dates]&gt;StartDt2SKorea,betaSKorea/(deltaSKorea+betaPodeltaSKorea*EXP(-betaSKorea*(tblData[Dates]-StartDt2SKorea))),"")</f>
        <v>21.247949670306451</v>
      </c>
      <c r="BH19" s="11">
        <f ca="1">IF(AND(tblData[Dates]&gt;StartDt2SKorea,ISNUMBER(tblData[SKorea])),(tblData[[#This Row],[SKorea LogiP(t)]]-tblData[[#This Row],[SKorea]])^2,"")</f>
        <v>297.49176782942442</v>
      </c>
      <c r="BI19" s="11">
        <f ca="1">IF(tblData[Dates]&gt;StartDt2SKorea,tblData[[#This Row],[SKorea LogiP(t)]]/SKoreaPopscale,"")</f>
        <v>4.1338423483086482</v>
      </c>
      <c r="BJ19" s="11">
        <f ca="1">IF(AND(ISNUMBER(tblData[SKorea]),tblData[Dates]&gt;StartDt2SKorea),(tblData[SKorea]-AVERAGE(tblData[SKorea]))^2,"")</f>
        <v>33876736.609381005</v>
      </c>
      <c r="BK19" s="11">
        <f>tblData[[#This Row],[Dates]]-SKorea100dt+1</f>
        <v>-23</v>
      </c>
      <c r="BL19" s="126" t="str">
        <f ca="1">IF(AND(tblData[Dates]&gt;StartDt2UK,ISNUMBER(tblData[Days'# UK])),betaUK/(deltaUK+betaPodeltaUK*EXP(-betaUK*tblData[Days'# UK])),"")</f>
        <v/>
      </c>
      <c r="BM19" s="11" t="str">
        <f ca="1">IF(AND(tblData[Dates]&gt;StartDt2UK,ISNUMBER(tblData[United Kingdom])),(tblData[[#This Row],[UK LogiP(t)]]-tblData[[#This Row],[United Kingdom]])^2,"")</f>
        <v/>
      </c>
      <c r="BN19" s="126" t="str">
        <f ca="1">IF(ISNUMBER(tblData[Days'# UK]),tblData[[#This Row],[UK LogiP(t)]]/UKPopscale,"")</f>
        <v/>
      </c>
      <c r="BO19" s="126" t="str">
        <f ca="1">IF(AND(ISNUMBER(tblData[United Kingdom]),tblData[Dates]&gt;StartDt2UK),(tblData[United Kingdom]-AVERAGE(tblData[United Kingdom]))^2,"")</f>
        <v/>
      </c>
      <c r="BP19" s="11">
        <f>tblData[[#This Row],[Dates]]-UK100dt</f>
        <v>-42</v>
      </c>
      <c r="BQ19" s="11">
        <f ca="1">IF(ISNUMBER(tblData[Days'# China]),betaChina/(deltaChina+betaPodeltaChina*EXP(-betaChina*tblData[Days'# China])),"")</f>
        <v>8380.7332955273396</v>
      </c>
      <c r="BR19" s="11">
        <f ca="1">IF(ISNUMBER(tblData[China]),(tblData[[#This Row],[China LogiP(t)]]-tblData[[#This Row],[China]])^2,"")</f>
        <v>57472.052984398731</v>
      </c>
      <c r="BS19" s="11">
        <f ca="1">tblData[[#This Row],[China LogiP(t)]]/ChinaPopscale</f>
        <v>58.226880117398544</v>
      </c>
      <c r="BT19" s="126">
        <f ca="1">IF(AND(ISNUMBER(tblData[China]),tblData[Dates]&gt;StartDt2China),(tblData[China]-AVERAGE(tblData[China]))^2,"")</f>
        <v>3488493557.9273362</v>
      </c>
      <c r="BU19" s="11">
        <f>tblData[[#This Row],[Dates]]-China100dt</f>
        <v>-3</v>
      </c>
      <c r="BV19" s="95">
        <f ca="1">IF(ISNUMBER(tblData[Day'# Singapore]),betaSingapore/(deltaSingapore+betaPodeltaSingapore*EXP(-betaSingapore*tblData[Day'# Singapore])),"")</f>
        <v>0.29425874137269142</v>
      </c>
      <c r="BW19" s="11">
        <f ca="1">IF(AND(ISNUMBER(tblData[Singapore]),tblData[Dates]&gt;=StartDt2Singapore),(tblData[[#This Row],[Singapore LogiP(t)]]-tblData[[#This Row],[Singapore]])^2,"")</f>
        <v>94.201413379420401</v>
      </c>
      <c r="BX19" s="20">
        <f ca="1">IF(ISNUMBER(tblData[Day'# Singapore]),tblData[Singapore LogiP(t)]/SingaporePopscale,"")</f>
        <v>0.50300639550887427</v>
      </c>
      <c r="BY19" s="95">
        <f ca="1">IF(AND(ISNUMBER(tblData[Singapore]),tblData[Dates]&gt;StartDt2Singapore),(tblData[Singapore]-AVERAGE(tblData[Singapore]))^2,"")</f>
        <v>5339814.763936948</v>
      </c>
      <c r="BZ19" s="11">
        <f>tblData[[#This Row],[Dates]]-Singapore100dt+1</f>
        <v>-14</v>
      </c>
      <c r="CA19" s="11" t="str">
        <f>IF(AND(tblData[Dates]&gt;StartDt2Generic,ISNUMBER(tblData[Day'# Generic])),betaGeneric/(deltaGeneric+betaPodeltaGeneric*EXP(-betaGeneric*tblData[Day'# Generic])),"")</f>
        <v/>
      </c>
      <c r="CB19" s="95" t="str">
        <f>IF(AND(ISNUMBER(tblData[Generic]),tblData[Dates]&gt;StartDt2Generic),(tblData[Generic LogiP(t)]-tblData[[#This Row],[Generic]])^2,"")</f>
        <v/>
      </c>
      <c r="CC19" s="11" t="str">
        <f>IF(AND(ISNUMBER(tblData[Day'# Generic]),tblData[Dates]&gt;StartDt2Generic),tblData[Generic LogiP(t)]/GenericPopscale,"")</f>
        <v/>
      </c>
      <c r="CD19" s="95" t="str">
        <f>IF(AND(ISNUMBER(tblData[Generic]),tblData[Dates]&gt;StartDt2Generic),(tblData[Generic]-AVERAGE(tblData[Generic]))^2,"")</f>
        <v/>
      </c>
      <c r="CE19" s="11">
        <f>tblData[[#This Row],[Dates]]-Generic100dt+1</f>
        <v>-42</v>
      </c>
      <c r="CF19"/>
      <c r="CG19" s="11"/>
      <c r="CH19" s="11" t="str">
        <f>IF(ISNUMBER(tblData[[#This Row],[Tests]]),tblData[[#This Row],[Tests]]-CH18,"")</f>
        <v/>
      </c>
      <c r="CI19" s="11" t="str">
        <f>IF(ISNUMBER(tblData[[#This Row],[NSW Under Investigation'']]),tblData[[#This Row],[NSW Under Investigation'']]-CG18,"")</f>
        <v/>
      </c>
      <c r="CJ19" s="11"/>
      <c r="CK19" s="11" t="str">
        <f>IF(AND(tblData[[#This Row],[NSW Test Day Number]]&gt;0,ISNUMBER(tblData[[#This Row],[NSW Test Day Number]])),betaTests/(deltaTests+betaPodeltaTests*EXP(-betaTests*tblData[[#This Row],[NSW Test Day Number]])),"")</f>
        <v/>
      </c>
      <c r="CL19" s="11" t="str">
        <f>IF(tblData[Tests]&gt;0,(tblData[[#This Row],[Tests]]-tblData[[#This Row],[NSW Test Logi]])^2,"")</f>
        <v/>
      </c>
      <c r="CM19" s="95" t="str">
        <f>IF(AND(ISNUMBER(tblData[Tests]),tblData[Dates]&gt;StartDt2Tests),(tblData[Tests]-AVERAGE(tblData[Tests]))^2,"")</f>
        <v/>
      </c>
      <c r="CN19" s="11" t="str">
        <f>IF(ISNUMBER(tblData[Tests]),tblData[Tests]/NSWpopscale/100,"")</f>
        <v/>
      </c>
      <c r="CO19" s="11" t="str">
        <f>IF(AND(tblData[[#This Row],[NSW Test Day Number]]&gt;0,ISNUMBER(tblData[[#This Row],[NSW Test Day Number]])),TestsLogestB*TestsLogestM^tblData[[#This Row],[NSW Test Day Number]],"")</f>
        <v/>
      </c>
      <c r="CP19" s="11" t="str">
        <f>IF(AND(tblData[[#This Row],[NSW Test Day Number]]&gt;0,ISNUMBER(tblData[Tests])),(tblData[Tests]-tblData[[#This Row],[NSW Test Per Capita]])^2,"")</f>
        <v/>
      </c>
      <c r="CQ19" s="20">
        <f ca="1">IF(AND(tblData[Day '# NSW]&gt;0,ISNUMBER(tblData[[#This Row],[Day '# NSW]])),NSWLogestB*NSWLogestM^tblData[[#This Row],[Day '# NSW]]/NSWpopscale,"")</f>
        <v>2.292200512072621</v>
      </c>
      <c r="CR19" s="39">
        <f ca="1">IF(AND(ISNUMBER(tblData[NSW]),tblData[Dates]&gt;StartDt2NSW),(tblData[NSW]/NSWpopscale-tblData[[#This Row],[NSW Cases LogEst]])^2,"")</f>
        <v>7.0665298477425624</v>
      </c>
      <c r="CS19">
        <v>9</v>
      </c>
      <c r="CT19" s="19">
        <f>IF(ISNUMBER(tblData[Taiwan]),tblData[Taiwan]/TaiwanPopscale,"")</f>
        <v>3.7803559431941873</v>
      </c>
      <c r="CU19" s="11">
        <f ca="1">IF(tblData[[#This Row],[Dates]]&lt;StartDt2Taiwan,"",tblData[[#This Row],[Dates]]-TaiwanStart)</f>
        <v>8</v>
      </c>
      <c r="CV19" s="19">
        <f ca="1">IF(AND(tblData[Dates]&gt;StartDt2Taiwan,ISNUMBER(tblData[Days'# Taiwan])),betaTaiwan/(deltaTaiwan+betaPodeltaTaiwan*EXP(-betaTaiwan*tblData[Days'# Taiwan])),"")</f>
        <v>0.13879584108751505</v>
      </c>
      <c r="CW19" s="95">
        <f ca="1">IF(AND(tblData[Dates]&gt;StartDt2Taiwan,ISNUMBER(tblData[Taiwan])),(tblData[[#This Row],[Taiwan LogiP(t)]]-tblData[[#This Row],[Taiwan]])^2,"")</f>
        <v>78.520939145927926</v>
      </c>
      <c r="CX19" s="20">
        <f ca="1">IF(AND(tblData[Dates]&gt;StartDt2Taiwan,ISNUMBER(tblData[Days'# Taiwan])),tblData[[#This Row],[Taiwan LogiP(t)]]/TaiwanPopscale,"")</f>
        <v>5.8299742527313722E-2</v>
      </c>
      <c r="CY19" s="95">
        <f ca="1">IF(AND(ISNUMBER(tblData[Taiwan]),tblData[Dates]&gt;StartDt2Taiwan),(tblData[Taiwan]-AVERAGE(tblData[Taiwan]))^2,"")</f>
        <v>25775.987697039604</v>
      </c>
      <c r="CZ19" s="11">
        <f>tblData[[#This Row],[Dates]]-Taiwan100dt+1</f>
        <v>-55</v>
      </c>
      <c r="DA19"/>
      <c r="DB19" s="20" t="str">
        <f>IF(ISNUMBER(tblData[NZ]),tblData[NZ]/NZPopscale,"")</f>
        <v/>
      </c>
      <c r="DC19" s="11" t="str">
        <f ca="1">IF(tblData[[#This Row],[Dates]]&lt;StartDt2NZ,"",tblData[[#This Row],[Dates]]-NZStart)</f>
        <v/>
      </c>
      <c r="DD19" s="20" t="str">
        <f ca="1">IF(AND(tblData[Dates]&gt;StartDt2NZ,ISNUMBER(tblData[Days'# NZ])),betaNZ/(deltaNZ+betaPodeltaNZ*EXP(-betaNZ*tblData[Days'# NZ])),"")</f>
        <v/>
      </c>
      <c r="DE19" s="95" t="str">
        <f ca="1">IF(AND(tblData[Dates]&gt;StartDt2NZ,ISNUMBER(tblData[NZ])),(tblData[[#This Row],[NZ LogiP(t)]]-tblData[[#This Row],[NZ]])^2,"")</f>
        <v/>
      </c>
      <c r="DF19" s="20" t="str">
        <f ca="1">IF(AND(tblData[Dates]&gt;StartDt2NZ,ISNUMBER(tblData[Days'# NZ])),tblData[[#This Row],[NZ LogiP(t)]]/NZPopscale,"")</f>
        <v/>
      </c>
      <c r="DG19" s="95" t="str">
        <f ca="1">IF(AND(ISNUMBER(tblData[NZ]),tblData[Dates]&gt;StartDt2NZ),(tblData[NZ]-AVERAGE(tblData[NZ]))^2,"")</f>
        <v/>
      </c>
      <c r="DH19" s="11">
        <f>tblData[[#This Row],[Dates]]-NZ100dt+1</f>
        <v>-51</v>
      </c>
      <c r="DI19" s="39"/>
      <c r="DJ19" s="11"/>
      <c r="DK19" s="26"/>
      <c r="DL19" s="25" t="s">
        <v>568</v>
      </c>
      <c r="DM19" s="154">
        <v>43954.724270833336</v>
      </c>
      <c r="DN19" s="62">
        <v>43895</v>
      </c>
      <c r="DO19" s="62">
        <v>43896</v>
      </c>
      <c r="DP19" s="25">
        <v>8</v>
      </c>
      <c r="DQ19" s="44">
        <v>0.17608287538463896</v>
      </c>
      <c r="DR19" s="71">
        <v>1.0204873273391578E-6</v>
      </c>
      <c r="DS19" s="71">
        <v>4294.7612382573006</v>
      </c>
      <c r="DT19" s="23">
        <f>betaTests/deltaTests</f>
        <v>172547.83147945747</v>
      </c>
      <c r="DU19" s="21">
        <f>SQRT(SUM(tblData[NSW Test Sq Err])/COUNT(tblData[NSW Test Sq Err]))</f>
        <v>22930.592298715936</v>
      </c>
      <c r="DV19" s="72">
        <f>1-(SUM(tblData[NSW Test Sq Err])/SUM(tblData[NSW Tests Mean Devn Sq]))</f>
        <v>0.88463882563451246</v>
      </c>
      <c r="DW19" s="73">
        <f>(betaTests/PoTests)-deltaTests</f>
        <v>3.9978968897633364E-5</v>
      </c>
      <c r="DX19" s="73">
        <f>tblRuns[d]*1000</f>
        <v>1.0204873273391578E-3</v>
      </c>
      <c r="DY19" s="26">
        <f t="array" ref="DY19">MAX(IF(ISNUMBER(tblData[Tests]),tblData[Dates]))</f>
        <v>43953</v>
      </c>
      <c r="DZ19" s="26" t="str">
        <f>Cengnotation(tblRuns[[#This Row],[Asymptote b/d]],3)</f>
        <v>173 k</v>
      </c>
      <c r="EA19" s="95">
        <f>MAX(tblData[Tests])</f>
        <v>240093</v>
      </c>
      <c r="EB19" s="25">
        <f t="array" ref="EB19">MAX(tblData[Tests])</f>
        <v>240093</v>
      </c>
      <c r="EC19" s="25" t="str">
        <f>Cengnotation(tblRuns[[#This Row],[Asymptote b/d]]/(TestsPop/PerPerson),3)</f>
        <v>214 k</v>
      </c>
      <c r="ED19" s="26">
        <f t="array" ref="ED19">MAX(IF(ISNUMBER(tblData[Tests]),tblData[Dates]))</f>
        <v>43953</v>
      </c>
      <c r="EE19" s="11">
        <f t="array" ref="EE19">COUNT(IF(ISNUMBER(tblData[Tests]),tblData[Dates]))</f>
        <v>59</v>
      </c>
      <c r="EF19" s="26" t="str">
        <f>"b="&amp;TEXT(tblRuns[b],"##0.###")&amp;", d="&amp;TEXT(tblRuns[d],"0.00E+00")&amp;", P0="&amp;TEXT(Po,"#.###")&amp; ", r2=" &amp;TEXT(tblRuns[[#This Row],[R2]],"0.####") &amp;", Limit="&amp;IF(PopScaling=0,tblRuns[Asymptote b/d],tblRuns[[#This Row],[Asymp PerP]])&amp;"=&gt;"&amp;Cengnotation(tblRuns[[#This Row],[Limit Cases]],3)&amp;" cases "&amp;tblRuns[[#This Row],[Notes]]</f>
        <v xml:space="preserve">b=0.176, d=1.02E-06, P0=.639, r2=0.8846, Limit=214 k=&gt;240 k cases </v>
      </c>
      <c r="EG19" s="25"/>
      <c r="EH19" s="25" t="str">
        <f>tblRuns[Place]&amp;" Limit " &amp; IF(PopScaling=0,tblRuns[[#This Row],[Asymptote]],tblRuns[[#This Row],[Asymp PerP]])&amp;" r^2="&amp;TEXT(tblRuns[[#This Row],[R2]]*100,"##.00")&amp;"%"</f>
        <v>Tests Limit 214 k r^2=88.46%</v>
      </c>
      <c r="EJ19" s="18" t="str">
        <f>"COVID19 "&amp;tblRuns[[#This Row],[Place]] &amp; " " &amp;LogFormula&amp;CHAR(10)&amp;tblRuns[[#This Row],[Parameter List]]&amp;CHAR(10)&amp;" (Fit: " &amp; TEXT(tblRuns[Logistic Start2],"ddd dd-mmm") &amp; " - " &amp; TEXT(tblRuns[Last Date],"ddd dd-mmm")&amp;")"</f>
        <v>COVID19 Tests P(t) = b / {d+[( b/Po - d ) ]* exp(-b*t)}
b=0.176, d=1.02E-06, P0=.639, r2=0.8846, Limit=214 k=&gt;240 k cases 
 (Fit: Fri 06-Mar - Sat 02-May)</v>
      </c>
      <c r="EK19" s="11">
        <f t="array" ref="EK19">MAX(tblData[Tests])</f>
        <v>240093</v>
      </c>
      <c r="EL19" s="156"/>
      <c r="EM19" s="11"/>
      <c r="EN19" s="26"/>
      <c r="EO19" s="11"/>
      <c r="EP19" s="25"/>
      <c r="EQ19" s="11" t="str">
        <f>INDEX(tblData[NSW Test Logi],MATCH(VALUE(tblRuns[AtDate])+7,tblData[Dates],1))</f>
        <v/>
      </c>
      <c r="ER19" s="19">
        <f>tblRuns[Mean Sq Err]/tblRuns[Max Cases Per Capita]</f>
        <v>9.5507125566825918E-2</v>
      </c>
      <c r="ES19" s="132">
        <f>IF(MIN(tblData[Tests])&gt;0,MIN(tblData[Dates]),INDEX(tblData[Dates],1+MATCH(solvMsgs!MinCases, tblData[Tests],1)))</f>
        <v>43896</v>
      </c>
      <c r="ET19" s="133" t="str">
        <f>tblRuns[[#This Row],[Place]]&amp;" from "&amp;TEXT(tblRuns[DateOver100],"dd-mmm")</f>
        <v>Tests from 06-Mar</v>
      </c>
      <c r="EU19" s="162">
        <f>INDEX(tblData[NSW Test Logi],MATCH(tblRuns[[#This Row],[Last Date]]+1,tblData[Dates],0))-INDEX(tblData[NSW Test Logi],MATCH(tblRuns[[#This Row],[Last Date]],tblData[Dates],0))</f>
        <v>39.945034789416241</v>
      </c>
      <c r="EV19" s="102" t="s">
        <v>568</v>
      </c>
      <c r="EW19" s="102" t="str">
        <f>INDEX(tblPopulation[CtryAbbrev],MATCH(tblRuns[Place],tblPopulation[Country],0))</f>
        <v>Tests</v>
      </c>
      <c r="EX19" s="26" t="str">
        <f>SUBSTITUTE(tblRuns[[#This Row],[ChartLabel]]," since " &amp; solvMsgs!MinCases,"")</f>
        <v>COVID19 Tests P(t) = b / {d+[( b/Po - d ) ]* exp(-b*t)}
b=0.176, d=1.02E-06, P0=.639, r2=0.8846, Limit=214 k=&gt;240 k cases 
 (Fit: Fri 06-Mar - Sat 02-May)</v>
      </c>
      <c r="EY19" s="102"/>
      <c r="EZ19" s="102"/>
      <c r="FA19" s="102"/>
      <c r="FD19" s="134"/>
      <c r="FF19"/>
      <c r="FG19"/>
      <c r="FH19"/>
      <c r="FI19" s="26">
        <f>FI15+14</f>
        <v>43868</v>
      </c>
      <c r="FJ19" s="25">
        <v>0.1</v>
      </c>
      <c r="FK19"/>
      <c r="FL19"/>
      <c r="FM19"/>
      <c r="FN19"/>
      <c r="FO19" s="265" t="s">
        <v>48</v>
      </c>
      <c r="FP19" s="250">
        <v>43912.862291666665</v>
      </c>
      <c r="FQ19" s="156">
        <v>43855</v>
      </c>
      <c r="FR19" s="26">
        <v>43855</v>
      </c>
      <c r="FS19" s="211">
        <v>0</v>
      </c>
      <c r="FT19" s="25">
        <v>0.21033404877431897</v>
      </c>
      <c r="FU19" s="24">
        <v>9.9999999999795755E-11</v>
      </c>
      <c r="FV19" s="21">
        <v>8.3106214738320611E-3</v>
      </c>
      <c r="FW19" s="212">
        <v>2103340487.7474856</v>
      </c>
      <c r="FX19" s="212">
        <v>11.368819454980502</v>
      </c>
      <c r="FY19" s="212"/>
      <c r="FZ19" s="213">
        <v>25.309063760847966</v>
      </c>
      <c r="GA19" s="213">
        <v>9.9999999999795755E-8</v>
      </c>
      <c r="GB19" s="156">
        <v>43912</v>
      </c>
      <c r="GC19" s="25" t="s">
        <v>829</v>
      </c>
      <c r="GD19" s="212">
        <v>2103340487.7474856</v>
      </c>
      <c r="GE19" s="212">
        <v>1354</v>
      </c>
      <c r="GF19" s="25" t="s">
        <v>858</v>
      </c>
      <c r="GG19" s="156">
        <v>43912</v>
      </c>
      <c r="GH19" s="25">
        <v>58</v>
      </c>
      <c r="GI19" s="25" t="s">
        <v>859</v>
      </c>
      <c r="GJ19" s="25"/>
      <c r="GK19" s="25" t="s">
        <v>860</v>
      </c>
      <c r="GM19" s="25" t="s">
        <v>861</v>
      </c>
      <c r="GN19" s="20">
        <v>533.82747200756978</v>
      </c>
      <c r="GO19" s="156"/>
      <c r="GP19" s="218"/>
      <c r="GQ19" s="156"/>
      <c r="GR19" s="25"/>
      <c r="GS19" s="25" t="s">
        <v>857</v>
      </c>
      <c r="GT19" s="11"/>
      <c r="GU19" s="12"/>
      <c r="GV19" s="26"/>
      <c r="GX19" s="219"/>
      <c r="HK19" s="164">
        <v>43904</v>
      </c>
      <c r="HL19" s="60">
        <v>43904.458333333336</v>
      </c>
      <c r="HM19">
        <v>112</v>
      </c>
      <c r="HN19">
        <v>18716</v>
      </c>
      <c r="HQ19" t="str">
        <f>IF(ISNUMBER(tblNSWKnown[[#This Row],[Unknown Locally]]),tblNSWKnown[[#This Row],[Known Locally]]+tblNSWKnown[[#This Row],[Unknown Locally]],"")</f>
        <v/>
      </c>
      <c r="HR19" s="25"/>
      <c r="HS19" t="str">
        <f>IF(ISNUMBER(tblNSWKnown[[#This Row],[Day '# NSW Unknown]]),betaNSWUnknown/(deltaNSWUnknown+betaPodeltaNSWUnknown*EXP(-betaNSWUnknown*tblNSWKnown[Day '# NSW Unknown])),"")</f>
        <v/>
      </c>
      <c r="HT19" t="str">
        <f>IF(ISNUMBER(tblNSWKnown[[#This Row],[Total Local]]),(tblNSWKnown[[#This Row],[Total Local]]-tblNSWKnown[[#This Row],[NSW Unknown Logi P(t)]])^2,"")</f>
        <v/>
      </c>
      <c r="HU19" s="166" t="str">
        <f>IF(ISNUMBER(tblNSWKnown[Total Local]),(tblNSWKnown[Total Local]-AVERAGE(tblNSWKnown[Total Local]))^2,"")</f>
        <v/>
      </c>
      <c r="HV19" s="166"/>
    </row>
    <row r="20" spans="2:230" ht="15" customHeight="1" x14ac:dyDescent="0.25">
      <c r="B20" s="26">
        <v>43861</v>
      </c>
      <c r="C20">
        <v>0</v>
      </c>
      <c r="D20" s="25">
        <v>0</v>
      </c>
      <c r="E20">
        <v>4</v>
      </c>
      <c r="F20">
        <v>0</v>
      </c>
      <c r="G20">
        <v>2</v>
      </c>
      <c r="H20">
        <v>0</v>
      </c>
      <c r="I20">
        <v>0</v>
      </c>
      <c r="J20">
        <v>3</v>
      </c>
      <c r="K20">
        <v>0</v>
      </c>
      <c r="L20" s="11">
        <f>IF(ISNUMBER(tblData[[#This Row],[NSW]]),tblData[[#This Row],[New South Wales]]/NSWpopscale,"")</f>
        <v>4.9504950495049505</v>
      </c>
      <c r="M20">
        <v>2</v>
      </c>
      <c r="N20" s="20">
        <f>IF(ISNUMBER(tblData[Italy]),tblData[Italy]/ItalyPopscale,"")</f>
        <v>0.33066049433743905</v>
      </c>
      <c r="O20">
        <v>7</v>
      </c>
      <c r="P20" s="20">
        <f>IF(ISNUMBER(tblData[US]),tblData[US]/USPopscale,"")</f>
        <v>0.21261877484651615</v>
      </c>
      <c r="Q20">
        <v>11</v>
      </c>
      <c r="R20" s="20">
        <f>IF(ISNUMBER(tblData[SKorea]),tblData[SKorea]/SKoreaPopscale,"")</f>
        <v>2.1400778210116731</v>
      </c>
      <c r="S20">
        <v>2</v>
      </c>
      <c r="T20" s="20">
        <f>IF(ISNUMBER(tblData[United Kingdom]),tblData[United Kingdom]/UKPopscale,"")</f>
        <v>0.30102347983142685</v>
      </c>
      <c r="U20">
        <v>9802</v>
      </c>
      <c r="V20" s="20">
        <f>IF(ISNUMBER(tblData[China]),tblData[China]/ChinaPopscale,"")</f>
        <v>68.10142487356508</v>
      </c>
      <c r="W20" s="25">
        <f ca="1">IF(tblData[[#This Row],[Dates]]&lt;StartDt2China,"",tblData[[#This Row],[Dates]]-ChinaStart)</f>
        <v>9</v>
      </c>
      <c r="X20">
        <v>13</v>
      </c>
      <c r="Y20" s="20">
        <f>IF(ISNUMBER(tblData[Singapore]),tblData[Singapore]/SingaporePopscale,"")</f>
        <v>22.222222222222225</v>
      </c>
      <c r="Z20"/>
      <c r="AA20" s="20" t="str">
        <f>IF(AND(LEN(tblData[Generic])&gt;0,ISNUMBER(tblData[Generic])),tblData[Generic]/GenericPopscale,"")</f>
        <v/>
      </c>
      <c r="AB20" s="25">
        <f ca="1">IF(tblData[[#This Row],[Dates]]&lt;StartDt2Italy,"",tblData[[#This Row],[Dates]]-ItalyStart)</f>
        <v>1</v>
      </c>
      <c r="AC20" s="25">
        <f ca="1">IF(tblData[[#This Row],[Dates]]&lt;=StartDt2US,"",tblData[[#This Row],[Dates]]-USStart)</f>
        <v>9</v>
      </c>
      <c r="AD20" s="25">
        <f>IF(tblData[[#This Row],[Dates]]&lt;=SKoreaStart,"",tblData[[#This Row],[Dates]]-SKoreaStart)</f>
        <v>9</v>
      </c>
      <c r="AE20" s="25">
        <f ca="1">IF(tblData[[#This Row],[Dates]]&lt;=StartDt2UK,"",tblData[[#This Row],[Dates]]-UKStart)</f>
        <v>1</v>
      </c>
      <c r="AF20" s="25">
        <f ca="1">IF(tblData[[#This Row],[Dates]]&lt;StartDt2Singapore,"",tblData[[#This Row],[Dates]]-SingaporeStart)</f>
        <v>8</v>
      </c>
      <c r="AG20" s="25" t="str">
        <f>IF(tblData[[#This Row],[Dates]]&lt;StartDt2Generic,"",tblData[[#This Row],[Dates]]-GenericStart)</f>
        <v/>
      </c>
      <c r="AH20">
        <f ca="1">IF(tblData[Dates]&gt;StartDt2Au,tblData[Dates]-AuStart,"")</f>
        <v>6</v>
      </c>
      <c r="AI20" s="25">
        <f>IF(AND(COUNTBLANK(tblData[[#This Row],[Australian Capital Territory]:[Western Australia]])&lt;1,tblData[New South Wales]&gt;=0),SUM(tblData[[#This Row],[Australian Capital Territory]:[Western Australia]]),"")</f>
        <v>9</v>
      </c>
      <c r="AJ20" s="12">
        <f>IF(ISNUMBER(tblData[Au]),tblData[Au]/AuPopScale,"")</f>
        <v>3.548336224570257</v>
      </c>
      <c r="AK20" s="19">
        <f ca="1">IF(ISNUMBER(tblData[[#This Row],[Day'# Aust]]),betaAu/(deltaAu+betaPodeltaAu*EXP(-betaAu*tblData[[#This Row],[Day'# Aust]])),"")</f>
        <v>1.8223075315510179E-2</v>
      </c>
      <c r="AL20" s="57">
        <f ca="1">IF(ISNUMBER(tblData[Day'# Aust]),tblData[Au LogiP(t)]/AuPopScale,"")</f>
        <v>7.1846220294552038E-3</v>
      </c>
      <c r="AM20" s="11">
        <f ca="1">IF(AND(tblData[Dates]&gt;StartDt2Au,ISNUMBER(tblData[Au])),(tblData[[#This Row],[Au LogiP(t)]]-tblData[[#This Row],[Au]])^2,"")</f>
        <v>80.672316724794754</v>
      </c>
      <c r="AN20" s="11">
        <f ca="1">IF(AND(ISNUMBER(tblData[Au]),tblData[Dates]&gt;StartDt2Au),(tblData[Au]-AVERAGE(tblData[Au]))^2,"")</f>
        <v>5952672.8361</v>
      </c>
      <c r="AO20" s="11">
        <f>tblData[[#This Row],[Dates]]-Au100dt</f>
        <v>-44</v>
      </c>
      <c r="AP20">
        <f ca="1">IF(tblData[Dates]&gt;StartDt2NSW,tblData[Dates]-StartDt2NSW,"")</f>
        <v>6</v>
      </c>
      <c r="AQ20" s="25">
        <f>IF(tblData[[#This Row],[New South Wales]]&gt;0,tblData[[#This Row],[New South Wales]],"")</f>
        <v>4</v>
      </c>
      <c r="AR20" s="44">
        <f ca="1">IF(tblData[Dates]&gt;StartDt2NSW,betaNSW/(deltaNSW+betaPodeltaNSW*EXP(-betaNSW*tblData[[#This Row],[Day '# NSW]])),"")</f>
        <v>5.0378651502898412E-3</v>
      </c>
      <c r="AS20" s="12">
        <f ca="1">IF(AND(ISNUMBER(tblData[NSW]),tblData[Dates]&gt;StartDt2NSW),(tblData[[#This Row],[NSW LogiP(t)]]-tblData[[#This Row],[NSW]])^2,"")</f>
        <v>15.959722458882954</v>
      </c>
      <c r="AT20" s="12">
        <f ca="1">IF(AND(tblData[Dates]&gt;StartDt2NSW,ISNUMBER(tblData[Day'# Aust])),tblData[NSW LogiP(t)]/NSWpopscale,"")</f>
        <v>6.234981621645843E-3</v>
      </c>
      <c r="AU20" s="11">
        <f>tblData[[#This Row],[Dates]]-NSW100dt+1</f>
        <v>-41</v>
      </c>
      <c r="AV20" s="11">
        <f ca="1">IF(AND(ISNUMBER(tblData[NSW]),tblData[Dates]&gt;StartDt2NSW),(tblData[NSW]-AVERAGE(tblData[NSW]))^2,"")</f>
        <v>1188666.8676</v>
      </c>
      <c r="AW20" s="19">
        <f ca="1">IF(AND(tblData[Dates]&gt;StartDt2Italy,ISNUMBER(tblData[Days'# Italy])),betaItaly/(deltaItaly+betaPodeltaItaly*EXP(-betaItaly*tblData[Days'# Italy])),"")</f>
        <v>0.57049166237138815</v>
      </c>
      <c r="AX20" s="11">
        <f ca="1">IF(AND(tblData[Dates]&gt;StartDt2Italy,ISNUMBER(tblData[Italy])),(tblData[[#This Row],[Italy LogiP(t)]]-tblData[[#This Row],[Italy]])^2,"")</f>
        <v>2.0434940873497176</v>
      </c>
      <c r="AY20" s="20">
        <f ca="1">IF(AND(tblData[Dates]&gt;StartDt2Italy,ISNUMBER(tblData[Days'# Italy])),tblData[[#This Row],[Italy LogiP(t)]]/ItalyPopscale,"")</f>
        <v>9.4319527547555293E-2</v>
      </c>
      <c r="AZ20" s="39">
        <f ca="1">IF(AND(ISNUMBER(tblData[Italy]),tblData[Dates]&gt;StartDt2Italy),(tblData[Italy]-AVERAGE(tblData[Italy]))^2,"")</f>
        <v>4864589101.9421673</v>
      </c>
      <c r="BA20" s="11">
        <f>tblData[[#This Row],[Dates]]-Italy100dt+1</f>
        <v>-26</v>
      </c>
      <c r="BB20" s="11">
        <f ca="1">IF(AND(tblData[Dates]&gt;StartDt2US,ISNUMBER(tblData[[#This Row],[Days'# US]])),betaUS/(deltaUS+betaPodeltaUS*EXP(-betaUS*tblData[Days'# US])),"")</f>
        <v>1.2857434988823004E-2</v>
      </c>
      <c r="BC20" s="11">
        <f ca="1">IF(AND(tblData[Dates]&gt;StartDt2US,ISNUMBER(tblData[US])),(tblData[[#This Row],[US LogiP(t)]]-tblData[US])^2,"")</f>
        <v>48.820161223790969</v>
      </c>
      <c r="BD20" s="20">
        <f ca="1">IF(AND(tblData[Dates]&gt;=StartDt2US,ISNUMBER(tblData[[#This Row],[Days'# US]])),tblData[[#This Row],[US LogiP(t)]]/USPopscale,"")</f>
        <v>3.9053315357032528E-4</v>
      </c>
      <c r="BE20" s="126">
        <f ca="1">IF(AND(ISNUMBER(tblData[US]),tblData[Dates]&gt;StartDt2US),(tblData[US]-AVERAGE(tblData[US]))^2,"")</f>
        <v>50147441868.609093</v>
      </c>
      <c r="BF20" s="11">
        <f>tblData[[#This Row],[Dates]]-US100dt+1</f>
        <v>-43</v>
      </c>
      <c r="BG20" s="11">
        <f ca="1">IF(tblData[Dates]&gt;StartDt2SKorea,betaSKorea/(deltaSKorea+betaPodeltaSKorea*EXP(-betaSKorea*(tblData[Dates]-StartDt2SKorea))),"")</f>
        <v>25.360093098771156</v>
      </c>
      <c r="BH20" s="11">
        <f ca="1">IF(AND(tblData[Dates]&gt;StartDt2SKorea,ISNUMBER(tblData[SKorea])),(tblData[[#This Row],[SKorea LogiP(t)]]-tblData[[#This Row],[SKorea]])^2,"")</f>
        <v>206.21227380537496</v>
      </c>
      <c r="BI20" s="11">
        <f ca="1">IF(tblData[Dates]&gt;StartDt2SKorea,tblData[[#This Row],[SKorea LogiP(t)]]/SKoreaPopscale,"")</f>
        <v>4.9338702526792133</v>
      </c>
      <c r="BJ20" s="11">
        <f ca="1">IF(AND(ISNUMBER(tblData[SKorea]),tblData[Dates]&gt;StartDt2SKorea),(tblData[SKorea]-AVERAGE(tblData[SKorea]))^2,"")</f>
        <v>33795300.393694729</v>
      </c>
      <c r="BK20" s="11">
        <f>tblData[[#This Row],[Dates]]-SKorea100dt+1</f>
        <v>-22</v>
      </c>
      <c r="BL20" s="20">
        <f ca="1">IF(AND(tblData[Dates]&gt;StartDt2UK,ISNUMBER(tblData[Days'# UK])),betaUK/(deltaUK+betaPodeltaUK*EXP(-betaUK*tblData[Days'# UK])),"")</f>
        <v>0.10886335378996921</v>
      </c>
      <c r="BM20" s="11">
        <f ca="1">IF(AND(tblData[Dates]&gt;StartDt2UK,ISNUMBER(tblData[United Kingdom])),(tblData[[#This Row],[UK LogiP(t)]]-tblData[[#This Row],[United Kingdom]])^2,"")</f>
        <v>3.5763978146385229</v>
      </c>
      <c r="BN20" s="11">
        <f ca="1">IF(ISNUMBER(tblData[Days'# UK]),tblData[[#This Row],[UK LogiP(t)]]/UKPopscale,"")</f>
        <v>1.6385212791988141E-2</v>
      </c>
      <c r="BO20" s="126">
        <f ca="1">IF(AND(ISNUMBER(tblData[United Kingdom]),tblData[Dates]&gt;StartDt2UK),(tblData[United Kingdom]-AVERAGE(tblData[United Kingdom]))^2,"")</f>
        <v>1441343648.2988911</v>
      </c>
      <c r="BP20" s="11">
        <f>tblData[[#This Row],[Dates]]-UK100dt</f>
        <v>-41</v>
      </c>
      <c r="BQ20" s="11">
        <f ca="1">IF(ISNUMBER(tblData[Days'# China]),betaChina/(deltaChina+betaPodeltaChina*EXP(-betaChina*tblData[Days'# China])),"")</f>
        <v>10194.899103888245</v>
      </c>
      <c r="BR20" s="11">
        <f ca="1">IF(ISNUMBER(tblData[China]),(tblData[[#This Row],[China LogiP(t)]]-tblData[[#This Row],[China]])^2,"")</f>
        <v>154369.70583618595</v>
      </c>
      <c r="BS20" s="11">
        <f ca="1">tblData[[#This Row],[China LogiP(t)]]/ChinaPopscale</f>
        <v>70.831172762397586</v>
      </c>
      <c r="BT20" s="126">
        <f ca="1">IF(AND(ISNUMBER(tblData[China]),tblData[Dates]&gt;StartDt2China),(tblData[China]-AVERAGE(tblData[China]))^2,"")</f>
        <v>3295043629.6332188</v>
      </c>
      <c r="BU20" s="11">
        <f>tblData[[#This Row],[Dates]]-China100dt</f>
        <v>-2</v>
      </c>
      <c r="BV20" s="95">
        <f ca="1">IF(ISNUMBER(tblData[Day'# Singapore]),betaSingapore/(deltaSingapore+betaPodeltaSingapore*EXP(-betaSingapore*tblData[Day'# Singapore])),"")</f>
        <v>0.33364029058208916</v>
      </c>
      <c r="BW20" s="11">
        <f ca="1">IF(AND(ISNUMBER(tblData[Singapore]),tblData[Dates]&gt;=StartDt2Singapore),(tblData[[#This Row],[Singapore LogiP(t)]]-tblData[[#This Row],[Singapore]])^2,"")</f>
        <v>160.43666828836538</v>
      </c>
      <c r="BX20" s="20">
        <f ca="1">IF(ISNUMBER(tblData[Day'# Singapore]),tblData[Singapore LogiP(t)]/SingaporePopscale,"")</f>
        <v>0.57032528304630625</v>
      </c>
      <c r="BY20" s="95">
        <f ca="1">IF(AND(ISNUMBER(tblData[Singapore]),tblData[Dates]&gt;StartDt2Singapore),(tblData[Singapore]-AVERAGE(tblData[Singapore]))^2,"")</f>
        <v>5325958.940407536</v>
      </c>
      <c r="BZ20" s="11">
        <f>tblData[[#This Row],[Dates]]-Singapore100dt+1</f>
        <v>-13</v>
      </c>
      <c r="CA20" s="11" t="str">
        <f>IF(AND(tblData[Dates]&gt;StartDt2Generic,ISNUMBER(tblData[Day'# Generic])),betaGeneric/(deltaGeneric+betaPodeltaGeneric*EXP(-betaGeneric*tblData[Day'# Generic])),"")</f>
        <v/>
      </c>
      <c r="CB20" s="95" t="str">
        <f>IF(AND(ISNUMBER(tblData[Generic]),tblData[Dates]&gt;StartDt2Generic),(tblData[Generic LogiP(t)]-tblData[[#This Row],[Generic]])^2,"")</f>
        <v/>
      </c>
      <c r="CC20" s="11" t="str">
        <f>IF(AND(ISNUMBER(tblData[Day'# Generic]),tblData[Dates]&gt;StartDt2Generic),tblData[Generic LogiP(t)]/GenericPopscale,"")</f>
        <v/>
      </c>
      <c r="CD20" s="95" t="str">
        <f>IF(AND(ISNUMBER(tblData[Generic]),tblData[Dates]&gt;StartDt2Generic),(tblData[Generic]-AVERAGE(tblData[Generic]))^2,"")</f>
        <v/>
      </c>
      <c r="CE20" s="11">
        <f>tblData[[#This Row],[Dates]]-Generic100dt+1</f>
        <v>-41</v>
      </c>
      <c r="CF20"/>
      <c r="CG20" s="11"/>
      <c r="CH20" s="11" t="str">
        <f>IF(ISNUMBER(tblData[[#This Row],[Tests]]),tblData[[#This Row],[Tests]]-CH19,"")</f>
        <v/>
      </c>
      <c r="CI20" s="11" t="str">
        <f>IF(ISNUMBER(tblData[[#This Row],[NSW Under Investigation'']]),tblData[[#This Row],[NSW Under Investigation'']]-CG19,"")</f>
        <v/>
      </c>
      <c r="CJ20" s="11"/>
      <c r="CK20" s="11" t="str">
        <f>IF(AND(tblData[[#This Row],[NSW Test Day Number]]&gt;0,ISNUMBER(tblData[[#This Row],[NSW Test Day Number]])),betaTests/(deltaTests+betaPodeltaTests*EXP(-betaTests*tblData[[#This Row],[NSW Test Day Number]])),"")</f>
        <v/>
      </c>
      <c r="CL20" s="11" t="str">
        <f>IF(tblData[Tests]&gt;0,(tblData[[#This Row],[Tests]]-tblData[[#This Row],[NSW Test Logi]])^2,"")</f>
        <v/>
      </c>
      <c r="CM20" s="95" t="str">
        <f>IF(AND(ISNUMBER(tblData[Tests]),tblData[Dates]&gt;StartDt2Tests),(tblData[Tests]-AVERAGE(tblData[Tests]))^2,"")</f>
        <v/>
      </c>
      <c r="CN20" s="11" t="str">
        <f>IF(ISNUMBER(tblData[Tests]),tblData[Tests]/NSWpopscale/100,"")</f>
        <v/>
      </c>
      <c r="CO20" s="11" t="str">
        <f>IF(AND(tblData[[#This Row],[NSW Test Day Number]]&gt;0,ISNUMBER(tblData[[#This Row],[NSW Test Day Number]])),TestsLogestB*TestsLogestM^tblData[[#This Row],[NSW Test Day Number]],"")</f>
        <v/>
      </c>
      <c r="CP20" s="11" t="str">
        <f>IF(AND(tblData[[#This Row],[NSW Test Day Number]]&gt;0,ISNUMBER(tblData[Tests])),(tblData[Tests]-tblData[[#This Row],[NSW Test Per Capita]])^2,"")</f>
        <v/>
      </c>
      <c r="CQ20" s="20">
        <f ca="1">IF(AND(tblData[Day '# NSW]&gt;0,ISNUMBER(tblData[[#This Row],[Day '# NSW]])),NSWLogestB*NSWLogestM^tblData[[#This Row],[Day '# NSW]]/NSWpopscale,"")</f>
        <v>2.5236110639571208</v>
      </c>
      <c r="CR20" s="39">
        <f ca="1">IF(AND(ISNUMBER(tblData[NSW]),tblData[Dates]&gt;StartDt2NSW),(tblData[NSW]/NSWpopscale-tblData[[#This Row],[NSW Cases LogEst]])^2,"")</f>
        <v>5.8897658793085181</v>
      </c>
      <c r="CS20">
        <v>10</v>
      </c>
      <c r="CT20" s="19">
        <f>IF(ISNUMBER(tblData[Taiwan]),tblData[Taiwan]/TaiwanPopscale,"")</f>
        <v>4.2003954924379858</v>
      </c>
      <c r="CU20" s="11">
        <f ca="1">IF(tblData[[#This Row],[Dates]]&lt;StartDt2Taiwan,"",tblData[[#This Row],[Dates]]-TaiwanStart)</f>
        <v>9</v>
      </c>
      <c r="CV20" s="19">
        <f ca="1">IF(AND(tblData[Dates]&gt;StartDt2Taiwan,ISNUMBER(tblData[Days'# Taiwan])),betaTaiwan/(deltaTaiwan+betaPodeltaTaiwan*EXP(-betaTaiwan*tblData[Days'# Taiwan])),"")</f>
        <v>0.16085279525058957</v>
      </c>
      <c r="CW20" s="95">
        <f ca="1">IF(AND(tblData[Dates]&gt;StartDt2Taiwan,ISNUMBER(tblData[Taiwan])),(tblData[[#This Row],[Taiwan LogiP(t)]]-tblData[[#This Row],[Taiwan]])^2,"")</f>
        <v>96.808817716728143</v>
      </c>
      <c r="CX20" s="20">
        <f ca="1">IF(AND(tblData[Dates]&gt;StartDt2Taiwan,ISNUMBER(tblData[Days'# Taiwan])),tblData[[#This Row],[Taiwan LogiP(t)]]/TaiwanPopscale,"")</f>
        <v>6.7564535611662674E-2</v>
      </c>
      <c r="CY20" s="95">
        <f ca="1">IF(AND(ISNUMBER(tblData[Taiwan]),tblData[Dates]&gt;StartDt2Taiwan),(tblData[Taiwan]-AVERAGE(tblData[Taiwan]))^2,"")</f>
        <v>25455.889657823918</v>
      </c>
      <c r="CZ20" s="11">
        <f>tblData[[#This Row],[Dates]]-Taiwan100dt+1</f>
        <v>-54</v>
      </c>
      <c r="DA20"/>
      <c r="DB20" s="20" t="str">
        <f>IF(ISNUMBER(tblData[NZ]),tblData[NZ]/NZPopscale,"")</f>
        <v/>
      </c>
      <c r="DC20" s="11" t="str">
        <f ca="1">IF(tblData[[#This Row],[Dates]]&lt;StartDt2NZ,"",tblData[[#This Row],[Dates]]-NZStart)</f>
        <v/>
      </c>
      <c r="DD20" s="20" t="str">
        <f ca="1">IF(AND(tblData[Dates]&gt;StartDt2NZ,ISNUMBER(tblData[Days'# NZ])),betaNZ/(deltaNZ+betaPodeltaNZ*EXP(-betaNZ*tblData[Days'# NZ])),"")</f>
        <v/>
      </c>
      <c r="DE20" s="95" t="str">
        <f ca="1">IF(AND(tblData[Dates]&gt;StartDt2NZ,ISNUMBER(tblData[NZ])),(tblData[[#This Row],[NZ LogiP(t)]]-tblData[[#This Row],[NZ]])^2,"")</f>
        <v/>
      </c>
      <c r="DF20" s="20" t="str">
        <f ca="1">IF(AND(tblData[Dates]&gt;StartDt2NZ,ISNUMBER(tblData[Days'# NZ])),tblData[[#This Row],[NZ LogiP(t)]]/NZPopscale,"")</f>
        <v/>
      </c>
      <c r="DG20" s="95" t="str">
        <f ca="1">IF(AND(ISNUMBER(tblData[NZ]),tblData[Dates]&gt;StartDt2NZ),(tblData[NZ]-AVERAGE(tblData[NZ]))^2,"")</f>
        <v/>
      </c>
      <c r="DH20" s="11">
        <f>tblData[[#This Row],[Dates]]-NZ100dt+1</f>
        <v>-50</v>
      </c>
      <c r="DI20" s="39"/>
      <c r="DJ20" s="11"/>
      <c r="DK20" s="26"/>
      <c r="DL20" s="25" t="str">
        <f>GenName</f>
        <v>Ireland</v>
      </c>
      <c r="DM20" s="154">
        <v>43954.724328703705</v>
      </c>
      <c r="DN20" s="62">
        <f>INDEX(tblPopulation[Day 0],MATCH($DL20,tblPopulation[Country],0),1)</f>
        <v>43890</v>
      </c>
      <c r="DO20" s="62">
        <f>INDEX(tblPopulation[Logistic Start2],MATCH(tblRuns[[#This Row],[Place]],tblPopulation[Country],0),1)</f>
        <v>43890</v>
      </c>
      <c r="DP20" s="25">
        <v>9</v>
      </c>
      <c r="DQ20" s="44">
        <v>0.12928194698289414</v>
      </c>
      <c r="DR20" s="71">
        <v>5.086356477397043E-6</v>
      </c>
      <c r="DS20" s="71">
        <v>61.268714606254619</v>
      </c>
      <c r="DT20" s="23">
        <f>betaGeneric/deltaGeneric</f>
        <v>25417.398005311363</v>
      </c>
      <c r="DU20" s="21">
        <f>SQRT(SUM(tblData[Generic Sq Err])/COUNT(tblData[Generic Sq Err]))</f>
        <v>565.12885677031045</v>
      </c>
      <c r="DV20" s="159">
        <f>1-(SUM(tblData[Generic Sq Err])/SUM(tblData[Generic Mean Devn Sq]))</f>
        <v>0.99413321200032123</v>
      </c>
      <c r="DW20" s="73">
        <f>(tblRuns[b]/tblRuns[Po])-tblRuns[d]</f>
        <v>2.1049945847293632E-3</v>
      </c>
      <c r="DX20" s="73">
        <f>tblRuns[d]*1000</f>
        <v>5.0863564773970431E-3</v>
      </c>
      <c r="DY20" s="26">
        <f t="array" ref="DY20">MAX(IF(ISNUMBER(tblData[Generic]),tblData[Dates]))</f>
        <v>43953</v>
      </c>
      <c r="DZ20" s="26" t="str">
        <f>Cengnotation(tblRuns[[#This Row],[Asymptote b/d]],3)</f>
        <v>25.4 k</v>
      </c>
      <c r="EA20" s="95">
        <f>MAX(tblData[Generic LogiP(t)])</f>
        <v>25416.092010920031</v>
      </c>
      <c r="EB20" s="25">
        <f t="array" ref="EB20">MAX(tblData[Generic])</f>
        <v>21176</v>
      </c>
      <c r="EC20" s="25" t="str">
        <f>Cengnotation(tblRuns[[#This Row],[Asymptote b/d]]/(GenericPop/PerPerson),3)</f>
        <v>51.9 k</v>
      </c>
      <c r="ED20" s="26">
        <f t="array" ref="ED20">MAX(IF(ISNUMBER(tblData[Generic]),tblData[Dates]))</f>
        <v>43953</v>
      </c>
      <c r="EE20" s="11">
        <f t="array" ref="EE20">COUNT(IF(ISNUMBER(tblData[Generic]),tblData[Dates]))</f>
        <v>65</v>
      </c>
      <c r="EF20" s="26" t="str">
        <f>"b="&amp;TEXT(tblRuns[b],"##0.###")&amp;", d="&amp;TEXT(tblRuns[d],"0.00E+00")&amp;", P0="&amp;TEXT(Po,"#.###")&amp; ", r2=" &amp;TEXT(tblRuns[[#This Row],[R2]],"0.####") &amp;", Limit="&amp;IF(PopScaling=0,tblRuns[Asymptote b/d],tblRuns[[#This Row],[Asymp PerP]])&amp;"=&gt;"&amp;Cengnotation(tblRuns[[#This Row],[Limit Cases]],3)&amp;" cases "&amp;tblRuns[[#This Row],[Notes]]</f>
        <v xml:space="preserve">b=0.129, d=5.09E-06, P0=.639, r2=0.9941, Limit=51.9 k=&gt;25.4 k cases </v>
      </c>
      <c r="EG20" s="25"/>
      <c r="EH20" s="25" t="str">
        <f>tblRuns[Place]&amp;" Limit " &amp; IF(PopScaling=0,tblRuns[[#This Row],[Asymptote]],tblRuns[[#This Row],[Asymp PerP]])&amp;" r^2="&amp;TEXT(tblRuns[[#This Row],[R2]]*100,"##.00")&amp;"%"</f>
        <v>Ireland Limit 51.9 k r^2=99.41%</v>
      </c>
      <c r="EJ20" s="18" t="str">
        <f>"COVID19 "&amp;tblRuns[[#This Row],[Place]] &amp; " " &amp;LogFormula&amp;CHAR(10)&amp;tblRuns[[#This Row],[Parameter List]]&amp;CHAR(10)&amp;" (Fit: " &amp; TEXT(tblRuns[Logistic Start2],"ddd dd-mmm") &amp; " - " &amp; TEXT(tblRuns[Last Date],"ddd dd-mmm")&amp;")"</f>
        <v>COVID19 Ireland P(t) = b / {d+[( b/Po - d ) ]* exp(-b*t)}
b=0.129, d=5.09E-06, P0=.639, r2=0.9941, Limit=51.9 k=&gt;25.4 k cases 
 (Fit: Sat 29-Feb - Sat 02-May)</v>
      </c>
      <c r="EK20" s="11">
        <f t="array" ref="EK20">MAX(tblData[Generic Cases Per Capita])</f>
        <v>43216.326530612248</v>
      </c>
      <c r="EL20" s="156">
        <f>IF(tblRuns[[#This Row],[Max Cases Per Capita]]&gt;NSWMaxCasespc,INDEX(tblData[Dates],1+MATCH(NSWMaxCasespc,tblData[Generic Cases Per Capita],1)),INDEX(tblData[Dates],1+MATCH(tblRuns[[#This Row],[Max Cases Per Capita]],tblData[NSW Cases per Capita],1)))</f>
        <v>43917</v>
      </c>
      <c r="EM20" s="11">
        <f>IF(tblRuns[[#This Row],[Max Cases Per Capita]]&gt;NSWMaxCasespc,1,-1)*(DY$12-tblRuns[[#This Row],[Date of NSW Case Match]])</f>
        <v>37</v>
      </c>
      <c r="EN20" s="26">
        <f>IF(EK20&gt;AuMaxCasespc,INDEX(tblData[Dates],1+MATCH(AuMaxCasespc,tblData[Generic Cases Per Capita],1)),INDEX(tblData[Dates],1+MATCH(EK20,tblData[Au Cases Per Capita],1)))</f>
        <v>43914</v>
      </c>
      <c r="EO20" s="11">
        <f>IF(tblRuns[[#This Row],[Max Cases Per Capita]]&gt;AuMaxCasespc,1,-1)*(DY$13-tblRuns[[#This Row],[Date of AUS Case Match]]+1)</f>
        <v>40</v>
      </c>
      <c r="EP20" s="25"/>
      <c r="EQ20" s="11">
        <f>INDEX(tblData[Generic LogiP(t)],MATCH(VALUE(tblRuns[AtDate])+7,tblData[Dates],1))</f>
        <v>23718.672006680001</v>
      </c>
      <c r="ER20" s="19">
        <f>tblRuns[Mean Sq Err]/tblRuns[Max Cases Per Capita]</f>
        <v>1.3076744419033439E-2</v>
      </c>
      <c r="ES20" s="132">
        <f>IF(MIN(tblData[Generic Cases Per Capita])&gt;1000,MIN(tblData[Dates]),INDEX(tblData[Dates],1+MATCH(solvMsgs!MinCases, tblData[Generic Cases Per Capita],1)))</f>
        <v>43903</v>
      </c>
      <c r="ET20" s="133" t="str">
        <f>GenName&amp;" from "&amp;TEXT(Au100dt,"dd-mmm")</f>
        <v>Ireland from 15-Mar</v>
      </c>
      <c r="EU20" s="163">
        <f>INDEX(tblData[Generic LogiP(t)],MATCH(tblRuns[[#This Row],[Last Date]]+1,tblData[Dates],0))-INDEX(tblData[Generic],MATCH(tblRuns[[#This Row],[Last Date]],tblData[Dates],0))</f>
        <v>1814.6558562980754</v>
      </c>
      <c r="EV20" s="102" t="s">
        <v>1068</v>
      </c>
      <c r="EW20" s="102" t="s">
        <v>1068</v>
      </c>
      <c r="EX20" s="26" t="str">
        <f>SUBSTITUTE(tblRuns[[#This Row],[ChartLabel]]," since " &amp; solvMsgs!MinCases,"")</f>
        <v>COVID19 Ireland P(t) = b / {d+[( b/Po - d ) ]* exp(-b*t)}
b=0.129, d=5.09E-06, P0=.639, r2=0.9941, Limit=51.9 k=&gt;25.4 k cases 
 (Fit: Sat 29-Feb - Sat 02-May)</v>
      </c>
      <c r="EY20" s="102"/>
      <c r="EZ20" s="102"/>
      <c r="FA20" s="102"/>
      <c r="FD20" s="134"/>
      <c r="FF20"/>
      <c r="FG20"/>
      <c r="FH20"/>
      <c r="FI20" s="26">
        <f>FI16+14</f>
        <v>43868</v>
      </c>
      <c r="FJ20" s="39">
        <v>10000000</v>
      </c>
      <c r="FK20"/>
      <c r="FM20"/>
      <c r="FN20"/>
      <c r="FO20" s="265" t="s">
        <v>48</v>
      </c>
      <c r="FP20" s="250">
        <v>43913.58153935185</v>
      </c>
      <c r="FQ20" s="156">
        <v>43855</v>
      </c>
      <c r="FR20" s="26">
        <v>43855</v>
      </c>
      <c r="FS20" s="211">
        <v>0</v>
      </c>
      <c r="FT20" s="25">
        <v>0.21033404791007332</v>
      </c>
      <c r="FU20" s="71">
        <v>1.2749579930545968E-6</v>
      </c>
      <c r="FV20" s="21">
        <v>8.3106214710478091E-3</v>
      </c>
      <c r="FW20" s="212">
        <v>164973.31602757072</v>
      </c>
      <c r="FX20" s="212">
        <v>11.681151162686668</v>
      </c>
      <c r="FY20" s="212"/>
      <c r="FZ20" s="213">
        <v>25.309062390476196</v>
      </c>
      <c r="GA20" s="213">
        <v>1.2749579930545968E-3</v>
      </c>
      <c r="GB20" s="156">
        <v>43913</v>
      </c>
      <c r="GC20" s="25" t="s">
        <v>958</v>
      </c>
      <c r="GD20" s="212">
        <v>164973.31602757072</v>
      </c>
      <c r="GE20" s="212">
        <v>1619</v>
      </c>
      <c r="GF20" s="25" t="s">
        <v>959</v>
      </c>
      <c r="GG20" s="156">
        <v>43913</v>
      </c>
      <c r="GH20" s="25">
        <v>59</v>
      </c>
      <c r="GI20" s="25" t="s">
        <v>960</v>
      </c>
      <c r="GJ20" s="25"/>
      <c r="GK20" s="25" t="s">
        <v>961</v>
      </c>
      <c r="GM20" s="25" t="s">
        <v>962</v>
      </c>
      <c r="GN20" s="20">
        <v>638.3062608421385</v>
      </c>
      <c r="GO20" s="156"/>
      <c r="GP20" s="218"/>
      <c r="GQ20" s="156"/>
      <c r="GR20" s="25"/>
      <c r="GS20" s="25" t="s">
        <v>957</v>
      </c>
      <c r="GT20" s="11"/>
      <c r="GU20" s="12"/>
      <c r="GV20" s="26"/>
      <c r="GX20" s="219"/>
      <c r="HK20" s="164">
        <v>43905</v>
      </c>
      <c r="HL20" s="60">
        <v>43905.458333333336</v>
      </c>
      <c r="HM20">
        <v>134</v>
      </c>
      <c r="HN20">
        <v>20511</v>
      </c>
      <c r="HQ20" t="str">
        <f>IF(ISNUMBER(tblNSWKnown[[#This Row],[Unknown Locally]]),tblNSWKnown[[#This Row],[Known Locally]]+tblNSWKnown[[#This Row],[Unknown Locally]],"")</f>
        <v/>
      </c>
      <c r="HR20" s="25"/>
      <c r="HS20" t="str">
        <f>IF(ISNUMBER(tblNSWKnown[[#This Row],[Day '# NSW Unknown]]),betaNSWUnknown/(deltaNSWUnknown+betaPodeltaNSWUnknown*EXP(-betaNSWUnknown*tblNSWKnown[Day '# NSW Unknown])),"")</f>
        <v/>
      </c>
      <c r="HT20" t="str">
        <f>IF(ISNUMBER(tblNSWKnown[[#This Row],[Total Local]]),(tblNSWKnown[[#This Row],[Total Local]]-tblNSWKnown[[#This Row],[NSW Unknown Logi P(t)]])^2,"")</f>
        <v/>
      </c>
      <c r="HU20" s="166" t="str">
        <f>IF(ISNUMBER(tblNSWKnown[Total Local]),(tblNSWKnown[Total Local]-AVERAGE(tblNSWKnown[Total Local]))^2,"")</f>
        <v/>
      </c>
      <c r="HV20" s="166"/>
    </row>
    <row r="21" spans="2:230" ht="15" customHeight="1" x14ac:dyDescent="0.25">
      <c r="B21" s="26">
        <v>43862</v>
      </c>
      <c r="C21">
        <v>0</v>
      </c>
      <c r="D21" s="25">
        <v>0</v>
      </c>
      <c r="E21">
        <v>4</v>
      </c>
      <c r="F21">
        <v>0</v>
      </c>
      <c r="G21">
        <v>3</v>
      </c>
      <c r="H21">
        <v>1</v>
      </c>
      <c r="I21">
        <v>0</v>
      </c>
      <c r="J21">
        <v>4</v>
      </c>
      <c r="K21">
        <v>0</v>
      </c>
      <c r="L21" s="11">
        <f>IF(ISNUMBER(tblData[[#This Row],[NSW]]),tblData[[#This Row],[New South Wales]]/NSWpopscale,"")</f>
        <v>4.9504950495049505</v>
      </c>
      <c r="M21">
        <v>2</v>
      </c>
      <c r="N21" s="20">
        <f>IF(ISNUMBER(tblData[Italy]),tblData[Italy]/ItalyPopscale,"")</f>
        <v>0.33066049433743905</v>
      </c>
      <c r="O21">
        <v>8</v>
      </c>
      <c r="P21" s="20">
        <f>IF(ISNUMBER(tblData[US]),tblData[US]/USPopscale,"")</f>
        <v>0.2429928855388756</v>
      </c>
      <c r="Q21">
        <v>12</v>
      </c>
      <c r="R21" s="20">
        <f>IF(ISNUMBER(tblData[SKorea]),tblData[SKorea]/SKoreaPopscale,"")</f>
        <v>2.3346303501945527</v>
      </c>
      <c r="S21">
        <v>2</v>
      </c>
      <c r="T21" s="20">
        <f>IF(ISNUMBER(tblData[United Kingdom]),tblData[United Kingdom]/UKPopscale,"")</f>
        <v>0.30102347983142685</v>
      </c>
      <c r="U21">
        <v>11891</v>
      </c>
      <c r="V21" s="20">
        <f>IF(ISNUMBER(tblData[China]),tblData[China]/ChinaPopscale,"")</f>
        <v>82.615184979755384</v>
      </c>
      <c r="W21" s="25">
        <f ca="1">IF(tblData[[#This Row],[Dates]]&lt;StartDt2China,"",tblData[[#This Row],[Dates]]-ChinaStart)</f>
        <v>10</v>
      </c>
      <c r="X21">
        <v>16</v>
      </c>
      <c r="Y21" s="20">
        <f>IF(ISNUMBER(tblData[Singapore]),tblData[Singapore]/SingaporePopscale,"")</f>
        <v>27.350427350427353</v>
      </c>
      <c r="Z21"/>
      <c r="AA21" s="20" t="str">
        <f>IF(AND(LEN(tblData[Generic])&gt;0,ISNUMBER(tblData[Generic])),tblData[Generic]/GenericPopscale,"")</f>
        <v/>
      </c>
      <c r="AB21" s="25">
        <f ca="1">IF(tblData[[#This Row],[Dates]]&lt;StartDt2Italy,"",tblData[[#This Row],[Dates]]-ItalyStart)</f>
        <v>2</v>
      </c>
      <c r="AC21" s="25">
        <f ca="1">IF(tblData[[#This Row],[Dates]]&lt;=StartDt2US,"",tblData[[#This Row],[Dates]]-USStart)</f>
        <v>10</v>
      </c>
      <c r="AD21" s="25">
        <f>IF(tblData[[#This Row],[Dates]]&lt;=SKoreaStart,"",tblData[[#This Row],[Dates]]-SKoreaStart)</f>
        <v>10</v>
      </c>
      <c r="AE21" s="25">
        <f ca="1">IF(tblData[[#This Row],[Dates]]&lt;=StartDt2UK,"",tblData[[#This Row],[Dates]]-UKStart)</f>
        <v>2</v>
      </c>
      <c r="AF21" s="25">
        <f ca="1">IF(tblData[[#This Row],[Dates]]&lt;StartDt2Singapore,"",tblData[[#This Row],[Dates]]-SingaporeStart)</f>
        <v>9</v>
      </c>
      <c r="AG21" s="25" t="str">
        <f>IF(tblData[[#This Row],[Dates]]&lt;StartDt2Generic,"",tblData[[#This Row],[Dates]]-GenericStart)</f>
        <v/>
      </c>
      <c r="AH21">
        <f ca="1">IF(tblData[Dates]&gt;StartDt2Au,tblData[Dates]-AuStart,"")</f>
        <v>7</v>
      </c>
      <c r="AI21" s="25">
        <f>IF(AND(COUNTBLANK(tblData[[#This Row],[Australian Capital Territory]:[Western Australia]])&lt;1,tblData[New South Wales]&gt;=0),SUM(tblData[[#This Row],[Australian Capital Territory]:[Western Australia]]),"")</f>
        <v>12</v>
      </c>
      <c r="AJ21" s="12">
        <f>IF(ISNUMBER(tblData[Au]),tblData[Au]/AuPopScale,"")</f>
        <v>4.731114966093676</v>
      </c>
      <c r="AK21" s="19">
        <f ca="1">IF(ISNUMBER(tblData[[#This Row],[Day'# Aust]]),betaAu/(deltaAu+betaPodeltaAu*EXP(-betaAu*tblData[[#This Row],[Day'# Aust]])),"")</f>
        <v>2.2848022187209882E-2</v>
      </c>
      <c r="AL21" s="57">
        <f ca="1">IF(ISNUMBER(tblData[Day'# Aust]),tblData[Au LogiP(t)]/AuPopScale,"")</f>
        <v>9.0080516429624207E-3</v>
      </c>
      <c r="AM21" s="11">
        <f ca="1">IF(AND(tblData[Dates]&gt;StartDt2Au,ISNUMBER(tblData[Au])),(tblData[[#This Row],[Au LogiP(t)]]-tblData[[#This Row],[Au]])^2,"")</f>
        <v>143.45216949962483</v>
      </c>
      <c r="AN21" s="11">
        <f ca="1">IF(AND(ISNUMBER(tblData[Au]),tblData[Dates]&gt;StartDt2Au),(tblData[Au]-AVERAGE(tblData[Au]))^2,"")</f>
        <v>5938042.9760999996</v>
      </c>
      <c r="AO21" s="11">
        <f>tblData[[#This Row],[Dates]]-Au100dt</f>
        <v>-43</v>
      </c>
      <c r="AP21">
        <f ca="1">IF(tblData[Dates]&gt;StartDt2NSW,tblData[Dates]-StartDt2NSW,"")</f>
        <v>7</v>
      </c>
      <c r="AQ21" s="25">
        <f>IF(tblData[[#This Row],[New South Wales]]&gt;0,tblData[[#This Row],[New South Wales]],"")</f>
        <v>4</v>
      </c>
      <c r="AR21" s="44">
        <f ca="1">IF(tblData[Dates]&gt;StartDt2NSW,betaNSW/(deltaNSW+betaPodeltaNSW*EXP(-betaNSW*tblData[[#This Row],[Day '# NSW]])),"")</f>
        <v>6.367920888142157E-3</v>
      </c>
      <c r="AS21" s="12">
        <f ca="1">IF(AND(ISNUMBER(tblData[NSW]),tblData[Dates]&gt;StartDt2NSW),(tblData[[#This Row],[NSW LogiP(t)]]-tblData[[#This Row],[NSW]])^2,"")</f>
        <v>15.9490971833113</v>
      </c>
      <c r="AT21" s="12">
        <f ca="1">IF(AND(tblData[Dates]&gt;StartDt2NSW,ISNUMBER(tblData[Day'# Aust])),tblData[NSW LogiP(t)]/NSWpopscale,"")</f>
        <v>7.8810902080967277E-3</v>
      </c>
      <c r="AU21" s="11">
        <f>tblData[[#This Row],[Dates]]-NSW100dt+1</f>
        <v>-40</v>
      </c>
      <c r="AV21" s="11">
        <f ca="1">IF(AND(ISNUMBER(tblData[NSW]),tblData[Dates]&gt;StartDt2NSW),(tblData[NSW]-AVERAGE(tblData[NSW]))^2,"")</f>
        <v>1188666.8676</v>
      </c>
      <c r="AW21" s="19">
        <f ca="1">IF(AND(tblData[Dates]&gt;StartDt2Italy,ISNUMBER(tblData[Days'# Italy])),betaItaly/(deltaItaly+betaPodeltaItaly*EXP(-betaItaly*tblData[Days'# Italy])),"")</f>
        <v>0.73485983532207977</v>
      </c>
      <c r="AX21" s="11">
        <f ca="1">IF(AND(tblData[Dates]&gt;StartDt2Italy,ISNUMBER(tblData[Italy])),(tblData[[#This Row],[Italy LogiP(t)]]-tblData[[#This Row],[Italy]])^2,"")</f>
        <v>1.6005796362812754</v>
      </c>
      <c r="AY21" s="20">
        <f ca="1">IF(AND(tblData[Dates]&gt;StartDt2Italy,ISNUMBER(tblData[Days'# Italy])),tblData[[#This Row],[Italy LogiP(t)]]/ItalyPopscale,"")</f>
        <v>0.12149455820816397</v>
      </c>
      <c r="AZ21" s="39">
        <f ca="1">IF(AND(ISNUMBER(tblData[Italy]),tblData[Dates]&gt;StartDt2Italy),(tblData[Italy]-AVERAGE(tblData[Italy]))^2,"")</f>
        <v>4864589101.9421673</v>
      </c>
      <c r="BA21" s="11">
        <f>tblData[[#This Row],[Dates]]-Italy100dt+1</f>
        <v>-25</v>
      </c>
      <c r="BB21" s="11">
        <f ca="1">IF(AND(tblData[Dates]&gt;StartDt2US,ISNUMBER(tblData[[#This Row],[Days'# US]])),betaUS/(deltaUS+betaPodeltaUS*EXP(-betaUS*tblData[Days'# US])),"")</f>
        <v>1.707629726070951E-2</v>
      </c>
      <c r="BC21" s="11">
        <f ca="1">IF(AND(tblData[Dates]&gt;StartDt2US,ISNUMBER(tblData[US])),(tblData[[#This Row],[US LogiP(t)]]-tblData[US])^2,"")</f>
        <v>63.727070843756778</v>
      </c>
      <c r="BD21" s="20">
        <f ca="1">IF(AND(tblData[Dates]&gt;=StartDt2US,ISNUMBER(tblData[[#This Row],[Days'# US]])),tblData[[#This Row],[US LogiP(t)]]/USPopscale,"")</f>
        <v>5.1867734321242511E-4</v>
      </c>
      <c r="BE21" s="126">
        <f ca="1">IF(AND(ISNUMBER(tblData[US]),tblData[Dates]&gt;StartDt2US),(tblData[US]-AVERAGE(tblData[US]))^2,"")</f>
        <v>50146993997.118896</v>
      </c>
      <c r="BF21" s="11">
        <f>tblData[[#This Row],[Dates]]-US100dt+1</f>
        <v>-42</v>
      </c>
      <c r="BG21" s="11">
        <f ca="1">IF(tblData[Dates]&gt;StartDt2SKorea,betaSKorea/(deltaSKorea+betaPodeltaSKorea*EXP(-betaSKorea*(tblData[Dates]-StartDt2SKorea))),"")</f>
        <v>30.265706601286308</v>
      </c>
      <c r="BH21" s="11">
        <f ca="1">IF(AND(tblData[Dates]&gt;StartDt2SKorea,ISNUMBER(tblData[SKorea])),(tblData[[#This Row],[SKorea LogiP(t)]]-tblData[[#This Row],[SKorea]])^2,"")</f>
        <v>333.63603764427421</v>
      </c>
      <c r="BI21" s="11">
        <f ca="1">IF(tblData[Dates]&gt;StartDt2SKorea,tblData[[#This Row],[SKorea LogiP(t)]]/SKoreaPopscale,"")</f>
        <v>5.8882697667872197</v>
      </c>
      <c r="BJ21" s="11">
        <f ca="1">IF(AND(ISNUMBER(tblData[SKorea]),tblData[Dates]&gt;StartDt2SKorea),(tblData[SKorea]-AVERAGE(tblData[SKorea]))^2,"")</f>
        <v>33783674.648596689</v>
      </c>
      <c r="BK21" s="11">
        <f>tblData[[#This Row],[Dates]]-SKorea100dt+1</f>
        <v>-21</v>
      </c>
      <c r="BL21" s="20">
        <f ca="1">IF(AND(tblData[Dates]&gt;StartDt2UK,ISNUMBER(tblData[Days'# UK])),betaUK/(deltaUK+betaPodeltaUK*EXP(-betaUK*tblData[Days'# UK])),"")</f>
        <v>0.13473379399817287</v>
      </c>
      <c r="BM21" s="11">
        <f ca="1">IF(AND(tblData[Dates]&gt;StartDt2UK,ISNUMBER(tblData[United Kingdom])),(tblData[[#This Row],[UK LogiP(t)]]-tblData[[#This Row],[United Kingdom]])^2,"")</f>
        <v>3.4792180192524511</v>
      </c>
      <c r="BN21" s="11">
        <f ca="1">IF(ISNUMBER(tblData[Days'# UK]),tblData[[#This Row],[UK LogiP(t)]]/UKPopscale,"")</f>
        <v>2.0279017760110304E-2</v>
      </c>
      <c r="BO21" s="126">
        <f ca="1">IF(AND(ISNUMBER(tblData[United Kingdom]),tblData[Dates]&gt;StartDt2UK),(tblData[United Kingdom]-AVERAGE(tblData[United Kingdom]))^2,"")</f>
        <v>1441343648.2988911</v>
      </c>
      <c r="BP21" s="11">
        <f>tblData[[#This Row],[Dates]]-UK100dt</f>
        <v>-40</v>
      </c>
      <c r="BQ21" s="11">
        <f ca="1">IF(ISNUMBER(tblData[Days'# China]),betaChina/(deltaChina+betaPodeltaChina*EXP(-betaChina*tblData[Days'# China])),"")</f>
        <v>12336.081757425529</v>
      </c>
      <c r="BR21" s="11">
        <f ca="1">IF(ISNUMBER(tblData[China]),(tblData[[#This Row],[China LogiP(t)]]-tblData[[#This Row],[China]])^2,"")</f>
        <v>198097.7707929973</v>
      </c>
      <c r="BS21" s="11">
        <f ca="1">tblData[[#This Row],[China LogiP(t)]]/ChinaPopscale</f>
        <v>85.707482660423508</v>
      </c>
      <c r="BT21" s="126">
        <f ca="1">IF(AND(ISNUMBER(tblData[China]),tblData[Dates]&gt;StartDt2China),(tblData[China]-AVERAGE(tblData[China]))^2,"")</f>
        <v>3059580028.5155716</v>
      </c>
      <c r="BU21" s="11">
        <f>tblData[[#This Row],[Dates]]-China100dt</f>
        <v>-1</v>
      </c>
      <c r="BV21" s="95">
        <f ca="1">IF(ISNUMBER(tblData[Day'# Singapore]),betaSingapore/(deltaSingapore+betaPodeltaSingapore*EXP(-betaSingapore*tblData[Day'# Singapore])),"")</f>
        <v>0.37829233708489512</v>
      </c>
      <c r="BW21" s="11">
        <f ca="1">IF(AND(ISNUMBER(tblData[Singapore]),tblData[Dates]&gt;=StartDt2Singapore),(tblData[[#This Row],[Singapore LogiP(t)]]-tblData[[#This Row],[Singapore]])^2,"")</f>
        <v>244.03775030558052</v>
      </c>
      <c r="BX21" s="20">
        <f ca="1">IF(ISNUMBER(tblData[Day'# Singapore]),tblData[Singapore LogiP(t)]/SingaporePopscale,"")</f>
        <v>0.64665356766648741</v>
      </c>
      <c r="BY21" s="95">
        <f ca="1">IF(AND(ISNUMBER(tblData[Singapore]),tblData[Dates]&gt;StartDt2Singapore),(tblData[Singapore]-AVERAGE(tblData[Singapore]))^2,"")</f>
        <v>5312121.1168781249</v>
      </c>
      <c r="BZ21" s="11">
        <f>tblData[[#This Row],[Dates]]-Singapore100dt+1</f>
        <v>-12</v>
      </c>
      <c r="CA21" s="11" t="str">
        <f>IF(AND(tblData[Dates]&gt;StartDt2Generic,ISNUMBER(tblData[Day'# Generic])),betaGeneric/(deltaGeneric+betaPodeltaGeneric*EXP(-betaGeneric*tblData[Day'# Generic])),"")</f>
        <v/>
      </c>
      <c r="CB21" s="95" t="str">
        <f>IF(AND(ISNUMBER(tblData[Generic]),tblData[Dates]&gt;StartDt2Generic),(tblData[Generic LogiP(t)]-tblData[[#This Row],[Generic]])^2,"")</f>
        <v/>
      </c>
      <c r="CC21" s="11" t="str">
        <f>IF(AND(ISNUMBER(tblData[Day'# Generic]),tblData[Dates]&gt;StartDt2Generic),tblData[Generic LogiP(t)]/GenericPopscale,"")</f>
        <v/>
      </c>
      <c r="CD21" s="95" t="str">
        <f>IF(AND(ISNUMBER(tblData[Generic]),tblData[Dates]&gt;StartDt2Generic),(tblData[Generic]-AVERAGE(tblData[Generic]))^2,"")</f>
        <v/>
      </c>
      <c r="CE21" s="11">
        <f>tblData[[#This Row],[Dates]]-Generic100dt+1</f>
        <v>-40</v>
      </c>
      <c r="CF21"/>
      <c r="CG21" s="11"/>
      <c r="CH21" s="11" t="str">
        <f>IF(ISNUMBER(tblData[[#This Row],[Tests]]),tblData[[#This Row],[Tests]]-CH20,"")</f>
        <v/>
      </c>
      <c r="CI21" s="11" t="str">
        <f>IF(ISNUMBER(tblData[[#This Row],[NSW Under Investigation'']]),tblData[[#This Row],[NSW Under Investigation'']]-CG20,"")</f>
        <v/>
      </c>
      <c r="CJ21" s="11"/>
      <c r="CK21" s="11" t="str">
        <f>IF(AND(tblData[[#This Row],[NSW Test Day Number]]&gt;0,ISNUMBER(tblData[[#This Row],[NSW Test Day Number]])),betaTests/(deltaTests+betaPodeltaTests*EXP(-betaTests*tblData[[#This Row],[NSW Test Day Number]])),"")</f>
        <v/>
      </c>
      <c r="CL21" s="11" t="str">
        <f>IF(tblData[Tests]&gt;0,(tblData[[#This Row],[Tests]]-tblData[[#This Row],[NSW Test Logi]])^2,"")</f>
        <v/>
      </c>
      <c r="CM21" s="95" t="str">
        <f>IF(AND(ISNUMBER(tblData[Tests]),tblData[Dates]&gt;StartDt2Tests),(tblData[Tests]-AVERAGE(tblData[Tests]))^2,"")</f>
        <v/>
      </c>
      <c r="CN21" s="11" t="str">
        <f>IF(ISNUMBER(tblData[Tests]),tblData[Tests]/NSWpopscale/100,"")</f>
        <v/>
      </c>
      <c r="CO21" s="11" t="str">
        <f>IF(AND(tblData[[#This Row],[NSW Test Day Number]]&gt;0,ISNUMBER(tblData[[#This Row],[NSW Test Day Number]])),TestsLogestB*TestsLogestM^tblData[[#This Row],[NSW Test Day Number]],"")</f>
        <v/>
      </c>
      <c r="CP21" s="11" t="str">
        <f>IF(AND(tblData[[#This Row],[NSW Test Day Number]]&gt;0,ISNUMBER(tblData[Tests])),(tblData[Tests]-tblData[[#This Row],[NSW Test Per Capita]])^2,"")</f>
        <v/>
      </c>
      <c r="CQ21" s="20">
        <f ca="1">IF(AND(tblData[Day '# NSW]&gt;0,ISNUMBER(tblData[[#This Row],[Day '# NSW]])),NSWLogestB*NSWLogestM^tblData[[#This Row],[Day '# NSW]]/NSWpopscale,"")</f>
        <v>2.7783838144108328</v>
      </c>
      <c r="CR21" s="39">
        <f ca="1">IF(AND(ISNUMBER(tblData[NSW]),tblData[Dates]&gt;StartDt2NSW),(tblData[NSW]/NSWpopscale-tblData[[#This Row],[NSW Cases LogEst]])^2,"")</f>
        <v>4.7180672176220932</v>
      </c>
      <c r="CS21">
        <v>10</v>
      </c>
      <c r="CT21" s="19">
        <f>IF(ISNUMBER(tblData[Taiwan]),tblData[Taiwan]/TaiwanPopscale,"")</f>
        <v>4.2003954924379858</v>
      </c>
      <c r="CU21" s="11">
        <f ca="1">IF(tblData[[#This Row],[Dates]]&lt;StartDt2Taiwan,"",tblData[[#This Row],[Dates]]-TaiwanStart)</f>
        <v>10</v>
      </c>
      <c r="CV21" s="19">
        <f ca="1">IF(AND(tblData[Dates]&gt;StartDt2Taiwan,ISNUMBER(tblData[Days'# Taiwan])),betaTaiwan/(deltaTaiwan+betaPodeltaTaiwan*EXP(-betaTaiwan*tblData[Days'# Taiwan])),"")</f>
        <v>0.18641343061452592</v>
      </c>
      <c r="CW21" s="95">
        <f ca="1">IF(AND(tblData[Dates]&gt;StartDt2Taiwan,ISNUMBER(tblData[Taiwan])),(tblData[[#This Row],[Taiwan LogiP(t)]]-tblData[[#This Row],[Taiwan]])^2,"")</f>
        <v>96.306481354822964</v>
      </c>
      <c r="CX21" s="20">
        <f ca="1">IF(AND(tblData[Dates]&gt;StartDt2Taiwan,ISNUMBER(tblData[Days'# Taiwan])),tblData[[#This Row],[Taiwan LogiP(t)]]/TaiwanPopscale,"")</f>
        <v>7.8301013368315589E-2</v>
      </c>
      <c r="CY21" s="95">
        <f ca="1">IF(AND(ISNUMBER(tblData[Taiwan]),tblData[Dates]&gt;StartDt2Taiwan),(tblData[Taiwan]-AVERAGE(tblData[Taiwan]))^2,"")</f>
        <v>25455.889657823918</v>
      </c>
      <c r="CZ21" s="11">
        <f>tblData[[#This Row],[Dates]]-Taiwan100dt+1</f>
        <v>-53</v>
      </c>
      <c r="DA21"/>
      <c r="DB21" s="20" t="str">
        <f>IF(ISNUMBER(tblData[NZ]),tblData[NZ]/NZPopscale,"")</f>
        <v/>
      </c>
      <c r="DC21" s="11" t="str">
        <f ca="1">IF(tblData[[#This Row],[Dates]]&lt;StartDt2NZ,"",tblData[[#This Row],[Dates]]-NZStart)</f>
        <v/>
      </c>
      <c r="DD21" s="20" t="str">
        <f ca="1">IF(AND(tblData[Dates]&gt;StartDt2NZ,ISNUMBER(tblData[Days'# NZ])),betaNZ/(deltaNZ+betaPodeltaNZ*EXP(-betaNZ*tblData[Days'# NZ])),"")</f>
        <v/>
      </c>
      <c r="DE21" s="95" t="str">
        <f ca="1">IF(AND(tblData[Dates]&gt;StartDt2NZ,ISNUMBER(tblData[NZ])),(tblData[[#This Row],[NZ LogiP(t)]]-tblData[[#This Row],[NZ]])^2,"")</f>
        <v/>
      </c>
      <c r="DF21" s="20" t="str">
        <f ca="1">IF(AND(tblData[Dates]&gt;StartDt2NZ,ISNUMBER(tblData[Days'# NZ])),tblData[[#This Row],[NZ LogiP(t)]]/NZPopscale,"")</f>
        <v/>
      </c>
      <c r="DG21" s="95" t="str">
        <f ca="1">IF(AND(ISNUMBER(tblData[NZ]),tblData[Dates]&gt;StartDt2NZ),(tblData[NZ]-AVERAGE(tblData[NZ]))^2,"")</f>
        <v/>
      </c>
      <c r="DH21" s="11">
        <f>tblData[[#This Row],[Dates]]-NZ100dt+1</f>
        <v>-49</v>
      </c>
      <c r="DI21" s="39"/>
      <c r="DJ21" s="11"/>
      <c r="DK21" s="26"/>
      <c r="DL21" t="s">
        <v>2069</v>
      </c>
      <c r="DM21" s="154">
        <v>43954.724351851852</v>
      </c>
      <c r="DN21" s="191" t="s">
        <v>2061</v>
      </c>
      <c r="DO21" s="191">
        <f ca="1">INDEX(tblPopulation[Logistic Start2],MATCH($DL21,tblPopulation[Country],0),1)</f>
        <v>43920</v>
      </c>
      <c r="DP21" s="27" t="s">
        <v>2062</v>
      </c>
      <c r="DQ21" s="192">
        <v>0.19861064878933876</v>
      </c>
      <c r="DR21" s="71">
        <v>1.6913828278195594E-4</v>
      </c>
      <c r="DS21" s="71">
        <v>626.17218175305254</v>
      </c>
      <c r="DT21" s="193">
        <f>betaNSWUnknown/deltaNSWUnknown</f>
        <v>1174.2501196218068</v>
      </c>
      <c r="DU21" s="21">
        <f>SQRT(SUM(tblNSWKnown[NSW Unknown Sum Sq Err])/COUNT(tblNSWKnown[NSW Unknown Sum Sq Err]))</f>
        <v>27.089906655612225</v>
      </c>
      <c r="DV21" s="71">
        <f>1-(SUM(tblNSWKnown[NSW Unknown Sum Sq Err])/SUM(tblNSWKnown[NSW Unknown Mean Devn Sq]))</f>
        <v>0.96243321373141966</v>
      </c>
      <c r="DW21" s="73">
        <f>(tblRuns[b]/tblRuns[Po])-tblRuns[d]</f>
        <v>1.4804388304550346E-4</v>
      </c>
      <c r="DX21" s="73">
        <f>tblRuns[d]*1000</f>
        <v>0.16913828278195595</v>
      </c>
      <c r="DY21" s="26">
        <f t="array" ref="DY21">MAX(IF(ISNUMBER(tblNSWKnown[Total Local]),tblNSWKnown[Date]))</f>
        <v>43954</v>
      </c>
      <c r="DZ21" s="26" t="str">
        <f>Cengnotation(tblRuns[[#This Row],[Asymptote b/d]],3)</f>
        <v>1.17 k</v>
      </c>
      <c r="EA21" s="95">
        <f t="array" ref="EA21">MAX(tblNSWKnown[NSW Unknown Logi P(t)])</f>
        <v>1172.4674409854892</v>
      </c>
      <c r="EB21" s="25">
        <f>MAX(tblNSWKnown[Total Local])</f>
        <v>1209</v>
      </c>
      <c r="EC21" s="25" t="str">
        <f>Cengnotation(tblRuns[[#This Row],[Asymptote b/d]]/(GenericPop/PerPerson),3)</f>
        <v>2.40 k</v>
      </c>
      <c r="ED21" s="26">
        <f t="array" ref="ED21">MAX(IF(ISNUMBER(tblNSWKnown[Total Local]),tblNSWKnown[Date]))</f>
        <v>43954</v>
      </c>
      <c r="EE21" s="11">
        <f t="array" ref="EE21">COUNT(IF(ISNUMBER(tblNSWKnown[Total Local]),tblNSWKnown[Date]))</f>
        <v>34</v>
      </c>
      <c r="EF21" s="26" t="str">
        <f>"b="&amp;TEXT(tblRuns[b],"##0.###")&amp;", d="&amp;TEXT(tblRuns[d],"0.00E+00")&amp;", P0="&amp;TEXT(Po,"#.###")&amp; ", r2=" &amp;TEXT(tblRuns[[#This Row],[R2]],"0.####") &amp;", Limit="&amp;IF(PopScaling=0,tblRuns[Asymptote b/d],tblRuns[[#This Row],[Asymp PerP]])&amp;"=&gt;"&amp;Cengnotation(tblRuns[[#This Row],[Limit Cases]],3)&amp;" cases "&amp;tblRuns[[#This Row],[Notes]]</f>
        <v xml:space="preserve">b=0.199, d=1.69E-04, P0=.639, r2=0.9624, Limit=2.40 k=&gt;1.17 k cases </v>
      </c>
      <c r="EH21" s="25" t="str">
        <f>tblRuns[Place]&amp;" Limit " &amp; IF(PopScaling=0,tblRuns[[#This Row],[Asymptote]],tblRuns[[#This Row],[Asymp PerP]])&amp;" r^2="&amp;TEXT(tblRuns[[#This Row],[R2]]*100,"##.00")&amp;"%"</f>
        <v>NSWUnknown Limit 2.40 k r^2=96.24%</v>
      </c>
      <c r="EJ21" s="18" t="str">
        <f ca="1">"COVID19 "&amp;tblRuns[[#This Row],[Place]] &amp; " " &amp;LogFormula&amp;CHAR(10)&amp;tblRuns[[#This Row],[Parameter List]]&amp;CHAR(10)&amp;" (Fit: " &amp; TEXT(tblRuns[Logistic Start2],"ddd dd-mmm") &amp; " - " &amp; TEXT(tblRuns[Last Date],"ddd dd-mmm")&amp;")"</f>
        <v>COVID19 NSWUnknown P(t) = b / {d+[( b/Po - d ) ]* exp(-b*t)}
b=0.199, d=1.69E-04, P0=.639, r2=0.9624, Limit=2.40 k=&gt;1.17 k cases 
 (Fit: Mon 30-Mar - Sun 03-May)</v>
      </c>
      <c r="EK21" s="11">
        <f t="array" ref="EK21">MAX(tblNSWKnown[Total Local])</f>
        <v>1209</v>
      </c>
      <c r="EL21" s="156"/>
      <c r="EM21" s="11"/>
      <c r="EN21" s="26"/>
      <c r="EO21" s="11"/>
      <c r="EQ21" s="11" t="e">
        <f>INDEX(tblNSWKnown[NSW Unknown Logi P(t)],MATCH(VALUE(tblRuns[AtDate])+7,tblNSWKnown[Date],0))</f>
        <v>#N/A</v>
      </c>
      <c r="ER21" s="19">
        <f>tblRuns[Mean Sq Err]/tblRuns[Max Cases Per Capita]</f>
        <v>2.2406870682888522E-2</v>
      </c>
      <c r="ES21" s="26">
        <f>INDEX(tblData[Dates],1+MATCH(100, tblData[NSW],1))</f>
        <v>43904</v>
      </c>
      <c r="ET21" s="133" t="str">
        <f>tblRuns[[#This Row],[Place]]&amp;" from "&amp;TEXT(Au100dt,"dd-mmm")</f>
        <v>NSWUnknown from 15-Mar</v>
      </c>
      <c r="EU21" s="190">
        <f>INDEX(tblNSWKnown[NSW Unknown Logi P(t)],MATCH(tblRuns[[#This Row],[Last Date]]+1,tblNSWKnown[Date],0))-INDEX(tblNSWKnown[Total Local],MATCH(tblRuns[[#This Row],[Last Date]],tblNSWKnown[Date],0))</f>
        <v>-36.532559014510753</v>
      </c>
      <c r="EV21" t="s">
        <v>2069</v>
      </c>
      <c r="EW21" s="25" t="s">
        <v>2069</v>
      </c>
      <c r="EX21" s="26" t="str">
        <f ca="1">SUBSTITUTE(tblRuns[[#This Row],[ChartLabel]]," since " &amp; solvMsgs!MinCases,"")</f>
        <v>COVID19 NSWUnknown P(t) = b / {d+[( b/Po - d ) ]* exp(-b*t)}
b=0.199, d=1.69E-04, P0=.639, r2=0.9624, Limit=2.40 k=&gt;1.17 k cases 
 (Fit: Mon 30-Mar - Sun 03-May)</v>
      </c>
      <c r="FF21"/>
      <c r="FG21"/>
      <c r="FH21"/>
      <c r="FI21" s="26">
        <f>FI17+14</f>
        <v>43874</v>
      </c>
      <c r="FJ21" s="25">
        <v>10000000</v>
      </c>
      <c r="FK21"/>
      <c r="FL21"/>
      <c r="FM21"/>
      <c r="FN21"/>
      <c r="FO21" s="265" t="s">
        <v>48</v>
      </c>
      <c r="FP21" s="250">
        <v>43913.686678240738</v>
      </c>
      <c r="FQ21" s="156">
        <v>43855</v>
      </c>
      <c r="FR21" s="26">
        <v>43855</v>
      </c>
      <c r="FS21" s="211">
        <v>0</v>
      </c>
      <c r="FT21" s="25">
        <v>0.20946993609128423</v>
      </c>
      <c r="FU21" s="71">
        <v>1.0000000000276037E-12</v>
      </c>
      <c r="FV21" s="21">
        <v>8.7014432070134148E-3</v>
      </c>
      <c r="FW21" s="212">
        <v>209469936085.50208</v>
      </c>
      <c r="FX21" s="212">
        <v>11.322136770692364</v>
      </c>
      <c r="FY21" s="212"/>
      <c r="FZ21" s="213">
        <v>24.073010776240146</v>
      </c>
      <c r="GA21" s="213">
        <v>1.0000000000276037E-9</v>
      </c>
      <c r="GB21" s="156">
        <v>43913</v>
      </c>
      <c r="GC21" s="25" t="s">
        <v>988</v>
      </c>
      <c r="GD21" s="212">
        <v>209469936085.50208</v>
      </c>
      <c r="GE21" s="212">
        <v>1639</v>
      </c>
      <c r="GF21" s="25" t="s">
        <v>989</v>
      </c>
      <c r="GG21" s="156">
        <v>43913</v>
      </c>
      <c r="GH21" s="25">
        <v>59</v>
      </c>
      <c r="GI21" s="25" t="s">
        <v>990</v>
      </c>
      <c r="GJ21" s="25"/>
      <c r="GK21" s="25" t="s">
        <v>991</v>
      </c>
      <c r="GM21" s="25" t="s">
        <v>992</v>
      </c>
      <c r="GN21" s="20">
        <v>646.19145245229458</v>
      </c>
      <c r="GO21" s="156"/>
      <c r="GP21" s="218"/>
      <c r="GQ21" s="156"/>
      <c r="GR21" s="25"/>
      <c r="GS21" s="25" t="s">
        <v>987</v>
      </c>
      <c r="GT21" s="11"/>
      <c r="GU21" s="12"/>
      <c r="GV21" s="26"/>
      <c r="GX21" s="219"/>
      <c r="HK21" s="164">
        <v>43907</v>
      </c>
      <c r="HL21" s="60">
        <v>43907.458333333336</v>
      </c>
      <c r="HM21">
        <v>210</v>
      </c>
      <c r="HN21">
        <v>28552</v>
      </c>
      <c r="HQ21" t="str">
        <f>IF(ISNUMBER(tblNSWKnown[[#This Row],[Unknown Locally]]),tblNSWKnown[[#This Row],[Known Locally]]+tblNSWKnown[[#This Row],[Unknown Locally]],"")</f>
        <v/>
      </c>
      <c r="HR21" s="25"/>
      <c r="HS21" t="str">
        <f>IF(ISNUMBER(tblNSWKnown[[#This Row],[Day '# NSW Unknown]]),betaNSWUnknown/(deltaNSWUnknown+betaPodeltaNSWUnknown*EXP(-betaNSWUnknown*tblNSWKnown[Day '# NSW Unknown])),"")</f>
        <v/>
      </c>
      <c r="HT21" t="str">
        <f>IF(ISNUMBER(tblNSWKnown[[#This Row],[Total Local]]),(tblNSWKnown[[#This Row],[Total Local]]-tblNSWKnown[[#This Row],[NSW Unknown Logi P(t)]])^2,"")</f>
        <v/>
      </c>
      <c r="HU21" s="166" t="str">
        <f>IF(ISNUMBER(tblNSWKnown[Total Local]),(tblNSWKnown[Total Local]-AVERAGE(tblNSWKnown[Total Local]))^2,"")</f>
        <v/>
      </c>
      <c r="HV21" s="166"/>
    </row>
    <row r="22" spans="2:230" ht="18.75" customHeight="1" x14ac:dyDescent="0.25">
      <c r="B22" s="26">
        <v>43863</v>
      </c>
      <c r="C22">
        <v>0</v>
      </c>
      <c r="D22" s="25">
        <v>0</v>
      </c>
      <c r="E22">
        <v>4</v>
      </c>
      <c r="F22">
        <v>0</v>
      </c>
      <c r="G22">
        <v>2</v>
      </c>
      <c r="H22">
        <v>2</v>
      </c>
      <c r="I22">
        <v>0</v>
      </c>
      <c r="J22">
        <v>4</v>
      </c>
      <c r="K22">
        <v>0</v>
      </c>
      <c r="L22" s="11">
        <f>IF(ISNUMBER(tblData[[#This Row],[NSW]]),tblData[[#This Row],[New South Wales]]/NSWpopscale,"")</f>
        <v>4.9504950495049505</v>
      </c>
      <c r="M22">
        <v>2</v>
      </c>
      <c r="N22" s="20">
        <f>IF(ISNUMBER(tblData[Italy]),tblData[Italy]/ItalyPopscale,"")</f>
        <v>0.33066049433743905</v>
      </c>
      <c r="O22">
        <v>8</v>
      </c>
      <c r="P22" s="20">
        <f>IF(ISNUMBER(tblData[US]),tblData[US]/USPopscale,"")</f>
        <v>0.2429928855388756</v>
      </c>
      <c r="Q22">
        <v>15</v>
      </c>
      <c r="R22" s="20">
        <f>IF(ISNUMBER(tblData[SKorea]),tblData[SKorea]/SKoreaPopscale,"")</f>
        <v>2.918287937743191</v>
      </c>
      <c r="S22">
        <v>2</v>
      </c>
      <c r="T22" s="20">
        <f>IF(ISNUMBER(tblData[United Kingdom]),tblData[United Kingdom]/UKPopscale,"")</f>
        <v>0.30102347983142685</v>
      </c>
      <c r="U22">
        <v>16630</v>
      </c>
      <c r="V22" s="20">
        <f>IF(ISNUMBER(tblData[China]),tblData[China]/ChinaPopscale,"")</f>
        <v>115.54036886833168</v>
      </c>
      <c r="W22" s="25">
        <f ca="1">IF(tblData[[#This Row],[Dates]]&lt;StartDt2China,"",tblData[[#This Row],[Dates]]-ChinaStart)</f>
        <v>11</v>
      </c>
      <c r="X22">
        <v>18</v>
      </c>
      <c r="Y22" s="20">
        <f>IF(ISNUMBER(tblData[Singapore]),tblData[Singapore]/SingaporePopscale,"")</f>
        <v>30.76923076923077</v>
      </c>
      <c r="Z22"/>
      <c r="AA22" s="20" t="str">
        <f>IF(AND(LEN(tblData[Generic])&gt;0,ISNUMBER(tblData[Generic])),tblData[Generic]/GenericPopscale,"")</f>
        <v/>
      </c>
      <c r="AB22" s="25">
        <f ca="1">IF(tblData[[#This Row],[Dates]]&lt;StartDt2Italy,"",tblData[[#This Row],[Dates]]-ItalyStart)</f>
        <v>3</v>
      </c>
      <c r="AC22" s="25">
        <f ca="1">IF(tblData[[#This Row],[Dates]]&lt;=StartDt2US,"",tblData[[#This Row],[Dates]]-USStart)</f>
        <v>11</v>
      </c>
      <c r="AD22" s="25">
        <f>IF(tblData[[#This Row],[Dates]]&lt;=SKoreaStart,"",tblData[[#This Row],[Dates]]-SKoreaStart)</f>
        <v>11</v>
      </c>
      <c r="AE22" s="25">
        <f ca="1">IF(tblData[[#This Row],[Dates]]&lt;=StartDt2UK,"",tblData[[#This Row],[Dates]]-UKStart)</f>
        <v>3</v>
      </c>
      <c r="AF22" s="25">
        <f ca="1">IF(tblData[[#This Row],[Dates]]&lt;StartDt2Singapore,"",tblData[[#This Row],[Dates]]-SingaporeStart)</f>
        <v>10</v>
      </c>
      <c r="AG22" s="25" t="str">
        <f>IF(tblData[[#This Row],[Dates]]&lt;StartDt2Generic,"",tblData[[#This Row],[Dates]]-GenericStart)</f>
        <v/>
      </c>
      <c r="AH22">
        <f ca="1">IF(tblData[Dates]&gt;StartDt2Au,tblData[Dates]-AuStart,"")</f>
        <v>8</v>
      </c>
      <c r="AI22" s="25">
        <f>IF(AND(COUNTBLANK(tblData[[#This Row],[Australian Capital Territory]:[Western Australia]])&lt;1,tblData[New South Wales]&gt;=0),SUM(tblData[[#This Row],[Australian Capital Territory]:[Western Australia]]),"")</f>
        <v>12</v>
      </c>
      <c r="AJ22" s="12">
        <f>IF(ISNUMBER(tblData[Au]),tblData[Au]/AuPopScale,"")</f>
        <v>4.731114966093676</v>
      </c>
      <c r="AK22" s="19">
        <f ca="1">IF(ISNUMBER(tblData[[#This Row],[Day'# Aust]]),betaAu/(deltaAu+betaPodeltaAu*EXP(-betaAu*tblData[[#This Row],[Day'# Aust]])),"")</f>
        <v>2.8646757838527007E-2</v>
      </c>
      <c r="AL22" s="57">
        <f ca="1">IF(ISNUMBER(tblData[Day'# Aust]),tblData[Au LogiP(t)]/AuPopScale,"")</f>
        <v>1.1294258728326371E-2</v>
      </c>
      <c r="AM22" s="11">
        <f ca="1">IF(AND(tblData[Dates]&gt;StartDt2Au,ISNUMBER(tblData[Au])),(tblData[[#This Row],[Au LogiP(t)]]-tblData[[#This Row],[Au]])^2,"")</f>
        <v>143.31329844861003</v>
      </c>
      <c r="AN22" s="11">
        <f ca="1">IF(AND(ISNUMBER(tblData[Au]),tblData[Dates]&gt;StartDt2Au),(tblData[Au]-AVERAGE(tblData[Au]))^2,"")</f>
        <v>5938042.9760999996</v>
      </c>
      <c r="AO22" s="11">
        <f>tblData[[#This Row],[Dates]]-Au100dt</f>
        <v>-42</v>
      </c>
      <c r="AP22">
        <f ca="1">IF(tblData[Dates]&gt;StartDt2NSW,tblData[Dates]-StartDt2NSW,"")</f>
        <v>8</v>
      </c>
      <c r="AQ22" s="25">
        <f>IF(tblData[[#This Row],[New South Wales]]&gt;0,tblData[[#This Row],[New South Wales]],"")</f>
        <v>4</v>
      </c>
      <c r="AR22" s="44">
        <f ca="1">IF(tblData[Dates]&gt;StartDt2NSW,betaNSW/(deltaNSW+betaPodeltaNSW*EXP(-betaNSW*tblData[[#This Row],[Day '# NSW]])),"")</f>
        <v>8.0491260562434996E-3</v>
      </c>
      <c r="AS22" s="12">
        <f ca="1">IF(AND(ISNUMBER(tblData[NSW]),tblData[Dates]&gt;StartDt2NSW),(tblData[[#This Row],[NSW LogiP(t)]]-tblData[[#This Row],[NSW]])^2,"")</f>
        <v>15.935671779980321</v>
      </c>
      <c r="AT22" s="12">
        <f ca="1">IF(AND(tblData[Dates]&gt;StartDt2NSW,ISNUMBER(tblData[Day'# Aust])),tblData[NSW LogiP(t)]/NSWpopscale,"")</f>
        <v>9.9617896735686873E-3</v>
      </c>
      <c r="AU22" s="11">
        <f>tblData[[#This Row],[Dates]]-NSW100dt+1</f>
        <v>-39</v>
      </c>
      <c r="AV22" s="11">
        <f ca="1">IF(AND(ISNUMBER(tblData[NSW]),tblData[Dates]&gt;StartDt2NSW),(tblData[NSW]-AVERAGE(tblData[NSW]))^2,"")</f>
        <v>1188666.8676</v>
      </c>
      <c r="AW22" s="19">
        <f ca="1">IF(AND(tblData[Dates]&gt;StartDt2Italy,ISNUMBER(tblData[Days'# Italy])),betaItaly/(deltaItaly+betaPodeltaItaly*EXP(-betaItaly*tblData[Days'# Italy])),"")</f>
        <v>0.94658494544850824</v>
      </c>
      <c r="AX22" s="11">
        <f ca="1">IF(AND(tblData[Dates]&gt;StartDt2Italy,ISNUMBER(tblData[Italy])),(tblData[[#This Row],[Italy LogiP(t)]]-tblData[[#This Row],[Italy]])^2,"")</f>
        <v>1.1096832771557223</v>
      </c>
      <c r="AY22" s="20">
        <f ca="1">IF(AND(tblData[Dates]&gt;StartDt2Italy,ISNUMBER(tblData[Days'# Italy])),tblData[[#This Row],[Italy LogiP(t)]]/ItalyPopscale,"")</f>
        <v>0.15649912299719076</v>
      </c>
      <c r="AZ22" s="39">
        <f ca="1">IF(AND(ISNUMBER(tblData[Italy]),tblData[Dates]&gt;StartDt2Italy),(tblData[Italy]-AVERAGE(tblData[Italy]))^2,"")</f>
        <v>4864589101.9421673</v>
      </c>
      <c r="BA22" s="11">
        <f>tblData[[#This Row],[Dates]]-Italy100dt+1</f>
        <v>-24</v>
      </c>
      <c r="BB22" s="11">
        <f ca="1">IF(AND(tblData[Dates]&gt;StartDt2US,ISNUMBER(tblData[[#This Row],[Days'# US]])),betaUS/(deltaUS+betaPodeltaUS*EXP(-betaUS*tblData[Days'# US])),"")</f>
        <v>2.2679479063540408E-2</v>
      </c>
      <c r="BC22" s="11">
        <f ca="1">IF(AND(tblData[Dates]&gt;StartDt2US,ISNUMBER(tblData[US])),(tblData[[#This Row],[US LogiP(t)]]-tblData[US])^2,"")</f>
        <v>63.637642693753953</v>
      </c>
      <c r="BD22" s="20">
        <f ca="1">IF(AND(tblData[Dates]&gt;=StartDt2US,ISNUMBER(tblData[[#This Row],[Days'# US]])),tblData[[#This Row],[US LogiP(t)]]/USPopscale,"")</f>
        <v>6.8886900752102498E-4</v>
      </c>
      <c r="BE22" s="126">
        <f ca="1">IF(AND(ISNUMBER(tblData[US]),tblData[Dates]&gt;StartDt2US),(tblData[US]-AVERAGE(tblData[US]))^2,"")</f>
        <v>50146993997.118896</v>
      </c>
      <c r="BF22" s="11">
        <f>tblData[[#This Row],[Dates]]-US100dt+1</f>
        <v>-41</v>
      </c>
      <c r="BG22" s="11">
        <f ca="1">IF(tblData[Dates]&gt;StartDt2SKorea,betaSKorea/(deltaSKorea+betaPodeltaSKorea*EXP(-betaSKorea*(tblData[Dates]-StartDt2SKorea))),"")</f>
        <v>36.116896534517259</v>
      </c>
      <c r="BH22" s="11">
        <f ca="1">IF(AND(tblData[Dates]&gt;StartDt2SKorea,ISNUMBER(tblData[SKorea])),(tblData[[#This Row],[SKorea LogiP(t)]]-tblData[[#This Row],[SKorea]])^2,"")</f>
        <v>445.92331924950702</v>
      </c>
      <c r="BI22" s="11">
        <f ca="1">IF(tblData[Dates]&gt;StartDt2SKorea,tblData[[#This Row],[SKorea LogiP(t)]]/SKoreaPopscale,"")</f>
        <v>7.0266335670267051</v>
      </c>
      <c r="BJ22" s="11">
        <f ca="1">IF(AND(ISNUMBER(tblData[SKorea]),tblData[Dates]&gt;StartDt2SKorea),(tblData[SKorea]-AVERAGE(tblData[SKorea]))^2,"")</f>
        <v>33748809.413302571</v>
      </c>
      <c r="BK22" s="11">
        <f>tblData[[#This Row],[Dates]]-SKorea100dt+1</f>
        <v>-20</v>
      </c>
      <c r="BL22" s="20">
        <f ca="1">IF(AND(tblData[Dates]&gt;StartDt2UK,ISNUMBER(tblData[Days'# UK])),betaUK/(deltaUK+betaPodeltaUK*EXP(-betaUK*tblData[Days'# UK])),"")</f>
        <v>0.16675211475472612</v>
      </c>
      <c r="BM22" s="11">
        <f ca="1">IF(AND(tblData[Dates]&gt;StartDt2UK,ISNUMBER(tblData[United Kingdom])),(tblData[[#This Row],[UK LogiP(t)]]-tblData[[#This Row],[United Kingdom]])^2,"")</f>
        <v>3.3607978087562689</v>
      </c>
      <c r="BN22" s="11">
        <f ca="1">IF(ISNUMBER(tblData[Days'# UK]),tblData[[#This Row],[UK LogiP(t)]]/UKPopscale,"")</f>
        <v>2.5098150926358538E-2</v>
      </c>
      <c r="BO22" s="126">
        <f ca="1">IF(AND(ISNUMBER(tblData[United Kingdom]),tblData[Dates]&gt;StartDt2UK),(tblData[United Kingdom]-AVERAGE(tblData[United Kingdom]))^2,"")</f>
        <v>1441343648.2988911</v>
      </c>
      <c r="BP22" s="11">
        <f>tblData[[#This Row],[Dates]]-UK100dt</f>
        <v>-39</v>
      </c>
      <c r="BQ22" s="11">
        <f ca="1">IF(ISNUMBER(tblData[Days'# China]),betaChina/(deltaChina+betaPodeltaChina*EXP(-betaChina*tblData[Days'# China])),"")</f>
        <v>14834.223818201972</v>
      </c>
      <c r="BR22" s="11">
        <f ca="1">IF(ISNUMBER(tblData[China]),(tblData[[#This Row],[China LogiP(t)]]-tblData[[#This Row],[China]])^2,"")</f>
        <v>3224812.0951131047</v>
      </c>
      <c r="BS22" s="11">
        <f ca="1">tblData[[#This Row],[China LogiP(t)]]/ChinaPopscale</f>
        <v>103.06384196214357</v>
      </c>
      <c r="BT22" s="126">
        <f ca="1">IF(AND(ISNUMBER(tblData[China]),tblData[Dates]&gt;StartDt2China),(tblData[China]-AVERAGE(tblData[China]))^2,"")</f>
        <v>2557777075.2802777</v>
      </c>
      <c r="BU22" s="11">
        <f>tblData[[#This Row],[Dates]]-China100dt</f>
        <v>0</v>
      </c>
      <c r="BV22" s="95">
        <f ca="1">IF(ISNUMBER(tblData[Day'# Singapore]),betaSingapore/(deltaSingapore+betaPodeltaSingapore*EXP(-betaSingapore*tblData[Day'# Singapore])),"")</f>
        <v>0.42892022414363279</v>
      </c>
      <c r="BW22" s="11">
        <f ca="1">IF(AND(ISNUMBER(tblData[Singapore]),tblData[Dates]&gt;=StartDt2Singapore),(tblData[[#This Row],[Singapore LogiP(t)]]-tblData[[#This Row],[Singapore]])^2,"")</f>
        <v>308.74284448950868</v>
      </c>
      <c r="BX22" s="20">
        <f ca="1">IF(ISNUMBER(tblData[Day'# Singapore]),tblData[Singapore LogiP(t)]/SingaporePopscale,"")</f>
        <v>0.73319696434809023</v>
      </c>
      <c r="BY22" s="95">
        <f ca="1">IF(AND(ISNUMBER(tblData[Singapore]),tblData[Dates]&gt;StartDt2Singapore),(tblData[Singapore]-AVERAGE(tblData[Singapore]))^2,"")</f>
        <v>5302905.9011918502</v>
      </c>
      <c r="BZ22" s="11">
        <f>tblData[[#This Row],[Dates]]-Singapore100dt+1</f>
        <v>-11</v>
      </c>
      <c r="CA22" s="11" t="str">
        <f>IF(AND(tblData[Dates]&gt;StartDt2Generic,ISNUMBER(tblData[Day'# Generic])),betaGeneric/(deltaGeneric+betaPodeltaGeneric*EXP(-betaGeneric*tblData[Day'# Generic])),"")</f>
        <v/>
      </c>
      <c r="CB22" s="95" t="str">
        <f>IF(AND(ISNUMBER(tblData[Generic]),tblData[Dates]&gt;StartDt2Generic),(tblData[Generic LogiP(t)]-tblData[[#This Row],[Generic]])^2,"")</f>
        <v/>
      </c>
      <c r="CC22" s="11" t="str">
        <f>IF(AND(ISNUMBER(tblData[Day'# Generic]),tblData[Dates]&gt;StartDt2Generic),tblData[Generic LogiP(t)]/GenericPopscale,"")</f>
        <v/>
      </c>
      <c r="CD22" s="95" t="str">
        <f>IF(AND(ISNUMBER(tblData[Generic]),tblData[Dates]&gt;StartDt2Generic),(tblData[Generic]-AVERAGE(tblData[Generic]))^2,"")</f>
        <v/>
      </c>
      <c r="CE22" s="11">
        <f>tblData[[#This Row],[Dates]]-Generic100dt+1</f>
        <v>-39</v>
      </c>
      <c r="CF22"/>
      <c r="CG22" s="11"/>
      <c r="CH22" s="11" t="str">
        <f>IF(ISNUMBER(tblData[[#This Row],[Tests]]),tblData[[#This Row],[Tests]]-CH21,"")</f>
        <v/>
      </c>
      <c r="CI22" s="11" t="str">
        <f>IF(ISNUMBER(tblData[[#This Row],[NSW Under Investigation'']]),tblData[[#This Row],[NSW Under Investigation'']]-CG21,"")</f>
        <v/>
      </c>
      <c r="CJ22" s="11"/>
      <c r="CK22" s="11" t="str">
        <f>IF(AND(tblData[[#This Row],[NSW Test Day Number]]&gt;0,ISNUMBER(tblData[[#This Row],[NSW Test Day Number]])),betaTests/(deltaTests+betaPodeltaTests*EXP(-betaTests*tblData[[#This Row],[NSW Test Day Number]])),"")</f>
        <v/>
      </c>
      <c r="CL22" s="11" t="str">
        <f>IF(tblData[Tests]&gt;0,(tblData[[#This Row],[Tests]]-tblData[[#This Row],[NSW Test Logi]])^2,"")</f>
        <v/>
      </c>
      <c r="CM22" s="95" t="str">
        <f>IF(AND(ISNUMBER(tblData[Tests]),tblData[Dates]&gt;StartDt2Tests),(tblData[Tests]-AVERAGE(tblData[Tests]))^2,"")</f>
        <v/>
      </c>
      <c r="CN22" s="11" t="str">
        <f>IF(ISNUMBER(tblData[Tests]),tblData[Tests]/NSWpopscale/100,"")</f>
        <v/>
      </c>
      <c r="CO22" s="11" t="str">
        <f>IF(AND(tblData[[#This Row],[NSW Test Day Number]]&gt;0,ISNUMBER(tblData[[#This Row],[NSW Test Day Number]])),TestsLogestB*TestsLogestM^tblData[[#This Row],[NSW Test Day Number]],"")</f>
        <v/>
      </c>
      <c r="CP22" s="11" t="str">
        <f>IF(AND(tblData[[#This Row],[NSW Test Day Number]]&gt;0,ISNUMBER(tblData[Tests])),(tblData[Tests]-tblData[[#This Row],[NSW Test Per Capita]])^2,"")</f>
        <v/>
      </c>
      <c r="CQ22" s="20">
        <f ca="1">IF(AND(tblData[Day '# NSW]&gt;0,ISNUMBER(tblData[[#This Row],[Day '# NSW]])),NSWLogestB*NSWLogestM^tblData[[#This Row],[Day '# NSW]]/NSWpopscale,"")</f>
        <v>3.0588773089604944</v>
      </c>
      <c r="CR22" s="39">
        <f ca="1">IF(AND(ISNUMBER(tblData[NSW]),tblData[Dates]&gt;StartDt2NSW),(tblData[NSW]/NSWpopscale-tblData[[#This Row],[NSW Cases LogEst]])^2,"")</f>
        <v>3.5782176763425131</v>
      </c>
      <c r="CS22">
        <v>10</v>
      </c>
      <c r="CT22" s="19">
        <f>IF(ISNUMBER(tblData[Taiwan]),tblData[Taiwan]/TaiwanPopscale,"")</f>
        <v>4.2003954924379858</v>
      </c>
      <c r="CU22" s="11">
        <f ca="1">IF(tblData[[#This Row],[Dates]]&lt;StartDt2Taiwan,"",tblData[[#This Row],[Dates]]-TaiwanStart)</f>
        <v>11</v>
      </c>
      <c r="CV22" s="19">
        <f ca="1">IF(AND(tblData[Dates]&gt;StartDt2Taiwan,ISNUMBER(tblData[Days'# Taiwan])),betaTaiwan/(deltaTaiwan+betaPodeltaTaiwan*EXP(-betaTaiwan*tblData[Days'# Taiwan])),"")</f>
        <v>0.21603377040885624</v>
      </c>
      <c r="CW22" s="95">
        <f ca="1">IF(AND(tblData[Dates]&gt;StartDt2Taiwan,ISNUMBER(tblData[Taiwan])),(tblData[[#This Row],[Taiwan LogiP(t)]]-tblData[[#This Row],[Taiwan]])^2,"")</f>
        <v>95.725995181779936</v>
      </c>
      <c r="CX22" s="20">
        <f ca="1">IF(AND(tblData[Dates]&gt;StartDt2Taiwan,ISNUMBER(tblData[Days'# Taiwan])),tblData[[#This Row],[Taiwan LogiP(t)]]/TaiwanPopscale,"")</f>
        <v>9.074272754397425E-2</v>
      </c>
      <c r="CY22" s="95">
        <f ca="1">IF(AND(ISNUMBER(tblData[Taiwan]),tblData[Dates]&gt;StartDt2Taiwan),(tblData[Taiwan]-AVERAGE(tblData[Taiwan]))^2,"")</f>
        <v>25455.889657823918</v>
      </c>
      <c r="CZ22" s="11">
        <f>tblData[[#This Row],[Dates]]-Taiwan100dt+1</f>
        <v>-52</v>
      </c>
      <c r="DA22"/>
      <c r="DB22" s="20" t="str">
        <f>IF(ISNUMBER(tblData[NZ]),tblData[NZ]/NZPopscale,"")</f>
        <v/>
      </c>
      <c r="DC22" s="11" t="str">
        <f ca="1">IF(tblData[[#This Row],[Dates]]&lt;StartDt2NZ,"",tblData[[#This Row],[Dates]]-NZStart)</f>
        <v/>
      </c>
      <c r="DD22" s="20" t="str">
        <f ca="1">IF(AND(tblData[Dates]&gt;StartDt2NZ,ISNUMBER(tblData[Days'# NZ])),betaNZ/(deltaNZ+betaPodeltaNZ*EXP(-betaNZ*tblData[Days'# NZ])),"")</f>
        <v/>
      </c>
      <c r="DE22" s="95" t="str">
        <f ca="1">IF(AND(tblData[Dates]&gt;StartDt2NZ,ISNUMBER(tblData[NZ])),(tblData[[#This Row],[NZ LogiP(t)]]-tblData[[#This Row],[NZ]])^2,"")</f>
        <v/>
      </c>
      <c r="DF22" s="20" t="str">
        <f ca="1">IF(AND(tblData[Dates]&gt;StartDt2NZ,ISNUMBER(tblData[Days'# NZ])),tblData[[#This Row],[NZ LogiP(t)]]/NZPopscale,"")</f>
        <v/>
      </c>
      <c r="DG22" s="95" t="str">
        <f ca="1">IF(AND(ISNUMBER(tblData[NZ]),tblData[Dates]&gt;StartDt2NZ),(tblData[NZ]-AVERAGE(tblData[NZ]))^2,"")</f>
        <v/>
      </c>
      <c r="DH22" s="11">
        <f>tblData[[#This Row],[Dates]]-NZ100dt+1</f>
        <v>-48</v>
      </c>
      <c r="DI22" s="39"/>
      <c r="DJ22" s="11"/>
      <c r="DK22" s="26"/>
      <c r="DL22" s="25" t="s">
        <v>2133</v>
      </c>
      <c r="DM22" s="154">
        <v>43954.724432870367</v>
      </c>
      <c r="DN22" s="191">
        <v>43852</v>
      </c>
      <c r="DO22" s="191">
        <f ca="1">INDEX(tblPopulation[Logistic Start2],MATCH($DL22,tblPopulation[CtryAbbrev],0),1)</f>
        <v>43852</v>
      </c>
      <c r="DP22" s="27">
        <v>14</v>
      </c>
      <c r="DQ22" s="192">
        <v>0.14753731480300505</v>
      </c>
      <c r="DR22" s="71">
        <v>3.4614755232138117E-4</v>
      </c>
      <c r="DS22" s="71">
        <v>4.2645902555332078E-2</v>
      </c>
      <c r="DT22" s="193">
        <f>betaTaiwan/deltaTaiwan</f>
        <v>426.22665916188203</v>
      </c>
      <c r="DU22" s="21">
        <f ca="1">SQRT(SUM(tblData[Taiwan Sq Err])/COUNT(tblData[Taiwan Sq Err]))</f>
        <v>15.024146763192514</v>
      </c>
      <c r="DV22" s="71">
        <f ca="1">1-(SUM(tblData[Taiwan Sq Err])/SUM(tblData[Taiwan Mean Devn Sq]))</f>
        <v>0.99223910996252995</v>
      </c>
      <c r="DW22" s="73">
        <f>(tblRuns[b]/tblRuns[Po])-tblRuns[d]</f>
        <v>3.459243308001557</v>
      </c>
      <c r="DX22" s="73">
        <f>tblRuns[d]*1000</f>
        <v>0.34614755232138117</v>
      </c>
      <c r="DY22" s="26">
        <f>MAX(IF(ISNUMBER(tblData[Taiwan]),tblData[Dates]))</f>
        <v>44013</v>
      </c>
      <c r="DZ22" s="26" t="str">
        <f>Cengnotation(tblRuns[[#This Row],[Asymptote b/d]],3)</f>
        <v xml:space="preserve">426  </v>
      </c>
      <c r="EA22" s="95">
        <f ca="1">MAX(tblData[Taiwan LogiP(t)])</f>
        <v>426.22645341041891</v>
      </c>
      <c r="EB22" s="25">
        <f>MAX(tblData[Taiwan])</f>
        <v>432</v>
      </c>
      <c r="EC22" s="25" t="str">
        <f>Cengnotation(tblRuns[[#This Row],[Asymptote b/d]]/(ItalyPop/PerPerson),3)</f>
        <v xml:space="preserve">70.5  </v>
      </c>
      <c r="ED22" s="26">
        <f t="array" ref="ED22">MAX(IF(ISNUMBER(tblData[Taiwan]),tblData[Dates]))</f>
        <v>43953</v>
      </c>
      <c r="EE22" s="11">
        <f t="array" ref="EE22">COUNT(IF(ISNUMBER(tblData[Taiwan]),tblData[Dates]))</f>
        <v>102</v>
      </c>
      <c r="EF22" s="26" t="str">
        <f ca="1">"b="&amp;TEXT(tblRuns[b],"##0.###")&amp;", d="&amp;TEXT(tblRuns[d],"0.00E+00")&amp;", P0="&amp;TEXT(Po,"#.###")&amp; ", r2=" &amp;TEXT(tblRuns[[#This Row],[R2]],"0.####") &amp;", Limit="&amp;IF(PopScaling=0,tblRuns[Asymptote b/d],tblRuns[[#This Row],[Asymp PerP]])&amp;"=&gt;"&amp;Cengnotation(tblRuns[[#This Row],[Limit Cases]],3)&amp;" cases "&amp;tblRuns[[#This Row],[Notes]]</f>
        <v xml:space="preserve">b=0.148, d=3.46E-04, P0=.639, r2=0.9922, Limit=70.5  =&gt;426   cases </v>
      </c>
      <c r="EG22" s="25"/>
      <c r="EH22" s="25" t="str">
        <f ca="1">tblRuns[Place]&amp;" Limit " &amp; IF(PopScaling=0,tblRuns[[#This Row],[Asymptote]],tblRuns[[#This Row],[Asymp PerP]])&amp;" r^2="&amp;TEXT(tblRuns[[#This Row],[R2]]*100,"##.00")&amp;"%"</f>
        <v>Taiwan Limit 70.5   r^2=99.22%</v>
      </c>
      <c r="EJ22" s="18" t="str">
        <f ca="1">"COVID19 "&amp;tblRuns[[#This Row],[Place]] &amp; " " &amp;LogFormula&amp;CHAR(10)&amp;tblRuns[[#This Row],[Parameter List]]&amp;CHAR(10)&amp;" (Fit: " &amp; TEXT(tblRuns[Logistic Start2],"ddd dd-mmm") &amp; " - " &amp; TEXT(tblRuns[Last Date],"ddd dd-mmm")&amp;")"</f>
        <v>COVID19 Taiwan P(t) = b / {d+[( b/Po - d ) ]* exp(-b*t)}
b=0.148, d=3.46E-04, P0=.639, r2=0.9922, Limit=70.5  =&gt;426   cases 
 (Fit: Wed 22-Jan - Sat 02-May)</v>
      </c>
      <c r="EK22" s="11">
        <f t="array" ref="EK22">MAX(tblData[Taiwan Cases per Capita])</f>
        <v>181.45708527332098</v>
      </c>
      <c r="EL22" s="156">
        <f>IF(tblRuns[[#This Row],[Max Cases Per Capita]]&gt;NSWMaxCasespc,INDEX(tblData[Dates],1+MATCH(NSWMaxCasespc,tblData[Taiwan Cases per Capita],1)),INDEX(tblData[Dates],1+MATCH(tblRuns[[#This Row],[Max Cases Per Capita]],tblData[NSW Cases per Capita],1)))</f>
        <v>43906</v>
      </c>
      <c r="EM22" s="11">
        <f>IF(tblRuns[[#This Row],[Max Cases Per Capita]]&gt;NSWMaxCasespc,1,-1)*(DY$12-tblRuns[[#This Row],[Date of NSW Case Match]])</f>
        <v>-48</v>
      </c>
      <c r="EN22" s="26">
        <f>IF(EK22&gt;AuMaxCasespc,INDEX(tblData[Dates],1+MATCH(AuMaxCasespc,tblData[Taiwan Cases per Capita],1)),INDEX(tblData[Dates],1+MATCH(EK22,tblData[Au Cases Per Capita],1)))</f>
        <v>43908</v>
      </c>
      <c r="EO22" s="11">
        <f>IF(tblRuns[[#This Row],[Max Cases Per Capita]]&gt;AuMaxCasespc,1,-1)*(DY$13-tblRuns[[#This Row],[Date of AUS Case Match]]+1)</f>
        <v>-46</v>
      </c>
      <c r="EP22" s="25"/>
      <c r="EQ22" s="11">
        <f ca="1">INDEX(tblData[Taiwan LogiP(t)],MATCH(VALUE(tblRuns[AtDate])+7,tblData[Dates],1))</f>
        <v>426.22645341041891</v>
      </c>
      <c r="ER22" s="19">
        <f ca="1">tblRuns[Mean Sq Err]/tblRuns[Max Cases Per Capita]</f>
        <v>8.2797245092757266E-2</v>
      </c>
      <c r="ES22" s="26">
        <f>IF(MIN(tblData[Taiwan Cases per Capita])&gt;1000,MIN(tblData[Dates]),INDEX(tblData[Dates],1+MATCH(solvMsgs!MinCases, tblData[Taiwan Cases per Capita],1)))</f>
        <v>43916</v>
      </c>
      <c r="ET22" s="133" t="str">
        <f>tblRuns[[#This Row],[Place]]&amp;" from "&amp;TEXT(Au100dt,"dd-mmm")</f>
        <v>Taiwan from 15-Mar</v>
      </c>
      <c r="EU22" s="190">
        <f ca="1">INDEX(tblData[Taiwan LogiP(t)],MATCH(tblRuns[[#This Row],[Last Date]]+1,tblData[Dates],0))-INDEX(tblData[Taiwan],MATCH(tblRuns[[#This Row],[Last Date]],tblData[Dates],0))</f>
        <v>-7.0106676410374007</v>
      </c>
      <c r="EV22" s="99" t="s">
        <v>2133</v>
      </c>
      <c r="EW22" s="99" t="str">
        <f>INDEX(tblPopulation[CtryAbbrev],MATCH(tblRuns[Place],tblPopulation[Country],0))</f>
        <v>Taiwan</v>
      </c>
      <c r="EX22" s="26" t="str">
        <f ca="1">SUBSTITUTE(tblRuns[[#This Row],[ChartLabel]]," since " &amp; solvMsgs!MinCases,"")</f>
        <v>COVID19 Taiwan P(t) = b / {d+[( b/Po - d ) ]* exp(-b*t)}
b=0.148, d=3.46E-04, P0=.639, r2=0.9922, Limit=70.5  =&gt;426   cases 
 (Fit: Wed 22-Jan - Sat 02-May)</v>
      </c>
      <c r="EY22" s="99"/>
      <c r="FF22"/>
      <c r="FG22"/>
      <c r="FH22"/>
      <c r="FI22" s="26">
        <f>FI18+14</f>
        <v>43874</v>
      </c>
      <c r="FJ22" s="25">
        <v>0.1</v>
      </c>
      <c r="FL22"/>
      <c r="FM22"/>
      <c r="FN22"/>
      <c r="FO22" s="263" t="s">
        <v>48</v>
      </c>
      <c r="FP22" s="250">
        <v>43914.309386574074</v>
      </c>
      <c r="FQ22" s="156">
        <v>43855</v>
      </c>
      <c r="FR22" s="26">
        <v>43855</v>
      </c>
      <c r="FS22" s="211">
        <v>0</v>
      </c>
      <c r="FT22" s="25">
        <v>0.21514234654205289</v>
      </c>
      <c r="FU22" s="25">
        <v>1.0000000000276037E-12</v>
      </c>
      <c r="FV22" s="21">
        <v>6.4314818913227033E-3</v>
      </c>
      <c r="FW22" s="212">
        <v>215142346536.11417</v>
      </c>
      <c r="FX22" s="212">
        <v>12.518702367489782</v>
      </c>
      <c r="FY22" s="212"/>
      <c r="FZ22" s="213">
        <v>33.451442478958782</v>
      </c>
      <c r="GA22" s="213">
        <v>1.0000000000276037E-9</v>
      </c>
      <c r="GB22" s="156">
        <v>43913</v>
      </c>
      <c r="GC22" s="25" t="s">
        <v>1017</v>
      </c>
      <c r="GD22" s="212">
        <v>215142346536.11417</v>
      </c>
      <c r="GE22" s="212">
        <v>1716</v>
      </c>
      <c r="GF22" s="25" t="s">
        <v>1039</v>
      </c>
      <c r="GG22" s="156">
        <v>43913</v>
      </c>
      <c r="GH22" s="25">
        <v>59</v>
      </c>
      <c r="GI22" s="25" t="s">
        <v>1040</v>
      </c>
      <c r="GJ22" s="25"/>
      <c r="GK22" s="25" t="s">
        <v>1041</v>
      </c>
      <c r="GM22" s="62" t="s">
        <v>1042</v>
      </c>
      <c r="GN22" s="20">
        <v>676.54944015139563</v>
      </c>
      <c r="GO22" s="156"/>
      <c r="GP22" s="218"/>
      <c r="GQ22" s="156"/>
      <c r="GR22" s="25"/>
      <c r="GS22" s="25" t="s">
        <v>1038</v>
      </c>
      <c r="GT22" s="11"/>
      <c r="GU22" s="12"/>
      <c r="GV22" s="26"/>
      <c r="GW22" s="25"/>
      <c r="GX22" s="219"/>
      <c r="HK22" s="164">
        <v>43908</v>
      </c>
      <c r="HL22" s="60">
        <v>43908.458333333336</v>
      </c>
      <c r="HM22">
        <v>267</v>
      </c>
      <c r="HN22">
        <v>33387</v>
      </c>
      <c r="HQ22" t="str">
        <f>IF(ISNUMBER(tblNSWKnown[[#This Row],[Unknown Locally]]),tblNSWKnown[[#This Row],[Known Locally]]+tblNSWKnown[[#This Row],[Unknown Locally]],"")</f>
        <v/>
      </c>
      <c r="HR22" s="25"/>
      <c r="HS22" t="str">
        <f>IF(ISNUMBER(tblNSWKnown[[#This Row],[Day '# NSW Unknown]]),betaNSWUnknown/(deltaNSWUnknown+betaPodeltaNSWUnknown*EXP(-betaNSWUnknown*tblNSWKnown[Day '# NSW Unknown])),"")</f>
        <v/>
      </c>
      <c r="HT22" t="str">
        <f>IF(ISNUMBER(tblNSWKnown[[#This Row],[Total Local]]),(tblNSWKnown[[#This Row],[Total Local]]-tblNSWKnown[[#This Row],[NSW Unknown Logi P(t)]])^2,"")</f>
        <v/>
      </c>
      <c r="HU22" s="166" t="str">
        <f>IF(ISNUMBER(tblNSWKnown[Total Local]),(tblNSWKnown[Total Local]-AVERAGE(tblNSWKnown[Total Local]))^2,"")</f>
        <v/>
      </c>
      <c r="HV22" s="166"/>
    </row>
    <row r="23" spans="2:230" x14ac:dyDescent="0.25">
      <c r="B23" s="26">
        <v>43864</v>
      </c>
      <c r="C23">
        <v>0</v>
      </c>
      <c r="D23" s="25">
        <v>0</v>
      </c>
      <c r="E23">
        <v>4</v>
      </c>
      <c r="F23">
        <v>0</v>
      </c>
      <c r="G23">
        <v>2</v>
      </c>
      <c r="H23">
        <v>2</v>
      </c>
      <c r="I23">
        <v>0</v>
      </c>
      <c r="J23">
        <v>4</v>
      </c>
      <c r="K23">
        <v>0</v>
      </c>
      <c r="L23" s="11">
        <f>IF(ISNUMBER(tblData[[#This Row],[NSW]]),tblData[[#This Row],[New South Wales]]/NSWpopscale,"")</f>
        <v>4.9504950495049505</v>
      </c>
      <c r="M23">
        <v>2</v>
      </c>
      <c r="N23" s="20">
        <f>IF(ISNUMBER(tblData[Italy]),tblData[Italy]/ItalyPopscale,"")</f>
        <v>0.33066049433743905</v>
      </c>
      <c r="O23">
        <v>11</v>
      </c>
      <c r="P23" s="20">
        <f>IF(ISNUMBER(tblData[US]),tblData[US]/USPopscale,"")</f>
        <v>0.33411521761595392</v>
      </c>
      <c r="Q23">
        <v>15</v>
      </c>
      <c r="R23" s="20">
        <f>IF(ISNUMBER(tblData[SKorea]),tblData[SKorea]/SKoreaPopscale,"")</f>
        <v>2.918287937743191</v>
      </c>
      <c r="S23">
        <v>2</v>
      </c>
      <c r="T23" s="20">
        <f>IF(ISNUMBER(tblData[United Kingdom]),tblData[United Kingdom]/UKPopscale,"")</f>
        <v>0.30102347983142685</v>
      </c>
      <c r="U23">
        <v>19716</v>
      </c>
      <c r="V23" s="20">
        <f>IF(ISNUMBER(tblData[China]),tblData[China]/ChinaPopscale,"")</f>
        <v>136.98099294095175</v>
      </c>
      <c r="W23" s="25">
        <f ca="1">IF(tblData[[#This Row],[Dates]]&lt;StartDt2China,"",tblData[[#This Row],[Dates]]-ChinaStart)</f>
        <v>12</v>
      </c>
      <c r="X23">
        <v>18</v>
      </c>
      <c r="Y23" s="20">
        <f>IF(ISNUMBER(tblData[Singapore]),tblData[Singapore]/SingaporePopscale,"")</f>
        <v>30.76923076923077</v>
      </c>
      <c r="Z23"/>
      <c r="AA23" s="20" t="str">
        <f>IF(AND(LEN(tblData[Generic])&gt;0,ISNUMBER(tblData[Generic])),tblData[Generic]/GenericPopscale,"")</f>
        <v/>
      </c>
      <c r="AB23" s="25">
        <f ca="1">IF(tblData[[#This Row],[Dates]]&lt;StartDt2Italy,"",tblData[[#This Row],[Dates]]-ItalyStart)</f>
        <v>4</v>
      </c>
      <c r="AC23" s="25">
        <f ca="1">IF(tblData[[#This Row],[Dates]]&lt;=StartDt2US,"",tblData[[#This Row],[Dates]]-USStart)</f>
        <v>12</v>
      </c>
      <c r="AD23" s="25">
        <f>IF(tblData[[#This Row],[Dates]]&lt;=SKoreaStart,"",tblData[[#This Row],[Dates]]-SKoreaStart)</f>
        <v>12</v>
      </c>
      <c r="AE23" s="25">
        <f ca="1">IF(tblData[[#This Row],[Dates]]&lt;=StartDt2UK,"",tblData[[#This Row],[Dates]]-UKStart)</f>
        <v>4</v>
      </c>
      <c r="AF23" s="25">
        <f ca="1">IF(tblData[[#This Row],[Dates]]&lt;StartDt2Singapore,"",tblData[[#This Row],[Dates]]-SingaporeStart)</f>
        <v>11</v>
      </c>
      <c r="AG23" s="25" t="str">
        <f>IF(tblData[[#This Row],[Dates]]&lt;StartDt2Generic,"",tblData[[#This Row],[Dates]]-GenericStart)</f>
        <v/>
      </c>
      <c r="AH23">
        <f ca="1">IF(tblData[Dates]&gt;StartDt2Au,tblData[Dates]-AuStart,"")</f>
        <v>9</v>
      </c>
      <c r="AI23" s="25">
        <f>IF(AND(COUNTBLANK(tblData[[#This Row],[Australian Capital Territory]:[Western Australia]])&lt;1,tblData[New South Wales]&gt;=0),SUM(tblData[[#This Row],[Australian Capital Territory]:[Western Australia]]),"")</f>
        <v>12</v>
      </c>
      <c r="AJ23" s="12">
        <f>IF(ISNUMBER(tblData[Au]),tblData[Au]/AuPopScale,"")</f>
        <v>4.731114966093676</v>
      </c>
      <c r="AK23" s="19">
        <f ca="1">IF(ISNUMBER(tblData[[#This Row],[Day'# Aust]]),betaAu/(deltaAu+betaPodeltaAu*EXP(-betaAu*tblData[[#This Row],[Day'# Aust]])),"")</f>
        <v>3.5917181196314617E-2</v>
      </c>
      <c r="AL23" s="57">
        <f ca="1">IF(ISNUMBER(tblData[Day'# Aust]),tblData[Au LogiP(t)]/AuPopScale,"")</f>
        <v>1.416069279148187E-2</v>
      </c>
      <c r="AM23" s="11">
        <f ca="1">IF(AND(tblData[Dates]&gt;StartDt2Au,ISNUMBER(tblData[Au])),(tblData[[#This Row],[Au LogiP(t)]]-tblData[[#This Row],[Au]])^2,"")</f>
        <v>143.13927769519356</v>
      </c>
      <c r="AN23" s="11">
        <f ca="1">IF(AND(ISNUMBER(tblData[Au]),tblData[Dates]&gt;StartDt2Au),(tblData[Au]-AVERAGE(tblData[Au]))^2,"")</f>
        <v>5938042.9760999996</v>
      </c>
      <c r="AO23" s="11">
        <f>tblData[[#This Row],[Dates]]-Au100dt</f>
        <v>-41</v>
      </c>
      <c r="AP23">
        <f ca="1">IF(tblData[Dates]&gt;StartDt2NSW,tblData[Dates]-StartDt2NSW,"")</f>
        <v>9</v>
      </c>
      <c r="AQ23" s="25">
        <f>IF(tblData[[#This Row],[New South Wales]]&gt;0,tblData[[#This Row],[New South Wales]],"")</f>
        <v>4</v>
      </c>
      <c r="AR23" s="44">
        <f ca="1">IF(tblData[Dates]&gt;StartDt2NSW,betaNSW/(deltaNSW+betaPodeltaNSW*EXP(-betaNSW*tblData[[#This Row],[Day '# NSW]])),"")</f>
        <v>1.0174187421072629E-2</v>
      </c>
      <c r="AS23" s="12">
        <f ca="1">IF(AND(ISNUMBER(tblData[NSW]),tblData[Dates]&gt;StartDt2NSW),(tblData[[#This Row],[NSW LogiP(t)]]-tblData[[#This Row],[NSW]])^2,"")</f>
        <v>15.918710014721098</v>
      </c>
      <c r="AT23" s="12">
        <f ca="1">IF(AND(tblData[Dates]&gt;StartDt2NSW,ISNUMBER(tblData[Day'# Aust])),tblData[NSW LogiP(t)]/NSWpopscale,"")</f>
        <v>1.2591816115188897E-2</v>
      </c>
      <c r="AU23" s="11">
        <f>tblData[[#This Row],[Dates]]-NSW100dt+1</f>
        <v>-38</v>
      </c>
      <c r="AV23" s="11">
        <f ca="1">IF(AND(ISNUMBER(tblData[NSW]),tblData[Dates]&gt;StartDt2NSW),(tblData[NSW]-AVERAGE(tblData[NSW]))^2,"")</f>
        <v>1188666.8676</v>
      </c>
      <c r="AW23" s="19">
        <f ca="1">IF(AND(tblData[Dates]&gt;StartDt2Italy,ISNUMBER(tblData[Days'# Italy])),betaItaly/(deltaItaly+betaPodeltaItaly*EXP(-betaItaly*tblData[Days'# Italy])),"")</f>
        <v>1.2193110538835927</v>
      </c>
      <c r="AX23" s="11">
        <f ca="1">IF(AND(tblData[Dates]&gt;StartDt2Italy,ISNUMBER(tblData[Italy])),(tblData[[#This Row],[Italy LogiP(t)]]-tblData[[#This Row],[Italy]])^2,"")</f>
        <v>0.60947523058834663</v>
      </c>
      <c r="AY23" s="20">
        <f ca="1">IF(AND(tblData[Dates]&gt;StartDt2Italy,ISNUMBER(tblData[Days'# Italy])),tblData[[#This Row],[Italy LogiP(t)]]/ItalyPopscale,"")</f>
        <v>0.20158899791412627</v>
      </c>
      <c r="AZ23" s="39">
        <f ca="1">IF(AND(ISNUMBER(tblData[Italy]),tblData[Dates]&gt;StartDt2Italy),(tblData[Italy]-AVERAGE(tblData[Italy]))^2,"")</f>
        <v>4864589101.9421673</v>
      </c>
      <c r="BA23" s="11">
        <f>tblData[[#This Row],[Dates]]-Italy100dt+1</f>
        <v>-23</v>
      </c>
      <c r="BB23" s="11">
        <f ca="1">IF(AND(tblData[Dates]&gt;StartDt2US,ISNUMBER(tblData[[#This Row],[Days'# US]])),betaUS/(deltaUS+betaPodeltaUS*EXP(-betaUS*tblData[Days'# US])),"")</f>
        <v>3.0121211968734251E-2</v>
      </c>
      <c r="BC23" s="11">
        <f ca="1">IF(AND(tblData[Dates]&gt;StartDt2US,ISNUMBER(tblData[US])),(tblData[[#This Row],[US LogiP(t)]]-tblData[US])^2,"")</f>
        <v>120.33824062409833</v>
      </c>
      <c r="BD23" s="20">
        <f ca="1">IF(AND(tblData[Dates]&gt;=StartDt2US,ISNUMBER(tblData[[#This Row],[Days'# US]])),tblData[[#This Row],[US LogiP(t)]]/USPopscale,"")</f>
        <v>9.1490502652635645E-4</v>
      </c>
      <c r="BE23" s="126">
        <f ca="1">IF(AND(ISNUMBER(tblData[US]),tblData[Dates]&gt;StartDt2US),(tblData[US]-AVERAGE(tblData[US]))^2,"")</f>
        <v>50145650394.648308</v>
      </c>
      <c r="BF23" s="11">
        <f>tblData[[#This Row],[Dates]]-US100dt+1</f>
        <v>-40</v>
      </c>
      <c r="BG23" s="11">
        <f ca="1">IF(tblData[Dates]&gt;StartDt2SKorea,betaSKorea/(deltaSKorea+betaPodeltaSKorea*EXP(-betaSKorea*(tblData[Dates]-StartDt2SKorea))),"")</f>
        <v>43.094504315013587</v>
      </c>
      <c r="BH23" s="11">
        <f ca="1">IF(AND(tblData[Dates]&gt;StartDt2SKorea,ISNUMBER(tblData[SKorea])),(tblData[[#This Row],[SKorea LogiP(t)]]-tblData[[#This Row],[SKorea]])^2,"")</f>
        <v>789.30117270631706</v>
      </c>
      <c r="BI23" s="11">
        <f ca="1">IF(tblData[Dates]&gt;StartDt2SKorea,tblData[[#This Row],[SKorea LogiP(t)]]/SKoreaPopscale,"")</f>
        <v>8.3841448083684025</v>
      </c>
      <c r="BJ23" s="126">
        <f ca="1">IF(AND(ISNUMBER(tblData[SKorea]),tblData[Dates]&gt;StartDt2SKorea),(tblData[SKorea]-AVERAGE(tblData[SKorea]))^2,"")</f>
        <v>33748809.413302571</v>
      </c>
      <c r="BK23" s="11">
        <f>tblData[[#This Row],[Dates]]-SKorea100dt+1</f>
        <v>-19</v>
      </c>
      <c r="BL23" s="20">
        <f ca="1">IF(AND(tblData[Dates]&gt;StartDt2UK,ISNUMBER(tblData[Days'# UK])),betaUK/(deltaUK+betaPodeltaUK*EXP(-betaUK*tblData[Days'# UK])),"")</f>
        <v>0.20637930150064523</v>
      </c>
      <c r="BM23" s="11">
        <f ca="1">IF(AND(tblData[Dates]&gt;StartDt2UK,ISNUMBER(tblData[United Kingdom])),(tblData[[#This Row],[UK LogiP(t)]]-tblData[[#This Row],[United Kingdom]])^2,"")</f>
        <v>3.2170752100853135</v>
      </c>
      <c r="BN23" s="11">
        <f ca="1">IF(ISNUMBER(tblData[Days'# UK]),tblData[[#This Row],[UK LogiP(t)]]/UKPopscale,"")</f>
        <v>3.106250775145172E-2</v>
      </c>
      <c r="BO23" s="126">
        <f ca="1">IF(AND(ISNUMBER(tblData[United Kingdom]),tblData[Dates]&gt;StartDt2UK),(tblData[United Kingdom]-AVERAGE(tblData[United Kingdom]))^2,"")</f>
        <v>1441343648.2988911</v>
      </c>
      <c r="BP23" s="11">
        <f>tblData[[#This Row],[Dates]]-UK100dt</f>
        <v>-38</v>
      </c>
      <c r="BQ23" s="11">
        <f ca="1">IF(ISNUMBER(tblData[Days'# China]),betaChina/(deltaChina+betaPodeltaChina*EXP(-betaChina*tblData[Days'# China])),"")</f>
        <v>17709.880562209179</v>
      </c>
      <c r="BR23" s="11">
        <f ca="1">IF(ISNUMBER(tblData[China]),(tblData[[#This Row],[China LogiP(t)]]-tblData[[#This Row],[China]])^2,"")</f>
        <v>4024515.1986821615</v>
      </c>
      <c r="BS23" s="11">
        <f ca="1">tblData[[#This Row],[China LogiP(t)]]/ChinaPopscale</f>
        <v>123.04306270425411</v>
      </c>
      <c r="BT23" s="126">
        <f ca="1">IF(AND(ISNUMBER(tblData[China]),tblData[Dates]&gt;StartDt2China),(tblData[China]-AVERAGE(tblData[China]))^2,"")</f>
        <v>2255154838.809689</v>
      </c>
      <c r="BU23" s="11">
        <f>tblData[[#This Row],[Dates]]-China100dt</f>
        <v>1</v>
      </c>
      <c r="BV23" s="95">
        <f ca="1">IF(ISNUMBER(tblData[Day'# Singapore]),betaSingapore/(deltaSingapore+betaPodeltaSingapore*EXP(-betaSingapore*tblData[Day'# Singapore])),"")</f>
        <v>0.48632368554262001</v>
      </c>
      <c r="BW23" s="11">
        <f ca="1">IF(AND(ISNUMBER(tblData[Singapore]),tblData[Dates]&gt;=StartDt2Singapore),(tblData[[#This Row],[Singapore LogiP(t)]]-tblData[[#This Row],[Singapore]])^2,"")</f>
        <v>306.7288580475855</v>
      </c>
      <c r="BX23" s="20">
        <f ca="1">IF(ISNUMBER(tblData[Day'# Singapore]),tblData[Singapore LogiP(t)]/SingaporePopscale,"")</f>
        <v>0.83132253938909406</v>
      </c>
      <c r="BY23" s="95">
        <f ca="1">IF(AND(ISNUMBER(tblData[Singapore]),tblData[Dates]&gt;StartDt2Singapore),(tblData[Singapore]-AVERAGE(tblData[Singapore]))^2,"")</f>
        <v>5302905.9011918502</v>
      </c>
      <c r="BZ23" s="11">
        <f>tblData[[#This Row],[Dates]]-Singapore100dt+1</f>
        <v>-10</v>
      </c>
      <c r="CA23" s="11" t="str">
        <f>IF(AND(tblData[Dates]&gt;StartDt2Generic,ISNUMBER(tblData[Day'# Generic])),betaGeneric/(deltaGeneric+betaPodeltaGeneric*EXP(-betaGeneric*tblData[Day'# Generic])),"")</f>
        <v/>
      </c>
      <c r="CB23" s="95" t="str">
        <f>IF(AND(ISNUMBER(tblData[Generic]),tblData[Dates]&gt;StartDt2Generic),(tblData[Generic LogiP(t)]-tblData[[#This Row],[Generic]])^2,"")</f>
        <v/>
      </c>
      <c r="CC23" s="11" t="str">
        <f>IF(AND(ISNUMBER(tblData[Day'# Generic]),tblData[Dates]&gt;StartDt2Generic),tblData[Generic LogiP(t)]/GenericPopscale,"")</f>
        <v/>
      </c>
      <c r="CD23" s="95" t="str">
        <f>IF(AND(ISNUMBER(tblData[Generic]),tblData[Dates]&gt;StartDt2Generic),(tblData[Generic]-AVERAGE(tblData[Generic]))^2,"")</f>
        <v/>
      </c>
      <c r="CE23" s="11">
        <f>tblData[[#This Row],[Dates]]-Generic100dt+1</f>
        <v>-38</v>
      </c>
      <c r="CF23"/>
      <c r="CG23" s="11"/>
      <c r="CH23" s="11" t="str">
        <f>IF(ISNUMBER(tblData[[#This Row],[Tests]]),tblData[[#This Row],[Tests]]-CH22,"")</f>
        <v/>
      </c>
      <c r="CI23" s="11" t="str">
        <f>IF(ISNUMBER(tblData[[#This Row],[NSW Under Investigation'']]),tblData[[#This Row],[NSW Under Investigation'']]-CG22,"")</f>
        <v/>
      </c>
      <c r="CJ23" s="11"/>
      <c r="CK23" s="11" t="str">
        <f>IF(AND(tblData[[#This Row],[NSW Test Day Number]]&gt;0,ISNUMBER(tblData[[#This Row],[NSW Test Day Number]])),betaTests/(deltaTests+betaPodeltaTests*EXP(-betaTests*tblData[[#This Row],[NSW Test Day Number]])),"")</f>
        <v/>
      </c>
      <c r="CL23" s="11" t="str">
        <f>IF(tblData[Tests]&gt;0,(tblData[[#This Row],[Tests]]-tblData[[#This Row],[NSW Test Logi]])^2,"")</f>
        <v/>
      </c>
      <c r="CM23" s="95" t="str">
        <f>IF(AND(ISNUMBER(tblData[Tests]),tblData[Dates]&gt;StartDt2Tests),(tblData[Tests]-AVERAGE(tblData[Tests]))^2,"")</f>
        <v/>
      </c>
      <c r="CN23" s="11" t="str">
        <f>IF(ISNUMBER(tblData[Tests]),tblData[Tests]/NSWpopscale/100,"")</f>
        <v/>
      </c>
      <c r="CO23" s="11" t="str">
        <f>IF(AND(tblData[[#This Row],[NSW Test Day Number]]&gt;0,ISNUMBER(tblData[[#This Row],[NSW Test Day Number]])),TestsLogestB*TestsLogestM^tblData[[#This Row],[NSW Test Day Number]],"")</f>
        <v/>
      </c>
      <c r="CP23" s="11" t="str">
        <f>IF(AND(tblData[[#This Row],[NSW Test Day Number]]&gt;0,ISNUMBER(tblData[Tests])),(tblData[Tests]-tblData[[#This Row],[NSW Test Per Capita]])^2,"")</f>
        <v/>
      </c>
      <c r="CQ23" s="20">
        <f ca="1">IF(AND(tblData[Day '# NSW]&gt;0,ISNUMBER(tblData[[#This Row],[Day '# NSW]])),NSWLogestB*NSWLogestM^tblData[[#This Row],[Day '# NSW]]/NSWpopscale,"")</f>
        <v>3.3676882015876299</v>
      </c>
      <c r="CR23" s="39">
        <f ca="1">IF(AND(ISNUMBER(tblData[NSW]),tblData[Dates]&gt;StartDt2NSW),(tblData[NSW]/NSWpopscale-tblData[[#This Row],[NSW Cases LogEst]])^2,"")</f>
        <v>2.5052775178139637</v>
      </c>
      <c r="CS23">
        <v>10</v>
      </c>
      <c r="CT23" s="19">
        <f>IF(ISNUMBER(tblData[Taiwan]),tblData[Taiwan]/TaiwanPopscale,"")</f>
        <v>4.2003954924379858</v>
      </c>
      <c r="CU23" s="11">
        <f ca="1">IF(tblData[[#This Row],[Dates]]&lt;StartDt2Taiwan,"",tblData[[#This Row],[Dates]]-TaiwanStart)</f>
        <v>12</v>
      </c>
      <c r="CV23" s="19">
        <f ca="1">IF(AND(tblData[Dates]&gt;StartDt2Taiwan,ISNUMBER(tblData[Days'# Taiwan])),betaTaiwan/(deltaTaiwan+betaPodeltaTaiwan*EXP(-betaTaiwan*tblData[Days'# Taiwan])),"")</f>
        <v>0.25035789658252122</v>
      </c>
      <c r="CW23" s="95">
        <f ca="1">IF(AND(tblData[Dates]&gt;StartDt2Taiwan,ISNUMBER(tblData[Taiwan])),(tblData[[#This Row],[Taiwan LogiP(t)]]-tblData[[#This Row],[Taiwan]])^2,"")</f>
        <v>95.055521144730804</v>
      </c>
      <c r="CX23" s="20">
        <f ca="1">IF(AND(tblData[Dates]&gt;StartDt2Taiwan,ISNUMBER(tblData[Days'# Taiwan])),tblData[[#This Row],[Taiwan LogiP(t)]]/TaiwanPopscale,"")</f>
        <v>0.10516021803014776</v>
      </c>
      <c r="CY23" s="95">
        <f ca="1">IF(AND(ISNUMBER(tblData[Taiwan]),tblData[Dates]&gt;StartDt2Taiwan),(tblData[Taiwan]-AVERAGE(tblData[Taiwan]))^2,"")</f>
        <v>25455.889657823918</v>
      </c>
      <c r="CZ23" s="11">
        <f>tblData[[#This Row],[Dates]]-Taiwan100dt+1</f>
        <v>-51</v>
      </c>
      <c r="DA23"/>
      <c r="DB23" s="20" t="str">
        <f>IF(ISNUMBER(tblData[NZ]),tblData[NZ]/NZPopscale,"")</f>
        <v/>
      </c>
      <c r="DC23" s="11" t="str">
        <f ca="1">IF(tblData[[#This Row],[Dates]]&lt;StartDt2NZ,"",tblData[[#This Row],[Dates]]-NZStart)</f>
        <v/>
      </c>
      <c r="DD23" s="20" t="str">
        <f ca="1">IF(AND(tblData[Dates]&gt;StartDt2NZ,ISNUMBER(tblData[Days'# NZ])),betaNZ/(deltaNZ+betaPodeltaNZ*EXP(-betaNZ*tblData[Days'# NZ])),"")</f>
        <v/>
      </c>
      <c r="DE23" s="95" t="str">
        <f ca="1">IF(AND(tblData[Dates]&gt;StartDt2NZ,ISNUMBER(tblData[NZ])),(tblData[[#This Row],[NZ LogiP(t)]]-tblData[[#This Row],[NZ]])^2,"")</f>
        <v/>
      </c>
      <c r="DF23" s="20" t="str">
        <f ca="1">IF(AND(tblData[Dates]&gt;StartDt2NZ,ISNUMBER(tblData[Days'# NZ])),tblData[[#This Row],[NZ LogiP(t)]]/NZPopscale,"")</f>
        <v/>
      </c>
      <c r="DG23" s="95" t="str">
        <f ca="1">IF(AND(ISNUMBER(tblData[NZ]),tblData[Dates]&gt;StartDt2NZ),(tblData[NZ]-AVERAGE(tblData[NZ]))^2,"")</f>
        <v/>
      </c>
      <c r="DH23" s="11">
        <f>tblData[[#This Row],[Dates]]-NZ100dt+1</f>
        <v>-47</v>
      </c>
      <c r="DI23" s="39"/>
      <c r="DJ23" s="11"/>
      <c r="DK23" s="26"/>
      <c r="DL23" s="25" t="s">
        <v>93</v>
      </c>
      <c r="DM23" s="154">
        <v>43954.72451388889</v>
      </c>
      <c r="DN23" s="191">
        <f>INDEX(tblPopulation[Day 0],MATCH(tblRuns[[#This Row],[Place]],tblPopulation[Country],0),1)</f>
        <v>43889</v>
      </c>
      <c r="DO23" s="191">
        <f ca="1">INDEX(tblPopulation[Logistic Start2],MATCH($DL23,tblPopulation[Country],0),1)</f>
        <v>43888</v>
      </c>
      <c r="DP23" s="27">
        <v>15</v>
      </c>
      <c r="DQ23" s="192">
        <v>0.23298763387202967</v>
      </c>
      <c r="DR23" s="71">
        <v>1.5946007988690015E-4</v>
      </c>
      <c r="DS23" s="71">
        <v>0.6389765835282526</v>
      </c>
      <c r="DT23" s="193">
        <f>betaNZ/deltaNZ</f>
        <v>1461.1032054999609</v>
      </c>
      <c r="DU23" s="21">
        <f ca="1">SQRT(SUM(tblData[NZ Sq Err])/COUNT(tblData[NZ Sq Err]))</f>
        <v>20.717935572032008</v>
      </c>
      <c r="DV23" s="71">
        <f ca="1">1-(SUM(tblData[NZ Sq Err])/SUM(tblData[NZ Mean Devn Sq]))</f>
        <v>0.99892293771583385</v>
      </c>
      <c r="DW23" s="73">
        <f>(betaNZ/PoNZ)-deltaNZ</f>
        <v>0.36446678738842592</v>
      </c>
      <c r="DX23" s="73">
        <f>tblRuns[d]*1000</f>
        <v>0.15946007988690014</v>
      </c>
      <c r="DY23" s="26">
        <f t="array" ref="DY23">MAX(IF(ISNUMBER(tblData[NZ]),tblData[Dates]))</f>
        <v>43953</v>
      </c>
      <c r="DZ23" s="26" t="str">
        <f>Cengnotation(tblRuns[[#This Row],[Asymptote b/d]],3)</f>
        <v>1.46 k</v>
      </c>
      <c r="EA23" s="95">
        <f t="array" aca="1" ref="EA23" ca="1">MAX(tblData[NZ LogiP(t)])</f>
        <v>1461.1032045521611</v>
      </c>
      <c r="EB23" s="25">
        <f>MAX(tblData[NZ])</f>
        <v>1487</v>
      </c>
      <c r="EC23" s="25" t="str">
        <f>Cengnotation(tblRuns[[#This Row],[Asymptote b/d]]/(NZPop/PerPerson),3)</f>
        <v>2.79 k</v>
      </c>
      <c r="ED23" s="26">
        <f t="array" ref="ED23">MAX(IF(ISNUMBER(tblData[NZ]),tblData[Dates]))</f>
        <v>43953</v>
      </c>
      <c r="EE23" s="11">
        <f>COUNT(IF(ISNUMBER(tblData[NZ]),tblData[Dates]))</f>
        <v>1</v>
      </c>
      <c r="EF23" s="26" t="str">
        <f ca="1">"b="&amp;TEXT(tblRuns[b],"##0.###")&amp;", d="&amp;TEXT(tblRuns[d],"0.00E+00")&amp;", P0="&amp;TEXT(Po,"#.###")&amp; ", r2=" &amp;TEXT(tblRuns[[#This Row],[R2]],"0.####") &amp;", Limit="&amp;IF(PopScaling=0,tblRuns[Asymptote b/d],tblRuns[[#This Row],[Asymp PerP]])&amp;"=&gt;"&amp;Cengnotation(tblRuns[[#This Row],[Limit Cases]],3)&amp;" cases "&amp;tblRuns[[#This Row],[Notes]]</f>
        <v xml:space="preserve">b=0.233, d=1.59E-04, P0=.639, r2=0.9989, Limit=2.79 k=&gt;1.46 k cases </v>
      </c>
      <c r="EG23" s="25"/>
      <c r="EH23" s="25" t="str">
        <f ca="1">tblRuns[Place]&amp;" Limit " &amp; IF(PopScaling=0,tblRuns[[#This Row],[Asymptote]],tblRuns[[#This Row],[Asymp PerP]])&amp;" r^2="&amp;TEXT(tblRuns[[#This Row],[R2]]*100,"##.00")&amp;"%"</f>
        <v>New Zealand Limit 2.79 k r^2=99.89%</v>
      </c>
      <c r="EJ23" s="18" t="str">
        <f ca="1">"COVID19 "&amp;tblRuns[[#This Row],[Place]] &amp; " " &amp;LogFormula&amp;CHAR(10)&amp;tblRuns[[#This Row],[Parameter List]]&amp;CHAR(10)&amp;" (Fit: " &amp; TEXT(tblRuns[Logistic Start2],"ddd dd-mmm") &amp; " - " &amp; TEXT(tblRuns[Last Date],"ddd dd-mmm")&amp;")"</f>
        <v>COVID19 New Zealand P(t) = b / {d+[( b/Po - d ) ]* exp(-b*t)}
b=0.233, d=1.59E-04, P0=.639, r2=0.9989, Limit=2.79 k=&gt;1.46 k cases 
 (Fit: Thu 27-Feb - Sat 02-May)</v>
      </c>
      <c r="EK23" s="11">
        <f>MAX(tblData[NZ Cases per Capita])</f>
        <v>2843.21223709369</v>
      </c>
      <c r="EL23" s="156">
        <f>IF(tblRuns[[#This Row],[Max Cases Per Capita]]&gt;NSWMaxCasespc,INDEX(tblData[Dates],1+MATCH(NSWMaxCasespc,tblData[NZ Cases per Capita],1)),INDEX(tblData[Dates],1+MATCH(tblRuns[[#This Row],[Max Cases Per Capita]],tblData[NSW Cases per Capita],1)))</f>
        <v>43923</v>
      </c>
      <c r="EM23" s="11">
        <f>IF(tblRuns[[#This Row],[Max Cases Per Capita]]&gt;NSWMaxCasespc,1,-1)*(DY$12-tblRuns[[#This Row],[Date of NSW Case Match]])</f>
        <v>-31</v>
      </c>
      <c r="EN23" s="26">
        <f>IF(EK23&gt;AuMaxCasespc,INDEX(tblData[Dates],1+MATCH(AuMaxCasespc,tblData[NZ Cases per Capita],1)),INDEX(tblData[Dates],1+MATCH(EK23,tblData[Au Cases Per Capita],1)))</f>
        <v>43938</v>
      </c>
      <c r="EO23" s="11">
        <f>IF(tblRuns[[#This Row],[Max Cases Per Capita]]&gt;AuMaxCasespc,1,-1)*(DY$13-tblRuns[[#This Row],[Date of AUS Case Match]]+1)</f>
        <v>16</v>
      </c>
      <c r="EP23" s="25"/>
      <c r="EQ23" s="11" t="e">
        <f>INDEX(tblData[NZ LogiP(t)],MATCH(VALUE(tblRuns[AtDate])+7,tblData[Dates],0))</f>
        <v>#N/A</v>
      </c>
      <c r="ER23" s="19">
        <f ca="1">tblRuns[Mean Sq Err]/tblRuns[Max Cases Per Capita]</f>
        <v>7.2868058535122673E-3</v>
      </c>
      <c r="ES23" s="26">
        <f>IF(MIN(tblData[NZ Cases per Capita])&gt;0,MIN(tblData[Dates]),INDEX(tblData[Dates],1+MATCH(solvMsgs!MinCases, tblData[NZ Cases per Capita],1)))</f>
        <v>43912</v>
      </c>
      <c r="ET23" s="133" t="str">
        <f>tblRuns[[#This Row],[CtryAbbrev]]&amp;" from "&amp;TEXT(tblRuns[DateOver100],"dd-mmm")</f>
        <v>NZ from 22-Mar</v>
      </c>
      <c r="EU23" s="190">
        <f ca="1">INDEX(tblData[NZ LogiP(t)],MATCH(tblRuns[[#This Row],[Last Date]]+1,tblData[Dates],0))-INDEX(tblData[NZ],MATCH(tblRuns[[#This Row],[Last Date]],tblData[Dates],0))</f>
        <v>-26.780654003833206</v>
      </c>
      <c r="EV23" s="99" t="s">
        <v>1452</v>
      </c>
      <c r="EW23" s="102" t="str">
        <f>INDEX(tblPopulation[CtryAbbrev],MATCH(tblRuns[Place],tblPopulation[Country],0))</f>
        <v>NZ</v>
      </c>
      <c r="EX23" s="26" t="str">
        <f ca="1">SUBSTITUTE(tblRuns[[#This Row],[ChartLabel]]," since " &amp; solvMsgs!MinCases,"")</f>
        <v>COVID19 New Zealand P(t) = b / {d+[( b/Po - d ) ]* exp(-b*t)}
b=0.233, d=1.59E-04, P0=.639, r2=0.9989, Limit=2.79 k=&gt;1.46 k cases 
 (Fit: Thu 27-Feb - Sat 02-May)</v>
      </c>
      <c r="EY23" s="102"/>
      <c r="FF23"/>
      <c r="FG23"/>
      <c r="FH23"/>
      <c r="FI23"/>
      <c r="FJ23"/>
      <c r="FK23"/>
      <c r="FL23"/>
      <c r="FM23"/>
      <c r="FN23"/>
      <c r="FO23" s="263" t="s">
        <v>48</v>
      </c>
      <c r="FP23" s="250">
        <v>43914.45108796296</v>
      </c>
      <c r="FQ23" s="156">
        <v>43855</v>
      </c>
      <c r="FR23" s="26">
        <v>43855</v>
      </c>
      <c r="FS23" s="211">
        <v>0</v>
      </c>
      <c r="FT23" s="25">
        <v>0.21628365962159252</v>
      </c>
      <c r="FU23" s="25">
        <v>1.4253070268900137E-5</v>
      </c>
      <c r="FV23" s="21">
        <v>6.440673502432822E-3</v>
      </c>
      <c r="FW23" s="212">
        <v>15174.531209147151</v>
      </c>
      <c r="FX23" s="212">
        <v>20.170498206159532</v>
      </c>
      <c r="FY23" s="212"/>
      <c r="FZ23" s="213">
        <v>33.580893013832195</v>
      </c>
      <c r="GA23" s="213">
        <v>1.4253070268900136E-2</v>
      </c>
      <c r="GB23" s="156">
        <v>43914</v>
      </c>
      <c r="GC23" s="25" t="s">
        <v>1050</v>
      </c>
      <c r="GD23" s="212">
        <v>15174.531209147151</v>
      </c>
      <c r="GE23" s="212">
        <v>1886</v>
      </c>
      <c r="GF23" s="25" t="s">
        <v>1051</v>
      </c>
      <c r="GG23" s="156">
        <v>43914</v>
      </c>
      <c r="GH23" s="25">
        <v>60</v>
      </c>
      <c r="GI23" s="25" t="s">
        <v>1052</v>
      </c>
      <c r="GJ23" s="25"/>
      <c r="GK23" s="25" t="s">
        <v>1053</v>
      </c>
      <c r="GM23" s="62" t="s">
        <v>1054</v>
      </c>
      <c r="GN23" s="20">
        <v>743.57356883772275</v>
      </c>
      <c r="GO23" s="156"/>
      <c r="GP23" s="218"/>
      <c r="GQ23" s="156"/>
      <c r="GR23" s="25"/>
      <c r="GS23" s="25" t="s">
        <v>1049</v>
      </c>
      <c r="GT23" s="11"/>
      <c r="GU23" s="12"/>
      <c r="GV23" s="26"/>
      <c r="GW23" s="25"/>
      <c r="GX23" s="219"/>
      <c r="HK23" s="164">
        <v>43909</v>
      </c>
      <c r="HL23" s="60">
        <v>43909.458333333336</v>
      </c>
      <c r="HM23">
        <v>307</v>
      </c>
      <c r="HN23">
        <v>38782</v>
      </c>
      <c r="HQ23" t="str">
        <f>IF(ISNUMBER(tblNSWKnown[[#This Row],[Unknown Locally]]),tblNSWKnown[[#This Row],[Known Locally]]+tblNSWKnown[[#This Row],[Unknown Locally]],"")</f>
        <v/>
      </c>
      <c r="HR23" s="25"/>
      <c r="HS23" t="str">
        <f>IF(ISNUMBER(tblNSWKnown[[#This Row],[Day '# NSW Unknown]]),betaNSWUnknown/(deltaNSWUnknown+betaPodeltaNSWUnknown*EXP(-betaNSWUnknown*tblNSWKnown[Day '# NSW Unknown])),"")</f>
        <v/>
      </c>
      <c r="HT23" t="str">
        <f>IF(ISNUMBER(tblNSWKnown[[#This Row],[Total Local]]),(tblNSWKnown[[#This Row],[Total Local]]-tblNSWKnown[[#This Row],[NSW Unknown Logi P(t)]])^2,"")</f>
        <v/>
      </c>
      <c r="HU23" s="166" t="str">
        <f>IF(ISNUMBER(tblNSWKnown[Total Local]),(tblNSWKnown[Total Local]-AVERAGE(tblNSWKnown[Total Local]))^2,"")</f>
        <v/>
      </c>
      <c r="HV23" s="166"/>
    </row>
    <row r="24" spans="2:230" x14ac:dyDescent="0.25">
      <c r="B24" s="26">
        <v>43865</v>
      </c>
      <c r="C24">
        <v>0</v>
      </c>
      <c r="D24" s="25">
        <v>0</v>
      </c>
      <c r="E24">
        <v>4</v>
      </c>
      <c r="F24">
        <v>0</v>
      </c>
      <c r="G24">
        <v>3</v>
      </c>
      <c r="H24">
        <v>2</v>
      </c>
      <c r="I24">
        <v>0</v>
      </c>
      <c r="J24">
        <v>4</v>
      </c>
      <c r="K24">
        <v>0</v>
      </c>
      <c r="L24" s="11">
        <f>IF(ISNUMBER(tblData[[#This Row],[NSW]]),tblData[[#This Row],[New South Wales]]/NSWpopscale,"")</f>
        <v>4.9504950495049505</v>
      </c>
      <c r="M24">
        <v>2</v>
      </c>
      <c r="N24" s="20">
        <f>IF(ISNUMBER(tblData[Italy]),tblData[Italy]/ItalyPopscale,"")</f>
        <v>0.33066049433743905</v>
      </c>
      <c r="O24">
        <v>11</v>
      </c>
      <c r="P24" s="20">
        <f>IF(ISNUMBER(tblData[US]),tblData[US]/USPopscale,"")</f>
        <v>0.33411521761595392</v>
      </c>
      <c r="Q24">
        <v>16</v>
      </c>
      <c r="R24" s="20">
        <f>IF(ISNUMBER(tblData[SKorea]),tblData[SKorea]/SKoreaPopscale,"")</f>
        <v>3.1128404669260701</v>
      </c>
      <c r="S24">
        <v>2</v>
      </c>
      <c r="T24" s="20">
        <f>IF(ISNUMBER(tblData[United Kingdom]),tblData[United Kingdom]/UKPopscale,"")</f>
        <v>0.30102347983142685</v>
      </c>
      <c r="U24">
        <v>23707</v>
      </c>
      <c r="V24" s="20">
        <f>IF(ISNUMBER(tblData[China]),tblData[China]/ChinaPopscale,"")</f>
        <v>164.7092919279338</v>
      </c>
      <c r="W24" s="25">
        <f ca="1">IF(tblData[[#This Row],[Dates]]&lt;StartDt2China,"",tblData[[#This Row],[Dates]]-ChinaStart)</f>
        <v>13</v>
      </c>
      <c r="X24">
        <v>24</v>
      </c>
      <c r="Y24" s="20">
        <f>IF(ISNUMBER(tblData[Singapore]),tblData[Singapore]/SingaporePopscale,"")</f>
        <v>41.025641025641029</v>
      </c>
      <c r="Z24"/>
      <c r="AA24" s="20" t="str">
        <f>IF(AND(LEN(tblData[Generic])&gt;0,ISNUMBER(tblData[Generic])),tblData[Generic]/GenericPopscale,"")</f>
        <v/>
      </c>
      <c r="AB24" s="25">
        <f ca="1">IF(tblData[[#This Row],[Dates]]&lt;StartDt2Italy,"",tblData[[#This Row],[Dates]]-ItalyStart)</f>
        <v>5</v>
      </c>
      <c r="AC24" s="25">
        <f ca="1">IF(tblData[[#This Row],[Dates]]&lt;=StartDt2US,"",tblData[[#This Row],[Dates]]-USStart)</f>
        <v>13</v>
      </c>
      <c r="AD24" s="25">
        <f>IF(tblData[[#This Row],[Dates]]&lt;=SKoreaStart,"",tblData[[#This Row],[Dates]]-SKoreaStart)</f>
        <v>13</v>
      </c>
      <c r="AE24" s="25">
        <f ca="1">IF(tblData[[#This Row],[Dates]]&lt;=StartDt2UK,"",tblData[[#This Row],[Dates]]-UKStart)</f>
        <v>5</v>
      </c>
      <c r="AF24" s="25">
        <f ca="1">IF(tblData[[#This Row],[Dates]]&lt;StartDt2Singapore,"",tblData[[#This Row],[Dates]]-SingaporeStart)</f>
        <v>12</v>
      </c>
      <c r="AG24" s="25" t="str">
        <f>IF(tblData[[#This Row],[Dates]]&lt;StartDt2Generic,"",tblData[[#This Row],[Dates]]-GenericStart)</f>
        <v/>
      </c>
      <c r="AH24">
        <f ca="1">IF(tblData[Dates]&gt;StartDt2Au,tblData[Dates]-AuStart,"")</f>
        <v>10</v>
      </c>
      <c r="AI24" s="25">
        <f>IF(AND(COUNTBLANK(tblData[[#This Row],[Australian Capital Territory]:[Western Australia]])&lt;1,tblData[New South Wales]&gt;=0),SUM(tblData[[#This Row],[Australian Capital Territory]:[Western Australia]]),"")</f>
        <v>13</v>
      </c>
      <c r="AJ24" s="12">
        <f>IF(ISNUMBER(tblData[Au]),tblData[Au]/AuPopScale,"")</f>
        <v>5.1253745466014822</v>
      </c>
      <c r="AK24" s="19">
        <f ca="1">IF(ISNUMBER(tblData[[#This Row],[Day'# Aust]]),betaAu/(deltaAu+betaPodeltaAu*EXP(-betaAu*tblData[[#This Row],[Day'# Aust]])),"")</f>
        <v>4.5032794079884426E-2</v>
      </c>
      <c r="AL24" s="57">
        <f ca="1">IF(ISNUMBER(tblData[Day'# Aust]),tblData[Au LogiP(t)]/AuPopScale,"")</f>
        <v>1.775461050302966E-2</v>
      </c>
      <c r="AM24" s="11">
        <f ca="1">IF(AND(tblData[Dates]&gt;StartDt2Au,ISNUMBER(tblData[Au])),(tblData[[#This Row],[Au LogiP(t)]]-tblData[[#This Row],[Au]])^2,"")</f>
        <v>167.83117530646567</v>
      </c>
      <c r="AN24" s="11">
        <f ca="1">IF(AND(ISNUMBER(tblData[Au]),tblData[Dates]&gt;StartDt2Au),(tblData[Au]-AVERAGE(tblData[Au]))^2,"")</f>
        <v>5933170.3560999995</v>
      </c>
      <c r="AO24" s="11">
        <f>tblData[[#This Row],[Dates]]-Au100dt</f>
        <v>-40</v>
      </c>
      <c r="AP24">
        <f ca="1">IF(tblData[Dates]&gt;StartDt2NSW,tblData[Dates]-StartDt2NSW,"")</f>
        <v>10</v>
      </c>
      <c r="AQ24" s="25">
        <f>IF(tblData[[#This Row],[New South Wales]]&gt;0,tblData[[#This Row],[New South Wales]],"")</f>
        <v>4</v>
      </c>
      <c r="AR24" s="44">
        <f ca="1">IF(tblData[Dates]&gt;StartDt2NSW,betaNSW/(deltaNSW+betaPodeltaNSW*EXP(-betaNSW*tblData[[#This Row],[Day '# NSW]])),"")</f>
        <v>1.2860286871552879E-2</v>
      </c>
      <c r="AS24" s="12">
        <f ca="1">IF(AND(ISNUMBER(tblData[NSW]),tblData[Dates]&gt;StartDt2NSW),(tblData[[#This Row],[NSW LogiP(t)]]-tblData[[#This Row],[NSW]])^2,"")</f>
        <v>15.897283092005994</v>
      </c>
      <c r="AT24" s="12">
        <f ca="1">IF(AND(tblData[Dates]&gt;StartDt2NSW,ISNUMBER(tblData[Day'# Aust])),tblData[NSW LogiP(t)]/NSWpopscale,"")</f>
        <v>1.5916196623209006E-2</v>
      </c>
      <c r="AU24" s="11">
        <f>tblData[[#This Row],[Dates]]-NSW100dt+1</f>
        <v>-37</v>
      </c>
      <c r="AV24" s="11">
        <f ca="1">IF(AND(ISNUMBER(tblData[NSW]),tblData[Dates]&gt;StartDt2NSW),(tblData[NSW]-AVERAGE(tblData[NSW]))^2,"")</f>
        <v>1188666.8676</v>
      </c>
      <c r="AW24" s="19">
        <f ca="1">IF(AND(tblData[Dates]&gt;StartDt2Italy,ISNUMBER(tblData[Days'# Italy])),betaItaly/(deltaItaly+betaPodeltaItaly*EXP(-betaItaly*tblData[Days'# Italy])),"")</f>
        <v>1.5706131070426246</v>
      </c>
      <c r="AX24" s="11">
        <f ca="1">IF(AND(tblData[Dates]&gt;StartDt2Italy,ISNUMBER(tblData[Italy])),(tblData[[#This Row],[Italy LogiP(t)]]-tblData[[#This Row],[Italy]])^2,"")</f>
        <v>0.18437310384358857</v>
      </c>
      <c r="AY24" s="20">
        <f ca="1">IF(AND(tblData[Dates]&gt;StartDt2Italy,ISNUMBER(tblData[Days'# Italy])),tblData[[#This Row],[Italy LogiP(t)]]/ItalyPopscale,"")</f>
        <v>0.25966985319378766</v>
      </c>
      <c r="AZ24" s="39">
        <f ca="1">IF(AND(ISNUMBER(tblData[Italy]),tblData[Dates]&gt;StartDt2Italy),(tblData[Italy]-AVERAGE(tblData[Italy]))^2,"")</f>
        <v>4864589101.9421673</v>
      </c>
      <c r="BA24" s="11">
        <f>tblData[[#This Row],[Dates]]-Italy100dt+1</f>
        <v>-22</v>
      </c>
      <c r="BB24" s="11">
        <f ca="1">IF(AND(tblData[Dates]&gt;StartDt2US,ISNUMBER(tblData[[#This Row],[Days'# US]])),betaUS/(deltaUS+betaPodeltaUS*EXP(-betaUS*tblData[Days'# US])),"")</f>
        <v>4.0004772825681781E-2</v>
      </c>
      <c r="BC24" s="11">
        <f ca="1">IF(AND(tblData[Dates]&gt;StartDt2US,ISNUMBER(tblData[US])),(tblData[[#This Row],[US LogiP(t)]]-tblData[US])^2,"")</f>
        <v>120.12149537968382</v>
      </c>
      <c r="BD24" s="20">
        <f ca="1">IF(AND(tblData[Dates]&gt;=StartDt2US,ISNUMBER(tblData[[#This Row],[Days'# US]])),tblData[[#This Row],[US LogiP(t)]]/USPopscale,"")</f>
        <v>1.2151093980299517E-3</v>
      </c>
      <c r="BE24" s="126">
        <f ca="1">IF(AND(ISNUMBER(tblData[US]),tblData[Dates]&gt;StartDt2US),(tblData[US]-AVERAGE(tblData[US]))^2,"")</f>
        <v>50145650394.648308</v>
      </c>
      <c r="BF24" s="11">
        <f>tblData[[#This Row],[Dates]]-US100dt+1</f>
        <v>-39</v>
      </c>
      <c r="BG24" s="11">
        <f ca="1">IF(tblData[Dates]&gt;StartDt2SKorea,betaSKorea/(deltaSKorea+betaPodeltaSKorea*EXP(-betaSKorea*(tblData[Dates]-StartDt2SKorea))),"")</f>
        <v>51.41335568467121</v>
      </c>
      <c r="BH24" s="11">
        <f ca="1">IF(AND(tblData[Dates]&gt;StartDt2SKorea,ISNUMBER(tblData[SKorea])),(tblData[[#This Row],[SKorea LogiP(t)]]-tblData[[#This Row],[SKorea]])^2,"")</f>
        <v>1254.1057608490346</v>
      </c>
      <c r="BI24" s="11">
        <f ca="1">IF(tblData[Dates]&gt;StartDt2SKorea,tblData[[#This Row],[SKorea LogiP(t)]]/SKoreaPopscale,"")</f>
        <v>10.002598382231753</v>
      </c>
      <c r="BJ24" s="126">
        <f ca="1">IF(AND(ISNUMBER(tblData[SKorea]),tblData[Dates]&gt;StartDt2SKorea),(tblData[SKorea]-AVERAGE(tblData[SKorea]))^2,"")</f>
        <v>33737191.668204531</v>
      </c>
      <c r="BK24" s="11">
        <f>tblData[[#This Row],[Dates]]-SKorea100dt+1</f>
        <v>-18</v>
      </c>
      <c r="BL24" s="20">
        <f ca="1">IF(AND(tblData[Dates]&gt;StartDt2UK,ISNUMBER(tblData[Days'# UK])),betaUK/(deltaUK+betaPodeltaUK*EXP(-betaUK*tblData[Days'# UK])),"")</f>
        <v>0.25542352696606335</v>
      </c>
      <c r="BM24" s="11">
        <f ca="1">IF(AND(tblData[Dates]&gt;StartDt2UK,ISNUMBER(tblData[United Kingdom])),(tblData[[#This Row],[UK LogiP(t)]]-tblData[[#This Row],[United Kingdom]])^2,"")</f>
        <v>3.0435470702635299</v>
      </c>
      <c r="BN24" s="11">
        <f ca="1">IF(ISNUMBER(tblData[Days'# UK]),tblData[[#This Row],[UK LogiP(t)]]/UKPopscale,"")</f>
        <v>3.8444239459070342E-2</v>
      </c>
      <c r="BO24" s="126">
        <f ca="1">IF(AND(ISNUMBER(tblData[United Kingdom]),tblData[Dates]&gt;StartDt2UK),(tblData[United Kingdom]-AVERAGE(tblData[United Kingdom]))^2,"")</f>
        <v>1441343648.2988911</v>
      </c>
      <c r="BP24" s="11">
        <f>tblData[[#This Row],[Dates]]-UK100dt</f>
        <v>-37</v>
      </c>
      <c r="BQ24" s="11">
        <f ca="1">IF(ISNUMBER(tblData[Days'# China]),betaChina/(deltaChina+betaPodeltaChina*EXP(-betaChina*tblData[Days'# China])),"")</f>
        <v>20969.277066143521</v>
      </c>
      <c r="BR24" s="11">
        <f ca="1">IF(ISNUMBER(tblData[China]),(tblData[[#This Row],[China LogiP(t)]]-tblData[[#This Row],[China]])^2,"")</f>
        <v>7495126.8625637293</v>
      </c>
      <c r="BS24" s="11">
        <f ca="1">tblData[[#This Row],[China LogiP(t)]]/ChinaPopscale</f>
        <v>145.68839489623994</v>
      </c>
      <c r="BT24" s="126">
        <f ca="1">IF(AND(ISNUMBER(tblData[China]),tblData[Dates]&gt;StartDt2China),(tblData[China]-AVERAGE(tblData[China]))^2,"")</f>
        <v>1892029947.5743949</v>
      </c>
      <c r="BU24" s="11">
        <f>tblData[[#This Row],[Dates]]-China100dt</f>
        <v>2</v>
      </c>
      <c r="BV24" s="95">
        <f ca="1">IF(ISNUMBER(tblData[Day'# Singapore]),betaSingapore/(deltaSingapore+betaPodeltaSingapore*EXP(-betaSingapore*tblData[Day'# Singapore])),"")</f>
        <v>0.55140947581914346</v>
      </c>
      <c r="BW24" s="11">
        <f ca="1">IF(AND(ISNUMBER(tblData[Singapore]),tblData[Dates]&gt;=StartDt2Singapore),(tblData[[#This Row],[Singapore LogiP(t)]]-tblData[[#This Row],[Singapore]])^2,"")</f>
        <v>549.83639757070432</v>
      </c>
      <c r="BX24" s="20">
        <f ca="1">IF(ISNUMBER(tblData[Day'# Singapore]),tblData[Singapore LogiP(t)]/SingaporePopscale,"")</f>
        <v>0.94258030054554443</v>
      </c>
      <c r="BY24" s="95">
        <f ca="1">IF(AND(ISNUMBER(tblData[Singapore]),tblData[Dates]&gt;StartDt2Singapore),(tblData[Singapore]-AVERAGE(tblData[Singapore]))^2,"")</f>
        <v>5275308.2541330261</v>
      </c>
      <c r="BZ24" s="11">
        <f>tblData[[#This Row],[Dates]]-Singapore100dt+1</f>
        <v>-9</v>
      </c>
      <c r="CA24" s="11" t="str">
        <f>IF(AND(tblData[Dates]&gt;StartDt2Generic,ISNUMBER(tblData[Day'# Generic])),betaGeneric/(deltaGeneric+betaPodeltaGeneric*EXP(-betaGeneric*tblData[Day'# Generic])),"")</f>
        <v/>
      </c>
      <c r="CB24" s="95" t="str">
        <f>IF(AND(ISNUMBER(tblData[Generic]),tblData[Dates]&gt;StartDt2Generic),(tblData[Generic LogiP(t)]-tblData[[#This Row],[Generic]])^2,"")</f>
        <v/>
      </c>
      <c r="CC24" s="11" t="str">
        <f>IF(AND(ISNUMBER(tblData[Day'# Generic]),tblData[Dates]&gt;StartDt2Generic),tblData[Generic LogiP(t)]/GenericPopscale,"")</f>
        <v/>
      </c>
      <c r="CD24" s="95" t="str">
        <f>IF(AND(ISNUMBER(tblData[Generic]),tblData[Dates]&gt;StartDt2Generic),(tblData[Generic]-AVERAGE(tblData[Generic]))^2,"")</f>
        <v/>
      </c>
      <c r="CE24" s="11">
        <f>tblData[[#This Row],[Dates]]-Generic100dt+1</f>
        <v>-37</v>
      </c>
      <c r="CF24"/>
      <c r="CG24" s="11"/>
      <c r="CH24" s="11" t="str">
        <f>IF(ISNUMBER(tblData[[#This Row],[Tests]]),tblData[[#This Row],[Tests]]-CH23,"")</f>
        <v/>
      </c>
      <c r="CI24" s="11" t="str">
        <f>IF(ISNUMBER(tblData[[#This Row],[NSW Under Investigation'']]),tblData[[#This Row],[NSW Under Investigation'']]-CG23,"")</f>
        <v/>
      </c>
      <c r="CJ24" s="11"/>
      <c r="CK24" s="11" t="str">
        <f>IF(AND(tblData[[#This Row],[NSW Test Day Number]]&gt;0,ISNUMBER(tblData[[#This Row],[NSW Test Day Number]])),betaTests/(deltaTests+betaPodeltaTests*EXP(-betaTests*tblData[[#This Row],[NSW Test Day Number]])),"")</f>
        <v/>
      </c>
      <c r="CL24" s="11" t="str">
        <f>IF(tblData[Tests]&gt;0,(tblData[[#This Row],[Tests]]-tblData[[#This Row],[NSW Test Logi]])^2,"")</f>
        <v/>
      </c>
      <c r="CM24" s="95" t="str">
        <f>IF(AND(ISNUMBER(tblData[Tests]),tblData[Dates]&gt;StartDt2Tests),(tblData[Tests]-AVERAGE(tblData[Tests]))^2,"")</f>
        <v/>
      </c>
      <c r="CN24" s="11" t="str">
        <f>IF(ISNUMBER(tblData[Tests]),tblData[Tests]/NSWpopscale/100,"")</f>
        <v/>
      </c>
      <c r="CO24" s="11" t="str">
        <f>IF(AND(tblData[[#This Row],[NSW Test Day Number]]&gt;0,ISNUMBER(tblData[[#This Row],[NSW Test Day Number]])),TestsLogestB*TestsLogestM^tblData[[#This Row],[NSW Test Day Number]],"")</f>
        <v/>
      </c>
      <c r="CP24" s="11" t="str">
        <f>IF(AND(tblData[[#This Row],[NSW Test Day Number]]&gt;0,ISNUMBER(tblData[Tests])),(tblData[Tests]-tblData[[#This Row],[NSW Test Per Capita]])^2,"")</f>
        <v/>
      </c>
      <c r="CQ24" s="20">
        <f ca="1">IF(AND(tblData[Day '# NSW]&gt;0,ISNUMBER(tblData[[#This Row],[Day '# NSW]])),NSWLogestB*NSWLogestM^tblData[[#This Row],[Day '# NSW]]/NSWpopscale,"")</f>
        <v>3.7076752931181383</v>
      </c>
      <c r="CR24" s="39">
        <f ca="1">IF(AND(ISNUMBER(tblData[NSW]),tblData[Dates]&gt;StartDt2NSW),(tblData[NSW]/NSWpopscale-tblData[[#This Row],[NSW Cases LogEst]])^2,"")</f>
        <v>1.5446009468653752</v>
      </c>
      <c r="CS24">
        <v>11</v>
      </c>
      <c r="CT24" s="19">
        <f>IF(ISNUMBER(tblData[Taiwan]),tblData[Taiwan]/TaiwanPopscale,"")</f>
        <v>4.6204350416817848</v>
      </c>
      <c r="CU24" s="11">
        <f ca="1">IF(tblData[[#This Row],[Dates]]&lt;StartDt2Taiwan,"",tblData[[#This Row],[Dates]]-TaiwanStart)</f>
        <v>13</v>
      </c>
      <c r="CV24" s="19">
        <f ca="1">IF(AND(tblData[Dates]&gt;StartDt2Taiwan,ISNUMBER(tblData[Days'# Taiwan])),betaTaiwan/(deltaTaiwan+betaPodeltaTaiwan*EXP(-betaTaiwan*tblData[Days'# Taiwan])),"")</f>
        <v>0.29013183399053466</v>
      </c>
      <c r="CW24" s="95">
        <f ca="1">IF(AND(tblData[Dates]&gt;StartDt2Taiwan,ISNUMBER(tblData[Taiwan])),(tblData[[#This Row],[Taiwan LogiP(t)]]-tblData[[#This Row],[Taiwan]])^2,"")</f>
        <v>114.70127613330295</v>
      </c>
      <c r="CX24" s="20">
        <f ca="1">IF(AND(tblData[Dates]&gt;StartDt2Taiwan,ISNUMBER(tblData[Days'# Taiwan])),tblData[[#This Row],[Taiwan LogiP(t)]]/TaiwanPopscale,"")</f>
        <v>0.12186684477066077</v>
      </c>
      <c r="CY24" s="95">
        <f ca="1">IF(AND(ISNUMBER(tblData[Taiwan]),tblData[Dates]&gt;StartDt2Taiwan),(tblData[Taiwan]-AVERAGE(tblData[Taiwan]))^2,"")</f>
        <v>25137.791618608233</v>
      </c>
      <c r="CZ24" s="11">
        <f>tblData[[#This Row],[Dates]]-Taiwan100dt+1</f>
        <v>-50</v>
      </c>
      <c r="DA24"/>
      <c r="DB24" s="20" t="str">
        <f>IF(ISNUMBER(tblData[NZ]),tblData[NZ]/NZPopscale,"")</f>
        <v/>
      </c>
      <c r="DC24" s="11" t="str">
        <f ca="1">IF(tblData[[#This Row],[Dates]]&lt;StartDt2NZ,"",tblData[[#This Row],[Dates]]-NZStart)</f>
        <v/>
      </c>
      <c r="DD24" s="20" t="str">
        <f ca="1">IF(AND(tblData[Dates]&gt;StartDt2NZ,ISNUMBER(tblData[Days'# NZ])),betaNZ/(deltaNZ+betaPodeltaNZ*EXP(-betaNZ*tblData[Days'# NZ])),"")</f>
        <v/>
      </c>
      <c r="DE24" s="95" t="str">
        <f ca="1">IF(AND(tblData[Dates]&gt;StartDt2NZ,ISNUMBER(tblData[NZ])),(tblData[[#This Row],[NZ LogiP(t)]]-tblData[[#This Row],[NZ]])^2,"")</f>
        <v/>
      </c>
      <c r="DF24" s="20" t="str">
        <f ca="1">IF(AND(tblData[Dates]&gt;StartDt2NZ,ISNUMBER(tblData[Days'# NZ])),tblData[[#This Row],[NZ LogiP(t)]]/NZPopscale,"")</f>
        <v/>
      </c>
      <c r="DG24" s="95" t="str">
        <f ca="1">IF(AND(ISNUMBER(tblData[NZ]),tblData[Dates]&gt;StartDt2NZ),(tblData[NZ]-AVERAGE(tblData[NZ]))^2,"")</f>
        <v/>
      </c>
      <c r="DH24" s="11">
        <f>tblData[[#This Row],[Dates]]-NZ100dt+1</f>
        <v>-46</v>
      </c>
      <c r="DI24" s="39"/>
      <c r="DJ24" s="11"/>
      <c r="DK24" s="26"/>
      <c r="DL24" s="25" t="s">
        <v>49</v>
      </c>
      <c r="DM24" s="154"/>
      <c r="DN24" s="191"/>
      <c r="DO24" s="191"/>
      <c r="DP24" s="27"/>
      <c r="DQ24" s="192"/>
      <c r="DR24" s="71"/>
      <c r="DS24" s="71"/>
      <c r="DT24" s="193"/>
      <c r="DU24" s="21"/>
      <c r="DV24" s="71">
        <f ca="1">1-(SUM(tblData[NSW Sq Err])/SUM(tblData[NSW Mean Devn Sq]))</f>
        <v>0.99951740926642729</v>
      </c>
      <c r="DW24" s="73"/>
      <c r="DX24" s="73">
        <f>tblRuns[d]*1000</f>
        <v>0</v>
      </c>
      <c r="DY24" s="26"/>
      <c r="DZ24" s="26"/>
      <c r="EA24" s="95"/>
      <c r="EB24" s="25"/>
      <c r="EC24" s="25"/>
      <c r="ED24" s="26"/>
      <c r="EE24" s="11"/>
      <c r="EF24" s="26" t="str">
        <f ca="1">"b="&amp;TEXT(tblRuns[b],"##0.###")&amp;", d="&amp;TEXT(tblRuns[d],"0.00E+00")&amp;", P0="&amp;TEXT(Po,"#.###")&amp; ", r2=" &amp;TEXT(tblRuns[[#This Row],[R2]],"0.####") &amp;", Limit="&amp;IF(PopScaling=0,tblRuns[Asymptote b/d],tblRuns[[#This Row],[Asymp PerP]])&amp;"=&gt;"&amp;Cengnotation(tblRuns[[#This Row],[Limit Cases]],3)&amp;" cases "&amp;tblRuns[[#This Row],[Notes]]</f>
        <v xml:space="preserve">b=0., d=0.00E+00, P0=.639, r2=0.9995, Limit==&gt;0 cases </v>
      </c>
      <c r="EG24" s="25"/>
      <c r="EJ24" s="18"/>
      <c r="EK24" s="11"/>
      <c r="EL24" s="156"/>
      <c r="EM24" s="11"/>
      <c r="EN24" s="26"/>
      <c r="EO24" s="11"/>
      <c r="EP24" s="25"/>
      <c r="EQ24" s="11"/>
      <c r="ER24" s="19"/>
      <c r="ES24" s="26"/>
      <c r="ET24" s="133"/>
      <c r="EU24" s="190"/>
      <c r="EV24" s="99"/>
      <c r="EW24" s="314" t="e">
        <f>INDEX(tblPopulation[CtryAbbrev],MATCH(tblRuns[Place],tblPopulation[Country],0))</f>
        <v>#N/A</v>
      </c>
      <c r="EX24" s="100" t="str">
        <f>SUBSTITUTE(tblRuns[[#This Row],[ChartLabel]]," since " &amp; solvMsgs!MinCases,"")</f>
        <v/>
      </c>
      <c r="FF24"/>
      <c r="FG24"/>
      <c r="FH24"/>
      <c r="FI24"/>
      <c r="FJ24"/>
      <c r="FK24"/>
      <c r="FL24"/>
      <c r="FM24"/>
      <c r="FN24"/>
      <c r="FO24" s="263" t="s">
        <v>48</v>
      </c>
      <c r="FP24" s="250">
        <v>43914.46266203704</v>
      </c>
      <c r="FQ24" s="156">
        <v>43855</v>
      </c>
      <c r="FR24" s="26">
        <v>43855</v>
      </c>
      <c r="FS24" s="211">
        <v>0</v>
      </c>
      <c r="FT24" s="25">
        <v>0.2267210961509846</v>
      </c>
      <c r="FU24" s="25">
        <v>2.3593825272637381E-5</v>
      </c>
      <c r="FV24" s="21">
        <v>3.7861973773528883E-3</v>
      </c>
      <c r="FW24" s="212">
        <v>9609.3403054027585</v>
      </c>
      <c r="FX24" s="212">
        <v>19.856217518584224</v>
      </c>
      <c r="FY24" s="212"/>
      <c r="FZ24" s="213">
        <v>59.880926487413269</v>
      </c>
      <c r="GA24" s="213">
        <v>2.359382527263738E-2</v>
      </c>
      <c r="GB24" s="156">
        <v>43914</v>
      </c>
      <c r="GC24" s="25" t="s">
        <v>1055</v>
      </c>
      <c r="GD24" s="212">
        <v>9609.3403054027585</v>
      </c>
      <c r="GE24" s="212">
        <v>1886</v>
      </c>
      <c r="GF24" s="74" t="s">
        <v>1056</v>
      </c>
      <c r="GG24" s="156">
        <v>43914</v>
      </c>
      <c r="GH24" s="25">
        <v>60</v>
      </c>
      <c r="GI24" s="25" t="s">
        <v>1057</v>
      </c>
      <c r="GJ24" s="25"/>
      <c r="GK24" s="25" t="s">
        <v>1058</v>
      </c>
      <c r="GM24" s="25" t="s">
        <v>1059</v>
      </c>
      <c r="GN24" s="20">
        <v>743.57356883772275</v>
      </c>
      <c r="GO24" s="156"/>
      <c r="GP24" s="218"/>
      <c r="GQ24" s="156"/>
      <c r="GR24" s="25"/>
      <c r="GS24" s="25" t="s">
        <v>1049</v>
      </c>
      <c r="GT24" s="11"/>
      <c r="GU24" s="12"/>
      <c r="GV24" s="26"/>
      <c r="GX24" s="219"/>
      <c r="HK24" s="164">
        <v>43910</v>
      </c>
      <c r="HL24" s="60">
        <v>43909.833333333336</v>
      </c>
      <c r="HM24">
        <v>353</v>
      </c>
      <c r="HN24">
        <v>40298</v>
      </c>
      <c r="HQ24" t="str">
        <f>IF(ISNUMBER(tblNSWKnown[[#This Row],[Unknown Locally]]),tblNSWKnown[[#This Row],[Known Locally]]+tblNSWKnown[[#This Row],[Unknown Locally]],"")</f>
        <v/>
      </c>
      <c r="HR24" s="25"/>
      <c r="HS24" t="str">
        <f>IF(ISNUMBER(tblNSWKnown[[#This Row],[Day '# NSW Unknown]]),betaNSWUnknown/(deltaNSWUnknown+betaPodeltaNSWUnknown*EXP(-betaNSWUnknown*tblNSWKnown[Day '# NSW Unknown])),"")</f>
        <v/>
      </c>
      <c r="HT24" t="str">
        <f>IF(ISNUMBER(tblNSWKnown[[#This Row],[Total Local]]),(tblNSWKnown[[#This Row],[Total Local]]-tblNSWKnown[[#This Row],[NSW Unknown Logi P(t)]])^2,"")</f>
        <v/>
      </c>
      <c r="HU24" s="166" t="str">
        <f>IF(ISNUMBER(tblNSWKnown[Total Local]),(tblNSWKnown[Total Local]-AVERAGE(tblNSWKnown[Total Local]))^2,"")</f>
        <v/>
      </c>
      <c r="HV24" s="166"/>
    </row>
    <row r="25" spans="2:230" ht="18.75" customHeight="1" thickBot="1" x14ac:dyDescent="0.3">
      <c r="B25" s="26">
        <v>43866</v>
      </c>
      <c r="C25">
        <v>0</v>
      </c>
      <c r="D25" s="25">
        <v>0</v>
      </c>
      <c r="E25">
        <v>4</v>
      </c>
      <c r="F25">
        <v>0</v>
      </c>
      <c r="G25">
        <v>3</v>
      </c>
      <c r="H25">
        <v>2</v>
      </c>
      <c r="I25">
        <v>0</v>
      </c>
      <c r="J25">
        <v>4</v>
      </c>
      <c r="K25">
        <v>0</v>
      </c>
      <c r="L25" s="11">
        <f>IF(ISNUMBER(tblData[[#This Row],[NSW]]),tblData[[#This Row],[New South Wales]]/NSWpopscale,"")</f>
        <v>4.9504950495049505</v>
      </c>
      <c r="M25">
        <v>2</v>
      </c>
      <c r="N25" s="20">
        <f>IF(ISNUMBER(tblData[Italy]),tblData[Italy]/ItalyPopscale,"")</f>
        <v>0.33066049433743905</v>
      </c>
      <c r="O25">
        <v>11</v>
      </c>
      <c r="P25" s="20">
        <f>IF(ISNUMBER(tblData[US]),tblData[US]/USPopscale,"")</f>
        <v>0.33411521761595392</v>
      </c>
      <c r="Q25">
        <v>19</v>
      </c>
      <c r="R25" s="20">
        <f>IF(ISNUMBER(tblData[SKorea]),tblData[SKorea]/SKoreaPopscale,"")</f>
        <v>3.6964980544747084</v>
      </c>
      <c r="S25">
        <v>2</v>
      </c>
      <c r="T25" s="20">
        <f>IF(ISNUMBER(tblData[United Kingdom]),tblData[United Kingdom]/UKPopscale,"")</f>
        <v>0.30102347983142685</v>
      </c>
      <c r="U25">
        <v>27440</v>
      </c>
      <c r="V25" s="20">
        <f>IF(ISNUMBER(tblData[China]),tblData[China]/ChinaPopscale,"")</f>
        <v>190.64508248629113</v>
      </c>
      <c r="W25" s="25">
        <f ca="1">IF(tblData[[#This Row],[Dates]]&lt;StartDt2China,"",tblData[[#This Row],[Dates]]-ChinaStart)</f>
        <v>14</v>
      </c>
      <c r="X25">
        <v>28</v>
      </c>
      <c r="Y25" s="20">
        <f>IF(ISNUMBER(tblData[Singapore]),tblData[Singapore]/SingaporePopscale,"")</f>
        <v>47.863247863247864</v>
      </c>
      <c r="Z25"/>
      <c r="AA25" s="20" t="str">
        <f>IF(AND(LEN(tblData[Generic])&gt;0,ISNUMBER(tblData[Generic])),tblData[Generic]/GenericPopscale,"")</f>
        <v/>
      </c>
      <c r="AB25" s="25">
        <f ca="1">IF(tblData[[#This Row],[Dates]]&lt;StartDt2Italy,"",tblData[[#This Row],[Dates]]-ItalyStart)</f>
        <v>6</v>
      </c>
      <c r="AC25" s="25">
        <f ca="1">IF(tblData[[#This Row],[Dates]]&lt;=StartDt2US,"",tblData[[#This Row],[Dates]]-USStart)</f>
        <v>14</v>
      </c>
      <c r="AD25" s="25">
        <f>IF(tblData[[#This Row],[Dates]]&lt;=SKoreaStart,"",tblData[[#This Row],[Dates]]-SKoreaStart)</f>
        <v>14</v>
      </c>
      <c r="AE25" s="25">
        <f ca="1">IF(tblData[[#This Row],[Dates]]&lt;=StartDt2UK,"",tblData[[#This Row],[Dates]]-UKStart)</f>
        <v>6</v>
      </c>
      <c r="AF25" s="25">
        <f ca="1">IF(tblData[[#This Row],[Dates]]&lt;StartDt2Singapore,"",tblData[[#This Row],[Dates]]-SingaporeStart)</f>
        <v>13</v>
      </c>
      <c r="AG25" s="25" t="str">
        <f>IF(tblData[[#This Row],[Dates]]&lt;StartDt2Generic,"",tblData[[#This Row],[Dates]]-GenericStart)</f>
        <v/>
      </c>
      <c r="AH25">
        <f ca="1">IF(tblData[Dates]&gt;StartDt2Au,tblData[Dates]-AuStart,"")</f>
        <v>11</v>
      </c>
      <c r="AI25" s="25">
        <f>IF(AND(COUNTBLANK(tblData[[#This Row],[Australian Capital Territory]:[Western Australia]])&lt;1,tblData[New South Wales]&gt;=0),SUM(tblData[[#This Row],[Australian Capital Territory]:[Western Australia]]),"")</f>
        <v>13</v>
      </c>
      <c r="AJ25" s="12">
        <f>IF(ISNUMBER(tblData[Au]),tblData[Au]/AuPopScale,"")</f>
        <v>5.1253745466014822</v>
      </c>
      <c r="AK25" s="19">
        <f ca="1">IF(ISNUMBER(tblData[[#This Row],[Day'# Aust]]),betaAu/(deltaAu+betaPodeltaAu*EXP(-betaAu*tblData[[#This Row],[Day'# Aust]])),"")</f>
        <v>5.6461887289508794E-2</v>
      </c>
      <c r="AL25" s="57">
        <f ca="1">IF(ISNUMBER(tblData[Day'# Aust]),tblData[Au LogiP(t)]/AuPopScale,"")</f>
        <v>2.2260639997440781E-2</v>
      </c>
      <c r="AM25" s="11">
        <f ca="1">IF(AND(tblData[Dates]&gt;StartDt2Au,ISNUMBER(tblData[Au])),(tblData[[#This Row],[Au LogiP(t)]]-tblData[[#This Row],[Au]])^2,"")</f>
        <v>167.53517887518908</v>
      </c>
      <c r="AN25" s="11">
        <f ca="1">IF(AND(ISNUMBER(tblData[Au]),tblData[Dates]&gt;StartDt2Au),(tblData[Au]-AVERAGE(tblData[Au]))^2,"")</f>
        <v>5933170.3560999995</v>
      </c>
      <c r="AO25" s="11">
        <f>tblData[[#This Row],[Dates]]-Au100dt</f>
        <v>-39</v>
      </c>
      <c r="AP25">
        <f ca="1">IF(tblData[Dates]&gt;StartDt2NSW,tblData[Dates]-StartDt2NSW,"")</f>
        <v>11</v>
      </c>
      <c r="AQ25" s="25">
        <f>IF(tblData[[#This Row],[New South Wales]]&gt;0,tblData[[#This Row],[New South Wales]],"")</f>
        <v>4</v>
      </c>
      <c r="AR25" s="44">
        <f ca="1">IF(tblData[Dates]&gt;StartDt2NSW,betaNSW/(deltaNSW+betaPodeltaNSW*EXP(-betaNSW*tblData[[#This Row],[Day '# NSW]])),"")</f>
        <v>1.6255542789924533E-2</v>
      </c>
      <c r="AS25" s="12">
        <f ca="1">IF(AND(ISNUMBER(tblData[NSW]),tblData[Dates]&gt;StartDt2NSW),(tblData[[#This Row],[NSW LogiP(t)]]-tblData[[#This Row],[NSW]])^2,"")</f>
        <v>15.870219900351998</v>
      </c>
      <c r="AT25" s="12">
        <f ca="1">IF(AND(tblData[Dates]&gt;StartDt2NSW,ISNUMBER(tblData[Day'# Aust])),tblData[NSW LogiP(t)]/NSWpopscale,"")</f>
        <v>2.0118246027134322E-2</v>
      </c>
      <c r="AU25" s="11">
        <f>tblData[[#This Row],[Dates]]-NSW100dt+1</f>
        <v>-36</v>
      </c>
      <c r="AV25" s="11">
        <f ca="1">IF(AND(ISNUMBER(tblData[NSW]),tblData[Dates]&gt;StartDt2NSW),(tblData[NSW]-AVERAGE(tblData[NSW]))^2,"")</f>
        <v>1188666.8676</v>
      </c>
      <c r="AW25" s="19">
        <f ca="1">IF(AND(tblData[Dates]&gt;StartDt2Italy,ISNUMBER(tblData[Days'# Italy])),betaItaly/(deltaItaly+betaPodeltaItaly*EXP(-betaItaly*tblData[Days'# Italy])),"")</f>
        <v>2.0231293541002264</v>
      </c>
      <c r="AX25" s="11">
        <f ca="1">IF(AND(tblData[Dates]&gt;StartDt2Italy,ISNUMBER(tblData[Italy])),(tblData[[#This Row],[Italy LogiP(t)]]-tblData[[#This Row],[Italy]])^2,"")</f>
        <v>5.3496702109366112E-4</v>
      </c>
      <c r="AY25" s="20">
        <f ca="1">IF(AND(tblData[Dates]&gt;StartDt2Italy,ISNUMBER(tblData[Days'# Italy])),tblData[[#This Row],[Italy LogiP(t)]]/ItalyPopscale,"")</f>
        <v>0.33448447616768234</v>
      </c>
      <c r="AZ25" s="39">
        <f ca="1">IF(AND(ISNUMBER(tblData[Italy]),tblData[Dates]&gt;StartDt2Italy),(tblData[Italy]-AVERAGE(tblData[Italy]))^2,"")</f>
        <v>4864589101.9421673</v>
      </c>
      <c r="BA25" s="11">
        <f>tblData[[#This Row],[Dates]]-Italy100dt+1</f>
        <v>-21</v>
      </c>
      <c r="BB25" s="11">
        <f ca="1">IF(AND(tblData[Dates]&gt;StartDt2US,ISNUMBER(tblData[[#This Row],[Days'# US]])),betaUS/(deltaUS+betaPodeltaUS*EXP(-betaUS*tblData[Days'# US])),"")</f>
        <v>5.3131389404742956E-2</v>
      </c>
      <c r="BC25" s="11">
        <f ca="1">IF(AND(tblData[Dates]&gt;StartDt2US,ISNUMBER(tblData[US])),(tblData[[#This Row],[US LogiP(t)]]-tblData[US])^2,"")</f>
        <v>119.83393237763572</v>
      </c>
      <c r="BD25" s="20">
        <f ca="1">IF(AND(tblData[Dates]&gt;=StartDt2US,ISNUMBER(tblData[[#This Row],[Days'# US]])),tblData[[#This Row],[US LogiP(t)]]/USPopscale,"")</f>
        <v>1.6138187030185166E-3</v>
      </c>
      <c r="BE25" s="126">
        <f ca="1">IF(AND(ISNUMBER(tblData[US]),tblData[Dates]&gt;StartDt2US),(tblData[US]-AVERAGE(tblData[US]))^2,"")</f>
        <v>50145650394.648308</v>
      </c>
      <c r="BF25" s="11">
        <f>tblData[[#This Row],[Dates]]-US100dt+1</f>
        <v>-38</v>
      </c>
      <c r="BG25" s="11">
        <f ca="1">IF(tblData[Dates]&gt;StartDt2SKorea,betaSKorea/(deltaSKorea+betaPodeltaSKorea*EXP(-betaSKorea*(tblData[Dates]-StartDt2SKorea))),"")</f>
        <v>61.328392807587086</v>
      </c>
      <c r="BH25" s="11">
        <f ca="1">IF(AND(tblData[Dates]&gt;StartDt2SKorea,ISNUMBER(tblData[SKorea])),(tblData[[#This Row],[SKorea LogiP(t)]]-tblData[[#This Row],[SKorea]])^2,"")</f>
        <v>1791.6928376733902</v>
      </c>
      <c r="BI25" s="11">
        <f ca="1">IF(tblData[Dates]&gt;StartDt2SKorea,tblData[[#This Row],[SKorea LogiP(t)]]/SKoreaPopscale,"")</f>
        <v>11.931593931437178</v>
      </c>
      <c r="BJ25" s="126">
        <f ca="1">IF(AND(ISNUMBER(tblData[SKorea]),tblData[Dates]&gt;StartDt2SKorea),(tblData[SKorea]-AVERAGE(tblData[SKorea]))^2,"")</f>
        <v>33702350.432910413</v>
      </c>
      <c r="BK25" s="11">
        <f>tblData[[#This Row],[Dates]]-SKorea100dt+1</f>
        <v>-17</v>
      </c>
      <c r="BL25" s="20">
        <f ca="1">IF(AND(tblData[Dates]&gt;StartDt2UK,ISNUMBER(tblData[Days'# UK])),betaUK/(deltaUK+betaPodeltaUK*EXP(-betaUK*tblData[Days'# UK])),"")</f>
        <v>0.31612265537157647</v>
      </c>
      <c r="BM25" s="11">
        <f ca="1">IF(AND(tblData[Dates]&gt;StartDt2UK,ISNUMBER(tblData[United Kingdom])),(tblData[[#This Row],[UK LogiP(t)]]-tblData[[#This Row],[United Kingdom]])^2,"")</f>
        <v>2.8354429117528701</v>
      </c>
      <c r="BN25" s="11">
        <f ca="1">IF(ISNUMBER(tblData[Days'# UK]),tblData[[#This Row],[UK LogiP(t)]]/UKPopscale,"")</f>
        <v>4.7580170886751427E-2</v>
      </c>
      <c r="BO25" s="126">
        <f ca="1">IF(AND(ISNUMBER(tblData[United Kingdom]),tblData[Dates]&gt;StartDt2UK),(tblData[United Kingdom]-AVERAGE(tblData[United Kingdom]))^2,"")</f>
        <v>1441343648.2988911</v>
      </c>
      <c r="BP25" s="11">
        <f>tblData[[#This Row],[Dates]]-UK100dt</f>
        <v>-36</v>
      </c>
      <c r="BQ25" s="11">
        <f ca="1">IF(ISNUMBER(tblData[Days'# China]),betaChina/(deltaChina+betaPodeltaChina*EXP(-betaChina*tblData[Days'# China])),"")</f>
        <v>24599.4614315992</v>
      </c>
      <c r="BR25" s="11">
        <f ca="1">IF(ISNUMBER(tblData[China]),(tblData[[#This Row],[China LogiP(t)]]-tblData[[#This Row],[China]])^2,"")</f>
        <v>8068659.3585724644</v>
      </c>
      <c r="BS25" s="11">
        <f ca="1">tblData[[#This Row],[China LogiP(t)]]/ChinaPopscale</f>
        <v>170.90985254174805</v>
      </c>
      <c r="BT25" s="126">
        <f ca="1">IF(AND(ISNUMBER(tblData[China]),tblData[Dates]&gt;StartDt2China),(tblData[China]-AVERAGE(tblData[China]))^2,"")</f>
        <v>1581213121.1626303</v>
      </c>
      <c r="BU25" s="11">
        <f>tblData[[#This Row],[Dates]]-China100dt</f>
        <v>3</v>
      </c>
      <c r="BV25" s="95">
        <f ca="1">IF(ISNUMBER(tblData[Day'# Singapore]),betaSingapore/(deltaSingapore+betaPodeltaSingapore*EXP(-betaSingapore*tblData[Day'# Singapore])),"")</f>
        <v>0.62520569015048921</v>
      </c>
      <c r="BW25" s="11">
        <f ca="1">IF(AND(ISNUMBER(tblData[Singapore]),tblData[Dates]&gt;=StartDt2Singapore),(tblData[[#This Row],[Singapore LogiP(t)]]-tblData[[#This Row],[Singapore]])^2,"")</f>
        <v>749.37936350656912</v>
      </c>
      <c r="BX25" s="20">
        <f ca="1">IF(ISNUMBER(tblData[Day'# Singapore]),tblData[Singapore LogiP(t)]/SingaporePopscale,"")</f>
        <v>1.0687276754709218</v>
      </c>
      <c r="BY25" s="95">
        <f ca="1">IF(AND(ISNUMBER(tblData[Singapore]),tblData[Dates]&gt;StartDt2Singapore),(tblData[Singapore]-AVERAGE(tblData[Singapore]))^2,"")</f>
        <v>5256949.8227604777</v>
      </c>
      <c r="BZ25" s="11">
        <f>tblData[[#This Row],[Dates]]-Singapore100dt+1</f>
        <v>-8</v>
      </c>
      <c r="CA25" s="11" t="str">
        <f>IF(AND(tblData[Dates]&gt;StartDt2Generic,ISNUMBER(tblData[Day'# Generic])),betaGeneric/(deltaGeneric+betaPodeltaGeneric*EXP(-betaGeneric*tblData[Day'# Generic])),"")</f>
        <v/>
      </c>
      <c r="CB25" s="95" t="str">
        <f>IF(AND(ISNUMBER(tblData[Generic]),tblData[Dates]&gt;StartDt2Generic),(tblData[Generic LogiP(t)]-tblData[[#This Row],[Generic]])^2,"")</f>
        <v/>
      </c>
      <c r="CC25" s="11" t="str">
        <f>IF(AND(ISNUMBER(tblData[Day'# Generic]),tblData[Dates]&gt;StartDt2Generic),tblData[Generic LogiP(t)]/GenericPopscale,"")</f>
        <v/>
      </c>
      <c r="CD25" s="95" t="str">
        <f>IF(AND(ISNUMBER(tblData[Generic]),tblData[Dates]&gt;StartDt2Generic),(tblData[Generic]-AVERAGE(tblData[Generic]))^2,"")</f>
        <v/>
      </c>
      <c r="CE25" s="11">
        <f>tblData[[#This Row],[Dates]]-Generic100dt+1</f>
        <v>-36</v>
      </c>
      <c r="CF25"/>
      <c r="CG25" s="11"/>
      <c r="CH25" s="11" t="str">
        <f>IF(ISNUMBER(tblData[[#This Row],[Tests]]),tblData[[#This Row],[Tests]]-CH24,"")</f>
        <v/>
      </c>
      <c r="CI25" s="11" t="str">
        <f>IF(ISNUMBER(tblData[[#This Row],[NSW Under Investigation'']]),tblData[[#This Row],[NSW Under Investigation'']]-CG24,"")</f>
        <v/>
      </c>
      <c r="CJ25" s="11"/>
      <c r="CK25" s="11" t="str">
        <f>IF(AND(tblData[[#This Row],[NSW Test Day Number]]&gt;0,ISNUMBER(tblData[[#This Row],[NSW Test Day Number]])),betaTests/(deltaTests+betaPodeltaTests*EXP(-betaTests*tblData[[#This Row],[NSW Test Day Number]])),"")</f>
        <v/>
      </c>
      <c r="CL25" s="11" t="str">
        <f>IF(tblData[Tests]&gt;0,(tblData[[#This Row],[Tests]]-tblData[[#This Row],[NSW Test Logi]])^2,"")</f>
        <v/>
      </c>
      <c r="CM25" s="95" t="str">
        <f>IF(AND(ISNUMBER(tblData[Tests]),tblData[Dates]&gt;StartDt2Tests),(tblData[Tests]-AVERAGE(tblData[Tests]))^2,"")</f>
        <v/>
      </c>
      <c r="CN25" s="11" t="str">
        <f>IF(ISNUMBER(tblData[Tests]),tblData[Tests]/NSWpopscale/100,"")</f>
        <v/>
      </c>
      <c r="CO25" s="11" t="str">
        <f>IF(AND(tblData[[#This Row],[NSW Test Day Number]]&gt;0,ISNUMBER(tblData[[#This Row],[NSW Test Day Number]])),TestsLogestB*TestsLogestM^tblData[[#This Row],[NSW Test Day Number]],"")</f>
        <v/>
      </c>
      <c r="CP25" s="11" t="str">
        <f>IF(AND(tblData[[#This Row],[NSW Test Day Number]]&gt;0,ISNUMBER(tblData[Tests])),(tblData[Tests]-tblData[[#This Row],[NSW Test Per Capita]])^2,"")</f>
        <v/>
      </c>
      <c r="CQ25" s="20">
        <f ca="1">IF(AND(tblData[Day '# NSW]&gt;0,ISNUMBER(tblData[[#This Row],[Day '# NSW]])),NSWLogestB*NSWLogestM^tblData[[#This Row],[Day '# NSW]]/NSWpopscale,"")</f>
        <v>4.0819859964227065</v>
      </c>
      <c r="CR25" s="39">
        <f ca="1">IF(AND(ISNUMBER(tblData[NSW]),tblData[Dates]&gt;StartDt2NSW),(tblData[NSW]/NSWpopscale-tblData[[#This Row],[NSW Cases LogEst]])^2,"")</f>
        <v>0.75430797528581595</v>
      </c>
      <c r="CS25">
        <v>11</v>
      </c>
      <c r="CT25" s="19">
        <f>IF(ISNUMBER(tblData[Taiwan]),tblData[Taiwan]/TaiwanPopscale,"")</f>
        <v>4.6204350416817848</v>
      </c>
      <c r="CU25" s="11">
        <f ca="1">IF(tblData[[#This Row],[Dates]]&lt;StartDt2Taiwan,"",tblData[[#This Row],[Dates]]-TaiwanStart)</f>
        <v>14</v>
      </c>
      <c r="CV25" s="19">
        <f ca="1">IF(AND(tblData[Dates]&gt;StartDt2Taiwan,ISNUMBER(tblData[Days'# Taiwan])),betaTaiwan/(deltaTaiwan+betaPodeltaTaiwan*EXP(-betaTaiwan*tblData[Days'# Taiwan])),"")</f>
        <v>0.33621960246056964</v>
      </c>
      <c r="CW25" s="95">
        <f ca="1">IF(AND(tblData[Dates]&gt;StartDt2Taiwan,ISNUMBER(tblData[Taiwan])),(tblData[[#This Row],[Taiwan LogiP(t)]]-tblData[[#This Row],[Taiwan]])^2,"")</f>
        <v>113.71621236694619</v>
      </c>
      <c r="CX25" s="20">
        <f ca="1">IF(AND(tblData[Dates]&gt;StartDt2Taiwan,ISNUMBER(tblData[Days'# Taiwan])),tblData[[#This Row],[Taiwan LogiP(t)]]/TaiwanPopscale,"")</f>
        <v>0.14122553026446683</v>
      </c>
      <c r="CY25" s="95">
        <f ca="1">IF(AND(ISNUMBER(tblData[Taiwan]),tblData[Dates]&gt;StartDt2Taiwan),(tblData[Taiwan]-AVERAGE(tblData[Taiwan]))^2,"")</f>
        <v>25137.791618608233</v>
      </c>
      <c r="CZ25" s="11">
        <f>tblData[[#This Row],[Dates]]-Taiwan100dt+1</f>
        <v>-49</v>
      </c>
      <c r="DA25"/>
      <c r="DB25" s="20" t="str">
        <f>IF(ISNUMBER(tblData[NZ]),tblData[NZ]/NZPopscale,"")</f>
        <v/>
      </c>
      <c r="DC25" s="11" t="str">
        <f ca="1">IF(tblData[[#This Row],[Dates]]&lt;StartDt2NZ,"",tblData[[#This Row],[Dates]]-NZStart)</f>
        <v/>
      </c>
      <c r="DD25" s="20" t="str">
        <f ca="1">IF(AND(tblData[Dates]&gt;StartDt2NZ,ISNUMBER(tblData[Days'# NZ])),betaNZ/(deltaNZ+betaPodeltaNZ*EXP(-betaNZ*tblData[Days'# NZ])),"")</f>
        <v/>
      </c>
      <c r="DE25" s="95" t="str">
        <f ca="1">IF(AND(tblData[Dates]&gt;StartDt2NZ,ISNUMBER(tblData[NZ])),(tblData[[#This Row],[NZ LogiP(t)]]-tblData[[#This Row],[NZ]])^2,"")</f>
        <v/>
      </c>
      <c r="DF25" s="20" t="str">
        <f ca="1">IF(AND(tblData[Dates]&gt;StartDt2NZ,ISNUMBER(tblData[Days'# NZ])),tblData[[#This Row],[NZ LogiP(t)]]/NZPopscale,"")</f>
        <v/>
      </c>
      <c r="DG25" s="95" t="str">
        <f ca="1">IF(AND(ISNUMBER(tblData[NZ]),tblData[Dates]&gt;StartDt2NZ),(tblData[NZ]-AVERAGE(tblData[NZ]))^2,"")</f>
        <v/>
      </c>
      <c r="DH25" s="11">
        <f>tblData[[#This Row],[Dates]]-NZ100dt+1</f>
        <v>-45</v>
      </c>
      <c r="DI25" s="39"/>
      <c r="DJ25" s="11"/>
      <c r="DK25" s="26" t="s">
        <v>3314</v>
      </c>
      <c r="DM25" s="60"/>
      <c r="DN25" s="26"/>
      <c r="DO25" s="26"/>
      <c r="DP25"/>
      <c r="DQ25" s="44"/>
      <c r="DR25" s="61"/>
      <c r="DS25" s="73"/>
      <c r="DU25" s="12"/>
      <c r="DV25" s="12"/>
      <c r="DW25" s="73"/>
      <c r="DX25" s="73"/>
      <c r="DY25" s="26"/>
      <c r="DZ25" s="26"/>
      <c r="EA25" s="95"/>
      <c r="EC25" t="s">
        <v>2425</v>
      </c>
      <c r="ED25" s="26">
        <f ca="1">MIN(tblRuns[Last Date])</f>
        <v>43953</v>
      </c>
      <c r="EE25" s="11"/>
      <c r="EF25" s="26"/>
      <c r="EH25"/>
      <c r="EI25"/>
      <c r="EJ25" s="18"/>
      <c r="EK25" s="20"/>
      <c r="EL25" s="26"/>
      <c r="EM25" s="11"/>
      <c r="EN25" s="26"/>
      <c r="EO25" s="11"/>
      <c r="EQ25" s="11"/>
      <c r="ER25" s="19"/>
      <c r="ES25" s="25"/>
      <c r="FF25"/>
      <c r="FG25"/>
      <c r="FH25"/>
      <c r="FI25"/>
      <c r="FJ25"/>
      <c r="FK25"/>
      <c r="FL25"/>
      <c r="FM25"/>
      <c r="FN25"/>
      <c r="FO25" s="263" t="s">
        <v>48</v>
      </c>
      <c r="FP25" s="250">
        <v>43915.873437499999</v>
      </c>
      <c r="FQ25" s="156">
        <v>43855</v>
      </c>
      <c r="FR25" s="26">
        <v>43855</v>
      </c>
      <c r="FS25" s="211">
        <v>0</v>
      </c>
      <c r="FT25" s="25">
        <v>0.23936046371525532</v>
      </c>
      <c r="FU25" s="25">
        <v>2.4999857006033165E-5</v>
      </c>
      <c r="FV25" s="21">
        <v>1.909057740652589E-3</v>
      </c>
      <c r="FW25" s="212">
        <v>9574.4733122869839</v>
      </c>
      <c r="FX25" s="212">
        <v>31.065496180503203</v>
      </c>
      <c r="FY25" s="212"/>
      <c r="FZ25" s="213">
        <v>125.38144388826198</v>
      </c>
      <c r="GA25" s="213">
        <v>2.4999857006033164E-2</v>
      </c>
      <c r="GB25" s="156">
        <v>43915</v>
      </c>
      <c r="GC25" s="26" t="s">
        <v>1141</v>
      </c>
      <c r="GD25" s="212">
        <v>9574.4733122869839</v>
      </c>
      <c r="GE25" s="212">
        <v>2425</v>
      </c>
      <c r="GF25" s="74" t="s">
        <v>1142</v>
      </c>
      <c r="GG25" s="156">
        <v>43915</v>
      </c>
      <c r="GH25" s="25">
        <v>61</v>
      </c>
      <c r="GI25" s="25" t="s">
        <v>1143</v>
      </c>
      <c r="GJ25" s="25"/>
      <c r="GK25" s="25" t="s">
        <v>1144</v>
      </c>
      <c r="GM25" s="25" t="s">
        <v>1145</v>
      </c>
      <c r="GN25" s="20">
        <v>956.0794827314304</v>
      </c>
      <c r="GO25" s="156"/>
      <c r="GP25" s="218"/>
      <c r="GQ25" s="156"/>
      <c r="GR25" s="25"/>
      <c r="GS25" s="25" t="s">
        <v>1140</v>
      </c>
      <c r="GT25" s="11"/>
      <c r="GU25" s="12"/>
      <c r="GV25" s="26"/>
      <c r="GX25" s="219"/>
      <c r="HK25" s="164">
        <v>43912</v>
      </c>
      <c r="HL25" s="60">
        <v>43912.833333333336</v>
      </c>
      <c r="HM25">
        <v>533</v>
      </c>
      <c r="HN25">
        <v>52130</v>
      </c>
      <c r="HQ25" t="str">
        <f>IF(ISNUMBER(tblNSWKnown[[#This Row],[Unknown Locally]]),tblNSWKnown[[#This Row],[Known Locally]]+tblNSWKnown[[#This Row],[Unknown Locally]],"")</f>
        <v/>
      </c>
      <c r="HR25" s="25"/>
      <c r="HS25" t="str">
        <f>IF(ISNUMBER(tblNSWKnown[[#This Row],[Day '# NSW Unknown]]),betaNSWUnknown/(deltaNSWUnknown+betaPodeltaNSWUnknown*EXP(-betaNSWUnknown*tblNSWKnown[Day '# NSW Unknown])),"")</f>
        <v/>
      </c>
      <c r="HT25" t="str">
        <f>IF(ISNUMBER(tblNSWKnown[[#This Row],[Total Local]]),(tblNSWKnown[[#This Row],[Total Local]]-tblNSWKnown[[#This Row],[NSW Unknown Logi P(t)]])^2,"")</f>
        <v/>
      </c>
      <c r="HU25" s="166" t="str">
        <f>IF(ISNUMBER(tblNSWKnown[Total Local]),(tblNSWKnown[Total Local]-AVERAGE(tblNSWKnown[Total Local]))^2,"")</f>
        <v/>
      </c>
      <c r="HV25" s="166"/>
    </row>
    <row r="26" spans="2:230" ht="15" customHeight="1" thickTop="1" x14ac:dyDescent="0.25">
      <c r="B26" s="26">
        <v>43867</v>
      </c>
      <c r="C26">
        <v>0</v>
      </c>
      <c r="D26" s="25">
        <v>0</v>
      </c>
      <c r="E26">
        <v>4</v>
      </c>
      <c r="F26">
        <v>0</v>
      </c>
      <c r="G26">
        <v>4</v>
      </c>
      <c r="H26">
        <v>2</v>
      </c>
      <c r="I26">
        <v>0</v>
      </c>
      <c r="J26">
        <v>4</v>
      </c>
      <c r="K26">
        <v>0</v>
      </c>
      <c r="L26" s="11">
        <f>IF(ISNUMBER(tblData[[#This Row],[NSW]]),tblData[[#This Row],[New South Wales]]/NSWpopscale,"")</f>
        <v>4.9504950495049505</v>
      </c>
      <c r="M26">
        <v>2</v>
      </c>
      <c r="N26" s="20">
        <f>IF(ISNUMBER(tblData[Italy]),tblData[Italy]/ItalyPopscale,"")</f>
        <v>0.33066049433743905</v>
      </c>
      <c r="O26">
        <v>11</v>
      </c>
      <c r="P26" s="20">
        <f>IF(ISNUMBER(tblData[US]),tblData[US]/USPopscale,"")</f>
        <v>0.33411521761595392</v>
      </c>
      <c r="Q26">
        <v>23</v>
      </c>
      <c r="R26" s="20">
        <f>IF(ISNUMBER(tblData[SKorea]),tblData[SKorea]/SKoreaPopscale,"")</f>
        <v>4.4747081712062258</v>
      </c>
      <c r="S26">
        <v>2</v>
      </c>
      <c r="T26" s="20">
        <f>IF(ISNUMBER(tblData[United Kingdom]),tblData[United Kingdom]/UKPopscale,"")</f>
        <v>0.30102347983142685</v>
      </c>
      <c r="U26">
        <v>30587</v>
      </c>
      <c r="V26" s="20">
        <f>IF(ISNUMBER(tblData[China]),tblData[China]/ChinaPopscale,"")</f>
        <v>212.50951669126044</v>
      </c>
      <c r="W26" s="25">
        <f ca="1">IF(tblData[[#This Row],[Dates]]&lt;StartDt2China,"",tblData[[#This Row],[Dates]]-ChinaStart)</f>
        <v>15</v>
      </c>
      <c r="X26">
        <v>28</v>
      </c>
      <c r="Y26" s="20">
        <f>IF(ISNUMBER(tblData[Singapore]),tblData[Singapore]/SingaporePopscale,"")</f>
        <v>47.863247863247864</v>
      </c>
      <c r="Z26"/>
      <c r="AA26" s="20" t="str">
        <f>IF(AND(LEN(tblData[Generic])&gt;0,ISNUMBER(tblData[Generic])),tblData[Generic]/GenericPopscale,"")</f>
        <v/>
      </c>
      <c r="AB26" s="25">
        <f ca="1">IF(tblData[[#This Row],[Dates]]&lt;StartDt2Italy,"",tblData[[#This Row],[Dates]]-ItalyStart)</f>
        <v>7</v>
      </c>
      <c r="AC26" s="25">
        <f ca="1">IF(tblData[[#This Row],[Dates]]&lt;=StartDt2US,"",tblData[[#This Row],[Dates]]-USStart)</f>
        <v>15</v>
      </c>
      <c r="AD26" s="25">
        <f>IF(tblData[[#This Row],[Dates]]&lt;=SKoreaStart,"",tblData[[#This Row],[Dates]]-SKoreaStart)</f>
        <v>15</v>
      </c>
      <c r="AE26" s="25">
        <f ca="1">IF(tblData[[#This Row],[Dates]]&lt;=StartDt2UK,"",tblData[[#This Row],[Dates]]-UKStart)</f>
        <v>7</v>
      </c>
      <c r="AF26" s="25">
        <f ca="1">IF(tblData[[#This Row],[Dates]]&lt;StartDt2Singapore,"",tblData[[#This Row],[Dates]]-SingaporeStart)</f>
        <v>14</v>
      </c>
      <c r="AG26" s="25" t="str">
        <f>IF(tblData[[#This Row],[Dates]]&lt;StartDt2Generic,"",tblData[[#This Row],[Dates]]-GenericStart)</f>
        <v/>
      </c>
      <c r="AH26">
        <f ca="1">IF(tblData[Dates]&gt;StartDt2Au,tblData[Dates]-AuStart,"")</f>
        <v>12</v>
      </c>
      <c r="AI26" s="25">
        <f>IF(AND(COUNTBLANK(tblData[[#This Row],[Australian Capital Territory]:[Western Australia]])&lt;1,tblData[New South Wales]&gt;=0),SUM(tblData[[#This Row],[Australian Capital Territory]:[Western Australia]]),"")</f>
        <v>14</v>
      </c>
      <c r="AJ26" s="12">
        <f>IF(ISNUMBER(tblData[Au]),tblData[Au]/AuPopScale,"")</f>
        <v>5.5196341271092884</v>
      </c>
      <c r="AK26" s="19">
        <f ca="1">IF(ISNUMBER(tblData[[#This Row],[Day'# Aust]]),betaAu/(deltaAu+betaPodeltaAu*EXP(-betaAu*tblData[[#This Row],[Day'# Aust]])),"")</f>
        <v>7.079159509370897E-2</v>
      </c>
      <c r="AL26" s="57">
        <f ca="1">IF(ISNUMBER(tblData[Day'# Aust]),tblData[Au LogiP(t)]/AuPopScale,"")</f>
        <v>2.7910264585124179E-2</v>
      </c>
      <c r="AM26" s="11">
        <f ca="1">IF(AND(tblData[Dates]&gt;StartDt2Au,ISNUMBER(tblData[Au])),(tblData[[#This Row],[Au LogiP(t)]]-tblData[[#This Row],[Au]])^2,"")</f>
        <v>194.02284678731206</v>
      </c>
      <c r="AN26" s="11">
        <f ca="1">IF(AND(ISNUMBER(tblData[Au]),tblData[Dates]&gt;StartDt2Au),(tblData[Au]-AVERAGE(tblData[Au]))^2,"")</f>
        <v>5928299.7360999994</v>
      </c>
      <c r="AO26" s="11">
        <f>tblData[[#This Row],[Dates]]-Au100dt</f>
        <v>-38</v>
      </c>
      <c r="AP26">
        <f ca="1">IF(tblData[Dates]&gt;StartDt2NSW,tblData[Dates]-StartDt2NSW,"")</f>
        <v>12</v>
      </c>
      <c r="AQ26" s="25">
        <f>IF(tblData[[#This Row],[New South Wales]]&gt;0,tblData[[#This Row],[New South Wales]],"")</f>
        <v>4</v>
      </c>
      <c r="AR26" s="44">
        <f ca="1">IF(tblData[Dates]&gt;StartDt2NSW,betaNSW/(deltaNSW+betaPodeltaNSW*EXP(-betaNSW*tblData[[#This Row],[Day '# NSW]])),"")</f>
        <v>2.0547177086975218E-2</v>
      </c>
      <c r="AS26" s="12">
        <f ca="1">IF(AND(ISNUMBER(tblData[NSW]),tblData[Dates]&gt;StartDt2NSW),(tblData[[#This Row],[NSW LogiP(t)]]-tblData[[#This Row],[NSW]])^2,"")</f>
        <v>15.836044769790441</v>
      </c>
      <c r="AT26" s="12">
        <f ca="1">IF(AND(tblData[Dates]&gt;StartDt2NSW,ISNUMBER(tblData[Day'# Aust])),tblData[NSW LogiP(t)]/NSWpopscale,"")</f>
        <v>2.542967461259309E-2</v>
      </c>
      <c r="AU26" s="11">
        <f>tblData[[#This Row],[Dates]]-NSW100dt+1</f>
        <v>-35</v>
      </c>
      <c r="AV26" s="11">
        <f ca="1">IF(AND(ISNUMBER(tblData[NSW]),tblData[Dates]&gt;StartDt2NSW),(tblData[NSW]-AVERAGE(tblData[NSW]))^2,"")</f>
        <v>1188666.8676</v>
      </c>
      <c r="AW26" s="19">
        <f ca="1">IF(AND(tblData[Dates]&gt;StartDt2Italy,ISNUMBER(tblData[Days'# Italy])),betaItaly/(deltaItaly+betaPodeltaItaly*EXP(-betaItaly*tblData[Days'# Italy])),"")</f>
        <v>2.6060199411482246</v>
      </c>
      <c r="AX26" s="11">
        <f ca="1">IF(AND(tblData[Dates]&gt;StartDt2Italy,ISNUMBER(tblData[Italy])),(tblData[[#This Row],[Italy LogiP(t)]]-tblData[[#This Row],[Italy]])^2,"")</f>
        <v>0.36726016906929754</v>
      </c>
      <c r="AY26" s="20">
        <f ca="1">IF(AND(tblData[Dates]&gt;StartDt2Italy,ISNUMBER(tblData[Days'# Italy])),tblData[[#This Row],[Italy LogiP(t)]]/ItalyPopscale,"")</f>
        <v>0.43085392099664788</v>
      </c>
      <c r="AZ26" s="39">
        <f ca="1">IF(AND(ISNUMBER(tblData[Italy]),tblData[Dates]&gt;StartDt2Italy),(tblData[Italy]-AVERAGE(tblData[Italy]))^2,"")</f>
        <v>4864589101.9421673</v>
      </c>
      <c r="BA26" s="11">
        <f>tblData[[#This Row],[Dates]]-Italy100dt+1</f>
        <v>-20</v>
      </c>
      <c r="BB26" s="11">
        <f ca="1">IF(AND(tblData[Dates]&gt;StartDt2US,ISNUMBER(tblData[[#This Row],[Days'# US]])),betaUS/(deltaUS+betaPodeltaUS*EXP(-betaUS*tblData[Days'# US])),"")</f>
        <v>7.0565193244089053E-2</v>
      </c>
      <c r="BC26" s="11">
        <f ca="1">IF(AND(tblData[Dates]&gt;StartDt2US,ISNUMBER(tblData[US])),(tblData[[#This Row],[US LogiP(t)]]-tblData[US])^2,"")</f>
        <v>119.45254519512761</v>
      </c>
      <c r="BD26" s="20">
        <f ca="1">IF(AND(tblData[Dates]&gt;=StartDt2US,ISNUMBER(tblData[[#This Row],[Days'# US]])),tblData[[#This Row],[US LogiP(t)]]/USPopscale,"")</f>
        <v>2.143354990623696E-3</v>
      </c>
      <c r="BE26" s="126">
        <f ca="1">IF(AND(ISNUMBER(tblData[US]),tblData[Dates]&gt;StartDt2US),(tblData[US]-AVERAGE(tblData[US]))^2,"")</f>
        <v>50145650394.648308</v>
      </c>
      <c r="BF26" s="11">
        <f>tblData[[#This Row],[Dates]]-US100dt+1</f>
        <v>-37</v>
      </c>
      <c r="BG26" s="11">
        <f ca="1">IF(tblData[Dates]&gt;StartDt2SKorea,betaSKorea/(deltaSKorea+betaPodeltaSKorea*EXP(-betaSKorea*(tblData[Dates]-StartDt2SKorea))),"")</f>
        <v>73.14180486388824</v>
      </c>
      <c r="BH26" s="11">
        <f ca="1">IF(AND(tblData[Dates]&gt;StartDt2SKorea,ISNUMBER(tblData[SKorea])),(tblData[[#This Row],[SKorea LogiP(t)]]-tblData[[#This Row],[SKorea]])^2,"")</f>
        <v>2514.2005950082462</v>
      </c>
      <c r="BI26" s="11">
        <f ca="1">IF(tblData[Dates]&gt;StartDt2SKorea,tblData[[#This Row],[SKorea LogiP(t)]]/SKoreaPopscale,"")</f>
        <v>14.229923125270087</v>
      </c>
      <c r="BJ26" s="126">
        <f ca="1">IF(AND(ISNUMBER(tblData[SKorea]),tblData[Dates]&gt;StartDt2SKorea),(tblData[SKorea]-AVERAGE(tblData[SKorea]))^2,"")</f>
        <v>33655923.452518262</v>
      </c>
      <c r="BK26" s="11">
        <f>tblData[[#This Row],[Dates]]-SKorea100dt+1</f>
        <v>-16</v>
      </c>
      <c r="BL26" s="20">
        <f ca="1">IF(AND(tblData[Dates]&gt;StartDt2UK,ISNUMBER(tblData[Days'# UK])),betaUK/(deltaUK+betaPodeltaUK*EXP(-betaUK*tblData[Days'# UK])),"")</f>
        <v>0.39124635202473951</v>
      </c>
      <c r="BM26" s="11">
        <f ca="1">IF(AND(tblData[Dates]&gt;StartDt2UK,ISNUMBER(tblData[United Kingdom])),(tblData[[#This Row],[UK LogiP(t)]]-tblData[[#This Row],[United Kingdom]])^2,"")</f>
        <v>2.588088299873708</v>
      </c>
      <c r="BN26" s="11">
        <f ca="1">IF(ISNUMBER(tblData[Days'# UK]),tblData[[#This Row],[UK LogiP(t)]]/UKPopscale,"")</f>
        <v>5.8887169178919251E-2</v>
      </c>
      <c r="BO26" s="126">
        <f ca="1">IF(AND(ISNUMBER(tblData[United Kingdom]),tblData[Dates]&gt;StartDt2UK),(tblData[United Kingdom]-AVERAGE(tblData[United Kingdom]))^2,"")</f>
        <v>1441343648.2988911</v>
      </c>
      <c r="BP26" s="11">
        <f>tblData[[#This Row],[Dates]]-UK100dt</f>
        <v>-35</v>
      </c>
      <c r="BQ26" s="11">
        <f ca="1">IF(ISNUMBER(tblData[Days'# China]),betaChina/(deltaChina+betaPodeltaChina*EXP(-betaChina*tblData[Days'# China])),"")</f>
        <v>28564.563124160344</v>
      </c>
      <c r="BR26" s="11">
        <f ca="1">IF(ISNUMBER(tblData[China]),(tblData[[#This Row],[China LogiP(t)]]-tblData[[#This Row],[China]])^2,"")</f>
        <v>4090250.9167560674</v>
      </c>
      <c r="BS26" s="11">
        <f ca="1">tblData[[#This Row],[China LogiP(t)]]/ChinaPopscale</f>
        <v>198.45821767457792</v>
      </c>
      <c r="BT26" s="126">
        <f ca="1">IF(AND(ISNUMBER(tblData[China]),tblData[Dates]&gt;StartDt2China),(tblData[China]-AVERAGE(tblData[China]))^2,"")</f>
        <v>1340839152.2802773</v>
      </c>
      <c r="BU26" s="11">
        <f>tblData[[#This Row],[Dates]]-China100dt</f>
        <v>4</v>
      </c>
      <c r="BV26" s="95">
        <f ca="1">IF(ISNUMBER(tblData[Day'# Singapore]),betaSingapore/(deltaSingapore+betaPodeltaSingapore*EXP(-betaSingapore*tblData[Day'# Singapore])),"")</f>
        <v>0.70887799983016375</v>
      </c>
      <c r="BW26" s="11">
        <f ca="1">IF(AND(ISNUMBER(tblData[Singapore]),tblData[Dates]&gt;=StartDt2Singapore),(tblData[[#This Row],[Singapore LogiP(t)]]-tblData[[#This Row],[Singapore]])^2,"")</f>
        <v>744.80534002815398</v>
      </c>
      <c r="BX26" s="20">
        <f ca="1">IF(ISNUMBER(tblData[Day'# Singapore]),tblData[Singapore LogiP(t)]/SingaporePopscale,"")</f>
        <v>1.2117572646669466</v>
      </c>
      <c r="BY26" s="95">
        <f ca="1">IF(AND(ISNUMBER(tblData[Singapore]),tblData[Dates]&gt;StartDt2Singapore),(tblData[Singapore]-AVERAGE(tblData[Singapore]))^2,"")</f>
        <v>5256949.8227604777</v>
      </c>
      <c r="BZ26" s="11">
        <f>tblData[[#This Row],[Dates]]-Singapore100dt+1</f>
        <v>-7</v>
      </c>
      <c r="CA26" s="11" t="str">
        <f>IF(AND(tblData[Dates]&gt;StartDt2Generic,ISNUMBER(tblData[Day'# Generic])),betaGeneric/(deltaGeneric+betaPodeltaGeneric*EXP(-betaGeneric*tblData[Day'# Generic])),"")</f>
        <v/>
      </c>
      <c r="CB26" s="95" t="str">
        <f>IF(AND(ISNUMBER(tblData[Generic]),tblData[Dates]&gt;StartDt2Generic),(tblData[Generic LogiP(t)]-tblData[[#This Row],[Generic]])^2,"")</f>
        <v/>
      </c>
      <c r="CC26" s="11" t="str">
        <f>IF(AND(ISNUMBER(tblData[Day'# Generic]),tblData[Dates]&gt;StartDt2Generic),tblData[Generic LogiP(t)]/GenericPopscale,"")</f>
        <v/>
      </c>
      <c r="CD26" s="95" t="str">
        <f>IF(AND(ISNUMBER(tblData[Generic]),tblData[Dates]&gt;StartDt2Generic),(tblData[Generic]-AVERAGE(tblData[Generic]))^2,"")</f>
        <v/>
      </c>
      <c r="CE26" s="11">
        <f>tblData[[#This Row],[Dates]]-Generic100dt+1</f>
        <v>-35</v>
      </c>
      <c r="CF26"/>
      <c r="CG26" s="11"/>
      <c r="CH26" s="11" t="str">
        <f>IF(ISNUMBER(tblData[[#This Row],[Tests]]),tblData[[#This Row],[Tests]]-CH25,"")</f>
        <v/>
      </c>
      <c r="CI26" s="11" t="str">
        <f>IF(ISNUMBER(tblData[[#This Row],[NSW Under Investigation'']]),tblData[[#This Row],[NSW Under Investigation'']]-CG25,"")</f>
        <v/>
      </c>
      <c r="CJ26" s="11"/>
      <c r="CK26" s="11" t="str">
        <f>IF(AND(tblData[[#This Row],[NSW Test Day Number]]&gt;0,ISNUMBER(tblData[[#This Row],[NSW Test Day Number]])),betaTests/(deltaTests+betaPodeltaTests*EXP(-betaTests*tblData[[#This Row],[NSW Test Day Number]])),"")</f>
        <v/>
      </c>
      <c r="CL26" s="11" t="str">
        <f>IF(tblData[Tests]&gt;0,(tblData[[#This Row],[Tests]]-tblData[[#This Row],[NSW Test Logi]])^2,"")</f>
        <v/>
      </c>
      <c r="CM26" s="95" t="str">
        <f>IF(AND(ISNUMBER(tblData[Tests]),tblData[Dates]&gt;StartDt2Tests),(tblData[Tests]-AVERAGE(tblData[Tests]))^2,"")</f>
        <v/>
      </c>
      <c r="CN26" s="11" t="str">
        <f>IF(ISNUMBER(tblData[Tests]),tblData[Tests]/NSWpopscale/100,"")</f>
        <v/>
      </c>
      <c r="CO26" s="11" t="str">
        <f>IF(AND(tblData[[#This Row],[NSW Test Day Number]]&gt;0,ISNUMBER(tblData[[#This Row],[NSW Test Day Number]])),TestsLogestB*TestsLogestM^tblData[[#This Row],[NSW Test Day Number]],"")</f>
        <v/>
      </c>
      <c r="CP26" s="11" t="str">
        <f>IF(AND(tblData[[#This Row],[NSW Test Day Number]]&gt;0,ISNUMBER(tblData[Tests])),(tblData[Tests]-tblData[[#This Row],[NSW Test Per Capita]])^2,"")</f>
        <v/>
      </c>
      <c r="CQ26" s="20">
        <f ca="1">IF(AND(tblData[Day '# NSW]&gt;0,ISNUMBER(tblData[[#This Row],[Day '# NSW]])),NSWLogestB*NSWLogestM^tblData[[#This Row],[Day '# NSW]]/NSWpopscale,"")</f>
        <v>4.4940854734282558</v>
      </c>
      <c r="CR26" s="39">
        <f ca="1">IF(AND(ISNUMBER(tblData[NSW]),tblData[Dates]&gt;StartDt2NSW),(tblData[NSW]/NSWpopscale-tblData[[#This Row],[NSW Cases LogEst]])^2,"")</f>
        <v>0.20830970113450811</v>
      </c>
      <c r="CS26">
        <v>16</v>
      </c>
      <c r="CT26" s="19">
        <f>IF(ISNUMBER(tblData[Taiwan]),tblData[Taiwan]/TaiwanPopscale,"")</f>
        <v>6.7206327879007777</v>
      </c>
      <c r="CU26" s="11">
        <f ca="1">IF(tblData[[#This Row],[Dates]]&lt;StartDt2Taiwan,"",tblData[[#This Row],[Dates]]-TaiwanStart)</f>
        <v>15</v>
      </c>
      <c r="CV26" s="19">
        <f ca="1">IF(AND(tblData[Dates]&gt;StartDt2Taiwan,ISNUMBER(tblData[Days'# Taiwan])),betaTaiwan/(deltaTaiwan+betaPodeltaTaiwan*EXP(-betaTaiwan*tblData[Days'# Taiwan])),"")</f>
        <v>0.38962176793173831</v>
      </c>
      <c r="CW26" s="95">
        <f ca="1">IF(AND(tblData[Dates]&gt;StartDt2Taiwan,ISNUMBER(tblData[Taiwan])),(tblData[[#This Row],[Taiwan LogiP(t)]]-tblData[[#This Row],[Taiwan]])^2,"")</f>
        <v>243.68390854823065</v>
      </c>
      <c r="CX26" s="20">
        <f ca="1">IF(AND(tblData[Dates]&gt;StartDt2Taiwan,ISNUMBER(tblData[Days'# Taiwan])),tblData[[#This Row],[Taiwan LogiP(t)]]/TaiwanPopscale,"")</f>
        <v>0.16365655177761926</v>
      </c>
      <c r="CY26" s="95">
        <f ca="1">IF(AND(ISNUMBER(tblData[Taiwan]),tblData[Dates]&gt;StartDt2Taiwan),(tblData[Taiwan]-AVERAGE(tblData[Taiwan]))^2,"")</f>
        <v>23577.301422529799</v>
      </c>
      <c r="CZ26" s="11">
        <f>tblData[[#This Row],[Dates]]-Taiwan100dt+1</f>
        <v>-48</v>
      </c>
      <c r="DA26"/>
      <c r="DB26" s="20" t="str">
        <f>IF(ISNUMBER(tblData[NZ]),tblData[NZ]/NZPopscale,"")</f>
        <v/>
      </c>
      <c r="DC26" s="11" t="str">
        <f ca="1">IF(tblData[[#This Row],[Dates]]&lt;StartDt2NZ,"",tblData[[#This Row],[Dates]]-NZStart)</f>
        <v/>
      </c>
      <c r="DD26" s="20" t="str">
        <f ca="1">IF(AND(tblData[Dates]&gt;StartDt2NZ,ISNUMBER(tblData[Days'# NZ])),betaNZ/(deltaNZ+betaPodeltaNZ*EXP(-betaNZ*tblData[Days'# NZ])),"")</f>
        <v/>
      </c>
      <c r="DE26" s="95" t="str">
        <f ca="1">IF(AND(tblData[Dates]&gt;StartDt2NZ,ISNUMBER(tblData[NZ])),(tblData[[#This Row],[NZ LogiP(t)]]-tblData[[#This Row],[NZ]])^2,"")</f>
        <v/>
      </c>
      <c r="DF26" s="20" t="str">
        <f ca="1">IF(AND(tblData[Dates]&gt;StartDt2NZ,ISNUMBER(tblData[Days'# NZ])),tblData[[#This Row],[NZ LogiP(t)]]/NZPopscale,"")</f>
        <v/>
      </c>
      <c r="DG26" s="95" t="str">
        <f ca="1">IF(AND(ISNUMBER(tblData[NZ]),tblData[Dates]&gt;StartDt2NZ),(tblData[NZ]-AVERAGE(tblData[NZ]))^2,"")</f>
        <v/>
      </c>
      <c r="DH26" s="11">
        <f>tblData[[#This Row],[Dates]]-NZ100dt+1</f>
        <v>-44</v>
      </c>
      <c r="DI26" s="39"/>
      <c r="DJ26" s="11"/>
      <c r="DK26" s="26"/>
      <c r="DM26" s="25"/>
      <c r="DP26"/>
      <c r="DV26" s="25"/>
      <c r="DW26"/>
      <c r="DZ26" s="25"/>
      <c r="EA26" s="25"/>
      <c r="EB26" s="25"/>
      <c r="EC26" t="s">
        <v>2424</v>
      </c>
      <c r="ED26" s="274">
        <f ca="1">MIN(ED11:ED13,ED15:ED18,ED20:ED23)</f>
        <v>43953</v>
      </c>
      <c r="EH26"/>
      <c r="EI26"/>
      <c r="EJ26"/>
      <c r="EK26"/>
      <c r="EQ26" s="25"/>
      <c r="ER26" s="25"/>
      <c r="ES26" s="25"/>
      <c r="ET26" s="25"/>
      <c r="EX26" s="25">
        <f t="array" aca="1" ref="EX26" ca="1">MIN(IF(tblRuns[ChartLabel2]=1,tblRuns[Last Date],0))</f>
        <v>0</v>
      </c>
      <c r="FF26"/>
      <c r="FG26"/>
      <c r="FH26"/>
      <c r="FI26"/>
      <c r="FJ26"/>
      <c r="FK26"/>
      <c r="FL26"/>
      <c r="FM26"/>
      <c r="FN26"/>
      <c r="FO26" s="263" t="s">
        <v>48</v>
      </c>
      <c r="FP26" s="250">
        <v>43915.89570601852</v>
      </c>
      <c r="FQ26" s="156">
        <v>43855</v>
      </c>
      <c r="FR26" s="26">
        <v>43855</v>
      </c>
      <c r="FS26" s="211">
        <v>0</v>
      </c>
      <c r="FT26" s="25">
        <v>0.23945207141381078</v>
      </c>
      <c r="FU26" s="25">
        <v>2.4677872777670242E-5</v>
      </c>
      <c r="FV26" s="21">
        <v>1.8969822156356662E-3</v>
      </c>
      <c r="FW26" s="212">
        <v>9703.1082691405572</v>
      </c>
      <c r="FX26" s="212">
        <v>30.998325689265126</v>
      </c>
      <c r="FY26" s="212"/>
      <c r="FZ26" s="213">
        <v>126.22787004889565</v>
      </c>
      <c r="GA26" s="213">
        <v>2.4677872777670241E-2</v>
      </c>
      <c r="GB26" s="156">
        <v>43915</v>
      </c>
      <c r="GC26" s="25" t="s">
        <v>1162</v>
      </c>
      <c r="GD26" s="212">
        <v>9703.1082691405572</v>
      </c>
      <c r="GE26" s="212">
        <v>2431</v>
      </c>
      <c r="GF26" s="25" t="s">
        <v>1163</v>
      </c>
      <c r="GG26" s="156">
        <v>43915</v>
      </c>
      <c r="GH26" s="25">
        <v>61</v>
      </c>
      <c r="GI26" s="25" t="s">
        <v>1164</v>
      </c>
      <c r="GJ26" s="25"/>
      <c r="GK26" s="25" t="s">
        <v>1165</v>
      </c>
      <c r="GM26" s="62" t="s">
        <v>1166</v>
      </c>
      <c r="GN26" s="20">
        <v>958.44504021447722</v>
      </c>
      <c r="GO26" s="156"/>
      <c r="GP26" s="218"/>
      <c r="GQ26" s="156"/>
      <c r="GR26" s="25"/>
      <c r="GS26" s="25" t="s">
        <v>1161</v>
      </c>
      <c r="GT26" s="11"/>
      <c r="GU26" s="12"/>
      <c r="GV26" s="26"/>
      <c r="GX26" s="219"/>
      <c r="HK26" s="164">
        <v>43913</v>
      </c>
      <c r="HL26" s="60">
        <v>43913.833333333336</v>
      </c>
      <c r="HM26">
        <v>669</v>
      </c>
      <c r="HN26">
        <v>56272</v>
      </c>
      <c r="HQ26" t="str">
        <f>IF(ISNUMBER(tblNSWKnown[[#This Row],[Unknown Locally]]),tblNSWKnown[[#This Row],[Known Locally]]+tblNSWKnown[[#This Row],[Unknown Locally]],"")</f>
        <v/>
      </c>
      <c r="HR26" s="25"/>
      <c r="HS26" t="str">
        <f>IF(ISNUMBER(tblNSWKnown[[#This Row],[Day '# NSW Unknown]]),betaNSWUnknown/(deltaNSWUnknown+betaPodeltaNSWUnknown*EXP(-betaNSWUnknown*tblNSWKnown[Day '# NSW Unknown])),"")</f>
        <v/>
      </c>
      <c r="HT26" t="str">
        <f>IF(ISNUMBER(tblNSWKnown[[#This Row],[Total Local]]),(tblNSWKnown[[#This Row],[Total Local]]-tblNSWKnown[[#This Row],[NSW Unknown Logi P(t)]])^2,"")</f>
        <v/>
      </c>
      <c r="HU26" s="166" t="str">
        <f>IF(ISNUMBER(tblNSWKnown[Total Local]),(tblNSWKnown[Total Local]-AVERAGE(tblNSWKnown[Total Local]))^2,"")</f>
        <v/>
      </c>
      <c r="HV26" s="166"/>
    </row>
    <row r="27" spans="2:230" ht="18.75" customHeight="1" x14ac:dyDescent="0.25">
      <c r="B27" s="26">
        <v>43868</v>
      </c>
      <c r="C27">
        <v>0</v>
      </c>
      <c r="D27" s="25">
        <v>0</v>
      </c>
      <c r="E27">
        <v>4</v>
      </c>
      <c r="F27">
        <v>0</v>
      </c>
      <c r="G27">
        <v>5</v>
      </c>
      <c r="H27">
        <v>2</v>
      </c>
      <c r="I27">
        <v>0</v>
      </c>
      <c r="J27">
        <v>4</v>
      </c>
      <c r="K27">
        <v>0</v>
      </c>
      <c r="L27" s="11">
        <f>IF(ISNUMBER(tblData[[#This Row],[NSW]]),tblData[[#This Row],[New South Wales]]/NSWpopscale,"")</f>
        <v>4.9504950495049505</v>
      </c>
      <c r="M27">
        <v>3</v>
      </c>
      <c r="N27" s="20">
        <f>IF(ISNUMBER(tblData[Italy]),tblData[Italy]/ItalyPopscale,"")</f>
        <v>0.49599074150615857</v>
      </c>
      <c r="O27">
        <v>11</v>
      </c>
      <c r="P27" s="20">
        <f>IF(ISNUMBER(tblData[US]),tblData[US]/USPopscale,"")</f>
        <v>0.33411521761595392</v>
      </c>
      <c r="Q27">
        <v>24</v>
      </c>
      <c r="R27" s="20">
        <f>IF(ISNUMBER(tblData[SKorea]),tblData[SKorea]/SKoreaPopscale,"")</f>
        <v>4.6692607003891053</v>
      </c>
      <c r="S27">
        <v>3</v>
      </c>
      <c r="T27" s="20">
        <f>IF(ISNUMBER(tblData[United Kingdom]),tblData[United Kingdom]/UKPopscale,"")</f>
        <v>0.45153521974714028</v>
      </c>
      <c r="U27">
        <v>34110</v>
      </c>
      <c r="V27" s="20">
        <f>IF(ISNUMBER(tblData[China]),tblData[China]/ChinaPopscale,"")</f>
        <v>236.98628876120227</v>
      </c>
      <c r="W27" s="25">
        <f ca="1">IF(tblData[[#This Row],[Dates]]&lt;StartDt2China,"",tblData[[#This Row],[Dates]]-ChinaStart)</f>
        <v>16</v>
      </c>
      <c r="X27">
        <v>30</v>
      </c>
      <c r="Y27" s="20">
        <f>IF(ISNUMBER(tblData[Singapore]),tblData[Singapore]/SingaporePopscale,"")</f>
        <v>51.282051282051285</v>
      </c>
      <c r="Z27"/>
      <c r="AA27" s="20" t="str">
        <f>IF(AND(LEN(tblData[Generic])&gt;0,ISNUMBER(tblData[Generic])),tblData[Generic]/GenericPopscale,"")</f>
        <v/>
      </c>
      <c r="AB27" s="25">
        <f ca="1">IF(tblData[[#This Row],[Dates]]&lt;StartDt2Italy,"",tblData[[#This Row],[Dates]]-ItalyStart)</f>
        <v>8</v>
      </c>
      <c r="AC27" s="25">
        <f ca="1">IF(tblData[[#This Row],[Dates]]&lt;=StartDt2US,"",tblData[[#This Row],[Dates]]-USStart)</f>
        <v>16</v>
      </c>
      <c r="AD27" s="25">
        <f>IF(tblData[[#This Row],[Dates]]&lt;=SKoreaStart,"",tblData[[#This Row],[Dates]]-SKoreaStart)</f>
        <v>16</v>
      </c>
      <c r="AE27" s="25">
        <f ca="1">IF(tblData[[#This Row],[Dates]]&lt;=StartDt2UK,"",tblData[[#This Row],[Dates]]-UKStart)</f>
        <v>8</v>
      </c>
      <c r="AF27" s="25">
        <f ca="1">IF(tblData[[#This Row],[Dates]]&lt;StartDt2Singapore,"",tblData[[#This Row],[Dates]]-SingaporeStart)</f>
        <v>15</v>
      </c>
      <c r="AG27" s="25" t="str">
        <f>IF(tblData[[#This Row],[Dates]]&lt;StartDt2Generic,"",tblData[[#This Row],[Dates]]-GenericStart)</f>
        <v/>
      </c>
      <c r="AH27">
        <f ca="1">IF(tblData[Dates]&gt;StartDt2Au,tblData[Dates]-AuStart,"")</f>
        <v>13</v>
      </c>
      <c r="AI27" s="25">
        <f>IF(AND(COUNTBLANK(tblData[[#This Row],[Australian Capital Territory]:[Western Australia]])&lt;1,tblData[New South Wales]&gt;=0),SUM(tblData[[#This Row],[Australian Capital Territory]:[Western Australia]]),"")</f>
        <v>15</v>
      </c>
      <c r="AJ27" s="12">
        <f>IF(ISNUMBER(tblData[Au]),tblData[Au]/AuPopScale,"")</f>
        <v>5.9138937076170954</v>
      </c>
      <c r="AK27" s="19">
        <f ca="1">IF(ISNUMBER(tblData[[#This Row],[Day'# Aust]]),betaAu/(deltaAu+betaPodeltaAu*EXP(-betaAu*tblData[[#This Row],[Day'# Aust]])),"")</f>
        <v>8.8758053143542431E-2</v>
      </c>
      <c r="AL27" s="57">
        <f ca="1">IF(ISNUMBER(tblData[Day'# Aust]),tblData[Au LogiP(t)]/AuPopScale,"")</f>
        <v>3.4993712799062618E-2</v>
      </c>
      <c r="AM27" s="11">
        <f ca="1">IF(AND(tblData[Dates]&gt;StartDt2Au,ISNUMBER(tblData[Au])),(tblData[[#This Row],[Au LogiP(t)]]-tblData[[#This Row],[Au]])^2,"")</f>
        <v>222.34513639769153</v>
      </c>
      <c r="AN27" s="11">
        <f ca="1">IF(AND(ISNUMBER(tblData[Au]),tblData[Dates]&gt;StartDt2Au),(tblData[Au]-AVERAGE(tblData[Au]))^2,"")</f>
        <v>5923431.1160999993</v>
      </c>
      <c r="AO27" s="11">
        <f>tblData[[#This Row],[Dates]]-Au100dt</f>
        <v>-37</v>
      </c>
      <c r="AP27">
        <f ca="1">IF(tblData[Dates]&gt;StartDt2NSW,tblData[Dates]-StartDt2NSW,"")</f>
        <v>13</v>
      </c>
      <c r="AQ27" s="25">
        <f>IF(tblData[[#This Row],[New South Wales]]&gt;0,tblData[[#This Row],[New South Wales]],"")</f>
        <v>4</v>
      </c>
      <c r="AR27" s="44">
        <f ca="1">IF(tblData[Dates]&gt;StartDt2NSW,betaNSW/(deltaNSW+betaPodeltaNSW*EXP(-betaNSW*tblData[[#This Row],[Day '# NSW]])),"")</f>
        <v>2.5971838088185862E-2</v>
      </c>
      <c r="AS27" s="12">
        <f ca="1">IF(AND(ISNUMBER(tblData[NSW]),tblData[Dates]&gt;StartDt2NSW),(tblData[[#This Row],[NSW LogiP(t)]]-tblData[[#This Row],[NSW]])^2,"")</f>
        <v>15.792899831668194</v>
      </c>
      <c r="AT27" s="12">
        <f ca="1">IF(AND(tblData[Dates]&gt;StartDt2NSW,ISNUMBER(tblData[Day'# Aust])),tblData[NSW LogiP(t)]/NSWpopscale,"")</f>
        <v>3.2143363970527056E-2</v>
      </c>
      <c r="AU27" s="11">
        <f>tblData[[#This Row],[Dates]]-NSW100dt+1</f>
        <v>-34</v>
      </c>
      <c r="AV27" s="11">
        <f ca="1">IF(AND(ISNUMBER(tblData[NSW]),tblData[Dates]&gt;StartDt2NSW),(tblData[NSW]-AVERAGE(tblData[NSW]))^2,"")</f>
        <v>1188666.8676</v>
      </c>
      <c r="AW27" s="19">
        <f ca="1">IF(AND(tblData[Dates]&gt;StartDt2Italy,ISNUMBER(tblData[Days'# Italy])),betaItaly/(deltaItaly+betaPodeltaItaly*EXP(-betaItaly*tblData[Days'# Italy])),"")</f>
        <v>3.3568455979822605</v>
      </c>
      <c r="AX27" s="11">
        <f ca="1">IF(AND(tblData[Dates]&gt;StartDt2Italy,ISNUMBER(tblData[Italy])),(tblData[[#This Row],[Italy LogiP(t)]]-tblData[[#This Row],[Italy]])^2,"")</f>
        <v>0.12733878079931704</v>
      </c>
      <c r="AY27" s="20">
        <f ca="1">IF(AND(tblData[Dates]&gt;StartDt2Italy,ISNUMBER(tblData[Days'# Italy])),tblData[[#This Row],[Italy LogiP(t)]]/ItalyPopscale,"")</f>
        <v>0.55498811242163526</v>
      </c>
      <c r="AZ27" s="39">
        <f ca="1">IF(AND(ISNUMBER(tblData[Italy]),tblData[Dates]&gt;StartDt2Italy),(tblData[Italy]-AVERAGE(tblData[Italy]))^2,"")</f>
        <v>4864449609.7294016</v>
      </c>
      <c r="BA27" s="11">
        <f>tblData[[#This Row],[Dates]]-Italy100dt+1</f>
        <v>-19</v>
      </c>
      <c r="BB27" s="11">
        <f ca="1">IF(AND(tblData[Dates]&gt;StartDt2US,ISNUMBER(tblData[[#This Row],[Days'# US]])),betaUS/(deltaUS+betaPodeltaUS*EXP(-betaUS*tblData[Days'# US])),"")</f>
        <v>9.3719485192148996E-2</v>
      </c>
      <c r="BC27" s="11">
        <f ca="1">IF(AND(tblData[Dates]&gt;StartDt2US,ISNUMBER(tblData[US])),(tblData[[#This Row],[US LogiP(t)]]-tblData[US])^2,"")</f>
        <v>118.94695466767739</v>
      </c>
      <c r="BD27" s="20">
        <f ca="1">IF(AND(tblData[Dates]&gt;=StartDt2US,ISNUMBER(tblData[[#This Row],[Days'# US]])),tblData[[#This Row],[US LogiP(t)]]/USPopscale,"")</f>
        <v>2.8466460172572759E-3</v>
      </c>
      <c r="BE27" s="126">
        <f ca="1">IF(AND(ISNUMBER(tblData[US]),tblData[Dates]&gt;StartDt2US),(tblData[US]-AVERAGE(tblData[US]))^2,"")</f>
        <v>50145650394.648308</v>
      </c>
      <c r="BF27" s="11">
        <f>tblData[[#This Row],[Dates]]-US100dt+1</f>
        <v>-36</v>
      </c>
      <c r="BG27" s="11">
        <f ca="1">IF(tblData[Dates]&gt;StartDt2SKorea,betaSKorea/(deltaSKorea+betaPodeltaSKorea*EXP(-betaSKorea*(tblData[Dates]-StartDt2SKorea))),"")</f>
        <v>87.211273013448775</v>
      </c>
      <c r="BH27" s="11">
        <f ca="1">IF(AND(tblData[Dates]&gt;StartDt2SKorea,ISNUMBER(tblData[SKorea])),(tblData[[#This Row],[SKorea LogiP(t)]]-tblData[[#This Row],[SKorea]])^2,"")</f>
        <v>3995.6650359807572</v>
      </c>
      <c r="BI27" s="11">
        <f ca="1">IF(tblData[Dates]&gt;StartDt2SKorea,tblData[[#This Row],[SKorea LogiP(t)]]/SKoreaPopscale,"")</f>
        <v>16.967173738025053</v>
      </c>
      <c r="BJ27" s="126">
        <f ca="1">IF(AND(ISNUMBER(tblData[SKorea]),tblData[Dates]&gt;StartDt2SKorea),(tblData[SKorea]-AVERAGE(tblData[SKorea]))^2,"")</f>
        <v>33644321.707420222</v>
      </c>
      <c r="BK27" s="11">
        <f>tblData[[#This Row],[Dates]]-SKorea100dt+1</f>
        <v>-15</v>
      </c>
      <c r="BL27" s="20">
        <f ca="1">IF(AND(tblData[Dates]&gt;StartDt2UK,ISNUMBER(tblData[Days'# UK])),betaUK/(deltaUK+betaPodeltaUK*EXP(-betaUK*tblData[Days'# UK])),"")</f>
        <v>0.48422245681800608</v>
      </c>
      <c r="BM27" s="11">
        <f ca="1">IF(AND(tblData[Dates]&gt;StartDt2UK,ISNUMBER(tblData[United Kingdom])),(tblData[[#This Row],[UK LogiP(t)]]-tblData[[#This Row],[United Kingdom]])^2,"")</f>
        <v>6.3291366467788297</v>
      </c>
      <c r="BN27" s="11">
        <f ca="1">IF(ISNUMBER(tblData[Days'# UK]),tblData[[#This Row],[UK LogiP(t)]]/UKPopscale,"")</f>
        <v>7.28811644819395E-2</v>
      </c>
      <c r="BO27" s="126">
        <f ca="1">IF(AND(ISNUMBER(tblData[United Kingdom]),tblData[Dates]&gt;StartDt2UK),(tblData[United Kingdom]-AVERAGE(tblData[United Kingdom]))^2,"")</f>
        <v>1441267719.2350612</v>
      </c>
      <c r="BP27" s="11">
        <f>tblData[[#This Row],[Dates]]-UK100dt</f>
        <v>-34</v>
      </c>
      <c r="BQ27" s="11">
        <f ca="1">IF(ISNUMBER(tblData[Days'# China]),betaChina/(deltaChina+betaPodeltaChina*EXP(-betaChina*tblData[Days'# China])),"")</f>
        <v>32804.323784757813</v>
      </c>
      <c r="BR27" s="11">
        <f ca="1">IF(ISNUMBER(tblData[China]),(tblData[[#This Row],[China LogiP(t)]]-tblData[[#This Row],[China]])^2,"")</f>
        <v>1704790.3790491619</v>
      </c>
      <c r="BS27" s="11">
        <f ca="1">tblData[[#This Row],[China LogiP(t)]]/ChinaPopscale</f>
        <v>227.91483286633218</v>
      </c>
      <c r="BT27" s="126">
        <f ca="1">IF(AND(ISNUMBER(tblData[China]),tblData[Dates]&gt;StartDt2China),(tblData[China]-AVERAGE(tblData[China]))^2,"")</f>
        <v>1095243983.5155714</v>
      </c>
      <c r="BU27" s="11">
        <f>tblData[[#This Row],[Dates]]-China100dt</f>
        <v>5</v>
      </c>
      <c r="BV27" s="95">
        <f ca="1">IF(ISNUMBER(tblData[Day'# Singapore]),betaSingapore/(deltaSingapore+betaPodeltaSingapore*EXP(-betaSingapore*tblData[Day'# Singapore])),"")</f>
        <v>0.8037480594469818</v>
      </c>
      <c r="BW27" s="11">
        <f ca="1">IF(AND(ISNUMBER(tblData[Singapore]),tblData[Dates]&gt;=StartDt2Singapore),(tblData[[#This Row],[Singapore LogiP(t)]]-tblData[[#This Row],[Singapore]])^2,"")</f>
        <v>852.42112737624586</v>
      </c>
      <c r="BX27" s="20">
        <f ca="1">IF(ISNUMBER(tblData[Day'# Singapore]),tblData[Singapore LogiP(t)]/SingaporePopscale,"")</f>
        <v>1.3739283067469774</v>
      </c>
      <c r="BY27" s="95">
        <f ca="1">IF(AND(ISNUMBER(tblData[Singapore]),tblData[Dates]&gt;StartDt2Singapore),(tblData[Singapore]-AVERAGE(tblData[Singapore]))^2,"")</f>
        <v>5247782.607074203</v>
      </c>
      <c r="BZ27" s="11">
        <f>tblData[[#This Row],[Dates]]-Singapore100dt+1</f>
        <v>-6</v>
      </c>
      <c r="CA27" s="11" t="str">
        <f>IF(AND(tblData[Dates]&gt;StartDt2Generic,ISNUMBER(tblData[Day'# Generic])),betaGeneric/(deltaGeneric+betaPodeltaGeneric*EXP(-betaGeneric*tblData[Day'# Generic])),"")</f>
        <v/>
      </c>
      <c r="CB27" s="95" t="str">
        <f>IF(AND(ISNUMBER(tblData[Generic]),tblData[Dates]&gt;StartDt2Generic),(tblData[Generic LogiP(t)]-tblData[[#This Row],[Generic]])^2,"")</f>
        <v/>
      </c>
      <c r="CC27" s="11" t="str">
        <f>IF(AND(ISNUMBER(tblData[Day'# Generic]),tblData[Dates]&gt;StartDt2Generic),tblData[Generic LogiP(t)]/GenericPopscale,"")</f>
        <v/>
      </c>
      <c r="CD27" s="95" t="str">
        <f>IF(AND(ISNUMBER(tblData[Generic]),tblData[Dates]&gt;StartDt2Generic),(tblData[Generic]-AVERAGE(tblData[Generic]))^2,"")</f>
        <v/>
      </c>
      <c r="CE27" s="11">
        <f>tblData[[#This Row],[Dates]]-Generic100dt+1</f>
        <v>-34</v>
      </c>
      <c r="CF27"/>
      <c r="CG27" s="11"/>
      <c r="CH27" s="11" t="str">
        <f>IF(ISNUMBER(tblData[[#This Row],[Tests]]),tblData[[#This Row],[Tests]]-CH26,"")</f>
        <v/>
      </c>
      <c r="CI27" s="11" t="str">
        <f>IF(ISNUMBER(tblData[[#This Row],[NSW Under Investigation'']]),tblData[[#This Row],[NSW Under Investigation'']]-CG26,"")</f>
        <v/>
      </c>
      <c r="CJ27" s="11"/>
      <c r="CK27" s="11" t="str">
        <f>IF(AND(tblData[[#This Row],[NSW Test Day Number]]&gt;0,ISNUMBER(tblData[[#This Row],[NSW Test Day Number]])),betaTests/(deltaTests+betaPodeltaTests*EXP(-betaTests*tblData[[#This Row],[NSW Test Day Number]])),"")</f>
        <v/>
      </c>
      <c r="CL27" s="11" t="str">
        <f>IF(tblData[Tests]&gt;0,(tblData[[#This Row],[Tests]]-tblData[[#This Row],[NSW Test Logi]])^2,"")</f>
        <v/>
      </c>
      <c r="CM27" s="95" t="str">
        <f>IF(AND(ISNUMBER(tblData[Tests]),tblData[Dates]&gt;StartDt2Tests),(tblData[Tests]-AVERAGE(tblData[Tests]))^2,"")</f>
        <v/>
      </c>
      <c r="CN27" s="11" t="str">
        <f>IF(ISNUMBER(tblData[Tests]),tblData[Tests]/NSWpopscale/100,"")</f>
        <v/>
      </c>
      <c r="CO27" s="11" t="str">
        <f>IF(AND(tblData[[#This Row],[NSW Test Day Number]]&gt;0,ISNUMBER(tblData[[#This Row],[NSW Test Day Number]])),TestsLogestB*TestsLogestM^tblData[[#This Row],[NSW Test Day Number]],"")</f>
        <v/>
      </c>
      <c r="CP27" s="11" t="str">
        <f>IF(AND(tblData[[#This Row],[NSW Test Day Number]]&gt;0,ISNUMBER(tblData[Tests])),(tblData[Tests]-tblData[[#This Row],[NSW Test Per Capita]])^2,"")</f>
        <v/>
      </c>
      <c r="CQ27" s="20">
        <f ca="1">IF(AND(tblData[Day '# NSW]&gt;0,ISNUMBER(tblData[[#This Row],[Day '# NSW]])),NSWLogestB*NSWLogestM^tblData[[#This Row],[Day '# NSW]]/NSWpopscale,"")</f>
        <v>4.9477887136748055</v>
      </c>
      <c r="CR27" s="39">
        <f ca="1">IF(AND(ISNUMBER(tblData[NSW]),tblData[Dates]&gt;StartDt2NSW),(tblData[NSW]/NSWpopscale-tblData[[#This Row],[NSW Cases LogEst]])^2,"")</f>
        <v>7.3242536255260923E-6</v>
      </c>
      <c r="CS27">
        <v>16</v>
      </c>
      <c r="CT27" s="19">
        <f>IF(ISNUMBER(tblData[Taiwan]),tblData[Taiwan]/TaiwanPopscale,"")</f>
        <v>6.7206327879007777</v>
      </c>
      <c r="CU27" s="11">
        <f ca="1">IF(tblData[[#This Row],[Dates]]&lt;StartDt2Taiwan,"",tblData[[#This Row],[Dates]]-TaiwanStart)</f>
        <v>16</v>
      </c>
      <c r="CV27" s="19">
        <f ca="1">IF(AND(tblData[Dates]&gt;StartDt2Taiwan,ISNUMBER(tblData[Days'# Taiwan])),betaTaiwan/(deltaTaiwan+betaPodeltaTaiwan*EXP(-betaTaiwan*tblData[Days'# Taiwan])),"")</f>
        <v>0.45149687193021609</v>
      </c>
      <c r="CW27" s="95">
        <f ca="1">IF(AND(tblData[Dates]&gt;StartDt2Taiwan,ISNUMBER(tblData[Taiwan])),(tblData[[#This Row],[Taiwan LogiP(t)]]-tblData[[#This Row],[Taiwan]])^2,"")</f>
        <v>241.75594952359586</v>
      </c>
      <c r="CX27" s="20">
        <f ca="1">IF(AND(tblData[Dates]&gt;StartDt2Taiwan,ISNUMBER(tblData[Days'# Taiwan])),tblData[[#This Row],[Taiwan LogiP(t)]]/TaiwanPopscale,"")</f>
        <v>0.18964654257055302</v>
      </c>
      <c r="CY27" s="95">
        <f ca="1">IF(AND(ISNUMBER(tblData[Taiwan]),tblData[Dates]&gt;StartDt2Taiwan),(tblData[Taiwan]-AVERAGE(tblData[Taiwan]))^2,"")</f>
        <v>23577.301422529799</v>
      </c>
      <c r="CZ27" s="11">
        <f>tblData[[#This Row],[Dates]]-Taiwan100dt+1</f>
        <v>-47</v>
      </c>
      <c r="DA27"/>
      <c r="DB27" s="20" t="str">
        <f>IF(ISNUMBER(tblData[NZ]),tblData[NZ]/NZPopscale,"")</f>
        <v/>
      </c>
      <c r="DC27" s="11" t="str">
        <f ca="1">IF(tblData[[#This Row],[Dates]]&lt;StartDt2NZ,"",tblData[[#This Row],[Dates]]-NZStart)</f>
        <v/>
      </c>
      <c r="DD27" s="20" t="str">
        <f ca="1">IF(AND(tblData[Dates]&gt;StartDt2NZ,ISNUMBER(tblData[Days'# NZ])),betaNZ/(deltaNZ+betaPodeltaNZ*EXP(-betaNZ*tblData[Days'# NZ])),"")</f>
        <v/>
      </c>
      <c r="DE27" s="95" t="str">
        <f ca="1">IF(AND(tblData[Dates]&gt;StartDt2NZ,ISNUMBER(tblData[NZ])),(tblData[[#This Row],[NZ LogiP(t)]]-tblData[[#This Row],[NZ]])^2,"")</f>
        <v/>
      </c>
      <c r="DF27" s="20" t="str">
        <f ca="1">IF(AND(tblData[Dates]&gt;StartDt2NZ,ISNUMBER(tblData[Days'# NZ])),tblData[[#This Row],[NZ LogiP(t)]]/NZPopscale,"")</f>
        <v/>
      </c>
      <c r="DG27" s="95" t="str">
        <f ca="1">IF(AND(ISNUMBER(tblData[NZ]),tblData[Dates]&gt;StartDt2NZ),(tblData[NZ]-AVERAGE(tblData[NZ]))^2,"")</f>
        <v/>
      </c>
      <c r="DH27" s="11">
        <f>tblData[[#This Row],[Dates]]-NZ100dt+1</f>
        <v>-43</v>
      </c>
      <c r="DI27" s="39"/>
      <c r="DJ27" s="11"/>
      <c r="DK27" s="26"/>
      <c r="DM27" s="60"/>
      <c r="DP27"/>
      <c r="DV27" s="25"/>
      <c r="DW27"/>
      <c r="DZ27" s="25"/>
      <c r="EA27" s="25"/>
      <c r="EB27" s="25"/>
      <c r="EH27"/>
      <c r="EI27"/>
      <c r="EJ27"/>
      <c r="EK27"/>
      <c r="EQ27" s="25"/>
      <c r="ER27" s="25"/>
      <c r="ES27" s="25"/>
      <c r="ET27" s="25"/>
      <c r="FF27"/>
      <c r="FG27"/>
      <c r="FH27"/>
      <c r="FI27"/>
      <c r="FJ27"/>
      <c r="FK27"/>
      <c r="FL27"/>
      <c r="FM27"/>
      <c r="FN27"/>
      <c r="FO27" s="263" t="s">
        <v>48</v>
      </c>
      <c r="FP27" s="250">
        <v>43915.901145833333</v>
      </c>
      <c r="FQ27" s="156">
        <v>43855</v>
      </c>
      <c r="FR27" s="26">
        <v>43855</v>
      </c>
      <c r="FS27" s="211">
        <v>0</v>
      </c>
      <c r="FT27" s="25">
        <v>0.23000638427760947</v>
      </c>
      <c r="FU27" s="25">
        <v>1.6751750240899824E-5</v>
      </c>
      <c r="FV27" s="21">
        <v>3.0502463844231313E-3</v>
      </c>
      <c r="FW27" s="212">
        <v>13730.289729131888</v>
      </c>
      <c r="FX27" s="212">
        <v>19.834905605897919</v>
      </c>
      <c r="FY27" s="212"/>
      <c r="FZ27" s="213">
        <v>75.405821101938017</v>
      </c>
      <c r="GA27" s="213">
        <v>1.6751750240899824E-2</v>
      </c>
      <c r="GB27" s="156">
        <v>43915</v>
      </c>
      <c r="GC27" s="25" t="s">
        <v>1173</v>
      </c>
      <c r="GD27" s="212">
        <v>13730.289729131888</v>
      </c>
      <c r="GE27" s="212">
        <v>2431</v>
      </c>
      <c r="GF27" s="25" t="s">
        <v>1174</v>
      </c>
      <c r="GG27" s="156">
        <v>43915</v>
      </c>
      <c r="GH27" s="25">
        <v>61</v>
      </c>
      <c r="GI27" s="25" t="s">
        <v>1175</v>
      </c>
      <c r="GJ27" s="25"/>
      <c r="GK27" s="25" t="s">
        <v>1176</v>
      </c>
      <c r="GM27" s="62" t="s">
        <v>1177</v>
      </c>
      <c r="GN27" s="20">
        <v>958.44504021447722</v>
      </c>
      <c r="GO27" s="156"/>
      <c r="GP27" s="218"/>
      <c r="GQ27" s="156"/>
      <c r="GR27" s="25"/>
      <c r="GS27" s="25" t="s">
        <v>1172</v>
      </c>
      <c r="GT27" s="11"/>
      <c r="GU27" s="12"/>
      <c r="GV27" s="26"/>
      <c r="GW27" s="25"/>
      <c r="GX27" s="219"/>
      <c r="HK27" s="164">
        <v>43914</v>
      </c>
      <c r="HL27" s="60">
        <v>43914.833333333336</v>
      </c>
      <c r="HM27">
        <v>818</v>
      </c>
      <c r="HN27">
        <v>61030</v>
      </c>
      <c r="HQ27" t="str">
        <f>IF(ISNUMBER(tblNSWKnown[[#This Row],[Unknown Locally]]),tblNSWKnown[[#This Row],[Known Locally]]+tblNSWKnown[[#This Row],[Unknown Locally]],"")</f>
        <v/>
      </c>
      <c r="HR27" s="25"/>
      <c r="HS27" t="str">
        <f>IF(ISNUMBER(tblNSWKnown[[#This Row],[Day '# NSW Unknown]]),betaNSWUnknown/(deltaNSWUnknown+betaPodeltaNSWUnknown*EXP(-betaNSWUnknown*tblNSWKnown[Day '# NSW Unknown])),"")</f>
        <v/>
      </c>
      <c r="HT27" t="str">
        <f>IF(ISNUMBER(tblNSWKnown[[#This Row],[Total Local]]),(tblNSWKnown[[#This Row],[Total Local]]-tblNSWKnown[[#This Row],[NSW Unknown Logi P(t)]])^2,"")</f>
        <v/>
      </c>
      <c r="HU27" s="166" t="str">
        <f>IF(ISNUMBER(tblNSWKnown[Total Local]),(tblNSWKnown[Total Local]-AVERAGE(tblNSWKnown[Total Local]))^2,"")</f>
        <v/>
      </c>
      <c r="HV27" s="166"/>
    </row>
    <row r="28" spans="2:230" ht="15" customHeight="1" x14ac:dyDescent="0.25">
      <c r="B28" s="26">
        <v>43869</v>
      </c>
      <c r="C28">
        <v>0</v>
      </c>
      <c r="D28" s="25">
        <v>0</v>
      </c>
      <c r="E28">
        <v>4</v>
      </c>
      <c r="F28">
        <v>0</v>
      </c>
      <c r="G28">
        <v>5</v>
      </c>
      <c r="H28">
        <v>2</v>
      </c>
      <c r="I28">
        <v>0</v>
      </c>
      <c r="J28">
        <v>4</v>
      </c>
      <c r="K28">
        <v>0</v>
      </c>
      <c r="L28" s="11">
        <f>IF(ISNUMBER(tblData[[#This Row],[NSW]]),tblData[[#This Row],[New South Wales]]/NSWpopscale,"")</f>
        <v>4.9504950495049505</v>
      </c>
      <c r="M28">
        <v>3</v>
      </c>
      <c r="N28" s="20">
        <f>IF(ISNUMBER(tblData[Italy]),tblData[Italy]/ItalyPopscale,"")</f>
        <v>0.49599074150615857</v>
      </c>
      <c r="O28">
        <v>11</v>
      </c>
      <c r="P28" s="20">
        <f>IF(ISNUMBER(tblData[US]),tblData[US]/USPopscale,"")</f>
        <v>0.33411521761595392</v>
      </c>
      <c r="Q28">
        <v>24</v>
      </c>
      <c r="R28" s="20">
        <f>IF(ISNUMBER(tblData[SKorea]),tblData[SKorea]/SKoreaPopscale,"")</f>
        <v>4.6692607003891053</v>
      </c>
      <c r="S28">
        <v>3</v>
      </c>
      <c r="T28" s="20">
        <f>IF(ISNUMBER(tblData[United Kingdom]),tblData[United Kingdom]/UKPopscale,"")</f>
        <v>0.45153521974714028</v>
      </c>
      <c r="U28">
        <v>36814</v>
      </c>
      <c r="V28" s="20">
        <f>IF(ISNUMBER(tblData[China]),tblData[China]/ChinaPopscale,"")</f>
        <v>255.77288872632366</v>
      </c>
      <c r="W28" s="25">
        <f ca="1">IF(tblData[[#This Row],[Dates]]&lt;StartDt2China,"",tblData[[#This Row],[Dates]]-ChinaStart)</f>
        <v>17</v>
      </c>
      <c r="X28">
        <v>33</v>
      </c>
      <c r="Y28" s="20">
        <f>IF(ISNUMBER(tblData[Singapore]),tblData[Singapore]/SingaporePopscale,"")</f>
        <v>56.410256410256416</v>
      </c>
      <c r="Z28"/>
      <c r="AA28" s="20" t="str">
        <f>IF(AND(LEN(tblData[Generic])&gt;0,ISNUMBER(tblData[Generic])),tblData[Generic]/GenericPopscale,"")</f>
        <v/>
      </c>
      <c r="AB28" s="25">
        <f ca="1">IF(tblData[[#This Row],[Dates]]&lt;StartDt2Italy,"",tblData[[#This Row],[Dates]]-ItalyStart)</f>
        <v>9</v>
      </c>
      <c r="AC28" s="25">
        <f ca="1">IF(tblData[[#This Row],[Dates]]&lt;=StartDt2US,"",tblData[[#This Row],[Dates]]-USStart)</f>
        <v>17</v>
      </c>
      <c r="AD28" s="25">
        <f>IF(tblData[[#This Row],[Dates]]&lt;=SKoreaStart,"",tblData[[#This Row],[Dates]]-SKoreaStart)</f>
        <v>17</v>
      </c>
      <c r="AE28" s="25">
        <f ca="1">IF(tblData[[#This Row],[Dates]]&lt;=StartDt2UK,"",tblData[[#This Row],[Dates]]-UKStart)</f>
        <v>9</v>
      </c>
      <c r="AF28" s="25">
        <f ca="1">IF(tblData[[#This Row],[Dates]]&lt;StartDt2Singapore,"",tblData[[#This Row],[Dates]]-SingaporeStart)</f>
        <v>16</v>
      </c>
      <c r="AG28" s="25" t="str">
        <f>IF(tblData[[#This Row],[Dates]]&lt;StartDt2Generic,"",tblData[[#This Row],[Dates]]-GenericStart)</f>
        <v/>
      </c>
      <c r="AH28">
        <f ca="1">IF(tblData[Dates]&gt;StartDt2Au,tblData[Dates]-AuStart,"")</f>
        <v>14</v>
      </c>
      <c r="AI28" s="25">
        <f>IF(AND(COUNTBLANK(tblData[[#This Row],[Australian Capital Territory]:[Western Australia]])&lt;1,tblData[New South Wales]&gt;=0),SUM(tblData[[#This Row],[Australian Capital Territory]:[Western Australia]]),"")</f>
        <v>15</v>
      </c>
      <c r="AJ28" s="12">
        <f>IF(ISNUMBER(tblData[Au]),tblData[Au]/AuPopScale,"")</f>
        <v>5.9138937076170954</v>
      </c>
      <c r="AK28" s="19">
        <f ca="1">IF(ISNUMBER(tblData[[#This Row],[Day'# Aust]]),betaAu/(deltaAu+betaPodeltaAu*EXP(-betaAu*tblData[[#This Row],[Day'# Aust]])),"")</f>
        <v>0.11128420797002171</v>
      </c>
      <c r="AL28" s="57">
        <f ca="1">IF(ISNUMBER(tblData[Day'# Aust]),tblData[Au LogiP(t)]/AuPopScale,"")</f>
        <v>4.3874865151404242E-2</v>
      </c>
      <c r="AM28" s="11">
        <f ca="1">IF(AND(tblData[Dates]&gt;StartDt2Au,ISNUMBER(tblData[Au])),(tblData[[#This Row],[Au LogiP(t)]]-tblData[[#This Row],[Au]])^2,"")</f>
        <v>221.67385793584288</v>
      </c>
      <c r="AN28" s="11">
        <f ca="1">IF(AND(ISNUMBER(tblData[Au]),tblData[Dates]&gt;StartDt2Au),(tblData[Au]-AVERAGE(tblData[Au]))^2,"")</f>
        <v>5923431.1160999993</v>
      </c>
      <c r="AO28" s="11">
        <f>tblData[[#This Row],[Dates]]-Au100dt</f>
        <v>-36</v>
      </c>
      <c r="AP28">
        <f ca="1">IF(tblData[Dates]&gt;StartDt2NSW,tblData[Dates]-StartDt2NSW,"")</f>
        <v>14</v>
      </c>
      <c r="AQ28" s="25">
        <f>IF(tblData[[#This Row],[New South Wales]]&gt;0,tblData[[#This Row],[New South Wales]],"")</f>
        <v>4</v>
      </c>
      <c r="AR28" s="44">
        <f ca="1">IF(tblData[Dates]&gt;StartDt2NSW,betaNSW/(deltaNSW+betaPodeltaNSW*EXP(-betaNSW*tblData[[#This Row],[Day '# NSW]])),"")</f>
        <v>3.2828648234526248E-2</v>
      </c>
      <c r="AS28" s="12">
        <f ca="1">IF(AND(ISNUMBER(tblData[NSW]),tblData[Dates]&gt;StartDt2NSW),(tblData[[#This Row],[NSW LogiP(t)]]-tblData[[#This Row],[NSW]])^2,"")</f>
        <v>15.738448534268695</v>
      </c>
      <c r="AT28" s="12">
        <f ca="1">IF(AND(tblData[Dates]&gt;StartDt2NSW,ISNUMBER(tblData[Day'# Aust])),tblData[NSW LogiP(t)]/NSWpopscale,"")</f>
        <v>4.0629515141740402E-2</v>
      </c>
      <c r="AU28" s="11">
        <f>tblData[[#This Row],[Dates]]-NSW100dt+1</f>
        <v>-33</v>
      </c>
      <c r="AV28" s="11">
        <f ca="1">IF(AND(ISNUMBER(tblData[NSW]),tblData[Dates]&gt;StartDt2NSW),(tblData[NSW]-AVERAGE(tblData[NSW]))^2,"")</f>
        <v>1188666.8676</v>
      </c>
      <c r="AW28" s="19">
        <f ca="1">IF(AND(tblData[Dates]&gt;StartDt2Italy,ISNUMBER(tblData[Days'# Italy])),betaItaly/(deltaItaly+betaPodeltaItaly*EXP(-betaItaly*tblData[Days'# Italy])),"")</f>
        <v>4.3239873518509295</v>
      </c>
      <c r="AX28" s="11">
        <f ca="1">IF(AND(tblData[Dates]&gt;StartDt2Italy,ISNUMBER(tblData[Italy])),(tblData[[#This Row],[Italy LogiP(t)]]-tblData[[#This Row],[Italy]])^2,"")</f>
        <v>1.7529425078612371</v>
      </c>
      <c r="AY28" s="20">
        <f ca="1">IF(AND(tblData[Dates]&gt;StartDt2Italy,ISNUMBER(tblData[Days'# Italy])),tblData[[#This Row],[Italy LogiP(t)]]/ItalyPopscale,"")</f>
        <v>0.71488589763593113</v>
      </c>
      <c r="AZ28" s="39">
        <f ca="1">IF(AND(ISNUMBER(tblData[Italy]),tblData[Dates]&gt;StartDt2Italy),(tblData[Italy]-AVERAGE(tblData[Italy]))^2,"")</f>
        <v>4864449609.7294016</v>
      </c>
      <c r="BA28" s="11">
        <f>tblData[[#This Row],[Dates]]-Italy100dt+1</f>
        <v>-18</v>
      </c>
      <c r="BB28" s="11">
        <f ca="1">IF(AND(tblData[Dates]&gt;StartDt2US,ISNUMBER(tblData[[#This Row],[Days'# US]])),betaUS/(deltaUS+betaPodeltaUS*EXP(-betaUS*tblData[Days'# US])),"")</f>
        <v>0.12447130687021359</v>
      </c>
      <c r="BC28" s="11">
        <f ca="1">IF(AND(tblData[Dates]&gt;StartDt2US,ISNUMBER(tblData[US])),(tblData[[#This Row],[US LogiP(t)]]-tblData[US])^2,"")</f>
        <v>118.27712435508926</v>
      </c>
      <c r="BD28" s="20">
        <f ca="1">IF(AND(tblData[Dates]&gt;=StartDt2US,ISNUMBER(tblData[[#This Row],[Days'# US]])),tblData[[#This Row],[US LogiP(t)]]/USPopscale,"")</f>
        <v>3.7807052528985086E-3</v>
      </c>
      <c r="BE28" s="126">
        <f ca="1">IF(AND(ISNUMBER(tblData[US]),tblData[Dates]&gt;StartDt2US),(tblData[US]-AVERAGE(tblData[US]))^2,"")</f>
        <v>50145650394.648308</v>
      </c>
      <c r="BF28" s="11">
        <f>tblData[[#This Row],[Dates]]-US100dt+1</f>
        <v>-35</v>
      </c>
      <c r="BG28" s="11">
        <f ca="1">IF(tblData[Dates]&gt;StartDt2SKorea,betaSKorea/(deltaSKorea+betaPodeltaSKorea*EXP(-betaSKorea*(tblData[Dates]-StartDt2SKorea))),"")</f>
        <v>103.95943736111266</v>
      </c>
      <c r="BH28" s="11">
        <f ca="1">IF(AND(tblData[Dates]&gt;StartDt2SKorea,ISNUMBER(tblData[SKorea])),(tblData[[#This Row],[SKorea LogiP(t)]]-tblData[[#This Row],[SKorea]])^2,"")</f>
        <v>6393.5116231057</v>
      </c>
      <c r="BI28" s="11">
        <f ca="1">IF(tblData[Dates]&gt;StartDt2SKorea,tblData[[#This Row],[SKorea LogiP(t)]]/SKoreaPopscale,"")</f>
        <v>20.225571471033593</v>
      </c>
      <c r="BJ28" s="126">
        <f ca="1">IF(AND(ISNUMBER(tblData[SKorea]),tblData[Dates]&gt;StartDt2SKorea),(tblData[SKorea]-AVERAGE(tblData[SKorea]))^2,"")</f>
        <v>33644321.707420222</v>
      </c>
      <c r="BK28" s="11">
        <f>tblData[[#This Row],[Dates]]-SKorea100dt+1</f>
        <v>-14</v>
      </c>
      <c r="BL28" s="20">
        <f ca="1">IF(AND(tblData[Dates]&gt;StartDt2UK,ISNUMBER(tblData[Days'# UK])),betaUK/(deltaUK+betaPodeltaUK*EXP(-betaUK*tblData[Days'# UK])),"")</f>
        <v>0.59929338689605272</v>
      </c>
      <c r="BM28" s="11">
        <f ca="1">IF(AND(tblData[Dates]&gt;StartDt2UK,ISNUMBER(tblData[United Kingdom])),(tblData[[#This Row],[UK LogiP(t)]]-tblData[[#This Row],[United Kingdom]])^2,"")</f>
        <v>5.7633922422010251</v>
      </c>
      <c r="BN28" s="11">
        <f ca="1">IF(ISNUMBER(tblData[Days'# UK]),tblData[[#This Row],[UK LogiP(t)]]/UKPopscale,"")</f>
        <v>9.0200690381705709E-2</v>
      </c>
      <c r="BO28" s="126">
        <f ca="1">IF(AND(ISNUMBER(tblData[United Kingdom]),tblData[Dates]&gt;StartDt2UK),(tblData[United Kingdom]-AVERAGE(tblData[United Kingdom]))^2,"")</f>
        <v>1441267719.2350612</v>
      </c>
      <c r="BP28" s="11">
        <f>tblData[[#This Row],[Dates]]-UK100dt</f>
        <v>-33</v>
      </c>
      <c r="BQ28" s="11">
        <f ca="1">IF(ISNUMBER(tblData[Days'# China]),betaChina/(deltaChina+betaPodeltaChina*EXP(-betaChina*tblData[Days'# China])),"")</f>
        <v>37235.887341178168</v>
      </c>
      <c r="BR28" s="11">
        <f ca="1">IF(ISNUMBER(tblData[China]),(tblData[[#This Row],[China LogiP(t)]]-tblData[[#This Row],[China]])^2,"")</f>
        <v>177988.92864638381</v>
      </c>
      <c r="BS28" s="11">
        <f ca="1">tblData[[#This Row],[China LogiP(t)]]/ChinaPopscale</f>
        <v>258.70403839683513</v>
      </c>
      <c r="BT28" s="126">
        <f ca="1">IF(AND(ISNUMBER(tblData[China]),tblData[Dates]&gt;StartDt2China),(tblData[China]-AVERAGE(tblData[China]))^2,"")</f>
        <v>923580702.57439482</v>
      </c>
      <c r="BU28" s="11">
        <f>tblData[[#This Row],[Dates]]-China100dt</f>
        <v>6</v>
      </c>
      <c r="BV28" s="95">
        <f ca="1">IF(ISNUMBER(tblData[Day'# Singapore]),betaSingapore/(deltaSingapore+betaPodeltaSingapore*EXP(-betaSingapore*tblData[Day'# Singapore])),"")</f>
        <v>0.91131437608387134</v>
      </c>
      <c r="BW28" s="11">
        <f ca="1">IF(AND(ISNUMBER(tblData[Singapore]),tblData[Dates]&gt;=StartDt2Singapore),(tblData[[#This Row],[Singapore LogiP(t)]]-tblData[[#This Row],[Singapore]])^2,"")</f>
        <v>1029.6837450705216</v>
      </c>
      <c r="BX28" s="20">
        <f ca="1">IF(ISNUMBER(tblData[Day'# Singapore]),tblData[Singapore LogiP(t)]/SingaporePopscale,"")</f>
        <v>1.5578023522801221</v>
      </c>
      <c r="BY28" s="95">
        <f ca="1">IF(AND(ISNUMBER(tblData[Singapore]),tblData[Dates]&gt;StartDt2Singapore),(tblData[Singapore]-AVERAGE(tblData[Singapore]))^2,"")</f>
        <v>5234046.7835447909</v>
      </c>
      <c r="BZ28" s="11">
        <f>tblData[[#This Row],[Dates]]-Singapore100dt+1</f>
        <v>-5</v>
      </c>
      <c r="CA28" s="11" t="str">
        <f>IF(AND(tblData[Dates]&gt;StartDt2Generic,ISNUMBER(tblData[Day'# Generic])),betaGeneric/(deltaGeneric+betaPodeltaGeneric*EXP(-betaGeneric*tblData[Day'# Generic])),"")</f>
        <v/>
      </c>
      <c r="CB28" s="95" t="str">
        <f>IF(AND(ISNUMBER(tblData[Generic]),tblData[Dates]&gt;StartDt2Generic),(tblData[Generic LogiP(t)]-tblData[[#This Row],[Generic]])^2,"")</f>
        <v/>
      </c>
      <c r="CC28" s="11" t="str">
        <f>IF(AND(ISNUMBER(tblData[Day'# Generic]),tblData[Dates]&gt;StartDt2Generic),tblData[Generic LogiP(t)]/GenericPopscale,"")</f>
        <v/>
      </c>
      <c r="CD28" s="95" t="str">
        <f>IF(AND(ISNUMBER(tblData[Generic]),tblData[Dates]&gt;StartDt2Generic),(tblData[Generic]-AVERAGE(tblData[Generic]))^2,"")</f>
        <v/>
      </c>
      <c r="CE28" s="11">
        <f>tblData[[#This Row],[Dates]]-Generic100dt+1</f>
        <v>-33</v>
      </c>
      <c r="CF28"/>
      <c r="CG28" s="11"/>
      <c r="CH28" s="11" t="str">
        <f>IF(ISNUMBER(tblData[[#This Row],[Tests]]),tblData[[#This Row],[Tests]]-CH27,"")</f>
        <v/>
      </c>
      <c r="CI28" s="11" t="str">
        <f>IF(ISNUMBER(tblData[[#This Row],[NSW Under Investigation'']]),tblData[[#This Row],[NSW Under Investigation'']]-CG27,"")</f>
        <v/>
      </c>
      <c r="CJ28" s="11"/>
      <c r="CK28" s="11" t="str">
        <f>IF(AND(tblData[[#This Row],[NSW Test Day Number]]&gt;0,ISNUMBER(tblData[[#This Row],[NSW Test Day Number]])),betaTests/(deltaTests+betaPodeltaTests*EXP(-betaTests*tblData[[#This Row],[NSW Test Day Number]])),"")</f>
        <v/>
      </c>
      <c r="CL28" s="11" t="str">
        <f>IF(tblData[Tests]&gt;0,(tblData[[#This Row],[Tests]]-tblData[[#This Row],[NSW Test Logi]])^2,"")</f>
        <v/>
      </c>
      <c r="CM28" s="95" t="str">
        <f>IF(AND(ISNUMBER(tblData[Tests]),tblData[Dates]&gt;StartDt2Tests),(tblData[Tests]-AVERAGE(tblData[Tests]))^2,"")</f>
        <v/>
      </c>
      <c r="CN28" s="11" t="str">
        <f>IF(ISNUMBER(tblData[Tests]),tblData[Tests]/NSWpopscale/100,"")</f>
        <v/>
      </c>
      <c r="CO28" s="11" t="str">
        <f>IF(AND(tblData[[#This Row],[NSW Test Day Number]]&gt;0,ISNUMBER(tblData[[#This Row],[NSW Test Day Number]])),TestsLogestB*TestsLogestM^tblData[[#This Row],[NSW Test Day Number]],"")</f>
        <v/>
      </c>
      <c r="CP28" s="11" t="str">
        <f>IF(AND(tblData[[#This Row],[NSW Test Day Number]]&gt;0,ISNUMBER(tblData[Tests])),(tblData[Tests]-tblData[[#This Row],[NSW Test Per Capita]])^2,"")</f>
        <v/>
      </c>
      <c r="CQ28" s="20">
        <f ca="1">IF(AND(tblData[Day '# NSW]&gt;0,ISNUMBER(tblData[[#This Row],[Day '# NSW]])),NSWLogestB*NSWLogestM^tblData[[#This Row],[Day '# NSW]]/NSWpopscale,"")</f>
        <v>5.447295851383319</v>
      </c>
      <c r="CR28" s="39">
        <f ca="1">IF(AND(ISNUMBER(tblData[NSW]),tblData[Dates]&gt;StartDt2NSW),(tblData[NSW]/NSWpopscale-tblData[[#This Row],[NSW Cases LogEst]])^2,"")</f>
        <v>0.24681103674698995</v>
      </c>
      <c r="CS28">
        <v>17</v>
      </c>
      <c r="CT28" s="19">
        <f>IF(ISNUMBER(tblData[Taiwan]),tblData[Taiwan]/TaiwanPopscale,"")</f>
        <v>7.1406723371445757</v>
      </c>
      <c r="CU28" s="11">
        <f ca="1">IF(tblData[[#This Row],[Dates]]&lt;StartDt2Taiwan,"",tblData[[#This Row],[Dates]]-TaiwanStart)</f>
        <v>17</v>
      </c>
      <c r="CV28" s="19">
        <f ca="1">IF(AND(tblData[Dates]&gt;StartDt2Taiwan,ISNUMBER(tblData[Days'# Taiwan])),betaTaiwan/(deltaTaiwan+betaPodeltaTaiwan*EXP(-betaTaiwan*tblData[Days'# Taiwan])),"")</f>
        <v>0.52318617280978774</v>
      </c>
      <c r="CW28" s="95">
        <f ca="1">IF(AND(tblData[Dates]&gt;StartDt2Taiwan,ISNUMBER(tblData[Taiwan])),(tblData[[#This Row],[Taiwan LogiP(t)]]-tblData[[#This Row],[Taiwan]])^2,"")</f>
        <v>271.4853938958866</v>
      </c>
      <c r="CX28" s="20">
        <f ca="1">IF(AND(tblData[Dates]&gt;StartDt2Taiwan,ISNUMBER(tblData[Days'# Taiwan])),tblData[[#This Row],[Taiwan LogiP(t)]]/TaiwanPopscale,"")</f>
        <v>0.21975888419761136</v>
      </c>
      <c r="CY28" s="95">
        <f ca="1">IF(AND(ISNUMBER(tblData[Taiwan]),tblData[Dates]&gt;StartDt2Taiwan),(tblData[Taiwan]-AVERAGE(tblData[Taiwan]))^2,"")</f>
        <v>23271.203383314114</v>
      </c>
      <c r="CZ28" s="11">
        <f>tblData[[#This Row],[Dates]]-Taiwan100dt+1</f>
        <v>-46</v>
      </c>
      <c r="DA28"/>
      <c r="DB28" s="20" t="str">
        <f>IF(ISNUMBER(tblData[NZ]),tblData[NZ]/NZPopscale,"")</f>
        <v/>
      </c>
      <c r="DC28" s="11" t="str">
        <f ca="1">IF(tblData[[#This Row],[Dates]]&lt;StartDt2NZ,"",tblData[[#This Row],[Dates]]-NZStart)</f>
        <v/>
      </c>
      <c r="DD28" s="20" t="str">
        <f ca="1">IF(AND(tblData[Dates]&gt;StartDt2NZ,ISNUMBER(tblData[Days'# NZ])),betaNZ/(deltaNZ+betaPodeltaNZ*EXP(-betaNZ*tblData[Days'# NZ])),"")</f>
        <v/>
      </c>
      <c r="DE28" s="95" t="str">
        <f ca="1">IF(AND(tblData[Dates]&gt;StartDt2NZ,ISNUMBER(tblData[NZ])),(tblData[[#This Row],[NZ LogiP(t)]]-tblData[[#This Row],[NZ]])^2,"")</f>
        <v/>
      </c>
      <c r="DF28" s="20" t="str">
        <f ca="1">IF(AND(tblData[Dates]&gt;StartDt2NZ,ISNUMBER(tblData[Days'# NZ])),tblData[[#This Row],[NZ LogiP(t)]]/NZPopscale,"")</f>
        <v/>
      </c>
      <c r="DG28" s="95" t="str">
        <f ca="1">IF(AND(ISNUMBER(tblData[NZ]),tblData[Dates]&gt;StartDt2NZ),(tblData[NZ]-AVERAGE(tblData[NZ]))^2,"")</f>
        <v/>
      </c>
      <c r="DH28" s="11">
        <f>tblData[[#This Row],[Dates]]-NZ100dt+1</f>
        <v>-42</v>
      </c>
      <c r="DI28" s="39"/>
      <c r="DJ28" s="11"/>
      <c r="DK28" s="26"/>
      <c r="DM28" s="25"/>
      <c r="DP28"/>
      <c r="DV28" s="25"/>
      <c r="DW28"/>
      <c r="DZ28" s="25"/>
      <c r="EA28" s="25"/>
      <c r="EB28" s="25"/>
      <c r="EH28"/>
      <c r="EI28"/>
      <c r="EJ28"/>
      <c r="EK28"/>
      <c r="EQ28" s="25"/>
      <c r="ER28" s="25"/>
      <c r="ES28" s="25"/>
      <c r="ET28" s="25"/>
      <c r="FF28"/>
      <c r="FG28"/>
      <c r="FH28"/>
      <c r="FI28"/>
      <c r="FJ28"/>
      <c r="FK28"/>
      <c r="FL28"/>
      <c r="FM28"/>
      <c r="FN28"/>
      <c r="FO28" s="263" t="s">
        <v>48</v>
      </c>
      <c r="FP28" s="250">
        <v>43916.456574074073</v>
      </c>
      <c r="FQ28" s="156">
        <v>43855</v>
      </c>
      <c r="FR28" s="26">
        <v>43855</v>
      </c>
      <c r="FS28" s="211">
        <v>0</v>
      </c>
      <c r="FT28" s="25">
        <v>0.2525762813266027</v>
      </c>
      <c r="FU28" s="25">
        <v>4.0414292801205234E-5</v>
      </c>
      <c r="FV28" s="21">
        <v>9.999999999999998E-4</v>
      </c>
      <c r="FW28" s="212">
        <v>6249.6771270749632</v>
      </c>
      <c r="FX28" s="212">
        <v>34.603419735329808</v>
      </c>
      <c r="FY28" s="212"/>
      <c r="FZ28" s="213">
        <v>252.57624091230994</v>
      </c>
      <c r="GA28" s="213">
        <v>4.0414292801205232E-2</v>
      </c>
      <c r="GB28" s="156">
        <v>43916</v>
      </c>
      <c r="GC28" s="25" t="s">
        <v>1196</v>
      </c>
      <c r="GD28" s="212">
        <v>6249.6771270749632</v>
      </c>
      <c r="GE28" s="212">
        <v>2677</v>
      </c>
      <c r="GF28" s="25" t="s">
        <v>1197</v>
      </c>
      <c r="GG28" s="156">
        <v>43916</v>
      </c>
      <c r="GH28" s="25">
        <v>62</v>
      </c>
      <c r="GI28" s="25" t="s">
        <v>1198</v>
      </c>
      <c r="GJ28" s="25"/>
      <c r="GK28" s="25" t="s">
        <v>1199</v>
      </c>
      <c r="GM28" s="62" t="s">
        <v>1200</v>
      </c>
      <c r="GN28" s="20">
        <v>1055.4328970193976</v>
      </c>
      <c r="GO28" s="156"/>
      <c r="GP28" s="218"/>
      <c r="GQ28" s="156"/>
      <c r="GR28" s="25"/>
      <c r="GS28" s="25" t="s">
        <v>1195</v>
      </c>
      <c r="GT28" s="11"/>
      <c r="GU28" s="12"/>
      <c r="GV28" s="26"/>
      <c r="GW28" s="25"/>
      <c r="GX28" s="219"/>
      <c r="HK28" s="164">
        <v>43915</v>
      </c>
      <c r="HL28" s="60">
        <v>43915.833333333336</v>
      </c>
      <c r="HM28">
        <v>1029</v>
      </c>
      <c r="HN28">
        <v>67148</v>
      </c>
      <c r="HQ28" t="str">
        <f>IF(ISNUMBER(tblNSWKnown[[#This Row],[Unknown Locally]]),tblNSWKnown[[#This Row],[Known Locally]]+tblNSWKnown[[#This Row],[Unknown Locally]],"")</f>
        <v/>
      </c>
      <c r="HR28" s="25"/>
      <c r="HS28" t="str">
        <f>IF(ISNUMBER(tblNSWKnown[[#This Row],[Day '# NSW Unknown]]),betaNSWUnknown/(deltaNSWUnknown+betaPodeltaNSWUnknown*EXP(-betaNSWUnknown*tblNSWKnown[Day '# NSW Unknown])),"")</f>
        <v/>
      </c>
      <c r="HT28" t="str">
        <f>IF(ISNUMBER(tblNSWKnown[[#This Row],[Total Local]]),(tblNSWKnown[[#This Row],[Total Local]]-tblNSWKnown[[#This Row],[NSW Unknown Logi P(t)]])^2,"")</f>
        <v/>
      </c>
      <c r="HU28" s="166" t="str">
        <f>IF(ISNUMBER(tblNSWKnown[Total Local]),(tblNSWKnown[Total Local]-AVERAGE(tblNSWKnown[Total Local]))^2,"")</f>
        <v/>
      </c>
      <c r="HV28" s="166"/>
    </row>
    <row r="29" spans="2:230" x14ac:dyDescent="0.25">
      <c r="B29" s="26">
        <v>43870</v>
      </c>
      <c r="C29">
        <v>0</v>
      </c>
      <c r="D29" s="25">
        <v>0</v>
      </c>
      <c r="E29">
        <v>4</v>
      </c>
      <c r="F29">
        <v>0</v>
      </c>
      <c r="G29">
        <v>5</v>
      </c>
      <c r="H29">
        <v>2</v>
      </c>
      <c r="I29">
        <v>0</v>
      </c>
      <c r="J29">
        <v>4</v>
      </c>
      <c r="K29">
        <v>0</v>
      </c>
      <c r="L29" s="11">
        <f>IF(ISNUMBER(tblData[[#This Row],[NSW]]),tblData[[#This Row],[New South Wales]]/NSWpopscale,"")</f>
        <v>4.9504950495049505</v>
      </c>
      <c r="M29">
        <v>3</v>
      </c>
      <c r="N29" s="20">
        <f>IF(ISNUMBER(tblData[Italy]),tblData[Italy]/ItalyPopscale,"")</f>
        <v>0.49599074150615857</v>
      </c>
      <c r="O29">
        <v>11</v>
      </c>
      <c r="P29" s="20">
        <f>IF(ISNUMBER(tblData[US]),tblData[US]/USPopscale,"")</f>
        <v>0.33411521761595392</v>
      </c>
      <c r="Q29">
        <v>25</v>
      </c>
      <c r="R29" s="20">
        <f>IF(ISNUMBER(tblData[SKorea]),tblData[SKorea]/SKoreaPopscale,"")</f>
        <v>4.8638132295719849</v>
      </c>
      <c r="S29">
        <v>3</v>
      </c>
      <c r="T29" s="20">
        <f>IF(ISNUMBER(tblData[United Kingdom]),tblData[United Kingdom]/UKPopscale,"")</f>
        <v>0.45153521974714028</v>
      </c>
      <c r="U29">
        <v>39829</v>
      </c>
      <c r="V29" s="20">
        <f>IF(ISNUMBER(tblData[China]),tblData[China]/ChinaPopscale,"")</f>
        <v>276.72022559571752</v>
      </c>
      <c r="W29" s="25">
        <f ca="1">IF(tblData[[#This Row],[Dates]]&lt;StartDt2China,"",tblData[[#This Row],[Dates]]-ChinaStart)</f>
        <v>18</v>
      </c>
      <c r="X29">
        <v>40</v>
      </c>
      <c r="Y29" s="20">
        <f>IF(ISNUMBER(tblData[Singapore]),tblData[Singapore]/SingaporePopscale,"")</f>
        <v>68.376068376068375</v>
      </c>
      <c r="Z29"/>
      <c r="AA29" s="20" t="str">
        <f>IF(AND(LEN(tblData[Generic])&gt;0,ISNUMBER(tblData[Generic])),tblData[Generic]/GenericPopscale,"")</f>
        <v/>
      </c>
      <c r="AB29" s="25">
        <f ca="1">IF(tblData[[#This Row],[Dates]]&lt;StartDt2Italy,"",tblData[[#This Row],[Dates]]-ItalyStart)</f>
        <v>10</v>
      </c>
      <c r="AC29" s="25">
        <f ca="1">IF(tblData[[#This Row],[Dates]]&lt;=StartDt2US,"",tblData[[#This Row],[Dates]]-USStart)</f>
        <v>18</v>
      </c>
      <c r="AD29" s="25">
        <f>IF(tblData[[#This Row],[Dates]]&lt;=SKoreaStart,"",tblData[[#This Row],[Dates]]-SKoreaStart)</f>
        <v>18</v>
      </c>
      <c r="AE29" s="25">
        <f ca="1">IF(tblData[[#This Row],[Dates]]&lt;=StartDt2UK,"",tblData[[#This Row],[Dates]]-UKStart)</f>
        <v>10</v>
      </c>
      <c r="AF29" s="25">
        <f ca="1">IF(tblData[[#This Row],[Dates]]&lt;StartDt2Singapore,"",tblData[[#This Row],[Dates]]-SingaporeStart)</f>
        <v>17</v>
      </c>
      <c r="AG29" s="25" t="str">
        <f>IF(tblData[[#This Row],[Dates]]&lt;StartDt2Generic,"",tblData[[#This Row],[Dates]]-GenericStart)</f>
        <v/>
      </c>
      <c r="AH29">
        <f ca="1">IF(tblData[Dates]&gt;StartDt2Au,tblData[Dates]-AuStart,"")</f>
        <v>15</v>
      </c>
      <c r="AI29" s="25">
        <f>IF(AND(COUNTBLANK(tblData[[#This Row],[Australian Capital Territory]:[Western Australia]])&lt;1,tblData[New South Wales]&gt;=0),SUM(tblData[[#This Row],[Australian Capital Territory]:[Western Australia]]),"")</f>
        <v>15</v>
      </c>
      <c r="AJ29" s="12">
        <f>IF(ISNUMBER(tblData[Au]),tblData[Au]/AuPopScale,"")</f>
        <v>5.9138937076170954</v>
      </c>
      <c r="AK29" s="19">
        <f ca="1">IF(ISNUMBER(tblData[[#This Row],[Day'# Aust]]),betaAu/(deltaAu+betaPodeltaAu*EXP(-betaAu*tblData[[#This Row],[Day'# Aust]])),"")</f>
        <v>0.13952721863744891</v>
      </c>
      <c r="AL29" s="57">
        <f ca="1">IF(ISNUMBER(tblData[Day'# Aust]),tblData[Au LogiP(t)]/AuPopScale,"")</f>
        <v>5.5009942689421588E-2</v>
      </c>
      <c r="AM29" s="11">
        <f ca="1">IF(AND(tblData[Dates]&gt;StartDt2Au,ISNUMBER(tblData[Au])),(tblData[[#This Row],[Au LogiP(t)]]-tblData[[#This Row],[Au]])^2,"")</f>
        <v>220.83365128561724</v>
      </c>
      <c r="AN29" s="11">
        <f ca="1">IF(AND(ISNUMBER(tblData[Au]),tblData[Dates]&gt;StartDt2Au),(tblData[Au]-AVERAGE(tblData[Au]))^2,"")</f>
        <v>5923431.1160999993</v>
      </c>
      <c r="AO29" s="11">
        <f>tblData[[#This Row],[Dates]]-Au100dt</f>
        <v>-35</v>
      </c>
      <c r="AP29">
        <f ca="1">IF(tblData[Dates]&gt;StartDt2NSW,tblData[Dates]-StartDt2NSW,"")</f>
        <v>15</v>
      </c>
      <c r="AQ29" s="25">
        <f>IF(tblData[[#This Row],[New South Wales]]&gt;0,tblData[[#This Row],[New South Wales]],"")</f>
        <v>4</v>
      </c>
      <c r="AR29" s="44">
        <f ca="1">IF(tblData[Dates]&gt;StartDt2NSW,betaNSW/(deltaNSW+betaPodeltaNSW*EXP(-betaNSW*tblData[[#This Row],[Day '# NSW]])),"")</f>
        <v>4.1495695651053793E-2</v>
      </c>
      <c r="AS29" s="12">
        <f ca="1">IF(AND(ISNUMBER(tblData[NSW]),tblData[Dates]&gt;StartDt2NSW),(tblData[[#This Row],[NSW LogiP(t)]]-tblData[[#This Row],[NSW]])^2,"")</f>
        <v>15.669756327549134</v>
      </c>
      <c r="AT29" s="12">
        <f ca="1">IF(AND(tblData[Dates]&gt;StartDt2NSW,ISNUMBER(tblData[Day'# Aust])),tblData[NSW LogiP(t)]/NSWpopscale,"")</f>
        <v>5.1356058974076475E-2</v>
      </c>
      <c r="AU29" s="11">
        <f>tblData[[#This Row],[Dates]]-NSW100dt+1</f>
        <v>-32</v>
      </c>
      <c r="AV29" s="11">
        <f ca="1">IF(AND(ISNUMBER(tblData[NSW]),tblData[Dates]&gt;StartDt2NSW),(tblData[NSW]-AVERAGE(tblData[NSW]))^2,"")</f>
        <v>1188666.8676</v>
      </c>
      <c r="AW29" s="19">
        <f ca="1">IF(AND(tblData[Dates]&gt;StartDt2Italy,ISNUMBER(tblData[Days'# Italy])),betaItaly/(deltaItaly+betaPodeltaItaly*EXP(-betaItaly*tblData[Days'# Italy])),"")</f>
        <v>5.5697629786849676</v>
      </c>
      <c r="AX29" s="11">
        <f ca="1">IF(AND(tblData[Dates]&gt;StartDt2Italy,ISNUMBER(tblData[Italy])),(tblData[[#This Row],[Italy LogiP(t)]]-tblData[[#This Row],[Italy]])^2,"")</f>
        <v>6.6036817666198377</v>
      </c>
      <c r="AY29" s="20">
        <f ca="1">IF(AND(tblData[Dates]&gt;StartDt2Italy,ISNUMBER(tblData[Days'# Italy])),tblData[[#This Row],[Italy LogiP(t)]]/ItalyPopscale,"")</f>
        <v>0.92085028993716922</v>
      </c>
      <c r="AZ29" s="39">
        <f ca="1">IF(AND(ISNUMBER(tblData[Italy]),tblData[Dates]&gt;StartDt2Italy),(tblData[Italy]-AVERAGE(tblData[Italy]))^2,"")</f>
        <v>4864449609.7294016</v>
      </c>
      <c r="BA29" s="11">
        <f>tblData[[#This Row],[Dates]]-Italy100dt+1</f>
        <v>-17</v>
      </c>
      <c r="BB29" s="11">
        <f ca="1">IF(AND(tblData[Dates]&gt;StartDt2US,ISNUMBER(tblData[[#This Row],[Days'# US]])),betaUS/(deltaUS+betaPodeltaUS*EXP(-betaUS*tblData[Days'# US])),"")</f>
        <v>0.1653136059168181</v>
      </c>
      <c r="BC29" s="11">
        <f ca="1">IF(AND(tblData[Dates]&gt;StartDt2US,ISNUMBER(tblData[US])),(tblData[[#This Row],[US LogiP(t)]]-tblData[US])^2,"")</f>
        <v>117.39042925813122</v>
      </c>
      <c r="BD29" s="20">
        <f ca="1">IF(AND(tblData[Dates]&gt;=StartDt2US,ISNUMBER(tblData[[#This Row],[Days'# US]])),tblData[[#This Row],[US LogiP(t)]]/USPopscale,"")</f>
        <v>5.0212537650705207E-3</v>
      </c>
      <c r="BE29" s="126">
        <f ca="1">IF(AND(ISNUMBER(tblData[US]),tblData[Dates]&gt;StartDt2US),(tblData[US]-AVERAGE(tblData[US]))^2,"")</f>
        <v>50145650394.648308</v>
      </c>
      <c r="BF29" s="11">
        <f>tblData[[#This Row],[Dates]]-US100dt+1</f>
        <v>-34</v>
      </c>
      <c r="BG29" s="11">
        <f ca="1">IF(tblData[Dates]&gt;StartDt2SKorea,betaSKorea/(deltaSKorea+betaPodeltaSKorea*EXP(-betaSKorea*(tblData[Dates]-StartDt2SKorea))),"")</f>
        <v>123.88467226106781</v>
      </c>
      <c r="BH29" s="11">
        <f ca="1">IF(AND(tblData[Dates]&gt;StartDt2SKorea,ISNUMBER(tblData[SKorea])),(tblData[[#This Row],[SKorea LogiP(t)]]-tblData[[#This Row],[SKorea]])^2,"")</f>
        <v>9778.1784081787919</v>
      </c>
      <c r="BI29" s="11">
        <f ca="1">IF(tblData[Dates]&gt;StartDt2SKorea,tblData[[#This Row],[SKorea LogiP(t)]]/SKoreaPopscale,"")</f>
        <v>24.102076315382842</v>
      </c>
      <c r="BJ29" s="126">
        <f ca="1">IF(AND(ISNUMBER(tblData[SKorea]),tblData[Dates]&gt;StartDt2SKorea),(tblData[SKorea]-AVERAGE(tblData[SKorea]))^2,"")</f>
        <v>33632721.962322183</v>
      </c>
      <c r="BK29" s="11">
        <f>tblData[[#This Row],[Dates]]-SKorea100dt+1</f>
        <v>-13</v>
      </c>
      <c r="BL29" s="20">
        <f ca="1">IF(AND(tblData[Dates]&gt;StartDt2UK,ISNUMBER(tblData[Days'# UK])),betaUK/(deltaUK+betaPodeltaUK*EXP(-betaUK*tblData[Days'# UK])),"")</f>
        <v>0.74170970337871134</v>
      </c>
      <c r="BM29" s="11">
        <f ca="1">IF(AND(tblData[Dates]&gt;StartDt2UK,ISNUMBER(tblData[United Kingdom])),(tblData[[#This Row],[UK LogiP(t)]]-tblData[[#This Row],[United Kingdom]])^2,"")</f>
        <v>5.099875063813867</v>
      </c>
      <c r="BN29" s="11">
        <f ca="1">IF(ISNUMBER(tblData[Days'# UK]),tblData[[#This Row],[UK LogiP(t)]]/UKPopscale,"")</f>
        <v>0.11163601796789754</v>
      </c>
      <c r="BO29" s="126">
        <f ca="1">IF(AND(ISNUMBER(tblData[United Kingdom]),tblData[Dates]&gt;StartDt2UK),(tblData[United Kingdom]-AVERAGE(tblData[United Kingdom]))^2,"")</f>
        <v>1441267719.2350612</v>
      </c>
      <c r="BP29" s="11">
        <f>tblData[[#This Row],[Dates]]-UK100dt</f>
        <v>-32</v>
      </c>
      <c r="BQ29" s="11">
        <f ca="1">IF(ISNUMBER(tblData[Days'# China]),betaChina/(deltaChina+betaPodeltaChina*EXP(-betaChina*tblData[Days'# China])),"")</f>
        <v>41759.234743962938</v>
      </c>
      <c r="BR29" s="11">
        <f ca="1">IF(ISNUMBER(tblData[China]),(tblData[[#This Row],[China LogiP(t)]]-tblData[[#This Row],[China]])^2,"")</f>
        <v>3725806.1668016668</v>
      </c>
      <c r="BS29" s="11">
        <f ca="1">tblData[[#This Row],[China LogiP(t)]]/ChinaPopscale</f>
        <v>290.13093120725978</v>
      </c>
      <c r="BT29" s="126">
        <f ca="1">IF(AND(ISNUMBER(tblData[China]),tblData[Dates]&gt;StartDt2China),(tblData[China]-AVERAGE(tblData[China]))^2,"")</f>
        <v>749416389.92733598</v>
      </c>
      <c r="BU29" s="11">
        <f>tblData[[#This Row],[Dates]]-China100dt</f>
        <v>7</v>
      </c>
      <c r="BV29" s="95">
        <f ca="1">IF(ISNUMBER(tblData[Day'# Singapore]),betaSingapore/(deltaSingapore+betaPodeltaSingapore*EXP(-betaSingapore*tblData[Day'# Singapore])),"")</f>
        <v>1.0332759696129403</v>
      </c>
      <c r="BW29" s="11">
        <f ca="1">IF(AND(ISNUMBER(tblData[Singapore]),tblData[Dates]&gt;=StartDt2Singapore),(tblData[[#This Row],[Singapore LogiP(t)]]-tblData[[#This Row],[Singapore]])^2,"")</f>
        <v>1518.4055816603445</v>
      </c>
      <c r="BX29" s="20">
        <f ca="1">IF(ISNUMBER(tblData[Day'# Singapore]),tblData[Singapore LogiP(t)]/SingaporePopscale,"")</f>
        <v>1.7662837087400691</v>
      </c>
      <c r="BY29" s="95">
        <f ca="1">IF(AND(ISNUMBER(tblData[Singapore]),tblData[Dates]&gt;StartDt2Singapore),(tblData[Singapore]-AVERAGE(tblData[Singapore]))^2,"")</f>
        <v>5202066.5286428304</v>
      </c>
      <c r="BZ29" s="11">
        <f>tblData[[#This Row],[Dates]]-Singapore100dt+1</f>
        <v>-4</v>
      </c>
      <c r="CA29" s="11" t="str">
        <f>IF(AND(tblData[Dates]&gt;StartDt2Generic,ISNUMBER(tblData[Day'# Generic])),betaGeneric/(deltaGeneric+betaPodeltaGeneric*EXP(-betaGeneric*tblData[Day'# Generic])),"")</f>
        <v/>
      </c>
      <c r="CB29" s="95" t="str">
        <f>IF(AND(ISNUMBER(tblData[Generic]),tblData[Dates]&gt;StartDt2Generic),(tblData[Generic LogiP(t)]-tblData[[#This Row],[Generic]])^2,"")</f>
        <v/>
      </c>
      <c r="CC29" s="11" t="str">
        <f>IF(AND(ISNUMBER(tblData[Day'# Generic]),tblData[Dates]&gt;StartDt2Generic),tblData[Generic LogiP(t)]/GenericPopscale,"")</f>
        <v/>
      </c>
      <c r="CD29" s="95" t="str">
        <f>IF(AND(ISNUMBER(tblData[Generic]),tblData[Dates]&gt;StartDt2Generic),(tblData[Generic]-AVERAGE(tblData[Generic]))^2,"")</f>
        <v/>
      </c>
      <c r="CE29" s="11">
        <f>tblData[[#This Row],[Dates]]-Generic100dt+1</f>
        <v>-32</v>
      </c>
      <c r="CF29"/>
      <c r="CG29" s="11"/>
      <c r="CH29" s="11" t="str">
        <f>IF(ISNUMBER(tblData[[#This Row],[Tests]]),tblData[[#This Row],[Tests]]-CH28,"")</f>
        <v/>
      </c>
      <c r="CI29" s="11" t="str">
        <f>IF(ISNUMBER(tblData[[#This Row],[NSW Under Investigation'']]),tblData[[#This Row],[NSW Under Investigation'']]-CG28,"")</f>
        <v/>
      </c>
      <c r="CJ29" s="11"/>
      <c r="CK29" s="11" t="str">
        <f>IF(AND(tblData[[#This Row],[NSW Test Day Number]]&gt;0,ISNUMBER(tblData[[#This Row],[NSW Test Day Number]])),betaTests/(deltaTests+betaPodeltaTests*EXP(-betaTests*tblData[[#This Row],[NSW Test Day Number]])),"")</f>
        <v/>
      </c>
      <c r="CL29" s="11" t="str">
        <f>IF(tblData[Tests]&gt;0,(tblData[[#This Row],[Tests]]-tblData[[#This Row],[NSW Test Logi]])^2,"")</f>
        <v/>
      </c>
      <c r="CM29" s="95" t="str">
        <f>IF(AND(ISNUMBER(tblData[Tests]),tblData[Dates]&gt;StartDt2Tests),(tblData[Tests]-AVERAGE(tblData[Tests]))^2,"")</f>
        <v/>
      </c>
      <c r="CN29" s="11" t="str">
        <f>IF(ISNUMBER(tblData[Tests]),tblData[Tests]/NSWpopscale/100,"")</f>
        <v/>
      </c>
      <c r="CO29" s="11" t="str">
        <f>IF(AND(tblData[[#This Row],[NSW Test Day Number]]&gt;0,ISNUMBER(tblData[[#This Row],[NSW Test Day Number]])),TestsLogestB*TestsLogestM^tblData[[#This Row],[NSW Test Day Number]],"")</f>
        <v/>
      </c>
      <c r="CP29" s="11" t="str">
        <f>IF(AND(tblData[[#This Row],[NSW Test Day Number]]&gt;0,ISNUMBER(tblData[Tests])),(tblData[Tests]-tblData[[#This Row],[NSW Test Per Capita]])^2,"")</f>
        <v/>
      </c>
      <c r="CQ29" s="20">
        <f ca="1">IF(AND(tblData[Day '# NSW]&gt;0,ISNUMBER(tblData[[#This Row],[Day '# NSW]])),NSWLogestB*NSWLogestM^tblData[[#This Row],[Day '# NSW]]/NSWpopscale,"")</f>
        <v>5.9972310479804776</v>
      </c>
      <c r="CR29" s="39">
        <f ca="1">IF(AND(ISNUMBER(tblData[NSW]),tblData[Dates]&gt;StartDt2NSW),(tblData[NSW]/NSWpopscale-tblData[[#This Row],[NSW Cases LogEst]])^2,"")</f>
        <v>1.0956562505045586</v>
      </c>
      <c r="CS29">
        <v>18</v>
      </c>
      <c r="CT29" s="19">
        <f>IF(ISNUMBER(tblData[Taiwan]),tblData[Taiwan]/TaiwanPopscale,"")</f>
        <v>7.5607118863883747</v>
      </c>
      <c r="CU29" s="11">
        <f ca="1">IF(tblData[[#This Row],[Dates]]&lt;StartDt2Taiwan,"",tblData[[#This Row],[Dates]]-TaiwanStart)</f>
        <v>18</v>
      </c>
      <c r="CV29" s="19">
        <f ca="1">IF(AND(tblData[Dates]&gt;StartDt2Taiwan,ISNUMBER(tblData[Days'# Taiwan])),betaTaiwan/(deltaTaiwan+betaPodeltaTaiwan*EXP(-betaTaiwan*tblData[Days'# Taiwan])),"")</f>
        <v>0.60624219288704806</v>
      </c>
      <c r="CW29" s="95">
        <f ca="1">IF(AND(tblData[Dates]&gt;StartDt2Taiwan,ISNUMBER(tblData[Taiwan])),(tblData[[#This Row],[Taiwan LogiP(t)]]-tblData[[#This Row],[Taiwan]])^2,"")</f>
        <v>302.54281065250274</v>
      </c>
      <c r="CX29" s="20">
        <f ca="1">IF(AND(tblData[Dates]&gt;StartDt2Taiwan,ISNUMBER(tblData[Days'# Taiwan])),tblData[[#This Row],[Taiwan LogiP(t)]]/TaiwanPopscale,"")</f>
        <v>0.25464569743284765</v>
      </c>
      <c r="CY29" s="95">
        <f ca="1">IF(AND(ISNUMBER(tblData[Taiwan]),tblData[Dates]&gt;StartDt2Taiwan),(tblData[Taiwan]-AVERAGE(tblData[Taiwan]))^2,"")</f>
        <v>22967.105344098429</v>
      </c>
      <c r="CZ29" s="11">
        <f>tblData[[#This Row],[Dates]]-Taiwan100dt+1</f>
        <v>-45</v>
      </c>
      <c r="DA29"/>
      <c r="DB29" s="20" t="str">
        <f>IF(ISNUMBER(tblData[NZ]),tblData[NZ]/NZPopscale,"")</f>
        <v/>
      </c>
      <c r="DC29" s="11" t="str">
        <f ca="1">IF(tblData[[#This Row],[Dates]]&lt;StartDt2NZ,"",tblData[[#This Row],[Dates]]-NZStart)</f>
        <v/>
      </c>
      <c r="DD29" s="20" t="str">
        <f ca="1">IF(AND(tblData[Dates]&gt;StartDt2NZ,ISNUMBER(tblData[Days'# NZ])),betaNZ/(deltaNZ+betaPodeltaNZ*EXP(-betaNZ*tblData[Days'# NZ])),"")</f>
        <v/>
      </c>
      <c r="DE29" s="95" t="str">
        <f ca="1">IF(AND(tblData[Dates]&gt;StartDt2NZ,ISNUMBER(tblData[NZ])),(tblData[[#This Row],[NZ LogiP(t)]]-tblData[[#This Row],[NZ]])^2,"")</f>
        <v/>
      </c>
      <c r="DF29" s="20" t="str">
        <f ca="1">IF(AND(tblData[Dates]&gt;StartDt2NZ,ISNUMBER(tblData[Days'# NZ])),tblData[[#This Row],[NZ LogiP(t)]]/NZPopscale,"")</f>
        <v/>
      </c>
      <c r="DG29" s="95" t="str">
        <f ca="1">IF(AND(ISNUMBER(tblData[NZ]),tblData[Dates]&gt;StartDt2NZ),(tblData[NZ]-AVERAGE(tblData[NZ]))^2,"")</f>
        <v/>
      </c>
      <c r="DH29" s="11">
        <f>tblData[[#This Row],[Dates]]-NZ100dt+1</f>
        <v>-41</v>
      </c>
      <c r="DI29" s="39"/>
      <c r="DJ29" s="11"/>
      <c r="DK29" s="26"/>
      <c r="DM29" s="25"/>
      <c r="DP29"/>
      <c r="DV29" s="25"/>
      <c r="DW29"/>
      <c r="DZ29" s="25"/>
      <c r="EA29" s="25"/>
      <c r="EB29" s="25"/>
      <c r="EH29"/>
      <c r="EI29"/>
      <c r="EJ29"/>
      <c r="EK29"/>
      <c r="EQ29" s="25"/>
      <c r="ER29" s="25"/>
      <c r="ES29" s="25"/>
      <c r="ET29" s="25"/>
      <c r="FF29"/>
      <c r="FG29"/>
      <c r="FH29"/>
      <c r="FI29"/>
      <c r="FJ29"/>
      <c r="FK29"/>
      <c r="FL29"/>
      <c r="FM29"/>
      <c r="FN29"/>
      <c r="FO29" s="263" t="s">
        <v>48</v>
      </c>
      <c r="FP29" s="250">
        <v>43916.898969907408</v>
      </c>
      <c r="FQ29" s="156">
        <v>43855</v>
      </c>
      <c r="FR29" s="26">
        <v>43855</v>
      </c>
      <c r="FS29" s="211">
        <v>0</v>
      </c>
      <c r="FT29" s="25">
        <v>0.25198740272460018</v>
      </c>
      <c r="FU29" s="71">
        <v>3.5811924155832426E-5</v>
      </c>
      <c r="FV29" s="21">
        <v>9.999999999999998E-4</v>
      </c>
      <c r="FW29" s="212">
        <v>7036.4105996678436</v>
      </c>
      <c r="FX29" s="212">
        <v>31.506780671612191</v>
      </c>
      <c r="FY29" s="212"/>
      <c r="FZ29" s="213">
        <v>251.98736691267607</v>
      </c>
      <c r="GA29" s="213">
        <v>3.5811924155832425E-2</v>
      </c>
      <c r="GB29" s="156">
        <v>43916</v>
      </c>
      <c r="GC29" s="74" t="s">
        <v>1212</v>
      </c>
      <c r="GD29" s="212">
        <v>7036.4105996678436</v>
      </c>
      <c r="GE29" s="212">
        <v>2806</v>
      </c>
      <c r="GF29" s="25" t="s">
        <v>1213</v>
      </c>
      <c r="GG29" s="156">
        <v>43916</v>
      </c>
      <c r="GH29" s="25">
        <v>62</v>
      </c>
      <c r="GI29" s="25" t="s">
        <v>1214</v>
      </c>
      <c r="GJ29" s="25"/>
      <c r="GK29" s="62" t="s">
        <v>1215</v>
      </c>
      <c r="GM29" s="62" t="s">
        <v>1216</v>
      </c>
      <c r="GN29" s="20">
        <v>1106.2923829049046</v>
      </c>
      <c r="GO29" s="156"/>
      <c r="GP29" s="218"/>
      <c r="GQ29" s="156"/>
      <c r="GR29" s="25"/>
      <c r="GS29" s="25" t="s">
        <v>1211</v>
      </c>
      <c r="GT29" s="11"/>
      <c r="GU29" s="12"/>
      <c r="GV29" s="26"/>
      <c r="GX29" s="219"/>
      <c r="HK29" s="164">
        <v>43916</v>
      </c>
      <c r="HL29" s="60">
        <v>43916.833333333336</v>
      </c>
      <c r="HM29">
        <v>1219</v>
      </c>
      <c r="HN29">
        <v>72787</v>
      </c>
      <c r="HQ29" t="str">
        <f>IF(ISNUMBER(tblNSWKnown[[#This Row],[Unknown Locally]]),tblNSWKnown[[#This Row],[Known Locally]]+tblNSWKnown[[#This Row],[Unknown Locally]],"")</f>
        <v/>
      </c>
      <c r="HR29" s="25"/>
      <c r="HS29" t="str">
        <f>IF(ISNUMBER(tblNSWKnown[[#This Row],[Day '# NSW Unknown]]),betaNSWUnknown/(deltaNSWUnknown+betaPodeltaNSWUnknown*EXP(-betaNSWUnknown*tblNSWKnown[Day '# NSW Unknown])),"")</f>
        <v/>
      </c>
      <c r="HT29" t="str">
        <f>IF(ISNUMBER(tblNSWKnown[[#This Row],[Total Local]]),(tblNSWKnown[[#This Row],[Total Local]]-tblNSWKnown[[#This Row],[NSW Unknown Logi P(t)]])^2,"")</f>
        <v/>
      </c>
      <c r="HU29" s="166" t="str">
        <f>IF(ISNUMBER(tblNSWKnown[Total Local]),(tblNSWKnown[Total Local]-AVERAGE(tblNSWKnown[Total Local]))^2,"")</f>
        <v/>
      </c>
      <c r="HV29" s="166"/>
    </row>
    <row r="30" spans="2:230" ht="15" customHeight="1" x14ac:dyDescent="0.25">
      <c r="B30" s="26">
        <v>43871</v>
      </c>
      <c r="C30">
        <v>0</v>
      </c>
      <c r="D30" s="25">
        <v>0</v>
      </c>
      <c r="E30">
        <v>4</v>
      </c>
      <c r="F30">
        <v>0</v>
      </c>
      <c r="G30">
        <v>5</v>
      </c>
      <c r="H30">
        <v>2</v>
      </c>
      <c r="I30">
        <v>0</v>
      </c>
      <c r="J30">
        <v>4</v>
      </c>
      <c r="K30">
        <v>0</v>
      </c>
      <c r="L30" s="11">
        <f>IF(ISNUMBER(tblData[[#This Row],[NSW]]),tblData[[#This Row],[New South Wales]]/NSWpopscale,"")</f>
        <v>4.9504950495049505</v>
      </c>
      <c r="M30">
        <v>3</v>
      </c>
      <c r="N30" s="20">
        <f>IF(ISNUMBER(tblData[Italy]),tblData[Italy]/ItalyPopscale,"")</f>
        <v>0.49599074150615857</v>
      </c>
      <c r="O30">
        <v>11</v>
      </c>
      <c r="P30" s="20">
        <f>IF(ISNUMBER(tblData[US]),tblData[US]/USPopscale,"")</f>
        <v>0.33411521761595392</v>
      </c>
      <c r="Q30">
        <v>27</v>
      </c>
      <c r="R30" s="20">
        <f>IF(ISNUMBER(tblData[SKorea]),tblData[SKorea]/SKoreaPopscale,"")</f>
        <v>5.2529182879377432</v>
      </c>
      <c r="S30">
        <v>8</v>
      </c>
      <c r="T30" s="20">
        <f>IF(ISNUMBER(tblData[United Kingdom]),tblData[United Kingdom]/UKPopscale,"")</f>
        <v>1.2040939193257074</v>
      </c>
      <c r="U30">
        <v>42354</v>
      </c>
      <c r="V30" s="20">
        <f>IF(ISNUMBER(tblData[China]),tblData[China]/ChinaPopscale,"")</f>
        <v>294.26318599214193</v>
      </c>
      <c r="W30" s="25">
        <f ca="1">IF(tblData[[#This Row],[Dates]]&lt;StartDt2China,"",tblData[[#This Row],[Dates]]-ChinaStart)</f>
        <v>19</v>
      </c>
      <c r="X30">
        <v>45</v>
      </c>
      <c r="Y30" s="20">
        <f>IF(ISNUMBER(tblData[Singapore]),tblData[Singapore]/SingaporePopscale,"")</f>
        <v>76.923076923076934</v>
      </c>
      <c r="Z30"/>
      <c r="AA30" s="20" t="str">
        <f>IF(AND(LEN(tblData[Generic])&gt;0,ISNUMBER(tblData[Generic])),tblData[Generic]/GenericPopscale,"")</f>
        <v/>
      </c>
      <c r="AB30" s="25">
        <f ca="1">IF(tblData[[#This Row],[Dates]]&lt;StartDt2Italy,"",tblData[[#This Row],[Dates]]-ItalyStart)</f>
        <v>11</v>
      </c>
      <c r="AC30" s="25">
        <f ca="1">IF(tblData[[#This Row],[Dates]]&lt;=StartDt2US,"",tblData[[#This Row],[Dates]]-USStart)</f>
        <v>19</v>
      </c>
      <c r="AD30" s="25">
        <f>IF(tblData[[#This Row],[Dates]]&lt;=SKoreaStart,"",tblData[[#This Row],[Dates]]-SKoreaStart)</f>
        <v>19</v>
      </c>
      <c r="AE30" s="25">
        <f ca="1">IF(tblData[[#This Row],[Dates]]&lt;=StartDt2UK,"",tblData[[#This Row],[Dates]]-UKStart)</f>
        <v>11</v>
      </c>
      <c r="AF30" s="25">
        <f ca="1">IF(tblData[[#This Row],[Dates]]&lt;StartDt2Singapore,"",tblData[[#This Row],[Dates]]-SingaporeStart)</f>
        <v>18</v>
      </c>
      <c r="AG30" s="25" t="str">
        <f>IF(tblData[[#This Row],[Dates]]&lt;StartDt2Generic,"",tblData[[#This Row],[Dates]]-GenericStart)</f>
        <v/>
      </c>
      <c r="AH30">
        <f ca="1">IF(tblData[Dates]&gt;StartDt2Au,tblData[Dates]-AuStart,"")</f>
        <v>16</v>
      </c>
      <c r="AI30" s="25">
        <f>IF(AND(COUNTBLANK(tblData[[#This Row],[Australian Capital Territory]:[Western Australia]])&lt;1,tblData[New South Wales]&gt;=0),SUM(tblData[[#This Row],[Australian Capital Territory]:[Western Australia]]),"")</f>
        <v>15</v>
      </c>
      <c r="AJ30" s="12">
        <f>IF(ISNUMBER(tblData[Au]),tblData[Au]/AuPopScale,"")</f>
        <v>5.9138937076170954</v>
      </c>
      <c r="AK30" s="19">
        <f ca="1">IF(ISNUMBER(tblData[[#This Row],[Day'# Aust]]),betaAu/(deltaAu+betaPodeltaAu*EXP(-betaAu*tblData[[#This Row],[Day'# Aust]])),"")</f>
        <v>0.17493788284988926</v>
      </c>
      <c r="AL30" s="57">
        <f ca="1">IF(ISNUMBER(tblData[Day'# Aust]),tblData[Au LogiP(t)]/AuPopScale,"")</f>
        <v>6.897093630732111E-2</v>
      </c>
      <c r="AM30" s="11">
        <f ca="1">IF(AND(tblData[Dates]&gt;StartDt2Au,ISNUMBER(tblData[Au])),(tblData[[#This Row],[Au LogiP(t)]]-tblData[[#This Row],[Au]])^2,"")</f>
        <v>219.78246677735933</v>
      </c>
      <c r="AN30" s="11">
        <f ca="1">IF(AND(ISNUMBER(tblData[Au]),tblData[Dates]&gt;StartDt2Au),(tblData[Au]-AVERAGE(tblData[Au]))^2,"")</f>
        <v>5923431.1160999993</v>
      </c>
      <c r="AO30" s="11">
        <f>tblData[[#This Row],[Dates]]-Au100dt</f>
        <v>-34</v>
      </c>
      <c r="AP30">
        <f ca="1">IF(tblData[Dates]&gt;StartDt2NSW,tblData[Dates]-StartDt2NSW,"")</f>
        <v>16</v>
      </c>
      <c r="AQ30" s="25">
        <f>IF(tblData[[#This Row],[New South Wales]]&gt;0,tblData[[#This Row],[New South Wales]],"")</f>
        <v>4</v>
      </c>
      <c r="AR30" s="44">
        <f ca="1">IF(tblData[Dates]&gt;StartDt2NSW,betaNSW/(deltaNSW+betaPodeltaNSW*EXP(-betaNSW*tblData[[#This Row],[Day '# NSW]])),"")</f>
        <v>5.2450878277222619E-2</v>
      </c>
      <c r="AS30" s="12">
        <f ca="1">IF(AND(ISNUMBER(tblData[NSW]),tblData[Dates]&gt;StartDt2NSW),(tblData[[#This Row],[NSW LogiP(t)]]-tblData[[#This Row],[NSW]])^2,"")</f>
        <v>15.583144068414269</v>
      </c>
      <c r="AT30" s="12">
        <f ca="1">IF(AND(tblData[Dates]&gt;StartDt2NSW,ISNUMBER(tblData[Day'# Aust])),tblData[NSW LogiP(t)]/NSWpopscale,"")</f>
        <v>6.4914453313394321E-2</v>
      </c>
      <c r="AU30" s="11">
        <f>tblData[[#This Row],[Dates]]-NSW100dt+1</f>
        <v>-31</v>
      </c>
      <c r="AV30" s="11">
        <f ca="1">IF(AND(ISNUMBER(tblData[NSW]),tblData[Dates]&gt;StartDt2NSW),(tblData[NSW]-AVERAGE(tblData[NSW]))^2,"")</f>
        <v>1188666.8676</v>
      </c>
      <c r="AW30" s="19">
        <f ca="1">IF(AND(tblData[Dates]&gt;StartDt2Italy,ISNUMBER(tblData[Days'# Italy])),betaItaly/(deltaItaly+betaPodeltaItaly*EXP(-betaItaly*tblData[Days'# Italy])),"")</f>
        <v>7.1744406538824119</v>
      </c>
      <c r="AX30" s="11">
        <f ca="1">IF(AND(tblData[Dates]&gt;StartDt2Italy,ISNUMBER(tblData[Italy])),(tblData[[#This Row],[Italy LogiP(t)]]-tblData[[#This Row],[Italy]])^2,"")</f>
        <v>17.42595477278622</v>
      </c>
      <c r="AY30" s="20">
        <f ca="1">IF(AND(tblData[Dates]&gt;StartDt2Italy,ISNUMBER(tblData[Days'# Italy])),tblData[[#This Row],[Italy LogiP(t)]]/ItalyPopscale,"")</f>
        <v>1.1861520466036888</v>
      </c>
      <c r="AZ30" s="39">
        <f ca="1">IF(AND(ISNUMBER(tblData[Italy]),tblData[Dates]&gt;StartDt2Italy),(tblData[Italy]-AVERAGE(tblData[Italy]))^2,"")</f>
        <v>4864449609.7294016</v>
      </c>
      <c r="BA30" s="11">
        <f>tblData[[#This Row],[Dates]]-Italy100dt+1</f>
        <v>-16</v>
      </c>
      <c r="BB30" s="11">
        <f ca="1">IF(AND(tblData[Dates]&gt;StartDt2US,ISNUMBER(tblData[[#This Row],[Days'# US]])),betaUS/(deltaUS+betaPodeltaUS*EXP(-betaUS*tblData[Days'# US])),"")</f>
        <v>0.21955733042520031</v>
      </c>
      <c r="BC30" s="11">
        <f ca="1">IF(AND(tblData[Dates]&gt;StartDt2US,ISNUMBER(tblData[US])),(tblData[[#This Row],[US LogiP(t)]]-tblData[US])^2,"")</f>
        <v>116.21794415198904</v>
      </c>
      <c r="BD30" s="20">
        <f ca="1">IF(AND(tblData[Dates]&gt;=StartDt2US,ISNUMBER(tblData[[#This Row],[Days'# US]])),tblData[[#This Row],[US LogiP(t)]]/USPopscale,"")</f>
        <v>6.6688586576539735E-3</v>
      </c>
      <c r="BE30" s="126">
        <f ca="1">IF(AND(ISNUMBER(tblData[US]),tblData[Dates]&gt;StartDt2US),(tblData[US]-AVERAGE(tblData[US]))^2,"")</f>
        <v>50145650394.648308</v>
      </c>
      <c r="BF30" s="11">
        <f>tblData[[#This Row],[Dates]]-US100dt+1</f>
        <v>-33</v>
      </c>
      <c r="BG30" s="20">
        <f ca="1">IF(tblData[Dates]&gt;StartDt2SKorea,betaSKorea/(deltaSKorea+betaPodeltaSKorea*EXP(-betaSKorea*(tblData[Dates]-StartDt2SKorea))),"")</f>
        <v>147.57321561154089</v>
      </c>
      <c r="BH30" s="20">
        <f ca="1">IF(AND(tblData[Dates]&gt;StartDt2SKorea,ISNUMBER(tblData[SKorea])),(tblData[[#This Row],[SKorea LogiP(t)]]-tblData[[#This Row],[SKorea]])^2,"")</f>
        <v>14537.900322907128</v>
      </c>
      <c r="BI30" s="20">
        <f ca="1">IF(tblData[Dates]&gt;StartDt2SKorea,tblData[[#This Row],[SKorea LogiP(t)]]/SKoreaPopscale,"")</f>
        <v>28.710742336875661</v>
      </c>
      <c r="BJ30" s="126">
        <f ca="1">IF(AND(ISNUMBER(tblData[SKorea]),tblData[Dates]&gt;StartDt2SKorea),(tblData[SKorea]-AVERAGE(tblData[SKorea]))^2,"")</f>
        <v>33609528.472126104</v>
      </c>
      <c r="BK30" s="11">
        <f>tblData[[#This Row],[Dates]]-SKorea100dt+1</f>
        <v>-12</v>
      </c>
      <c r="BL30" s="20">
        <f ca="1">IF(AND(tblData[Dates]&gt;StartDt2UK,ISNUMBER(tblData[Days'# UK])),betaUK/(deltaUK+betaPodeltaUK*EXP(-betaUK*tblData[Days'# UK])),"")</f>
        <v>0.91796967188339607</v>
      </c>
      <c r="BM30" s="20">
        <f ca="1">IF(AND(tblData[Dates]&gt;StartDt2UK,ISNUMBER(tblData[United Kingdom])),(tblData[[#This Row],[UK LogiP(t)]]-tblData[[#This Row],[United Kingdom]])^2,"")</f>
        <v>50.155153568363367</v>
      </c>
      <c r="BN30" s="20">
        <f ca="1">IF(ISNUMBER(tblData[Days'# UK]),tblData[[#This Row],[UK LogiP(t)]]/UKPopscale,"")</f>
        <v>0.1381652125050265</v>
      </c>
      <c r="BO30" s="126">
        <f ca="1">IF(AND(ISNUMBER(tblData[United Kingdom]),tblData[Dates]&gt;StartDt2UK),(tblData[United Kingdom]-AVERAGE(tblData[United Kingdom]))^2,"")</f>
        <v>1440888103.9159122</v>
      </c>
      <c r="BP30" s="11">
        <f>tblData[[#This Row],[Dates]]-UK100dt</f>
        <v>-31</v>
      </c>
      <c r="BQ30" s="11">
        <f ca="1">IF(ISNUMBER(tblData[Days'# China]),betaChina/(deltaChina+betaPodeltaChina*EXP(-betaChina*tblData[Days'# China])),"")</f>
        <v>46265.732952895727</v>
      </c>
      <c r="BR30" s="11">
        <f ca="1">IF(ISNUMBER(tblData[China]),(tblData[[#This Row],[China LogiP(t)]]-tblData[[#This Row],[China]])^2,"")</f>
        <v>15301654.694770325</v>
      </c>
      <c r="BS30" s="11">
        <f ca="1">tblData[[#This Row],[China LogiP(t)]]/ChinaPopscale</f>
        <v>321.44076075413716</v>
      </c>
      <c r="BT30" s="126">
        <f ca="1">IF(AND(ISNUMBER(tblData[China]),tblData[Dates]&gt;StartDt2China),(tblData[China]-AVERAGE(tblData[China]))^2,"")</f>
        <v>617545888.45674777</v>
      </c>
      <c r="BU30" s="11">
        <f>tblData[[#This Row],[Dates]]-China100dt</f>
        <v>8</v>
      </c>
      <c r="BV30" s="95">
        <f ca="1">IF(ISNUMBER(tblData[Day'# Singapore]),betaSingapore/(deltaSingapore+betaPodeltaSingapore*EXP(-betaSingapore*tblData[Day'# Singapore])),"")</f>
        <v>1.1715591970834105</v>
      </c>
      <c r="BW30" s="11">
        <f ca="1">IF(AND(ISNUMBER(tblData[Singapore]),tblData[Dates]&gt;=StartDt2Singapore),(tblData[[#This Row],[Singapore LogiP(t)]]-tblData[[#This Row],[Singapore]])^2,"")</f>
        <v>1920.9322232147638</v>
      </c>
      <c r="BX30" s="20">
        <f ca="1">IF(ISNUMBER(tblData[Day'# Singapore]),tblData[Singapore LogiP(t)]/SingaporePopscale,"")</f>
        <v>2.0026652941596761</v>
      </c>
      <c r="BY30" s="95">
        <f ca="1">IF(AND(ISNUMBER(tblData[Singapore]),tblData[Dates]&gt;StartDt2Singapore),(tblData[Singapore]-AVERAGE(tblData[Singapore]))^2,"")</f>
        <v>5179283.4894271446</v>
      </c>
      <c r="BZ30" s="11">
        <f>tblData[[#This Row],[Dates]]-Singapore100dt+1</f>
        <v>-3</v>
      </c>
      <c r="CA30" s="11" t="str">
        <f>IF(AND(tblData[Dates]&gt;StartDt2Generic,ISNUMBER(tblData[Day'# Generic])),betaGeneric/(deltaGeneric+betaPodeltaGeneric*EXP(-betaGeneric*tblData[Day'# Generic])),"")</f>
        <v/>
      </c>
      <c r="CB30" s="95" t="str">
        <f>IF(AND(ISNUMBER(tblData[Generic]),tblData[Dates]&gt;StartDt2Generic),(tblData[Generic LogiP(t)]-tblData[[#This Row],[Generic]])^2,"")</f>
        <v/>
      </c>
      <c r="CC30" s="11" t="str">
        <f>IF(AND(ISNUMBER(tblData[Day'# Generic]),tblData[Dates]&gt;StartDt2Generic),tblData[Generic LogiP(t)]/GenericPopscale,"")</f>
        <v/>
      </c>
      <c r="CD30" s="95" t="str">
        <f>IF(AND(ISNUMBER(tblData[Generic]),tblData[Dates]&gt;StartDt2Generic),(tblData[Generic]-AVERAGE(tblData[Generic]))^2,"")</f>
        <v/>
      </c>
      <c r="CE30" s="11">
        <f>tblData[[#This Row],[Dates]]-Generic100dt+1</f>
        <v>-31</v>
      </c>
      <c r="CF30"/>
      <c r="CG30" s="11"/>
      <c r="CH30" s="11" t="str">
        <f>IF(ISNUMBER(tblData[[#This Row],[Tests]]),tblData[[#This Row],[Tests]]-CH29,"")</f>
        <v/>
      </c>
      <c r="CI30" s="11" t="str">
        <f>IF(ISNUMBER(tblData[[#This Row],[NSW Under Investigation'']]),tblData[[#This Row],[NSW Under Investigation'']]-CG29,"")</f>
        <v/>
      </c>
      <c r="CJ30" s="11"/>
      <c r="CK30" s="11" t="str">
        <f>IF(AND(tblData[[#This Row],[NSW Test Day Number]]&gt;0,ISNUMBER(tblData[[#This Row],[NSW Test Day Number]])),betaTests/(deltaTests+betaPodeltaTests*EXP(-betaTests*tblData[[#This Row],[NSW Test Day Number]])),"")</f>
        <v/>
      </c>
      <c r="CL30" s="11" t="str">
        <f>IF(tblData[Tests]&gt;0,(tblData[[#This Row],[Tests]]-tblData[[#This Row],[NSW Test Logi]])^2,"")</f>
        <v/>
      </c>
      <c r="CM30" s="95" t="str">
        <f>IF(AND(ISNUMBER(tblData[Tests]),tblData[Dates]&gt;StartDt2Tests),(tblData[Tests]-AVERAGE(tblData[Tests]))^2,"")</f>
        <v/>
      </c>
      <c r="CN30" s="11" t="str">
        <f>IF(ISNUMBER(tblData[Tests]),tblData[Tests]/NSWpopscale/100,"")</f>
        <v/>
      </c>
      <c r="CO30" s="11" t="str">
        <f>IF(AND(tblData[[#This Row],[NSW Test Day Number]]&gt;0,ISNUMBER(tblData[[#This Row],[NSW Test Day Number]])),TestsLogestB*TestsLogestM^tblData[[#This Row],[NSW Test Day Number]],"")</f>
        <v/>
      </c>
      <c r="CP30" s="11" t="str">
        <f>IF(AND(tblData[[#This Row],[NSW Test Day Number]]&gt;0,ISNUMBER(tblData[Tests])),(tblData[Tests]-tblData[[#This Row],[NSW Test Per Capita]])^2,"")</f>
        <v/>
      </c>
      <c r="CQ30" s="20">
        <f ca="1">IF(AND(tblData[Day '# NSW]&gt;0,ISNUMBER(tblData[[#This Row],[Day '# NSW]])),NSWLogestB*NSWLogestM^tblData[[#This Row],[Day '# NSW]]/NSWpopscale,"")</f>
        <v>6.6026853000332979</v>
      </c>
      <c r="CR30" s="39">
        <f ca="1">IF(AND(ISNUMBER(tblData[NSW]),tblData[Dates]&gt;StartDt2NSW),(tblData[NSW]/NSWpopscale-tblData[[#This Row],[NSW Cases LogEst]])^2,"")</f>
        <v>2.7297326239409236</v>
      </c>
      <c r="CS30">
        <v>18</v>
      </c>
      <c r="CT30" s="19">
        <f>IF(ISNUMBER(tblData[Taiwan]),tblData[Taiwan]/TaiwanPopscale,"")</f>
        <v>7.5607118863883747</v>
      </c>
      <c r="CU30" s="11">
        <f ca="1">IF(tblData[[#This Row],[Dates]]&lt;StartDt2Taiwan,"",tblData[[#This Row],[Dates]]-TaiwanStart)</f>
        <v>19</v>
      </c>
      <c r="CV30" s="19">
        <f ca="1">IF(AND(tblData[Dates]&gt;StartDt2Taiwan,ISNUMBER(tblData[Days'# Taiwan])),betaTaiwan/(deltaTaiwan+betaPodeltaTaiwan*EXP(-betaTaiwan*tblData[Days'# Taiwan])),"")</f>
        <v>0.70246163318651744</v>
      </c>
      <c r="CW30" s="95">
        <f ca="1">IF(AND(tblData[Dates]&gt;StartDt2Taiwan,ISNUMBER(tblData[Taiwan])),(tblData[[#This Row],[Taiwan LogiP(t)]]-tblData[[#This Row],[Taiwan]])^2,"")</f>
        <v>299.20483355138447</v>
      </c>
      <c r="CX30" s="20">
        <f ca="1">IF(AND(tblData[Dates]&gt;StartDt2Taiwan,ISNUMBER(tblData[Days'# Taiwan])),tblData[[#This Row],[Taiwan LogiP(t)]]/TaiwanPopscale,"")</f>
        <v>0.29506166776472736</v>
      </c>
      <c r="CY30" s="95">
        <f ca="1">IF(AND(ISNUMBER(tblData[Taiwan]),tblData[Dates]&gt;StartDt2Taiwan),(tblData[Taiwan]-AVERAGE(tblData[Taiwan]))^2,"")</f>
        <v>22967.105344098429</v>
      </c>
      <c r="CZ30" s="11">
        <f>tblData[[#This Row],[Dates]]-Taiwan100dt+1</f>
        <v>-44</v>
      </c>
      <c r="DA30"/>
      <c r="DB30" s="20" t="str">
        <f>IF(ISNUMBER(tblData[NZ]),tblData[NZ]/NZPopscale,"")</f>
        <v/>
      </c>
      <c r="DC30" s="11" t="str">
        <f ca="1">IF(tblData[[#This Row],[Dates]]&lt;StartDt2NZ,"",tblData[[#This Row],[Dates]]-NZStart)</f>
        <v/>
      </c>
      <c r="DD30" s="20" t="str">
        <f ca="1">IF(AND(tblData[Dates]&gt;StartDt2NZ,ISNUMBER(tblData[Days'# NZ])),betaNZ/(deltaNZ+betaPodeltaNZ*EXP(-betaNZ*tblData[Days'# NZ])),"")</f>
        <v/>
      </c>
      <c r="DE30" s="95" t="str">
        <f ca="1">IF(AND(tblData[Dates]&gt;StartDt2NZ,ISNUMBER(tblData[NZ])),(tblData[[#This Row],[NZ LogiP(t)]]-tblData[[#This Row],[NZ]])^2,"")</f>
        <v/>
      </c>
      <c r="DF30" s="20" t="str">
        <f ca="1">IF(AND(tblData[Dates]&gt;StartDt2NZ,ISNUMBER(tblData[Days'# NZ])),tblData[[#This Row],[NZ LogiP(t)]]/NZPopscale,"")</f>
        <v/>
      </c>
      <c r="DG30" s="95" t="str">
        <f ca="1">IF(AND(ISNUMBER(tblData[NZ]),tblData[Dates]&gt;StartDt2NZ),(tblData[NZ]-AVERAGE(tblData[NZ]))^2,"")</f>
        <v/>
      </c>
      <c r="DH30" s="11">
        <f>tblData[[#This Row],[Dates]]-NZ100dt+1</f>
        <v>-40</v>
      </c>
      <c r="DI30" s="39"/>
      <c r="DJ30" s="11"/>
      <c r="DK30" s="26"/>
      <c r="DM30" s="25"/>
      <c r="DP30"/>
      <c r="DV30" s="25"/>
      <c r="DW30"/>
      <c r="DZ30" s="25"/>
      <c r="EA30" s="25"/>
      <c r="EB30" s="25"/>
      <c r="EH30"/>
      <c r="EI30"/>
      <c r="EJ30"/>
      <c r="EK30"/>
      <c r="EQ30" s="25"/>
      <c r="ER30" s="25"/>
      <c r="ES30" s="25"/>
      <c r="ET30" s="25"/>
      <c r="FF30"/>
      <c r="FG30"/>
      <c r="FH30"/>
      <c r="FI30"/>
      <c r="FJ30"/>
      <c r="FK30"/>
      <c r="FL30"/>
      <c r="FM30"/>
      <c r="FN30"/>
      <c r="FO30" s="263" t="s">
        <v>48</v>
      </c>
      <c r="FP30" s="250">
        <v>43918.900543981479</v>
      </c>
      <c r="FQ30" s="156">
        <v>43855</v>
      </c>
      <c r="FR30" s="26">
        <v>43855</v>
      </c>
      <c r="FS30" s="211">
        <v>0</v>
      </c>
      <c r="FT30" s="25">
        <v>0.18983057311377224</v>
      </c>
      <c r="FU30" s="71">
        <v>8.9243957655343425E-6</v>
      </c>
      <c r="FV30" s="21">
        <v>2.9115851153198161E-2</v>
      </c>
      <c r="FW30" s="212">
        <v>21270.972074870355</v>
      </c>
      <c r="FX30" s="212">
        <v>54.77563806079403</v>
      </c>
      <c r="FY30" s="212"/>
      <c r="FZ30" s="213">
        <v>6.5198270273318819</v>
      </c>
      <c r="GA30" s="213">
        <v>8.9243957655343424E-3</v>
      </c>
      <c r="GB30" s="156">
        <v>43918</v>
      </c>
      <c r="GC30" s="74" t="s">
        <v>1354</v>
      </c>
      <c r="GD30" s="212">
        <v>21270.972074870355</v>
      </c>
      <c r="GE30" s="212">
        <v>3639</v>
      </c>
      <c r="GF30" s="25" t="s">
        <v>1355</v>
      </c>
      <c r="GG30" s="156">
        <v>43918</v>
      </c>
      <c r="GH30" s="25">
        <v>64</v>
      </c>
      <c r="GI30" s="25" t="s">
        <v>1356</v>
      </c>
      <c r="GJ30" s="25"/>
      <c r="GK30" s="62" t="s">
        <v>1357</v>
      </c>
      <c r="GM30" s="62" t="s">
        <v>1358</v>
      </c>
      <c r="GN30" s="20">
        <v>1434.7106134679073</v>
      </c>
      <c r="GO30" s="156"/>
      <c r="GP30" s="218"/>
      <c r="GQ30" s="156"/>
      <c r="GR30" s="25"/>
      <c r="GS30" s="25" t="s">
        <v>1353</v>
      </c>
      <c r="GT30" s="11"/>
      <c r="GU30" s="12"/>
      <c r="GV30" s="26"/>
      <c r="GX30" s="219"/>
      <c r="HK30" s="164">
        <v>43917</v>
      </c>
      <c r="HL30" s="60">
        <v>43917.833333333336</v>
      </c>
      <c r="HM30">
        <v>1405</v>
      </c>
      <c r="HN30">
        <v>76284</v>
      </c>
      <c r="HQ30" t="str">
        <f>IF(ISNUMBER(tblNSWKnown[[#This Row],[Unknown Locally]]),tblNSWKnown[[#This Row],[Known Locally]]+tblNSWKnown[[#This Row],[Unknown Locally]],"")</f>
        <v/>
      </c>
      <c r="HR30" s="25"/>
      <c r="HS30" t="str">
        <f>IF(ISNUMBER(tblNSWKnown[[#This Row],[Day '# NSW Unknown]]),betaNSWUnknown/(deltaNSWUnknown+betaPodeltaNSWUnknown*EXP(-betaNSWUnknown*tblNSWKnown[Day '# NSW Unknown])),"")</f>
        <v/>
      </c>
      <c r="HT30" t="str">
        <f>IF(ISNUMBER(tblNSWKnown[[#This Row],[Total Local]]),(tblNSWKnown[[#This Row],[Total Local]]-tblNSWKnown[[#This Row],[NSW Unknown Logi P(t)]])^2,"")</f>
        <v/>
      </c>
      <c r="HU30" s="166" t="str">
        <f>IF(ISNUMBER(tblNSWKnown[Total Local]),(tblNSWKnown[Total Local]-AVERAGE(tblNSWKnown[Total Local]))^2,"")</f>
        <v/>
      </c>
      <c r="HV30" s="166"/>
    </row>
    <row r="31" spans="2:230" ht="15" customHeight="1" x14ac:dyDescent="0.25">
      <c r="B31" s="26">
        <v>43872</v>
      </c>
      <c r="C31">
        <v>0</v>
      </c>
      <c r="D31" s="25">
        <v>0</v>
      </c>
      <c r="E31">
        <v>4</v>
      </c>
      <c r="F31">
        <v>0</v>
      </c>
      <c r="G31">
        <v>5</v>
      </c>
      <c r="H31">
        <v>2</v>
      </c>
      <c r="I31">
        <v>0</v>
      </c>
      <c r="J31">
        <v>4</v>
      </c>
      <c r="K31">
        <v>0</v>
      </c>
      <c r="L31" s="11">
        <f>IF(ISNUMBER(tblData[[#This Row],[NSW]]),tblData[[#This Row],[New South Wales]]/NSWpopscale,"")</f>
        <v>4.9504950495049505</v>
      </c>
      <c r="M31">
        <v>3</v>
      </c>
      <c r="N31" s="20">
        <f>IF(ISNUMBER(tblData[Italy]),tblData[Italy]/ItalyPopscale,"")</f>
        <v>0.49599074150615857</v>
      </c>
      <c r="O31">
        <v>12</v>
      </c>
      <c r="P31" s="20">
        <f>IF(ISNUMBER(tblData[US]),tblData[US]/USPopscale,"")</f>
        <v>0.36448932830831338</v>
      </c>
      <c r="Q31">
        <v>28</v>
      </c>
      <c r="R31" s="20">
        <f>IF(ISNUMBER(tblData[SKorea]),tblData[SKorea]/SKoreaPopscale,"")</f>
        <v>5.4474708171206228</v>
      </c>
      <c r="S31">
        <v>8</v>
      </c>
      <c r="T31" s="20">
        <f>IF(ISNUMBER(tblData[United Kingdom]),tblData[United Kingdom]/UKPopscale,"")</f>
        <v>1.2040939193257074</v>
      </c>
      <c r="U31">
        <v>44386</v>
      </c>
      <c r="V31" s="20">
        <f>IF(ISNUMBER(tblData[China]),tblData[China]/ChinaPopscale,"")</f>
        <v>308.38092679433373</v>
      </c>
      <c r="W31" s="25">
        <f ca="1">IF(tblData[[#This Row],[Dates]]&lt;StartDt2China,"",tblData[[#This Row],[Dates]]-ChinaStart)</f>
        <v>20</v>
      </c>
      <c r="X31">
        <v>47</v>
      </c>
      <c r="Y31" s="20">
        <f>IF(ISNUMBER(tblData[Singapore]),tblData[Singapore]/SingaporePopscale,"")</f>
        <v>80.341880341880341</v>
      </c>
      <c r="Z31"/>
      <c r="AA31" s="20" t="str">
        <f>IF(AND(LEN(tblData[Generic])&gt;0,ISNUMBER(tblData[Generic])),tblData[Generic]/GenericPopscale,"")</f>
        <v/>
      </c>
      <c r="AB31" s="25">
        <f ca="1">IF(tblData[[#This Row],[Dates]]&lt;StartDt2Italy,"",tblData[[#This Row],[Dates]]-ItalyStart)</f>
        <v>12</v>
      </c>
      <c r="AC31" s="25">
        <f ca="1">IF(tblData[[#This Row],[Dates]]&lt;=StartDt2US,"",tblData[[#This Row],[Dates]]-USStart)</f>
        <v>20</v>
      </c>
      <c r="AD31" s="25">
        <f>IF(tblData[[#This Row],[Dates]]&lt;=SKoreaStart,"",tblData[[#This Row],[Dates]]-SKoreaStart)</f>
        <v>20</v>
      </c>
      <c r="AE31" s="25">
        <f ca="1">IF(tblData[[#This Row],[Dates]]&lt;=StartDt2UK,"",tblData[[#This Row],[Dates]]-UKStart)</f>
        <v>12</v>
      </c>
      <c r="AF31" s="25">
        <f ca="1">IF(tblData[[#This Row],[Dates]]&lt;StartDt2Singapore,"",tblData[[#This Row],[Dates]]-SingaporeStart)</f>
        <v>19</v>
      </c>
      <c r="AG31" s="25" t="str">
        <f>IF(tblData[[#This Row],[Dates]]&lt;StartDt2Generic,"",tblData[[#This Row],[Dates]]-GenericStart)</f>
        <v/>
      </c>
      <c r="AH31">
        <f ca="1">IF(tblData[Dates]&gt;StartDt2Au,tblData[Dates]-AuStart,"")</f>
        <v>17</v>
      </c>
      <c r="AI31" s="25">
        <f>IF(AND(COUNTBLANK(tblData[[#This Row],[Australian Capital Territory]:[Western Australia]])&lt;1,tblData[New South Wales]&gt;=0),SUM(tblData[[#This Row],[Australian Capital Territory]:[Western Australia]]),"")</f>
        <v>15</v>
      </c>
      <c r="AJ31" s="12">
        <f>IF(ISNUMBER(tblData[Au]),tblData[Au]/AuPopScale,"")</f>
        <v>5.9138937076170954</v>
      </c>
      <c r="AK31" s="19">
        <f ca="1">IF(ISNUMBER(tblData[[#This Row],[Day'# Aust]]),betaAu/(deltaAu+betaPodeltaAu*EXP(-betaAu*tblData[[#This Row],[Day'# Aust]])),"")</f>
        <v>0.21933513588049114</v>
      </c>
      <c r="AL31" s="57">
        <f ca="1">IF(ISNUMBER(tblData[Day'# Aust]),tblData[Au LogiP(t)]/AuPopScale,"")</f>
        <v>8.6474978662865146E-2</v>
      </c>
      <c r="AM31" s="11">
        <f ca="1">IF(AND(tblData[Dates]&gt;StartDt2Au,ISNUMBER(tblData[Au])),(tblData[[#This Row],[Au LogiP(t)]]-tblData[[#This Row],[Au]])^2,"")</f>
        <v>218.46805382541697</v>
      </c>
      <c r="AN31" s="11">
        <f ca="1">IF(AND(ISNUMBER(tblData[Au]),tblData[Dates]&gt;StartDt2Au),(tblData[Au]-AVERAGE(tblData[Au]))^2,"")</f>
        <v>5923431.1160999993</v>
      </c>
      <c r="AO31" s="11">
        <f>tblData[[#This Row],[Dates]]-Au100dt</f>
        <v>-33</v>
      </c>
      <c r="AP31">
        <f ca="1">IF(tblData[Dates]&gt;StartDt2NSW,tblData[Dates]-StartDt2NSW,"")</f>
        <v>17</v>
      </c>
      <c r="AQ31" s="25">
        <f>IF(tblData[[#This Row],[New South Wales]]&gt;0,tblData[[#This Row],[New South Wales]],"")</f>
        <v>4</v>
      </c>
      <c r="AR31" s="44">
        <f ca="1">IF(tblData[Dates]&gt;StartDt2NSW,betaNSW/(deltaNSW+betaPodeltaNSW*EXP(-betaNSW*tblData[[#This Row],[Day '# NSW]])),"")</f>
        <v>6.6298248842643764E-2</v>
      </c>
      <c r="AS31" s="12">
        <f ca="1">IF(AND(ISNUMBER(tblData[NSW]),tblData[Dates]&gt;StartDt2NSW),(tblData[[#This Row],[NSW LogiP(t)]]-tblData[[#This Row],[NSW]])^2,"")</f>
        <v>15.474009467058453</v>
      </c>
      <c r="AT31" s="12">
        <f ca="1">IF(AND(tblData[Dates]&gt;StartDt2NSW,ISNUMBER(tblData[Day'# Aust])),tblData[NSW LogiP(t)]/NSWpopscale,"")</f>
        <v>8.2052288171588814E-2</v>
      </c>
      <c r="AU31" s="11">
        <f>tblData[[#This Row],[Dates]]-NSW100dt+1</f>
        <v>-30</v>
      </c>
      <c r="AV31" s="11">
        <f ca="1">IF(AND(ISNUMBER(tblData[NSW]),tblData[Dates]&gt;StartDt2NSW),(tblData[NSW]-AVERAGE(tblData[NSW]))^2,"")</f>
        <v>1188666.8676</v>
      </c>
      <c r="AW31" s="19">
        <f ca="1">IF(AND(tblData[Dates]&gt;StartDt2Italy,ISNUMBER(tblData[Days'# Italy])),betaItaly/(deltaItaly+betaPodeltaItaly*EXP(-betaItaly*tblData[Days'# Italy])),"")</f>
        <v>9.2414078365759558</v>
      </c>
      <c r="AX31" s="11">
        <f ca="1">IF(AND(tblData[Dates]&gt;StartDt2Italy,ISNUMBER(tblData[Italy])),(tblData[[#This Row],[Italy LogiP(t)]]-tblData[[#This Row],[Italy]])^2,"")</f>
        <v>38.955171782471751</v>
      </c>
      <c r="AY31" s="20">
        <f ca="1">IF(AND(tblData[Dates]&gt;StartDt2Italy,ISNUMBER(tblData[Days'# Italy])),tblData[[#This Row],[Italy LogiP(t)]]/ItalyPopscale,"")</f>
        <v>1.5278842418080443</v>
      </c>
      <c r="AZ31" s="39">
        <f ca="1">IF(AND(ISNUMBER(tblData[Italy]),tblData[Dates]&gt;StartDt2Italy),(tblData[Italy]-AVERAGE(tblData[Italy]))^2,"")</f>
        <v>4864449609.7294016</v>
      </c>
      <c r="BA31" s="11">
        <f>tblData[[#This Row],[Dates]]-Italy100dt+1</f>
        <v>-15</v>
      </c>
      <c r="BB31" s="11">
        <f ca="1">IF(AND(tblData[Dates]&gt;StartDt2US,ISNUMBER(tblData[[#This Row],[Days'# US]])),betaUS/(deltaUS+betaPodeltaUS*EXP(-betaUS*tblData[Days'# US])),"")</f>
        <v>0.29159983548399909</v>
      </c>
      <c r="BC31" s="11">
        <f ca="1">IF(AND(tblData[Dates]&gt;StartDt2US,ISNUMBER(tblData[US])),(tblData[[#This Row],[US LogiP(t)]]-tblData[US])^2,"")</f>
        <v>137.08663441243829</v>
      </c>
      <c r="BD31" s="20">
        <f ca="1">IF(AND(tblData[Dates]&gt;=StartDt2US,ISNUMBER(tblData[[#This Row],[Days'# US]])),tblData[[#This Row],[US LogiP(t)]]/USPopscale,"")</f>
        <v>8.857085680864794E-3</v>
      </c>
      <c r="BE31" s="126">
        <f ca="1">IF(AND(ISNUMBER(tblData[US]),tblData[Dates]&gt;StartDt2US),(tblData[US]-AVERAGE(tblData[US]))^2,"")</f>
        <v>50145202531.158112</v>
      </c>
      <c r="BF31" s="11">
        <f>tblData[[#This Row],[Dates]]-US100dt+1</f>
        <v>-32</v>
      </c>
      <c r="BG31" s="20">
        <f ca="1">IF(tblData[Dates]&gt;StartDt2SKorea,betaSKorea/(deltaSKorea+betaPodeltaSKorea*EXP(-betaSKorea*(tblData[Dates]-StartDt2SKorea))),"")</f>
        <v>175.71262920062151</v>
      </c>
      <c r="BH31" s="20">
        <f ca="1">IF(AND(tblData[Dates]&gt;StartDt2SKorea,ISNUMBER(tblData[SKorea])),(tblData[[#This Row],[SKorea LogiP(t)]]-tblData[[#This Row],[SKorea]])^2,"")</f>
        <v>21819.020825360301</v>
      </c>
      <c r="BI31" s="20">
        <f ca="1">IF(tblData[Dates]&gt;StartDt2SKorea,tblData[[#This Row],[SKorea LogiP(t)]]/SKoreaPopscale,"")</f>
        <v>34.185336420354382</v>
      </c>
      <c r="BJ31" s="126">
        <f ca="1">IF(AND(ISNUMBER(tblData[SKorea]),tblData[Dates]&gt;StartDt2SKorea),(tblData[SKorea]-AVERAGE(tblData[SKorea]))^2,"")</f>
        <v>33597934.727028064</v>
      </c>
      <c r="BK31" s="11">
        <f>tblData[[#This Row],[Dates]]-SKorea100dt+1</f>
        <v>-11</v>
      </c>
      <c r="BL31" s="20">
        <f ca="1">IF(AND(tblData[Dates]&gt;StartDt2UK,ISNUMBER(tblData[Days'# UK])),betaUK/(deltaUK+betaPodeltaUK*EXP(-betaUK*tblData[Days'# UK])),"")</f>
        <v>1.1361157438513165</v>
      </c>
      <c r="BM31" s="20">
        <f ca="1">IF(AND(tblData[Dates]&gt;StartDt2UK,ISNUMBER(tblData[United Kingdom])),(tblData[[#This Row],[UK LogiP(t)]]-tblData[[#This Row],[United Kingdom]])^2,"")</f>
        <v>47.112907081805766</v>
      </c>
      <c r="BN31" s="20">
        <f ca="1">IF(ISNUMBER(tblData[Days'# UK]),tblData[[#This Row],[UK LogiP(t)]]/UKPopscale,"")</f>
        <v>0.17099875735269665</v>
      </c>
      <c r="BO31" s="126">
        <f ca="1">IF(AND(ISNUMBER(tblData[United Kingdom]),tblData[Dates]&gt;StartDt2UK),(tblData[United Kingdom]-AVERAGE(tblData[United Kingdom]))^2,"")</f>
        <v>1440888103.9159122</v>
      </c>
      <c r="BP31" s="11">
        <f>tblData[[#This Row],[Dates]]-UK100dt</f>
        <v>-30</v>
      </c>
      <c r="BQ31" s="11">
        <f ca="1">IF(ISNUMBER(tblData[Days'# China]),betaChina/(deltaChina+betaPodeltaChina*EXP(-betaChina*tblData[Days'# China])),"")</f>
        <v>50648.349660589549</v>
      </c>
      <c r="BR31" s="11">
        <f ca="1">IF(ISNUMBER(tblData[China]),(tblData[[#This Row],[China LogiP(t)]]-tblData[[#This Row],[China]])^2,"")</f>
        <v>39217023.271486036</v>
      </c>
      <c r="BS31" s="11">
        <f ca="1">tblData[[#This Row],[China LogiP(t)]]/ChinaPopscale</f>
        <v>351.88989791682252</v>
      </c>
      <c r="BT31" s="126">
        <f ca="1">IF(AND(ISNUMBER(tblData[China]),tblData[Dates]&gt;StartDt2China),(tblData[China]-AVERAGE(tblData[China]))^2,"")</f>
        <v>520682599.9861595</v>
      </c>
      <c r="BU31" s="11">
        <f>tblData[[#This Row],[Dates]]-China100dt</f>
        <v>9</v>
      </c>
      <c r="BV31" s="95">
        <f ca="1">IF(ISNUMBER(tblData[Day'# Singapore]),betaSingapore/(deltaSingapore+betaPodeltaSingapore*EXP(-betaSingapore*tblData[Day'# Singapore])),"")</f>
        <v>1.3283481639623576</v>
      </c>
      <c r="BW31" s="11">
        <f ca="1">IF(AND(ISNUMBER(tblData[Singapore]),tblData[Dates]&gt;=StartDt2Singapore),(tblData[[#This Row],[Singapore LogiP(t)]]-tblData[[#This Row],[Singapore]])^2,"")</f>
        <v>2085.8997814322402</v>
      </c>
      <c r="BX31" s="20">
        <f ca="1">IF(ISNUMBER(tblData[Day'# Singapore]),tblData[Singapore LogiP(t)]/SingaporePopscale,"")</f>
        <v>2.2706806221578764</v>
      </c>
      <c r="BY31" s="95">
        <f ca="1">IF(AND(ISNUMBER(tblData[Singapore]),tblData[Dates]&gt;StartDt2Singapore),(tblData[Singapore]-AVERAGE(tblData[Singapore]))^2,"")</f>
        <v>5170184.2737408699</v>
      </c>
      <c r="BZ31" s="11">
        <f>tblData[[#This Row],[Dates]]-Singapore100dt+1</f>
        <v>-2</v>
      </c>
      <c r="CA31" s="11" t="str">
        <f>IF(AND(tblData[Dates]&gt;StartDt2Generic,ISNUMBER(tblData[Day'# Generic])),betaGeneric/(deltaGeneric+betaPodeltaGeneric*EXP(-betaGeneric*tblData[Day'# Generic])),"")</f>
        <v/>
      </c>
      <c r="CB31" s="95" t="str">
        <f>IF(AND(ISNUMBER(tblData[Generic]),tblData[Dates]&gt;StartDt2Generic),(tblData[Generic LogiP(t)]-tblData[[#This Row],[Generic]])^2,"")</f>
        <v/>
      </c>
      <c r="CC31" s="11" t="str">
        <f>IF(AND(ISNUMBER(tblData[Day'# Generic]),tblData[Dates]&gt;StartDt2Generic),tblData[Generic LogiP(t)]/GenericPopscale,"")</f>
        <v/>
      </c>
      <c r="CD31" s="95" t="str">
        <f>IF(AND(ISNUMBER(tblData[Generic]),tblData[Dates]&gt;StartDt2Generic),(tblData[Generic]-AVERAGE(tblData[Generic]))^2,"")</f>
        <v/>
      </c>
      <c r="CE31" s="11">
        <f>tblData[[#This Row],[Dates]]-Generic100dt+1</f>
        <v>-30</v>
      </c>
      <c r="CF31"/>
      <c r="CG31" s="11"/>
      <c r="CH31" s="11" t="str">
        <f>IF(ISNUMBER(tblData[[#This Row],[Tests]]),tblData[[#This Row],[Tests]]-CH30,"")</f>
        <v/>
      </c>
      <c r="CI31" s="11" t="str">
        <f>IF(ISNUMBER(tblData[[#This Row],[NSW Under Investigation'']]),tblData[[#This Row],[NSW Under Investigation'']]-CG30,"")</f>
        <v/>
      </c>
      <c r="CJ31" s="11"/>
      <c r="CK31" s="11" t="str">
        <f>IF(AND(tblData[[#This Row],[NSW Test Day Number]]&gt;0,ISNUMBER(tblData[[#This Row],[NSW Test Day Number]])),betaTests/(deltaTests+betaPodeltaTests*EXP(-betaTests*tblData[[#This Row],[NSW Test Day Number]])),"")</f>
        <v/>
      </c>
      <c r="CL31" s="11" t="str">
        <f>IF(tblData[Tests]&gt;0,(tblData[[#This Row],[Tests]]-tblData[[#This Row],[NSW Test Logi]])^2,"")</f>
        <v/>
      </c>
      <c r="CM31" s="95" t="str">
        <f>IF(AND(ISNUMBER(tblData[Tests]),tblData[Dates]&gt;StartDt2Tests),(tblData[Tests]-AVERAGE(tblData[Tests]))^2,"")</f>
        <v/>
      </c>
      <c r="CN31" s="11" t="str">
        <f>IF(ISNUMBER(tblData[Tests]),tblData[Tests]/NSWpopscale/100,"")</f>
        <v/>
      </c>
      <c r="CO31" s="11" t="str">
        <f>IF(AND(tblData[[#This Row],[NSW Test Day Number]]&gt;0,ISNUMBER(tblData[[#This Row],[NSW Test Day Number]])),TestsLogestB*TestsLogestM^tblData[[#This Row],[NSW Test Day Number]],"")</f>
        <v/>
      </c>
      <c r="CP31" s="11" t="str">
        <f>IF(AND(tblData[[#This Row],[NSW Test Day Number]]&gt;0,ISNUMBER(tblData[Tests])),(tblData[Tests]-tblData[[#This Row],[NSW Test Per Capita]])^2,"")</f>
        <v/>
      </c>
      <c r="CQ31" s="20">
        <f ca="1">IF(AND(tblData[Day '# NSW]&gt;0,ISNUMBER(tblData[[#This Row],[Day '# NSW]])),NSWLogestB*NSWLogestM^tblData[[#This Row],[Day '# NSW]]/NSWpopscale,"")</f>
        <v>7.2692635688858838</v>
      </c>
      <c r="CR31" s="39">
        <f ca="1">IF(AND(ISNUMBER(tblData[NSW]),tblData[Dates]&gt;StartDt2NSW),(tblData[NSW]/NSWpopscale-tblData[[#This Row],[NSW Cases LogEst]])^2,"")</f>
        <v>5.3766874464720456</v>
      </c>
      <c r="CS31">
        <v>18</v>
      </c>
      <c r="CT31" s="19">
        <f>IF(ISNUMBER(tblData[Taiwan]),tblData[Taiwan]/TaiwanPopscale,"")</f>
        <v>7.5607118863883747</v>
      </c>
      <c r="CU31" s="11">
        <f ca="1">IF(tblData[[#This Row],[Dates]]&lt;StartDt2Taiwan,"",tblData[[#This Row],[Dates]]-TaiwanStart)</f>
        <v>20</v>
      </c>
      <c r="CV31" s="19">
        <f ca="1">IF(AND(tblData[Dates]&gt;StartDt2Taiwan,ISNUMBER(tblData[Days'# Taiwan])),betaTaiwan/(deltaTaiwan+betaPodeltaTaiwan*EXP(-betaTaiwan*tblData[Days'# Taiwan])),"")</f>
        <v>0.81392329215244075</v>
      </c>
      <c r="CW31" s="95">
        <f ca="1">IF(AND(tblData[Dates]&gt;StartDt2Taiwan,ISNUMBER(tblData[Taiwan])),(tblData[[#This Row],[Taiwan LogiP(t)]]-tblData[[#This Row],[Taiwan]])^2,"")</f>
        <v>295.36123260802037</v>
      </c>
      <c r="CX31" s="20">
        <f ca="1">IF(AND(tblData[Dates]&gt;StartDt2Taiwan,ISNUMBER(tblData[Days'# Taiwan])),tblData[[#This Row],[Taiwan LogiP(t)]]/TaiwanPopscale,"")</f>
        <v>0.3418799727547398</v>
      </c>
      <c r="CY31" s="95">
        <f ca="1">IF(AND(ISNUMBER(tblData[Taiwan]),tblData[Dates]&gt;StartDt2Taiwan),(tblData[Taiwan]-AVERAGE(tblData[Taiwan]))^2,"")</f>
        <v>22967.105344098429</v>
      </c>
      <c r="CZ31" s="11">
        <f>tblData[[#This Row],[Dates]]-Taiwan100dt+1</f>
        <v>-43</v>
      </c>
      <c r="DA31"/>
      <c r="DB31" s="20" t="str">
        <f>IF(ISNUMBER(tblData[NZ]),tblData[NZ]/NZPopscale,"")</f>
        <v/>
      </c>
      <c r="DC31" s="11" t="str">
        <f ca="1">IF(tblData[[#This Row],[Dates]]&lt;StartDt2NZ,"",tblData[[#This Row],[Dates]]-NZStart)</f>
        <v/>
      </c>
      <c r="DD31" s="20" t="str">
        <f ca="1">IF(AND(tblData[Dates]&gt;StartDt2NZ,ISNUMBER(tblData[Days'# NZ])),betaNZ/(deltaNZ+betaPodeltaNZ*EXP(-betaNZ*tblData[Days'# NZ])),"")</f>
        <v/>
      </c>
      <c r="DE31" s="95" t="str">
        <f ca="1">IF(AND(tblData[Dates]&gt;StartDt2NZ,ISNUMBER(tblData[NZ])),(tblData[[#This Row],[NZ LogiP(t)]]-tblData[[#This Row],[NZ]])^2,"")</f>
        <v/>
      </c>
      <c r="DF31" s="20" t="str">
        <f ca="1">IF(AND(tblData[Dates]&gt;StartDt2NZ,ISNUMBER(tblData[Days'# NZ])),tblData[[#This Row],[NZ LogiP(t)]]/NZPopscale,"")</f>
        <v/>
      </c>
      <c r="DG31" s="95" t="str">
        <f ca="1">IF(AND(ISNUMBER(tblData[NZ]),tblData[Dates]&gt;StartDt2NZ),(tblData[NZ]-AVERAGE(tblData[NZ]))^2,"")</f>
        <v/>
      </c>
      <c r="DH31" s="11">
        <f>tblData[[#This Row],[Dates]]-NZ100dt+1</f>
        <v>-39</v>
      </c>
      <c r="DI31" s="39"/>
      <c r="DJ31" s="11"/>
      <c r="DK31" s="26"/>
      <c r="DM31" s="25"/>
      <c r="DP31"/>
      <c r="DV31" s="25"/>
      <c r="DW31"/>
      <c r="DZ31" s="25"/>
      <c r="EA31" s="25"/>
      <c r="EB31" s="25"/>
      <c r="EH31"/>
      <c r="EI31"/>
      <c r="EJ31"/>
      <c r="EK31"/>
      <c r="EQ31" s="25"/>
      <c r="ER31" s="25"/>
      <c r="ES31" s="25"/>
      <c r="ET31" s="25"/>
      <c r="FF31"/>
      <c r="FG31"/>
      <c r="FH31"/>
      <c r="FI31"/>
      <c r="FJ31"/>
      <c r="FK31"/>
      <c r="FL31"/>
      <c r="FM31"/>
      <c r="FN31"/>
      <c r="FO31" s="266" t="s">
        <v>48</v>
      </c>
      <c r="FP31" s="250">
        <v>43919.682222222225</v>
      </c>
      <c r="FQ31" s="156">
        <v>43855</v>
      </c>
      <c r="FR31" s="26">
        <v>43855</v>
      </c>
      <c r="FS31" s="211">
        <v>0</v>
      </c>
      <c r="FT31" s="25">
        <v>0.18983057295442163</v>
      </c>
      <c r="FU31" s="25">
        <v>1.0450274671784342E-5</v>
      </c>
      <c r="FV31" s="21">
        <v>2.9115851151187429E-2</v>
      </c>
      <c r="FW31" s="212">
        <v>18165.127608268773</v>
      </c>
      <c r="FX31" s="212">
        <v>66.074307979798874</v>
      </c>
      <c r="FY31" s="212"/>
      <c r="FZ31" s="213">
        <v>6.5198254964302489</v>
      </c>
      <c r="GA31" s="213">
        <v>1.0450274671784342E-2</v>
      </c>
      <c r="GB31" s="156">
        <v>43919</v>
      </c>
      <c r="GC31" s="26" t="s">
        <v>1415</v>
      </c>
      <c r="GD31" s="212">
        <v>18165.127608268773</v>
      </c>
      <c r="GE31" s="212">
        <v>3968</v>
      </c>
      <c r="GF31" s="26" t="s">
        <v>1416</v>
      </c>
      <c r="GG31" s="156">
        <v>43919</v>
      </c>
      <c r="GH31" s="25">
        <v>65</v>
      </c>
      <c r="GI31" s="25" t="s">
        <v>1417</v>
      </c>
      <c r="GJ31"/>
      <c r="GK31" s="25" t="s">
        <v>1418</v>
      </c>
      <c r="GL31" s="62"/>
      <c r="GM31" s="25" t="s">
        <v>1419</v>
      </c>
      <c r="GN31" s="20">
        <v>1564.4220154549755</v>
      </c>
      <c r="GO31" s="156"/>
      <c r="GP31" s="218"/>
      <c r="GQ31" s="156"/>
      <c r="GR31" s="25"/>
      <c r="GS31" t="s">
        <v>1414</v>
      </c>
      <c r="GT31" s="11"/>
      <c r="GU31" s="12"/>
      <c r="GV31" s="26"/>
      <c r="GX31" s="219"/>
      <c r="HK31" s="164">
        <v>43918</v>
      </c>
      <c r="HL31" s="60">
        <v>43918.833333333336</v>
      </c>
      <c r="HM31">
        <v>1617</v>
      </c>
      <c r="HN31">
        <v>84907</v>
      </c>
      <c r="HQ31" t="str">
        <f>IF(ISNUMBER(tblNSWKnown[[#This Row],[Unknown Locally]]),tblNSWKnown[[#This Row],[Known Locally]]+tblNSWKnown[[#This Row],[Unknown Locally]],"")</f>
        <v/>
      </c>
      <c r="HR31" s="25"/>
      <c r="HS31" t="str">
        <f>IF(ISNUMBER(tblNSWKnown[[#This Row],[Day '# NSW Unknown]]),betaNSWUnknown/(deltaNSWUnknown+betaPodeltaNSWUnknown*EXP(-betaNSWUnknown*tblNSWKnown[Day '# NSW Unknown])),"")</f>
        <v/>
      </c>
      <c r="HT31" t="str">
        <f>IF(ISNUMBER(tblNSWKnown[[#This Row],[Total Local]]),(tblNSWKnown[[#This Row],[Total Local]]-tblNSWKnown[[#This Row],[NSW Unknown Logi P(t)]])^2,"")</f>
        <v/>
      </c>
      <c r="HU31" s="166" t="str">
        <f>IF(ISNUMBER(tblNSWKnown[Total Local]),(tblNSWKnown[Total Local]-AVERAGE(tblNSWKnown[Total Local]))^2,"")</f>
        <v/>
      </c>
      <c r="HV31" s="166"/>
    </row>
    <row r="32" spans="2:230" ht="15" customHeight="1" x14ac:dyDescent="0.25">
      <c r="B32" s="26">
        <v>43873</v>
      </c>
      <c r="C32">
        <v>0</v>
      </c>
      <c r="D32" s="25">
        <v>0</v>
      </c>
      <c r="E32">
        <v>4</v>
      </c>
      <c r="F32">
        <v>0</v>
      </c>
      <c r="G32">
        <v>5</v>
      </c>
      <c r="H32">
        <v>2</v>
      </c>
      <c r="I32">
        <v>0</v>
      </c>
      <c r="J32">
        <v>4</v>
      </c>
      <c r="K32">
        <v>0</v>
      </c>
      <c r="L32" s="11">
        <f>IF(ISNUMBER(tblData[[#This Row],[NSW]]),tblData[[#This Row],[New South Wales]]/NSWpopscale,"")</f>
        <v>4.9504950495049505</v>
      </c>
      <c r="M32">
        <v>3</v>
      </c>
      <c r="N32" s="20">
        <f>IF(ISNUMBER(tblData[Italy]),tblData[Italy]/ItalyPopscale,"")</f>
        <v>0.49599074150615857</v>
      </c>
      <c r="O32">
        <v>12</v>
      </c>
      <c r="P32" s="20">
        <f>IF(ISNUMBER(tblData[US]),tblData[US]/USPopscale,"")</f>
        <v>0.36448932830831338</v>
      </c>
      <c r="Q32">
        <v>28</v>
      </c>
      <c r="R32" s="20">
        <f>IF(ISNUMBER(tblData[SKorea]),tblData[SKorea]/SKoreaPopscale,"")</f>
        <v>5.4474708171206228</v>
      </c>
      <c r="S32">
        <v>9</v>
      </c>
      <c r="T32" s="20">
        <f>IF(ISNUMBER(tblData[United Kingdom]),tblData[United Kingdom]/UKPopscale,"")</f>
        <v>1.3546056592414208</v>
      </c>
      <c r="U32">
        <v>44759</v>
      </c>
      <c r="V32" s="20">
        <f>IF(ISNUMBER(tblData[China]),tblData[China]/ChinaPopscale,"")</f>
        <v>310.97242153804314</v>
      </c>
      <c r="W32" s="25">
        <f ca="1">IF(tblData[[#This Row],[Dates]]&lt;StartDt2China,"",tblData[[#This Row],[Dates]]-ChinaStart)</f>
        <v>21</v>
      </c>
      <c r="X32">
        <v>50</v>
      </c>
      <c r="Y32" s="20">
        <f>IF(ISNUMBER(tblData[Singapore]),tblData[Singapore]/SingaporePopscale,"")</f>
        <v>85.470085470085479</v>
      </c>
      <c r="Z32"/>
      <c r="AA32" s="20" t="str">
        <f>IF(AND(LEN(tblData[Generic])&gt;0,ISNUMBER(tblData[Generic])),tblData[Generic]/GenericPopscale,"")</f>
        <v/>
      </c>
      <c r="AB32" s="25">
        <f ca="1">IF(tblData[[#This Row],[Dates]]&lt;StartDt2Italy,"",tblData[[#This Row],[Dates]]-ItalyStart)</f>
        <v>13</v>
      </c>
      <c r="AC32" s="25">
        <f ca="1">IF(tblData[[#This Row],[Dates]]&lt;=StartDt2US,"",tblData[[#This Row],[Dates]]-USStart)</f>
        <v>21</v>
      </c>
      <c r="AD32" s="25">
        <f>IF(tblData[[#This Row],[Dates]]&lt;=SKoreaStart,"",tblData[[#This Row],[Dates]]-SKoreaStart)</f>
        <v>21</v>
      </c>
      <c r="AE32" s="25">
        <f ca="1">IF(tblData[[#This Row],[Dates]]&lt;=StartDt2UK,"",tblData[[#This Row],[Dates]]-UKStart)</f>
        <v>13</v>
      </c>
      <c r="AF32" s="25">
        <f ca="1">IF(tblData[[#This Row],[Dates]]&lt;StartDt2Singapore,"",tblData[[#This Row],[Dates]]-SingaporeStart)</f>
        <v>20</v>
      </c>
      <c r="AG32" s="25" t="str">
        <f>IF(tblData[[#This Row],[Dates]]&lt;StartDt2Generic,"",tblData[[#This Row],[Dates]]-GenericStart)</f>
        <v/>
      </c>
      <c r="AH32">
        <f ca="1">IF(tblData[Dates]&gt;StartDt2Au,tblData[Dates]-AuStart,"")</f>
        <v>18</v>
      </c>
      <c r="AI32" s="25">
        <f>IF(AND(COUNTBLANK(tblData[[#This Row],[Australian Capital Territory]:[Western Australia]])&lt;1,tblData[New South Wales]&gt;=0),SUM(tblData[[#This Row],[Australian Capital Territory]:[Western Australia]]),"")</f>
        <v>15</v>
      </c>
      <c r="AJ32" s="12">
        <f>IF(ISNUMBER(tblData[Au]),tblData[Au]/AuPopScale,"")</f>
        <v>5.9138937076170954</v>
      </c>
      <c r="AK32" s="19">
        <f ca="1">IF(ISNUMBER(tblData[[#This Row],[Day'# Aust]]),betaAu/(deltaAu+betaPodeltaAu*EXP(-betaAu*tblData[[#This Row],[Day'# Aust]])),"")</f>
        <v>0.27499944241567909</v>
      </c>
      <c r="AL32" s="57">
        <f ca="1">IF(ISNUMBER(tblData[Day'# Aust]),tblData[Au LogiP(t)]/AuPopScale,"")</f>
        <v>0.10842116480668629</v>
      </c>
      <c r="AM32" s="11">
        <f ca="1">IF(AND(tblData[Dates]&gt;StartDt2Au,ISNUMBER(tblData[Au])),(tblData[[#This Row],[Au LogiP(t)]]-tblData[[#This Row],[Au]])^2,"")</f>
        <v>216.82564142085857</v>
      </c>
      <c r="AN32" s="11">
        <f ca="1">IF(AND(ISNUMBER(tblData[Au]),tblData[Dates]&gt;StartDt2Au),(tblData[Au]-AVERAGE(tblData[Au]))^2,"")</f>
        <v>5923431.1160999993</v>
      </c>
      <c r="AO32" s="11">
        <f>tblData[[#This Row],[Dates]]-Au100dt</f>
        <v>-32</v>
      </c>
      <c r="AP32">
        <f ca="1">IF(tblData[Dates]&gt;StartDt2NSW,tblData[Dates]-StartDt2NSW,"")</f>
        <v>18</v>
      </c>
      <c r="AQ32" s="25">
        <f>IF(tblData[[#This Row],[New South Wales]]&gt;0,tblData[[#This Row],[New South Wales]],"")</f>
        <v>4</v>
      </c>
      <c r="AR32" s="44">
        <f ca="1">IF(tblData[Dates]&gt;StartDt2NSW,betaNSW/(deltaNSW+betaPodeltaNSW*EXP(-betaNSW*tblData[[#This Row],[Day '# NSW]])),"")</f>
        <v>8.38013116273605E-2</v>
      </c>
      <c r="AS32" s="12">
        <f ca="1">IF(AND(ISNUMBER(tblData[NSW]),tblData[Dates]&gt;StartDt2NSW),(tblData[[#This Row],[NSW LogiP(t)]]-tblData[[#This Row],[NSW]])^2,"")</f>
        <v>15.336612166811582</v>
      </c>
      <c r="AT32" s="12">
        <f ca="1">IF(AND(tblData[Dates]&gt;StartDt2NSW,ISNUMBER(tblData[Day'# Aust])),tblData[NSW LogiP(t)]/NSWpopscale,"")</f>
        <v>0.10371449458831744</v>
      </c>
      <c r="AU32" s="11">
        <f>tblData[[#This Row],[Dates]]-NSW100dt+1</f>
        <v>-29</v>
      </c>
      <c r="AV32" s="11">
        <f ca="1">IF(AND(ISNUMBER(tblData[NSW]),tblData[Dates]&gt;StartDt2NSW),(tblData[NSW]-AVERAGE(tblData[NSW]))^2,"")</f>
        <v>1188666.8676</v>
      </c>
      <c r="AW32" s="20">
        <f ca="1">IF(AND(tblData[Dates]&gt;StartDt2Italy,ISNUMBER(tblData[Days'# Italy])),betaItaly/(deltaItaly+betaPodeltaItaly*EXP(-betaItaly*tblData[Days'# Italy])),"")</f>
        <v>11.90382745883131</v>
      </c>
      <c r="AX32" s="11">
        <f ca="1">IF(AND(tblData[Dates]&gt;StartDt2Italy,ISNUMBER(tblData[Italy])),(tblData[[#This Row],[Italy LogiP(t)]]-tblData[[#This Row],[Italy]])^2,"")</f>
        <v>79.278143416638429</v>
      </c>
      <c r="AY32" s="20">
        <f ca="1">IF(AND(tblData[Dates]&gt;StartDt2Italy,ISNUMBER(tblData[Days'# Italy])),tblData[[#This Row],[Italy LogiP(t)]]/ItalyPopscale,"")</f>
        <v>1.968062736022371</v>
      </c>
      <c r="AZ32" s="39">
        <f ca="1">IF(AND(ISNUMBER(tblData[Italy]),tblData[Dates]&gt;StartDt2Italy),(tblData[Italy]-AVERAGE(tblData[Italy]))^2,"")</f>
        <v>4864449609.7294016</v>
      </c>
      <c r="BA32" s="11">
        <f>tblData[[#This Row],[Dates]]-Italy100dt+1</f>
        <v>-14</v>
      </c>
      <c r="BB32" s="11">
        <f ca="1">IF(AND(tblData[Dates]&gt;StartDt2US,ISNUMBER(tblData[[#This Row],[Days'# US]])),betaUS/(deltaUS+betaPodeltaUS*EXP(-betaUS*tblData[Days'# US])),"")</f>
        <v>0.38728136026461185</v>
      </c>
      <c r="BC32" s="11">
        <f ca="1">IF(AND(tblData[Dates]&gt;StartDt2US,ISNUMBER(tblData[US])),(tblData[[#This Row],[US LogiP(t)]]-tblData[US])^2,"")</f>
        <v>134.85523420565769</v>
      </c>
      <c r="BD32" s="20">
        <f ca="1">IF(AND(tblData[Dates]&gt;=StartDt2US,ISNUMBER(tblData[[#This Row],[Days'# US]])),tblData[[#This Row],[US LogiP(t)]]/USPopscale,"")</f>
        <v>1.1763326905764858E-2</v>
      </c>
      <c r="BE32" s="126">
        <f ca="1">IF(AND(ISNUMBER(tblData[US]),tblData[Dates]&gt;StartDt2US),(tblData[US]-AVERAGE(tblData[US]))^2,"")</f>
        <v>50145202531.158112</v>
      </c>
      <c r="BF32" s="11">
        <f>tblData[[#This Row],[Dates]]-US100dt+1</f>
        <v>-31</v>
      </c>
      <c r="BG32" s="20">
        <f ca="1">IF(tblData[Dates]&gt;StartDt2SKorea,betaSKorea/(deltaSKorea+betaPodeltaSKorea*EXP(-betaSKorea*(tblData[Dates]-StartDt2SKorea))),"")</f>
        <v>209.10645957339275</v>
      </c>
      <c r="BH32" s="20">
        <f ca="1">IF(AND(tblData[Dates]&gt;StartDt2SKorea,ISNUMBER(tblData[SKorea])),(tblData[[#This Row],[SKorea LogiP(t)]]-tblData[[#This Row],[SKorea]])^2,"")</f>
        <v>32799.549699208947</v>
      </c>
      <c r="BI32" s="20">
        <f ca="1">IF(tblData[Dates]&gt;StartDt2SKorea,tblData[[#This Row],[SKorea LogiP(t)]]/SKoreaPopscale,"")</f>
        <v>40.682190578481084</v>
      </c>
      <c r="BJ32" s="126">
        <f ca="1">IF(AND(ISNUMBER(tblData[SKorea]),tblData[Dates]&gt;StartDt2SKorea),(tblData[SKorea]-AVERAGE(tblData[SKorea]))^2,"")</f>
        <v>33597934.727028064</v>
      </c>
      <c r="BK32" s="11">
        <f>tblData[[#This Row],[Dates]]-SKorea100dt+1</f>
        <v>-10</v>
      </c>
      <c r="BL32" s="20">
        <f ca="1">IF(AND(tblData[Dates]&gt;StartDt2UK,ISNUMBER(tblData[Days'# UK])),betaUK/(deltaUK+betaPodeltaUK*EXP(-betaUK*tblData[Days'# UK])),"")</f>
        <v>1.4061014807779577</v>
      </c>
      <c r="BM32" s="20">
        <f ca="1">IF(AND(tblData[Dates]&gt;StartDt2UK,ISNUMBER(tblData[United Kingdom])),(tblData[[#This Row],[UK LogiP(t)]]-tblData[[#This Row],[United Kingdom]])^2,"")</f>
        <v>57.66729472024273</v>
      </c>
      <c r="BN32" s="20">
        <f ca="1">IF(ISNUMBER(tblData[Days'# UK]),tblData[[#This Row],[UK LogiP(t)]]/UKPopscale,"")</f>
        <v>0.21163478036995148</v>
      </c>
      <c r="BO32" s="126">
        <f ca="1">IF(AND(ISNUMBER(tblData[United Kingdom]),tblData[Dates]&gt;StartDt2UK),(tblData[United Kingdom]-AVERAGE(tblData[United Kingdom]))^2,"")</f>
        <v>1440812186.8520825</v>
      </c>
      <c r="BP32" s="11">
        <f>tblData[[#This Row],[Dates]]-UK100dt</f>
        <v>-29</v>
      </c>
      <c r="BQ32" s="11">
        <f ca="1">IF(ISNUMBER(tblData[Days'# China]),betaChina/(deltaChina+betaPodeltaChina*EXP(-betaChina*tblData[Days'# China])),"")</f>
        <v>54811.553490431397</v>
      </c>
      <c r="BR32" s="11">
        <f ca="1">IF(ISNUMBER(tblData[China]),(tblData[[#This Row],[China LogiP(t)]]-tblData[[#This Row],[China]])^2,"")</f>
        <v>101053831.67798446</v>
      </c>
      <c r="BS32" s="11">
        <f ca="1">tblData[[#This Row],[China LogiP(t)]]/ChinaPopscale</f>
        <v>380.81461867292461</v>
      </c>
      <c r="BT32" s="126">
        <f ca="1">IF(AND(ISNUMBER(tblData[China]),tblData[Dates]&gt;StartDt2China),(tblData[China]-AVERAGE(tblData[China]))^2,"")</f>
        <v>503799149.92733592</v>
      </c>
      <c r="BU32" s="11">
        <f>tblData[[#This Row],[Dates]]-China100dt</f>
        <v>10</v>
      </c>
      <c r="BV32" s="95">
        <f ca="1">IF(ISNUMBER(tblData[Day'# Singapore]),betaSingapore/(deltaSingapore+betaPodeltaSingapore*EXP(-betaSingapore*tblData[Day'# Singapore])),"")</f>
        <v>1.5061192013669114</v>
      </c>
      <c r="BW32" s="11">
        <f ca="1">IF(AND(ISNUMBER(tblData[Singapore]),tblData[Dates]&gt;=StartDt2Singapore),(tblData[[#This Row],[Singapore LogiP(t)]]-tblData[[#This Row],[Singapore]])^2,"")</f>
        <v>2351.6564749120348</v>
      </c>
      <c r="BX32" s="20">
        <f ca="1">IF(ISNUMBER(tblData[Day'# Singapore]),tblData[Singapore LogiP(t)]/SingaporePopscale,"")</f>
        <v>2.5745627373793356</v>
      </c>
      <c r="BY32" s="95">
        <f ca="1">IF(AND(ISNUMBER(tblData[Singapore]),tblData[Dates]&gt;StartDt2Singapore),(tblData[Singapore]-AVERAGE(tblData[Singapore]))^2,"")</f>
        <v>5156550.4502114579</v>
      </c>
      <c r="BZ32" s="11">
        <f>tblData[[#This Row],[Dates]]-Singapore100dt+1</f>
        <v>-1</v>
      </c>
      <c r="CA32" s="11" t="str">
        <f>IF(AND(tblData[Dates]&gt;StartDt2Generic,ISNUMBER(tblData[Day'# Generic])),betaGeneric/(deltaGeneric+betaPodeltaGeneric*EXP(-betaGeneric*tblData[Day'# Generic])),"")</f>
        <v/>
      </c>
      <c r="CB32" s="95" t="str">
        <f>IF(AND(ISNUMBER(tblData[Generic]),tblData[Dates]&gt;StartDt2Generic),(tblData[Generic LogiP(t)]-tblData[[#This Row],[Generic]])^2,"")</f>
        <v/>
      </c>
      <c r="CC32" s="11" t="str">
        <f>IF(AND(ISNUMBER(tblData[Day'# Generic]),tblData[Dates]&gt;StartDt2Generic),tblData[Generic LogiP(t)]/GenericPopscale,"")</f>
        <v/>
      </c>
      <c r="CD32" s="95" t="str">
        <f>IF(AND(ISNUMBER(tblData[Generic]),tblData[Dates]&gt;StartDt2Generic),(tblData[Generic]-AVERAGE(tblData[Generic]))^2,"")</f>
        <v/>
      </c>
      <c r="CE32" s="11">
        <f>tblData[[#This Row],[Dates]]-Generic100dt+1</f>
        <v>-29</v>
      </c>
      <c r="CF32"/>
      <c r="CG32" s="11"/>
      <c r="CH32" s="11" t="str">
        <f>IF(ISNUMBER(tblData[[#This Row],[Tests]]),tblData[[#This Row],[Tests]]-CH31,"")</f>
        <v/>
      </c>
      <c r="CI32" s="11" t="str">
        <f>IF(ISNUMBER(tblData[[#This Row],[NSW Under Investigation'']]),tblData[[#This Row],[NSW Under Investigation'']]-CG31,"")</f>
        <v/>
      </c>
      <c r="CJ32" s="11"/>
      <c r="CK32" s="11" t="str">
        <f>IF(AND(tblData[[#This Row],[NSW Test Day Number]]&gt;0,ISNUMBER(tblData[[#This Row],[NSW Test Day Number]])),betaTests/(deltaTests+betaPodeltaTests*EXP(-betaTests*tblData[[#This Row],[NSW Test Day Number]])),"")</f>
        <v/>
      </c>
      <c r="CL32" s="11" t="str">
        <f>IF(tblData[Tests]&gt;0,(tblData[[#This Row],[Tests]]-tblData[[#This Row],[NSW Test Logi]])^2,"")</f>
        <v/>
      </c>
      <c r="CM32" s="95" t="str">
        <f>IF(AND(ISNUMBER(tblData[Tests]),tblData[Dates]&gt;StartDt2Tests),(tblData[Tests]-AVERAGE(tblData[Tests]))^2,"")</f>
        <v/>
      </c>
      <c r="CN32" s="11" t="str">
        <f>IF(ISNUMBER(tblData[Tests]),tblData[Tests]/NSWpopscale/100,"")</f>
        <v/>
      </c>
      <c r="CO32" s="11" t="str">
        <f>IF(AND(tblData[[#This Row],[NSW Test Day Number]]&gt;0,ISNUMBER(tblData[[#This Row],[NSW Test Day Number]])),TestsLogestB*TestsLogestM^tblData[[#This Row],[NSW Test Day Number]],"")</f>
        <v/>
      </c>
      <c r="CP32" s="11" t="str">
        <f>IF(AND(tblData[[#This Row],[NSW Test Day Number]]&gt;0,ISNUMBER(tblData[Tests])),(tblData[Tests]-tblData[[#This Row],[NSW Test Per Capita]])^2,"")</f>
        <v/>
      </c>
      <c r="CQ32" s="20">
        <f ca="1">IF(AND(tblData[Day '# NSW]&gt;0,ISNUMBER(tblData[[#This Row],[Day '# NSW]])),NSWLogestB*NSWLogestM^tblData[[#This Row],[Day '# NSW]]/NSWpopscale,"")</f>
        <v>8.0031366682984366</v>
      </c>
      <c r="CR32" s="39">
        <f ca="1">IF(AND(ISNUMBER(tblData[NSW]),tblData[Dates]&gt;StartDt2NSW),(tblData[NSW]/NSWpopscale-tblData[[#This Row],[NSW Cases LogEst]])^2,"")</f>
        <v>9.3186208527901151</v>
      </c>
      <c r="CS32">
        <v>18</v>
      </c>
      <c r="CT32" s="19">
        <f>IF(ISNUMBER(tblData[Taiwan]),tblData[Taiwan]/TaiwanPopscale,"")</f>
        <v>7.5607118863883747</v>
      </c>
      <c r="CU32" s="11">
        <f ca="1">IF(tblData[[#This Row],[Dates]]&lt;StartDt2Taiwan,"",tblData[[#This Row],[Dates]]-TaiwanStart)</f>
        <v>21</v>
      </c>
      <c r="CV32" s="19">
        <f ca="1">IF(AND(tblData[Dates]&gt;StartDt2Taiwan,ISNUMBER(tblData[Days'# Taiwan])),betaTaiwan/(deltaTaiwan+betaPodeltaTaiwan*EXP(-betaTaiwan*tblData[Days'# Taiwan])),"")</f>
        <v>0.94303170627943145</v>
      </c>
      <c r="CW32" s="95">
        <f ca="1">IF(AND(tblData[Dates]&gt;StartDt2Taiwan,ISNUMBER(tblData[Taiwan])),(tblData[[#This Row],[Taiwan LogiP(t)]]-tblData[[#This Row],[Taiwan]])^2,"")</f>
        <v>290.94016737298881</v>
      </c>
      <c r="CX32" s="20">
        <f ca="1">IF(AND(tblData[Dates]&gt;StartDt2Taiwan,ISNUMBER(tblData[Days'# Taiwan])),tblData[[#This Row],[Taiwan LogiP(t)]]/TaiwanPopscale,"")</f>
        <v>0.39611061282822263</v>
      </c>
      <c r="CY32" s="95">
        <f ca="1">IF(AND(ISNUMBER(tblData[Taiwan]),tblData[Dates]&gt;StartDt2Taiwan),(tblData[Taiwan]-AVERAGE(tblData[Taiwan]))^2,"")</f>
        <v>22967.105344098429</v>
      </c>
      <c r="CZ32" s="11">
        <f>tblData[[#This Row],[Dates]]-Taiwan100dt+1</f>
        <v>-42</v>
      </c>
      <c r="DA32"/>
      <c r="DB32" s="20" t="str">
        <f>IF(ISNUMBER(tblData[NZ]),tblData[NZ]/NZPopscale,"")</f>
        <v/>
      </c>
      <c r="DC32" s="11" t="str">
        <f ca="1">IF(tblData[[#This Row],[Dates]]&lt;StartDt2NZ,"",tblData[[#This Row],[Dates]]-NZStart)</f>
        <v/>
      </c>
      <c r="DD32" s="20" t="str">
        <f ca="1">IF(AND(tblData[Dates]&gt;StartDt2NZ,ISNUMBER(tblData[Days'# NZ])),betaNZ/(deltaNZ+betaPodeltaNZ*EXP(-betaNZ*tblData[Days'# NZ])),"")</f>
        <v/>
      </c>
      <c r="DE32" s="95" t="str">
        <f ca="1">IF(AND(tblData[Dates]&gt;StartDt2NZ,ISNUMBER(tblData[NZ])),(tblData[[#This Row],[NZ LogiP(t)]]-tblData[[#This Row],[NZ]])^2,"")</f>
        <v/>
      </c>
      <c r="DF32" s="20" t="str">
        <f ca="1">IF(AND(tblData[Dates]&gt;StartDt2NZ,ISNUMBER(tblData[Days'# NZ])),tblData[[#This Row],[NZ LogiP(t)]]/NZPopscale,"")</f>
        <v/>
      </c>
      <c r="DG32" s="95" t="str">
        <f ca="1">IF(AND(ISNUMBER(tblData[NZ]),tblData[Dates]&gt;StartDt2NZ),(tblData[NZ]-AVERAGE(tblData[NZ]))^2,"")</f>
        <v/>
      </c>
      <c r="DH32" s="11">
        <f>tblData[[#This Row],[Dates]]-NZ100dt+1</f>
        <v>-38</v>
      </c>
      <c r="DI32" s="39"/>
      <c r="DJ32" s="11"/>
      <c r="DK32" s="26"/>
      <c r="DM32" s="25"/>
      <c r="DP32"/>
      <c r="DV32" s="25"/>
      <c r="DW32"/>
      <c r="DZ32" s="25"/>
      <c r="EA32" s="25"/>
      <c r="EB32" s="25"/>
      <c r="EH32"/>
      <c r="EI32"/>
      <c r="EJ32"/>
      <c r="EK32"/>
      <c r="EQ32" s="25"/>
      <c r="ER32" s="25"/>
      <c r="ES32" s="25"/>
      <c r="ET32" s="25"/>
      <c r="FF32"/>
      <c r="FG32"/>
      <c r="FH32"/>
      <c r="FI32"/>
      <c r="FJ32"/>
      <c r="FK32" s="59"/>
      <c r="FL32" s="26"/>
      <c r="FO32" s="266" t="s">
        <v>48</v>
      </c>
      <c r="FP32" s="250">
        <v>43919.875428240739</v>
      </c>
      <c r="FQ32" s="156">
        <v>43855</v>
      </c>
      <c r="FR32" s="26">
        <v>43855</v>
      </c>
      <c r="FS32" s="211">
        <v>0</v>
      </c>
      <c r="FT32" s="71">
        <v>0.25247038130131466</v>
      </c>
      <c r="FU32" s="25">
        <v>3.869784095168087E-5</v>
      </c>
      <c r="FV32" s="21">
        <v>1E-3</v>
      </c>
      <c r="FW32" s="212">
        <v>6524.1464405354227</v>
      </c>
      <c r="FX32" s="212">
        <v>32.363823525541555</v>
      </c>
      <c r="FY32" s="212"/>
      <c r="FZ32" s="213">
        <v>252.47034260347371</v>
      </c>
      <c r="GA32" s="213">
        <v>3.869784095168087E-2</v>
      </c>
      <c r="GB32" s="156">
        <v>43919</v>
      </c>
      <c r="GC32" s="25" t="s">
        <v>1464</v>
      </c>
      <c r="GD32" s="212">
        <v>6524.1464405354227</v>
      </c>
      <c r="GE32" s="212">
        <v>3984</v>
      </c>
      <c r="GF32" s="26" t="s">
        <v>1465</v>
      </c>
      <c r="GG32" s="156">
        <v>43919</v>
      </c>
      <c r="GH32" s="25">
        <v>65</v>
      </c>
      <c r="GI32" s="25" t="s">
        <v>1466</v>
      </c>
      <c r="GJ32" s="62"/>
      <c r="GK32" s="25" t="s">
        <v>1467</v>
      </c>
      <c r="GL32" s="62"/>
      <c r="GM32" s="25" t="s">
        <v>1468</v>
      </c>
      <c r="GN32" s="20">
        <v>1570.7301687431004</v>
      </c>
      <c r="GO32" s="156"/>
      <c r="GP32" s="218"/>
      <c r="GQ32" s="156"/>
      <c r="GR32" s="25"/>
      <c r="GS32" t="s">
        <v>1463</v>
      </c>
      <c r="GT32" s="11"/>
      <c r="GU32" s="12"/>
      <c r="GV32" s="26"/>
      <c r="GX32" s="219"/>
      <c r="HK32" s="164">
        <v>43919</v>
      </c>
      <c r="HL32" s="60">
        <v>43919.833333333336</v>
      </c>
      <c r="HM32">
        <v>1791</v>
      </c>
      <c r="HN32">
        <v>91308</v>
      </c>
      <c r="HQ32" t="str">
        <f>IF(ISNUMBER(tblNSWKnown[[#This Row],[Unknown Locally]]),tblNSWKnown[[#This Row],[Known Locally]]+tblNSWKnown[[#This Row],[Unknown Locally]],"")</f>
        <v/>
      </c>
      <c r="HR32" s="25"/>
      <c r="HS32" t="str">
        <f>IF(ISNUMBER(tblNSWKnown[[#This Row],[Day '# NSW Unknown]]),betaNSWUnknown/(deltaNSWUnknown+betaPodeltaNSWUnknown*EXP(-betaNSWUnknown*tblNSWKnown[Day '# NSW Unknown])),"")</f>
        <v/>
      </c>
      <c r="HT32" t="str">
        <f>IF(ISNUMBER(tblNSWKnown[[#This Row],[Total Local]]),(tblNSWKnown[[#This Row],[Total Local]]-tblNSWKnown[[#This Row],[NSW Unknown Logi P(t)]])^2,"")</f>
        <v/>
      </c>
      <c r="HU32" s="166" t="str">
        <f>IF(ISNUMBER(tblNSWKnown[Total Local]),(tblNSWKnown[Total Local]-AVERAGE(tblNSWKnown[Total Local]))^2,"")</f>
        <v/>
      </c>
      <c r="HV32" s="166"/>
    </row>
    <row r="33" spans="2:231" ht="15" customHeight="1" x14ac:dyDescent="0.25">
      <c r="B33" s="26">
        <v>43874</v>
      </c>
      <c r="C33">
        <v>0</v>
      </c>
      <c r="D33" s="25">
        <v>0</v>
      </c>
      <c r="E33">
        <v>4</v>
      </c>
      <c r="F33">
        <v>0</v>
      </c>
      <c r="G33">
        <v>5</v>
      </c>
      <c r="H33">
        <v>2</v>
      </c>
      <c r="I33">
        <v>0</v>
      </c>
      <c r="J33">
        <v>4</v>
      </c>
      <c r="K33">
        <v>0</v>
      </c>
      <c r="L33" s="11">
        <f>IF(ISNUMBER(tblData[[#This Row],[NSW]]),tblData[[#This Row],[New South Wales]]/NSWpopscale,"")</f>
        <v>4.9504950495049505</v>
      </c>
      <c r="M33">
        <v>3</v>
      </c>
      <c r="N33" s="20">
        <f>IF(ISNUMBER(tblData[Italy]),tblData[Italy]/ItalyPopscale,"")</f>
        <v>0.49599074150615857</v>
      </c>
      <c r="O33">
        <v>13</v>
      </c>
      <c r="P33" s="20">
        <f>IF(ISNUMBER(tblData[US]),tblData[US]/USPopscale,"")</f>
        <v>0.39486343900067283</v>
      </c>
      <c r="Q33">
        <v>28</v>
      </c>
      <c r="R33" s="20">
        <f>IF(ISNUMBER(tblData[SKorea]),tblData[SKorea]/SKoreaPopscale,"")</f>
        <v>5.4474708171206228</v>
      </c>
      <c r="S33">
        <v>9</v>
      </c>
      <c r="T33" s="20">
        <f>IF(ISNUMBER(tblData[United Kingdom]),tblData[United Kingdom]/UKPopscale,"")</f>
        <v>1.3546056592414208</v>
      </c>
      <c r="U33">
        <v>59895</v>
      </c>
      <c r="V33" s="20">
        <f>IF(ISNUMBER(tblData[China]),tblData[China]/ChinaPopscale,"")</f>
        <v>416.13291601736177</v>
      </c>
      <c r="W33" s="25">
        <f ca="1">IF(tblData[[#This Row],[Dates]]&lt;StartDt2China,"",tblData[[#This Row],[Dates]]-ChinaStart)</f>
        <v>22</v>
      </c>
      <c r="X33">
        <v>58</v>
      </c>
      <c r="Y33" s="20">
        <f>IF(ISNUMBER(tblData[Singapore]),tblData[Singapore]/SingaporePopscale,"")</f>
        <v>99.145299145299148</v>
      </c>
      <c r="Z33"/>
      <c r="AA33" s="20" t="str">
        <f>IF(AND(LEN(tblData[Generic])&gt;0,ISNUMBER(tblData[Generic])),tblData[Generic]/GenericPopscale,"")</f>
        <v/>
      </c>
      <c r="AB33" s="25">
        <f ca="1">IF(tblData[[#This Row],[Dates]]&lt;StartDt2Italy,"",tblData[[#This Row],[Dates]]-ItalyStart)</f>
        <v>14</v>
      </c>
      <c r="AC33" s="25">
        <f ca="1">IF(tblData[[#This Row],[Dates]]&lt;=StartDt2US,"",tblData[[#This Row],[Dates]]-USStart)</f>
        <v>22</v>
      </c>
      <c r="AD33" s="25">
        <f>IF(tblData[[#This Row],[Dates]]&lt;=SKoreaStart,"",tblData[[#This Row],[Dates]]-SKoreaStart)</f>
        <v>22</v>
      </c>
      <c r="AE33" s="25">
        <f ca="1">IF(tblData[[#This Row],[Dates]]&lt;=StartDt2UK,"",tblData[[#This Row],[Dates]]-UKStart)</f>
        <v>14</v>
      </c>
      <c r="AF33" s="25">
        <f ca="1">IF(tblData[[#This Row],[Dates]]&lt;StartDt2Singapore,"",tblData[[#This Row],[Dates]]-SingaporeStart)</f>
        <v>21</v>
      </c>
      <c r="AG33" s="25" t="str">
        <f>IF(tblData[[#This Row],[Dates]]&lt;StartDt2Generic,"",tblData[[#This Row],[Dates]]-GenericStart)</f>
        <v/>
      </c>
      <c r="AH33">
        <f ca="1">IF(tblData[Dates]&gt;StartDt2Au,tblData[Dates]-AuStart,"")</f>
        <v>19</v>
      </c>
      <c r="AI33" s="25">
        <f>IF(AND(COUNTBLANK(tblData[[#This Row],[Australian Capital Territory]:[Western Australia]])&lt;1,tblData[New South Wales]&gt;=0),SUM(tblData[[#This Row],[Australian Capital Territory]:[Western Australia]]),"")</f>
        <v>15</v>
      </c>
      <c r="AJ33" s="12">
        <f>IF(ISNUMBER(tblData[Au]),tblData[Au]/AuPopScale,"")</f>
        <v>5.9138937076170954</v>
      </c>
      <c r="AK33" s="19">
        <f ca="1">IF(ISNUMBER(tblData[[#This Row],[Day'# Aust]]),betaAu/(deltaAu+betaPodeltaAu*EXP(-betaAu*tblData[[#This Row],[Day'# Aust]])),"")</f>
        <v>0.34478986787738758</v>
      </c>
      <c r="AL33" s="57">
        <f ca="1">IF(ISNUMBER(tblData[Day'# Aust]),tblData[Au LogiP(t)]/AuPopScale,"")</f>
        <v>0.13593670867268079</v>
      </c>
      <c r="AM33" s="11">
        <f ca="1">IF(AND(tblData[Dates]&gt;StartDt2Au,ISNUMBER(tblData[Au])),(tblData[[#This Row],[Au LogiP(t)]]-tblData[[#This Row],[Au]])^2,"")</f>
        <v>214.77518401666927</v>
      </c>
      <c r="AN33" s="11">
        <f ca="1">IF(AND(ISNUMBER(tblData[Au]),tblData[Dates]&gt;StartDt2Au),(tblData[Au]-AVERAGE(tblData[Au]))^2,"")</f>
        <v>5923431.1160999993</v>
      </c>
      <c r="AO33" s="11">
        <f>tblData[[#This Row],[Dates]]-Au100dt</f>
        <v>-31</v>
      </c>
      <c r="AP33">
        <f ca="1">IF(tblData[Dates]&gt;StartDt2NSW,tblData[Dates]-StartDt2NSW,"")</f>
        <v>19</v>
      </c>
      <c r="AQ33" s="25">
        <f>IF(tblData[[#This Row],[New South Wales]]&gt;0,tblData[[#This Row],[New South Wales]],"")</f>
        <v>4</v>
      </c>
      <c r="AR33" s="44">
        <f ca="1">IF(tblData[Dates]&gt;StartDt2NSW,betaNSW/(deltaNSW+betaPodeltaNSW*EXP(-betaNSW*tblData[[#This Row],[Day '# NSW]])),"")</f>
        <v>0.10592510420355199</v>
      </c>
      <c r="AS33" s="12">
        <f ca="1">IF(AND(ISNUMBER(tblData[NSW]),tblData[Dates]&gt;StartDt2NSW),(tblData[[#This Row],[NSW LogiP(t)]]-tblData[[#This Row],[NSW]])^2,"")</f>
        <v>15.163819294072116</v>
      </c>
      <c r="AT33" s="12">
        <f ca="1">IF(AND(tblData[Dates]&gt;StartDt2NSW,ISNUMBER(tblData[Day'# Aust])),tblData[NSW LogiP(t)]/NSWpopscale,"")</f>
        <v>0.13109542599449503</v>
      </c>
      <c r="AU33" s="11">
        <f>tblData[[#This Row],[Dates]]-NSW100dt+1</f>
        <v>-28</v>
      </c>
      <c r="AV33" s="11">
        <f ca="1">IF(AND(ISNUMBER(tblData[NSW]),tblData[Dates]&gt;StartDt2NSW),(tblData[NSW]-AVERAGE(tblData[NSW]))^2,"")</f>
        <v>1188666.8676</v>
      </c>
      <c r="AW33" s="20">
        <f ca="1">IF(AND(tblData[Dates]&gt;StartDt2Italy,ISNUMBER(tblData[Days'# Italy])),betaItaly/(deltaItaly+betaPodeltaItaly*EXP(-betaItaly*tblData[Days'# Italy])),"")</f>
        <v>15.333208658249523</v>
      </c>
      <c r="AX33" s="11">
        <f ca="1">IF(AND(tblData[Dates]&gt;StartDt2Italy,ISNUMBER(tblData[Italy])),(tblData[[#This Row],[Italy LogiP(t)]]-tblData[[#This Row],[Italy]])^2,"")</f>
        <v>152.108035807921</v>
      </c>
      <c r="AY33" s="20">
        <f ca="1">IF(AND(tblData[Dates]&gt;StartDt2Italy,ISNUMBER(tblData[Days'# Italy])),tblData[[#This Row],[Italy LogiP(t)]]/ItalyPopscale,"")</f>
        <v>2.5350431773579438</v>
      </c>
      <c r="AZ33" s="39">
        <f ca="1">IF(AND(ISNUMBER(tblData[Italy]),tblData[Dates]&gt;StartDt2Italy),(tblData[Italy]-AVERAGE(tblData[Italy]))^2,"")</f>
        <v>4864449609.7294016</v>
      </c>
      <c r="BA33" s="11">
        <f>tblData[[#This Row],[Dates]]-Italy100dt+1</f>
        <v>-13</v>
      </c>
      <c r="BB33" s="11">
        <f ca="1">IF(AND(tblData[Dates]&gt;StartDt2US,ISNUMBER(tblData[[#This Row],[Days'# US]])),betaUS/(deltaUS+betaPodeltaUS*EXP(-betaUS*tblData[Days'# US])),"")</f>
        <v>0.51435847338618379</v>
      </c>
      <c r="BC33" s="11">
        <f ca="1">IF(AND(tblData[Dates]&gt;StartDt2US,ISNUMBER(tblData[US])),(tblData[[#This Row],[US LogiP(t)]]-tblData[US])^2,"")</f>
        <v>155.89124433110339</v>
      </c>
      <c r="BD33" s="20">
        <f ca="1">IF(AND(tblData[Dates]&gt;=StartDt2US,ISNUMBER(tblData[[#This Row],[Days'# US]])),tblData[[#This Row],[US LogiP(t)]]/USPopscale,"")</f>
        <v>1.5623181206184968E-2</v>
      </c>
      <c r="BE33" s="126">
        <f ca="1">IF(AND(ISNUMBER(tblData[US]),tblData[Dates]&gt;StartDt2US),(tblData[US]-AVERAGE(tblData[US]))^2,"")</f>
        <v>50144754669.667915</v>
      </c>
      <c r="BF33" s="11">
        <f>tblData[[#This Row],[Dates]]-US100dt+1</f>
        <v>-30</v>
      </c>
      <c r="BG33" s="20">
        <f ca="1">IF(tblData[Dates]&gt;StartDt2SKorea,betaSKorea/(deltaSKorea+betaPodeltaSKorea*EXP(-betaSKorea*(tblData[Dates]-StartDt2SKorea))),"")</f>
        <v>248.68980835107496</v>
      </c>
      <c r="BH33" s="20">
        <f ca="1">IF(AND(tblData[Dates]&gt;StartDt2SKorea,ISNUMBER(tblData[SKorea])),(tblData[[#This Row],[SKorea LogiP(t)]]-tblData[[#This Row],[SKorea]])^2,"")</f>
        <v>48703.991510034197</v>
      </c>
      <c r="BI33" s="20">
        <f ca="1">IF(tblData[Dates]&gt;StartDt2SKorea,tblData[[#This Row],[SKorea LogiP(t)]]/SKoreaPopscale,"")</f>
        <v>48.383231196707193</v>
      </c>
      <c r="BJ33" s="126">
        <f ca="1">IF(AND(ISNUMBER(tblData[SKorea]),tblData[Dates]&gt;StartDt2SKorea),(tblData[SKorea]-AVERAGE(tblData[SKorea]))^2,"")</f>
        <v>33597934.727028064</v>
      </c>
      <c r="BK33" s="11">
        <f>tblData[[#This Row],[Dates]]-SKorea100dt+1</f>
        <v>-9</v>
      </c>
      <c r="BL33" s="20">
        <f ca="1">IF(AND(tblData[Dates]&gt;StartDt2UK,ISNUMBER(tblData[Days'# UK])),betaUK/(deltaUK+betaPodeltaUK*EXP(-betaUK*tblData[Days'# UK])),"")</f>
        <v>1.7402456543887475</v>
      </c>
      <c r="BM33" s="20">
        <f ca="1">IF(AND(tblData[Dates]&gt;StartDt2UK,ISNUMBER(tblData[United Kingdom])),(tblData[[#This Row],[UK LogiP(t)]]-tblData[[#This Row],[United Kingdom]])^2,"")</f>
        <v>52.704033158621463</v>
      </c>
      <c r="BN33" s="20">
        <f ca="1">IF(ISNUMBER(tblData[Days'# UK]),tblData[[#This Row],[UK LogiP(t)]]/UKPopscale,"")</f>
        <v>0.26192740132280967</v>
      </c>
      <c r="BO33" s="126">
        <f ca="1">IF(AND(ISNUMBER(tblData[United Kingdom]),tblData[Dates]&gt;StartDt2UK),(tblData[United Kingdom]-AVERAGE(tblData[United Kingdom]))^2,"")</f>
        <v>1440812186.8520825</v>
      </c>
      <c r="BP33" s="11">
        <f>tblData[[#This Row],[Dates]]-UK100dt</f>
        <v>-28</v>
      </c>
      <c r="BQ33" s="11">
        <f ca="1">IF(ISNUMBER(tblData[Days'# China]),betaChina/(deltaChina+betaPodeltaChina*EXP(-betaChina*tblData[Days'# China])),"")</f>
        <v>58679.0217735029</v>
      </c>
      <c r="BR33" s="11">
        <f ca="1">IF(ISNUMBER(tblData[China]),(tblData[[#This Row],[China LogiP(t)]]-tblData[[#This Row],[China]])^2,"")</f>
        <v>1478603.0473150325</v>
      </c>
      <c r="BS33" s="11">
        <f ca="1">tblData[[#This Row],[China LogiP(t)]]/ChinaPopscale</f>
        <v>407.68465547464774</v>
      </c>
      <c r="BT33" s="126">
        <f ca="1">IF(AND(ISNUMBER(tblData[China]),tblData[Dates]&gt;StartDt2China),(tblData[China]-AVERAGE(tblData[China]))^2,"")</f>
        <v>53428360.280276917</v>
      </c>
      <c r="BU33" s="11">
        <f>tblData[[#This Row],[Dates]]-China100dt</f>
        <v>11</v>
      </c>
      <c r="BV33" s="95">
        <f ca="1">IF(ISNUMBER(tblData[Day'# Singapore]),betaSingapore/(deltaSingapore+betaPodeltaSingapore*EXP(-betaSingapore*tblData[Day'# Singapore])),"")</f>
        <v>1.7076799522933426</v>
      </c>
      <c r="BW33" s="11">
        <f ca="1">IF(AND(ISNUMBER(tblData[Singapore]),tblData[Dates]&gt;=StartDt2Singapore),(tblData[[#This Row],[Singapore LogiP(t)]]-tblData[[#This Row],[Singapore]])^2,"")</f>
        <v>3168.8252963534374</v>
      </c>
      <c r="BX33" s="20">
        <f ca="1">IF(ISNUMBER(tblData[Day'# Singapore]),tblData[Singapore LogiP(t)]/SingaporePopscale,"")</f>
        <v>2.9191110295612694</v>
      </c>
      <c r="BY33" s="95">
        <f ca="1">IF(AND(ISNUMBER(tblData[Singapore]),tblData[Dates]&gt;StartDt2Singapore),(tblData[Singapore]-AVERAGE(tblData[Singapore]))^2,"")</f>
        <v>5120281.5874663601</v>
      </c>
      <c r="BZ33" s="11">
        <f>tblData[[#This Row],[Dates]]-Singapore100dt+1</f>
        <v>0</v>
      </c>
      <c r="CA33" s="11" t="str">
        <f>IF(AND(tblData[Dates]&gt;StartDt2Generic,ISNUMBER(tblData[Day'# Generic])),betaGeneric/(deltaGeneric+betaPodeltaGeneric*EXP(-betaGeneric*tblData[Day'# Generic])),"")</f>
        <v/>
      </c>
      <c r="CB33" s="95" t="str">
        <f>IF(AND(ISNUMBER(tblData[Generic]),tblData[Dates]&gt;StartDt2Generic),(tblData[Generic LogiP(t)]-tblData[[#This Row],[Generic]])^2,"")</f>
        <v/>
      </c>
      <c r="CC33" s="11" t="str">
        <f>IF(AND(ISNUMBER(tblData[Day'# Generic]),tblData[Dates]&gt;StartDt2Generic),tblData[Generic LogiP(t)]/GenericPopscale,"")</f>
        <v/>
      </c>
      <c r="CD33" s="95" t="str">
        <f>IF(AND(ISNUMBER(tblData[Generic]),tblData[Dates]&gt;StartDt2Generic),(tblData[Generic]-AVERAGE(tblData[Generic]))^2,"")</f>
        <v/>
      </c>
      <c r="CE33" s="11">
        <f>tblData[[#This Row],[Dates]]-Generic100dt+1</f>
        <v>-28</v>
      </c>
      <c r="CF33"/>
      <c r="CG33" s="11"/>
      <c r="CH33" s="11" t="str">
        <f>IF(ISNUMBER(tblData[[#This Row],[Tests]]),tblData[[#This Row],[Tests]]-CH32,"")</f>
        <v/>
      </c>
      <c r="CI33" s="11" t="str">
        <f>IF(ISNUMBER(tblData[[#This Row],[NSW Under Investigation'']]),tblData[[#This Row],[NSW Under Investigation'']]-CG32,"")</f>
        <v/>
      </c>
      <c r="CJ33" s="11"/>
      <c r="CK33" s="11" t="str">
        <f>IF(AND(tblData[[#This Row],[NSW Test Day Number]]&gt;0,ISNUMBER(tblData[[#This Row],[NSW Test Day Number]])),betaTests/(deltaTests+betaPodeltaTests*EXP(-betaTests*tblData[[#This Row],[NSW Test Day Number]])),"")</f>
        <v/>
      </c>
      <c r="CL33" s="11" t="str">
        <f>IF(tblData[Tests]&gt;0,(tblData[[#This Row],[Tests]]-tblData[[#This Row],[NSW Test Logi]])^2,"")</f>
        <v/>
      </c>
      <c r="CM33" s="95" t="str">
        <f>IF(AND(ISNUMBER(tblData[Tests]),tblData[Dates]&gt;StartDt2Tests),(tblData[Tests]-AVERAGE(tblData[Tests]))^2,"")</f>
        <v/>
      </c>
      <c r="CN33" s="11" t="str">
        <f>IF(ISNUMBER(tblData[Tests]),tblData[Tests]/NSWpopscale/100,"")</f>
        <v/>
      </c>
      <c r="CO33" s="11" t="str">
        <f>IF(AND(tblData[[#This Row],[NSW Test Day Number]]&gt;0,ISNUMBER(tblData[[#This Row],[NSW Test Day Number]])),TestsLogestB*TestsLogestM^tblData[[#This Row],[NSW Test Day Number]],"")</f>
        <v/>
      </c>
      <c r="CP33" s="11" t="str">
        <f>IF(AND(tblData[[#This Row],[NSW Test Day Number]]&gt;0,ISNUMBER(tblData[Tests])),(tblData[Tests]-tblData[[#This Row],[NSW Test Per Capita]])^2,"")</f>
        <v/>
      </c>
      <c r="CQ33" s="20">
        <f ca="1">IF(AND(tblData[Day '# NSW]&gt;0,ISNUMBER(tblData[[#This Row],[Day '# NSW]])),NSWLogestB*NSWLogestM^tblData[[#This Row],[Day '# NSW]]/NSWpopscale,"")</f>
        <v>8.8110983904356583</v>
      </c>
      <c r="CR33" s="39">
        <f ca="1">IF(AND(ISNUMBER(tblData[NSW]),tblData[Dates]&gt;StartDt2NSW),(tblData[NSW]/NSWpopscale-tblData[[#This Row],[NSW Cases LogEst]])^2,"")</f>
        <v>14.904258156005344</v>
      </c>
      <c r="CS33">
        <v>18</v>
      </c>
      <c r="CT33" s="19">
        <f>IF(ISNUMBER(tblData[Taiwan]),tblData[Taiwan]/TaiwanPopscale,"")</f>
        <v>7.5607118863883747</v>
      </c>
      <c r="CU33" s="11">
        <f ca="1">IF(tblData[[#This Row],[Dates]]&lt;StartDt2Taiwan,"",tblData[[#This Row],[Dates]]-TaiwanStart)</f>
        <v>22</v>
      </c>
      <c r="CV33" s="19">
        <f ca="1">IF(AND(tblData[Dates]&gt;StartDt2Taiwan,ISNUMBER(tblData[Days'# Taiwan])),betaTaiwan/(deltaTaiwan+betaPodeltaTaiwan*EXP(-betaTaiwan*tblData[Days'# Taiwan])),"")</f>
        <v>1.0925673186480831</v>
      </c>
      <c r="CW33" s="95">
        <f ca="1">IF(AND(tblData[Dates]&gt;StartDt2Taiwan,ISNUMBER(tblData[Taiwan])),(tblData[[#This Row],[Taiwan LogiP(t)]]-tblData[[#This Row],[Taiwan]])^2,"")</f>
        <v>285.86127987444689</v>
      </c>
      <c r="CX33" s="20">
        <f ca="1">IF(AND(tblData[Dates]&gt;StartDt2Taiwan,ISNUMBER(tblData[Days'# Taiwan])),tblData[[#This Row],[Taiwan LogiP(t)]]/TaiwanPopscale,"")</f>
        <v>0.45892148404344646</v>
      </c>
      <c r="CY33" s="95">
        <f ca="1">IF(AND(ISNUMBER(tblData[Taiwan]),tblData[Dates]&gt;StartDt2Taiwan),(tblData[Taiwan]-AVERAGE(tblData[Taiwan]))^2,"")</f>
        <v>22967.105344098429</v>
      </c>
      <c r="CZ33" s="11">
        <f>tblData[[#This Row],[Dates]]-Taiwan100dt+1</f>
        <v>-41</v>
      </c>
      <c r="DA33"/>
      <c r="DB33" s="20" t="str">
        <f>IF(ISNUMBER(tblData[NZ]),tblData[NZ]/NZPopscale,"")</f>
        <v/>
      </c>
      <c r="DC33" s="11" t="str">
        <f ca="1">IF(tblData[[#This Row],[Dates]]&lt;StartDt2NZ,"",tblData[[#This Row],[Dates]]-NZStart)</f>
        <v/>
      </c>
      <c r="DD33" s="20" t="str">
        <f ca="1">IF(AND(tblData[Dates]&gt;StartDt2NZ,ISNUMBER(tblData[Days'# NZ])),betaNZ/(deltaNZ+betaPodeltaNZ*EXP(-betaNZ*tblData[Days'# NZ])),"")</f>
        <v/>
      </c>
      <c r="DE33" s="95" t="str">
        <f ca="1">IF(AND(tblData[Dates]&gt;StartDt2NZ,ISNUMBER(tblData[NZ])),(tblData[[#This Row],[NZ LogiP(t)]]-tblData[[#This Row],[NZ]])^2,"")</f>
        <v/>
      </c>
      <c r="DF33" s="20" t="str">
        <f ca="1">IF(AND(tblData[Dates]&gt;StartDt2NZ,ISNUMBER(tblData[Days'# NZ])),tblData[[#This Row],[NZ LogiP(t)]]/NZPopscale,"")</f>
        <v/>
      </c>
      <c r="DG33" s="95" t="str">
        <f ca="1">IF(AND(ISNUMBER(tblData[NZ]),tblData[Dates]&gt;StartDt2NZ),(tblData[NZ]-AVERAGE(tblData[NZ]))^2,"")</f>
        <v/>
      </c>
      <c r="DH33" s="11">
        <f>tblData[[#This Row],[Dates]]-NZ100dt+1</f>
        <v>-37</v>
      </c>
      <c r="DI33" s="39"/>
      <c r="DJ33" s="11"/>
      <c r="DK33" s="26"/>
      <c r="DM33" s="25"/>
      <c r="DP33"/>
      <c r="DV33" s="25"/>
      <c r="DW33"/>
      <c r="DZ33" s="25"/>
      <c r="EA33" s="25"/>
      <c r="EB33" s="25"/>
      <c r="EH33"/>
      <c r="EI33"/>
      <c r="EJ33"/>
      <c r="EK33"/>
      <c r="EQ33" s="25"/>
      <c r="ER33" s="25"/>
      <c r="ES33" s="25"/>
      <c r="ET33" s="25"/>
      <c r="FF33"/>
      <c r="FG33"/>
      <c r="FH33"/>
      <c r="FI33" s="59"/>
      <c r="FJ33" s="26"/>
      <c r="FK33" s="59"/>
      <c r="FL33" s="26"/>
      <c r="FO33" s="263" t="s">
        <v>48</v>
      </c>
      <c r="FP33" s="250">
        <v>43920.989247685182</v>
      </c>
      <c r="FQ33" s="156">
        <v>43855</v>
      </c>
      <c r="FR33" s="26">
        <v>43855</v>
      </c>
      <c r="FS33" s="211">
        <v>0</v>
      </c>
      <c r="FT33" s="25">
        <v>0.25287550740477743</v>
      </c>
      <c r="FU33" s="25">
        <v>4.0314797647569815E-5</v>
      </c>
      <c r="FV33" s="21">
        <v>1E-3</v>
      </c>
      <c r="FW33" s="212">
        <v>6272.5232956743075</v>
      </c>
      <c r="FX33" s="212">
        <v>35.28822101305029</v>
      </c>
      <c r="FY33" s="212"/>
      <c r="FZ33" s="213">
        <v>252.87546708997979</v>
      </c>
      <c r="GA33" s="213">
        <v>4.0314797647569817E-2</v>
      </c>
      <c r="GB33" s="156">
        <v>43920</v>
      </c>
      <c r="GC33" s="26" t="s">
        <v>1476</v>
      </c>
      <c r="GD33" s="212">
        <v>6272.5232956743075</v>
      </c>
      <c r="GE33" s="212">
        <v>4223</v>
      </c>
      <c r="GF33" s="25" t="s">
        <v>1477</v>
      </c>
      <c r="GG33" s="156">
        <v>43920</v>
      </c>
      <c r="GH33" s="25">
        <v>66</v>
      </c>
      <c r="GI33" s="62" t="s">
        <v>1478</v>
      </c>
      <c r="GJ33" s="25"/>
      <c r="GK33" s="62" t="s">
        <v>1479</v>
      </c>
      <c r="GM33" t="s">
        <v>1480</v>
      </c>
      <c r="GN33" s="20">
        <v>1664.9582084844662</v>
      </c>
      <c r="GO33" s="156"/>
      <c r="GP33" s="218"/>
      <c r="GQ33" s="156"/>
      <c r="GR33" s="25"/>
      <c r="GS33" s="25" t="s">
        <v>1475</v>
      </c>
      <c r="GT33" s="11"/>
      <c r="GU33" s="12"/>
      <c r="GV33" s="26"/>
      <c r="GX33" s="219"/>
      <c r="HK33" s="164">
        <v>43920</v>
      </c>
      <c r="HL33" s="60">
        <v>43920.833333333336</v>
      </c>
      <c r="HM33">
        <v>1918</v>
      </c>
      <c r="HN33">
        <v>94534</v>
      </c>
      <c r="HO33">
        <v>376</v>
      </c>
      <c r="HQ33" t="str">
        <f>IF(ISNUMBER(tblNSWKnown[[#This Row],[Unknown Locally]]),tblNSWKnown[[#This Row],[Known Locally]]+tblNSWKnown[[#This Row],[Unknown Locally]],"")</f>
        <v/>
      </c>
      <c r="HR33" s="25"/>
      <c r="HS33" t="str">
        <f>IF(ISNUMBER(tblNSWKnown[[#This Row],[Day '# NSW Unknown]]),betaNSWUnknown/(deltaNSWUnknown+betaPodeltaNSWUnknown*EXP(-betaNSWUnknown*tblNSWKnown[Day '# NSW Unknown])),"")</f>
        <v/>
      </c>
      <c r="HT33" t="str">
        <f>IF(ISNUMBER(tblNSWKnown[[#This Row],[Total Local]]),(tblNSWKnown[[#This Row],[Total Local]]-tblNSWKnown[[#This Row],[NSW Unknown Logi P(t)]])^2,"")</f>
        <v/>
      </c>
      <c r="HU33" s="166" t="str">
        <f>IF(ISNUMBER(tblNSWKnown[Total Local]),(tblNSWKnown[Total Local]-AVERAGE(tblNSWKnown[Total Local]))^2,"")</f>
        <v/>
      </c>
      <c r="HV33" s="166"/>
    </row>
    <row r="34" spans="2:231" ht="15" customHeight="1" x14ac:dyDescent="0.25">
      <c r="B34" s="26">
        <v>43875</v>
      </c>
      <c r="C34">
        <v>0</v>
      </c>
      <c r="D34" s="25">
        <v>0</v>
      </c>
      <c r="E34">
        <v>4</v>
      </c>
      <c r="F34">
        <v>0</v>
      </c>
      <c r="G34">
        <v>5</v>
      </c>
      <c r="H34">
        <v>2</v>
      </c>
      <c r="I34">
        <v>0</v>
      </c>
      <c r="J34">
        <v>4</v>
      </c>
      <c r="K34">
        <v>0</v>
      </c>
      <c r="L34" s="11">
        <f>IF(ISNUMBER(tblData[[#This Row],[NSW]]),tblData[[#This Row],[New South Wales]]/NSWpopscale,"")</f>
        <v>4.9504950495049505</v>
      </c>
      <c r="M34">
        <v>3</v>
      </c>
      <c r="N34" s="20">
        <f>IF(ISNUMBER(tblData[Italy]),tblData[Italy]/ItalyPopscale,"")</f>
        <v>0.49599074150615857</v>
      </c>
      <c r="O34">
        <v>13</v>
      </c>
      <c r="P34" s="20">
        <f>IF(ISNUMBER(tblData[US]),tblData[US]/USPopscale,"")</f>
        <v>0.39486343900067283</v>
      </c>
      <c r="Q34">
        <v>28</v>
      </c>
      <c r="R34" s="20">
        <f>IF(ISNUMBER(tblData[SKorea]),tblData[SKorea]/SKoreaPopscale,"")</f>
        <v>5.4474708171206228</v>
      </c>
      <c r="S34">
        <v>9</v>
      </c>
      <c r="T34" s="20">
        <f>IF(ISNUMBER(tblData[United Kingdom]),tblData[United Kingdom]/UKPopscale,"")</f>
        <v>1.3546056592414208</v>
      </c>
      <c r="U34">
        <v>66358</v>
      </c>
      <c r="V34" s="20">
        <f>IF(ISNUMBER(tblData[China]),tblData[China]/ChinaPopscale,"")</f>
        <v>461.03594692512047</v>
      </c>
      <c r="W34" s="25">
        <f ca="1">IF(tblData[[#This Row],[Dates]]&lt;StartDt2China,"",tblData[[#This Row],[Dates]]-ChinaStart)</f>
        <v>23</v>
      </c>
      <c r="X34">
        <v>67</v>
      </c>
      <c r="Y34" s="20">
        <f>IF(ISNUMBER(tblData[Singapore]),tblData[Singapore]/SingaporePopscale,"")</f>
        <v>114.52991452991454</v>
      </c>
      <c r="Z34"/>
      <c r="AA34" s="20" t="str">
        <f>IF(AND(LEN(tblData[Generic])&gt;0,ISNUMBER(tblData[Generic])),tblData[Generic]/GenericPopscale,"")</f>
        <v/>
      </c>
      <c r="AB34" s="25">
        <f ca="1">IF(tblData[[#This Row],[Dates]]&lt;StartDt2Italy,"",tblData[[#This Row],[Dates]]-ItalyStart)</f>
        <v>15</v>
      </c>
      <c r="AC34" s="25">
        <f ca="1">IF(tblData[[#This Row],[Dates]]&lt;=StartDt2US,"",tblData[[#This Row],[Dates]]-USStart)</f>
        <v>23</v>
      </c>
      <c r="AD34" s="25">
        <f>IF(tblData[[#This Row],[Dates]]&lt;=SKoreaStart,"",tblData[[#This Row],[Dates]]-SKoreaStart)</f>
        <v>23</v>
      </c>
      <c r="AE34" s="25">
        <f ca="1">IF(tblData[[#This Row],[Dates]]&lt;=StartDt2UK,"",tblData[[#This Row],[Dates]]-UKStart)</f>
        <v>15</v>
      </c>
      <c r="AF34" s="25">
        <f ca="1">IF(tblData[[#This Row],[Dates]]&lt;StartDt2Singapore,"",tblData[[#This Row],[Dates]]-SingaporeStart)</f>
        <v>22</v>
      </c>
      <c r="AG34" s="25" t="str">
        <f>IF(tblData[[#This Row],[Dates]]&lt;StartDt2Generic,"",tblData[[#This Row],[Dates]]-GenericStart)</f>
        <v/>
      </c>
      <c r="AH34">
        <f ca="1">IF(tblData[Dates]&gt;StartDt2Au,tblData[Dates]-AuStart,"")</f>
        <v>20</v>
      </c>
      <c r="AI34" s="25">
        <f>IF(AND(COUNTBLANK(tblData[[#This Row],[Australian Capital Territory]:[Western Australia]])&lt;1,tblData[New South Wales]&gt;=0),SUM(tblData[[#This Row],[Australian Capital Territory]:[Western Australia]]),"")</f>
        <v>15</v>
      </c>
      <c r="AJ34" s="12">
        <f>IF(ISNUMBER(tblData[Au]),tblData[Au]/AuPopScale,"")</f>
        <v>5.9138937076170954</v>
      </c>
      <c r="AK34" s="19">
        <f ca="1">IF(ISNUMBER(tblData[[#This Row],[Day'# Aust]]),betaAu/(deltaAu+betaPodeltaAu*EXP(-betaAu*tblData[[#This Row],[Day'# Aust]])),"")</f>
        <v>0.4322908257975176</v>
      </c>
      <c r="AL34" s="57">
        <f ca="1">IF(ISNUMBER(tblData[Day'# Aust]),tblData[Au LogiP(t)]/AuPopScale,"")</f>
        <v>0.17043479963630248</v>
      </c>
      <c r="AM34" s="11">
        <f ca="1">IF(AND(tblData[Dates]&gt;StartDt2Au,ISNUMBER(tblData[Au])),(tblData[[#This Row],[Au LogiP(t)]]-tblData[[#This Row],[Au]])^2,"")</f>
        <v>212.21815058414316</v>
      </c>
      <c r="AN34" s="11">
        <f ca="1">IF(AND(ISNUMBER(tblData[Au]),tblData[Dates]&gt;StartDt2Au),(tblData[Au]-AVERAGE(tblData[Au]))^2,"")</f>
        <v>5923431.1160999993</v>
      </c>
      <c r="AO34" s="11">
        <f>tblData[[#This Row],[Dates]]-Au100dt</f>
        <v>-30</v>
      </c>
      <c r="AP34">
        <f ca="1">IF(tblData[Dates]&gt;StartDt2NSW,tblData[Dates]-StartDt2NSW,"")</f>
        <v>20</v>
      </c>
      <c r="AQ34" s="25">
        <f>IF(tblData[[#This Row],[New South Wales]]&gt;0,tblData[[#This Row],[New South Wales]],"")</f>
        <v>4</v>
      </c>
      <c r="AR34" s="44">
        <f ca="1">IF(tblData[Dates]&gt;StartDt2NSW,betaNSW/(deltaNSW+betaPodeltaNSW*EXP(-betaNSW*tblData[[#This Row],[Day '# NSW]])),"")</f>
        <v>0.13388938005144507</v>
      </c>
      <c r="AS34" s="12">
        <f ca="1">IF(AND(ISNUMBER(tblData[NSW]),tblData[Dates]&gt;StartDt2NSW),(tblData[[#This Row],[NSW LogiP(t)]]-tblData[[#This Row],[NSW]])^2,"")</f>
        <v>14.946811325679001</v>
      </c>
      <c r="AT34" s="12">
        <f ca="1">IF(AND(tblData[Dates]&gt;StartDt2NSW,ISNUMBER(tblData[Day'# Aust])),tblData[NSW LogiP(t)]/NSWpopscale,"")</f>
        <v>0.16570467828149141</v>
      </c>
      <c r="AU34" s="11">
        <f>tblData[[#This Row],[Dates]]-NSW100dt+1</f>
        <v>-27</v>
      </c>
      <c r="AV34" s="11">
        <f ca="1">IF(AND(ISNUMBER(tblData[NSW]),tblData[Dates]&gt;StartDt2NSW),(tblData[NSW]-AVERAGE(tblData[NSW]))^2,"")</f>
        <v>1188666.8676</v>
      </c>
      <c r="AW34" s="20">
        <f ca="1">IF(AND(tblData[Dates]&gt;StartDt2Italy,ISNUMBER(tblData[Days'# Italy])),betaItaly/(deltaItaly+betaPodeltaItaly*EXP(-betaItaly*tblData[Days'# Italy])),"")</f>
        <v>19.750441543735548</v>
      </c>
      <c r="AX34" s="11">
        <f ca="1">IF(AND(tblData[Dates]&gt;StartDt2Italy,ISNUMBER(tblData[Italy])),(tblData[[#This Row],[Italy LogiP(t)]]-tblData[[#This Row],[Italy]])^2,"")</f>
        <v>280.57729191010174</v>
      </c>
      <c r="AY34" s="20">
        <f ca="1">IF(AND(tblData[Dates]&gt;StartDt2Italy,ISNUMBER(tblData[Days'# Italy])),tblData[[#This Row],[Italy LogiP(t)]]/ItalyPopscale,"")</f>
        <v>3.2653453821171445</v>
      </c>
      <c r="AZ34" s="39">
        <f ca="1">IF(AND(ISNUMBER(tblData[Italy]),tblData[Dates]&gt;StartDt2Italy),(tblData[Italy]-AVERAGE(tblData[Italy]))^2,"")</f>
        <v>4864449609.7294016</v>
      </c>
      <c r="BA34" s="11">
        <f>tblData[[#This Row],[Dates]]-Italy100dt+1</f>
        <v>-12</v>
      </c>
      <c r="BB34" s="11">
        <f ca="1">IF(AND(tblData[Dates]&gt;StartDt2US,ISNUMBER(tblData[[#This Row],[Days'# US]])),betaUS/(deltaUS+betaPodeltaUS*EXP(-betaUS*tblData[Days'# US])),"")</f>
        <v>0.68313286598925205</v>
      </c>
      <c r="BC34" s="11">
        <f ca="1">IF(AND(tblData[Dates]&gt;StartDt2US,ISNUMBER(tblData[US])),(tblData[[#This Row],[US LogiP(t)]]-tblData[US])^2,"")</f>
        <v>151.70521599687413</v>
      </c>
      <c r="BD34" s="20">
        <f ca="1">IF(AND(tblData[Dates]&gt;=StartDt2US,ISNUMBER(tblData[[#This Row],[Days'# US]])),tblData[[#This Row],[US LogiP(t)]]/USPopscale,"")</f>
        <v>2.0749553289146294E-2</v>
      </c>
      <c r="BE34" s="126">
        <f ca="1">IF(AND(ISNUMBER(tblData[US]),tblData[Dates]&gt;StartDt2US),(tblData[US]-AVERAGE(tblData[US]))^2,"")</f>
        <v>50144754669.667915</v>
      </c>
      <c r="BF34" s="11">
        <f>tblData[[#This Row],[Dates]]-US100dt+1</f>
        <v>-29</v>
      </c>
      <c r="BG34" s="20">
        <f ca="1">IF(tblData[Dates]&gt;StartDt2SKorea,betaSKorea/(deltaSKorea+betaPodeltaSKorea*EXP(-betaSKorea*(tblData[Dates]-StartDt2SKorea))),"")</f>
        <v>295.5452907468507</v>
      </c>
      <c r="BH34" s="20">
        <f ca="1">IF(AND(tblData[Dates]&gt;StartDt2SKorea,ISNUMBER(tblData[SKorea])),(tblData[[#This Row],[SKorea LogiP(t)]]-tblData[[#This Row],[SKorea]])^2,"")</f>
        <v>71580.482600816875</v>
      </c>
      <c r="BI34" s="20">
        <f ca="1">IF(tblData[Dates]&gt;StartDt2SKorea,tblData[[#This Row],[SKorea LogiP(t)]]/SKoreaPopscale,"")</f>
        <v>57.499083802889245</v>
      </c>
      <c r="BJ34" s="126">
        <f ca="1">IF(AND(ISNUMBER(tblData[SKorea]),tblData[Dates]&gt;StartDt2SKorea),(tblData[SKorea]-AVERAGE(tblData[SKorea]))^2,"")</f>
        <v>33597934.727028064</v>
      </c>
      <c r="BK34" s="11">
        <f>tblData[[#This Row],[Dates]]-SKorea100dt+1</f>
        <v>-8</v>
      </c>
      <c r="BL34" s="20">
        <f ca="1">IF(AND(tblData[Dates]&gt;StartDt2UK,ISNUMBER(tblData[Days'# UK])),betaUK/(deltaUK+betaPodeltaUK*EXP(-betaUK*tblData[Days'# UK])),"")</f>
        <v>2.1537942284792275</v>
      </c>
      <c r="BM34" s="20">
        <f ca="1">IF(AND(tblData[Dates]&gt;StartDt2UK,ISNUMBER(tblData[United Kingdom])),(tblData[[#This Row],[UK LogiP(t)]]-tblData[[#This Row],[United Kingdom]])^2,"")</f>
        <v>46.870533466004332</v>
      </c>
      <c r="BN34" s="20">
        <f ca="1">IF(ISNUMBER(tblData[Days'# UK]),tblData[[#This Row],[UK LogiP(t)]]/UKPopscale,"")</f>
        <v>0.32417131674883015</v>
      </c>
      <c r="BO34" s="126">
        <f ca="1">IF(AND(ISNUMBER(tblData[United Kingdom]),tblData[Dates]&gt;StartDt2UK),(tblData[United Kingdom]-AVERAGE(tblData[United Kingdom]))^2,"")</f>
        <v>1440812186.8520825</v>
      </c>
      <c r="BP34" s="11">
        <f>tblData[[#This Row],[Dates]]-UK100dt</f>
        <v>-27</v>
      </c>
      <c r="BQ34" s="11">
        <f ca="1">IF(ISNUMBER(tblData[Days'# China]),betaChina/(deltaChina+betaPodeltaChina*EXP(-betaChina*tblData[Days'# China])),"")</f>
        <v>62197.965729968164</v>
      </c>
      <c r="BR34" s="11">
        <f ca="1">IF(ISNUMBER(tblData[China]),(tblData[[#This Row],[China LogiP(t)]]-tblData[[#This Row],[China]])^2,"")</f>
        <v>17305885.127839312</v>
      </c>
      <c r="BS34" s="11">
        <f ca="1">tblData[[#This Row],[China LogiP(t)]]/ChinaPopscale</f>
        <v>432.13324734217525</v>
      </c>
      <c r="BT34" s="126">
        <f ca="1">IF(AND(ISNUMBER(tblData[China]),tblData[Dates]&gt;StartDt2China),(tblData[China]-AVERAGE(tblData[China]))^2,"")</f>
        <v>716512.45674741641</v>
      </c>
      <c r="BU34" s="11">
        <f>tblData[[#This Row],[Dates]]-China100dt</f>
        <v>12</v>
      </c>
      <c r="BV34" s="95">
        <f ca="1">IF(ISNUMBER(tblData[Day'# Singapore]),betaSingapore/(deltaSingapore+betaPodeltaSingapore*EXP(-betaSingapore*tblData[Day'# Singapore])),"")</f>
        <v>1.9362136821889748</v>
      </c>
      <c r="BW34" s="11">
        <f ca="1">IF(AND(ISNUMBER(tblData[Singapore]),tblData[Dates]&gt;=StartDt2Singapore),(tblData[[#This Row],[Singapore LogiP(t)]]-tblData[[#This Row],[Singapore]])^2,"")</f>
        <v>4233.2962900097727</v>
      </c>
      <c r="BX34" s="20">
        <f ca="1">IF(ISNUMBER(tblData[Day'# Singapore]),tblData[Singapore LogiP(t)]/SingaporePopscale,"")</f>
        <v>3.3097669781008117</v>
      </c>
      <c r="BY34" s="95">
        <f ca="1">IF(AND(ISNUMBER(tblData[Singapore]),tblData[Dates]&gt;StartDt2Singapore),(tblData[Singapore]-AVERAGE(tblData[Singapore]))^2,"")</f>
        <v>5079632.1168781249</v>
      </c>
      <c r="BZ34" s="11">
        <f>tblData[[#This Row],[Dates]]-Singapore100dt+1</f>
        <v>1</v>
      </c>
      <c r="CA34" s="11" t="str">
        <f>IF(AND(tblData[Dates]&gt;StartDt2Generic,ISNUMBER(tblData[Day'# Generic])),betaGeneric/(deltaGeneric+betaPodeltaGeneric*EXP(-betaGeneric*tblData[Day'# Generic])),"")</f>
        <v/>
      </c>
      <c r="CB34" s="95" t="str">
        <f>IF(AND(ISNUMBER(tblData[Generic]),tblData[Dates]&gt;StartDt2Generic),(tblData[Generic LogiP(t)]-tblData[[#This Row],[Generic]])^2,"")</f>
        <v/>
      </c>
      <c r="CC34" s="11" t="str">
        <f>IF(AND(ISNUMBER(tblData[Day'# Generic]),tblData[Dates]&gt;StartDt2Generic),tblData[Generic LogiP(t)]/GenericPopscale,"")</f>
        <v/>
      </c>
      <c r="CD34" s="95" t="str">
        <f>IF(AND(ISNUMBER(tblData[Generic]),tblData[Dates]&gt;StartDt2Generic),(tblData[Generic]-AVERAGE(tblData[Generic]))^2,"")</f>
        <v/>
      </c>
      <c r="CE34" s="11">
        <f>tblData[[#This Row],[Dates]]-Generic100dt+1</f>
        <v>-27</v>
      </c>
      <c r="CF34"/>
      <c r="CG34" s="11"/>
      <c r="CH34" s="11" t="str">
        <f>IF(ISNUMBER(tblData[[#This Row],[Tests]]),tblData[[#This Row],[Tests]]-CH33,"")</f>
        <v/>
      </c>
      <c r="CI34" s="11" t="str">
        <f>IF(ISNUMBER(tblData[[#This Row],[NSW Under Investigation'']]),tblData[[#This Row],[NSW Under Investigation'']]-CG33,"")</f>
        <v/>
      </c>
      <c r="CJ34" s="11"/>
      <c r="CK34" s="11" t="str">
        <f>IF(AND(tblData[[#This Row],[NSW Test Day Number]]&gt;0,ISNUMBER(tblData[[#This Row],[NSW Test Day Number]])),betaTests/(deltaTests+betaPodeltaTests*EXP(-betaTests*tblData[[#This Row],[NSW Test Day Number]])),"")</f>
        <v/>
      </c>
      <c r="CL34" s="11" t="str">
        <f>IF(tblData[Tests]&gt;0,(tblData[[#This Row],[Tests]]-tblData[[#This Row],[NSW Test Logi]])^2,"")</f>
        <v/>
      </c>
      <c r="CM34" s="95" t="str">
        <f>IF(AND(ISNUMBER(tblData[Tests]),tblData[Dates]&gt;StartDt2Tests),(tblData[Tests]-AVERAGE(tblData[Tests]))^2,"")</f>
        <v/>
      </c>
      <c r="CN34" s="11" t="str">
        <f>IF(ISNUMBER(tblData[Tests]),tblData[Tests]/NSWpopscale/100,"")</f>
        <v/>
      </c>
      <c r="CO34" s="11" t="str">
        <f>IF(AND(tblData[[#This Row],[NSW Test Day Number]]&gt;0,ISNUMBER(tblData[[#This Row],[NSW Test Day Number]])),TestsLogestB*TestsLogestM^tblData[[#This Row],[NSW Test Day Number]],"")</f>
        <v/>
      </c>
      <c r="CP34" s="11" t="str">
        <f>IF(AND(tblData[[#This Row],[NSW Test Day Number]]&gt;0,ISNUMBER(tblData[Tests])),(tblData[Tests]-tblData[[#This Row],[NSW Test Per Capita]])^2,"")</f>
        <v/>
      </c>
      <c r="CQ34" s="20">
        <f ca="1">IF(AND(tblData[Day '# NSW]&gt;0,ISNUMBER(tblData[[#This Row],[Day '# NSW]])),NSWLogestB*NSWLogestM^tblData[[#This Row],[Day '# NSW]]/NSWpopscale,"")</f>
        <v>9.7006283990454598</v>
      </c>
      <c r="CR34" s="39">
        <f ca="1">IF(AND(ISNUMBER(tblData[NSW]),tblData[Dates]&gt;StartDt2NSW),(tblData[NSW]/NSWpopscale-tblData[[#This Row],[NSW Cases LogEst]])^2,"")</f>
        <v>22.563766838416939</v>
      </c>
      <c r="CS34">
        <v>18</v>
      </c>
      <c r="CT34" s="19">
        <f>IF(ISNUMBER(tblData[Taiwan]),tblData[Taiwan]/TaiwanPopscale,"")</f>
        <v>7.5607118863883747</v>
      </c>
      <c r="CU34" s="11">
        <f ca="1">IF(tblData[[#This Row],[Dates]]&lt;StartDt2Taiwan,"",tblData[[#This Row],[Dates]]-TaiwanStart)</f>
        <v>23</v>
      </c>
      <c r="CV34" s="19">
        <f ca="1">IF(AND(tblData[Dates]&gt;StartDt2Taiwan,ISNUMBER(tblData[Days'# Taiwan])),betaTaiwan/(deltaTaiwan+betaPodeltaTaiwan*EXP(-betaTaiwan*tblData[Days'# Taiwan])),"")</f>
        <v>1.2657440747064463</v>
      </c>
      <c r="CW34" s="95">
        <f ca="1">IF(AND(tblData[Dates]&gt;StartDt2Taiwan,ISNUMBER(tblData[Taiwan])),(tblData[[#This Row],[Taiwan LogiP(t)]]-tblData[[#This Row],[Taiwan]])^2,"")</f>
        <v>280.03532137322236</v>
      </c>
      <c r="CX34" s="20">
        <f ca="1">IF(AND(tblData[Dates]&gt;StartDt2Taiwan,ISNUMBER(tblData[Days'# Taiwan])),tblData[[#This Row],[Taiwan LogiP(t)]]/TaiwanPopscale,"")</f>
        <v>0.53166257059770461</v>
      </c>
      <c r="CY34" s="95">
        <f ca="1">IF(AND(ISNUMBER(tblData[Taiwan]),tblData[Dates]&gt;StartDt2Taiwan),(tblData[Taiwan]-AVERAGE(tblData[Taiwan]))^2,"")</f>
        <v>22967.105344098429</v>
      </c>
      <c r="CZ34" s="11">
        <f>tblData[[#This Row],[Dates]]-Taiwan100dt+1</f>
        <v>-40</v>
      </c>
      <c r="DA34"/>
      <c r="DB34" s="20" t="str">
        <f>IF(ISNUMBER(tblData[NZ]),tblData[NZ]/NZPopscale,"")</f>
        <v/>
      </c>
      <c r="DC34" s="11" t="str">
        <f ca="1">IF(tblData[[#This Row],[Dates]]&lt;StartDt2NZ,"",tblData[[#This Row],[Dates]]-NZStart)</f>
        <v/>
      </c>
      <c r="DD34" s="20" t="str">
        <f ca="1">IF(AND(tblData[Dates]&gt;StartDt2NZ,ISNUMBER(tblData[Days'# NZ])),betaNZ/(deltaNZ+betaPodeltaNZ*EXP(-betaNZ*tblData[Days'# NZ])),"")</f>
        <v/>
      </c>
      <c r="DE34" s="95" t="str">
        <f ca="1">IF(AND(tblData[Dates]&gt;StartDt2NZ,ISNUMBER(tblData[NZ])),(tblData[[#This Row],[NZ LogiP(t)]]-tblData[[#This Row],[NZ]])^2,"")</f>
        <v/>
      </c>
      <c r="DF34" s="20" t="str">
        <f ca="1">IF(AND(tblData[Dates]&gt;StartDt2NZ,ISNUMBER(tblData[Days'# NZ])),tblData[[#This Row],[NZ LogiP(t)]]/NZPopscale,"")</f>
        <v/>
      </c>
      <c r="DG34" s="95" t="str">
        <f ca="1">IF(AND(ISNUMBER(tblData[NZ]),tblData[Dates]&gt;StartDt2NZ),(tblData[NZ]-AVERAGE(tblData[NZ]))^2,"")</f>
        <v/>
      </c>
      <c r="DH34" s="11">
        <f>tblData[[#This Row],[Dates]]-NZ100dt+1</f>
        <v>-36</v>
      </c>
      <c r="DI34" s="39"/>
      <c r="DJ34" s="11"/>
      <c r="DK34" s="26"/>
      <c r="DM34" s="25"/>
      <c r="DP34"/>
      <c r="DV34" s="25"/>
      <c r="DW34"/>
      <c r="DZ34" s="25"/>
      <c r="EA34" s="25"/>
      <c r="EB34" s="25"/>
      <c r="EH34"/>
      <c r="EI34"/>
      <c r="EJ34"/>
      <c r="EK34"/>
      <c r="EQ34" s="25"/>
      <c r="ER34" s="25"/>
      <c r="ES34" s="25"/>
      <c r="ET34" s="25"/>
      <c r="FF34"/>
      <c r="FG34"/>
      <c r="FH34"/>
      <c r="FI34"/>
      <c r="FJ34" s="25"/>
      <c r="FK34" s="25"/>
      <c r="FM34" s="25"/>
      <c r="FN34"/>
      <c r="FO34" s="265" t="s">
        <v>48</v>
      </c>
      <c r="FP34" s="250">
        <v>43921.585509259261</v>
      </c>
      <c r="FQ34" s="156">
        <v>43855</v>
      </c>
      <c r="FR34" s="26">
        <v>43855</v>
      </c>
      <c r="FS34" s="211">
        <v>0</v>
      </c>
      <c r="FT34" s="25">
        <v>0.25297009482846505</v>
      </c>
      <c r="FU34" s="73">
        <v>4.0465477890410492E-5</v>
      </c>
      <c r="FV34" s="21">
        <v>1E-3</v>
      </c>
      <c r="FW34" s="212">
        <v>6251.5039489602541</v>
      </c>
      <c r="FX34" s="212">
        <v>37.046112918051044</v>
      </c>
      <c r="FY34" s="212"/>
      <c r="FZ34" s="213">
        <v>252.97005436298716</v>
      </c>
      <c r="GA34" s="213">
        <v>4.0465477890410495E-2</v>
      </c>
      <c r="GB34" s="156">
        <v>43921</v>
      </c>
      <c r="GC34" s="25" t="s">
        <v>1196</v>
      </c>
      <c r="GD34" s="212">
        <v>6251.5039489602541</v>
      </c>
      <c r="GE34" s="212">
        <v>4514</v>
      </c>
      <c r="GF34" s="25" t="s">
        <v>1197</v>
      </c>
      <c r="GG34" s="156">
        <v>43921</v>
      </c>
      <c r="GH34" s="25">
        <v>67</v>
      </c>
      <c r="GI34" s="25" t="s">
        <v>1484</v>
      </c>
      <c r="GJ34" s="62"/>
      <c r="GK34" s="25" t="s">
        <v>1199</v>
      </c>
      <c r="GM34" s="25" t="s">
        <v>1485</v>
      </c>
      <c r="GN34" s="20">
        <v>1779.6877464122379</v>
      </c>
      <c r="GO34" s="156"/>
      <c r="GP34" s="218"/>
      <c r="GQ34" s="156"/>
      <c r="GR34" s="25"/>
      <c r="GS34" s="25" t="s">
        <v>1483</v>
      </c>
      <c r="GT34" s="11"/>
      <c r="GU34" s="12"/>
      <c r="GV34" s="26"/>
      <c r="GX34" s="219"/>
      <c r="HK34" s="164">
        <v>43921</v>
      </c>
      <c r="HL34" s="60">
        <v>43921.833333333336</v>
      </c>
      <c r="HM34">
        <v>2032</v>
      </c>
      <c r="HN34">
        <v>97919</v>
      </c>
      <c r="HO34">
        <v>418</v>
      </c>
      <c r="HP34">
        <v>250</v>
      </c>
      <c r="HQ34">
        <f>IF(ISNUMBER(tblNSWKnown[[#This Row],[Unknown Locally]]),tblNSWKnown[[#This Row],[Known Locally]]+tblNSWKnown[[#This Row],[Unknown Locally]],"")</f>
        <v>668</v>
      </c>
      <c r="HR34" s="25">
        <v>1</v>
      </c>
      <c r="HS34">
        <f>IF(ISNUMBER(tblNSWKnown[[#This Row],[Day '# NSW Unknown]]),betaNSWUnknown/(deltaNSWUnknown+betaPodeltaNSWUnknown*EXP(-betaNSWUnknown*tblNSWKnown[Day '# NSW Unknown])),"")</f>
        <v>683.65051940507112</v>
      </c>
      <c r="HT34">
        <f>IF(ISNUMBER(tblNSWKnown[[#This Row],[Total Local]]),(tblNSWKnown[[#This Row],[Total Local]]-tblNSWKnown[[#This Row],[NSW Unknown Logi P(t)]])^2,"")</f>
        <v>244.93875764850776</v>
      </c>
      <c r="HU34" s="166">
        <f>IF(ISNUMBER(tblNSWKnown[Total Local]),(tblNSWKnown[Total Local]-AVERAGE(tblNSWKnown[Total Local]))^2,"")</f>
        <v>163905.90397923868</v>
      </c>
      <c r="HV34" s="166"/>
    </row>
    <row r="35" spans="2:231" ht="15" customHeight="1" x14ac:dyDescent="0.25">
      <c r="B35" s="26">
        <v>43876</v>
      </c>
      <c r="C35">
        <v>0</v>
      </c>
      <c r="D35" s="25">
        <v>0</v>
      </c>
      <c r="E35">
        <v>4</v>
      </c>
      <c r="F35">
        <v>0</v>
      </c>
      <c r="G35">
        <v>5</v>
      </c>
      <c r="H35">
        <v>2</v>
      </c>
      <c r="I35">
        <v>0</v>
      </c>
      <c r="J35">
        <v>4</v>
      </c>
      <c r="K35">
        <v>0</v>
      </c>
      <c r="L35" s="11">
        <f>IF(ISNUMBER(tblData[[#This Row],[NSW]]),tblData[[#This Row],[New South Wales]]/NSWpopscale,"")</f>
        <v>4.9504950495049505</v>
      </c>
      <c r="M35">
        <v>3</v>
      </c>
      <c r="N35" s="20">
        <f>IF(ISNUMBER(tblData[Italy]),tblData[Italy]/ItalyPopscale,"")</f>
        <v>0.49599074150615857</v>
      </c>
      <c r="O35">
        <v>13</v>
      </c>
      <c r="P35" s="20">
        <f>IF(ISNUMBER(tblData[US]),tblData[US]/USPopscale,"")</f>
        <v>0.39486343900067283</v>
      </c>
      <c r="Q35">
        <v>28</v>
      </c>
      <c r="R35" s="20">
        <f>IF(ISNUMBER(tblData[SKorea]),tblData[SKorea]/SKoreaPopscale,"")</f>
        <v>5.4474708171206228</v>
      </c>
      <c r="S35">
        <v>9</v>
      </c>
      <c r="T35" s="20">
        <f>IF(ISNUMBER(tblData[United Kingdom]),tblData[United Kingdom]/UKPopscale,"")</f>
        <v>1.3546056592414208</v>
      </c>
      <c r="U35">
        <v>68413</v>
      </c>
      <c r="V35" s="20">
        <f>IF(ISNUMBER(tblData[China]),tblData[China]/ChinaPopscale,"")</f>
        <v>475.31348499032924</v>
      </c>
      <c r="W35" s="25">
        <f ca="1">IF(tblData[[#This Row],[Dates]]&lt;StartDt2China,"",tblData[[#This Row],[Dates]]-ChinaStart)</f>
        <v>24</v>
      </c>
      <c r="X35">
        <v>72</v>
      </c>
      <c r="Y35" s="20">
        <f>IF(ISNUMBER(tblData[Singapore]),tblData[Singapore]/SingaporePopscale,"")</f>
        <v>123.07692307692308</v>
      </c>
      <c r="Z35"/>
      <c r="AA35" s="20" t="str">
        <f>IF(AND(LEN(tblData[Generic])&gt;0,ISNUMBER(tblData[Generic])),tblData[Generic]/GenericPopscale,"")</f>
        <v/>
      </c>
      <c r="AB35" s="25">
        <f ca="1">IF(tblData[[#This Row],[Dates]]&lt;StartDt2Italy,"",tblData[[#This Row],[Dates]]-ItalyStart)</f>
        <v>16</v>
      </c>
      <c r="AC35" s="25">
        <f ca="1">IF(tblData[[#This Row],[Dates]]&lt;=StartDt2US,"",tblData[[#This Row],[Dates]]-USStart)</f>
        <v>24</v>
      </c>
      <c r="AD35" s="25">
        <f>IF(tblData[[#This Row],[Dates]]&lt;=SKoreaStart,"",tblData[[#This Row],[Dates]]-SKoreaStart)</f>
        <v>24</v>
      </c>
      <c r="AE35" s="25">
        <f ca="1">IF(tblData[[#This Row],[Dates]]&lt;=StartDt2UK,"",tblData[[#This Row],[Dates]]-UKStart)</f>
        <v>16</v>
      </c>
      <c r="AF35" s="25">
        <f ca="1">IF(tblData[[#This Row],[Dates]]&lt;StartDt2Singapore,"",tblData[[#This Row],[Dates]]-SingaporeStart)</f>
        <v>23</v>
      </c>
      <c r="AG35" s="25" t="str">
        <f>IF(tblData[[#This Row],[Dates]]&lt;StartDt2Generic,"",tblData[[#This Row],[Dates]]-GenericStart)</f>
        <v/>
      </c>
      <c r="AH35">
        <f ca="1">IF(tblData[Dates]&gt;StartDt2Au,tblData[Dates]-AuStart,"")</f>
        <v>21</v>
      </c>
      <c r="AI35" s="25">
        <f>IF(AND(COUNTBLANK(tblData[[#This Row],[Australian Capital Territory]:[Western Australia]])&lt;1,tblData[New South Wales]&gt;=0),SUM(tblData[[#This Row],[Australian Capital Territory]:[Western Australia]]),"")</f>
        <v>15</v>
      </c>
      <c r="AJ35" s="12">
        <f>IF(ISNUMBER(tblData[Au]),tblData[Au]/AuPopScale,"")</f>
        <v>5.9138937076170954</v>
      </c>
      <c r="AK35" s="19">
        <f ca="1">IF(ISNUMBER(tblData[[#This Row],[Day'# Aust]]),betaAu/(deltaAu+betaPodeltaAu*EXP(-betaAu*tblData[[#This Row],[Day'# Aust]])),"")</f>
        <v>0.54199601218065074</v>
      </c>
      <c r="AL35" s="57">
        <f ca="1">IF(ISNUMBER(tblData[Day'# Aust]),tblData[Au LogiP(t)]/AuPopScale,"")</f>
        <v>0.21368712039924725</v>
      </c>
      <c r="AM35" s="11">
        <f ca="1">IF(AND(tblData[Dates]&gt;StartDt2Au,ISNUMBER(tblData[Au])),(tblData[[#This Row],[Au LogiP(t)]]-tblData[[#This Row],[Au]])^2,"")</f>
        <v>209.03387931180021</v>
      </c>
      <c r="AN35" s="11">
        <f ca="1">IF(AND(ISNUMBER(tblData[Au]),tblData[Dates]&gt;StartDt2Au),(tblData[Au]-AVERAGE(tblData[Au]))^2,"")</f>
        <v>5923431.1160999993</v>
      </c>
      <c r="AO35" s="11">
        <f>tblData[[#This Row],[Dates]]-Au100dt</f>
        <v>-29</v>
      </c>
      <c r="AP35">
        <f ca="1">IF(tblData[Dates]&gt;StartDt2NSW,tblData[Dates]-StartDt2NSW,"")</f>
        <v>21</v>
      </c>
      <c r="AQ35" s="25">
        <f>IF(tblData[[#This Row],[New South Wales]]&gt;0,tblData[[#This Row],[New South Wales]],"")</f>
        <v>4</v>
      </c>
      <c r="AR35" s="44">
        <f ca="1">IF(tblData[Dates]&gt;StartDt2NSW,betaNSW/(deltaNSW+betaPodeltaNSW*EXP(-betaNSW*tblData[[#This Row],[Day '# NSW]])),"")</f>
        <v>0.16923581730459311</v>
      </c>
      <c r="AS35" s="12">
        <f ca="1">IF(AND(ISNUMBER(tblData[NSW]),tblData[Dates]&gt;StartDt2NSW),(tblData[[#This Row],[NSW LogiP(t)]]-tblData[[#This Row],[NSW]])^2,"")</f>
        <v>14.67475422342201</v>
      </c>
      <c r="AT35" s="12">
        <f ca="1">IF(AND(tblData[Dates]&gt;StartDt2NSW,ISNUMBER(tblData[Day'# Aust])),tblData[NSW LogiP(t)]/NSWpopscale,"")</f>
        <v>0.20945026894132809</v>
      </c>
      <c r="AU35" s="11">
        <f>tblData[[#This Row],[Dates]]-NSW100dt+1</f>
        <v>-26</v>
      </c>
      <c r="AV35" s="11">
        <f ca="1">IF(AND(ISNUMBER(tblData[NSW]),tblData[Dates]&gt;StartDt2NSW),(tblData[NSW]-AVERAGE(tblData[NSW]))^2,"")</f>
        <v>1188666.8676</v>
      </c>
      <c r="AW35" s="20">
        <f ca="1">IF(AND(tblData[Dates]&gt;StartDt2Italy,ISNUMBER(tblData[Days'# Italy])),betaItaly/(deltaItaly+betaPodeltaItaly*EXP(-betaItaly*tblData[Days'# Italy])),"")</f>
        <v>25.440002402681309</v>
      </c>
      <c r="AX35" s="11">
        <f ca="1">IF(AND(tblData[Dates]&gt;StartDt2Italy,ISNUMBER(tblData[Italy])),(tblData[[#This Row],[Italy LogiP(t)]]-tblData[[#This Row],[Italy]])^2,"")</f>
        <v>503.55370783234292</v>
      </c>
      <c r="AY35" s="20">
        <f ca="1">IF(AND(tblData[Dates]&gt;StartDt2Italy,ISNUMBER(tblData[Days'# Italy])),tblData[[#This Row],[Italy LogiP(t)]]/ItalyPopscale,"")</f>
        <v>4.2060018852081189</v>
      </c>
      <c r="AZ35" s="39">
        <f ca="1">IF(AND(ISNUMBER(tblData[Italy]),tblData[Dates]&gt;StartDt2Italy),(tblData[Italy]-AVERAGE(tblData[Italy]))^2,"")</f>
        <v>4864449609.7294016</v>
      </c>
      <c r="BA35" s="11">
        <f>tblData[[#This Row],[Dates]]-Italy100dt+1</f>
        <v>-11</v>
      </c>
      <c r="BB35" s="11">
        <f ca="1">IF(AND(tblData[Dates]&gt;StartDt2US,ISNUMBER(tblData[[#This Row],[Days'# US]])),betaUS/(deltaUS+betaPodeltaUS*EXP(-betaUS*tblData[Days'# US])),"")</f>
        <v>0.90728646453468964</v>
      </c>
      <c r="BC35" s="11">
        <f ca="1">IF(AND(tblData[Dates]&gt;StartDt2US,ISNUMBER(tblData[US])),(tblData[[#This Row],[US LogiP(t)]]-tblData[US])^2,"")</f>
        <v>146.23372065082594</v>
      </c>
      <c r="BD35" s="20">
        <f ca="1">IF(AND(tblData[Dates]&gt;=StartDt2US,ISNUMBER(tblData[[#This Row],[Days'# US]])),tblData[[#This Row],[US LogiP(t)]]/USPopscale,"")</f>
        <v>2.755801950345612E-2</v>
      </c>
      <c r="BE35" s="126">
        <f ca="1">IF(AND(ISNUMBER(tblData[US]),tblData[Dates]&gt;StartDt2US),(tblData[US]-AVERAGE(tblData[US]))^2,"")</f>
        <v>50144754669.667915</v>
      </c>
      <c r="BF35" s="11">
        <f>tblData[[#This Row],[Dates]]-US100dt+1</f>
        <v>-28</v>
      </c>
      <c r="BG35" s="20">
        <f ca="1">IF(tblData[Dates]&gt;StartDt2SKorea,betaSKorea/(deltaSKorea+betaPodeltaSKorea*EXP(-betaSKorea*(tblData[Dates]-StartDt2SKorea))),"")</f>
        <v>350.9185425895987</v>
      </c>
      <c r="BH35" s="20">
        <f ca="1">IF(AND(tblData[Dates]&gt;StartDt2SKorea,ISNUMBER(tblData[SKorea])),(tblData[[#This Row],[SKorea LogiP(t)]]-tblData[[#This Row],[SKorea]])^2,"")</f>
        <v>104276.38514819047</v>
      </c>
      <c r="BI35" s="20">
        <f ca="1">IF(tblData[Dates]&gt;StartDt2SKorea,tblData[[#This Row],[SKorea LogiP(t)]]/SKoreaPopscale,"")</f>
        <v>68.272089997976408</v>
      </c>
      <c r="BJ35" s="126">
        <f ca="1">IF(AND(ISNUMBER(tblData[SKorea]),tblData[Dates]&gt;StartDt2SKorea),(tblData[SKorea]-AVERAGE(tblData[SKorea]))^2,"")</f>
        <v>33597934.727028064</v>
      </c>
      <c r="BK35" s="11">
        <f>tblData[[#This Row],[Dates]]-SKorea100dt+1</f>
        <v>-7</v>
      </c>
      <c r="BL35" s="20">
        <f ca="1">IF(AND(tblData[Dates]&gt;StartDt2UK,ISNUMBER(tblData[Days'# UK])),betaUK/(deltaUK+betaPodeltaUK*EXP(-betaUK*tblData[Days'# UK])),"")</f>
        <v>2.6656158428768837</v>
      </c>
      <c r="BM35" s="20">
        <f ca="1">IF(AND(tblData[Dates]&gt;StartDt2UK,ISNUMBER(tblData[United Kingdom])),(tblData[[#This Row],[UK LogiP(t)]]-tblData[[#This Row],[United Kingdom]])^2,"")</f>
        <v>40.124422650012335</v>
      </c>
      <c r="BN35" s="20">
        <f ca="1">IF(ISNUMBER(tblData[Days'# UK]),tblData[[#This Row],[UK LogiP(t)]]/UKPopscale,"")</f>
        <v>0.40120647845829072</v>
      </c>
      <c r="BO35" s="126">
        <f ca="1">IF(AND(ISNUMBER(tblData[United Kingdom]),tblData[Dates]&gt;StartDt2UK),(tblData[United Kingdom]-AVERAGE(tblData[United Kingdom]))^2,"")</f>
        <v>1440812186.8520825</v>
      </c>
      <c r="BP35" s="11">
        <f>tblData[[#This Row],[Dates]]-UK100dt</f>
        <v>-26</v>
      </c>
      <c r="BQ35" s="11">
        <f ca="1">IF(ISNUMBER(tblData[Days'# China]),betaChina/(deltaChina+betaPodeltaChina*EXP(-betaChina*tblData[Days'# China])),"")</f>
        <v>65339.842051514075</v>
      </c>
      <c r="BR35" s="11">
        <f ca="1">IF(ISNUMBER(tblData[China]),(tblData[[#This Row],[China LogiP(t)]]-tblData[[#This Row],[China]])^2,"")</f>
        <v>9444299.7763422187</v>
      </c>
      <c r="BS35" s="11">
        <f ca="1">tblData[[#This Row],[China LogiP(t)]]/ChinaPopscale</f>
        <v>453.96208373003407</v>
      </c>
      <c r="BT35" s="126">
        <f ca="1">IF(AND(ISNUMBER(tblData[China]),tblData[Dates]&gt;StartDt2China),(tblData[China]-AVERAGE(tblData[China]))^2,"")</f>
        <v>1460543.3391003294</v>
      </c>
      <c r="BU35" s="11">
        <f>tblData[[#This Row],[Dates]]-China100dt</f>
        <v>13</v>
      </c>
      <c r="BV35" s="95">
        <f ca="1">IF(ISNUMBER(tblData[Day'# Singapore]),betaSingapore/(deltaSingapore+betaPodeltaSingapore*EXP(-betaSingapore*tblData[Day'# Singapore])),"")</f>
        <v>2.1953295111402893</v>
      </c>
      <c r="BW35" s="11">
        <f ca="1">IF(AND(ISNUMBER(tblData[Singapore]),tblData[Dates]&gt;=StartDt2Singapore),(tblData[[#This Row],[Singapore LogiP(t)]]-tblData[[#This Row],[Singapore]])^2,"")</f>
        <v>4872.6920220582824</v>
      </c>
      <c r="BX35" s="20">
        <f ca="1">IF(ISNUMBER(tblData[Day'# Singapore]),tblData[Singapore LogiP(t)]/SingaporePopscale,"")</f>
        <v>3.7527000190432296</v>
      </c>
      <c r="BY35" s="95">
        <f ca="1">IF(AND(ISNUMBER(tblData[Singapore]),tblData[Dates]&gt;StartDt2Singapore),(tblData[Singapore]-AVERAGE(tblData[Singapore]))^2,"")</f>
        <v>5057119.0776624382</v>
      </c>
      <c r="BZ35" s="11">
        <f>tblData[[#This Row],[Dates]]-Singapore100dt+1</f>
        <v>2</v>
      </c>
      <c r="CA35" s="11" t="str">
        <f>IF(AND(tblData[Dates]&gt;StartDt2Generic,ISNUMBER(tblData[Day'# Generic])),betaGeneric/(deltaGeneric+betaPodeltaGeneric*EXP(-betaGeneric*tblData[Day'# Generic])),"")</f>
        <v/>
      </c>
      <c r="CB35" s="95" t="str">
        <f>IF(AND(ISNUMBER(tblData[Generic]),tblData[Dates]&gt;StartDt2Generic),(tblData[Generic LogiP(t)]-tblData[[#This Row],[Generic]])^2,"")</f>
        <v/>
      </c>
      <c r="CC35" s="11" t="str">
        <f>IF(AND(ISNUMBER(tblData[Day'# Generic]),tblData[Dates]&gt;StartDt2Generic),tblData[Generic LogiP(t)]/GenericPopscale,"")</f>
        <v/>
      </c>
      <c r="CD35" s="95" t="str">
        <f>IF(AND(ISNUMBER(tblData[Generic]),tblData[Dates]&gt;StartDt2Generic),(tblData[Generic]-AVERAGE(tblData[Generic]))^2,"")</f>
        <v/>
      </c>
      <c r="CE35" s="11">
        <f>tblData[[#This Row],[Dates]]-Generic100dt+1</f>
        <v>-26</v>
      </c>
      <c r="CF35"/>
      <c r="CG35" s="11"/>
      <c r="CH35" s="11" t="str">
        <f>IF(ISNUMBER(tblData[[#This Row],[Tests]]),tblData[[#This Row],[Tests]]-CH34,"")</f>
        <v/>
      </c>
      <c r="CI35" s="11" t="str">
        <f>IF(ISNUMBER(tblData[[#This Row],[NSW Under Investigation'']]),tblData[[#This Row],[NSW Under Investigation'']]-CG34,"")</f>
        <v/>
      </c>
      <c r="CJ35" s="11"/>
      <c r="CK35" s="11" t="str">
        <f>IF(AND(tblData[[#This Row],[NSW Test Day Number]]&gt;0,ISNUMBER(tblData[[#This Row],[NSW Test Day Number]])),betaTests/(deltaTests+betaPodeltaTests*EXP(-betaTests*tblData[[#This Row],[NSW Test Day Number]])),"")</f>
        <v/>
      </c>
      <c r="CL35" s="11" t="str">
        <f>IF(tblData[Tests]&gt;0,(tblData[[#This Row],[Tests]]-tblData[[#This Row],[NSW Test Logi]])^2,"")</f>
        <v/>
      </c>
      <c r="CM35" s="95" t="str">
        <f>IF(AND(ISNUMBER(tblData[Tests]),tblData[Dates]&gt;StartDt2Tests),(tblData[Tests]-AVERAGE(tblData[Tests]))^2,"")</f>
        <v/>
      </c>
      <c r="CN35" s="11" t="str">
        <f>IF(ISNUMBER(tblData[Tests]),tblData[Tests]/NSWpopscale/100,"")</f>
        <v/>
      </c>
      <c r="CO35" s="11" t="str">
        <f>IF(AND(tblData[[#This Row],[NSW Test Day Number]]&gt;0,ISNUMBER(tblData[[#This Row],[NSW Test Day Number]])),TestsLogestB*TestsLogestM^tblData[[#This Row],[NSW Test Day Number]],"")</f>
        <v/>
      </c>
      <c r="CP35" s="11" t="str">
        <f>IF(AND(tblData[[#This Row],[NSW Test Day Number]]&gt;0,ISNUMBER(tblData[Tests])),(tblData[Tests]-tblData[[#This Row],[NSW Test Per Capita]])^2,"")</f>
        <v/>
      </c>
      <c r="CQ35" s="20">
        <f ca="1">IF(AND(tblData[Day '# NSW]&gt;0,ISNUMBER(tblData[[#This Row],[Day '# NSW]])),NSWLogestB*NSWLogestM^tblData[[#This Row],[Day '# NSW]]/NSWpopscale,"")</f>
        <v>10.679961472058247</v>
      </c>
      <c r="CR35" s="39">
        <f ca="1">IF(AND(ISNUMBER(tblData[NSW]),tblData[Dates]&gt;StartDt2NSW),(tblData[NSW]/NSWpopscale-tblData[[#This Row],[NSW Cases LogEst]])^2,"")</f>
        <v>32.826785487165672</v>
      </c>
      <c r="CS35" s="11">
        <v>18</v>
      </c>
      <c r="CT35" s="19">
        <f>IF(ISNUMBER(tblData[Taiwan]),tblData[Taiwan]/TaiwanPopscale,"")</f>
        <v>7.5607118863883747</v>
      </c>
      <c r="CU35" s="11">
        <f ca="1">IF(tblData[[#This Row],[Dates]]&lt;StartDt2Taiwan,"",tblData[[#This Row],[Dates]]-TaiwanStart)</f>
        <v>24</v>
      </c>
      <c r="CV35" s="19">
        <f ca="1">IF(AND(tblData[Dates]&gt;StartDt2Taiwan,ISNUMBER(tblData[Days'# Taiwan])),betaTaiwan/(deltaTaiwan+betaPodeltaTaiwan*EXP(-betaTaiwan*tblData[Days'# Taiwan])),"")</f>
        <v>1.4662754413383818</v>
      </c>
      <c r="CW35" s="95">
        <f ca="1">IF(AND(tblData[Dates]&gt;StartDt2Taiwan,ISNUMBER(tblData[Taiwan])),(tblData[[#This Row],[Taiwan LogiP(t)]]-tblData[[#This Row],[Taiwan]])^2,"")</f>
        <v>273.36404778169032</v>
      </c>
      <c r="CX35" s="20">
        <f ca="1">IF(AND(tblData[Dates]&gt;StartDt2Taiwan,ISNUMBER(tblData[Days'# Taiwan])),tblData[[#This Row],[Taiwan LogiP(t)]]/TaiwanPopscale,"")</f>
        <v>0.61589367544702578</v>
      </c>
      <c r="CY35" s="95">
        <f ca="1">IF(AND(ISNUMBER(tblData[Taiwan]),tblData[Dates]&gt;StartDt2Taiwan),(tblData[Taiwan]-AVERAGE(tblData[Taiwan]))^2,"")</f>
        <v>22967.105344098429</v>
      </c>
      <c r="CZ35" s="11">
        <f>tblData[[#This Row],[Dates]]-Taiwan100dt+1</f>
        <v>-39</v>
      </c>
      <c r="DA35"/>
      <c r="DB35" s="20" t="str">
        <f>IF(ISNUMBER(tblData[NZ]),tblData[NZ]/NZPopscale,"")</f>
        <v/>
      </c>
      <c r="DC35" s="11" t="str">
        <f ca="1">IF(tblData[[#This Row],[Dates]]&lt;StartDt2NZ,"",tblData[[#This Row],[Dates]]-NZStart)</f>
        <v/>
      </c>
      <c r="DD35" s="20" t="str">
        <f ca="1">IF(AND(tblData[Dates]&gt;StartDt2NZ,ISNUMBER(tblData[Days'# NZ])),betaNZ/(deltaNZ+betaPodeltaNZ*EXP(-betaNZ*tblData[Days'# NZ])),"")</f>
        <v/>
      </c>
      <c r="DE35" s="95" t="str">
        <f ca="1">IF(AND(tblData[Dates]&gt;StartDt2NZ,ISNUMBER(tblData[NZ])),(tblData[[#This Row],[NZ LogiP(t)]]-tblData[[#This Row],[NZ]])^2,"")</f>
        <v/>
      </c>
      <c r="DF35" s="20" t="str">
        <f ca="1">IF(AND(tblData[Dates]&gt;StartDt2NZ,ISNUMBER(tblData[Days'# NZ])),tblData[[#This Row],[NZ LogiP(t)]]/NZPopscale,"")</f>
        <v/>
      </c>
      <c r="DG35" s="95" t="str">
        <f ca="1">IF(AND(ISNUMBER(tblData[NZ]),tblData[Dates]&gt;StartDt2NZ),(tblData[NZ]-AVERAGE(tblData[NZ]))^2,"")</f>
        <v/>
      </c>
      <c r="DH35" s="11">
        <f>tblData[[#This Row],[Dates]]-NZ100dt+1</f>
        <v>-35</v>
      </c>
      <c r="DI35" s="39"/>
      <c r="DJ35" s="11"/>
      <c r="DK35" s="26"/>
      <c r="DM35" s="25"/>
      <c r="DP35"/>
      <c r="DV35" s="25"/>
      <c r="DW35"/>
      <c r="DZ35" s="25"/>
      <c r="EA35" s="25"/>
      <c r="EB35" s="25"/>
      <c r="EH35"/>
      <c r="EI35"/>
      <c r="EJ35"/>
      <c r="EK35"/>
      <c r="EQ35" s="25"/>
      <c r="ER35" s="25"/>
      <c r="ES35" s="25"/>
      <c r="ET35" s="25"/>
      <c r="FF35"/>
      <c r="FG35"/>
      <c r="FH35"/>
      <c r="FI35"/>
      <c r="FJ35" s="25"/>
      <c r="FK35" s="25"/>
      <c r="FM35" s="25"/>
      <c r="FN35"/>
      <c r="FO35" s="265" t="s">
        <v>48</v>
      </c>
      <c r="FP35" s="250">
        <v>43921.876192129632</v>
      </c>
      <c r="FQ35" s="156">
        <v>43855</v>
      </c>
      <c r="FR35" s="26">
        <v>43855</v>
      </c>
      <c r="FS35" s="211">
        <v>0</v>
      </c>
      <c r="FT35" s="25">
        <v>0.25281043094063621</v>
      </c>
      <c r="FU35" s="73">
        <v>4.0052257007462515E-5</v>
      </c>
      <c r="FV35" s="21">
        <v>1E-3</v>
      </c>
      <c r="FW35" s="212">
        <v>6312.0145986662556</v>
      </c>
      <c r="FX35" s="212">
        <v>34.359457058532293</v>
      </c>
      <c r="FY35" s="212"/>
      <c r="FZ35" s="213">
        <v>252.81039088837917</v>
      </c>
      <c r="GA35" s="213">
        <v>4.0052257007462518E-2</v>
      </c>
      <c r="GB35" s="156">
        <v>43921</v>
      </c>
      <c r="GC35" s="25" t="s">
        <v>1524</v>
      </c>
      <c r="GD35" s="212">
        <v>6312.0145986662556</v>
      </c>
      <c r="GE35" s="212">
        <v>4561</v>
      </c>
      <c r="GF35" s="25" t="s">
        <v>1525</v>
      </c>
      <c r="GG35" s="156">
        <v>43921</v>
      </c>
      <c r="GH35" s="25">
        <v>67</v>
      </c>
      <c r="GI35" s="25" t="s">
        <v>1526</v>
      </c>
      <c r="GJ35" s="62"/>
      <c r="GK35" s="25" t="s">
        <v>1527</v>
      </c>
      <c r="GM35" s="25" t="s">
        <v>1528</v>
      </c>
      <c r="GN35" s="20">
        <v>1798.2179466961047</v>
      </c>
      <c r="GO35" s="156"/>
      <c r="GP35" s="218"/>
      <c r="GQ35" s="156"/>
      <c r="GR35" s="25"/>
      <c r="GS35" s="25" t="s">
        <v>1523</v>
      </c>
      <c r="GT35" s="11"/>
      <c r="GU35" s="12"/>
      <c r="GV35" s="26"/>
      <c r="GX35" s="219"/>
      <c r="HK35" s="164">
        <v>43922</v>
      </c>
      <c r="HL35" s="60">
        <v>43921.833333333336</v>
      </c>
      <c r="HM35">
        <v>2182</v>
      </c>
      <c r="HN35">
        <v>103361</v>
      </c>
      <c r="HO35">
        <v>434</v>
      </c>
      <c r="HP35">
        <v>275</v>
      </c>
      <c r="HQ35">
        <f>IF(ISNUMBER(tblNSWKnown[[#This Row],[Unknown Locally]]),tblNSWKnown[[#This Row],[Known Locally]]+tblNSWKnown[[#This Row],[Unknown Locally]],"")</f>
        <v>709</v>
      </c>
      <c r="HR35" s="25">
        <v>2</v>
      </c>
      <c r="HS35">
        <f>IF(ISNUMBER(tblNSWKnown[[#This Row],[Day '# NSW Unknown]]),betaNSWUnknown/(deltaNSWUnknown+betaPodeltaNSWUnknown*EXP(-betaNSWUnknown*tblNSWKnown[Day '# NSW Unknown])),"")</f>
        <v>739.28815539764094</v>
      </c>
      <c r="HT35">
        <f>IF(ISNUMBER(tblNSWKnown[[#This Row],[Total Local]]),(tblNSWKnown[[#This Row],[Total Local]]-tblNSWKnown[[#This Row],[NSW Unknown Logi P(t)]])^2,"")</f>
        <v>917.37235739164566</v>
      </c>
      <c r="HU35" s="166">
        <f>IF(ISNUMBER(tblNSWKnown[Total Local]),(tblNSWKnown[Total Local]-AVERAGE(tblNSWKnown[Total Local]))^2,"")</f>
        <v>132388.9628027681</v>
      </c>
      <c r="HV35" s="166"/>
    </row>
    <row r="36" spans="2:231" ht="15" customHeight="1" x14ac:dyDescent="0.25">
      <c r="B36" s="26">
        <v>43877</v>
      </c>
      <c r="C36">
        <v>0</v>
      </c>
      <c r="D36" s="25">
        <v>0</v>
      </c>
      <c r="E36">
        <v>4</v>
      </c>
      <c r="F36">
        <v>0</v>
      </c>
      <c r="G36">
        <v>5</v>
      </c>
      <c r="H36">
        <v>2</v>
      </c>
      <c r="I36">
        <v>0</v>
      </c>
      <c r="J36">
        <v>4</v>
      </c>
      <c r="K36">
        <v>0</v>
      </c>
      <c r="L36" s="11">
        <f>IF(ISNUMBER(tblData[[#This Row],[NSW]]),tblData[[#This Row],[New South Wales]]/NSWpopscale,"")</f>
        <v>4.9504950495049505</v>
      </c>
      <c r="M36">
        <v>3</v>
      </c>
      <c r="N36" s="20">
        <f>IF(ISNUMBER(tblData[Italy]),tblData[Italy]/ItalyPopscale,"")</f>
        <v>0.49599074150615857</v>
      </c>
      <c r="O36">
        <v>13</v>
      </c>
      <c r="P36" s="20">
        <f>IF(ISNUMBER(tblData[US]),tblData[US]/USPopscale,"")</f>
        <v>0.39486343900067283</v>
      </c>
      <c r="Q36">
        <v>29</v>
      </c>
      <c r="R36" s="20">
        <f>IF(ISNUMBER(tblData[SKorea]),tblData[SKorea]/SKoreaPopscale,"")</f>
        <v>5.6420233463035023</v>
      </c>
      <c r="S36">
        <v>9</v>
      </c>
      <c r="T36" s="20">
        <f>IF(ISNUMBER(tblData[United Kingdom]),tblData[United Kingdom]/UKPopscale,"")</f>
        <v>1.3546056592414208</v>
      </c>
      <c r="U36">
        <v>70513</v>
      </c>
      <c r="V36" s="20">
        <f>IF(ISNUMBER(tblData[China]),tblData[China]/ChinaPopscale,"")</f>
        <v>489.90366987448419</v>
      </c>
      <c r="W36" s="25">
        <f ca="1">IF(tblData[[#This Row],[Dates]]&lt;StartDt2China,"",tblData[[#This Row],[Dates]]-ChinaStart)</f>
        <v>25</v>
      </c>
      <c r="X36">
        <v>75</v>
      </c>
      <c r="Y36" s="20">
        <f>IF(ISNUMBER(tblData[Singapore]),tblData[Singapore]/SingaporePopscale,"")</f>
        <v>128.2051282051282</v>
      </c>
      <c r="Z36"/>
      <c r="AA36" s="20" t="str">
        <f>IF(AND(LEN(tblData[Generic])&gt;0,ISNUMBER(tblData[Generic])),tblData[Generic]/GenericPopscale,"")</f>
        <v/>
      </c>
      <c r="AB36" s="25">
        <f ca="1">IF(tblData[[#This Row],[Dates]]&lt;StartDt2Italy,"",tblData[[#This Row],[Dates]]-ItalyStart)</f>
        <v>17</v>
      </c>
      <c r="AC36" s="25">
        <f ca="1">IF(tblData[[#This Row],[Dates]]&lt;=StartDt2US,"",tblData[[#This Row],[Dates]]-USStart)</f>
        <v>25</v>
      </c>
      <c r="AD36" s="25">
        <f>IF(tblData[[#This Row],[Dates]]&lt;=SKoreaStart,"",tblData[[#This Row],[Dates]]-SKoreaStart)</f>
        <v>25</v>
      </c>
      <c r="AE36" s="25">
        <f ca="1">IF(tblData[[#This Row],[Dates]]&lt;=StartDt2UK,"",tblData[[#This Row],[Dates]]-UKStart)</f>
        <v>17</v>
      </c>
      <c r="AF36" s="25">
        <f ca="1">IF(tblData[[#This Row],[Dates]]&lt;StartDt2Singapore,"",tblData[[#This Row],[Dates]]-SingaporeStart)</f>
        <v>24</v>
      </c>
      <c r="AG36" s="25" t="str">
        <f>IF(tblData[[#This Row],[Dates]]&lt;StartDt2Generic,"",tblData[[#This Row],[Dates]]-GenericStart)</f>
        <v/>
      </c>
      <c r="AH36">
        <f ca="1">IF(tblData[Dates]&gt;StartDt2Au,tblData[Dates]-AuStart,"")</f>
        <v>22</v>
      </c>
      <c r="AI36" s="25">
        <f>IF(AND(COUNTBLANK(tblData[[#This Row],[Australian Capital Territory]:[Western Australia]])&lt;1,tblData[New South Wales]&gt;=0),SUM(tblData[[#This Row],[Australian Capital Territory]:[Western Australia]]),"")</f>
        <v>15</v>
      </c>
      <c r="AJ36" s="12">
        <f>IF(ISNUMBER(tblData[Au]),tblData[Au]/AuPopScale,"")</f>
        <v>5.9138937076170954</v>
      </c>
      <c r="AK36" s="19">
        <f ca="1">IF(ISNUMBER(tblData[[#This Row],[Day'# Aust]]),betaAu/(deltaAu+betaPodeltaAu*EXP(-betaAu*tblData[[#This Row],[Day'# Aust]])),"")</f>
        <v>0.67953893217793748</v>
      </c>
      <c r="AL36" s="57">
        <f ca="1">IF(ISNUMBER(tblData[Day'# Aust]),tblData[Au LogiP(t)]/AuPopScale,"")</f>
        <v>0.26791473433919627</v>
      </c>
      <c r="AM36" s="11">
        <f ca="1">IF(AND(tblData[Dates]&gt;StartDt2Au,ISNUMBER(tblData[Au])),(tblData[[#This Row],[Au LogiP(t)]]-tblData[[#This Row],[Au]])^2,"")</f>
        <v>205.0756051950074</v>
      </c>
      <c r="AN36" s="11">
        <f ca="1">IF(AND(ISNUMBER(tblData[Au]),tblData[Dates]&gt;StartDt2Au),(tblData[Au]-AVERAGE(tblData[Au]))^2,"")</f>
        <v>5923431.1160999993</v>
      </c>
      <c r="AO36" s="11">
        <f>tblData[[#This Row],[Dates]]-Au100dt</f>
        <v>-28</v>
      </c>
      <c r="AP36">
        <f ca="1">IF(tblData[Dates]&gt;StartDt2NSW,tblData[Dates]-StartDt2NSW,"")</f>
        <v>22</v>
      </c>
      <c r="AQ36" s="25">
        <f>IF(tblData[[#This Row],[New South Wales]]&gt;0,tblData[[#This Row],[New South Wales]],"")</f>
        <v>4</v>
      </c>
      <c r="AR36" s="44">
        <f ca="1">IF(tblData[Dates]&gt;StartDt2NSW,betaNSW/(deltaNSW+betaPodeltaNSW*EXP(-betaNSW*tblData[[#This Row],[Day '# NSW]])),"")</f>
        <v>0.21391294788951729</v>
      </c>
      <c r="AS36" s="12">
        <f ca="1">IF(AND(ISNUMBER(tblData[NSW]),tblData[Dates]&gt;StartDt2NSW),(tblData[[#This Row],[NSW LogiP(t)]]-tblData[[#This Row],[NSW]])^2,"")</f>
        <v>14.334455166158646</v>
      </c>
      <c r="AT36" s="12">
        <f ca="1">IF(AND(tblData[Dates]&gt;StartDt2NSW,ISNUMBER(tblData[Day'# Aust])),tblData[NSW LogiP(t)]/NSWpopscale,"")</f>
        <v>0.26474374738801643</v>
      </c>
      <c r="AU36" s="11">
        <f>tblData[[#This Row],[Dates]]-NSW100dt+1</f>
        <v>-25</v>
      </c>
      <c r="AV36" s="11">
        <f ca="1">IF(AND(ISNUMBER(tblData[NSW]),tblData[Dates]&gt;StartDt2NSW),(tblData[NSW]-AVERAGE(tblData[NSW]))^2,"")</f>
        <v>1188666.8676</v>
      </c>
      <c r="AW36" s="20">
        <f ca="1">IF(AND(tblData[Dates]&gt;StartDt2Italy,ISNUMBER(tblData[Days'# Italy])),betaItaly/(deltaItaly+betaPodeltaItaly*EXP(-betaItaly*tblData[Days'# Italy])),"")</f>
        <v>32.768236966229878</v>
      </c>
      <c r="AX36" s="11">
        <f ca="1">IF(AND(tblData[Dates]&gt;StartDt2Italy,ISNUMBER(tblData[Italy])),(tblData[[#This Row],[Italy LogiP(t)]]-tblData[[#This Row],[Italy]])^2,"")</f>
        <v>886.147932077615</v>
      </c>
      <c r="AY36" s="20">
        <f ca="1">IF(AND(tblData[Dates]&gt;StartDt2Italy,ISNUMBER(tblData[Days'# Italy])),tblData[[#This Row],[Italy LogiP(t)]]/ItalyPopscale,"")</f>
        <v>5.4175807169099581</v>
      </c>
      <c r="AZ36" s="39">
        <f ca="1">IF(AND(ISNUMBER(tblData[Italy]),tblData[Dates]&gt;StartDt2Italy),(tblData[Italy]-AVERAGE(tblData[Italy]))^2,"")</f>
        <v>4864449609.7294016</v>
      </c>
      <c r="BA36" s="11">
        <f>tblData[[#This Row],[Dates]]-Italy100dt+1</f>
        <v>-10</v>
      </c>
      <c r="BB36" s="11">
        <f ca="1">IF(AND(tblData[Dates]&gt;StartDt2US,ISNUMBER(tblData[[#This Row],[Days'# US]])),betaUS/(deltaUS+betaPodeltaUS*EXP(-betaUS*tblData[Days'# US])),"")</f>
        <v>1.2049905593428032</v>
      </c>
      <c r="BC36" s="11">
        <f ca="1">IF(AND(tblData[Dates]&gt;StartDt2US,ISNUMBER(tblData[US])),(tblData[[#This Row],[US LogiP(t)]]-tblData[US])^2,"")</f>
        <v>139.12224770519239</v>
      </c>
      <c r="BD36" s="20">
        <f ca="1">IF(AND(tblData[Dates]&gt;=StartDt2US,ISNUMBER(tblData[[#This Row],[Days'# US]])),tblData[[#This Row],[US LogiP(t)]]/USPopscale,"")</f>
        <v>3.6600516632726433E-2</v>
      </c>
      <c r="BE36" s="126">
        <f ca="1">IF(AND(ISNUMBER(tblData[US]),tblData[Dates]&gt;StartDt2US),(tblData[US]-AVERAGE(tblData[US]))^2,"")</f>
        <v>50144754669.667915</v>
      </c>
      <c r="BF36" s="11">
        <f>tblData[[#This Row],[Dates]]-US100dt+1</f>
        <v>-27</v>
      </c>
      <c r="BG36" s="20">
        <f ca="1">IF(tblData[Dates]&gt;StartDt2SKorea,betaSKorea/(deltaSKorea+betaPodeltaSKorea*EXP(-betaSKorea*(tblData[Dates]-StartDt2SKorea))),"")</f>
        <v>416.23201114447971</v>
      </c>
      <c r="BH36" s="20">
        <f ca="1">IF(AND(tblData[Dates]&gt;StartDt2SKorea,ISNUMBER(tblData[SKorea])),(tblData[[#This Row],[SKorea LogiP(t)]]-tblData[[#This Row],[SKorea]])^2,"")</f>
        <v>149948.63045499846</v>
      </c>
      <c r="BI36" s="20">
        <f ca="1">IF(tblData[Dates]&gt;StartDt2SKorea,tblData[[#This Row],[SKorea LogiP(t)]]/SKoreaPopscale,"")</f>
        <v>80.978990495034964</v>
      </c>
      <c r="BJ36" s="126">
        <f ca="1">IF(AND(ISNUMBER(tblData[SKorea]),tblData[Dates]&gt;StartDt2SKorea),(tblData[SKorea]-AVERAGE(tblData[SKorea]))^2,"")</f>
        <v>33586342.981930025</v>
      </c>
      <c r="BK36" s="11">
        <f>tblData[[#This Row],[Dates]]-SKorea100dt+1</f>
        <v>-6</v>
      </c>
      <c r="BL36" s="20">
        <f ca="1">IF(AND(tblData[Dates]&gt;StartDt2UK,ISNUMBER(tblData[Days'# UK])),betaUK/(deltaUK+betaPodeltaUK*EXP(-betaUK*tblData[Days'# UK])),"")</f>
        <v>3.2990624995807294</v>
      </c>
      <c r="BM36" s="20">
        <f ca="1">IF(AND(tblData[Dates]&gt;StartDt2UK,ISNUMBER(tblData[United Kingdom])),(tblData[[#This Row],[UK LogiP(t)]]-tblData[[#This Row],[United Kingdom]])^2,"")</f>
        <v>32.500688383686715</v>
      </c>
      <c r="BN36" s="20">
        <f ca="1">IF(ISNUMBER(tblData[Days'# UK]),tblData[[#This Row],[UK LogiP(t)]]/UKPopscale,"")</f>
        <v>0.49654763690257814</v>
      </c>
      <c r="BO36" s="126">
        <f ca="1">IF(AND(ISNUMBER(tblData[United Kingdom]),tblData[Dates]&gt;StartDt2UK),(tblData[United Kingdom]-AVERAGE(tblData[United Kingdom]))^2,"")</f>
        <v>1440812186.8520825</v>
      </c>
      <c r="BP36" s="11">
        <f>tblData[[#This Row],[Dates]]-UK100dt</f>
        <v>-25</v>
      </c>
      <c r="BQ36" s="11">
        <f ca="1">IF(ISNUMBER(tblData[Days'# China]),betaChina/(deltaChina+betaPodeltaChina*EXP(-betaChina*tblData[Days'# China])),"")</f>
        <v>68098.063865516757</v>
      </c>
      <c r="BR36" s="11">
        <f ca="1">IF(ISNUMBER(tblData[China]),(tblData[[#This Row],[China LogiP(t)]]-tblData[[#This Row],[China]])^2,"")</f>
        <v>5831916.5336328689</v>
      </c>
      <c r="BS36" s="11">
        <f ca="1">tblData[[#This Row],[China LogiP(t)]]/ChinaPopscale</f>
        <v>473.12540097660946</v>
      </c>
      <c r="BT36" s="126">
        <f ca="1">IF(AND(ISNUMBER(tblData[China]),tblData[Dates]&gt;StartDt2China),(tblData[China]-AVERAGE(tblData[China]))^2,"")</f>
        <v>10946366.868512066</v>
      </c>
      <c r="BU36" s="11">
        <f>tblData[[#This Row],[Dates]]-China100dt</f>
        <v>14</v>
      </c>
      <c r="BV36" s="95">
        <f ca="1">IF(ISNUMBER(tblData[Day'# Singapore]),betaSingapore/(deltaSingapore+betaPodeltaSingapore*EXP(-betaSingapore*tblData[Day'# Singapore])),"")</f>
        <v>2.4891193577207718</v>
      </c>
      <c r="BW36" s="11">
        <f ca="1">IF(AND(ISNUMBER(tblData[Singapore]),tblData[Dates]&gt;=StartDt2Singapore),(tblData[[#This Row],[Singapore LogiP(t)]]-tblData[[#This Row],[Singapore]])^2,"")</f>
        <v>5257.827811518865</v>
      </c>
      <c r="BX36" s="20">
        <f ca="1">IF(ISNUMBER(tblData[Day'# Singapore]),tblData[Singapore LogiP(t)]/SingaporePopscale,"")</f>
        <v>4.2549048849927722</v>
      </c>
      <c r="BY36" s="95">
        <f ca="1">IF(AND(ISNUMBER(tblData[Singapore]),tblData[Dates]&gt;StartDt2Singapore),(tblData[Singapore]-AVERAGE(tblData[Singapore]))^2,"")</f>
        <v>5043635.2541330261</v>
      </c>
      <c r="BZ36" s="11">
        <f>tblData[[#This Row],[Dates]]-Singapore100dt+1</f>
        <v>3</v>
      </c>
      <c r="CA36" s="11" t="str">
        <f>IF(AND(tblData[Dates]&gt;StartDt2Generic,ISNUMBER(tblData[Day'# Generic])),betaGeneric/(deltaGeneric+betaPodeltaGeneric*EXP(-betaGeneric*tblData[Day'# Generic])),"")</f>
        <v/>
      </c>
      <c r="CB36" s="95" t="str">
        <f>IF(AND(ISNUMBER(tblData[Generic]),tblData[Dates]&gt;StartDt2Generic),(tblData[Generic LogiP(t)]-tblData[[#This Row],[Generic]])^2,"")</f>
        <v/>
      </c>
      <c r="CC36" s="11" t="str">
        <f>IF(AND(ISNUMBER(tblData[Day'# Generic]),tblData[Dates]&gt;StartDt2Generic),tblData[Generic LogiP(t)]/GenericPopscale,"")</f>
        <v/>
      </c>
      <c r="CD36" s="95" t="str">
        <f>IF(AND(ISNUMBER(tblData[Generic]),tblData[Dates]&gt;StartDt2Generic),(tblData[Generic]-AVERAGE(tblData[Generic]))^2,"")</f>
        <v/>
      </c>
      <c r="CE36" s="11">
        <f>tblData[[#This Row],[Dates]]-Generic100dt+1</f>
        <v>-25</v>
      </c>
      <c r="CF36"/>
      <c r="CG36" s="11"/>
      <c r="CH36" s="11" t="str">
        <f>IF(ISNUMBER(tblData[[#This Row],[Tests]]),tblData[[#This Row],[Tests]]-CH35,"")</f>
        <v/>
      </c>
      <c r="CI36" s="11" t="str">
        <f>IF(ISNUMBER(tblData[[#This Row],[NSW Under Investigation'']]),tblData[[#This Row],[NSW Under Investigation'']]-CG35,"")</f>
        <v/>
      </c>
      <c r="CJ36" s="11"/>
      <c r="CK36" s="11" t="str">
        <f>IF(AND(tblData[[#This Row],[NSW Test Day Number]]&gt;0,ISNUMBER(tblData[[#This Row],[NSW Test Day Number]])),betaTests/(deltaTests+betaPodeltaTests*EXP(-betaTests*tblData[[#This Row],[NSW Test Day Number]])),"")</f>
        <v/>
      </c>
      <c r="CL36" s="11" t="str">
        <f>IF(tblData[Tests]&gt;0,(tblData[[#This Row],[Tests]]-tblData[[#This Row],[NSW Test Logi]])^2,"")</f>
        <v/>
      </c>
      <c r="CM36" s="95" t="str">
        <f>IF(AND(ISNUMBER(tblData[Tests]),tblData[Dates]&gt;StartDt2Tests),(tblData[Tests]-AVERAGE(tblData[Tests]))^2,"")</f>
        <v/>
      </c>
      <c r="CN36" s="11" t="str">
        <f>IF(ISNUMBER(tblData[Tests]),tblData[Tests]/NSWpopscale/100,"")</f>
        <v/>
      </c>
      <c r="CO36" s="11" t="str">
        <f>IF(AND(tblData[[#This Row],[NSW Test Day Number]]&gt;0,ISNUMBER(tblData[[#This Row],[NSW Test Day Number]])),TestsLogestB*TestsLogestM^tblData[[#This Row],[NSW Test Day Number]],"")</f>
        <v/>
      </c>
      <c r="CP36" s="11" t="str">
        <f>IF(AND(tblData[[#This Row],[NSW Test Day Number]]&gt;0,ISNUMBER(tblData[Tests])),(tblData[Tests]-tblData[[#This Row],[NSW Test Per Capita]])^2,"")</f>
        <v/>
      </c>
      <c r="CQ36" s="20">
        <f ca="1">IF(AND(tblData[Day '# NSW]&gt;0,ISNUMBER(tblData[[#This Row],[Day '# NSW]])),NSWLogestB*NSWLogestM^tblData[[#This Row],[Day '# NSW]]/NSWpopscale,"")</f>
        <v>11.758163734616636</v>
      </c>
      <c r="CR36" s="39">
        <f ca="1">IF(AND(ISNUMBER(tblData[NSW]),tblData[Dates]&gt;StartDt2NSW),(tblData[NSW]/NSWpopscale-tblData[[#This Row],[NSW Cases LogEst]])^2,"")</f>
        <v>46.344352926250259</v>
      </c>
      <c r="CS36" s="11">
        <v>20</v>
      </c>
      <c r="CT36" s="19">
        <f>IF(ISNUMBER(tblData[Taiwan]),tblData[Taiwan]/TaiwanPopscale,"")</f>
        <v>8.4007909848759716</v>
      </c>
      <c r="CU36" s="11">
        <f ca="1">IF(tblData[[#This Row],[Dates]]&lt;StartDt2Taiwan,"",tblData[[#This Row],[Dates]]-TaiwanStart)</f>
        <v>25</v>
      </c>
      <c r="CV36" s="19">
        <f ca="1">IF(AND(tblData[Dates]&gt;StartDt2Taiwan,ISNUMBER(tblData[Days'# Taiwan])),betaTaiwan/(deltaTaiwan+betaPodeltaTaiwan*EXP(-betaTaiwan*tblData[Days'# Taiwan])),"")</f>
        <v>1.6984499421324046</v>
      </c>
      <c r="CW36" s="95">
        <f ca="1">IF(AND(tblData[Dates]&gt;StartDt2Taiwan,ISNUMBER(tblData[Taiwan])),(tblData[[#This Row],[Taiwan LogiP(t)]]-tblData[[#This Row],[Taiwan]])^2,"")</f>
        <v>334.94673452063336</v>
      </c>
      <c r="CX36" s="20">
        <f ca="1">IF(AND(tblData[Dates]&gt;StartDt2Taiwan,ISNUMBER(tblData[Days'# Taiwan])),tblData[[#This Row],[Taiwan LogiP(t)]]/TaiwanPopscale,"")</f>
        <v>0.71341614810645104</v>
      </c>
      <c r="CY36" s="95">
        <f ca="1">IF(AND(ISNUMBER(tblData[Taiwan]),tblData[Dates]&gt;StartDt2Taiwan),(tblData[Taiwan]-AVERAGE(tblData[Taiwan]))^2,"")</f>
        <v>22364.909265667055</v>
      </c>
      <c r="CZ36" s="11">
        <f>tblData[[#This Row],[Dates]]-Taiwan100dt+1</f>
        <v>-38</v>
      </c>
      <c r="DA36"/>
      <c r="DB36" s="20" t="str">
        <f>IF(ISNUMBER(tblData[NZ]),tblData[NZ]/NZPopscale,"")</f>
        <v/>
      </c>
      <c r="DC36" s="11" t="str">
        <f ca="1">IF(tblData[[#This Row],[Dates]]&lt;StartDt2NZ,"",tblData[[#This Row],[Dates]]-NZStart)</f>
        <v/>
      </c>
      <c r="DD36" s="20" t="str">
        <f ca="1">IF(AND(tblData[Dates]&gt;StartDt2NZ,ISNUMBER(tblData[Days'# NZ])),betaNZ/(deltaNZ+betaPodeltaNZ*EXP(-betaNZ*tblData[Days'# NZ])),"")</f>
        <v/>
      </c>
      <c r="DE36" s="95" t="str">
        <f ca="1">IF(AND(tblData[Dates]&gt;StartDt2NZ,ISNUMBER(tblData[NZ])),(tblData[[#This Row],[NZ LogiP(t)]]-tblData[[#This Row],[NZ]])^2,"")</f>
        <v/>
      </c>
      <c r="DF36" s="20" t="str">
        <f ca="1">IF(AND(tblData[Dates]&gt;StartDt2NZ,ISNUMBER(tblData[Days'# NZ])),tblData[[#This Row],[NZ LogiP(t)]]/NZPopscale,"")</f>
        <v/>
      </c>
      <c r="DG36" s="95" t="str">
        <f ca="1">IF(AND(ISNUMBER(tblData[NZ]),tblData[Dates]&gt;StartDt2NZ),(tblData[NZ]-AVERAGE(tblData[NZ]))^2,"")</f>
        <v/>
      </c>
      <c r="DH36" s="11">
        <f>tblData[[#This Row],[Dates]]-NZ100dt+1</f>
        <v>-34</v>
      </c>
      <c r="DI36" s="39"/>
      <c r="DJ36" s="11"/>
      <c r="DK36" s="26"/>
      <c r="DM36" s="25"/>
      <c r="DP36"/>
      <c r="DV36" s="25"/>
      <c r="DW36"/>
      <c r="DZ36" s="25"/>
      <c r="EA36" s="25"/>
      <c r="EB36" s="25"/>
      <c r="EH36"/>
      <c r="EI36"/>
      <c r="EJ36"/>
      <c r="EK36"/>
      <c r="EQ36" s="25"/>
      <c r="ER36" s="25"/>
      <c r="ES36" s="25"/>
      <c r="ET36" s="25"/>
      <c r="FF36"/>
      <c r="FG36"/>
      <c r="FH36"/>
      <c r="FI36"/>
      <c r="FJ36" s="25"/>
      <c r="FK36" s="25"/>
      <c r="FM36" s="25"/>
      <c r="FN36"/>
      <c r="FO36" s="265" t="s">
        <v>48</v>
      </c>
      <c r="FP36" s="250">
        <v>43925.97</v>
      </c>
      <c r="FQ36" s="156">
        <v>43855</v>
      </c>
      <c r="FR36" s="26">
        <v>43855</v>
      </c>
      <c r="FS36" s="211">
        <v>0</v>
      </c>
      <c r="FT36" s="25">
        <v>0.25296877264776085</v>
      </c>
      <c r="FU36" s="25">
        <v>4.0664150625821361E-5</v>
      </c>
      <c r="FV36" s="73">
        <v>1E-3</v>
      </c>
      <c r="FW36" s="212">
        <v>6220.928477653435</v>
      </c>
      <c r="FX36" s="212">
        <v>34.255993751239323</v>
      </c>
      <c r="FY36" s="212">
        <v>0.99950907464479855</v>
      </c>
      <c r="FZ36" s="213">
        <v>252.96873198361024</v>
      </c>
      <c r="GA36" s="213">
        <v>4.0664150625821363E-2</v>
      </c>
      <c r="GB36" s="243">
        <v>43925</v>
      </c>
      <c r="GC36" s="26" t="s">
        <v>1700</v>
      </c>
      <c r="GD36" s="214">
        <v>6220.928477653435</v>
      </c>
      <c r="GE36" s="212">
        <v>5532</v>
      </c>
      <c r="GF36" s="74" t="s">
        <v>1695</v>
      </c>
      <c r="GG36" s="156">
        <v>43925</v>
      </c>
      <c r="GH36" s="25">
        <v>71</v>
      </c>
      <c r="GI36" s="25" t="s">
        <v>1701</v>
      </c>
      <c r="GJ36" s="25"/>
      <c r="GK36" s="62" t="s">
        <v>1697</v>
      </c>
      <c r="GM36" s="25" t="s">
        <v>1702</v>
      </c>
      <c r="GN36" s="20">
        <v>2181.0439993691848</v>
      </c>
      <c r="GO36" s="156"/>
      <c r="GP36" s="218"/>
      <c r="GQ36" s="156"/>
      <c r="GR36" s="136"/>
      <c r="GS36" s="25" t="s">
        <v>1699</v>
      </c>
      <c r="GT36" s="11" t="s">
        <v>1492</v>
      </c>
      <c r="GU36" s="12"/>
      <c r="GV36" s="26"/>
      <c r="GX36" s="219"/>
      <c r="HK36" s="164">
        <v>43923</v>
      </c>
      <c r="HL36" s="60">
        <v>43922.833333333336</v>
      </c>
      <c r="HM36">
        <v>2298</v>
      </c>
      <c r="HN36">
        <v>108239</v>
      </c>
      <c r="HO36">
        <v>467</v>
      </c>
      <c r="HP36">
        <v>307</v>
      </c>
      <c r="HQ36">
        <f>IF(ISNUMBER(tblNSWKnown[[#This Row],[Unknown Locally]]),tblNSWKnown[[#This Row],[Known Locally]]+tblNSWKnown[[#This Row],[Unknown Locally]],"")</f>
        <v>774</v>
      </c>
      <c r="HR36" s="25">
        <v>3</v>
      </c>
      <c r="HS36">
        <f>IF(ISNUMBER(tblNSWKnown[[#This Row],[Day '# NSW Unknown]]),betaNSWUnknown/(deltaNSWUnknown+betaPodeltaNSWUnknown*EXP(-betaNSWUnknown*tblNSWKnown[Day '# NSW Unknown])),"")</f>
        <v>792.14271316452812</v>
      </c>
      <c r="HT36">
        <f>IF(ISNUMBER(tblNSWKnown[[#This Row],[Total Local]]),(tblNSWKnown[[#This Row],[Total Local]]-tblNSWKnown[[#This Row],[NSW Unknown Logi P(t)]])^2,"")</f>
        <v>329.15804097034186</v>
      </c>
      <c r="HU36" s="166">
        <f>IF(ISNUMBER(tblNSWKnown[Total Local]),(tblNSWKnown[Total Local]-AVERAGE(tblNSWKnown[Total Local]))^2,"")</f>
        <v>89313.080449826928</v>
      </c>
      <c r="HV36" s="166"/>
    </row>
    <row r="37" spans="2:231" ht="15" customHeight="1" x14ac:dyDescent="0.25">
      <c r="B37" s="26">
        <v>43878</v>
      </c>
      <c r="C37">
        <v>0</v>
      </c>
      <c r="D37" s="25">
        <v>0</v>
      </c>
      <c r="E37">
        <v>4</v>
      </c>
      <c r="F37">
        <v>0</v>
      </c>
      <c r="G37">
        <v>5</v>
      </c>
      <c r="H37">
        <v>2</v>
      </c>
      <c r="I37">
        <v>0</v>
      </c>
      <c r="J37">
        <v>4</v>
      </c>
      <c r="K37">
        <v>0</v>
      </c>
      <c r="L37" s="11">
        <f>IF(ISNUMBER(tblData[[#This Row],[NSW]]),tblData[[#This Row],[New South Wales]]/NSWpopscale,"")</f>
        <v>4.9504950495049505</v>
      </c>
      <c r="M37">
        <v>3</v>
      </c>
      <c r="N37" s="20">
        <f>IF(ISNUMBER(tblData[Italy]),tblData[Italy]/ItalyPopscale,"")</f>
        <v>0.49599074150615857</v>
      </c>
      <c r="O37">
        <v>13</v>
      </c>
      <c r="P37" s="20">
        <f>IF(ISNUMBER(tblData[US]),tblData[US]/USPopscale,"")</f>
        <v>0.39486343900067283</v>
      </c>
      <c r="Q37">
        <v>30</v>
      </c>
      <c r="R37" s="20">
        <f>IF(ISNUMBER(tblData[SKorea]),tblData[SKorea]/SKoreaPopscale,"")</f>
        <v>5.8365758754863819</v>
      </c>
      <c r="S37">
        <v>9</v>
      </c>
      <c r="T37" s="20">
        <f>IF(ISNUMBER(tblData[United Kingdom]),tblData[United Kingdom]/UKPopscale,"")</f>
        <v>1.3546056592414208</v>
      </c>
      <c r="U37">
        <v>72434</v>
      </c>
      <c r="V37" s="20">
        <f>IF(ISNUMBER(tblData[China]),tblData[China]/ChinaPopscale,"")</f>
        <v>503.25021518994208</v>
      </c>
      <c r="W37" s="25">
        <f ca="1">IF(tblData[[#This Row],[Dates]]&lt;StartDt2China,"",tblData[[#This Row],[Dates]]-ChinaStart)</f>
        <v>26</v>
      </c>
      <c r="X37">
        <v>77</v>
      </c>
      <c r="Y37" s="20">
        <f>IF(ISNUMBER(tblData[Singapore]),tblData[Singapore]/SingaporePopscale,"")</f>
        <v>131.62393162393164</v>
      </c>
      <c r="Z37"/>
      <c r="AA37" s="20" t="str">
        <f>IF(AND(LEN(tblData[Generic])&gt;0,ISNUMBER(tblData[Generic])),tblData[Generic]/GenericPopscale,"")</f>
        <v/>
      </c>
      <c r="AB37" s="25">
        <f ca="1">IF(tblData[[#This Row],[Dates]]&lt;StartDt2Italy,"",tblData[[#This Row],[Dates]]-ItalyStart)</f>
        <v>18</v>
      </c>
      <c r="AC37" s="25">
        <f ca="1">IF(tblData[[#This Row],[Dates]]&lt;=StartDt2US,"",tblData[[#This Row],[Dates]]-USStart)</f>
        <v>26</v>
      </c>
      <c r="AD37" s="25">
        <f>IF(tblData[[#This Row],[Dates]]&lt;=SKoreaStart,"",tblData[[#This Row],[Dates]]-SKoreaStart)</f>
        <v>26</v>
      </c>
      <c r="AE37" s="25">
        <f ca="1">IF(tblData[[#This Row],[Dates]]&lt;=StartDt2UK,"",tblData[[#This Row],[Dates]]-UKStart)</f>
        <v>18</v>
      </c>
      <c r="AF37" s="25">
        <f ca="1">IF(tblData[[#This Row],[Dates]]&lt;StartDt2Singapore,"",tblData[[#This Row],[Dates]]-SingaporeStart)</f>
        <v>25</v>
      </c>
      <c r="AG37" s="25" t="str">
        <f>IF(tblData[[#This Row],[Dates]]&lt;StartDt2Generic,"",tblData[[#This Row],[Dates]]-GenericStart)</f>
        <v/>
      </c>
      <c r="AH37">
        <f ca="1">IF(tblData[Dates]&gt;StartDt2Au,tblData[Dates]-AuStart,"")</f>
        <v>23</v>
      </c>
      <c r="AI37" s="25">
        <f>IF(AND(COUNTBLANK(tblData[[#This Row],[Australian Capital Territory]:[Western Australia]])&lt;1,tblData[New South Wales]&gt;=0),SUM(tblData[[#This Row],[Australian Capital Territory]:[Western Australia]]),"")</f>
        <v>15</v>
      </c>
      <c r="AJ37" s="12">
        <f>IF(ISNUMBER(tblData[Au]),tblData[Au]/AuPopScale,"")</f>
        <v>5.9138937076170954</v>
      </c>
      <c r="AK37" s="19">
        <f ca="1">IF(ISNUMBER(tblData[[#This Row],[Day'# Aust]]),betaAu/(deltaAu+betaPodeltaAu*EXP(-betaAu*tblData[[#This Row],[Day'# Aust]])),"")</f>
        <v>0.85198179279128572</v>
      </c>
      <c r="AL37" s="369">
        <f ca="1">IF(ISNUMBER(tblData[Day'# Aust]),tblData[Au LogiP(t)]/AuPopScale,"")</f>
        <v>0.33590198422618112</v>
      </c>
      <c r="AM37" s="11">
        <f ca="1">IF(AND(tblData[Dates]&gt;StartDt2Au,ISNUMBER(tblData[Au])),(tblData[[#This Row],[Au LogiP(t)]]-tblData[[#This Row],[Au]])^2,"")</f>
        <v>200.16641919150928</v>
      </c>
      <c r="AN37" s="11">
        <f ca="1">IF(AND(ISNUMBER(tblData[Au]),tblData[Dates]&gt;StartDt2Au),(tblData[Au]-AVERAGE(tblData[Au]))^2,"")</f>
        <v>5923431.1160999993</v>
      </c>
      <c r="AO37" s="11">
        <f>tblData[[#This Row],[Dates]]-Au100dt</f>
        <v>-27</v>
      </c>
      <c r="AP37">
        <f ca="1">IF(tblData[Dates]&gt;StartDt2NSW,tblData[Dates]-StartDt2NSW,"")</f>
        <v>23</v>
      </c>
      <c r="AQ37" s="25">
        <f>IF(tblData[[#This Row],[New South Wales]]&gt;0,tblData[[#This Row],[New South Wales]],"")</f>
        <v>4</v>
      </c>
      <c r="AR37" s="44">
        <f ca="1">IF(tblData[Dates]&gt;StartDt2NSW,betaNSW/(deltaNSW+betaPodeltaNSW*EXP(-betaNSW*tblData[[#This Row],[Day '# NSW]])),"")</f>
        <v>0.27038347139539087</v>
      </c>
      <c r="AS37" s="12">
        <f ca="1">IF(AND(ISNUMBER(tblData[NSW]),tblData[Dates]&gt;StartDt2NSW),(tblData[[#This Row],[NSW LogiP(t)]]-tblData[[#This Row],[NSW]])^2,"")</f>
        <v>13.910039450440694</v>
      </c>
      <c r="AT37" s="12">
        <f ca="1">IF(AND(tblData[Dates]&gt;StartDt2NSW,ISNUMBER(tblData[Day'# Aust])),tblData[NSW LogiP(t)]/NSWpopscale,"")</f>
        <v>0.33463300915271144</v>
      </c>
      <c r="AU37" s="11">
        <f>tblData[[#This Row],[Dates]]-NSW100dt+1</f>
        <v>-24</v>
      </c>
      <c r="AV37" s="11">
        <f ca="1">IF(AND(ISNUMBER(tblData[NSW]),tblData[Dates]&gt;StartDt2NSW),(tblData[NSW]-AVERAGE(tblData[NSW]))^2,"")</f>
        <v>1188666.8676</v>
      </c>
      <c r="AW37" s="20">
        <f ca="1">IF(AND(tblData[Dates]&gt;StartDt2Italy,ISNUMBER(tblData[Days'# Italy])),betaItaly/(deltaItaly+betaPodeltaItaly*EXP(-betaItaly*tblData[Days'# Italy])),"")</f>
        <v>42.206887002771857</v>
      </c>
      <c r="AX37" s="11">
        <f ca="1">IF(AND(tblData[Dates]&gt;StartDt2Italy,ISNUMBER(tblData[Italy])),(tblData[[#This Row],[Italy LogiP(t)]]-tblData[[#This Row],[Italy]])^2,"")</f>
        <v>1537.1799884481209</v>
      </c>
      <c r="AY37" s="20">
        <f ca="1">IF(AND(tblData[Dates]&gt;StartDt2Italy,ISNUMBER(tblData[Days'# Italy])),tblData[[#This Row],[Italy LogiP(t)]]/ItalyPopscale,"")</f>
        <v>6.9780750603904869</v>
      </c>
      <c r="AZ37" s="39">
        <f ca="1">IF(AND(ISNUMBER(tblData[Italy]),tblData[Dates]&gt;StartDt2Italy),(tblData[Italy]-AVERAGE(tblData[Italy]))^2,"")</f>
        <v>4864449609.7294016</v>
      </c>
      <c r="BA37" s="11">
        <f>tblData[[#This Row],[Dates]]-Italy100dt+1</f>
        <v>-9</v>
      </c>
      <c r="BB37" s="11">
        <f ca="1">IF(AND(tblData[Dates]&gt;StartDt2US,ISNUMBER(tblData[[#This Row],[Days'# US]])),betaUS/(deltaUS+betaPodeltaUS*EXP(-betaUS*tblData[Days'# US])),"")</f>
        <v>1.6003788555063132</v>
      </c>
      <c r="BC37" s="11">
        <f ca="1">IF(AND(tblData[Dates]&gt;StartDt2US,ISNUMBER(tblData[US])),(tblData[[#This Row],[US LogiP(t)]]-tblData[US])^2,"")</f>
        <v>129.95136223798752</v>
      </c>
      <c r="BD37" s="20">
        <f ca="1">IF(AND(tblData[Dates]&gt;=StartDt2US,ISNUMBER(tblData[[#This Row],[Days'# US]])),tblData[[#This Row],[US LogiP(t)]]/USPopscale,"")</f>
        <v>4.8610084506860288E-2</v>
      </c>
      <c r="BE37" s="126">
        <f ca="1">IF(AND(ISNUMBER(tblData[US]),tblData[Dates]&gt;StartDt2US),(tblData[US]-AVERAGE(tblData[US]))^2,"")</f>
        <v>50144754669.667915</v>
      </c>
      <c r="BF37" s="11">
        <f>tblData[[#This Row],[Dates]]-US100dt+1</f>
        <v>-26</v>
      </c>
      <c r="BG37" s="20">
        <f ca="1">IF(tblData[Dates]&gt;StartDt2SKorea,betaSKorea/(deltaSKorea+betaPodeltaSKorea*EXP(-betaSKorea*(tblData[Dates]-StartDt2SKorea))),"")</f>
        <v>493.09521961737033</v>
      </c>
      <c r="BH37" s="20">
        <f ca="1">IF(AND(tblData[Dates]&gt;StartDt2SKorea,ISNUMBER(tblData[SKorea])),(tblData[[#This Row],[SKorea LogiP(t)]]-tblData[[#This Row],[SKorea]])^2,"")</f>
        <v>214457.18243246045</v>
      </c>
      <c r="BI37" s="20">
        <f ca="1">IF(tblData[Dates]&gt;StartDt2SKorea,tblData[[#This Row],[SKorea LogiP(t)]]/SKoreaPopscale,"")</f>
        <v>95.932922104546762</v>
      </c>
      <c r="BJ37" s="126">
        <f ca="1">IF(AND(ISNUMBER(tblData[SKorea]),tblData[Dates]&gt;StartDt2SKorea),(tblData[SKorea]-AVERAGE(tblData[SKorea]))^2,"")</f>
        <v>33574753.236831985</v>
      </c>
      <c r="BK37" s="11">
        <f>tblData[[#This Row],[Dates]]-SKorea100dt+1</f>
        <v>-5</v>
      </c>
      <c r="BL37" s="20">
        <f ca="1">IF(AND(tblData[Dates]&gt;StartDt2UK,ISNUMBER(tblData[Days'# UK])),betaUK/(deltaUK+betaPodeltaUK*EXP(-betaUK*tblData[Days'# UK])),"")</f>
        <v>4.0830346707743068</v>
      </c>
      <c r="BM37" s="20">
        <f ca="1">IF(AND(tblData[Dates]&gt;StartDt2UK,ISNUMBER(tblData[United Kingdom])),(tblData[[#This Row],[UK LogiP(t)]]-tblData[[#This Row],[United Kingdom]])^2,"")</f>
        <v>24.176548048807529</v>
      </c>
      <c r="BN37" s="20">
        <f ca="1">IF(ISNUMBER(tblData[Days'# UK]),tblData[[#This Row],[UK LogiP(t)]]/UKPopscale,"")</f>
        <v>0.61454465243442302</v>
      </c>
      <c r="BO37" s="126">
        <f ca="1">IF(AND(ISNUMBER(tblData[United Kingdom]),tblData[Dates]&gt;StartDt2UK),(tblData[United Kingdom]-AVERAGE(tblData[United Kingdom]))^2,"")</f>
        <v>1440812186.8520825</v>
      </c>
      <c r="BP37" s="11">
        <f>tblData[[#This Row],[Dates]]-UK100dt</f>
        <v>-24</v>
      </c>
      <c r="BQ37" s="11">
        <f ca="1">IF(ISNUMBER(tblData[Days'# China]),betaChina/(deltaChina+betaPodeltaChina*EXP(-betaChina*tblData[Days'# China])),"")</f>
        <v>70483.797328911052</v>
      </c>
      <c r="BR37" s="11">
        <f ca="1">IF(ISNUMBER(tblData[China]),(tblData[[#This Row],[China LogiP(t)]]-tblData[[#This Row],[China]])^2,"")</f>
        <v>3803290.4583224664</v>
      </c>
      <c r="BS37" s="11">
        <f ca="1">tblData[[#This Row],[China LogiP(t)]]/ChinaPopscale</f>
        <v>489.70077826957993</v>
      </c>
      <c r="BT37" s="126">
        <f ca="1">IF(AND(ISNUMBER(tblData[China]),tblData[Dates]&gt;StartDt2China),(tblData[China]-AVERAGE(tblData[China]))^2,"")</f>
        <v>27347977.868512038</v>
      </c>
      <c r="BU37" s="11">
        <f>tblData[[#This Row],[Dates]]-China100dt</f>
        <v>15</v>
      </c>
      <c r="BV37" s="95">
        <f ca="1">IF(ISNUMBER(tblData[Day'# Singapore]),betaSingapore/(deltaSingapore+betaPodeltaSingapore*EXP(-betaSingapore*tblData[Day'# Singapore])),"")</f>
        <v>2.8222224895715695</v>
      </c>
      <c r="BW37" s="11">
        <f ca="1">IF(AND(ISNUMBER(tblData[Singapore]),tblData[Dates]&gt;=StartDt2Singapore),(tblData[[#This Row],[Singapore LogiP(t)]]-tblData[[#This Row],[Singapore]])^2,"")</f>
        <v>5502.342676386621</v>
      </c>
      <c r="BX37" s="20">
        <f ca="1">IF(ISNUMBER(tblData[Day'# Singapore]),tblData[Singapore LogiP(t)]/SingaporePopscale,"")</f>
        <v>4.8243119479855894</v>
      </c>
      <c r="BY37" s="95">
        <f ca="1">IF(AND(ISNUMBER(tblData[Singapore]),tblData[Dates]&gt;StartDt2Singapore),(tblData[Singapore]-AVERAGE(tblData[Singapore]))^2,"")</f>
        <v>5034656.0384467524</v>
      </c>
      <c r="BZ37" s="11">
        <f>tblData[[#This Row],[Dates]]-Singapore100dt+1</f>
        <v>4</v>
      </c>
      <c r="CA37" s="11" t="str">
        <f>IF(AND(tblData[Dates]&gt;StartDt2Generic,ISNUMBER(tblData[Day'# Generic])),betaGeneric/(deltaGeneric+betaPodeltaGeneric*EXP(-betaGeneric*tblData[Day'# Generic])),"")</f>
        <v/>
      </c>
      <c r="CB37" s="95" t="str">
        <f>IF(AND(ISNUMBER(tblData[Generic]),tblData[Dates]&gt;StartDt2Generic),(tblData[Generic LogiP(t)]-tblData[[#This Row],[Generic]])^2,"")</f>
        <v/>
      </c>
      <c r="CC37" s="11" t="str">
        <f>IF(AND(ISNUMBER(tblData[Day'# Generic]),tblData[Dates]&gt;StartDt2Generic),tblData[Generic LogiP(t)]/GenericPopscale,"")</f>
        <v/>
      </c>
      <c r="CD37" s="95" t="str">
        <f>IF(AND(ISNUMBER(tblData[Generic]),tblData[Dates]&gt;StartDt2Generic),(tblData[Generic]-AVERAGE(tblData[Generic]))^2,"")</f>
        <v/>
      </c>
      <c r="CE37" s="11">
        <f>tblData[[#This Row],[Dates]]-Generic100dt+1</f>
        <v>-24</v>
      </c>
      <c r="CF37"/>
      <c r="CG37" s="11"/>
      <c r="CH37" s="11" t="str">
        <f>IF(ISNUMBER(tblData[[#This Row],[Tests]]),tblData[[#This Row],[Tests]]-CH36,"")</f>
        <v/>
      </c>
      <c r="CI37" s="11" t="str">
        <f>IF(ISNUMBER(tblData[[#This Row],[NSW Under Investigation'']]),tblData[[#This Row],[NSW Under Investigation'']]-CG36,"")</f>
        <v/>
      </c>
      <c r="CJ37" s="11"/>
      <c r="CK37" s="11" t="str">
        <f>IF(AND(tblData[[#This Row],[NSW Test Day Number]]&gt;0,ISNUMBER(tblData[[#This Row],[NSW Test Day Number]])),betaTests/(deltaTests+betaPodeltaTests*EXP(-betaTests*tblData[[#This Row],[NSW Test Day Number]])),"")</f>
        <v/>
      </c>
      <c r="CL37" s="11" t="str">
        <f>IF(tblData[Tests]&gt;0,(tblData[[#This Row],[Tests]]-tblData[[#This Row],[NSW Test Logi]])^2,"")</f>
        <v/>
      </c>
      <c r="CM37" s="95" t="str">
        <f>IF(AND(ISNUMBER(tblData[Tests]),tblData[Dates]&gt;StartDt2Tests),(tblData[Tests]-AVERAGE(tblData[Tests]))^2,"")</f>
        <v/>
      </c>
      <c r="CN37" s="11" t="str">
        <f>IF(ISNUMBER(tblData[Tests]),tblData[Tests]/NSWpopscale/100,"")</f>
        <v/>
      </c>
      <c r="CO37" s="11" t="str">
        <f>IF(AND(tblData[[#This Row],[NSW Test Day Number]]&gt;0,ISNUMBER(tblData[[#This Row],[NSW Test Day Number]])),TestsLogestB*TestsLogestM^tblData[[#This Row],[NSW Test Day Number]],"")</f>
        <v/>
      </c>
      <c r="CP37" s="11" t="str">
        <f>IF(AND(tblData[[#This Row],[NSW Test Day Number]]&gt;0,ISNUMBER(tblData[Tests])),(tblData[Tests]-tblData[[#This Row],[NSW Test Per Capita]])^2,"")</f>
        <v/>
      </c>
      <c r="CQ37" s="20">
        <f ca="1">IF(AND(tblData[Day '# NSW]&gt;0,ISNUMBER(tblData[[#This Row],[Day '# NSW]])),NSWLogestB*NSWLogestM^tblData[[#This Row],[Day '# NSW]]/NSWpopscale,"")</f>
        <v>12.945216588258852</v>
      </c>
      <c r="CR37" s="39">
        <f ca="1">IF(AND(ISNUMBER(tblData[NSW]),tblData[Dates]&gt;StartDt2NSW),(tblData[NSW]/NSWpopscale-tblData[[#This Row],[NSW Cases LogEst]])^2,"")</f>
        <v>63.915572482215545</v>
      </c>
      <c r="CS37" s="11">
        <v>22</v>
      </c>
      <c r="CT37" s="19">
        <f>IF(ISNUMBER(tblData[Taiwan]),tblData[Taiwan]/TaiwanPopscale,"")</f>
        <v>9.2408700833635695</v>
      </c>
      <c r="CU37" s="11">
        <f ca="1">IF(tblData[[#This Row],[Dates]]&lt;StartDt2Taiwan,"",tblData[[#This Row],[Dates]]-TaiwanStart)</f>
        <v>26</v>
      </c>
      <c r="CV37" s="19">
        <f ca="1">IF(AND(tblData[Dates]&gt;StartDt2Taiwan,ISNUMBER(tblData[Days'# Taiwan])),betaTaiwan/(deltaTaiwan+betaPodeltaTaiwan*EXP(-betaTaiwan*tblData[Days'# Taiwan])),"")</f>
        <v>1.9672173939911863</v>
      </c>
      <c r="CW37" s="95">
        <f ca="1">IF(AND(tblData[Dates]&gt;StartDt2Taiwan,ISNUMBER(tblData[Taiwan])),(tblData[[#This Row],[Taiwan LogiP(t)]]-tblData[[#This Row],[Taiwan]])^2,"")</f>
        <v>401.31237893960923</v>
      </c>
      <c r="CX37" s="20">
        <f ca="1">IF(AND(tblData[Dates]&gt;StartDt2Taiwan,ISNUMBER(tblData[Days'# Taiwan])),tblData[[#This Row],[Taiwan LogiP(t)]]/TaiwanPopscale,"")</f>
        <v>0.82630910743661801</v>
      </c>
      <c r="CY37" s="95">
        <f ca="1">IF(AND(ISNUMBER(tblData[Taiwan]),tblData[Dates]&gt;StartDt2Taiwan),(tblData[Taiwan]-AVERAGE(tblData[Taiwan]))^2,"")</f>
        <v>21770.713187235684</v>
      </c>
      <c r="CZ37" s="11">
        <f>tblData[[#This Row],[Dates]]-Taiwan100dt+1</f>
        <v>-37</v>
      </c>
      <c r="DA37"/>
      <c r="DB37" s="20" t="str">
        <f>IF(ISNUMBER(tblData[NZ]),tblData[NZ]/NZPopscale,"")</f>
        <v/>
      </c>
      <c r="DC37" s="11" t="str">
        <f ca="1">IF(tblData[[#This Row],[Dates]]&lt;StartDt2NZ,"",tblData[[#This Row],[Dates]]-NZStart)</f>
        <v/>
      </c>
      <c r="DD37" s="20" t="str">
        <f ca="1">IF(AND(tblData[Dates]&gt;StartDt2NZ,ISNUMBER(tblData[Days'# NZ])),betaNZ/(deltaNZ+betaPodeltaNZ*EXP(-betaNZ*tblData[Days'# NZ])),"")</f>
        <v/>
      </c>
      <c r="DE37" s="95" t="str">
        <f ca="1">IF(AND(tblData[Dates]&gt;StartDt2NZ,ISNUMBER(tblData[NZ])),(tblData[[#This Row],[NZ LogiP(t)]]-tblData[[#This Row],[NZ]])^2,"")</f>
        <v/>
      </c>
      <c r="DF37" s="20" t="str">
        <f ca="1">IF(AND(tblData[Dates]&gt;StartDt2NZ,ISNUMBER(tblData[Days'# NZ])),tblData[[#This Row],[NZ LogiP(t)]]/NZPopscale,"")</f>
        <v/>
      </c>
      <c r="DG37" s="95" t="str">
        <f ca="1">IF(AND(ISNUMBER(tblData[NZ]),tblData[Dates]&gt;StartDt2NZ),(tblData[NZ]-AVERAGE(tblData[NZ]))^2,"")</f>
        <v/>
      </c>
      <c r="DH37" s="11">
        <f>tblData[[#This Row],[Dates]]-NZ100dt+1</f>
        <v>-33</v>
      </c>
      <c r="DI37" s="39"/>
      <c r="DJ37" s="11"/>
      <c r="DK37" s="26"/>
      <c r="DM37" s="25"/>
      <c r="DP37"/>
      <c r="DV37" s="25"/>
      <c r="DW37"/>
      <c r="DZ37" s="25"/>
      <c r="EA37" s="25"/>
      <c r="EB37" s="25"/>
      <c r="EH37"/>
      <c r="EI37"/>
      <c r="EJ37"/>
      <c r="EK37"/>
      <c r="EQ37" s="25"/>
      <c r="ER37" s="25"/>
      <c r="ES37" s="25"/>
      <c r="ET37" s="25"/>
      <c r="FF37"/>
      <c r="FG37"/>
      <c r="FH37"/>
      <c r="FI37"/>
      <c r="FJ37" s="25"/>
      <c r="FK37" s="25"/>
      <c r="FM37" s="25"/>
      <c r="FN37"/>
      <c r="FO37" s="267" t="s">
        <v>48</v>
      </c>
      <c r="FP37" s="250">
        <v>43925.97</v>
      </c>
      <c r="FQ37" s="243">
        <v>43855</v>
      </c>
      <c r="FR37" s="160">
        <v>43855</v>
      </c>
      <c r="FS37" s="211">
        <v>0</v>
      </c>
      <c r="FT37" s="72">
        <v>0.25296877264776085</v>
      </c>
      <c r="FU37" s="72">
        <v>4.0664150625821361E-5</v>
      </c>
      <c r="FV37" s="74">
        <v>1E-3</v>
      </c>
      <c r="FW37" s="212">
        <v>6220.928477653435</v>
      </c>
      <c r="FX37" s="212"/>
      <c r="FY37" s="212"/>
      <c r="FZ37" s="213">
        <v>252.96873198361024</v>
      </c>
      <c r="GA37" s="213">
        <v>4.0664150625821363E-2</v>
      </c>
      <c r="GB37" s="243">
        <v>43925</v>
      </c>
      <c r="GC37" s="160" t="s">
        <v>1700</v>
      </c>
      <c r="GD37" s="212">
        <v>6220.928477653435</v>
      </c>
      <c r="GE37" s="212">
        <v>5532</v>
      </c>
      <c r="GF37" s="74" t="s">
        <v>1695</v>
      </c>
      <c r="GG37" s="156">
        <v>43925</v>
      </c>
      <c r="GH37" s="25">
        <v>71</v>
      </c>
      <c r="GI37" s="23"/>
      <c r="GJ37" s="21"/>
      <c r="GK37" s="161" t="s">
        <v>1697</v>
      </c>
      <c r="GL37" s="23"/>
      <c r="GM37" s="23" t="e">
        <v>#VALUE!</v>
      </c>
      <c r="GN37" s="165">
        <v>2181.0439993691848</v>
      </c>
      <c r="GO37" s="156"/>
      <c r="GP37" s="218"/>
      <c r="GQ37" s="156"/>
      <c r="GR37" s="23"/>
      <c r="GS37" s="23" t="s">
        <v>1880</v>
      </c>
      <c r="GT37" s="11"/>
      <c r="GU37" s="34"/>
      <c r="GV37" s="26"/>
      <c r="GX37" s="219"/>
      <c r="HK37" s="164">
        <v>43924</v>
      </c>
      <c r="HL37" s="60">
        <v>43923.833333333336</v>
      </c>
      <c r="HM37">
        <v>2389</v>
      </c>
      <c r="HN37">
        <v>112066</v>
      </c>
      <c r="HO37">
        <v>505</v>
      </c>
      <c r="HP37">
        <v>336</v>
      </c>
      <c r="HQ37">
        <f>IF(ISNUMBER(tblNSWKnown[[#This Row],[Unknown Locally]]),tblNSWKnown[[#This Row],[Known Locally]]+tblNSWKnown[[#This Row],[Unknown Locally]],"")</f>
        <v>841</v>
      </c>
      <c r="HR37" s="25">
        <v>4</v>
      </c>
      <c r="HS37">
        <f>IF(ISNUMBER(tblNSWKnown[[#This Row],[Day '# NSW Unknown]]),betaNSWUnknown/(deltaNSWUnknown+betaPodeltaNSWUnknown*EXP(-betaNSWUnknown*tblNSWKnown[Day '# NSW Unknown])),"")</f>
        <v>841.46572849641609</v>
      </c>
      <c r="HT37">
        <f>IF(ISNUMBER(tblNSWKnown[[#This Row],[Total Local]]),(tblNSWKnown[[#This Row],[Total Local]]-tblNSWKnown[[#This Row],[NSW Unknown Logi P(t)]])^2,"")</f>
        <v>0.21690303237399272</v>
      </c>
      <c r="HU37" s="166">
        <f>IF(ISNUMBER(tblNSWKnown[Total Local]),(tblNSWKnown[Total Local]-AVERAGE(tblNSWKnown[Total Local]))^2,"")</f>
        <v>53755.786332179887</v>
      </c>
      <c r="HV37" s="166"/>
    </row>
    <row r="38" spans="2:231" x14ac:dyDescent="0.25">
      <c r="B38" s="26">
        <v>43879</v>
      </c>
      <c r="C38">
        <v>0</v>
      </c>
      <c r="D38" s="25">
        <v>0</v>
      </c>
      <c r="E38">
        <v>4</v>
      </c>
      <c r="F38">
        <v>0</v>
      </c>
      <c r="G38">
        <v>5</v>
      </c>
      <c r="H38">
        <v>2</v>
      </c>
      <c r="I38">
        <v>0</v>
      </c>
      <c r="J38">
        <v>4</v>
      </c>
      <c r="K38">
        <v>0</v>
      </c>
      <c r="L38" s="11">
        <f>IF(ISNUMBER(tblData[[#This Row],[NSW]]),tblData[[#This Row],[New South Wales]]/NSWpopscale,"")</f>
        <v>4.9504950495049505</v>
      </c>
      <c r="M38">
        <v>3</v>
      </c>
      <c r="N38" s="20">
        <f>IF(ISNUMBER(tblData[Italy]),tblData[Italy]/ItalyPopscale,"")</f>
        <v>0.49599074150615857</v>
      </c>
      <c r="O38">
        <v>13</v>
      </c>
      <c r="P38" s="20">
        <f>IF(ISNUMBER(tblData[US]),tblData[US]/USPopscale,"")</f>
        <v>0.39486343900067283</v>
      </c>
      <c r="Q38">
        <v>31</v>
      </c>
      <c r="R38" s="20">
        <f>IF(ISNUMBER(tblData[SKorea]),tblData[SKorea]/SKoreaPopscale,"")</f>
        <v>6.0311284046692615</v>
      </c>
      <c r="S38">
        <v>9</v>
      </c>
      <c r="T38" s="20">
        <f>IF(ISNUMBER(tblData[United Kingdom]),tblData[United Kingdom]/UKPopscale,"")</f>
        <v>1.3546056592414208</v>
      </c>
      <c r="U38">
        <v>74211</v>
      </c>
      <c r="V38" s="20">
        <f>IF(ISNUMBER(tblData[China]),tblData[China]/ChinaPopscale,"")</f>
        <v>515.59629068477227</v>
      </c>
      <c r="W38" s="25">
        <f ca="1">IF(tblData[[#This Row],[Dates]]&lt;StartDt2China,"",tblData[[#This Row],[Dates]]-ChinaStart)</f>
        <v>27</v>
      </c>
      <c r="X38">
        <v>81</v>
      </c>
      <c r="Y38" s="20">
        <f>IF(ISNUMBER(tblData[Singapore]),tblData[Singapore]/SingaporePopscale,"")</f>
        <v>138.46153846153848</v>
      </c>
      <c r="Z38"/>
      <c r="AA38" s="20" t="str">
        <f>IF(AND(LEN(tblData[Generic])&gt;0,ISNUMBER(tblData[Generic])),tblData[Generic]/GenericPopscale,"")</f>
        <v/>
      </c>
      <c r="AB38" s="25">
        <f ca="1">IF(tblData[[#This Row],[Dates]]&lt;StartDt2Italy,"",tblData[[#This Row],[Dates]]-ItalyStart)</f>
        <v>19</v>
      </c>
      <c r="AC38" s="25">
        <f ca="1">IF(tblData[[#This Row],[Dates]]&lt;=StartDt2US,"",tblData[[#This Row],[Dates]]-USStart)</f>
        <v>27</v>
      </c>
      <c r="AD38" s="25">
        <f>IF(tblData[[#This Row],[Dates]]&lt;=SKoreaStart,"",tblData[[#This Row],[Dates]]-SKoreaStart)</f>
        <v>27</v>
      </c>
      <c r="AE38" s="25">
        <f ca="1">IF(tblData[[#This Row],[Dates]]&lt;=StartDt2UK,"",tblData[[#This Row],[Dates]]-UKStart)</f>
        <v>19</v>
      </c>
      <c r="AF38" s="25">
        <f ca="1">IF(tblData[[#This Row],[Dates]]&lt;StartDt2Singapore,"",tblData[[#This Row],[Dates]]-SingaporeStart)</f>
        <v>26</v>
      </c>
      <c r="AG38" s="25" t="str">
        <f>IF(tblData[[#This Row],[Dates]]&lt;StartDt2Generic,"",tblData[[#This Row],[Dates]]-GenericStart)</f>
        <v/>
      </c>
      <c r="AH38">
        <f ca="1">IF(tblData[Dates]&gt;StartDt2Au,tblData[Dates]-AuStart,"")</f>
        <v>24</v>
      </c>
      <c r="AI38" s="25">
        <f>IF(AND(COUNTBLANK(tblData[[#This Row],[Australian Capital Territory]:[Western Australia]])&lt;1,tblData[New South Wales]&gt;=0),SUM(tblData[[#This Row],[Australian Capital Territory]:[Western Australia]]),"")</f>
        <v>15</v>
      </c>
      <c r="AJ38" s="12">
        <f>IF(ISNUMBER(tblData[Au]),tblData[Au]/AuPopScale,"")</f>
        <v>5.9138937076170954</v>
      </c>
      <c r="AK38" s="19">
        <f ca="1">IF(ISNUMBER(tblData[[#This Row],[Day'# Aust]]),betaAu/(deltaAu+betaPodeltaAu*EXP(-betaAu*tblData[[#This Row],[Day'# Aust]])),"")</f>
        <v>1.0681774941632478</v>
      </c>
      <c r="AL38" s="369">
        <f ca="1">IF(ISNUMBER(tblData[Day'# Aust]),tblData[Au LogiP(t)]/AuPopScale,"")</f>
        <v>0.42113921075668181</v>
      </c>
      <c r="AM38" s="11">
        <f ca="1">IF(AND(tblData[Dates]&gt;StartDt2Au,ISNUMBER(tblData[Au])),(tblData[[#This Row],[Au LogiP(t)]]-tblData[[#This Row],[Au]])^2,"")</f>
        <v>194.09567833413945</v>
      </c>
      <c r="AN38" s="11">
        <f ca="1">IF(AND(ISNUMBER(tblData[Au]),tblData[Dates]&gt;StartDt2Au),(tblData[Au]-AVERAGE(tblData[Au]))^2,"")</f>
        <v>5923431.1160999993</v>
      </c>
      <c r="AO38" s="11">
        <f>tblData[[#This Row],[Dates]]-Au100dt</f>
        <v>-26</v>
      </c>
      <c r="AP38">
        <f ca="1">IF(tblData[Dates]&gt;StartDt2NSW,tblData[Dates]-StartDt2NSW,"")</f>
        <v>24</v>
      </c>
      <c r="AQ38" s="25">
        <f>IF(tblData[[#This Row],[New South Wales]]&gt;0,tblData[[#This Row],[New South Wales]],"")</f>
        <v>4</v>
      </c>
      <c r="AR38" s="44">
        <f ca="1">IF(tblData[Dates]&gt;StartDt2NSW,betaNSW/(deltaNSW+betaPodeltaNSW*EXP(-betaNSW*tblData[[#This Row],[Day '# NSW]])),"")</f>
        <v>0.34175984104915841</v>
      </c>
      <c r="AS38" s="12">
        <f ca="1">IF(AND(ISNUMBER(tblData[NSW]),tblData[Dates]&gt;StartDt2NSW),(tblData[[#This Row],[NSW LogiP(t)]]-tblData[[#This Row],[NSW]])^2,"")</f>
        <v>13.382721060560678</v>
      </c>
      <c r="AT38" s="12">
        <f ca="1">IF(AND(tblData[Dates]&gt;StartDt2NSW,ISNUMBER(tblData[Day'# Aust])),tblData[NSW LogiP(t)]/NSWpopscale,"")</f>
        <v>0.42297010030836435</v>
      </c>
      <c r="AU38" s="11">
        <f>tblData[[#This Row],[Dates]]-NSW100dt+1</f>
        <v>-23</v>
      </c>
      <c r="AV38" s="11">
        <f ca="1">IF(AND(ISNUMBER(tblData[NSW]),tblData[Dates]&gt;StartDt2NSW),(tblData[NSW]-AVERAGE(tblData[NSW]))^2,"")</f>
        <v>1188666.8676</v>
      </c>
      <c r="AW38" s="20">
        <f ca="1">IF(AND(tblData[Dates]&gt;StartDt2Italy,ISNUMBER(tblData[Days'# Italy])),betaItaly/(deltaItaly+betaPodeltaItaly*EXP(-betaItaly*tblData[Days'# Italy])),"")</f>
        <v>54.363354868255449</v>
      </c>
      <c r="AX38" s="11">
        <f ca="1">IF(AND(tblData[Dates]&gt;StartDt2Italy,ISNUMBER(tblData[Italy])),(tblData[[#This Row],[Italy LogiP(t)]]-tblData[[#This Row],[Italy]])^2,"")</f>
        <v>2638.1942233223408</v>
      </c>
      <c r="AY38" s="20">
        <f ca="1">IF(AND(tblData[Dates]&gt;StartDt2Italy,ISNUMBER(tblData[Days'# Italy])),tblData[[#This Row],[Italy LogiP(t)]]/ItalyPopscale,"")</f>
        <v>8.987906897289486</v>
      </c>
      <c r="AZ38" s="39">
        <f ca="1">IF(AND(ISNUMBER(tblData[Italy]),tblData[Dates]&gt;StartDt2Italy),(tblData[Italy]-AVERAGE(tblData[Italy]))^2,"")</f>
        <v>4864449609.7294016</v>
      </c>
      <c r="BA38" s="11">
        <f>tblData[[#This Row],[Dates]]-Italy100dt+1</f>
        <v>-8</v>
      </c>
      <c r="BB38" s="11">
        <f ca="1">IF(AND(tblData[Dates]&gt;StartDt2US,ISNUMBER(tblData[[#This Row],[Days'# US]])),betaUS/(deltaUS+betaPodeltaUS*EXP(-betaUS*tblData[Days'# US])),"")</f>
        <v>2.1255038496196192</v>
      </c>
      <c r="BC38" s="11">
        <f ca="1">IF(AND(tblData[Dates]&gt;StartDt2US,ISNUMBER(tblData[US])),(tblData[[#This Row],[US LogiP(t)]]-tblData[US])^2,"")</f>
        <v>118.25466652463773</v>
      </c>
      <c r="BD38" s="20">
        <f ca="1">IF(AND(tblData[Dates]&gt;=StartDt2US,ISNUMBER(tblData[[#This Row],[Days'# US]])),tblData[[#This Row],[US LogiP(t)]]/USPopscale,"")</f>
        <v>6.4560289205382454E-2</v>
      </c>
      <c r="BE38" s="126">
        <f ca="1">IF(AND(ISNUMBER(tblData[US]),tblData[Dates]&gt;StartDt2US),(tblData[US]-AVERAGE(tblData[US]))^2,"")</f>
        <v>50144754669.667915</v>
      </c>
      <c r="BF38" s="11">
        <f>tblData[[#This Row],[Dates]]-US100dt+1</f>
        <v>-25</v>
      </c>
      <c r="BG38" s="20">
        <f ca="1">IF(tblData[Dates]&gt;StartDt2SKorea,betaSKorea/(deltaSKorea+betaPodeltaSKorea*EXP(-betaSKorea*(tblData[Dates]-StartDt2SKorea))),"")</f>
        <v>583.30902765480187</v>
      </c>
      <c r="BH38" s="20">
        <f ca="1">IF(AND(tblData[Dates]&gt;StartDt2SKorea,ISNUMBER(tblData[SKorea])),(tblData[[#This Row],[SKorea LogiP(t)]]-tblData[[#This Row],[SKorea]])^2,"")</f>
        <v>305045.2620289927</v>
      </c>
      <c r="BI38" s="20">
        <f ca="1">IF(tblData[Dates]&gt;StartDt2SKorea,tblData[[#This Row],[SKorea LogiP(t)]]/SKoreaPopscale,"")</f>
        <v>113.48424662544784</v>
      </c>
      <c r="BJ38" s="126">
        <f ca="1">IF(AND(ISNUMBER(tblData[SKorea]),tblData[Dates]&gt;StartDt2SKorea),(tblData[SKorea]-AVERAGE(tblData[SKorea]))^2,"")</f>
        <v>33563165.491733946</v>
      </c>
      <c r="BK38" s="11">
        <f>tblData[[#This Row],[Dates]]-SKorea100dt+1</f>
        <v>-4</v>
      </c>
      <c r="BL38" s="20">
        <f ca="1">IF(AND(tblData[Dates]&gt;StartDt2UK,ISNUMBER(tblData[Days'# UK])),betaUK/(deltaUK+betaPodeltaUK*EXP(-betaUK*tblData[Days'# UK])),"")</f>
        <v>5.0532993477899204</v>
      </c>
      <c r="BM38" s="20">
        <f ca="1">IF(AND(tblData[Dates]&gt;StartDt2UK,ISNUMBER(tblData[United Kingdom])),(tblData[[#This Row],[UK LogiP(t)]]-tblData[[#This Row],[United Kingdom]])^2,"")</f>
        <v>15.576446038155467</v>
      </c>
      <c r="BN38" s="20">
        <f ca="1">IF(ISNUMBER(tblData[Days'# UK]),tblData[[#This Row],[UK LogiP(t)]]/UKPopscale,"")</f>
        <v>0.7605808771508008</v>
      </c>
      <c r="BO38" s="126">
        <f ca="1">IF(AND(ISNUMBER(tblData[United Kingdom]),tblData[Dates]&gt;StartDt2UK),(tblData[United Kingdom]-AVERAGE(tblData[United Kingdom]))^2,"")</f>
        <v>1440812186.8520825</v>
      </c>
      <c r="BP38" s="11">
        <f>tblData[[#This Row],[Dates]]-UK100dt</f>
        <v>-23</v>
      </c>
      <c r="BQ38" s="11">
        <f ca="1">IF(ISNUMBER(tblData[Days'# China]),betaChina/(deltaChina+betaPodeltaChina*EXP(-betaChina*tblData[Days'# China])),"")</f>
        <v>72520.99143211692</v>
      </c>
      <c r="BR38" s="11">
        <f ca="1">IF(ISNUMBER(tblData[China]),(tblData[[#This Row],[China LogiP(t)]]-tblData[[#This Row],[China]])^2,"")</f>
        <v>2856128.9595182193</v>
      </c>
      <c r="BS38" s="11">
        <f ca="1">tblData[[#This Row],[China LogiP(t)]]/ChinaPopscale</f>
        <v>503.85460617942937</v>
      </c>
      <c r="BT38" s="126">
        <f ca="1">IF(AND(ISNUMBER(tblData[China]),tblData[Dates]&gt;StartDt2China),(tblData[China]-AVERAGE(tblData[China]))^2,"")</f>
        <v>49091454.397923782</v>
      </c>
      <c r="BU38" s="11">
        <f>tblData[[#This Row],[Dates]]-China100dt</f>
        <v>16</v>
      </c>
      <c r="BV38" s="95">
        <f ca="1">IF(ISNUMBER(tblData[Day'# Singapore]),betaSingapore/(deltaSingapore+betaPodeltaSingapore*EXP(-betaSingapore*tblData[Day'# Singapore])),"")</f>
        <v>3.199898694672731</v>
      </c>
      <c r="BW38" s="11">
        <f ca="1">IF(AND(ISNUMBER(tblData[Singapore]),tblData[Dates]&gt;=StartDt2Singapore),(tblData[[#This Row],[Singapore LogiP(t)]]-tblData[[#This Row],[Singapore]])^2,"")</f>
        <v>6052.855763119187</v>
      </c>
      <c r="BX38" s="20">
        <f ca="1">IF(ISNUMBER(tblData[Day'# Singapore]),tblData[Singapore LogiP(t)]/SingaporePopscale,"")</f>
        <v>5.4699122985858653</v>
      </c>
      <c r="BY38" s="95">
        <f ca="1">IF(AND(ISNUMBER(tblData[Singapore]),tblData[Dates]&gt;StartDt2Singapore),(tblData[Singapore]-AVERAGE(tblData[Singapore]))^2,"")</f>
        <v>5016721.607074203</v>
      </c>
      <c r="BZ38" s="11">
        <f>tblData[[#This Row],[Dates]]-Singapore100dt+1</f>
        <v>5</v>
      </c>
      <c r="CA38" s="11" t="str">
        <f>IF(AND(tblData[Dates]&gt;StartDt2Generic,ISNUMBER(tblData[Day'# Generic])),betaGeneric/(deltaGeneric+betaPodeltaGeneric*EXP(-betaGeneric*tblData[Day'# Generic])),"")</f>
        <v/>
      </c>
      <c r="CB38" s="95" t="str">
        <f>IF(AND(ISNUMBER(tblData[Generic]),tblData[Dates]&gt;StartDt2Generic),(tblData[Generic LogiP(t)]-tblData[[#This Row],[Generic]])^2,"")</f>
        <v/>
      </c>
      <c r="CC38" s="11" t="str">
        <f>IF(AND(ISNUMBER(tblData[Day'# Generic]),tblData[Dates]&gt;StartDt2Generic),tblData[Generic LogiP(t)]/GenericPopscale,"")</f>
        <v/>
      </c>
      <c r="CD38" s="95" t="str">
        <f>IF(AND(ISNUMBER(tblData[Generic]),tblData[Dates]&gt;StartDt2Generic),(tblData[Generic]-AVERAGE(tblData[Generic]))^2,"")</f>
        <v/>
      </c>
      <c r="CE38" s="11">
        <f>tblData[[#This Row],[Dates]]-Generic100dt+1</f>
        <v>-23</v>
      </c>
      <c r="CF38"/>
      <c r="CG38" s="11"/>
      <c r="CH38" s="11" t="str">
        <f>IF(ISNUMBER(tblData[[#This Row],[Tests]]),tblData[[#This Row],[Tests]]-CH37,"")</f>
        <v/>
      </c>
      <c r="CI38" s="11" t="str">
        <f>IF(ISNUMBER(tblData[[#This Row],[NSW Under Investigation'']]),tblData[[#This Row],[NSW Under Investigation'']]-CG37,"")</f>
        <v/>
      </c>
      <c r="CJ38" s="11"/>
      <c r="CK38" s="11" t="str">
        <f>IF(AND(tblData[[#This Row],[NSW Test Day Number]]&gt;0,ISNUMBER(tblData[[#This Row],[NSW Test Day Number]])),betaTests/(deltaTests+betaPodeltaTests*EXP(-betaTests*tblData[[#This Row],[NSW Test Day Number]])),"")</f>
        <v/>
      </c>
      <c r="CL38" s="11" t="str">
        <f>IF(tblData[Tests]&gt;0,(tblData[[#This Row],[Tests]]-tblData[[#This Row],[NSW Test Logi]])^2,"")</f>
        <v/>
      </c>
      <c r="CM38" s="95" t="str">
        <f>IF(AND(ISNUMBER(tblData[Tests]),tblData[Dates]&gt;StartDt2Tests),(tblData[Tests]-AVERAGE(tblData[Tests]))^2,"")</f>
        <v/>
      </c>
      <c r="CN38" s="11" t="str">
        <f>IF(ISNUMBER(tblData[Tests]),tblData[Tests]/NSWpopscale/100,"")</f>
        <v/>
      </c>
      <c r="CO38" s="11" t="str">
        <f>IF(AND(tblData[[#This Row],[NSW Test Day Number]]&gt;0,ISNUMBER(tblData[[#This Row],[NSW Test Day Number]])),TestsLogestB*TestsLogestM^tblData[[#This Row],[NSW Test Day Number]],"")</f>
        <v/>
      </c>
      <c r="CP38" s="11" t="str">
        <f>IF(AND(tblData[[#This Row],[NSW Test Day Number]]&gt;0,ISNUMBER(tblData[Tests])),(tblData[Tests]-tblData[[#This Row],[NSW Test Per Capita]])^2,"")</f>
        <v/>
      </c>
      <c r="CQ38" s="20">
        <f ca="1">IF(AND(tblData[Day '# NSW]&gt;0,ISNUMBER(tblData[[#This Row],[Day '# NSW]])),NSWLogestB*NSWLogestM^tblData[[#This Row],[Day '# NSW]]/NSWpopscale,"")</f>
        <v>14.252109113225908</v>
      </c>
      <c r="CR38" s="39">
        <f ca="1">IF(AND(ISNUMBER(tblData[NSW]),tblData[Dates]&gt;StartDt2NSW),(tblData[NSW]/NSWpopscale-tblData[[#This Row],[NSW Cases LogEst]])^2,"")</f>
        <v>86.520024190411519</v>
      </c>
      <c r="CS38" s="11">
        <v>22</v>
      </c>
      <c r="CT38" s="19">
        <f>IF(ISNUMBER(tblData[Taiwan]),tblData[Taiwan]/TaiwanPopscale,"")</f>
        <v>9.2408700833635695</v>
      </c>
      <c r="CU38" s="11">
        <f ca="1">IF(tblData[[#This Row],[Dates]]&lt;StartDt2Taiwan,"",tblData[[#This Row],[Dates]]-TaiwanStart)</f>
        <v>27</v>
      </c>
      <c r="CV38" s="19">
        <f ca="1">IF(AND(tblData[Dates]&gt;StartDt2Taiwan,ISNUMBER(tblData[Days'# Taiwan])),betaTaiwan/(deltaTaiwan+betaPodeltaTaiwan*EXP(-betaTaiwan*tblData[Days'# Taiwan])),"")</f>
        <v>2.2782871107549147</v>
      </c>
      <c r="CW38" s="95">
        <f ca="1">IF(AND(tblData[Dates]&gt;StartDt2Taiwan,ISNUMBER(tblData[Taiwan])),(tblData[[#This Row],[Taiwan LogiP(t)]]-tblData[[#This Row],[Taiwan]])^2,"")</f>
        <v>388.94595928581577</v>
      </c>
      <c r="CX38" s="20">
        <f ca="1">IF(AND(tblData[Dates]&gt;StartDt2Taiwan,ISNUMBER(tblData[Days'# Taiwan])),tblData[[#This Row],[Taiwan LogiP(t)]]/TaiwanPopscale,"")</f>
        <v>0.95697069104945065</v>
      </c>
      <c r="CY38" s="95">
        <f ca="1">IF(AND(ISNUMBER(tblData[Taiwan]),tblData[Dates]&gt;StartDt2Taiwan),(tblData[Taiwan]-AVERAGE(tblData[Taiwan]))^2,"")</f>
        <v>21770.713187235684</v>
      </c>
      <c r="CZ38" s="11">
        <f>tblData[[#This Row],[Dates]]-Taiwan100dt+1</f>
        <v>-36</v>
      </c>
      <c r="DA38"/>
      <c r="DB38" s="20" t="str">
        <f>IF(ISNUMBER(tblData[NZ]),tblData[NZ]/NZPopscale,"")</f>
        <v/>
      </c>
      <c r="DC38" s="11" t="str">
        <f ca="1">IF(tblData[[#This Row],[Dates]]&lt;StartDt2NZ,"",tblData[[#This Row],[Dates]]-NZStart)</f>
        <v/>
      </c>
      <c r="DD38" s="20" t="str">
        <f ca="1">IF(AND(tblData[Dates]&gt;StartDt2NZ,ISNUMBER(tblData[Days'# NZ])),betaNZ/(deltaNZ+betaPodeltaNZ*EXP(-betaNZ*tblData[Days'# NZ])),"")</f>
        <v/>
      </c>
      <c r="DE38" s="95" t="str">
        <f ca="1">IF(AND(tblData[Dates]&gt;StartDt2NZ,ISNUMBER(tblData[NZ])),(tblData[[#This Row],[NZ LogiP(t)]]-tblData[[#This Row],[NZ]])^2,"")</f>
        <v/>
      </c>
      <c r="DF38" s="20" t="str">
        <f ca="1">IF(AND(tblData[Dates]&gt;StartDt2NZ,ISNUMBER(tblData[Days'# NZ])),tblData[[#This Row],[NZ LogiP(t)]]/NZPopscale,"")</f>
        <v/>
      </c>
      <c r="DG38" s="95" t="str">
        <f ca="1">IF(AND(ISNUMBER(tblData[NZ]),tblData[Dates]&gt;StartDt2NZ),(tblData[NZ]-AVERAGE(tblData[NZ]))^2,"")</f>
        <v/>
      </c>
      <c r="DH38" s="11">
        <f>tblData[[#This Row],[Dates]]-NZ100dt+1</f>
        <v>-32</v>
      </c>
      <c r="DI38" s="39"/>
      <c r="DJ38" s="11"/>
      <c r="DM38" s="25"/>
      <c r="DP38"/>
      <c r="DV38" s="25"/>
      <c r="DW38"/>
      <c r="DZ38" s="25"/>
      <c r="EA38" s="25"/>
      <c r="EB38" s="25"/>
      <c r="EH38"/>
      <c r="EI38"/>
      <c r="EJ38"/>
      <c r="EK38"/>
      <c r="EQ38" s="25"/>
      <c r="ER38" s="25"/>
      <c r="ES38" s="25"/>
      <c r="ET38" s="25"/>
      <c r="FF38"/>
      <c r="FG38"/>
      <c r="FH38"/>
      <c r="FI38"/>
      <c r="FJ38" s="25"/>
      <c r="FK38" s="25"/>
      <c r="FM38" s="25"/>
      <c r="FN38"/>
      <c r="FO38" s="267" t="s">
        <v>48</v>
      </c>
      <c r="FP38" s="250">
        <v>43926.546990740739</v>
      </c>
      <c r="FQ38" s="243">
        <v>43855</v>
      </c>
      <c r="FR38" s="160">
        <v>43855</v>
      </c>
      <c r="FS38" s="211">
        <v>0</v>
      </c>
      <c r="FT38" s="72">
        <v>0.25296877264776085</v>
      </c>
      <c r="FU38" s="72">
        <v>4.0664150625821361E-5</v>
      </c>
      <c r="FV38" s="74">
        <v>1E-3</v>
      </c>
      <c r="FW38" s="212">
        <v>6220.928477653435</v>
      </c>
      <c r="FX38" s="212">
        <v>34.255993751239323</v>
      </c>
      <c r="FY38" s="212">
        <v>0.99950907464479855</v>
      </c>
      <c r="FZ38" s="213">
        <v>252.96873198361024</v>
      </c>
      <c r="GA38" s="213">
        <v>4.0664150625821363E-2</v>
      </c>
      <c r="GB38" s="243">
        <v>43925</v>
      </c>
      <c r="GC38" s="160" t="s">
        <v>1700</v>
      </c>
      <c r="GD38" s="212">
        <v>6220.928477653435</v>
      </c>
      <c r="GE38" s="212">
        <v>5532</v>
      </c>
      <c r="GF38" s="74" t="s">
        <v>1695</v>
      </c>
      <c r="GG38" s="156">
        <v>43925</v>
      </c>
      <c r="GH38" s="25">
        <v>71</v>
      </c>
      <c r="GI38" s="23" t="s">
        <v>1701</v>
      </c>
      <c r="GJ38" s="21"/>
      <c r="GK38" s="161" t="s">
        <v>1697</v>
      </c>
      <c r="GL38" s="23"/>
      <c r="GM38" s="23" t="s">
        <v>1702</v>
      </c>
      <c r="GN38" s="165">
        <v>2181.0439993691848</v>
      </c>
      <c r="GO38" s="156"/>
      <c r="GP38" s="218"/>
      <c r="GQ38" s="156"/>
      <c r="GR38" s="23"/>
      <c r="GS38" s="23" t="s">
        <v>1880</v>
      </c>
      <c r="GT38" s="11"/>
      <c r="GU38" s="34"/>
      <c r="GV38" s="26"/>
      <c r="GX38" s="219"/>
      <c r="HK38" s="164">
        <v>43925</v>
      </c>
      <c r="HL38" s="60">
        <v>43924.833333333336</v>
      </c>
      <c r="HM38">
        <v>2493</v>
      </c>
      <c r="HN38">
        <v>115140</v>
      </c>
      <c r="HO38">
        <v>551</v>
      </c>
      <c r="HP38">
        <v>365</v>
      </c>
      <c r="HQ38">
        <f>IF(ISNUMBER(tblNSWKnown[[#This Row],[Unknown Locally]]),tblNSWKnown[[#This Row],[Known Locally]]+tblNSWKnown[[#This Row],[Unknown Locally]],"")</f>
        <v>916</v>
      </c>
      <c r="HR38" s="25">
        <v>5</v>
      </c>
      <c r="HS38">
        <f>IF(ISNUMBER(tblNSWKnown[[#This Row],[Day '# NSW Unknown]]),betaNSWUnknown/(deltaNSWUnknown+betaPodeltaNSWUnknown*EXP(-betaNSWUnknown*tblNSWKnown[Day '# NSW Unknown])),"")</f>
        <v>886.73291561991573</v>
      </c>
      <c r="HT38">
        <f>IF(ISNUMBER(tblNSWKnown[[#This Row],[Total Local]]),(tblNSWKnown[[#This Row],[Total Local]]-tblNSWKnown[[#This Row],[NSW Unknown Logi P(t)]])^2,"")</f>
        <v>856.56222811097268</v>
      </c>
      <c r="HU38" s="166">
        <f>IF(ISNUMBER(tblNSWKnown[Total Local]),(tblNSWKnown[Total Local]-AVERAGE(tblNSWKnown[Total Local]))^2,"")</f>
        <v>24602.845155709314</v>
      </c>
      <c r="HV38" s="166"/>
    </row>
    <row r="39" spans="2:231" ht="15" customHeight="1" x14ac:dyDescent="0.25">
      <c r="B39" s="26">
        <v>43880</v>
      </c>
      <c r="C39">
        <v>0</v>
      </c>
      <c r="D39" s="25">
        <v>0</v>
      </c>
      <c r="E39">
        <v>4</v>
      </c>
      <c r="F39">
        <v>0</v>
      </c>
      <c r="G39">
        <v>5</v>
      </c>
      <c r="H39">
        <v>2</v>
      </c>
      <c r="I39">
        <v>0</v>
      </c>
      <c r="J39">
        <v>4</v>
      </c>
      <c r="K39">
        <v>0</v>
      </c>
      <c r="L39" s="11">
        <f>IF(ISNUMBER(tblData[[#This Row],[NSW]]),tblData[[#This Row],[New South Wales]]/NSWpopscale,"")</f>
        <v>4.9504950495049505</v>
      </c>
      <c r="M39">
        <v>3</v>
      </c>
      <c r="N39" s="20">
        <f>IF(ISNUMBER(tblData[Italy]),tblData[Italy]/ItalyPopscale,"")</f>
        <v>0.49599074150615857</v>
      </c>
      <c r="O39">
        <v>13</v>
      </c>
      <c r="P39" s="20">
        <f>IF(ISNUMBER(tblData[US]),tblData[US]/USPopscale,"")</f>
        <v>0.39486343900067283</v>
      </c>
      <c r="Q39">
        <v>31</v>
      </c>
      <c r="R39" s="20">
        <f>IF(ISNUMBER(tblData[SKorea]),tblData[SKorea]/SKoreaPopscale,"")</f>
        <v>6.0311284046692615</v>
      </c>
      <c r="S39">
        <v>9</v>
      </c>
      <c r="T39" s="20">
        <f>IF(ISNUMBER(tblData[United Kingdom]),tblData[United Kingdom]/UKPopscale,"")</f>
        <v>1.3546056592414208</v>
      </c>
      <c r="U39">
        <v>74619</v>
      </c>
      <c r="V39" s="20">
        <f>IF(ISNUMBER(tblData[China]),tblData[China]/ChinaPopscale,"")</f>
        <v>518.43095517655092</v>
      </c>
      <c r="W39" s="25">
        <f ca="1">IF(tblData[[#This Row],[Dates]]&lt;StartDt2China,"",tblData[[#This Row],[Dates]]-ChinaStart)</f>
        <v>28</v>
      </c>
      <c r="X39">
        <v>84</v>
      </c>
      <c r="Y39" s="20">
        <f>IF(ISNUMBER(tblData[Singapore]),tblData[Singapore]/SingaporePopscale,"")</f>
        <v>143.58974358974359</v>
      </c>
      <c r="Z39"/>
      <c r="AA39" s="20" t="str">
        <f>IF(AND(LEN(tblData[Generic])&gt;0,ISNUMBER(tblData[Generic])),tblData[Generic]/GenericPopscale,"")</f>
        <v/>
      </c>
      <c r="AB39" s="25">
        <f ca="1">IF(tblData[[#This Row],[Dates]]&lt;StartDt2Italy,"",tblData[[#This Row],[Dates]]-ItalyStart)</f>
        <v>20</v>
      </c>
      <c r="AC39" s="25">
        <f ca="1">IF(tblData[[#This Row],[Dates]]&lt;=StartDt2US,"",tblData[[#This Row],[Dates]]-USStart)</f>
        <v>28</v>
      </c>
      <c r="AD39" s="25">
        <f>IF(tblData[[#This Row],[Dates]]&lt;=SKoreaStart,"",tblData[[#This Row],[Dates]]-SKoreaStart)</f>
        <v>28</v>
      </c>
      <c r="AE39" s="25">
        <f ca="1">IF(tblData[[#This Row],[Dates]]&lt;=StartDt2UK,"",tblData[[#This Row],[Dates]]-UKStart)</f>
        <v>20</v>
      </c>
      <c r="AF39" s="25">
        <f ca="1">IF(tblData[[#This Row],[Dates]]&lt;StartDt2Singapore,"",tblData[[#This Row],[Dates]]-SingaporeStart)</f>
        <v>27</v>
      </c>
      <c r="AG39" s="25" t="str">
        <f>IF(tblData[[#This Row],[Dates]]&lt;StartDt2Generic,"",tblData[[#This Row],[Dates]]-GenericStart)</f>
        <v/>
      </c>
      <c r="AH39">
        <f ca="1">IF(tblData[Dates]&gt;StartDt2Au,tblData[Dates]-AuStart,"")</f>
        <v>25</v>
      </c>
      <c r="AI39" s="25">
        <f>IF(AND(COUNTBLANK(tblData[[#This Row],[Australian Capital Territory]:[Western Australia]])&lt;1,tblData[New South Wales]&gt;=0),SUM(tblData[[#This Row],[Australian Capital Territory]:[Western Australia]]),"")</f>
        <v>15</v>
      </c>
      <c r="AJ39" s="12">
        <f>IF(ISNUMBER(tblData[Au]),tblData[Au]/AuPopScale,"")</f>
        <v>5.9138937076170954</v>
      </c>
      <c r="AK39" s="19">
        <f ca="1">IF(ISNUMBER(tblData[[#This Row],[Day'# Aust]]),betaAu/(deltaAu+betaPodeltaAu*EXP(-betaAu*tblData[[#This Row],[Day'# Aust]])),"")</f>
        <v>1.3392231450571888</v>
      </c>
      <c r="AL39" s="369">
        <f ca="1">IF(ISNUMBER(tblData[Day'# Aust]),tblData[Au LogiP(t)]/AuPopScale,"")</f>
        <v>0.52800155537659232</v>
      </c>
      <c r="AM39" s="11">
        <f ca="1">IF(AND(tblData[Dates]&gt;StartDt2Au,ISNUMBER(tblData[Au])),(tblData[[#This Row],[Au LogiP(t)]]-tblData[[#This Row],[Au]])^2,"")</f>
        <v>186.61682428054124</v>
      </c>
      <c r="AN39" s="11">
        <f ca="1">IF(AND(ISNUMBER(tblData[Au]),tblData[Dates]&gt;StartDt2Au),(tblData[Au]-AVERAGE(tblData[Au]))^2,"")</f>
        <v>5923431.1160999993</v>
      </c>
      <c r="AO39" s="11">
        <f>tblData[[#This Row],[Dates]]-Au100dt</f>
        <v>-25</v>
      </c>
      <c r="AP39">
        <f ca="1">IF(tblData[Dates]&gt;StartDt2NSW,tblData[Dates]-StartDt2NSW,"")</f>
        <v>25</v>
      </c>
      <c r="AQ39" s="25">
        <f>IF(tblData[[#This Row],[New South Wales]]&gt;0,tblData[[#This Row],[New South Wales]],"")</f>
        <v>4</v>
      </c>
      <c r="AR39" s="44">
        <f ca="1">IF(tblData[Dates]&gt;StartDt2NSW,betaNSW/(deltaNSW+betaPodeltaNSW*EXP(-betaNSW*tblData[[#This Row],[Day '# NSW]])),"")</f>
        <v>0.43197555009231348</v>
      </c>
      <c r="AS39" s="12">
        <f ca="1">IF(AND(ISNUMBER(tblData[NSW]),tblData[Dates]&gt;StartDt2NSW),(tblData[[#This Row],[NSW LogiP(t)]]-tblData[[#This Row],[NSW]])^2,"")</f>
        <v>12.730798475139048</v>
      </c>
      <c r="AT39" s="12">
        <f ca="1">IF(AND(tblData[Dates]&gt;StartDt2NSW,ISNUMBER(tblData[Day'# Aust])),tblData[NSW LogiP(t)]/NSWpopscale,"")</f>
        <v>0.53462320555979392</v>
      </c>
      <c r="AU39" s="11">
        <f>tblData[[#This Row],[Dates]]-NSW100dt+1</f>
        <v>-22</v>
      </c>
      <c r="AV39" s="11">
        <f ca="1">IF(AND(ISNUMBER(tblData[NSW]),tblData[Dates]&gt;StartDt2NSW),(tblData[NSW]-AVERAGE(tblData[NSW]))^2,"")</f>
        <v>1188666.8676</v>
      </c>
      <c r="AW39" s="20">
        <f ca="1">IF(AND(tblData[Dates]&gt;StartDt2Italy,ISNUMBER(tblData[Days'# Italy])),betaItaly/(deltaItaly+betaPodeltaItaly*EXP(-betaItaly*tblData[Days'# Italy])),"")</f>
        <v>70.019620704585947</v>
      </c>
      <c r="AX39" s="11">
        <f ca="1">IF(AND(tblData[Dates]&gt;StartDt2Italy,ISNUMBER(tblData[Italy])),(tblData[[#This Row],[Italy LogiP(t)]]-tblData[[#This Row],[Italy]])^2,"")</f>
        <v>4491.6295593865652</v>
      </c>
      <c r="AY39" s="11">
        <f ca="1">IF(AND(tblData[Dates]&gt;StartDt2Italy,ISNUMBER(tblData[Days'# Italy])),tblData[[#This Row],[Italy LogiP(t)]]/ItalyPopscale,"")</f>
        <v>11.576361197749186</v>
      </c>
      <c r="AZ39" s="39">
        <f ca="1">IF(AND(ISNUMBER(tblData[Italy]),tblData[Dates]&gt;StartDt2Italy),(tblData[Italy]-AVERAGE(tblData[Italy]))^2,"")</f>
        <v>4864449609.7294016</v>
      </c>
      <c r="BA39" s="11">
        <f>tblData[[#This Row],[Dates]]-Italy100dt+1</f>
        <v>-7</v>
      </c>
      <c r="BB39" s="11">
        <f ca="1">IF(AND(tblData[Dates]&gt;StartDt2US,ISNUMBER(tblData[[#This Row],[Days'# US]])),betaUS/(deltaUS+betaPodeltaUS*EXP(-betaUS*tblData[Days'# US])),"")</f>
        <v>2.822935108258382</v>
      </c>
      <c r="BC39" s="11">
        <f ca="1">IF(AND(tblData[Dates]&gt;StartDt2US,ISNUMBER(tblData[US])),(tblData[[#This Row],[US LogiP(t)]]-tblData[US])^2,"")</f>
        <v>103.57264981071985</v>
      </c>
      <c r="BD39" s="20">
        <f ca="1">IF(AND(tblData[Dates]&gt;=StartDt2US,ISNUMBER(tblData[[#This Row],[Days'# US]])),tblData[[#This Row],[US LogiP(t)]]/USPopscale,"")</f>
        <v>8.5744143455587798E-2</v>
      </c>
      <c r="BE39" s="126">
        <f ca="1">IF(AND(ISNUMBER(tblData[US]),tblData[Dates]&gt;StartDt2US),(tblData[US]-AVERAGE(tblData[US]))^2,"")</f>
        <v>50144754669.667915</v>
      </c>
      <c r="BF39" s="11">
        <f>tblData[[#This Row],[Dates]]-US100dt+1</f>
        <v>-24</v>
      </c>
      <c r="BG39" s="20">
        <f ca="1">IF(tblData[Dates]&gt;StartDt2SKorea,betaSKorea/(deltaSKorea+betaPodeltaSKorea*EXP(-betaSKorea*(tblData[Dates]-StartDt2SKorea))),"")</f>
        <v>688.86064228106727</v>
      </c>
      <c r="BH39" s="20">
        <f ca="1">IF(AND(tblData[Dates]&gt;StartDt2SKorea,ISNUMBER(tblData[SKorea])),(tblData[[#This Row],[SKorea LogiP(t)]]-tblData[[#This Row],[SKorea]])^2,"")</f>
        <v>432780.62466245837</v>
      </c>
      <c r="BI39" s="20">
        <f ca="1">IF(tblData[Dates]&gt;StartDt2SKorea,tblData[[#This Row],[SKorea LogiP(t)]]/SKoreaPopscale,"")</f>
        <v>134.01958021032439</v>
      </c>
      <c r="BJ39" s="126">
        <f ca="1">IF(AND(ISNUMBER(tblData[SKorea]),tblData[Dates]&gt;StartDt2SKorea),(tblData[SKorea]-AVERAGE(tblData[SKorea]))^2,"")</f>
        <v>33563165.491733946</v>
      </c>
      <c r="BK39" s="11">
        <f>tblData[[#This Row],[Dates]]-SKorea100dt+1</f>
        <v>-3</v>
      </c>
      <c r="BL39" s="20">
        <f ca="1">IF(AND(tblData[Dates]&gt;StartDt2UK,ISNUMBER(tblData[Days'# UK])),betaUK/(deltaUK+betaPodeltaUK*EXP(-betaUK*tblData[Days'# UK])),"")</f>
        <v>6.254121048321359</v>
      </c>
      <c r="BM39" s="20">
        <f ca="1">IF(AND(tblData[Dates]&gt;StartDt2UK,ISNUMBER(tblData[United Kingdom])),(tblData[[#This Row],[UK LogiP(t)]]-tblData[[#This Row],[United Kingdom]])^2,"")</f>
        <v>7.5398512172717931</v>
      </c>
      <c r="BN39" s="20">
        <f ca="1">IF(ISNUMBER(tblData[Days'# UK]),tblData[[#This Row],[UK LogiP(t)]]/UKPopscale,"")</f>
        <v>0.94131864062633341</v>
      </c>
      <c r="BO39" s="126">
        <f ca="1">IF(AND(ISNUMBER(tblData[United Kingdom]),tblData[Dates]&gt;StartDt2UK),(tblData[United Kingdom]-AVERAGE(tblData[United Kingdom]))^2,"")</f>
        <v>1440812186.8520825</v>
      </c>
      <c r="BP39" s="11">
        <f>tblData[[#This Row],[Dates]]-UK100dt</f>
        <v>-22</v>
      </c>
      <c r="BQ39" s="11">
        <f ca="1">IF(ISNUMBER(tblData[Days'# China]),betaChina/(deltaChina+betaPodeltaChina*EXP(-betaChina*tblData[Days'# China])),"")</f>
        <v>74241.558948586942</v>
      </c>
      <c r="BR39" s="11">
        <f ca="1">IF(ISNUMBER(tblData[China]),(tblData[[#This Row],[China LogiP(t)]]-tblData[[#This Row],[China]])^2,"")</f>
        <v>142461.74729179448</v>
      </c>
      <c r="BS39" s="11">
        <f ca="1">tblData[[#This Row],[China LogiP(t)]]/ChinaPopscale</f>
        <v>515.80860530846223</v>
      </c>
      <c r="BT39" s="126">
        <f ca="1">IF(AND(ISNUMBER(tblData[China]),tblData[Dates]&gt;StartDt2China),(tblData[China]-AVERAGE(tblData[China]))^2,"")</f>
        <v>54975246.397923775</v>
      </c>
      <c r="BU39" s="11">
        <f>tblData[[#This Row],[Dates]]-China100dt</f>
        <v>17</v>
      </c>
      <c r="BV39" s="95">
        <f ca="1">IF(ISNUMBER(tblData[Day'# Singapore]),betaSingapore/(deltaSingapore+betaPodeltaSingapore*EXP(-betaSingapore*tblData[Day'# Singapore])),"")</f>
        <v>3.6281112217997515</v>
      </c>
      <c r="BW39" s="11">
        <f ca="1">IF(AND(ISNUMBER(tblData[Singapore]),tblData[Dates]&gt;=StartDt2Singapore),(tblData[[#This Row],[Singapore LogiP(t)]]-tblData[[#This Row],[Singapore]])^2,"")</f>
        <v>6459.64050577539</v>
      </c>
      <c r="BX39" s="20">
        <f ca="1">IF(ISNUMBER(tblData[Day'# Singapore]),tblData[Singapore LogiP(t)]/SingaporePopscale,"")</f>
        <v>6.2018995244440198</v>
      </c>
      <c r="BY39" s="95">
        <f ca="1">IF(AND(ISNUMBER(tblData[Singapore]),tblData[Dates]&gt;StartDt2Singapore),(tblData[Singapore]-AVERAGE(tblData[Singapore]))^2,"")</f>
        <v>5003291.7835447909</v>
      </c>
      <c r="BZ39" s="11">
        <f>tblData[[#This Row],[Dates]]-Singapore100dt+1</f>
        <v>6</v>
      </c>
      <c r="CA39" s="11" t="str">
        <f>IF(AND(tblData[Dates]&gt;StartDt2Generic,ISNUMBER(tblData[Day'# Generic])),betaGeneric/(deltaGeneric+betaPodeltaGeneric*EXP(-betaGeneric*tblData[Day'# Generic])),"")</f>
        <v/>
      </c>
      <c r="CB39" s="95" t="str">
        <f>IF(AND(ISNUMBER(tblData[Generic]),tblData[Dates]&gt;StartDt2Generic),(tblData[Generic LogiP(t)]-tblData[[#This Row],[Generic]])^2,"")</f>
        <v/>
      </c>
      <c r="CC39" s="11" t="str">
        <f>IF(AND(ISNUMBER(tblData[Day'# Generic]),tblData[Dates]&gt;StartDt2Generic),tblData[Generic LogiP(t)]/GenericPopscale,"")</f>
        <v/>
      </c>
      <c r="CD39" s="95" t="str">
        <f>IF(AND(ISNUMBER(tblData[Generic]),tblData[Dates]&gt;StartDt2Generic),(tblData[Generic]-AVERAGE(tblData[Generic]))^2,"")</f>
        <v/>
      </c>
      <c r="CE39" s="11">
        <f>tblData[[#This Row],[Dates]]-Generic100dt+1</f>
        <v>-22</v>
      </c>
      <c r="CF39"/>
      <c r="CG39" s="11"/>
      <c r="CH39" s="11" t="str">
        <f>IF(ISNUMBER(tblData[[#This Row],[Tests]]),tblData[[#This Row],[Tests]]-CH38,"")</f>
        <v/>
      </c>
      <c r="CI39" s="11" t="str">
        <f>IF(ISNUMBER(tblData[[#This Row],[NSW Under Investigation'']]),tblData[[#This Row],[NSW Under Investigation'']]-CG38,"")</f>
        <v/>
      </c>
      <c r="CJ39" s="11"/>
      <c r="CK39" s="11" t="str">
        <f>IF(AND(tblData[[#This Row],[NSW Test Day Number]]&gt;0,ISNUMBER(tblData[[#This Row],[NSW Test Day Number]])),betaTests/(deltaTests+betaPodeltaTests*EXP(-betaTests*tblData[[#This Row],[NSW Test Day Number]])),"")</f>
        <v/>
      </c>
      <c r="CL39" s="11" t="str">
        <f>IF(tblData[Tests]&gt;0,(tblData[[#This Row],[Tests]]-tblData[[#This Row],[NSW Test Logi]])^2,"")</f>
        <v/>
      </c>
      <c r="CM39" s="95" t="str">
        <f>IF(AND(ISNUMBER(tblData[Tests]),tblData[Dates]&gt;StartDt2Tests),(tblData[Tests]-AVERAGE(tblData[Tests]))^2,"")</f>
        <v/>
      </c>
      <c r="CN39" s="11" t="str">
        <f>IF(ISNUMBER(tblData[Tests]),tblData[Tests]/NSWpopscale/100,"")</f>
        <v/>
      </c>
      <c r="CO39" s="11" t="str">
        <f>IF(AND(tblData[[#This Row],[NSW Test Day Number]]&gt;0,ISNUMBER(tblData[[#This Row],[NSW Test Day Number]])),TestsLogestB*TestsLogestM^tblData[[#This Row],[NSW Test Day Number]],"")</f>
        <v/>
      </c>
      <c r="CP39" s="11" t="str">
        <f>IF(AND(tblData[[#This Row],[NSW Test Day Number]]&gt;0,ISNUMBER(tblData[Tests])),(tblData[Tests]-tblData[[#This Row],[NSW Test Per Capita]])^2,"")</f>
        <v/>
      </c>
      <c r="CQ39" s="20">
        <f ca="1">IF(AND(tblData[Day '# NSW]&gt;0,ISNUMBER(tblData[[#This Row],[Day '# NSW]])),NSWLogestB*NSWLogestM^tblData[[#This Row],[Day '# NSW]]/NSWpopscale,"")</f>
        <v>15.690939799302132</v>
      </c>
      <c r="CR39" s="39">
        <f ca="1">IF(AND(ISNUMBER(tblData[NSW]),tblData[Dates]&gt;StartDt2NSW),(tblData[NSW]/NSWpopscale-tblData[[#This Row],[NSW Cases LogEst]])^2,"")</f>
        <v>115.35715342344582</v>
      </c>
      <c r="CS39" s="11">
        <v>23</v>
      </c>
      <c r="CT39" s="19">
        <f>IF(ISNUMBER(tblData[Taiwan]),tblData[Taiwan]/TaiwanPopscale,"")</f>
        <v>9.6609096326073676</v>
      </c>
      <c r="CU39" s="11">
        <f ca="1">IF(tblData[[#This Row],[Dates]]&lt;StartDt2Taiwan,"",tblData[[#This Row],[Dates]]-TaiwanStart)</f>
        <v>28</v>
      </c>
      <c r="CV39" s="19">
        <f ca="1">IF(AND(tblData[Dates]&gt;StartDt2Taiwan,ISNUMBER(tblData[Days'# Taiwan])),betaTaiwan/(deltaTaiwan+betaPodeltaTaiwan*EXP(-betaTaiwan*tblData[Days'# Taiwan])),"")</f>
        <v>2.6382393983246493</v>
      </c>
      <c r="CW39" s="95">
        <f ca="1">IF(AND(tblData[Dates]&gt;StartDt2Taiwan,ISNUMBER(tblData[Taiwan])),(tblData[[#This Row],[Taiwan LogiP(t)]]-tblData[[#This Row],[Taiwan]])^2,"")</f>
        <v>414.6012947999385</v>
      </c>
      <c r="CX39" s="20">
        <f ca="1">IF(AND(tblData[Dates]&gt;StartDt2Taiwan,ISNUMBER(tblData[Days'# Taiwan])),tblData[[#This Row],[Taiwan LogiP(t)]]/TaiwanPopscale,"")</f>
        <v>1.108164887669516</v>
      </c>
      <c r="CY39" s="95">
        <f ca="1">IF(AND(ISNUMBER(tblData[Taiwan]),tblData[Dates]&gt;StartDt2Taiwan),(tblData[Taiwan]-AVERAGE(tblData[Taiwan]))^2,"")</f>
        <v>21476.615148019995</v>
      </c>
      <c r="CZ39" s="11">
        <f>tblData[[#This Row],[Dates]]-Taiwan100dt+1</f>
        <v>-35</v>
      </c>
      <c r="DA39"/>
      <c r="DB39" s="20" t="str">
        <f>IF(ISNUMBER(tblData[NZ]),tblData[NZ]/NZPopscale,"")</f>
        <v/>
      </c>
      <c r="DC39" s="11" t="str">
        <f ca="1">IF(tblData[[#This Row],[Dates]]&lt;StartDt2NZ,"",tblData[[#This Row],[Dates]]-NZStart)</f>
        <v/>
      </c>
      <c r="DD39" s="20" t="str">
        <f ca="1">IF(AND(tblData[Dates]&gt;StartDt2NZ,ISNUMBER(tblData[Days'# NZ])),betaNZ/(deltaNZ+betaPodeltaNZ*EXP(-betaNZ*tblData[Days'# NZ])),"")</f>
        <v/>
      </c>
      <c r="DE39" s="95" t="str">
        <f ca="1">IF(AND(tblData[Dates]&gt;StartDt2NZ,ISNUMBER(tblData[NZ])),(tblData[[#This Row],[NZ LogiP(t)]]-tblData[[#This Row],[NZ]])^2,"")</f>
        <v/>
      </c>
      <c r="DF39" s="20" t="str">
        <f ca="1">IF(AND(tblData[Dates]&gt;StartDt2NZ,ISNUMBER(tblData[Days'# NZ])),tblData[[#This Row],[NZ LogiP(t)]]/NZPopscale,"")</f>
        <v/>
      </c>
      <c r="DG39" s="95" t="str">
        <f ca="1">IF(AND(ISNUMBER(tblData[NZ]),tblData[Dates]&gt;StartDt2NZ),(tblData[NZ]-AVERAGE(tblData[NZ]))^2,"")</f>
        <v/>
      </c>
      <c r="DH39" s="11">
        <f>tblData[[#This Row],[Dates]]-NZ100dt+1</f>
        <v>-31</v>
      </c>
      <c r="DI39" s="39"/>
      <c r="DJ39" s="11"/>
      <c r="DM39" s="25"/>
      <c r="DP39"/>
      <c r="DV39" s="25"/>
      <c r="DW39"/>
      <c r="DZ39" s="25"/>
      <c r="EA39" s="25"/>
      <c r="EB39" s="25"/>
      <c r="EH39"/>
      <c r="EI39"/>
      <c r="EJ39"/>
      <c r="EK39"/>
      <c r="EQ39" s="25"/>
      <c r="ER39" s="25"/>
      <c r="ES39" s="25"/>
      <c r="ET39" s="25"/>
      <c r="FF39"/>
      <c r="FG39"/>
      <c r="FH39"/>
      <c r="FI39"/>
      <c r="FJ39" s="25"/>
      <c r="FK39" s="25"/>
      <c r="FM39" s="25"/>
      <c r="FN39"/>
      <c r="FO39" s="267" t="s">
        <v>48</v>
      </c>
      <c r="FP39" s="250">
        <v>43927.804201388892</v>
      </c>
      <c r="FQ39" s="243">
        <v>43855</v>
      </c>
      <c r="FR39" s="160">
        <v>43855</v>
      </c>
      <c r="FS39" s="211">
        <v>0</v>
      </c>
      <c r="FT39" s="72">
        <v>0.2529107174690855</v>
      </c>
      <c r="FU39" s="72">
        <v>4.0537548098548598E-5</v>
      </c>
      <c r="FV39" s="74">
        <v>1E-3</v>
      </c>
      <c r="FW39" s="212">
        <v>6238.9248815505125</v>
      </c>
      <c r="FX39" s="212">
        <v>33.994106591063087</v>
      </c>
      <c r="FY39" s="212">
        <v>0.99961254346411987</v>
      </c>
      <c r="FZ39" s="213">
        <v>252.91067693153738</v>
      </c>
      <c r="GA39" s="213">
        <v>4.0537548098548599E-2</v>
      </c>
      <c r="GB39" s="243">
        <v>43927</v>
      </c>
      <c r="GC39" s="160" t="s">
        <v>1913</v>
      </c>
      <c r="GD39" s="212">
        <v>6238.9248815505125</v>
      </c>
      <c r="GE39" s="212">
        <v>5797</v>
      </c>
      <c r="GF39" s="74" t="s">
        <v>1197</v>
      </c>
      <c r="GG39" s="156">
        <v>43927</v>
      </c>
      <c r="GH39" s="25">
        <v>73</v>
      </c>
      <c r="GI39" s="23" t="s">
        <v>1914</v>
      </c>
      <c r="GJ39" s="21"/>
      <c r="GK39" s="161" t="s">
        <v>1915</v>
      </c>
      <c r="GL39" s="23"/>
      <c r="GM39" s="23" t="s">
        <v>1916</v>
      </c>
      <c r="GN39" s="165">
        <v>2285.5227882037534</v>
      </c>
      <c r="GO39" s="243"/>
      <c r="GP39" s="218"/>
      <c r="GQ39" s="243"/>
      <c r="GR39" s="23"/>
      <c r="GS39" s="23" t="s">
        <v>1912</v>
      </c>
      <c r="GT39" s="11"/>
      <c r="GU39" s="34"/>
      <c r="GV39" s="26"/>
      <c r="GX39" s="219"/>
      <c r="HK39" s="164">
        <v>43926</v>
      </c>
      <c r="HL39" s="60">
        <v>43925.833333333336</v>
      </c>
      <c r="HM39">
        <v>2580</v>
      </c>
      <c r="HN39">
        <v>118863</v>
      </c>
      <c r="HO39">
        <v>578</v>
      </c>
      <c r="HP39">
        <v>380</v>
      </c>
      <c r="HQ39">
        <f>IF(ISNUMBER(tblNSWKnown[[#This Row],[Unknown Locally]]),tblNSWKnown[[#This Row],[Known Locally]]+tblNSWKnown[[#This Row],[Unknown Locally]],"")</f>
        <v>958</v>
      </c>
      <c r="HR39" s="25">
        <v>6</v>
      </c>
      <c r="HS39">
        <f>IF(ISNUMBER(tblNSWKnown[[#This Row],[Day '# NSW Unknown]]),betaNSWUnknown/(deltaNSWUnknown+betaPodeltaNSWUnknown*EXP(-betaNSWUnknown*tblNSWKnown[Day '# NSW Unknown])),"")</f>
        <v>927.64714537271755</v>
      </c>
      <c r="HT39">
        <f>IF(ISNUMBER(tblNSWKnown[[#This Row],[Total Local]]),(tblNSWKnown[[#This Row],[Total Local]]-tblNSWKnown[[#This Row],[NSW Unknown Logi P(t)]])^2,"")</f>
        <v>921.2957840249419</v>
      </c>
      <c r="HU39" s="166">
        <f>IF(ISNUMBER(tblNSWKnown[Total Local]),(tblNSWKnown[Total Local]-AVERAGE(tblNSWKnown[Total Local]))^2,"")</f>
        <v>13191.198096885792</v>
      </c>
      <c r="HV39" s="166"/>
    </row>
    <row r="40" spans="2:231" ht="18.75" customHeight="1" x14ac:dyDescent="0.25">
      <c r="B40" s="26">
        <v>43881</v>
      </c>
      <c r="C40">
        <v>0</v>
      </c>
      <c r="D40" s="25">
        <v>0</v>
      </c>
      <c r="E40">
        <v>4</v>
      </c>
      <c r="F40">
        <v>0</v>
      </c>
      <c r="G40">
        <v>5</v>
      </c>
      <c r="H40">
        <v>2</v>
      </c>
      <c r="I40">
        <v>0</v>
      </c>
      <c r="J40">
        <v>4</v>
      </c>
      <c r="K40">
        <v>0</v>
      </c>
      <c r="L40" s="11">
        <f>IF(ISNUMBER(tblData[[#This Row],[NSW]]),tblData[[#This Row],[New South Wales]]/NSWpopscale,"")</f>
        <v>4.9504950495049505</v>
      </c>
      <c r="M40" s="25">
        <v>3</v>
      </c>
      <c r="N40" s="20">
        <f>IF(ISNUMBER(tblData[Italy]),tblData[Italy]/ItalyPopscale,"")</f>
        <v>0.49599074150615857</v>
      </c>
      <c r="O40">
        <v>13</v>
      </c>
      <c r="P40" s="20">
        <f>IF(ISNUMBER(tblData[US]),tblData[US]/USPopscale,"")</f>
        <v>0.39486343900067283</v>
      </c>
      <c r="Q40">
        <v>104</v>
      </c>
      <c r="R40" s="20">
        <f>IF(ISNUMBER(tblData[SKorea]),tblData[SKorea]/SKoreaPopscale,"")</f>
        <v>20.233463035019458</v>
      </c>
      <c r="S40">
        <v>9</v>
      </c>
      <c r="T40" s="20">
        <f>IF(ISNUMBER(tblData[United Kingdom]),tblData[United Kingdom]/UKPopscale,"")</f>
        <v>1.3546056592414208</v>
      </c>
      <c r="U40">
        <v>75077</v>
      </c>
      <c r="V40" s="20">
        <f>IF(ISNUMBER(tblData[China]),tblData[China]/ChinaPopscale,"")</f>
        <v>521.61300502271422</v>
      </c>
      <c r="W40" s="25">
        <f ca="1">IF(tblData[[#This Row],[Dates]]&lt;StartDt2China,"",tblData[[#This Row],[Dates]]-ChinaStart)</f>
        <v>29</v>
      </c>
      <c r="X40">
        <v>84</v>
      </c>
      <c r="Y40" s="20">
        <f>IF(ISNUMBER(tblData[Singapore]),tblData[Singapore]/SingaporePopscale,"")</f>
        <v>143.58974358974359</v>
      </c>
      <c r="Z40"/>
      <c r="AA40" s="20" t="str">
        <f>IF(AND(LEN(tblData[Generic])&gt;0,ISNUMBER(tblData[Generic])),tblData[Generic]/GenericPopscale,"")</f>
        <v/>
      </c>
      <c r="AB40" s="25">
        <f ca="1">IF(tblData[[#This Row],[Dates]]&lt;StartDt2Italy,"",tblData[[#This Row],[Dates]]-ItalyStart)</f>
        <v>21</v>
      </c>
      <c r="AC40" s="25">
        <f ca="1">IF(tblData[[#This Row],[Dates]]&lt;=StartDt2US,"",tblData[[#This Row],[Dates]]-USStart)</f>
        <v>29</v>
      </c>
      <c r="AD40" s="25">
        <f>IF(tblData[[#This Row],[Dates]]&lt;=SKoreaStart,"",tblData[[#This Row],[Dates]]-SKoreaStart)</f>
        <v>29</v>
      </c>
      <c r="AE40" s="25">
        <f ca="1">IF(tblData[[#This Row],[Dates]]&lt;=StartDt2UK,"",tblData[[#This Row],[Dates]]-UKStart)</f>
        <v>21</v>
      </c>
      <c r="AF40" s="25">
        <f ca="1">IF(tblData[[#This Row],[Dates]]&lt;StartDt2Singapore,"",tblData[[#This Row],[Dates]]-SingaporeStart)</f>
        <v>28</v>
      </c>
      <c r="AG40" s="25" t="str">
        <f>IF(tblData[[#This Row],[Dates]]&lt;StartDt2Generic,"",tblData[[#This Row],[Dates]]-GenericStart)</f>
        <v/>
      </c>
      <c r="AH40">
        <f ca="1">IF(tblData[Dates]&gt;StartDt2Au,tblData[Dates]-AuStart,"")</f>
        <v>26</v>
      </c>
      <c r="AI40" s="25">
        <f>IF(AND(COUNTBLANK(tblData[[#This Row],[Australian Capital Territory]:[Western Australia]])&lt;1,tblData[New South Wales]&gt;=0),SUM(tblData[[#This Row],[Australian Capital Territory]:[Western Australia]]),"")</f>
        <v>15</v>
      </c>
      <c r="AJ40" s="12">
        <f>IF(ISNUMBER(tblData[Au]),tblData[Au]/AuPopScale,"")</f>
        <v>5.9138937076170954</v>
      </c>
      <c r="AK40" s="19">
        <f ca="1">IF(ISNUMBER(tblData[[#This Row],[Day'# Aust]]),betaAu/(deltaAu+betaPodeltaAu*EXP(-betaAu*tblData[[#This Row],[Day'# Aust]])),"")</f>
        <v>1.6790281321925962</v>
      </c>
      <c r="AL40" s="369">
        <f ca="1">IF(ISNUMBER(tblData[Day'# Aust]),tblData[Au LogiP(t)]/AuPopScale,"")</f>
        <v>0.66197292705905852</v>
      </c>
      <c r="AM40" s="11">
        <f ca="1">IF(AND(tblData[Dates]&gt;StartDt2Au,ISNUMBER(tblData[Au])),(tblData[[#This Row],[Au LogiP(t)]]-tblData[[#This Row],[Au]])^2,"")</f>
        <v>177.44829150291631</v>
      </c>
      <c r="AN40" s="11">
        <f ca="1">IF(AND(ISNUMBER(tblData[Au]),tblData[Dates]&gt;StartDt2Au),(tblData[Au]-AVERAGE(tblData[Au]))^2,"")</f>
        <v>5923431.1160999993</v>
      </c>
      <c r="AO40" s="11">
        <f>tblData[[#This Row],[Dates]]-Au100dt</f>
        <v>-24</v>
      </c>
      <c r="AP40">
        <f ca="1">IF(tblData[Dates]&gt;StartDt2NSW,tblData[Dates]-StartDt2NSW,"")</f>
        <v>26</v>
      </c>
      <c r="AQ40" s="25">
        <f>IF(tblData[[#This Row],[New South Wales]]&gt;0,tblData[[#This Row],[New South Wales]],"")</f>
        <v>4</v>
      </c>
      <c r="AR40" s="44">
        <f ca="1">IF(tblData[Dates]&gt;StartDt2NSW,betaNSW/(deltaNSW+betaPodeltaNSW*EXP(-betaNSW*tblData[[#This Row],[Day '# NSW]])),"")</f>
        <v>0.54600148658965508</v>
      </c>
      <c r="AS40" s="12">
        <f ca="1">IF(AND(ISNUMBER(tblData[NSW]),tblData[Dates]&gt;StartDt2NSW),(tblData[[#This Row],[NSW LogiP(t)]]-tblData[[#This Row],[NSW]])^2,"")</f>
        <v>11.930105730640872</v>
      </c>
      <c r="AT40" s="12">
        <f ca="1">IF(AND(tblData[Dates]&gt;StartDt2NSW,ISNUMBER(tblData[Day'# Aust])),tblData[NSW LogiP(t)]/NSWpopscale,"")</f>
        <v>0.67574441409610775</v>
      </c>
      <c r="AU40" s="11">
        <f>tblData[[#This Row],[Dates]]-NSW100dt+1</f>
        <v>-21</v>
      </c>
      <c r="AV40" s="11">
        <f ca="1">IF(AND(ISNUMBER(tblData[NSW]),tblData[Dates]&gt;StartDt2NSW),(tblData[NSW]-AVERAGE(tblData[NSW]))^2,"")</f>
        <v>1188666.8676</v>
      </c>
      <c r="AW40" s="11">
        <f ca="1">IF(AND(tblData[Dates]&gt;StartDt2Italy,ISNUMBER(tblData[Days'# Italy])),betaItaly/(deltaItaly+betaPodeltaItaly*EXP(-betaItaly*tblData[Days'# Italy])),"")</f>
        <v>90.182261131766751</v>
      </c>
      <c r="AX40" s="11">
        <f ca="1">IF(AND(tblData[Dates]&gt;StartDt2Italy,ISNUMBER(tblData[Italy])),(tblData[[#This Row],[Italy LogiP(t)]]-tblData[[#This Row],[Italy]])^2,"")</f>
        <v>7600.7466560475677</v>
      </c>
      <c r="AY40" s="11">
        <f ca="1">IF(AND(tblData[Dates]&gt;StartDt2Italy,ISNUMBER(tblData[Days'# Italy])),tblData[[#This Row],[Italy LogiP(t)]]/ItalyPopscale,"")</f>
        <v>14.909855523149005</v>
      </c>
      <c r="AZ40" s="39">
        <f ca="1">IF(AND(ISNUMBER(tblData[Italy]),tblData[Dates]&gt;StartDt2Italy),(tblData[Italy]-AVERAGE(tblData[Italy]))^2,"")</f>
        <v>4864449609.7294016</v>
      </c>
      <c r="BA40" s="11">
        <f>tblData[[#This Row],[Dates]]-Italy100dt+1</f>
        <v>-6</v>
      </c>
      <c r="BB40" s="11">
        <f ca="1">IF(AND(tblData[Dates]&gt;StartDt2US,ISNUMBER(tblData[[#This Row],[Days'# US]])),betaUS/(deltaUS+betaPodeltaUS*EXP(-betaUS*tblData[Days'# US])),"")</f>
        <v>3.749210044875984</v>
      </c>
      <c r="BC40" s="11">
        <f ca="1">IF(AND(tblData[Dates]&gt;StartDt2US,ISNUMBER(tblData[US])),(tblData[[#This Row],[US LogiP(t)]]-tblData[US])^2,"")</f>
        <v>85.577114793823398</v>
      </c>
      <c r="BD40" s="20">
        <f ca="1">IF(AND(tblData[Dates]&gt;=StartDt2US,ISNUMBER(tblData[[#This Row],[Days'# US]])),tblData[[#This Row],[US LogiP(t)]]/USPopscale,"")</f>
        <v>0.11387892091196908</v>
      </c>
      <c r="BE40" s="126">
        <f ca="1">IF(AND(ISNUMBER(tblData[US]),tblData[Dates]&gt;StartDt2US),(tblData[US]-AVERAGE(tblData[US]))^2,"")</f>
        <v>50144754669.667915</v>
      </c>
      <c r="BF40" s="11">
        <f>tblData[[#This Row],[Dates]]-US100dt+1</f>
        <v>-23</v>
      </c>
      <c r="BG40" s="20">
        <f ca="1">IF(tblData[Dates]&gt;StartDt2SKorea,betaSKorea/(deltaSKorea+betaPodeltaSKorea*EXP(-betaSKorea*(tblData[Dates]-StartDt2SKorea))),"")</f>
        <v>811.90532768055584</v>
      </c>
      <c r="BH40" s="20">
        <f ca="1">IF(AND(tblData[Dates]&gt;StartDt2SKorea,ISNUMBER(tblData[SKorea])),(tblData[[#This Row],[SKorea LogiP(t)]]-tblData[[#This Row],[SKorea]])^2,"")</f>
        <v>501129.95295851515</v>
      </c>
      <c r="BI40" s="20">
        <f ca="1">IF(tblData[Dates]&gt;StartDt2SKorea,tblData[[#This Row],[SKorea LogiP(t)]]/SKoreaPopscale,"")</f>
        <v>157.95823495730659</v>
      </c>
      <c r="BJ40" s="126">
        <f ca="1">IF(AND(ISNUMBER(tblData[SKorea]),tblData[Dates]&gt;StartDt2SKorea),(tblData[SKorea]-AVERAGE(tblData[SKorea]))^2,"")</f>
        <v>32722662.09957708</v>
      </c>
      <c r="BK40" s="11">
        <f>tblData[[#This Row],[Dates]]-SKorea100dt+1</f>
        <v>-2</v>
      </c>
      <c r="BL40" s="11">
        <f ca="1">IF(AND(tblData[Dates]&gt;StartDt2UK,ISNUMBER(tblData[Days'# UK])),betaUK/(deltaUK+betaPodeltaUK*EXP(-betaUK*tblData[Days'# UK])),"")</f>
        <v>7.7402800128846803</v>
      </c>
      <c r="BM40" s="20">
        <f ca="1">IF(AND(tblData[Dates]&gt;StartDt2UK,ISNUMBER(tblData[United Kingdom])),(tblData[[#This Row],[UK LogiP(t)]]-tblData[[#This Row],[United Kingdom]])^2,"")</f>
        <v>1.5868944459378214</v>
      </c>
      <c r="BN40" s="20">
        <f ca="1">IF(ISNUMBER(tblData[Days'# UK]),tblData[[#This Row],[UK LogiP(t)]]/UKPopscale,"")</f>
        <v>1.165003012174094</v>
      </c>
      <c r="BO40" s="126">
        <f ca="1">IF(AND(ISNUMBER(tblData[United Kingdom]),tblData[Dates]&gt;StartDt2UK),(tblData[United Kingdom]-AVERAGE(tblData[United Kingdom]))^2,"")</f>
        <v>1440812186.8520825</v>
      </c>
      <c r="BP40" s="11">
        <f>tblData[[#This Row],[Dates]]-UK100dt</f>
        <v>-21</v>
      </c>
      <c r="BQ40" s="11">
        <f ca="1">IF(ISNUMBER(tblData[Days'# China]),betaChina/(deltaChina+betaPodeltaChina*EXP(-betaChina*tblData[Days'# China])),"")</f>
        <v>75681.278717158202</v>
      </c>
      <c r="BR40" s="11">
        <f ca="1">IF(ISNUMBER(tblData[China]),(tblData[[#This Row],[China LogiP(t)]]-tblData[[#This Row],[China]])^2,"")</f>
        <v>365152.76801036252</v>
      </c>
      <c r="BS40" s="11">
        <f ca="1">tblData[[#This Row],[China LogiP(t)]]/ChinaPopscale</f>
        <v>525.81135654885622</v>
      </c>
      <c r="BT40" s="126">
        <f ca="1">IF(AND(ISNUMBER(tblData[China]),tblData[Dates]&gt;StartDt2China),(tblData[China]-AVERAGE(tblData[China]))^2,"")</f>
        <v>61976719.339100242</v>
      </c>
      <c r="BU40" s="11">
        <f>tblData[[#This Row],[Dates]]-China100dt</f>
        <v>18</v>
      </c>
      <c r="BV40" s="95">
        <f ca="1">IF(ISNUMBER(tblData[Day'# Singapore]),betaSingapore/(deltaSingapore+betaPodeltaSingapore*EXP(-betaSingapore*tblData[Day'# Singapore])),"")</f>
        <v>4.1136207908704367</v>
      </c>
      <c r="BW40" s="11">
        <f ca="1">IF(AND(ISNUMBER(tblData[Singapore]),tblData[Dates]&gt;=StartDt2Singapore),(tblData[[#This Row],[Singapore LogiP(t)]]-tblData[[#This Row],[Singapore]])^2,"")</f>
        <v>6381.8335831448476</v>
      </c>
      <c r="BX40" s="20">
        <f ca="1">IF(ISNUMBER(tblData[Day'# Singapore]),tblData[Singapore LogiP(t)]/SingaporePopscale,"")</f>
        <v>7.0318304117443367</v>
      </c>
      <c r="BY40" s="95">
        <f ca="1">IF(AND(ISNUMBER(tblData[Singapore]),tblData[Dates]&gt;StartDt2Singapore),(tblData[Singapore]-AVERAGE(tblData[Singapore]))^2,"")</f>
        <v>5003291.7835447909</v>
      </c>
      <c r="BZ40" s="11">
        <f>tblData[[#This Row],[Dates]]-Singapore100dt+1</f>
        <v>7</v>
      </c>
      <c r="CA40" s="11" t="str">
        <f>IF(AND(tblData[Dates]&gt;StartDt2Generic,ISNUMBER(tblData[Day'# Generic])),betaGeneric/(deltaGeneric+betaPodeltaGeneric*EXP(-betaGeneric*tblData[Day'# Generic])),"")</f>
        <v/>
      </c>
      <c r="CB40" s="95" t="str">
        <f>IF(AND(ISNUMBER(tblData[Generic]),tblData[Dates]&gt;StartDt2Generic),(tblData[Generic LogiP(t)]-tblData[[#This Row],[Generic]])^2,"")</f>
        <v/>
      </c>
      <c r="CC40" s="11" t="str">
        <f>IF(AND(ISNUMBER(tblData[Day'# Generic]),tblData[Dates]&gt;StartDt2Generic),tblData[Generic LogiP(t)]/GenericPopscale,"")</f>
        <v/>
      </c>
      <c r="CD40" s="95" t="str">
        <f>IF(AND(ISNUMBER(tblData[Generic]),tblData[Dates]&gt;StartDt2Generic),(tblData[Generic]-AVERAGE(tblData[Generic]))^2,"")</f>
        <v/>
      </c>
      <c r="CE40" s="11">
        <f>tblData[[#This Row],[Dates]]-Generic100dt+1</f>
        <v>-21</v>
      </c>
      <c r="CF40"/>
      <c r="CG40" s="11"/>
      <c r="CH40" s="11" t="str">
        <f>IF(ISNUMBER(tblData[[#This Row],[Tests]]),tblData[[#This Row],[Tests]]-CH39,"")</f>
        <v/>
      </c>
      <c r="CI40" s="11" t="str">
        <f>IF(ISNUMBER(tblData[[#This Row],[NSW Under Investigation'']]),tblData[[#This Row],[NSW Under Investigation'']]-CG39,"")</f>
        <v/>
      </c>
      <c r="CJ40" s="11"/>
      <c r="CK40" s="11" t="str">
        <f>IF(AND(tblData[[#This Row],[NSW Test Day Number]]&gt;0,ISNUMBER(tblData[[#This Row],[NSW Test Day Number]])),betaTests/(deltaTests+betaPodeltaTests*EXP(-betaTests*tblData[[#This Row],[NSW Test Day Number]])),"")</f>
        <v/>
      </c>
      <c r="CL40" s="11" t="str">
        <f>IF(tblData[Tests]&gt;0,(tblData[[#This Row],[Tests]]-tblData[[#This Row],[NSW Test Logi]])^2,"")</f>
        <v/>
      </c>
      <c r="CM40" s="95" t="str">
        <f>IF(AND(ISNUMBER(tblData[Tests]),tblData[Dates]&gt;StartDt2Tests),(tblData[Tests]-AVERAGE(tblData[Tests]))^2,"")</f>
        <v/>
      </c>
      <c r="CN40" s="11" t="str">
        <f>IF(ISNUMBER(tblData[Tests]),tblData[Tests]/NSWpopscale/100,"")</f>
        <v/>
      </c>
      <c r="CO40" s="11" t="str">
        <f>IF(AND(tblData[[#This Row],[NSW Test Day Number]]&gt;0,ISNUMBER(tblData[[#This Row],[NSW Test Day Number]])),TestsLogestB*TestsLogestM^tblData[[#This Row],[NSW Test Day Number]],"")</f>
        <v/>
      </c>
      <c r="CP40" s="11" t="str">
        <f>IF(AND(tblData[[#This Row],[NSW Test Day Number]]&gt;0,ISNUMBER(tblData[Tests])),(tblData[Tests]-tblData[[#This Row],[NSW Test Per Capita]])^2,"")</f>
        <v/>
      </c>
      <c r="CQ40" s="20">
        <f ca="1">IF(AND(tblData[Day '# NSW]&gt;0,ISNUMBER(tblData[[#This Row],[Day '# NSW]])),NSWLogestB*NSWLogestM^tblData[[#This Row],[Day '# NSW]]/NSWpopscale,"")</f>
        <v>17.275028546957003</v>
      </c>
      <c r="CR40" s="39">
        <f ca="1">IF(AND(ISNUMBER(tblData[NSW]),tblData[Dates]&gt;StartDt2NSW),(tblData[NSW]/NSWpopscale-tblData[[#This Row],[NSW Cases LogEst]])^2,"")</f>
        <v>151.8941259298177</v>
      </c>
      <c r="CS40" s="11">
        <v>24</v>
      </c>
      <c r="CT40" s="19">
        <f>IF(ISNUMBER(tblData[Taiwan]),tblData[Taiwan]/TaiwanPopscale,"")</f>
        <v>10.080949181851166</v>
      </c>
      <c r="CU40" s="11">
        <f ca="1">IF(tblData[[#This Row],[Dates]]&lt;StartDt2Taiwan,"",tblData[[#This Row],[Dates]]-TaiwanStart)</f>
        <v>29</v>
      </c>
      <c r="CV40" s="19">
        <f ca="1">IF(AND(tblData[Dates]&gt;StartDt2Taiwan,ISNUMBER(tblData[Days'# Taiwan])),betaTaiwan/(deltaTaiwan+betaPodeltaTaiwan*EXP(-betaTaiwan*tblData[Days'# Taiwan])),"")</f>
        <v>3.0546516889086295</v>
      </c>
      <c r="CW40" s="95">
        <f ca="1">IF(AND(tblData[Dates]&gt;StartDt2Taiwan,ISNUMBER(tblData[Taiwan])),(tblData[[#This Row],[Taiwan LogiP(t)]]-tblData[[#This Row],[Taiwan]])^2,"")</f>
        <v>438.70761587293822</v>
      </c>
      <c r="CX40" s="20">
        <f ca="1">IF(AND(tblData[Dates]&gt;StartDt2Taiwan,ISNUMBER(tblData[Days'# Taiwan])),tblData[[#This Row],[Taiwan LogiP(t)]]/TaiwanPopscale,"")</f>
        <v>1.2830745185059889</v>
      </c>
      <c r="CY40" s="95">
        <f ca="1">IF(AND(ISNUMBER(tblData[Taiwan]),tblData[Dates]&gt;StartDt2Taiwan),(tblData[Taiwan]-AVERAGE(tblData[Taiwan]))^2,"")</f>
        <v>21184.51710880431</v>
      </c>
      <c r="CZ40" s="11">
        <f>tblData[[#This Row],[Dates]]-Taiwan100dt+1</f>
        <v>-34</v>
      </c>
      <c r="DA40"/>
      <c r="DB40" s="20" t="str">
        <f>IF(ISNUMBER(tblData[NZ]),tblData[NZ]/NZPopscale,"")</f>
        <v/>
      </c>
      <c r="DC40" s="11" t="str">
        <f ca="1">IF(tblData[[#This Row],[Dates]]&lt;StartDt2NZ,"",tblData[[#This Row],[Dates]]-NZStart)</f>
        <v/>
      </c>
      <c r="DD40" s="20" t="str">
        <f ca="1">IF(AND(tblData[Dates]&gt;StartDt2NZ,ISNUMBER(tblData[Days'# NZ])),betaNZ/(deltaNZ+betaPodeltaNZ*EXP(-betaNZ*tblData[Days'# NZ])),"")</f>
        <v/>
      </c>
      <c r="DE40" s="95" t="str">
        <f ca="1">IF(AND(tblData[Dates]&gt;StartDt2NZ,ISNUMBER(tblData[NZ])),(tblData[[#This Row],[NZ LogiP(t)]]-tblData[[#This Row],[NZ]])^2,"")</f>
        <v/>
      </c>
      <c r="DF40" s="20" t="str">
        <f ca="1">IF(AND(tblData[Dates]&gt;StartDt2NZ,ISNUMBER(tblData[Days'# NZ])),tblData[[#This Row],[NZ LogiP(t)]]/NZPopscale,"")</f>
        <v/>
      </c>
      <c r="DG40" s="95" t="str">
        <f ca="1">IF(AND(ISNUMBER(tblData[NZ]),tblData[Dates]&gt;StartDt2NZ),(tblData[NZ]-AVERAGE(tblData[NZ]))^2,"")</f>
        <v/>
      </c>
      <c r="DH40" s="11">
        <f>tblData[[#This Row],[Dates]]-NZ100dt+1</f>
        <v>-30</v>
      </c>
      <c r="DI40" s="39"/>
      <c r="DJ40" s="11"/>
      <c r="DM40" s="25"/>
      <c r="DP40"/>
      <c r="DV40" s="25"/>
      <c r="DW40"/>
      <c r="DZ40" s="25"/>
      <c r="EA40" s="25"/>
      <c r="EB40" s="25"/>
      <c r="EH40"/>
      <c r="EI40"/>
      <c r="EJ40"/>
      <c r="EK40"/>
      <c r="EQ40" s="25"/>
      <c r="ER40" s="25"/>
      <c r="ES40" s="25"/>
      <c r="ET40" s="25"/>
      <c r="FF40"/>
      <c r="FG40"/>
      <c r="FH40"/>
      <c r="FI40"/>
      <c r="FJ40" s="25"/>
      <c r="FK40" s="25"/>
      <c r="FM40" s="25"/>
      <c r="FN40"/>
      <c r="FO40" s="263" t="s">
        <v>48</v>
      </c>
      <c r="FP40" s="250">
        <v>43928.748923611114</v>
      </c>
      <c r="FQ40" s="243">
        <v>43855</v>
      </c>
      <c r="FR40" s="26">
        <v>43855</v>
      </c>
      <c r="FS40" s="211">
        <v>0</v>
      </c>
      <c r="FT40" s="72">
        <v>0.25290385494561279</v>
      </c>
      <c r="FU40" s="72">
        <v>4.0523372244673851E-5</v>
      </c>
      <c r="FV40" s="74">
        <v>1E-3</v>
      </c>
      <c r="FW40" s="212">
        <v>6240.9380299995382</v>
      </c>
      <c r="FX40" s="214">
        <v>34.024240559452103</v>
      </c>
      <c r="FY40" s="214">
        <v>0.99961197729394635</v>
      </c>
      <c r="FZ40" s="213">
        <v>252.90381442224054</v>
      </c>
      <c r="GA40" s="213">
        <v>4.0523372244673853E-2</v>
      </c>
      <c r="GB40" s="243">
        <v>43927</v>
      </c>
      <c r="GC40" s="26" t="s">
        <v>1913</v>
      </c>
      <c r="GD40" s="214">
        <v>6240.9380299995382</v>
      </c>
      <c r="GE40" s="214">
        <v>5800</v>
      </c>
      <c r="GF40" s="73" t="s">
        <v>1197</v>
      </c>
      <c r="GG40" s="156">
        <v>43927</v>
      </c>
      <c r="GH40" s="25">
        <v>73</v>
      </c>
      <c r="GI40" s="25" t="s">
        <v>1914</v>
      </c>
      <c r="GK40" s="62" t="s">
        <v>1915</v>
      </c>
      <c r="GM40" s="25" t="s">
        <v>1916</v>
      </c>
      <c r="GN40" s="165">
        <v>2286.7055669452766</v>
      </c>
      <c r="GO40" s="156"/>
      <c r="GP40" s="218"/>
      <c r="GQ40" s="156"/>
      <c r="GR40" s="25"/>
      <c r="GS40" s="25" t="s">
        <v>1964</v>
      </c>
      <c r="GT40" s="11">
        <v>6070.7033975090044</v>
      </c>
      <c r="GU40" s="12">
        <v>1.4879152371550745E-2</v>
      </c>
      <c r="GV40" s="26">
        <v>43904</v>
      </c>
      <c r="GW40" t="s">
        <v>1965</v>
      </c>
      <c r="GX40" s="219">
        <v>88.319971129014448</v>
      </c>
      <c r="GY40" t="s">
        <v>569</v>
      </c>
      <c r="HK40" s="164">
        <v>43927</v>
      </c>
      <c r="HL40" s="60">
        <v>43926.833333333336</v>
      </c>
      <c r="HM40">
        <v>2637</v>
      </c>
      <c r="HN40">
        <v>121401</v>
      </c>
      <c r="HO40">
        <v>595</v>
      </c>
      <c r="HP40">
        <v>397</v>
      </c>
      <c r="HQ40">
        <f>IF(ISNUMBER(tblNSWKnown[[#This Row],[Unknown Locally]]),tblNSWKnown[[#This Row],[Known Locally]]+tblNSWKnown[[#This Row],[Unknown Locally]],"")</f>
        <v>992</v>
      </c>
      <c r="HR40" s="25">
        <v>7</v>
      </c>
      <c r="HS40">
        <f>IF(ISNUMBER(tblNSWKnown[[#This Row],[Day '# NSW Unknown]]),betaNSWUnknown/(deltaNSWUnknown+betaPodeltaNSWUnknown*EXP(-betaNSWUnknown*tblNSWKnown[Day '# NSW Unknown])),"")</f>
        <v>964.11889826970241</v>
      </c>
      <c r="HT40">
        <f>IF(ISNUMBER(tblNSWKnown[[#This Row],[Total Local]]),(tblNSWKnown[[#This Row],[Total Local]]-tblNSWKnown[[#This Row],[NSW Unknown Logi P(t)]])^2,"")</f>
        <v>777.35583369520305</v>
      </c>
      <c r="HU40" s="166">
        <f>IF(ISNUMBER(tblNSWKnown[Total Local]),(tblNSWKnown[Total Local]-AVERAGE(tblNSWKnown[Total Local]))^2,"")</f>
        <v>6537.1980968857979</v>
      </c>
      <c r="HV40" s="166"/>
    </row>
    <row r="41" spans="2:231" ht="15" customHeight="1" x14ac:dyDescent="0.25">
      <c r="B41" s="26">
        <v>43882</v>
      </c>
      <c r="C41">
        <v>4</v>
      </c>
      <c r="D41" s="25">
        <v>0</v>
      </c>
      <c r="E41">
        <v>4</v>
      </c>
      <c r="F41">
        <v>0</v>
      </c>
      <c r="G41">
        <v>5</v>
      </c>
      <c r="H41">
        <v>2</v>
      </c>
      <c r="I41">
        <v>0</v>
      </c>
      <c r="J41">
        <v>4</v>
      </c>
      <c r="K41">
        <v>0</v>
      </c>
      <c r="L41" s="11">
        <f>IF(ISNUMBER(tblData[[#This Row],[NSW]]),tblData[[#This Row],[New South Wales]]/NSWpopscale,"")</f>
        <v>4.9504950495049505</v>
      </c>
      <c r="M41" s="25">
        <v>20</v>
      </c>
      <c r="N41" s="20">
        <f>IF(ISNUMBER(tblData[Italy]),tblData[Italy]/ItalyPopscale,"")</f>
        <v>3.3066049433743903</v>
      </c>
      <c r="O41">
        <v>15</v>
      </c>
      <c r="P41" s="20">
        <f>IF(ISNUMBER(tblData[US]),tblData[US]/USPopscale,"")</f>
        <v>0.45561166038539175</v>
      </c>
      <c r="Q41">
        <v>204</v>
      </c>
      <c r="R41" s="20">
        <f>IF(ISNUMBER(tblData[SKorea]),tblData[SKorea]/SKoreaPopscale,"")</f>
        <v>39.688715953307394</v>
      </c>
      <c r="S41">
        <v>9</v>
      </c>
      <c r="T41" s="20">
        <f>IF(ISNUMBER(tblData[United Kingdom]),tblData[United Kingdom]/UKPopscale,"")</f>
        <v>1.3546056592414208</v>
      </c>
      <c r="U41">
        <v>75550</v>
      </c>
      <c r="V41" s="20">
        <f>IF(ISNUMBER(tblData[China]),tblData[China]/ChinaPopscale,"")</f>
        <v>524.89927047519291</v>
      </c>
      <c r="W41" s="25">
        <f ca="1">IF(tblData[[#This Row],[Dates]]&lt;StartDt2China,"",tblData[[#This Row],[Dates]]-ChinaStart)</f>
        <v>30</v>
      </c>
      <c r="X41">
        <v>85</v>
      </c>
      <c r="Y41" s="20">
        <f>IF(ISNUMBER(tblData[Singapore]),tblData[Singapore]/SingaporePopscale,"")</f>
        <v>145.29914529914529</v>
      </c>
      <c r="Z41"/>
      <c r="AA41" s="20" t="str">
        <f>IF(AND(LEN(tblData[Generic])&gt;0,ISNUMBER(tblData[Generic])),tblData[Generic]/GenericPopscale,"")</f>
        <v/>
      </c>
      <c r="AB41" s="25">
        <f ca="1">IF(tblData[[#This Row],[Dates]]&lt;StartDt2Italy,"",tblData[[#This Row],[Dates]]-ItalyStart)</f>
        <v>22</v>
      </c>
      <c r="AC41" s="25">
        <f ca="1">IF(tblData[[#This Row],[Dates]]&lt;=StartDt2US,"",tblData[[#This Row],[Dates]]-USStart)</f>
        <v>30</v>
      </c>
      <c r="AD41" s="25">
        <f>IF(tblData[[#This Row],[Dates]]&lt;=SKoreaStart,"",tblData[[#This Row],[Dates]]-SKoreaStart)</f>
        <v>30</v>
      </c>
      <c r="AE41" s="25">
        <f ca="1">IF(tblData[[#This Row],[Dates]]&lt;=StartDt2UK,"",tblData[[#This Row],[Dates]]-UKStart)</f>
        <v>22</v>
      </c>
      <c r="AF41" s="25">
        <f ca="1">IF(tblData[[#This Row],[Dates]]&lt;StartDt2Singapore,"",tblData[[#This Row],[Dates]]-SingaporeStart)</f>
        <v>29</v>
      </c>
      <c r="AG41" s="25" t="str">
        <f>IF(tblData[[#This Row],[Dates]]&lt;StartDt2Generic,"",tblData[[#This Row],[Dates]]-GenericStart)</f>
        <v/>
      </c>
      <c r="AH41">
        <f ca="1">IF(tblData[Dates]&gt;StartDt2Au,tblData[Dates]-AuStart,"")</f>
        <v>27</v>
      </c>
      <c r="AI41" s="25">
        <f>IF(AND(COUNTBLANK(tblData[[#This Row],[Australian Capital Territory]:[Western Australia]])&lt;1,tblData[New South Wales]&gt;=0),SUM(tblData[[#This Row],[Australian Capital Territory]:[Western Australia]]),"")</f>
        <v>15</v>
      </c>
      <c r="AJ41" s="12">
        <f>IF(ISNUMBER(tblData[Au]),tblData[Au]/AuPopScale,"")</f>
        <v>5.9138937076170954</v>
      </c>
      <c r="AK41" s="19">
        <f ca="1">IF(ISNUMBER(tblData[[#This Row],[Day'# Aust]]),betaAu/(deltaAu+betaPodeltaAu*EXP(-betaAu*tblData[[#This Row],[Day'# Aust]])),"")</f>
        <v>2.1050255044086734</v>
      </c>
      <c r="AL41" s="369">
        <f ca="1">IF(ISNUMBER(tblData[Day'# Aust]),tblData[Au LogiP(t)]/AuPopScale,"")</f>
        <v>0.82992647232639705</v>
      </c>
      <c r="AM41" s="11">
        <f ca="1">IF(AND(tblData[Dates]&gt;StartDt2Au,ISNUMBER(tblData[Au])),(tblData[[#This Row],[Au LogiP(t)]]-tblData[[#This Row],[Au]])^2,"")</f>
        <v>166.28036724195081</v>
      </c>
      <c r="AN41" s="11">
        <f ca="1">IF(AND(ISNUMBER(tblData[Au]),tblData[Dates]&gt;StartDt2Au),(tblData[Au]-AVERAGE(tblData[Au]))^2,"")</f>
        <v>5923431.1160999993</v>
      </c>
      <c r="AO41" s="11">
        <f>tblData[[#This Row],[Dates]]-Au100dt</f>
        <v>-23</v>
      </c>
      <c r="AP41">
        <f ca="1">IF(tblData[Dates]&gt;StartDt2NSW,tblData[Dates]-StartDt2NSW,"")</f>
        <v>27</v>
      </c>
      <c r="AQ41" s="25">
        <f>IF(tblData[[#This Row],[New South Wales]]&gt;0,tblData[[#This Row],[New South Wales]],"")</f>
        <v>4</v>
      </c>
      <c r="AR41" s="44">
        <f ca="1">IF(tblData[Dates]&gt;StartDt2NSW,betaNSW/(deltaNSW+betaPodeltaNSW*EXP(-betaNSW*tblData[[#This Row],[Day '# NSW]])),"")</f>
        <v>0.69011916376446647</v>
      </c>
      <c r="AS41" s="12">
        <f ca="1">IF(AND(ISNUMBER(tblData[NSW]),tblData[Dates]&gt;StartDt2NSW),(tblData[[#This Row],[NSW LogiP(t)]]-tblData[[#This Row],[NSW]])^2,"")</f>
        <v>10.955311150079234</v>
      </c>
      <c r="AT41" s="12">
        <f ca="1">IF(AND(tblData[Dates]&gt;StartDt2NSW,ISNUMBER(tblData[Day'# Aust])),tblData[NSW LogiP(t)]/NSWpopscale,"")</f>
        <v>0.85410787594612181</v>
      </c>
      <c r="AU41" s="11">
        <f>tblData[[#This Row],[Dates]]-NSW100dt+1</f>
        <v>-20</v>
      </c>
      <c r="AV41" s="11">
        <f ca="1">IF(AND(ISNUMBER(tblData[NSW]),tblData[Dates]&gt;StartDt2NSW),(tblData[NSW]-AVERAGE(tblData[NSW]))^2,"")</f>
        <v>1188666.8676</v>
      </c>
      <c r="AW41" s="11">
        <f ca="1">IF(AND(tblData[Dates]&gt;StartDt2Italy,ISNUMBER(tblData[Days'# Italy])),betaItaly/(deltaItaly+betaPodeltaItaly*EXP(-betaItaly*tblData[Days'# Italy])),"")</f>
        <v>116.14669485904612</v>
      </c>
      <c r="AX41" s="11">
        <f ca="1">IF(AND(tblData[Dates]&gt;StartDt2Italy,ISNUMBER(tblData[Italy])),(tblData[[#This Row],[Italy LogiP(t)]]-tblData[[#This Row],[Italy]])^2,"")</f>
        <v>9244.1869323185256</v>
      </c>
      <c r="AY41" s="11">
        <f ca="1">IF(AND(tblData[Dates]&gt;StartDt2Italy,ISNUMBER(tblData[Days'# Italy])),tblData[[#This Row],[Italy LogiP(t)]]/ItalyPopscale,"")</f>
        <v>19.202561768875942</v>
      </c>
      <c r="AZ41" s="39">
        <f ca="1">IF(AND(ISNUMBER(tblData[Italy]),tblData[Dates]&gt;StartDt2Italy),(tblData[Italy]-AVERAGE(tblData[Italy]))^2,"")</f>
        <v>4862078548.11238</v>
      </c>
      <c r="BA41" s="11">
        <f>tblData[[#This Row],[Dates]]-Italy100dt+1</f>
        <v>-5</v>
      </c>
      <c r="BB41" s="11">
        <f ca="1">IF(AND(tblData[Dates]&gt;StartDt2US,ISNUMBER(tblData[[#This Row],[Days'# US]])),betaUS/(deltaUS+betaPodeltaUS*EXP(-betaUS*tblData[Days'# US])),"")</f>
        <v>4.9794168725667127</v>
      </c>
      <c r="BC41" s="11">
        <f ca="1">IF(AND(tblData[Dates]&gt;StartDt2US,ISNUMBER(tblData[US])),(tblData[[#This Row],[US LogiP(t)]]-tblData[US])^2,"")</f>
        <v>100.41208621380068</v>
      </c>
      <c r="BD41" s="20">
        <f ca="1">IF(AND(tblData[Dates]&gt;=StartDt2US,ISNUMBER(tblData[[#This Row],[Days'# US]])),tblData[[#This Row],[US LogiP(t)]]/USPopscale,"")</f>
        <v>0.15124535927074365</v>
      </c>
      <c r="BE41" s="126">
        <f ca="1">IF(AND(ISNUMBER(tblData[US]),tblData[Dates]&gt;StartDt2US),(tblData[US]-AVERAGE(tblData[US]))^2,"")</f>
        <v>50143858952.687523</v>
      </c>
      <c r="BF41" s="11">
        <f>tblData[[#This Row],[Dates]]-US100dt+1</f>
        <v>-22</v>
      </c>
      <c r="BG41" s="20">
        <f ca="1">IF(tblData[Dates]&gt;StartDt2SKorea,betaSKorea/(deltaSKorea+betaPodeltaSKorea*EXP(-betaSKorea*(tblData[Dates]-StartDt2SKorea))),"")</f>
        <v>954.73004128683124</v>
      </c>
      <c r="BH41" s="20">
        <f ca="1">IF(AND(tblData[Dates]&gt;StartDt2SKorea,ISNUMBER(tblData[SKorea])),(tblData[[#This Row],[SKorea LogiP(t)]]-tblData[[#This Row],[SKorea]])^2,"")</f>
        <v>563595.59489052731</v>
      </c>
      <c r="BI41" s="20">
        <f ca="1">IF(tblData[Dates]&gt;StartDt2SKorea,tblData[[#This Row],[SKorea LogiP(t)]]/SKoreaPopscale,"")</f>
        <v>185.74514421922788</v>
      </c>
      <c r="BJ41" s="126">
        <f ca="1">IF(AND(ISNUMBER(tblData[SKorea]),tblData[Dates]&gt;StartDt2SKorea),(tblData[SKorea]-AVERAGE(tblData[SKorea]))^2,"")</f>
        <v>31588587.589773159</v>
      </c>
      <c r="BK41" s="11">
        <f>tblData[[#This Row],[Dates]]-SKorea100dt+1</f>
        <v>-1</v>
      </c>
      <c r="BL41" s="11">
        <f ca="1">IF(AND(tblData[Dates]&gt;StartDt2UK,ISNUMBER(tblData[Days'# UK])),betaUK/(deltaUK+betaPodeltaUK*EXP(-betaUK*tblData[Days'# UK])),"")</f>
        <v>9.5795693870054084</v>
      </c>
      <c r="BM41" s="20">
        <f ca="1">IF(AND(tblData[Dates]&gt;StartDt2UK,ISNUMBER(tblData[United Kingdom])),(tblData[[#This Row],[UK LogiP(t)]]-tblData[[#This Row],[United Kingdom]])^2,"")</f>
        <v>0.33590067435382481</v>
      </c>
      <c r="BN41" s="20">
        <f ca="1">IF(ISNUMBER(tblData[Days'# UK]),tblData[[#This Row],[UK LogiP(t)]]/UKPopscale,"")</f>
        <v>1.4418376560814883</v>
      </c>
      <c r="BO41" s="126">
        <f ca="1">IF(AND(ISNUMBER(tblData[United Kingdom]),tblData[Dates]&gt;StartDt2UK),(tblData[United Kingdom]-AVERAGE(tblData[United Kingdom]))^2,"")</f>
        <v>1440812186.8520825</v>
      </c>
      <c r="BP41" s="11">
        <f>tblData[[#This Row],[Dates]]-UK100dt</f>
        <v>-20</v>
      </c>
      <c r="BQ41" s="11">
        <f ca="1">IF(ISNUMBER(tblData[Days'# China]),betaChina/(deltaChina+betaPodeltaChina*EXP(-betaChina*tblData[Days'# China])),"")</f>
        <v>76876.66128693863</v>
      </c>
      <c r="BR41" s="11">
        <f ca="1">IF(ISNUMBER(tblData[China]),(tblData[[#This Row],[China LogiP(t)]]-tblData[[#This Row],[China]])^2,"")</f>
        <v>1760030.1702616618</v>
      </c>
      <c r="BS41" s="11">
        <f ca="1">tblData[[#This Row],[China LogiP(t)]]/ChinaPopscale</f>
        <v>534.11652450142412</v>
      </c>
      <c r="BT41" s="126">
        <f ca="1">IF(AND(ISNUMBER(tblData[China]),tblData[Dates]&gt;StartDt2China),(tblData[China]-AVERAGE(tblData[China]))^2,"")</f>
        <v>69647861.162629649</v>
      </c>
      <c r="BU41" s="11">
        <f>tblData[[#This Row],[Dates]]-China100dt</f>
        <v>19</v>
      </c>
      <c r="BV41" s="95">
        <f ca="1">IF(ISNUMBER(tblData[Day'# Singapore]),betaSingapore/(deltaSingapore+betaPodeltaSingapore*EXP(-betaSingapore*tblData[Day'# Singapore])),"")</f>
        <v>4.6640921460410967</v>
      </c>
      <c r="BW41" s="11">
        <f ca="1">IF(AND(ISNUMBER(tblData[Singapore]),tblData[Dates]&gt;=StartDt2Singapore),(tblData[[#This Row],[Singapore LogiP(t)]]-tblData[[#This Row],[Singapore]])^2,"")</f>
        <v>6453.8580907197756</v>
      </c>
      <c r="BX41" s="20">
        <f ca="1">IF(ISNUMBER(tblData[Day'# Singapore]),tblData[Singapore LogiP(t)]/SingaporePopscale,"")</f>
        <v>7.9728070872497385</v>
      </c>
      <c r="BY41" s="95">
        <f ca="1">IF(AND(ISNUMBER(tblData[Singapore]),tblData[Dates]&gt;StartDt2Singapore),(tblData[Singapore]-AVERAGE(tblData[Singapore]))^2,"")</f>
        <v>4998819.1757016536</v>
      </c>
      <c r="BZ41" s="11">
        <f>tblData[[#This Row],[Dates]]-Singapore100dt+1</f>
        <v>8</v>
      </c>
      <c r="CA41" s="11" t="str">
        <f>IF(AND(tblData[Dates]&gt;StartDt2Generic,ISNUMBER(tblData[Day'# Generic])),betaGeneric/(deltaGeneric+betaPodeltaGeneric*EXP(-betaGeneric*tblData[Day'# Generic])),"")</f>
        <v/>
      </c>
      <c r="CB41" s="95" t="str">
        <f>IF(AND(ISNUMBER(tblData[Generic]),tblData[Dates]&gt;StartDt2Generic),(tblData[Generic LogiP(t)]-tblData[[#This Row],[Generic]])^2,"")</f>
        <v/>
      </c>
      <c r="CC41" s="11" t="str">
        <f>IF(AND(ISNUMBER(tblData[Day'# Generic]),tblData[Dates]&gt;StartDt2Generic),tblData[Generic LogiP(t)]/GenericPopscale,"")</f>
        <v/>
      </c>
      <c r="CD41" s="95" t="str">
        <f>IF(AND(ISNUMBER(tblData[Generic]),tblData[Dates]&gt;StartDt2Generic),(tblData[Generic]-AVERAGE(tblData[Generic]))^2,"")</f>
        <v/>
      </c>
      <c r="CE41" s="11">
        <f>tblData[[#This Row],[Dates]]-Generic100dt+1</f>
        <v>-20</v>
      </c>
      <c r="CF41"/>
      <c r="CG41" s="11"/>
      <c r="CH41" s="11" t="str">
        <f>IF(ISNUMBER(tblData[[#This Row],[Tests]]),tblData[[#This Row],[Tests]]-CH40,"")</f>
        <v/>
      </c>
      <c r="CI41" s="11" t="str">
        <f>IF(ISNUMBER(tblData[[#This Row],[NSW Under Investigation'']]),tblData[[#This Row],[NSW Under Investigation'']]-CG40,"")</f>
        <v/>
      </c>
      <c r="CJ41" s="11"/>
      <c r="CK41" s="11" t="str">
        <f>IF(AND(tblData[[#This Row],[NSW Test Day Number]]&gt;0,ISNUMBER(tblData[[#This Row],[NSW Test Day Number]])),betaTests/(deltaTests+betaPodeltaTests*EXP(-betaTests*tblData[[#This Row],[NSW Test Day Number]])),"")</f>
        <v/>
      </c>
      <c r="CL41" s="11" t="str">
        <f>IF(tblData[Tests]&gt;0,(tblData[[#This Row],[Tests]]-tblData[[#This Row],[NSW Test Logi]])^2,"")</f>
        <v/>
      </c>
      <c r="CM41" s="95" t="str">
        <f>IF(AND(ISNUMBER(tblData[Tests]),tblData[Dates]&gt;StartDt2Tests),(tblData[Tests]-AVERAGE(tblData[Tests]))^2,"")</f>
        <v/>
      </c>
      <c r="CN41" s="11" t="str">
        <f>IF(ISNUMBER(tblData[Tests]),tblData[Tests]/NSWpopscale/100,"")</f>
        <v/>
      </c>
      <c r="CO41" s="11" t="str">
        <f>IF(AND(tblData[[#This Row],[NSW Test Day Number]]&gt;0,ISNUMBER(tblData[[#This Row],[NSW Test Day Number]])),TestsLogestB*TestsLogestM^tblData[[#This Row],[NSW Test Day Number]],"")</f>
        <v/>
      </c>
      <c r="CP41" s="11" t="str">
        <f>IF(AND(tblData[[#This Row],[NSW Test Day Number]]&gt;0,ISNUMBER(tblData[Tests])),(tblData[Tests]-tblData[[#This Row],[NSW Test Per Capita]])^2,"")</f>
        <v/>
      </c>
      <c r="CQ41" s="20">
        <f ca="1">IF(AND(tblData[Day '# NSW]&gt;0,ISNUMBER(tblData[[#This Row],[Day '# NSW]])),NSWLogestB*NSWLogestM^tblData[[#This Row],[Day '# NSW]]/NSWpopscale,"")</f>
        <v>19.019039975633081</v>
      </c>
      <c r="CR41" s="39">
        <f ca="1">IF(AND(ISNUMBER(tblData[NSW]),tblData[Dates]&gt;StartDt2NSW),(tblData[NSW]/NSWpopscale-tblData[[#This Row],[NSW Cases LogEst]])^2,"")</f>
        <v>197.92395633848554</v>
      </c>
      <c r="CS41" s="11">
        <v>26</v>
      </c>
      <c r="CT41" s="19">
        <f>IF(ISNUMBER(tblData[Taiwan]),tblData[Taiwan]/TaiwanPopscale,"")</f>
        <v>10.921028280338763</v>
      </c>
      <c r="CU41" s="11">
        <f ca="1">IF(tblData[[#This Row],[Dates]]&lt;StartDt2Taiwan,"",tblData[[#This Row],[Dates]]-TaiwanStart)</f>
        <v>30</v>
      </c>
      <c r="CV41" s="19">
        <f ca="1">IF(AND(tblData[Dates]&gt;StartDt2Taiwan,ISNUMBER(tblData[Days'# Taiwan])),betaTaiwan/(deltaTaiwan+betaPodeltaTaiwan*EXP(-betaTaiwan*tblData[Days'# Taiwan])),"")</f>
        <v>3.5362406304085674</v>
      </c>
      <c r="CW41" s="95">
        <f ca="1">IF(AND(tblData[Dates]&gt;StartDt2Taiwan,ISNUMBER(tblData[Taiwan])),(tblData[[#This Row],[Taiwan LogiP(t)]]-tblData[[#This Row],[Taiwan]])^2,"")</f>
        <v>504.62048501490688</v>
      </c>
      <c r="CX41" s="20">
        <f ca="1">IF(AND(tblData[Dates]&gt;StartDt2Taiwan,ISNUMBER(tblData[Days'# Taiwan])),tblData[[#This Row],[Taiwan LogiP(t)]]/TaiwanPopscale,"")</f>
        <v>1.4853609204144207</v>
      </c>
      <c r="CY41" s="95">
        <f ca="1">IF(AND(ISNUMBER(tblData[Taiwan]),tblData[Dates]&gt;StartDt2Taiwan),(tblData[Taiwan]-AVERAGE(tblData[Taiwan]))^2,"")</f>
        <v>20606.321030372936</v>
      </c>
      <c r="CZ41" s="11">
        <f>tblData[[#This Row],[Dates]]-Taiwan100dt+1</f>
        <v>-33</v>
      </c>
      <c r="DA41"/>
      <c r="DB41" s="20" t="str">
        <f>IF(ISNUMBER(tblData[NZ]),tblData[NZ]/NZPopscale,"")</f>
        <v/>
      </c>
      <c r="DC41" s="11" t="str">
        <f ca="1">IF(tblData[[#This Row],[Dates]]&lt;StartDt2NZ,"",tblData[[#This Row],[Dates]]-NZStart)</f>
        <v/>
      </c>
      <c r="DD41" s="20" t="str">
        <f ca="1">IF(AND(tblData[Dates]&gt;StartDt2NZ,ISNUMBER(tblData[Days'# NZ])),betaNZ/(deltaNZ+betaPodeltaNZ*EXP(-betaNZ*tblData[Days'# NZ])),"")</f>
        <v/>
      </c>
      <c r="DE41" s="95" t="str">
        <f ca="1">IF(AND(tblData[Dates]&gt;StartDt2NZ,ISNUMBER(tblData[NZ])),(tblData[[#This Row],[NZ LogiP(t)]]-tblData[[#This Row],[NZ]])^2,"")</f>
        <v/>
      </c>
      <c r="DF41" s="20" t="str">
        <f ca="1">IF(AND(tblData[Dates]&gt;StartDt2NZ,ISNUMBER(tblData[Days'# NZ])),tblData[[#This Row],[NZ LogiP(t)]]/NZPopscale,"")</f>
        <v/>
      </c>
      <c r="DG41" s="95" t="str">
        <f ca="1">IF(AND(ISNUMBER(tblData[NZ]),tblData[Dates]&gt;StartDt2NZ),(tblData[NZ]-AVERAGE(tblData[NZ]))^2,"")</f>
        <v/>
      </c>
      <c r="DH41" s="11">
        <f>tblData[[#This Row],[Dates]]-NZ100dt+1</f>
        <v>-29</v>
      </c>
      <c r="DI41" s="39"/>
      <c r="DJ41" s="11"/>
      <c r="DM41" s="25"/>
      <c r="DP41"/>
      <c r="DV41" s="25"/>
      <c r="DW41"/>
      <c r="DZ41" s="25"/>
      <c r="EA41" s="25"/>
      <c r="EB41" s="25"/>
      <c r="EH41"/>
      <c r="EI41"/>
      <c r="EJ41"/>
      <c r="EK41"/>
      <c r="EQ41" s="25"/>
      <c r="ER41" s="25"/>
      <c r="ES41" s="25"/>
      <c r="ET41" s="25"/>
      <c r="FF41"/>
      <c r="FG41"/>
      <c r="FH41"/>
      <c r="FI41"/>
      <c r="FJ41" s="25"/>
      <c r="FK41" s="25"/>
      <c r="FM41" s="25"/>
      <c r="FN41"/>
      <c r="FO41" s="267" t="s">
        <v>48</v>
      </c>
      <c r="FP41" s="251">
        <v>43930.80914351852</v>
      </c>
      <c r="FQ41" s="243">
        <v>43855</v>
      </c>
      <c r="FR41" s="160">
        <v>43855</v>
      </c>
      <c r="FS41" s="211">
        <v>0</v>
      </c>
      <c r="FT41" s="72">
        <v>0.25277058450344581</v>
      </c>
      <c r="FU41" s="72">
        <v>4.0290383804677569E-5</v>
      </c>
      <c r="FV41" s="74">
        <v>1.0000000347567008E-3</v>
      </c>
      <c r="FW41" s="212">
        <v>6273.719945901832</v>
      </c>
      <c r="FX41" s="212">
        <v>34.585908342432027</v>
      </c>
      <c r="FY41" s="212">
        <v>0.99968922340830768</v>
      </c>
      <c r="FZ41" s="213">
        <v>252.77053542759074</v>
      </c>
      <c r="GA41" s="213">
        <v>4.0290383804677567E-2</v>
      </c>
      <c r="GB41" s="243">
        <v>43930</v>
      </c>
      <c r="GC41" s="160" t="s">
        <v>1476</v>
      </c>
      <c r="GD41" s="212">
        <v>6273.719945901832</v>
      </c>
      <c r="GE41" s="212">
        <v>6104</v>
      </c>
      <c r="GF41" s="74" t="s">
        <v>1477</v>
      </c>
      <c r="GG41" s="156">
        <v>43930</v>
      </c>
      <c r="GH41" s="25">
        <v>76</v>
      </c>
      <c r="GI41" s="23" t="s">
        <v>2014</v>
      </c>
      <c r="GJ41" s="21"/>
      <c r="GK41" s="161" t="s">
        <v>2015</v>
      </c>
      <c r="GL41" s="23"/>
      <c r="GM41" s="23" t="s">
        <v>2016</v>
      </c>
      <c r="GN41" s="23">
        <v>2406.5604794196497</v>
      </c>
      <c r="GO41" s="243"/>
      <c r="GP41" s="218"/>
      <c r="GQ41" s="243"/>
      <c r="GR41" s="23"/>
      <c r="GS41" s="23" t="s">
        <v>2013</v>
      </c>
      <c r="GT41" s="11">
        <v>6100.0143623186623</v>
      </c>
      <c r="GU41" s="34">
        <v>1.4371510144125918E-2</v>
      </c>
      <c r="GV41" s="160">
        <v>43904</v>
      </c>
      <c r="GW41" s="23" t="s">
        <v>1965</v>
      </c>
      <c r="GX41" s="220">
        <v>-3.985637681337721</v>
      </c>
      <c r="GY41" s="23" t="s">
        <v>569</v>
      </c>
      <c r="GZ41" s="23"/>
      <c r="HK41" s="164">
        <v>43928</v>
      </c>
      <c r="HL41" s="60">
        <v>43928.833333333336</v>
      </c>
      <c r="HM41">
        <v>2686</v>
      </c>
      <c r="HN41">
        <v>123460</v>
      </c>
      <c r="HO41">
        <v>614</v>
      </c>
      <c r="HP41">
        <v>406</v>
      </c>
      <c r="HQ41">
        <f>IF(ISNUMBER(tblNSWKnown[[#This Row],[Unknown Locally]]),tblNSWKnown[[#This Row],[Known Locally]]+tblNSWKnown[[#This Row],[Unknown Locally]],"")</f>
        <v>1020</v>
      </c>
      <c r="HR41" s="25">
        <v>8</v>
      </c>
      <c r="HS41">
        <f>IF(ISNUMBER(tblNSWKnown[[#This Row],[Day '# NSW Unknown]]),betaNSWUnknown/(deltaNSWUnknown+betaPodeltaNSWUnknown*EXP(-betaNSWUnknown*tblNSWKnown[Day '# NSW Unknown])),"")</f>
        <v>996.23173624772528</v>
      </c>
      <c r="HT41">
        <f>IF(ISNUMBER(tblNSWKnown[[#This Row],[Total Local]]),(tblNSWKnown[[#This Row],[Total Local]]-tblNSWKnown[[#This Row],[NSW Unknown Logi P(t)]])^2,"")</f>
        <v>564.93036179769638</v>
      </c>
      <c r="HU41" s="166">
        <f>IF(ISNUMBER(tblNSWKnown[Total Local]),(tblNSWKnown[Total Local]-AVERAGE(tblNSWKnown[Total Local]))^2,"")</f>
        <v>2793.4333910034502</v>
      </c>
      <c r="HV41" s="166"/>
    </row>
    <row r="42" spans="2:231" ht="15" customHeight="1" x14ac:dyDescent="0.25">
      <c r="B42" s="26">
        <v>43883</v>
      </c>
      <c r="C42">
        <v>7</v>
      </c>
      <c r="D42" s="25">
        <v>0</v>
      </c>
      <c r="E42">
        <v>4</v>
      </c>
      <c r="F42">
        <v>0</v>
      </c>
      <c r="G42">
        <v>5</v>
      </c>
      <c r="H42">
        <v>2</v>
      </c>
      <c r="I42">
        <v>0</v>
      </c>
      <c r="J42">
        <v>4</v>
      </c>
      <c r="K42">
        <v>0</v>
      </c>
      <c r="L42" s="11">
        <f>IF(ISNUMBER(tblData[[#This Row],[NSW]]),tblData[[#This Row],[New South Wales]]/NSWpopscale,"")</f>
        <v>4.9504950495049505</v>
      </c>
      <c r="M42" s="25">
        <v>62</v>
      </c>
      <c r="N42" s="20">
        <f>IF(ISNUMBER(tblData[Italy]),tblData[Italy]/ItalyPopscale,"")</f>
        <v>10.250475324460611</v>
      </c>
      <c r="O42">
        <v>15</v>
      </c>
      <c r="P42" s="20">
        <f>IF(ISNUMBER(tblData[US]),tblData[US]/USPopscale,"")</f>
        <v>0.45561166038539175</v>
      </c>
      <c r="Q42">
        <v>433</v>
      </c>
      <c r="R42" s="20">
        <f>IF(ISNUMBER(tblData[SKorea]),tblData[SKorea]/SKoreaPopscale,"")</f>
        <v>84.241245136186777</v>
      </c>
      <c r="S42">
        <v>9</v>
      </c>
      <c r="T42" s="20">
        <f>IF(ISNUMBER(tblData[United Kingdom]),tblData[United Kingdom]/UKPopscale,"")</f>
        <v>1.3546056592414208</v>
      </c>
      <c r="U42">
        <v>77001</v>
      </c>
      <c r="V42" s="20">
        <f>IF(ISNUMBER(tblData[China]),tblData[China]/ChinaPopscale,"")</f>
        <v>534.98039345943528</v>
      </c>
      <c r="W42" s="25">
        <f ca="1">IF(tblData[[#This Row],[Dates]]&lt;StartDt2China,"",tblData[[#This Row],[Dates]]-ChinaStart)</f>
        <v>31</v>
      </c>
      <c r="X42">
        <v>85</v>
      </c>
      <c r="Y42" s="20">
        <f>IF(ISNUMBER(tblData[Singapore]),tblData[Singapore]/SingaporePopscale,"")</f>
        <v>145.29914529914529</v>
      </c>
      <c r="Z42"/>
      <c r="AA42" s="20" t="str">
        <f>IF(AND(LEN(tblData[Generic])&gt;0,ISNUMBER(tblData[Generic])),tblData[Generic]/GenericPopscale,"")</f>
        <v/>
      </c>
      <c r="AB42" s="25">
        <f ca="1">IF(tblData[[#This Row],[Dates]]&lt;StartDt2Italy,"",tblData[[#This Row],[Dates]]-ItalyStart)</f>
        <v>23</v>
      </c>
      <c r="AC42" s="25">
        <f ca="1">IF(tblData[[#This Row],[Dates]]&lt;=StartDt2US,"",tblData[[#This Row],[Dates]]-USStart)</f>
        <v>31</v>
      </c>
      <c r="AD42" s="25">
        <f>IF(tblData[[#This Row],[Dates]]&lt;=SKoreaStart,"",tblData[[#This Row],[Dates]]-SKoreaStart)</f>
        <v>31</v>
      </c>
      <c r="AE42" s="25">
        <f ca="1">IF(tblData[[#This Row],[Dates]]&lt;=StartDt2UK,"",tblData[[#This Row],[Dates]]-UKStart)</f>
        <v>23</v>
      </c>
      <c r="AF42" s="25">
        <f ca="1">IF(tblData[[#This Row],[Dates]]&lt;StartDt2Singapore,"",tblData[[#This Row],[Dates]]-SingaporeStart)</f>
        <v>30</v>
      </c>
      <c r="AG42" s="25" t="str">
        <f>IF(tblData[[#This Row],[Dates]]&lt;StartDt2Generic,"",tblData[[#This Row],[Dates]]-GenericStart)</f>
        <v/>
      </c>
      <c r="AH42">
        <f ca="1">IF(tblData[Dates]&gt;StartDt2Au,tblData[Dates]-AuStart,"")</f>
        <v>28</v>
      </c>
      <c r="AI42" s="25">
        <f>IF(AND(COUNTBLANK(tblData[[#This Row],[Australian Capital Territory]:[Western Australia]])&lt;1,tblData[New South Wales]&gt;=0),SUM(tblData[[#This Row],[Australian Capital Territory]:[Western Australia]]),"")</f>
        <v>15</v>
      </c>
      <c r="AJ42" s="12">
        <f>IF(ISNUMBER(tblData[Au]),tblData[Au]/AuPopScale,"")</f>
        <v>5.9138937076170954</v>
      </c>
      <c r="AK42" s="11">
        <f ca="1">IF(ISNUMBER(tblData[[#This Row],[Day'# Aust]]),betaAu/(deltaAu+betaPodeltaAu*EXP(-betaAu*tblData[[#This Row],[Day'# Aust]])),"")</f>
        <v>2.6390625537892682</v>
      </c>
      <c r="AL42" s="369">
        <f ca="1">IF(ISNUMBER(tblData[Day'# Aust]),tblData[Au LogiP(t)]/AuPopScale,"")</f>
        <v>1.040475695390817</v>
      </c>
      <c r="AM42" s="11">
        <f ca="1">IF(AND(tblData[Dates]&gt;StartDt2Au,ISNUMBER(tblData[Au])),(tblData[[#This Row],[Au LogiP(t)]]-tblData[[#This Row],[Au]])^2,"")</f>
        <v>152.79277454913469</v>
      </c>
      <c r="AN42" s="11">
        <f ca="1">IF(AND(ISNUMBER(tblData[Au]),tblData[Dates]&gt;StartDt2Au),(tblData[Au]-AVERAGE(tblData[Au]))^2,"")</f>
        <v>5923431.1160999993</v>
      </c>
      <c r="AO42" s="11">
        <f>tblData[[#This Row],[Dates]]-Au100dt</f>
        <v>-22</v>
      </c>
      <c r="AP42">
        <f ca="1">IF(tblData[Dates]&gt;StartDt2NSW,tblData[Dates]-StartDt2NSW,"")</f>
        <v>28</v>
      </c>
      <c r="AQ42" s="25">
        <f>IF(tblData[[#This Row],[New South Wales]]&gt;0,tblData[[#This Row],[New South Wales]],"")</f>
        <v>4</v>
      </c>
      <c r="AR42" s="44">
        <f ca="1">IF(tblData[Dates]&gt;StartDt2NSW,betaNSW/(deltaNSW+betaPodeltaNSW*EXP(-betaNSW*tblData[[#This Row],[Day '# NSW]])),"")</f>
        <v>0.87226569556145328</v>
      </c>
      <c r="AS42" s="12">
        <f ca="1">IF(AND(ISNUMBER(tblData[NSW]),tblData[Dates]&gt;StartDt2NSW),(tblData[[#This Row],[NSW LogiP(t)]]-tblData[[#This Row],[NSW]])^2,"")</f>
        <v>9.782721879161679</v>
      </c>
      <c r="AT42" s="12">
        <f ca="1">IF(AND(tblData[Dates]&gt;StartDt2NSW,ISNUMBER(tblData[Day'# Aust])),tblData[NSW LogiP(t)]/NSWpopscale,"")</f>
        <v>1.0795367519324917</v>
      </c>
      <c r="AU42" s="11">
        <f>tblData[[#This Row],[Dates]]-NSW100dt+1</f>
        <v>-19</v>
      </c>
      <c r="AV42" s="11">
        <f ca="1">IF(AND(ISNUMBER(tblData[NSW]),tblData[Dates]&gt;StartDt2NSW),(tblData[NSW]-AVERAGE(tblData[NSW]))^2,"")</f>
        <v>1188666.8676</v>
      </c>
      <c r="AW42" s="11">
        <f ca="1">IF(AND(tblData[Dates]&gt;StartDt2Italy,ISNUMBER(tblData[Days'# Italy])),betaItaly/(deltaItaly+betaPodeltaItaly*EXP(-betaItaly*tblData[Days'# Italy])),"")</f>
        <v>149.57963318900372</v>
      </c>
      <c r="AX42" s="11">
        <f ca="1">IF(AND(tblData[Dates]&gt;StartDt2Italy,ISNUMBER(tblData[Italy])),(tblData[[#This Row],[Italy LogiP(t)]]-tblData[[#This Row],[Italy]])^2,"")</f>
        <v>7670.1921495204415</v>
      </c>
      <c r="AY42" s="11">
        <f ca="1">IF(AND(tblData[Dates]&gt;StartDt2Italy,ISNUMBER(tblData[Days'# Italy])),tblData[[#This Row],[Italy LogiP(t)]]/ItalyPopscale,"")</f>
        <v>24.730037726544385</v>
      </c>
      <c r="AZ42" s="39">
        <f ca="1">IF(AND(ISNUMBER(tblData[Italy]),tblData[Dates]&gt;StartDt2Italy),(tblData[Italy]-AVERAGE(tblData[Italy]))^2,"")</f>
        <v>4856223109.1762104</v>
      </c>
      <c r="BA42" s="11">
        <f>tblData[[#This Row],[Dates]]-Italy100dt+1</f>
        <v>-4</v>
      </c>
      <c r="BB42" s="11">
        <f ca="1">IF(AND(tblData[Dates]&gt;StartDt2US,ISNUMBER(tblData[[#This Row],[Days'# US]])),betaUS/(deltaUS+betaPodeltaUS*EXP(-betaUS*tblData[Days'# US])),"")</f>
        <v>6.6132811417119521</v>
      </c>
      <c r="BC42" s="11">
        <f ca="1">IF(AND(tblData[Dates]&gt;StartDt2US,ISNUMBER(tblData[US])),(tblData[[#This Row],[US LogiP(t)]]-tblData[US])^2,"")</f>
        <v>70.337053207964388</v>
      </c>
      <c r="BD42" s="20">
        <f ca="1">IF(AND(tblData[Dates]&gt;=StartDt2US,ISNUMBER(tblData[[#This Row],[Days'# US]])),tblData[[#This Row],[US LogiP(t)]]/USPopscale,"")</f>
        <v>0.20087253343805211</v>
      </c>
      <c r="BE42" s="126">
        <f ca="1">IF(AND(ISNUMBER(tblData[US]),tblData[Dates]&gt;StartDt2US),(tblData[US]-AVERAGE(tblData[US]))^2,"")</f>
        <v>50143858952.687523</v>
      </c>
      <c r="BF42" s="11">
        <f>tblData[[#This Row],[Dates]]-US100dt+1</f>
        <v>-21</v>
      </c>
      <c r="BG42" s="20">
        <f ca="1">IF(tblData[Dates]&gt;StartDt2SKorea,betaSKorea/(deltaSKorea+betaPodeltaSKorea*EXP(-betaSKorea*(tblData[Dates]-StartDt2SKorea))),"")</f>
        <v>1119.6937939164989</v>
      </c>
      <c r="BH42" s="20">
        <f ca="1">IF(AND(tblData[Dates]&gt;StartDt2SKorea,ISNUMBER(tblData[SKorea])),(tblData[[#This Row],[SKorea LogiP(t)]]-tblData[[#This Row],[SKorea]])^2,"")</f>
        <v>471548.36660343502</v>
      </c>
      <c r="BI42" s="20">
        <f ca="1">IF(tblData[Dates]&gt;StartDt2SKorea,tblData[[#This Row],[SKorea LogiP(t)]]/SKoreaPopscale,"")</f>
        <v>217.83925951682858</v>
      </c>
      <c r="BJ42" s="126">
        <f ca="1">IF(AND(ISNUMBER(tblData[SKorea]),tblData[Dates]&gt;StartDt2SKorea),(tblData[SKorea]-AVERAGE(tblData[SKorea]))^2,"")</f>
        <v>29066897.962322179</v>
      </c>
      <c r="BK42" s="11">
        <f>tblData[[#This Row],[Dates]]-SKorea100dt+1</f>
        <v>0</v>
      </c>
      <c r="BL42" s="11">
        <f ca="1">IF(AND(tblData[Dates]&gt;StartDt2UK,ISNUMBER(tblData[Days'# UK])),betaUK/(deltaUK+betaPodeltaUK*EXP(-betaUK*tblData[Days'# UK])),"")</f>
        <v>11.855884885579695</v>
      </c>
      <c r="BM42" s="20">
        <f ca="1">IF(AND(tblData[Dates]&gt;StartDt2UK,ISNUMBER(tblData[United Kingdom])),(tblData[[#This Row],[UK LogiP(t)]]-tblData[[#This Row],[United Kingdom]])^2,"")</f>
        <v>8.1560784796825452</v>
      </c>
      <c r="BN42" s="20">
        <f ca="1">IF(ISNUMBER(tblData[Days'# UK]),tblData[[#This Row],[UK LogiP(t)]]/UKPopscale,"")</f>
        <v>1.7844498623690088</v>
      </c>
      <c r="BO42" s="126">
        <f ca="1">IF(AND(ISNUMBER(tblData[United Kingdom]),tblData[Dates]&gt;StartDt2UK),(tblData[United Kingdom]-AVERAGE(tblData[United Kingdom]))^2,"")</f>
        <v>1440812186.8520825</v>
      </c>
      <c r="BP42" s="11">
        <f>tblData[[#This Row],[Dates]]-UK100dt</f>
        <v>-19</v>
      </c>
      <c r="BQ42" s="11">
        <f ca="1">IF(ISNUMBER(tblData[Days'# China]),betaChina/(deltaChina+betaPodeltaChina*EXP(-betaChina*tblData[Days'# China])),"")</f>
        <v>77862.781570590232</v>
      </c>
      <c r="BR42" s="11">
        <f ca="1">IF(ISNUMBER(tblData[China]),(tblData[[#This Row],[China LogiP(t)]]-tblData[[#This Row],[China]])^2,"")</f>
        <v>742667.47540896724</v>
      </c>
      <c r="BS42" s="11">
        <f ca="1">tblData[[#This Row],[China LogiP(t)]]/ChinaPopscale</f>
        <v>540.96779938546808</v>
      </c>
      <c r="BT42" s="126">
        <f ca="1">IF(AND(ISNUMBER(tblData[China]),tblData[Dates]&gt;StartDt2China),(tblData[China]-AVERAGE(tblData[China]))^2,"")</f>
        <v>95971988.515570804</v>
      </c>
      <c r="BU42" s="11">
        <f>tblData[[#This Row],[Dates]]-China100dt</f>
        <v>20</v>
      </c>
      <c r="BV42" s="95">
        <f ca="1">IF(ISNUMBER(tblData[Day'# Singapore]),betaSingapore/(deltaSingapore+betaPodeltaSingapore*EXP(-betaSingapore*tblData[Day'# Singapore])),"")</f>
        <v>5.2882148190565754</v>
      </c>
      <c r="BW42" s="11">
        <f ca="1">IF(AND(ISNUMBER(tblData[Singapore]),tblData[Dates]&gt;=StartDt2Singapore),(tblData[[#This Row],[Singapore LogiP(t)]]-tblData[[#This Row],[Singapore]])^2,"")</f>
        <v>6353.9686967328716</v>
      </c>
      <c r="BX42" s="20">
        <f ca="1">IF(ISNUMBER(tblData[Day'# Singapore]),tblData[Singapore LogiP(t)]/SingaporePopscale,"")</f>
        <v>9.0396834513787621</v>
      </c>
      <c r="BY42" s="95">
        <f ca="1">IF(AND(ISNUMBER(tblData[Singapore]),tblData[Dates]&gt;StartDt2Singapore),(tblData[Singapore]-AVERAGE(tblData[Singapore]))^2,"")</f>
        <v>4998819.1757016536</v>
      </c>
      <c r="BZ42" s="11">
        <f>tblData[[#This Row],[Dates]]-Singapore100dt+1</f>
        <v>9</v>
      </c>
      <c r="CA42" s="11" t="str">
        <f>IF(AND(tblData[Dates]&gt;StartDt2Generic,ISNUMBER(tblData[Day'# Generic])),betaGeneric/(deltaGeneric+betaPodeltaGeneric*EXP(-betaGeneric*tblData[Day'# Generic])),"")</f>
        <v/>
      </c>
      <c r="CB42" s="95" t="str">
        <f>IF(AND(ISNUMBER(tblData[Generic]),tblData[Dates]&gt;StartDt2Generic),(tblData[Generic LogiP(t)]-tblData[[#This Row],[Generic]])^2,"")</f>
        <v/>
      </c>
      <c r="CC42" s="11" t="str">
        <f>IF(AND(ISNUMBER(tblData[Day'# Generic]),tblData[Dates]&gt;StartDt2Generic),tblData[Generic LogiP(t)]/GenericPopscale,"")</f>
        <v/>
      </c>
      <c r="CD42" s="95" t="str">
        <f>IF(AND(ISNUMBER(tblData[Generic]),tblData[Dates]&gt;StartDt2Generic),(tblData[Generic]-AVERAGE(tblData[Generic]))^2,"")</f>
        <v/>
      </c>
      <c r="CE42" s="11">
        <f>tblData[[#This Row],[Dates]]-Generic100dt+1</f>
        <v>-19</v>
      </c>
      <c r="CF42"/>
      <c r="CG42" s="11"/>
      <c r="CH42" s="11" t="str">
        <f>IF(ISNUMBER(tblData[[#This Row],[Tests]]),tblData[[#This Row],[Tests]]-CH41,"")</f>
        <v/>
      </c>
      <c r="CI42" s="11" t="str">
        <f>IF(ISNUMBER(tblData[[#This Row],[NSW Under Investigation'']]),tblData[[#This Row],[NSW Under Investigation'']]-CG41,"")</f>
        <v/>
      </c>
      <c r="CJ42" s="11"/>
      <c r="CK42" s="11" t="str">
        <f>IF(AND(tblData[[#This Row],[NSW Test Day Number]]&gt;0,ISNUMBER(tblData[[#This Row],[NSW Test Day Number]])),betaTests/(deltaTests+betaPodeltaTests*EXP(-betaTests*tblData[[#This Row],[NSW Test Day Number]])),"")</f>
        <v/>
      </c>
      <c r="CL42" s="11" t="str">
        <f>IF(tblData[Tests]&gt;0,(tblData[[#This Row],[Tests]]-tblData[[#This Row],[NSW Test Logi]])^2,"")</f>
        <v/>
      </c>
      <c r="CM42" s="95" t="str">
        <f>IF(AND(ISNUMBER(tblData[Tests]),tblData[Dates]&gt;StartDt2Tests),(tblData[Tests]-AVERAGE(tblData[Tests]))^2,"")</f>
        <v/>
      </c>
      <c r="CN42" s="11" t="str">
        <f>IF(ISNUMBER(tblData[Tests]),tblData[Tests]/NSWpopscale/100,"")</f>
        <v/>
      </c>
      <c r="CO42" s="11" t="str">
        <f>IF(AND(tblData[[#This Row],[NSW Test Day Number]]&gt;0,ISNUMBER(tblData[[#This Row],[NSW Test Day Number]])),TestsLogestB*TestsLogestM^tblData[[#This Row],[NSW Test Day Number]],"")</f>
        <v/>
      </c>
      <c r="CP42" s="11" t="str">
        <f>IF(AND(tblData[[#This Row],[NSW Test Day Number]]&gt;0,ISNUMBER(tblData[Tests])),(tblData[Tests]-tblData[[#This Row],[NSW Test Per Capita]])^2,"")</f>
        <v/>
      </c>
      <c r="CQ42" s="20">
        <f ca="1">IF(AND(tblData[Day '# NSW]&gt;0,ISNUMBER(tblData[[#This Row],[Day '# NSW]])),NSWLogestB*NSWLogestM^tblData[[#This Row],[Day '# NSW]]/NSWpopscale,"")</f>
        <v>20.939119180700104</v>
      </c>
      <c r="CR42" s="39">
        <f ca="1">IF(AND(ISNUMBER(tblData[NSW]),tblData[Dates]&gt;StartDt2NSW),(tblData[NSW]/NSWpopscale-tblData[[#This Row],[NSW Cases LogEst]])^2,"")</f>
        <v>255.63610160863593</v>
      </c>
      <c r="CS42" s="11">
        <v>26</v>
      </c>
      <c r="CT42" s="19">
        <f>IF(ISNUMBER(tblData[Taiwan]),tblData[Taiwan]/TaiwanPopscale,"")</f>
        <v>10.921028280338763</v>
      </c>
      <c r="CU42" s="11">
        <f ca="1">IF(tblData[[#This Row],[Dates]]&lt;StartDt2Taiwan,"",tblData[[#This Row],[Dates]]-TaiwanStart)</f>
        <v>31</v>
      </c>
      <c r="CV42" s="19">
        <f ca="1">IF(AND(tblData[Dates]&gt;StartDt2Taiwan,ISNUMBER(tblData[Days'# Taiwan])),betaTaiwan/(deltaTaiwan+betaPodeltaTaiwan*EXP(-betaTaiwan*tblData[Days'# Taiwan])),"")</f>
        <v>4.0930213349989479</v>
      </c>
      <c r="CW42" s="95">
        <f ca="1">IF(AND(tblData[Dates]&gt;StartDt2Taiwan,ISNUMBER(tblData[Taiwan])),(tblData[[#This Row],[Taiwan LogiP(t)]]-tblData[[#This Row],[Taiwan]])^2,"")</f>
        <v>479.91571422881128</v>
      </c>
      <c r="CX42" s="20">
        <f ca="1">IF(AND(tblData[Dates]&gt;StartDt2Taiwan,ISNUMBER(tblData[Days'# Taiwan])),tblData[[#This Row],[Taiwan LogiP(t)]]/TaiwanPopscale,"")</f>
        <v>1.7192308365982087</v>
      </c>
      <c r="CY42" s="95">
        <f ca="1">IF(AND(ISNUMBER(tblData[Taiwan]),tblData[Dates]&gt;StartDt2Taiwan),(tblData[Taiwan]-AVERAGE(tblData[Taiwan]))^2,"")</f>
        <v>20606.321030372936</v>
      </c>
      <c r="CZ42" s="11">
        <f>tblData[[#This Row],[Dates]]-Taiwan100dt+1</f>
        <v>-32</v>
      </c>
      <c r="DA42"/>
      <c r="DB42" s="20" t="str">
        <f>IF(ISNUMBER(tblData[NZ]),tblData[NZ]/NZPopscale,"")</f>
        <v/>
      </c>
      <c r="DC42" s="11" t="str">
        <f ca="1">IF(tblData[[#This Row],[Dates]]&lt;StartDt2NZ,"",tblData[[#This Row],[Dates]]-NZStart)</f>
        <v/>
      </c>
      <c r="DD42" s="20" t="str">
        <f ca="1">IF(AND(tblData[Dates]&gt;StartDt2NZ,ISNUMBER(tblData[Days'# NZ])),betaNZ/(deltaNZ+betaPodeltaNZ*EXP(-betaNZ*tblData[Days'# NZ])),"")</f>
        <v/>
      </c>
      <c r="DE42" s="95" t="str">
        <f ca="1">IF(AND(tblData[Dates]&gt;StartDt2NZ,ISNUMBER(tblData[NZ])),(tblData[[#This Row],[NZ LogiP(t)]]-tblData[[#This Row],[NZ]])^2,"")</f>
        <v/>
      </c>
      <c r="DF42" s="20" t="str">
        <f ca="1">IF(AND(tblData[Dates]&gt;StartDt2NZ,ISNUMBER(tblData[Days'# NZ])),tblData[[#This Row],[NZ LogiP(t)]]/NZPopscale,"")</f>
        <v/>
      </c>
      <c r="DG42" s="95" t="str">
        <f ca="1">IF(AND(ISNUMBER(tblData[NZ]),tblData[Dates]&gt;StartDt2NZ),(tblData[NZ]-AVERAGE(tblData[NZ]))^2,"")</f>
        <v/>
      </c>
      <c r="DH42" s="11">
        <f>tblData[[#This Row],[Dates]]-NZ100dt+1</f>
        <v>-28</v>
      </c>
      <c r="DI42" s="39"/>
      <c r="DJ42" s="11"/>
      <c r="DM42" s="25"/>
      <c r="DP42"/>
      <c r="DV42" s="25"/>
      <c r="DW42"/>
      <c r="DZ42" s="25"/>
      <c r="EA42" s="25"/>
      <c r="EB42" s="25"/>
      <c r="EH42"/>
      <c r="EI42"/>
      <c r="EJ42"/>
      <c r="EK42"/>
      <c r="EQ42" s="25"/>
      <c r="ER42" s="25"/>
      <c r="ES42" s="25"/>
      <c r="ET42" s="25"/>
      <c r="FF42"/>
      <c r="FG42"/>
      <c r="FH42"/>
      <c r="FI42"/>
      <c r="FJ42" s="25"/>
      <c r="FK42" s="25"/>
      <c r="FM42" s="25"/>
      <c r="FN42"/>
      <c r="FO42" s="263" t="s">
        <v>48</v>
      </c>
      <c r="FP42" s="250">
        <v>43954.723761574074</v>
      </c>
      <c r="FQ42" s="156">
        <v>43855</v>
      </c>
      <c r="FR42" s="26">
        <v>43855</v>
      </c>
      <c r="FS42" s="211">
        <v>0</v>
      </c>
      <c r="FT42" s="44">
        <v>0.22617658788235581</v>
      </c>
      <c r="FU42" s="71">
        <v>3.4043358899679669E-5</v>
      </c>
      <c r="FV42" s="73">
        <v>4.6909314915610954E-3</v>
      </c>
      <c r="FW42" s="214">
        <v>6643.7800261972397</v>
      </c>
      <c r="FX42" s="214">
        <v>70.263255044114118</v>
      </c>
      <c r="FY42" s="214">
        <v>0.99940940602316419</v>
      </c>
      <c r="FZ42" s="213">
        <v>48.215674987831086</v>
      </c>
      <c r="GA42" s="213">
        <v>3.4043358899679667E-2</v>
      </c>
      <c r="GB42" s="243">
        <v>44013</v>
      </c>
      <c r="GC42" s="26" t="s">
        <v>3742</v>
      </c>
      <c r="GD42" s="214">
        <v>6643.7800233549615</v>
      </c>
      <c r="GE42" s="214">
        <v>6797</v>
      </c>
      <c r="GF42" s="73" t="s">
        <v>3743</v>
      </c>
      <c r="GG42" s="156">
        <v>43954</v>
      </c>
      <c r="GH42" s="26">
        <v>100</v>
      </c>
      <c r="GI42" s="26" t="s">
        <v>3744</v>
      </c>
      <c r="GJ42" s="25"/>
      <c r="GK42" s="62" t="s">
        <v>3745</v>
      </c>
      <c r="GM42" s="18" t="s">
        <v>3746</v>
      </c>
      <c r="GN42" s="11">
        <v>2679.7823687115597</v>
      </c>
      <c r="GO42" s="156"/>
      <c r="GP42" s="218"/>
      <c r="GQ42" s="156"/>
      <c r="GR42" s="25"/>
      <c r="GS42" s="25" t="s">
        <v>3741</v>
      </c>
      <c r="GT42" s="11">
        <v>6643.7800233549615</v>
      </c>
      <c r="GU42" s="12">
        <v>2.6219761673369289E-2</v>
      </c>
      <c r="GV42" s="240">
        <v>43905</v>
      </c>
      <c r="GW42" s="162" t="s">
        <v>2387</v>
      </c>
      <c r="GX42" s="230">
        <v>-154.63496644326369</v>
      </c>
      <c r="GY42" s="25" t="s">
        <v>569</v>
      </c>
      <c r="GZ42" s="25" t="s">
        <v>569</v>
      </c>
      <c r="HA42" s="26" t="s">
        <v>3746</v>
      </c>
      <c r="HK42" s="164">
        <v>43929</v>
      </c>
      <c r="HL42" s="60">
        <v>43929.833333333336</v>
      </c>
      <c r="HM42">
        <v>2734</v>
      </c>
      <c r="HN42">
        <v>126357</v>
      </c>
      <c r="HO42">
        <v>641</v>
      </c>
      <c r="HP42">
        <v>410</v>
      </c>
      <c r="HQ42" s="166">
        <f>IF(ISNUMBER(tblNSWKnown[[#This Row],[Unknown Locally]]),tblNSWKnown[[#This Row],[Known Locally]]+tblNSWKnown[[#This Row],[Unknown Locally]],"")</f>
        <v>1051</v>
      </c>
      <c r="HR42" s="25">
        <v>9</v>
      </c>
      <c r="HS42">
        <f>IF(ISNUMBER(tblNSWKnown[[#This Row],[Day '# NSW Unknown]]),betaNSWUnknown/(deltaNSWUnknown+betaPodeltaNSWUnknown*EXP(-betaNSWUnknown*tblNSWKnown[Day '# NSW Unknown])),"")</f>
        <v>1024.2007844640355</v>
      </c>
      <c r="HT42">
        <f>IF(ISNUMBER(tblNSWKnown[[#This Row],[Total Local]]),(tblNSWKnown[[#This Row],[Total Local]]-tblNSWKnown[[#This Row],[NSW Unknown Logi P(t)]])^2,"")</f>
        <v>718.19795334308367</v>
      </c>
      <c r="HU42" s="166">
        <f>IF(ISNUMBER(tblNSWKnown[Total Local]),(tblNSWKnown[Total Local]-AVERAGE(tblNSWKnown[Total Local]))^2,"")</f>
        <v>477.55103806227964</v>
      </c>
      <c r="HV42" s="166"/>
    </row>
    <row r="43" spans="2:231" ht="15" customHeight="1" x14ac:dyDescent="0.25">
      <c r="B43" s="26">
        <v>43884</v>
      </c>
      <c r="C43">
        <v>7</v>
      </c>
      <c r="D43" s="25">
        <v>0</v>
      </c>
      <c r="E43">
        <v>4</v>
      </c>
      <c r="F43">
        <v>0</v>
      </c>
      <c r="G43">
        <v>5</v>
      </c>
      <c r="H43">
        <v>2</v>
      </c>
      <c r="I43">
        <v>0</v>
      </c>
      <c r="J43">
        <v>4</v>
      </c>
      <c r="K43">
        <v>0</v>
      </c>
      <c r="L43" s="11">
        <f>IF(ISNUMBER(tblData[[#This Row],[NSW]]),tblData[[#This Row],[New South Wales]]/NSWpopscale,"")</f>
        <v>4.9504950495049505</v>
      </c>
      <c r="M43" s="25">
        <v>155</v>
      </c>
      <c r="N43" s="20">
        <f>IF(ISNUMBER(tblData[Italy]),tblData[Italy]/ItalyPopscale,"")</f>
        <v>25.626188311151527</v>
      </c>
      <c r="O43">
        <v>15</v>
      </c>
      <c r="P43" s="20">
        <f>IF(ISNUMBER(tblData[US]),tblData[US]/USPopscale,"")</f>
        <v>0.45561166038539175</v>
      </c>
      <c r="Q43">
        <v>602</v>
      </c>
      <c r="R43" s="20">
        <f>IF(ISNUMBER(tblData[SKorea]),tblData[SKorea]/SKoreaPopscale,"")</f>
        <v>117.1206225680934</v>
      </c>
      <c r="S43">
        <v>9</v>
      </c>
      <c r="T43" s="20">
        <f>IF(ISNUMBER(tblData[United Kingdom]),tblData[United Kingdom]/UKPopscale,"")</f>
        <v>1.3546056592414208</v>
      </c>
      <c r="U43">
        <v>77022</v>
      </c>
      <c r="V43" s="20">
        <f>IF(ISNUMBER(tblData[China]),tblData[China]/ChinaPopscale,"")</f>
        <v>535.12629530827678</v>
      </c>
      <c r="W43" s="25">
        <f ca="1">IF(tblData[[#This Row],[Dates]]&lt;StartDt2China,"",tblData[[#This Row],[Dates]]-ChinaStart)</f>
        <v>32</v>
      </c>
      <c r="X43">
        <v>89</v>
      </c>
      <c r="Y43" s="20">
        <f>IF(ISNUMBER(tblData[Singapore]),tblData[Singapore]/SingaporePopscale,"")</f>
        <v>152.13675213675214</v>
      </c>
      <c r="Z43"/>
      <c r="AA43" s="20" t="str">
        <f>IF(AND(LEN(tblData[Generic])&gt;0,ISNUMBER(tblData[Generic])),tblData[Generic]/GenericPopscale,"")</f>
        <v/>
      </c>
      <c r="AB43" s="25">
        <f ca="1">IF(tblData[[#This Row],[Dates]]&lt;StartDt2Italy,"",tblData[[#This Row],[Dates]]-ItalyStart)</f>
        <v>24</v>
      </c>
      <c r="AC43" s="25">
        <f ca="1">IF(tblData[[#This Row],[Dates]]&lt;=StartDt2US,"",tblData[[#This Row],[Dates]]-USStart)</f>
        <v>32</v>
      </c>
      <c r="AD43" s="25">
        <f>IF(tblData[[#This Row],[Dates]]&lt;=SKoreaStart,"",tblData[[#This Row],[Dates]]-SKoreaStart)</f>
        <v>32</v>
      </c>
      <c r="AE43" s="25">
        <f ca="1">IF(tblData[[#This Row],[Dates]]&lt;=StartDt2UK,"",tblData[[#This Row],[Dates]]-UKStart)</f>
        <v>24</v>
      </c>
      <c r="AF43" s="25">
        <f ca="1">IF(tblData[[#This Row],[Dates]]&lt;StartDt2Singapore,"",tblData[[#This Row],[Dates]]-SingaporeStart)</f>
        <v>31</v>
      </c>
      <c r="AG43" s="25" t="str">
        <f>IF(tblData[[#This Row],[Dates]]&lt;StartDt2Generic,"",tblData[[#This Row],[Dates]]-GenericStart)</f>
        <v/>
      </c>
      <c r="AH43">
        <f ca="1">IF(tblData[Dates]&gt;StartDt2Au,tblData[Dates]-AuStart,"")</f>
        <v>29</v>
      </c>
      <c r="AI43" s="25">
        <f>IF(AND(COUNTBLANK(tblData[[#This Row],[Australian Capital Territory]:[Western Australia]])&lt;1,tblData[New South Wales]&gt;=0),SUM(tblData[[#This Row],[Australian Capital Territory]:[Western Australia]]),"")</f>
        <v>15</v>
      </c>
      <c r="AJ43" s="12">
        <f>IF(ISNUMBER(tblData[Au]),tblData[Au]/AuPopScale,"")</f>
        <v>5.9138937076170954</v>
      </c>
      <c r="AK43" s="11">
        <f ca="1">IF(ISNUMBER(tblData[[#This Row],[Day'# Aust]]),betaAu/(deltaAu+betaPodeltaAu*EXP(-betaAu*tblData[[#This Row],[Day'# Aust]])),"")</f>
        <v>3.3085153028124714</v>
      </c>
      <c r="AL43" s="369">
        <f ca="1">IF(ISNUMBER(tblData[Day'# Aust]),tblData[Au LogiP(t)]/AuPopScale,"")</f>
        <v>1.3044138553905029</v>
      </c>
      <c r="AM43" s="11">
        <f ca="1">IF(AND(tblData[Dates]&gt;StartDt2Au,ISNUMBER(tblData[Au])),(tblData[[#This Row],[Au LogiP(t)]]-tblData[[#This Row],[Au]])^2,"")</f>
        <v>136.69081442457014</v>
      </c>
      <c r="AN43" s="11">
        <f ca="1">IF(AND(ISNUMBER(tblData[Au]),tblData[Dates]&gt;StartDt2Au),(tblData[Au]-AVERAGE(tblData[Au]))^2,"")</f>
        <v>5923431.1160999993</v>
      </c>
      <c r="AO43" s="11">
        <f>tblData[[#This Row],[Dates]]-Au100dt</f>
        <v>-21</v>
      </c>
      <c r="AP43">
        <f ca="1">IF(tblData[Dates]&gt;StartDt2NSW,tblData[Dates]-StartDt2NSW,"")</f>
        <v>29</v>
      </c>
      <c r="AQ43" s="25">
        <f>IF(tblData[[#This Row],[New South Wales]]&gt;0,tblData[[#This Row],[New South Wales]],"")</f>
        <v>4</v>
      </c>
      <c r="AR43" s="44">
        <f ca="1">IF(tblData[Dates]&gt;StartDt2NSW,betaNSW/(deltaNSW+betaPodeltaNSW*EXP(-betaNSW*tblData[[#This Row],[Day '# NSW]])),"")</f>
        <v>1.1024692257675504</v>
      </c>
      <c r="AS43" s="12">
        <f ca="1">IF(AND(ISNUMBER(tblData[NSW]),tblData[Dates]&gt;StartDt2NSW),(tblData[[#This Row],[NSW LogiP(t)]]-tblData[[#This Row],[NSW]])^2,"")</f>
        <v>8.395684587624098</v>
      </c>
      <c r="AT43" s="12">
        <f ca="1">IF(AND(tblData[Dates]&gt;StartDt2NSW,ISNUMBER(tblData[Day'# Aust])),tblData[NSW LogiP(t)]/NSWpopscale,"")</f>
        <v>1.3644421110984533</v>
      </c>
      <c r="AU43" s="11">
        <f>tblData[[#This Row],[Dates]]-NSW100dt+1</f>
        <v>-18</v>
      </c>
      <c r="AV43" s="11">
        <f ca="1">IF(AND(ISNUMBER(tblData[NSW]),tblData[Dates]&gt;StartDt2NSW),(tblData[NSW]-AVERAGE(tblData[NSW]))^2,"")</f>
        <v>1188666.8676</v>
      </c>
      <c r="AW43" s="11">
        <f ca="1">IF(AND(tblData[Dates]&gt;StartDt2Italy,ISNUMBER(tblData[Days'# Italy])),betaItaly/(deltaItaly+betaPodeltaItaly*EXP(-betaItaly*tblData[Days'# Italy])),"")</f>
        <v>192.624780258442</v>
      </c>
      <c r="AX43" s="11">
        <f ca="1">IF(AND(tblData[Dates]&gt;StartDt2Italy,ISNUMBER(tblData[Italy])),(tblData[[#This Row],[Italy LogiP(t)]]-tblData[[#This Row],[Italy]])^2,"")</f>
        <v>1415.624089496047</v>
      </c>
      <c r="AY43" s="11">
        <f ca="1">IF(AND(tblData[Dates]&gt;StartDt2Italy,ISNUMBER(tblData[Days'# Italy])),tblData[[#This Row],[Italy LogiP(t)]]/ItalyPopscale,"")</f>
        <v>31.846702530948502</v>
      </c>
      <c r="AZ43" s="39">
        <f ca="1">IF(AND(ISNUMBER(tblData[Italy]),tblData[Dates]&gt;StartDt2Italy),(tblData[Italy]-AVERAGE(tblData[Italy]))^2,"")</f>
        <v>4843270049.3889761</v>
      </c>
      <c r="BA43" s="11">
        <f>tblData[[#This Row],[Dates]]-Italy100dt+1</f>
        <v>-3</v>
      </c>
      <c r="BB43" s="11">
        <f ca="1">IF(AND(tblData[Dates]&gt;StartDt2US,ISNUMBER(tblData[[#This Row],[Days'# US]])),betaUS/(deltaUS+betaPodeltaUS*EXP(-betaUS*tblData[Days'# US])),"")</f>
        <v>8.783249073637732</v>
      </c>
      <c r="BC43" s="11">
        <f ca="1">IF(AND(tblData[Dates]&gt;StartDt2US,ISNUMBER(tblData[US])),(tblData[[#This Row],[US LogiP(t)]]-tblData[US])^2,"")</f>
        <v>38.647992080426114</v>
      </c>
      <c r="BD43" s="20">
        <f ca="1">IF(AND(tblData[Dates]&gt;=StartDt2US,ISNUMBER(tblData[[#This Row],[Days'# US]])),tblData[[#This Row],[US LogiP(t)]]/USPopscale,"")</f>
        <v>0.26678337960123605</v>
      </c>
      <c r="BE43" s="126">
        <f ca="1">IF(AND(ISNUMBER(tblData[US]),tblData[Dates]&gt;StartDt2US),(tblData[US]-AVERAGE(tblData[US]))^2,"")</f>
        <v>50143858952.687523</v>
      </c>
      <c r="BF43" s="11">
        <f>tblData[[#This Row],[Dates]]-US100dt+1</f>
        <v>-20</v>
      </c>
      <c r="BG43" s="20">
        <f ca="1">IF(tblData[Dates]&gt;StartDt2SKorea,betaSKorea/(deltaSKorea+betaPodeltaSKorea*EXP(-betaSKorea*(tblData[Dates]-StartDt2SKorea))),"")</f>
        <v>1309.1396967226356</v>
      </c>
      <c r="BH43" s="20">
        <f ca="1">IF(AND(tblData[Dates]&gt;StartDt2SKorea,ISNUMBER(tblData[SKorea])),(tblData[[#This Row],[SKorea LogiP(t)]]-tblData[[#This Row],[SKorea]])^2,"")</f>
        <v>500046.55068098102</v>
      </c>
      <c r="BI43" s="20">
        <f ca="1">IF(tblData[Dates]&gt;StartDt2SKorea,tblData[[#This Row],[SKorea LogiP(t)]]/SKoreaPopscale,"")</f>
        <v>254.69643905109643</v>
      </c>
      <c r="BJ43" s="126">
        <f ca="1">IF(AND(ISNUMBER(tblData[SKorea]),tblData[Dates]&gt;StartDt2SKorea),(tblData[SKorea]-AVERAGE(tblData[SKorea]))^2,"")</f>
        <v>27273175.040753555</v>
      </c>
      <c r="BK43" s="11">
        <f>tblData[[#This Row],[Dates]]-SKorea100dt+1</f>
        <v>1</v>
      </c>
      <c r="BL43" s="11">
        <f ca="1">IF(AND(tblData[Dates]&gt;StartDt2UK,ISNUMBER(tblData[Days'# UK])),betaUK/(deltaUK+betaPodeltaUK*EXP(-betaUK*tblData[Days'# UK])),"")</f>
        <v>14.673047231707004</v>
      </c>
      <c r="BM43" s="20">
        <f ca="1">IF(AND(tblData[Dates]&gt;StartDt2UK,ISNUMBER(tblData[United Kingdom])),(tblData[[#This Row],[UK LogiP(t)]]-tblData[[#This Row],[United Kingdom]])^2,"")</f>
        <v>32.183464893178503</v>
      </c>
      <c r="BN43" s="20">
        <f ca="1">IF(ISNUMBER(tblData[Days'# UK]),tblData[[#This Row],[UK LogiP(t)]]/UKPopscale,"")</f>
        <v>2.2084658687096637</v>
      </c>
      <c r="BO43" s="126">
        <f ca="1">IF(AND(ISNUMBER(tblData[United Kingdom]),tblData[Dates]&gt;StartDt2UK),(tblData[United Kingdom]-AVERAGE(tblData[United Kingdom]))^2,"")</f>
        <v>1440812186.8520825</v>
      </c>
      <c r="BP43" s="11">
        <f>tblData[[#This Row],[Dates]]-UK100dt</f>
        <v>-18</v>
      </c>
      <c r="BQ43" s="11">
        <f ca="1">IF(ISNUMBER(tblData[Days'# China]),betaChina/(deltaChina+betaPodeltaChina*EXP(-betaChina*tblData[Days'# China])),"")</f>
        <v>78671.946014607805</v>
      </c>
      <c r="BR43" s="11">
        <f ca="1">IF(ISNUMBER(tblData[China]),(tblData[[#This Row],[China LogiP(t)]]-tblData[[#This Row],[China]])^2,"")</f>
        <v>2722321.8511201805</v>
      </c>
      <c r="BS43" s="11">
        <f ca="1">tblData[[#This Row],[China LogiP(t)]]/ChinaPopscale</f>
        <v>546.58963692827797</v>
      </c>
      <c r="BT43" s="126">
        <f ca="1">IF(AND(ISNUMBER(tblData[China]),tblData[Dates]&gt;StartDt2China),(tblData[China]-AVERAGE(tblData[China]))^2,"")</f>
        <v>96383883.750864923</v>
      </c>
      <c r="BU43" s="11">
        <f>tblData[[#This Row],[Dates]]-China100dt</f>
        <v>21</v>
      </c>
      <c r="BV43" s="95">
        <f ca="1">IF(ISNUMBER(tblData[Day'# Singapore]),betaSingapore/(deltaSingapore+betaPodeltaSingapore*EXP(-betaSingapore*tblData[Day'# Singapore])),"")</f>
        <v>5.9958399903491539</v>
      </c>
      <c r="BW43" s="11">
        <f ca="1">IF(AND(ISNUMBER(tblData[Singapore]),tblData[Dates]&gt;=StartDt2Singapore),(tblData[[#This Row],[Singapore LogiP(t)]]-tblData[[#This Row],[Singapore]])^2,"")</f>
        <v>6889.6905789077209</v>
      </c>
      <c r="BX43" s="20">
        <f ca="1">IF(ISNUMBER(tblData[Day'# Singapore]),tblData[Singapore LogiP(t)]/SingaporePopscale,"")</f>
        <v>10.249299128801972</v>
      </c>
      <c r="BY43" s="95">
        <f ca="1">IF(AND(ISNUMBER(tblData[Singapore]),tblData[Dates]&gt;StartDt2Singapore),(tblData[Singapore]-AVERAGE(tblData[Singapore]))^2,"")</f>
        <v>4980948.7443291051</v>
      </c>
      <c r="BZ43" s="11">
        <f>tblData[[#This Row],[Dates]]-Singapore100dt+1</f>
        <v>10</v>
      </c>
      <c r="CA43" s="11" t="str">
        <f>IF(AND(tblData[Dates]&gt;StartDt2Generic,ISNUMBER(tblData[Day'# Generic])),betaGeneric/(deltaGeneric+betaPodeltaGeneric*EXP(-betaGeneric*tblData[Day'# Generic])),"")</f>
        <v/>
      </c>
      <c r="CB43" s="95" t="str">
        <f>IF(AND(ISNUMBER(tblData[Generic]),tblData[Dates]&gt;StartDt2Generic),(tblData[Generic LogiP(t)]-tblData[[#This Row],[Generic]])^2,"")</f>
        <v/>
      </c>
      <c r="CC43" s="11" t="str">
        <f>IF(AND(ISNUMBER(tblData[Day'# Generic]),tblData[Dates]&gt;StartDt2Generic),tblData[Generic LogiP(t)]/GenericPopscale,"")</f>
        <v/>
      </c>
      <c r="CD43" s="95" t="str">
        <f>IF(AND(ISNUMBER(tblData[Generic]),tblData[Dates]&gt;StartDt2Generic),(tblData[Generic]-AVERAGE(tblData[Generic]))^2,"")</f>
        <v/>
      </c>
      <c r="CE43" s="11">
        <f>tblData[[#This Row],[Dates]]-Generic100dt+1</f>
        <v>-18</v>
      </c>
      <c r="CF43"/>
      <c r="CG43" s="11"/>
      <c r="CH43" s="11" t="str">
        <f>IF(ISNUMBER(tblData[[#This Row],[Tests]]),tblData[[#This Row],[Tests]]-CH42,"")</f>
        <v/>
      </c>
      <c r="CI43" s="11" t="str">
        <f>IF(ISNUMBER(tblData[[#This Row],[NSW Under Investigation'']]),tblData[[#This Row],[NSW Under Investigation'']]-CG42,"")</f>
        <v/>
      </c>
      <c r="CJ43" s="11"/>
      <c r="CK43" s="11" t="str">
        <f>IF(AND(tblData[[#This Row],[NSW Test Day Number]]&gt;0,ISNUMBER(tblData[[#This Row],[NSW Test Day Number]])),betaTests/(deltaTests+betaPodeltaTests*EXP(-betaTests*tblData[[#This Row],[NSW Test Day Number]])),"")</f>
        <v/>
      </c>
      <c r="CL43" s="11" t="str">
        <f>IF(tblData[Tests]&gt;0,(tblData[[#This Row],[Tests]]-tblData[[#This Row],[NSW Test Logi]])^2,"")</f>
        <v/>
      </c>
      <c r="CM43" s="95" t="str">
        <f>IF(AND(ISNUMBER(tblData[Tests]),tblData[Dates]&gt;StartDt2Tests),(tblData[Tests]-AVERAGE(tblData[Tests]))^2,"")</f>
        <v/>
      </c>
      <c r="CN43" s="11" t="str">
        <f>IF(ISNUMBER(tblData[Tests]),tblData[Tests]/NSWpopscale/100,"")</f>
        <v/>
      </c>
      <c r="CO43" s="11" t="str">
        <f>IF(AND(tblData[[#This Row],[NSW Test Day Number]]&gt;0,ISNUMBER(tblData[[#This Row],[NSW Test Day Number]])),TestsLogestB*TestsLogestM^tblData[[#This Row],[NSW Test Day Number]],"")</f>
        <v/>
      </c>
      <c r="CP43" s="11" t="str">
        <f>IF(AND(tblData[[#This Row],[NSW Test Day Number]]&gt;0,ISNUMBER(tblData[Tests])),(tblData[Tests]-tblData[[#This Row],[NSW Test Per Capita]])^2,"")</f>
        <v/>
      </c>
      <c r="CQ43" s="20">
        <f ca="1">IF(AND(tblData[Day '# NSW]&gt;0,ISNUMBER(tblData[[#This Row],[Day '# NSW]])),NSWLogestB*NSWLogestM^tblData[[#This Row],[Day '# NSW]]/NSWpopscale,"")</f>
        <v>23.053041195838201</v>
      </c>
      <c r="CR43" s="39">
        <f ca="1">IF(AND(ISNUMBER(tblData[NSW]),tblData[Dates]&gt;StartDt2NSW),(tblData[NSW]/NSWpopscale-tblData[[#This Row],[NSW Cases LogEst]])^2,"")</f>
        <v>327.70217698012482</v>
      </c>
      <c r="CS43" s="11">
        <v>28</v>
      </c>
      <c r="CT43" s="19">
        <f>IF(ISNUMBER(tblData[Taiwan]),tblData[Taiwan]/TaiwanPopscale,"")</f>
        <v>11.76110737882636</v>
      </c>
      <c r="CU43" s="11">
        <f ca="1">IF(tblData[[#This Row],[Dates]]&lt;StartDt2Taiwan,"",tblData[[#This Row],[Dates]]-TaiwanStart)</f>
        <v>32</v>
      </c>
      <c r="CV43" s="19">
        <f ca="1">IF(AND(tblData[Dates]&gt;StartDt2Taiwan,ISNUMBER(tblData[Days'# Taiwan])),betaTaiwan/(deltaTaiwan+betaPodeltaTaiwan*EXP(-betaTaiwan*tblData[Days'# Taiwan])),"")</f>
        <v>4.7364847647696067</v>
      </c>
      <c r="CW43" s="95">
        <f ca="1">IF(AND(tblData[Dates]&gt;StartDt2Taiwan,ISNUMBER(tblData[Taiwan])),(tblData[[#This Row],[Taiwan LogiP(t)]]-tblData[[#This Row],[Taiwan]])^2,"")</f>
        <v>541.1911410997966</v>
      </c>
      <c r="CX43" s="20">
        <f ca="1">IF(AND(tblData[Dates]&gt;StartDt2Taiwan,ISNUMBER(tblData[Days'# Taiwan])),tblData[[#This Row],[Taiwan LogiP(t)]]/TaiwanPopscale,"")</f>
        <v>1.9895109255939449</v>
      </c>
      <c r="CY43" s="95">
        <f ca="1">IF(AND(ISNUMBER(tblData[Taiwan]),tblData[Dates]&gt;StartDt2Taiwan),(tblData[Taiwan]-AVERAGE(tblData[Taiwan]))^2,"")</f>
        <v>20036.124951941565</v>
      </c>
      <c r="CZ43" s="11">
        <f>tblData[[#This Row],[Dates]]-Taiwan100dt+1</f>
        <v>-31</v>
      </c>
      <c r="DA43"/>
      <c r="DB43" s="20" t="str">
        <f>IF(ISNUMBER(tblData[NZ]),tblData[NZ]/NZPopscale,"")</f>
        <v/>
      </c>
      <c r="DC43" s="11" t="str">
        <f ca="1">IF(tblData[[#This Row],[Dates]]&lt;StartDt2NZ,"",tblData[[#This Row],[Dates]]-NZStart)</f>
        <v/>
      </c>
      <c r="DD43" s="20" t="str">
        <f ca="1">IF(AND(tblData[Dates]&gt;StartDt2NZ,ISNUMBER(tblData[Days'# NZ])),betaNZ/(deltaNZ+betaPodeltaNZ*EXP(-betaNZ*tblData[Days'# NZ])),"")</f>
        <v/>
      </c>
      <c r="DE43" s="95" t="str">
        <f ca="1">IF(AND(tblData[Dates]&gt;StartDt2NZ,ISNUMBER(tblData[NZ])),(tblData[[#This Row],[NZ LogiP(t)]]-tblData[[#This Row],[NZ]])^2,"")</f>
        <v/>
      </c>
      <c r="DF43" s="20" t="str">
        <f ca="1">IF(AND(tblData[Dates]&gt;StartDt2NZ,ISNUMBER(tblData[Days'# NZ])),tblData[[#This Row],[NZ LogiP(t)]]/NZPopscale,"")</f>
        <v/>
      </c>
      <c r="DG43" s="95" t="str">
        <f ca="1">IF(AND(ISNUMBER(tblData[NZ]),tblData[Dates]&gt;StartDt2NZ),(tblData[NZ]-AVERAGE(tblData[NZ]))^2,"")</f>
        <v/>
      </c>
      <c r="DH43" s="11">
        <f>tblData[[#This Row],[Dates]]-NZ100dt+1</f>
        <v>-27</v>
      </c>
      <c r="DI43" s="39"/>
      <c r="DJ43" s="11"/>
      <c r="DM43" s="25"/>
      <c r="DP43"/>
      <c r="DV43" s="25"/>
      <c r="DW43"/>
      <c r="DZ43" s="25"/>
      <c r="EA43" s="25"/>
      <c r="EB43" s="25"/>
      <c r="EH43"/>
      <c r="EI43"/>
      <c r="EJ43"/>
      <c r="EK43"/>
      <c r="EQ43" s="25"/>
      <c r="ER43" s="25"/>
      <c r="ES43" s="25"/>
      <c r="ET43" s="25"/>
      <c r="FF43"/>
      <c r="FG43"/>
      <c r="FH43"/>
      <c r="FI43"/>
      <c r="FJ43" s="25"/>
      <c r="FK43" s="25"/>
      <c r="FM43" s="25"/>
      <c r="FN43"/>
      <c r="FO43" s="263" t="s">
        <v>48</v>
      </c>
      <c r="FP43" s="250">
        <v>43942.9452662037</v>
      </c>
      <c r="FQ43" s="156">
        <v>43855</v>
      </c>
      <c r="FR43" s="26">
        <v>43855</v>
      </c>
      <c r="FS43" s="211">
        <v>0</v>
      </c>
      <c r="FT43" s="44">
        <v>0.25179051955758808</v>
      </c>
      <c r="FU43" s="71">
        <v>3.891093206338391E-5</v>
      </c>
      <c r="FV43" s="73">
        <v>1.0000000000000009E-3</v>
      </c>
      <c r="FW43" s="214">
        <v>6470.9454697058982</v>
      </c>
      <c r="FX43" s="214">
        <v>65.10674840740198</v>
      </c>
      <c r="FY43" s="214">
        <v>0.99936508763100695</v>
      </c>
      <c r="FZ43" s="213">
        <v>251.79048064665579</v>
      </c>
      <c r="GA43" s="213">
        <v>3.8910932063383911E-2</v>
      </c>
      <c r="GB43" s="243">
        <v>44021</v>
      </c>
      <c r="GC43" s="26" t="s">
        <v>3326</v>
      </c>
      <c r="GD43" s="214">
        <v>6470.9454696764114</v>
      </c>
      <c r="GE43" s="214">
        <v>6645</v>
      </c>
      <c r="GF43" s="73" t="s">
        <v>3327</v>
      </c>
      <c r="GG43" s="156">
        <v>43942</v>
      </c>
      <c r="GH43" s="26">
        <v>88</v>
      </c>
      <c r="GI43" s="26" t="s">
        <v>3328</v>
      </c>
      <c r="GJ43" s="25"/>
      <c r="GK43" s="62" t="s">
        <v>3329</v>
      </c>
      <c r="GM43" s="18" t="s">
        <v>3330</v>
      </c>
      <c r="GN43" s="11">
        <v>2619.8549124743731</v>
      </c>
      <c r="GO43" s="156"/>
      <c r="GP43" s="218"/>
      <c r="GQ43" s="156"/>
      <c r="GR43" s="25"/>
      <c r="GS43" s="25" t="s">
        <v>3325</v>
      </c>
      <c r="GT43" s="11">
        <v>6470.9454696764114</v>
      </c>
      <c r="GU43" s="12">
        <v>2.4851280159598855E-2</v>
      </c>
      <c r="GV43" s="240">
        <v>43905</v>
      </c>
      <c r="GW43" s="162" t="s">
        <v>2387</v>
      </c>
      <c r="GX43" s="230">
        <v>-184.01678773654294</v>
      </c>
      <c r="GY43" t="s">
        <v>569</v>
      </c>
      <c r="GZ43" t="s">
        <v>569</v>
      </c>
      <c r="HA43" s="26" t="s">
        <v>3330</v>
      </c>
      <c r="HK43" s="164">
        <v>43930</v>
      </c>
      <c r="HL43" s="60">
        <v>43930.833333333336</v>
      </c>
      <c r="HM43">
        <v>2773</v>
      </c>
      <c r="HN43">
        <v>130224</v>
      </c>
      <c r="HO43">
        <v>667</v>
      </c>
      <c r="HP43">
        <v>416</v>
      </c>
      <c r="HQ43" s="166">
        <f>IF(ISNUMBER(tblNSWKnown[[#This Row],[Unknown Locally]]),tblNSWKnown[[#This Row],[Known Locally]]+tblNSWKnown[[#This Row],[Unknown Locally]],"")</f>
        <v>1083</v>
      </c>
      <c r="HR43" s="25">
        <v>10</v>
      </c>
      <c r="HS43">
        <f>IF(ISNUMBER(tblNSWKnown[[#This Row],[Day '# NSW Unknown]]),betaNSWUnknown/(deltaNSWUnknown+betaPodeltaNSWUnknown*EXP(-betaNSWUnknown*tblNSWKnown[Day '# NSW Unknown])),"")</f>
        <v>1048.3309450331531</v>
      </c>
      <c r="HT43">
        <f>IF(ISNUMBER(tblNSWKnown[[#This Row],[Total Local]]),(tblNSWKnown[[#This Row],[Total Local]]-tblNSWKnown[[#This Row],[NSW Unknown Logi P(t)]])^2,"")</f>
        <v>1201.9433722942547</v>
      </c>
      <c r="HU43" s="166">
        <f>IF(ISNUMBER(tblNSWKnown[Total Local]),(tblNSWKnown[Total Local]-AVERAGE(tblNSWKnown[Total Local]))^2,"")</f>
        <v>102.96280276816799</v>
      </c>
      <c r="HV43" s="166"/>
      <c r="HW43">
        <f>SQRT(SUM(HT34:HT43))</f>
        <v>80.820613659567215</v>
      </c>
    </row>
    <row r="44" spans="2:231" ht="15" customHeight="1" x14ac:dyDescent="0.25">
      <c r="B44" s="26">
        <v>43885</v>
      </c>
      <c r="C44">
        <v>7</v>
      </c>
      <c r="D44" s="25">
        <v>0</v>
      </c>
      <c r="E44">
        <v>4</v>
      </c>
      <c r="F44">
        <v>0</v>
      </c>
      <c r="G44">
        <v>5</v>
      </c>
      <c r="H44">
        <v>2</v>
      </c>
      <c r="I44">
        <v>0</v>
      </c>
      <c r="J44">
        <v>4</v>
      </c>
      <c r="K44">
        <v>0</v>
      </c>
      <c r="L44" s="11">
        <f>IF(ISNUMBER(tblData[[#This Row],[NSW]]),tblData[[#This Row],[New South Wales]]/NSWpopscale,"")</f>
        <v>4.9504950495049505</v>
      </c>
      <c r="M44" s="25">
        <v>229</v>
      </c>
      <c r="N44" s="20">
        <f>IF(ISNUMBER(tblData[Italy]),tblData[Italy]/ItalyPopscale,"")</f>
        <v>37.860626601636774</v>
      </c>
      <c r="O44">
        <v>51</v>
      </c>
      <c r="P44" s="20">
        <f>IF(ISNUMBER(tblData[US]),tblData[US]/USPopscale,"")</f>
        <v>1.5490796453103319</v>
      </c>
      <c r="Q44">
        <v>833</v>
      </c>
      <c r="R44" s="20">
        <f>IF(ISNUMBER(tblData[SKorea]),tblData[SKorea]/SKoreaPopscale,"")</f>
        <v>162.06225680933852</v>
      </c>
      <c r="S44">
        <v>13</v>
      </c>
      <c r="T44" s="20">
        <f>IF(ISNUMBER(tblData[United Kingdom]),tblData[United Kingdom]/UKPopscale,"")</f>
        <v>1.9566526189042746</v>
      </c>
      <c r="U44">
        <v>77241</v>
      </c>
      <c r="V44" s="20">
        <f>IF(ISNUMBER(tblData[China]),tblData[China]/ChinaPopscale,"")</f>
        <v>536.64784316048156</v>
      </c>
      <c r="W44" s="25">
        <f ca="1">IF(tblData[[#This Row],[Dates]]&lt;StartDt2China,"",tblData[[#This Row],[Dates]]-ChinaStart)</f>
        <v>33</v>
      </c>
      <c r="X44">
        <v>89</v>
      </c>
      <c r="Y44" s="20">
        <f>IF(ISNUMBER(tblData[Singapore]),tblData[Singapore]/SingaporePopscale,"")</f>
        <v>152.13675213675214</v>
      </c>
      <c r="Z44"/>
      <c r="AA44" s="20" t="str">
        <f>IF(AND(LEN(tblData[Generic])&gt;0,ISNUMBER(tblData[Generic])),tblData[Generic]/GenericPopscale,"")</f>
        <v/>
      </c>
      <c r="AB44" s="25">
        <f ca="1">IF(tblData[[#This Row],[Dates]]&lt;StartDt2Italy,"",tblData[[#This Row],[Dates]]-ItalyStart)</f>
        <v>25</v>
      </c>
      <c r="AC44" s="25">
        <f ca="1">IF(tblData[[#This Row],[Dates]]&lt;=StartDt2US,"",tblData[[#This Row],[Dates]]-USStart)</f>
        <v>33</v>
      </c>
      <c r="AD44" s="25">
        <f>IF(tblData[[#This Row],[Dates]]&lt;=SKoreaStart,"",tblData[[#This Row],[Dates]]-SKoreaStart)</f>
        <v>33</v>
      </c>
      <c r="AE44" s="25">
        <f ca="1">IF(tblData[[#This Row],[Dates]]&lt;=StartDt2UK,"",tblData[[#This Row],[Dates]]-UKStart)</f>
        <v>25</v>
      </c>
      <c r="AF44" s="25">
        <f ca="1">IF(tblData[[#This Row],[Dates]]&lt;StartDt2Singapore,"",tblData[[#This Row],[Dates]]-SingaporeStart)</f>
        <v>32</v>
      </c>
      <c r="AG44" s="25" t="str">
        <f>IF(tblData[[#This Row],[Dates]]&lt;StartDt2Generic,"",tblData[[#This Row],[Dates]]-GenericStart)</f>
        <v/>
      </c>
      <c r="AH44">
        <f ca="1">IF(tblData[Dates]&gt;StartDt2Au,tblData[Dates]-AuStart,"")</f>
        <v>30</v>
      </c>
      <c r="AI44" s="25">
        <f>IF(AND(COUNTBLANK(tblData[[#This Row],[Australian Capital Territory]:[Western Australia]])&lt;1,tblData[New South Wales]&gt;=0),SUM(tblData[[#This Row],[Australian Capital Territory]:[Western Australia]]),"")</f>
        <v>15</v>
      </c>
      <c r="AJ44" s="12">
        <f>IF(ISNUMBER(tblData[Au]),tblData[Au]/AuPopScale,"")</f>
        <v>5.9138937076170954</v>
      </c>
      <c r="AK44" s="11">
        <f ca="1">IF(ISNUMBER(tblData[[#This Row],[Day'# Aust]]),betaAu/(deltaAu+betaPodeltaAu*EXP(-betaAu*tblData[[#This Row],[Day'# Aust]])),"")</f>
        <v>4.1476825145268332</v>
      </c>
      <c r="AL44" s="369">
        <f ca="1">IF(ISNUMBER(tblData[Day'# Aust]),tblData[Au LogiP(t)]/AuPopScale,"")</f>
        <v>1.6352635682569125</v>
      </c>
      <c r="AM44" s="11">
        <f ca="1">IF(AND(tblData[Dates]&gt;StartDt2Au,ISNUMBER(tblData[Au])),(tblData[[#This Row],[Au LogiP(t)]]-tblData[[#This Row],[Au]])^2,"")</f>
        <v>117.77279480550663</v>
      </c>
      <c r="AN44" s="11">
        <f ca="1">IF(AND(ISNUMBER(tblData[Au]),tblData[Dates]&gt;StartDt2Au),(tblData[Au]-AVERAGE(tblData[Au]))^2,"")</f>
        <v>5923431.1160999993</v>
      </c>
      <c r="AO44" s="11">
        <f>tblData[[#This Row],[Dates]]-Au100dt</f>
        <v>-20</v>
      </c>
      <c r="AP44">
        <f ca="1">IF(tblData[Dates]&gt;StartDt2NSW,tblData[Dates]-StartDt2NSW,"")</f>
        <v>30</v>
      </c>
      <c r="AQ44" s="25">
        <f>IF(tblData[[#This Row],[New South Wales]]&gt;0,tblData[[#This Row],[New South Wales]],"")</f>
        <v>4</v>
      </c>
      <c r="AR44" s="44">
        <f ca="1">IF(tblData[Dates]&gt;StartDt2NSW,betaNSW/(deltaNSW+betaPodeltaNSW*EXP(-betaNSW*tblData[[#This Row],[Day '# NSW]])),"")</f>
        <v>1.3933983191985726</v>
      </c>
      <c r="AS44" s="12">
        <f ca="1">IF(AND(ISNUMBER(tblData[NSW]),tblData[Dates]&gt;StartDt2NSW),(tblData[[#This Row],[NSW LogiP(t)]]-tblData[[#This Row],[NSW]])^2,"")</f>
        <v>6.7943723223568249</v>
      </c>
      <c r="AT44" s="12">
        <f ca="1">IF(AND(tblData[Dates]&gt;StartDt2NSW,ISNUMBER(tblData[Day'# Aust])),tblData[NSW LogiP(t)]/NSWpopscale,"")</f>
        <v>1.7245028702952629</v>
      </c>
      <c r="AU44" s="11">
        <f>tblData[[#This Row],[Dates]]-NSW100dt+1</f>
        <v>-17</v>
      </c>
      <c r="AV44" s="11">
        <f ca="1">IF(AND(ISNUMBER(tblData[NSW]),tblData[Dates]&gt;StartDt2NSW),(tblData[NSW]-AVERAGE(tblData[NSW]))^2,"")</f>
        <v>1188666.8676</v>
      </c>
      <c r="AW44" s="11">
        <f ca="1">IF(AND(tblData[Dates]&gt;StartDt2Italy,ISNUMBER(tblData[Days'# Italy])),betaItaly/(deltaItaly+betaPodeltaItaly*EXP(-betaItaly*tblData[Days'# Italy])),"")</f>
        <v>248.03815048879505</v>
      </c>
      <c r="AX44" s="11">
        <f ca="1">IF(AND(tblData[Dates]&gt;StartDt2Italy,ISNUMBER(tblData[Italy])),(tblData[[#This Row],[Italy LogiP(t)]]-tblData[[#This Row],[Italy]])^2,"")</f>
        <v>362.45117403400735</v>
      </c>
      <c r="AY44" s="11">
        <f ca="1">IF(AND(tblData[Dates]&gt;StartDt2Italy,ISNUMBER(tblData[Days'# Italy])),tblData[[#This Row],[Italy LogiP(t)]]/ItalyPopscale,"")</f>
        <v>41.008208727584538</v>
      </c>
      <c r="AZ44" s="39">
        <f ca="1">IF(AND(ISNUMBER(tblData[Italy]),tblData[Dates]&gt;StartDt2Italy),(tblData[Italy]-AVERAGE(tblData[Italy]))^2,"")</f>
        <v>4832975671.6442947</v>
      </c>
      <c r="BA44" s="11">
        <f>tblData[[#This Row],[Dates]]-Italy100dt+1</f>
        <v>-2</v>
      </c>
      <c r="BB44" s="11">
        <f ca="1">IF(AND(tblData[Dates]&gt;StartDt2US,ISNUMBER(tblData[[#This Row],[Days'# US]])),betaUS/(deltaUS+betaPodeltaUS*EXP(-betaUS*tblData[Days'# US])),"")</f>
        <v>11.665222618859662</v>
      </c>
      <c r="BC44" s="11">
        <f ca="1">IF(AND(tblData[Dates]&gt;StartDt2US,ISNUMBER(tblData[US])),(tblData[[#This Row],[US LogiP(t)]]-tblData[US])^2,"")</f>
        <v>1547.2247116238698</v>
      </c>
      <c r="BD44" s="20">
        <f ca="1">IF(AND(tblData[Dates]&gt;=StartDt2US,ISNUMBER(tblData[[#This Row],[Days'# US]])),tblData[[#This Row],[US LogiP(t)]]/USPopscale,"")</f>
        <v>0.35432076307625854</v>
      </c>
      <c r="BE44" s="126">
        <f ca="1">IF(AND(ISNUMBER(tblData[US]),tblData[Dates]&gt;StartDt2US),(tblData[US]-AVERAGE(tblData[US]))^2,"")</f>
        <v>50127737415.040466</v>
      </c>
      <c r="BF44" s="11">
        <f>tblData[[#This Row],[Dates]]-US100dt+1</f>
        <v>-19</v>
      </c>
      <c r="BG44" s="20">
        <f ca="1">IF(tblData[Dates]&gt;StartDt2SKorea,betaSKorea/(deltaSKorea+betaPodeltaSKorea*EXP(-betaSKorea*(tblData[Dates]-StartDt2SKorea))),"")</f>
        <v>1525.2748109840693</v>
      </c>
      <c r="BH44" s="20">
        <f ca="1">IF(AND(tblData[Dates]&gt;StartDt2SKorea,ISNUMBER(tblData[SKorea])),(tblData[[#This Row],[SKorea LogiP(t)]]-tblData[[#This Row],[SKorea]])^2,"")</f>
        <v>479244.41392302886</v>
      </c>
      <c r="BI44" s="20">
        <f ca="1">IF(tblData[Dates]&gt;StartDt2SKorea,tblData[[#This Row],[SKorea LogiP(t)]]/SKoreaPopscale,"")</f>
        <v>296.74607217588897</v>
      </c>
      <c r="BJ44" s="126">
        <f ca="1">IF(AND(ISNUMBER(tblData[SKorea]),tblData[Dates]&gt;StartDt2SKorea),(tblData[SKorea]-AVERAGE(tblData[SKorea]))^2,"")</f>
        <v>24913799.923106495</v>
      </c>
      <c r="BK44" s="11">
        <f>tblData[[#This Row],[Dates]]-SKorea100dt+1</f>
        <v>2</v>
      </c>
      <c r="BL44" s="11">
        <f ca="1">IF(AND(tblData[Dates]&gt;StartDt2UK,ISNUMBER(tblData[Days'# UK])),betaUK/(deltaUK+betaPodeltaUK*EXP(-betaUK*tblData[Days'# UK])),"")</f>
        <v>18.159530732660741</v>
      </c>
      <c r="BM44" s="20">
        <f ca="1">IF(AND(tblData[Dates]&gt;StartDt2UK,ISNUMBER(tblData[United Kingdom])),(tblData[[#This Row],[UK LogiP(t)]]-tblData[[#This Row],[United Kingdom]])^2,"")</f>
        <v>26.620757381270685</v>
      </c>
      <c r="BN44" s="20">
        <f ca="1">IF(ISNUMBER(tblData[Days'# UK]),tblData[[#This Row],[UK LogiP(t)]]/UKPopscale,"")</f>
        <v>2.7332225666256384</v>
      </c>
      <c r="BO44" s="126">
        <f ca="1">IF(AND(ISNUMBER(tblData[United Kingdom]),tblData[Dates]&gt;StartDt2UK),(tblData[United Kingdom]-AVERAGE(tblData[United Kingdom]))^2,"")</f>
        <v>1440508538.5967634</v>
      </c>
      <c r="BP44" s="11">
        <f>tblData[[#This Row],[Dates]]-UK100dt</f>
        <v>-17</v>
      </c>
      <c r="BQ44" s="11">
        <f ca="1">IF(ISNUMBER(tblData[Days'# China]),betaChina/(deltaChina+betaPodeltaChina*EXP(-betaChina*tblData[Days'# China])),"")</f>
        <v>79333.008205971768</v>
      </c>
      <c r="BR44" s="11">
        <f ca="1">IF(ISNUMBER(tblData[China]),(tblData[[#This Row],[China LogiP(t)]]-tblData[[#This Row],[China]])^2,"")</f>
        <v>4376498.333853215</v>
      </c>
      <c r="BS44" s="11">
        <f ca="1">tblData[[#This Row],[China LogiP(t)]]/ChinaPopscale</f>
        <v>551.18250340062309</v>
      </c>
      <c r="BT44" s="126">
        <f ca="1">IF(AND(ISNUMBER(tblData[China]),tblData[Dates]&gt;StartDt2China),(tblData[China]-AVERAGE(tblData[China]))^2,"")</f>
        <v>100731922.63321786</v>
      </c>
      <c r="BU44" s="11">
        <f>tblData[[#This Row],[Dates]]-China100dt</f>
        <v>22</v>
      </c>
      <c r="BV44" s="95">
        <f ca="1">IF(ISNUMBER(tblData[Day'# Singapore]),betaSingapore/(deltaSingapore+betaPodeltaSingapore*EXP(-betaSingapore*tblData[Day'# Singapore])),"")</f>
        <v>6.7981355839084303</v>
      </c>
      <c r="BW44" s="11">
        <f ca="1">IF(AND(ISNUMBER(tblData[Singapore]),tblData[Dates]&gt;=StartDt2Singapore),(tblData[[#This Row],[Singapore LogiP(t)]]-tblData[[#This Row],[Singapore]])^2,"")</f>
        <v>6757.1465134815007</v>
      </c>
      <c r="BX44" s="20">
        <f ca="1">IF(ISNUMBER(tblData[Day'# Singapore]),tblData[Singapore LogiP(t)]/SingaporePopscale,"")</f>
        <v>11.62074458787766</v>
      </c>
      <c r="BY44" s="95">
        <f ca="1">IF(AND(ISNUMBER(tblData[Singapore]),tblData[Dates]&gt;StartDt2Singapore),(tblData[Singapore]-AVERAGE(tblData[Singapore]))^2,"")</f>
        <v>4980948.7443291051</v>
      </c>
      <c r="BZ44" s="11">
        <f>tblData[[#This Row],[Dates]]-Singapore100dt+1</f>
        <v>11</v>
      </c>
      <c r="CA44" s="11" t="str">
        <f>IF(AND(tblData[Dates]&gt;StartDt2Generic,ISNUMBER(tblData[Day'# Generic])),betaGeneric/(deltaGeneric+betaPodeltaGeneric*EXP(-betaGeneric*tblData[Day'# Generic])),"")</f>
        <v/>
      </c>
      <c r="CB44" s="95" t="str">
        <f>IF(AND(ISNUMBER(tblData[Generic]),tblData[Dates]&gt;StartDt2Generic),(tblData[Generic LogiP(t)]-tblData[[#This Row],[Generic]])^2,"")</f>
        <v/>
      </c>
      <c r="CC44" s="11" t="str">
        <f>IF(AND(ISNUMBER(tblData[Day'# Generic]),tblData[Dates]&gt;StartDt2Generic),tblData[Generic LogiP(t)]/GenericPopscale,"")</f>
        <v/>
      </c>
      <c r="CD44" s="95" t="str">
        <f>IF(AND(ISNUMBER(tblData[Generic]),tblData[Dates]&gt;StartDt2Generic),(tblData[Generic]-AVERAGE(tblData[Generic]))^2,"")</f>
        <v/>
      </c>
      <c r="CE44" s="11">
        <f>tblData[[#This Row],[Dates]]-Generic100dt+1</f>
        <v>-17</v>
      </c>
      <c r="CF44"/>
      <c r="CG44" s="11"/>
      <c r="CH44" s="11" t="str">
        <f>IF(ISNUMBER(tblData[[#This Row],[Tests]]),tblData[[#This Row],[Tests]]-CH43,"")</f>
        <v/>
      </c>
      <c r="CI44" s="11" t="str">
        <f>IF(ISNUMBER(tblData[[#This Row],[NSW Under Investigation'']]),tblData[[#This Row],[NSW Under Investigation'']]-CG43,"")</f>
        <v/>
      </c>
      <c r="CJ44" s="11"/>
      <c r="CK44" s="11" t="str">
        <f>IF(AND(tblData[[#This Row],[NSW Test Day Number]]&gt;0,ISNUMBER(tblData[[#This Row],[NSW Test Day Number]])),betaTests/(deltaTests+betaPodeltaTests*EXP(-betaTests*tblData[[#This Row],[NSW Test Day Number]])),"")</f>
        <v/>
      </c>
      <c r="CL44" s="11" t="str">
        <f>IF(tblData[Tests]&gt;0,(tblData[[#This Row],[Tests]]-tblData[[#This Row],[NSW Test Logi]])^2,"")</f>
        <v/>
      </c>
      <c r="CM44" s="95" t="str">
        <f>IF(AND(ISNUMBER(tblData[Tests]),tblData[Dates]&gt;StartDt2Tests),(tblData[Tests]-AVERAGE(tblData[Tests]))^2,"")</f>
        <v/>
      </c>
      <c r="CN44" s="11" t="str">
        <f>IF(ISNUMBER(tblData[Tests]),tblData[Tests]/NSWpopscale/100,"")</f>
        <v/>
      </c>
      <c r="CO44" s="11" t="str">
        <f>IF(AND(tblData[[#This Row],[NSW Test Day Number]]&gt;0,ISNUMBER(tblData[[#This Row],[NSW Test Day Number]])),TestsLogestB*TestsLogestM^tblData[[#This Row],[NSW Test Day Number]],"")</f>
        <v/>
      </c>
      <c r="CP44" s="11" t="str">
        <f>IF(AND(tblData[[#This Row],[NSW Test Day Number]]&gt;0,ISNUMBER(tblData[Tests])),(tblData[Tests]-tblData[[#This Row],[NSW Test Per Capita]])^2,"")</f>
        <v/>
      </c>
      <c r="CQ44" s="20">
        <f ca="1">IF(AND(tblData[Day '# NSW]&gt;0,ISNUMBER(tblData[[#This Row],[Day '# NSW]])),NSWLogestB*NSWLogestM^tblData[[#This Row],[Day '# NSW]]/NSWpopscale,"")</f>
        <v>25.380375544490509</v>
      </c>
      <c r="CR44" s="39">
        <f ca="1">IF(AND(ISNUMBER(tblData[NSW]),tblData[Dates]&gt;StartDt2NSW),(tblData[NSW]/NSWpopscale-tblData[[#This Row],[NSW Cases LogEst]])^2,"")</f>
        <v>417.3800170393913</v>
      </c>
      <c r="CS44" s="11">
        <v>30</v>
      </c>
      <c r="CT44" s="19">
        <f>IF(ISNUMBER(tblData[Taiwan]),tblData[Taiwan]/TaiwanPopscale,"")</f>
        <v>12.601186477313957</v>
      </c>
      <c r="CU44" s="11">
        <f ca="1">IF(tblData[[#This Row],[Dates]]&lt;StartDt2Taiwan,"",tblData[[#This Row],[Dates]]-TaiwanStart)</f>
        <v>33</v>
      </c>
      <c r="CV44" s="19">
        <f ca="1">IF(AND(tblData[Dates]&gt;StartDt2Taiwan,ISNUMBER(tblData[Days'# Taiwan])),betaTaiwan/(deltaTaiwan+betaPodeltaTaiwan*EXP(-betaTaiwan*tblData[Days'# Taiwan])),"")</f>
        <v>5.4797938478691028</v>
      </c>
      <c r="CW44" s="95">
        <f ca="1">IF(AND(tblData[Dates]&gt;StartDt2Taiwan,ISNUMBER(tblData[Taiwan])),(tblData[[#This Row],[Taiwan LogiP(t)]]-tblData[[#This Row],[Taiwan]])^2,"")</f>
        <v>601.2405097429978</v>
      </c>
      <c r="CX44" s="20">
        <f ca="1">IF(AND(tblData[Dates]&gt;StartDt2Taiwan,ISNUMBER(tblData[Days'# Taiwan])),tblData[[#This Row],[Taiwan LogiP(t)]]/TaiwanPopscale,"")</f>
        <v>2.3017301378078785</v>
      </c>
      <c r="CY44" s="95">
        <f ca="1">IF(AND(ISNUMBER(tblData[Taiwan]),tblData[Dates]&gt;StartDt2Taiwan),(tblData[Taiwan]-AVERAGE(tblData[Taiwan]))^2,"")</f>
        <v>19473.928873510191</v>
      </c>
      <c r="CZ44" s="11">
        <f>tblData[[#This Row],[Dates]]-Taiwan100dt+1</f>
        <v>-30</v>
      </c>
      <c r="DA44"/>
      <c r="DB44" s="20" t="str">
        <f>IF(ISNUMBER(tblData[NZ]),tblData[NZ]/NZPopscale,"")</f>
        <v/>
      </c>
      <c r="DC44" s="11" t="str">
        <f ca="1">IF(tblData[[#This Row],[Dates]]&lt;StartDt2NZ,"",tblData[[#This Row],[Dates]]-NZStart)</f>
        <v/>
      </c>
      <c r="DD44" s="20" t="str">
        <f ca="1">IF(AND(tblData[Dates]&gt;StartDt2NZ,ISNUMBER(tblData[Days'# NZ])),betaNZ/(deltaNZ+betaPodeltaNZ*EXP(-betaNZ*tblData[Days'# NZ])),"")</f>
        <v/>
      </c>
      <c r="DE44" s="95" t="str">
        <f ca="1">IF(AND(tblData[Dates]&gt;StartDt2NZ,ISNUMBER(tblData[NZ])),(tblData[[#This Row],[NZ LogiP(t)]]-tblData[[#This Row],[NZ]])^2,"")</f>
        <v/>
      </c>
      <c r="DF44" s="20" t="str">
        <f ca="1">IF(AND(tblData[Dates]&gt;StartDt2NZ,ISNUMBER(tblData[Days'# NZ])),tblData[[#This Row],[NZ LogiP(t)]]/NZPopscale,"")</f>
        <v/>
      </c>
      <c r="DG44" s="95" t="str">
        <f ca="1">IF(AND(ISNUMBER(tblData[NZ]),tblData[Dates]&gt;StartDt2NZ),(tblData[NZ]-AVERAGE(tblData[NZ]))^2,"")</f>
        <v/>
      </c>
      <c r="DH44" s="11">
        <f>tblData[[#This Row],[Dates]]-NZ100dt+1</f>
        <v>-26</v>
      </c>
      <c r="DI44" s="39"/>
      <c r="DJ44" s="11"/>
      <c r="DM44" s="25"/>
      <c r="DP44"/>
      <c r="DV44" s="25"/>
      <c r="DW44"/>
      <c r="DZ44" s="25"/>
      <c r="EA44" s="25"/>
      <c r="EB44" s="25"/>
      <c r="EH44"/>
      <c r="EI44"/>
      <c r="EJ44"/>
      <c r="EK44"/>
      <c r="EQ44" s="25"/>
      <c r="ER44" s="25"/>
      <c r="ES44" s="25"/>
      <c r="ET44" s="25"/>
      <c r="FF44"/>
      <c r="FG44"/>
      <c r="FH44"/>
      <c r="FI44"/>
      <c r="FJ44" s="25"/>
      <c r="FK44" s="25"/>
      <c r="FM44" s="25"/>
      <c r="FN44"/>
      <c r="FO44" s="263" t="s">
        <v>48</v>
      </c>
      <c r="FP44" s="250">
        <v>43945.843229166669</v>
      </c>
      <c r="FQ44" s="156">
        <v>43855</v>
      </c>
      <c r="FR44" s="26">
        <v>43855</v>
      </c>
      <c r="FS44" s="211">
        <v>0</v>
      </c>
      <c r="FT44" s="44">
        <v>0.25160447213707843</v>
      </c>
      <c r="FU44" s="71">
        <v>3.8679899302906876E-5</v>
      </c>
      <c r="FV44" s="73">
        <v>1.0000000000000009E-3</v>
      </c>
      <c r="FW44" s="214">
        <v>6504.7861207376473</v>
      </c>
      <c r="FX44" s="214">
        <v>72.115992336609438</v>
      </c>
      <c r="FY44" s="214">
        <v>0.99927652812614798</v>
      </c>
      <c r="FZ44" s="213">
        <v>251.60443345717891</v>
      </c>
      <c r="GA44" s="213">
        <v>3.8679899302906877E-2</v>
      </c>
      <c r="GB44" s="243">
        <v>44021</v>
      </c>
      <c r="GC44" s="26" t="s">
        <v>3402</v>
      </c>
      <c r="GD44" s="214">
        <v>6504.7861207069163</v>
      </c>
      <c r="GE44" s="214">
        <v>6675</v>
      </c>
      <c r="GF44" s="73" t="s">
        <v>2056</v>
      </c>
      <c r="GG44" s="156">
        <v>43945</v>
      </c>
      <c r="GH44" s="26">
        <v>91</v>
      </c>
      <c r="GI44" s="26" t="s">
        <v>3403</v>
      </c>
      <c r="GJ44" s="25"/>
      <c r="GK44" s="62" t="s">
        <v>3404</v>
      </c>
      <c r="GM44" s="18" t="s">
        <v>3405</v>
      </c>
      <c r="GN44" s="11">
        <v>2631.6826998896072</v>
      </c>
      <c r="GO44" s="156"/>
      <c r="GP44" s="218"/>
      <c r="GQ44" s="156"/>
      <c r="GR44" s="25"/>
      <c r="GS44" s="25" t="s">
        <v>3401</v>
      </c>
      <c r="GT44" s="11">
        <v>6504.7861207069163</v>
      </c>
      <c r="GU44" s="12">
        <v>2.7402996698513288E-2</v>
      </c>
      <c r="GV44" s="240">
        <v>43905</v>
      </c>
      <c r="GW44" s="162" t="s">
        <v>2387</v>
      </c>
      <c r="GX44" s="230">
        <v>-175.0281991640104</v>
      </c>
      <c r="GY44" s="25" t="s">
        <v>569</v>
      </c>
      <c r="GZ44" s="25" t="s">
        <v>569</v>
      </c>
      <c r="HA44" s="26" t="s">
        <v>3405</v>
      </c>
      <c r="HK44" s="164">
        <v>43931</v>
      </c>
      <c r="HL44" s="60">
        <v>43931.833333333336</v>
      </c>
      <c r="HM44">
        <v>2822</v>
      </c>
      <c r="HN44">
        <v>134619</v>
      </c>
      <c r="HO44">
        <v>682</v>
      </c>
      <c r="HP44">
        <v>427</v>
      </c>
      <c r="HQ44" s="166">
        <f>IF(ISNUMBER(tblNSWKnown[[#This Row],[Unknown Locally]]),tblNSWKnown[[#This Row],[Known Locally]]+tblNSWKnown[[#This Row],[Unknown Locally]],"")</f>
        <v>1109</v>
      </c>
      <c r="HR44" s="25">
        <v>11</v>
      </c>
      <c r="HS44" s="166">
        <f>IF(ISNUMBER(tblNSWKnown[[#This Row],[Day '# NSW Unknown]]),betaNSWUnknown/(deltaNSWUnknown+betaPodeltaNSWUnknown*EXP(-betaNSWUnknown*tblNSWKnown[Day '# NSW Unknown])),"")</f>
        <v>1068.9794666206717</v>
      </c>
      <c r="HT44" s="166">
        <f>IF(ISNUMBER(tblNSWKnown[[#This Row],[Total Local]]),(tblNSWKnown[[#This Row],[Total Local]]-tblNSWKnown[[#This Row],[NSW Unknown Logi P(t)]])^2,"")</f>
        <v>1601.6430919659306</v>
      </c>
      <c r="HU44" s="166">
        <f>IF(ISNUMBER(tblNSWKnown[Total Local]),(tblNSWKnown[Total Local]-AVERAGE(tblNSWKnown[Total Local]))^2,"")</f>
        <v>1306.6098615917024</v>
      </c>
      <c r="HV44" s="166"/>
    </row>
    <row r="45" spans="2:231" ht="15" customHeight="1" x14ac:dyDescent="0.25">
      <c r="B45" s="26">
        <v>43886</v>
      </c>
      <c r="C45">
        <v>7</v>
      </c>
      <c r="D45" s="25">
        <v>0</v>
      </c>
      <c r="E45">
        <v>4</v>
      </c>
      <c r="F45">
        <v>0</v>
      </c>
      <c r="G45">
        <v>5</v>
      </c>
      <c r="H45">
        <v>2</v>
      </c>
      <c r="I45">
        <v>0</v>
      </c>
      <c r="J45">
        <v>4</v>
      </c>
      <c r="K45">
        <v>0</v>
      </c>
      <c r="L45" s="11">
        <f>IF(ISNUMBER(tblData[[#This Row],[NSW]]),tblData[[#This Row],[New South Wales]]/NSWpopscale,"")</f>
        <v>4.9504950495049505</v>
      </c>
      <c r="M45" s="25">
        <v>322</v>
      </c>
      <c r="N45" s="20">
        <f>IF(ISNUMBER(tblData[Italy]),tblData[Italy]/ItalyPopscale,"")</f>
        <v>53.236339588327688</v>
      </c>
      <c r="O45">
        <v>51</v>
      </c>
      <c r="P45" s="20">
        <f>IF(ISNUMBER(tblData[US]),tblData[US]/USPopscale,"")</f>
        <v>1.5490796453103319</v>
      </c>
      <c r="Q45">
        <v>977</v>
      </c>
      <c r="R45" s="20">
        <f>IF(ISNUMBER(tblData[SKorea]),tblData[SKorea]/SKoreaPopscale,"")</f>
        <v>190.07782101167317</v>
      </c>
      <c r="S45">
        <v>13</v>
      </c>
      <c r="T45" s="20">
        <f>IF(ISNUMBER(tblData[United Kingdom]),tblData[United Kingdom]/UKPopscale,"")</f>
        <v>1.9566526189042746</v>
      </c>
      <c r="U45">
        <v>77754</v>
      </c>
      <c r="V45" s="20">
        <f>IF(ISNUMBER(tblData[China]),tblData[China]/ChinaPopscale,"")</f>
        <v>540.21201689646796</v>
      </c>
      <c r="W45" s="25">
        <f ca="1">IF(tblData[[#This Row],[Dates]]&lt;StartDt2China,"",tblData[[#This Row],[Dates]]-ChinaStart)</f>
        <v>34</v>
      </c>
      <c r="X45">
        <v>91</v>
      </c>
      <c r="Y45" s="20">
        <f>IF(ISNUMBER(tblData[Singapore]),tblData[Singapore]/SingaporePopscale,"")</f>
        <v>155.55555555555557</v>
      </c>
      <c r="Z45"/>
      <c r="AA45" s="20" t="str">
        <f>IF(AND(LEN(tblData[Generic])&gt;0,ISNUMBER(tblData[Generic])),tblData[Generic]/GenericPopscale,"")</f>
        <v/>
      </c>
      <c r="AB45" s="25">
        <f ca="1">IF(tblData[[#This Row],[Dates]]&lt;StartDt2Italy,"",tblData[[#This Row],[Dates]]-ItalyStart)</f>
        <v>26</v>
      </c>
      <c r="AC45" s="25">
        <f ca="1">IF(tblData[[#This Row],[Dates]]&lt;=StartDt2US,"",tblData[[#This Row],[Dates]]-USStart)</f>
        <v>34</v>
      </c>
      <c r="AD45" s="25">
        <f>IF(tblData[[#This Row],[Dates]]&lt;=SKoreaStart,"",tblData[[#This Row],[Dates]]-SKoreaStart)</f>
        <v>34</v>
      </c>
      <c r="AE45" s="25">
        <f ca="1">IF(tblData[[#This Row],[Dates]]&lt;=StartDt2UK,"",tblData[[#This Row],[Dates]]-UKStart)</f>
        <v>26</v>
      </c>
      <c r="AF45" s="25">
        <f ca="1">IF(tblData[[#This Row],[Dates]]&lt;StartDt2Singapore,"",tblData[[#This Row],[Dates]]-SingaporeStart)</f>
        <v>33</v>
      </c>
      <c r="AG45" s="25" t="str">
        <f>IF(tblData[[#This Row],[Dates]]&lt;StartDt2Generic,"",tblData[[#This Row],[Dates]]-GenericStart)</f>
        <v/>
      </c>
      <c r="AH45">
        <f ca="1">IF(tblData[Dates]&gt;StartDt2Au,tblData[Dates]-AuStart,"")</f>
        <v>31</v>
      </c>
      <c r="AI45" s="25">
        <f>IF(AND(COUNTBLANK(tblData[[#This Row],[Australian Capital Territory]:[Western Australia]])&lt;1,tblData[New South Wales]&gt;=0),SUM(tblData[[#This Row],[Australian Capital Territory]:[Western Australia]]),"")</f>
        <v>15</v>
      </c>
      <c r="AJ45" s="12">
        <f>IF(ISNUMBER(tblData[Au]),tblData[Au]/AuPopScale,"")</f>
        <v>5.9138937076170954</v>
      </c>
      <c r="AK45" s="11">
        <f ca="1">IF(ISNUMBER(tblData[[#This Row],[Day'# Aust]]),betaAu/(deltaAu+betaPodeltaAu*EXP(-betaAu*tblData[[#This Row],[Day'# Aust]])),"")</f>
        <v>5.1995282695788472</v>
      </c>
      <c r="AL45" s="369">
        <f ca="1">IF(ISNUMBER(tblData[Day'# Aust]),tblData[Au LogiP(t)]/AuPopScale,"")</f>
        <v>2.0499638344026363</v>
      </c>
      <c r="AM45" s="11">
        <f ca="1">IF(AND(tblData[Dates]&gt;StartDt2Au,ISNUMBER(tblData[Au])),(tblData[[#This Row],[Au LogiP(t)]]-tblData[[#This Row],[Au]])^2,"")</f>
        <v>96.049246138784184</v>
      </c>
      <c r="AN45" s="11">
        <f ca="1">IF(AND(ISNUMBER(tblData[Au]),tblData[Dates]&gt;StartDt2Au),(tblData[Au]-AVERAGE(tblData[Au]))^2,"")</f>
        <v>5923431.1160999993</v>
      </c>
      <c r="AO45" s="11">
        <f>tblData[[#This Row],[Dates]]-Au100dt</f>
        <v>-19</v>
      </c>
      <c r="AP45">
        <f ca="1">IF(tblData[Dates]&gt;StartDt2NSW,tblData[Dates]-StartDt2NSW,"")</f>
        <v>31</v>
      </c>
      <c r="AQ45" s="25">
        <f>IF(tblData[[#This Row],[New South Wales]]&gt;0,tblData[[#This Row],[New South Wales]],"")</f>
        <v>4</v>
      </c>
      <c r="AR45" s="44">
        <f ca="1">IF(tblData[Dates]&gt;StartDt2NSW,betaNSW/(deltaNSW+betaPodeltaNSW*EXP(-betaNSW*tblData[[#This Row],[Day '# NSW]])),"")</f>
        <v>1.7610548082305144</v>
      </c>
      <c r="AS45" s="12">
        <f ca="1">IF(AND(ISNUMBER(tblData[NSW]),tblData[Dates]&gt;StartDt2NSW),(tblData[[#This Row],[NSW LogiP(t)]]-tblData[[#This Row],[NSW]])^2,"")</f>
        <v>5.0128755717476992</v>
      </c>
      <c r="AT45" s="12">
        <f ca="1">IF(AND(tblData[Dates]&gt;StartDt2NSW,ISNUMBER(tblData[Day'# Aust])),tblData[NSW LogiP(t)]/NSWpopscale,"")</f>
        <v>2.1795232775130127</v>
      </c>
      <c r="AU45" s="11">
        <f>tblData[[#This Row],[Dates]]-NSW100dt+1</f>
        <v>-16</v>
      </c>
      <c r="AV45" s="11">
        <f ca="1">IF(AND(ISNUMBER(tblData[NSW]),tblData[Dates]&gt;StartDt2NSW),(tblData[NSW]-AVERAGE(tblData[NSW]))^2,"")</f>
        <v>1188666.8676</v>
      </c>
      <c r="AW45" s="11">
        <f ca="1">IF(AND(tblData[Dates]&gt;StartDt2Italy,ISNUMBER(tblData[Days'# Italy])),betaItaly/(deltaItaly+betaPodeltaItaly*EXP(-betaItaly*tblData[Days'# Italy])),"")</f>
        <v>319.36098946579699</v>
      </c>
      <c r="AX45" s="11">
        <f ca="1">IF(AND(tblData[Dates]&gt;StartDt2Italy,ISNUMBER(tblData[Italy])),(tblData[[#This Row],[Italy LogiP(t)]]-tblData[[#This Row],[Italy]])^2,"")</f>
        <v>6.9643765996344547</v>
      </c>
      <c r="AY45" s="11">
        <f ca="1">IF(AND(tblData[Dates]&gt;StartDt2Italy,ISNUMBER(tblData[Days'# Italy])),tblData[[#This Row],[Italy LogiP(t)]]/ItalyPopscale,"")</f>
        <v>52.800031324427046</v>
      </c>
      <c r="AZ45" s="39">
        <f ca="1">IF(AND(ISNUMBER(tblData[Italy]),tblData[Dates]&gt;StartDt2Italy),(tblData[Italy]-AVERAGE(tblData[Italy]))^2,"")</f>
        <v>4820053673.8570614</v>
      </c>
      <c r="BA45" s="11">
        <f>tblData[[#This Row],[Dates]]-Italy100dt+1</f>
        <v>-1</v>
      </c>
      <c r="BB45" s="11">
        <f ca="1">IF(AND(tblData[Dates]&gt;StartDt2US,ISNUMBER(tblData[[#This Row],[Days'# US]])),betaUS/(deltaUS+betaPodeltaUS*EXP(-betaUS*tblData[Days'# US])),"")</f>
        <v>15.492815859488651</v>
      </c>
      <c r="BC45" s="11">
        <f ca="1">IF(AND(tblData[Dates]&gt;StartDt2US,ISNUMBER(tblData[US])),(tblData[[#This Row],[US LogiP(t)]]-tblData[US])^2,"")</f>
        <v>1260.7601255881807</v>
      </c>
      <c r="BD45" s="20">
        <f ca="1">IF(AND(tblData[Dates]&gt;=StartDt2US,ISNUMBER(tblData[[#This Row],[Days'# US]])),tblData[[#This Row],[US LogiP(t)]]/USPopscale,"")</f>
        <v>0.47058050385245032</v>
      </c>
      <c r="BE45" s="126">
        <f ca="1">IF(AND(ISNUMBER(tblData[US]),tblData[Dates]&gt;StartDt2US),(tblData[US]-AVERAGE(tblData[US]))^2,"")</f>
        <v>50127737415.040466</v>
      </c>
      <c r="BF45" s="11">
        <f>tblData[[#This Row],[Dates]]-US100dt+1</f>
        <v>-18</v>
      </c>
      <c r="BG45" s="20">
        <f ca="1">IF(tblData[Dates]&gt;StartDt2SKorea,betaSKorea/(deltaSKorea+betaPodeltaSKorea*EXP(-betaSKorea*(tblData[Dates]-StartDt2SKorea))),"")</f>
        <v>1770.0164906330222</v>
      </c>
      <c r="BH45" s="20">
        <f ca="1">IF(AND(tblData[Dates]&gt;StartDt2SKorea,ISNUMBER(tblData[SKorea])),(tblData[[#This Row],[SKorea LogiP(t)]]-tblData[[#This Row],[SKorea]])^2,"")</f>
        <v>628875.15441591409</v>
      </c>
      <c r="BI45" s="20">
        <f ca="1">IF(tblData[Dates]&gt;StartDt2SKorea,tblData[[#This Row],[SKorea LogiP(t)]]/SKoreaPopscale,"")</f>
        <v>344.36118494805879</v>
      </c>
      <c r="BJ45" s="126">
        <f ca="1">IF(AND(ISNUMBER(tblData[SKorea]),tblData[Dates]&gt;StartDt2SKorea),(tblData[SKorea]-AVERAGE(tblData[SKorea]))^2,"")</f>
        <v>23497020.628988847</v>
      </c>
      <c r="BK45" s="11">
        <f>tblData[[#This Row],[Dates]]-SKorea100dt+1</f>
        <v>3</v>
      </c>
      <c r="BL45" s="11">
        <f ca="1">IF(AND(tblData[Dates]&gt;StartDt2UK,ISNUMBER(tblData[Days'# UK])),betaUK/(deltaUK+betaPodeltaUK*EXP(-betaUK*tblData[Days'# UK])),"")</f>
        <v>22.474312142122702</v>
      </c>
      <c r="BM45" s="20">
        <f ca="1">IF(AND(tblData[Dates]&gt;StartDt2UK,ISNUMBER(tblData[United Kingdom])),(tblData[[#This Row],[UK LogiP(t)]]-tblData[[#This Row],[United Kingdom]])^2,"")</f>
        <v>89.762590566373675</v>
      </c>
      <c r="BN45" s="20">
        <f ca="1">IF(ISNUMBER(tblData[Days'# UK]),tblData[[#This Row],[UK LogiP(t)]]/UKPopscale,"")</f>
        <v>3.3826478239197324</v>
      </c>
      <c r="BO45" s="126">
        <f ca="1">IF(AND(ISNUMBER(tblData[United Kingdom]),tblData[Dates]&gt;StartDt2UK),(tblData[United Kingdom]-AVERAGE(tblData[United Kingdom]))^2,"")</f>
        <v>1440508538.5967634</v>
      </c>
      <c r="BP45" s="11">
        <f>tblData[[#This Row],[Dates]]-UK100dt</f>
        <v>-16</v>
      </c>
      <c r="BQ45" s="11">
        <f ca="1">IF(ISNUMBER(tblData[Days'# China]),betaChina/(deltaChina+betaPodeltaChina*EXP(-betaChina*tblData[Days'# China])),"")</f>
        <v>79871.146458582574</v>
      </c>
      <c r="BR45" s="11">
        <f ca="1">IF(ISNUMBER(tblData[China]),(tblData[[#This Row],[China LogiP(t)]]-tblData[[#This Row],[China]])^2,"")</f>
        <v>4482309.1270887358</v>
      </c>
      <c r="BS45" s="11">
        <f ca="1">tblData[[#This Row],[China LogiP(t)]]/ChinaPopscale</f>
        <v>554.92133035244581</v>
      </c>
      <c r="BT45" s="126">
        <f ca="1">IF(AND(ISNUMBER(tblData[China]),tblData[Dates]&gt;StartDt2China),(tblData[China]-AVERAGE(tblData[China]))^2,"")</f>
        <v>111292570.80968843</v>
      </c>
      <c r="BU45" s="11">
        <f>tblData[[#This Row],[Dates]]-China100dt</f>
        <v>23</v>
      </c>
      <c r="BV45" s="95">
        <f ca="1">IF(ISNUMBER(tblData[Day'# Singapore]),betaSingapore/(deltaSingapore+betaPodeltaSingapore*EXP(-betaSingapore*tblData[Day'# Singapore])),"")</f>
        <v>7.7077620125690762</v>
      </c>
      <c r="BW45" s="11">
        <f ca="1">IF(AND(ISNUMBER(tblData[Singapore]),tblData[Dates]&gt;=StartDt2Singapore),(tblData[[#This Row],[Singapore LogiP(t)]]-tblData[[#This Row],[Singapore]])^2,"")</f>
        <v>6937.5969089548307</v>
      </c>
      <c r="BX45" s="20">
        <f ca="1">IF(ISNUMBER(tblData[Day'# Singapore]),tblData[Singapore LogiP(t)]/SingaporePopscale,"")</f>
        <v>13.175661559947139</v>
      </c>
      <c r="BY45" s="95">
        <f ca="1">IF(AND(ISNUMBER(tblData[Singapore]),tblData[Dates]&gt;StartDt2Singapore),(tblData[Singapore]-AVERAGE(tblData[Singapore]))^2,"")</f>
        <v>4972025.5286428304</v>
      </c>
      <c r="BZ45" s="11">
        <f>tblData[[#This Row],[Dates]]-Singapore100dt+1</f>
        <v>12</v>
      </c>
      <c r="CA45" s="11" t="str">
        <f>IF(AND(tblData[Dates]&gt;StartDt2Generic,ISNUMBER(tblData[Day'# Generic])),betaGeneric/(deltaGeneric+betaPodeltaGeneric*EXP(-betaGeneric*tblData[Day'# Generic])),"")</f>
        <v/>
      </c>
      <c r="CB45" s="95" t="str">
        <f>IF(AND(ISNUMBER(tblData[Generic]),tblData[Dates]&gt;StartDt2Generic),(tblData[Generic LogiP(t)]-tblData[[#This Row],[Generic]])^2,"")</f>
        <v/>
      </c>
      <c r="CC45" s="11" t="str">
        <f>IF(AND(ISNUMBER(tblData[Day'# Generic]),tblData[Dates]&gt;StartDt2Generic),tblData[Generic LogiP(t)]/GenericPopscale,"")</f>
        <v/>
      </c>
      <c r="CD45" s="95" t="str">
        <f>IF(AND(ISNUMBER(tblData[Generic]),tblData[Dates]&gt;StartDt2Generic),(tblData[Generic]-AVERAGE(tblData[Generic]))^2,"")</f>
        <v/>
      </c>
      <c r="CE45" s="11">
        <f>tblData[[#This Row],[Dates]]-Generic100dt+1</f>
        <v>-16</v>
      </c>
      <c r="CF45"/>
      <c r="CG45" s="11"/>
      <c r="CH45" s="11" t="str">
        <f>IF(ISNUMBER(tblData[[#This Row],[Tests]]),tblData[[#This Row],[Tests]]-CH44,"")</f>
        <v/>
      </c>
      <c r="CI45" s="11" t="str">
        <f>IF(ISNUMBER(tblData[[#This Row],[NSW Under Investigation'']]),tblData[[#This Row],[NSW Under Investigation'']]-CG44,"")</f>
        <v/>
      </c>
      <c r="CJ45" s="11"/>
      <c r="CK45" s="11" t="str">
        <f>IF(AND(tblData[[#This Row],[NSW Test Day Number]]&gt;0,ISNUMBER(tblData[[#This Row],[NSW Test Day Number]])),betaTests/(deltaTests+betaPodeltaTests*EXP(-betaTests*tblData[[#This Row],[NSW Test Day Number]])),"")</f>
        <v/>
      </c>
      <c r="CL45" s="11" t="str">
        <f>IF(tblData[Tests]&gt;0,(tblData[[#This Row],[Tests]]-tblData[[#This Row],[NSW Test Logi]])^2,"")</f>
        <v/>
      </c>
      <c r="CM45" s="95" t="str">
        <f>IF(AND(ISNUMBER(tblData[Tests]),tblData[Dates]&gt;StartDt2Tests),(tblData[Tests]-AVERAGE(tblData[Tests]))^2,"")</f>
        <v/>
      </c>
      <c r="CN45" s="11" t="str">
        <f>IF(ISNUMBER(tblData[Tests]),tblData[Tests]/NSWpopscale/100,"")</f>
        <v/>
      </c>
      <c r="CO45" s="11" t="str">
        <f>IF(AND(tblData[[#This Row],[NSW Test Day Number]]&gt;0,ISNUMBER(tblData[[#This Row],[NSW Test Day Number]])),TestsLogestB*TestsLogestM^tblData[[#This Row],[NSW Test Day Number]],"")</f>
        <v/>
      </c>
      <c r="CP45" s="11" t="str">
        <f>IF(AND(tblData[[#This Row],[NSW Test Day Number]]&gt;0,ISNUMBER(tblData[Tests])),(tblData[Tests]-tblData[[#This Row],[NSW Test Per Capita]])^2,"")</f>
        <v/>
      </c>
      <c r="CQ45" s="20">
        <f ca="1">IF(AND(tblData[Day '# NSW]&gt;0,ISNUMBER(tblData[[#This Row],[Day '# NSW]])),NSWLogestB*NSWLogestM^tblData[[#This Row],[Day '# NSW]]/NSWpopscale,"")</f>
        <v>27.942667403711749</v>
      </c>
      <c r="CR45" s="39">
        <f ca="1">IF(AND(ISNUMBER(tblData[NSW]),tblData[Dates]&gt;StartDt2NSW),(tblData[NSW]/NSWpopscale-tblData[[#This Row],[NSW Cases LogEst]])^2,"")</f>
        <v>528.63998956555133</v>
      </c>
      <c r="CS45" s="11">
        <v>31</v>
      </c>
      <c r="CT45" s="19">
        <f>IF(ISNUMBER(tblData[Taiwan]),tblData[Taiwan]/TaiwanPopscale,"")</f>
        <v>13.021226026557756</v>
      </c>
      <c r="CU45" s="11">
        <f ca="1">IF(tblData[[#This Row],[Dates]]&lt;StartDt2Taiwan,"",tblData[[#This Row],[Dates]]-TaiwanStart)</f>
        <v>34</v>
      </c>
      <c r="CV45" s="19">
        <f ca="1">IF(AND(tblData[Dates]&gt;StartDt2Taiwan,ISNUMBER(tblData[Days'# Taiwan])),betaTaiwan/(deltaTaiwan+betaPodeltaTaiwan*EXP(-betaTaiwan*tblData[Days'# Taiwan])),"")</f>
        <v>6.3379983196489151</v>
      </c>
      <c r="CW45" s="95">
        <f ca="1">IF(AND(tblData[Dates]&gt;StartDt2Taiwan,ISNUMBER(tblData[Taiwan])),(tblData[[#This Row],[Taiwan LogiP(t)]]-tblData[[#This Row],[Taiwan]])^2,"")</f>
        <v>608.21432688163975</v>
      </c>
      <c r="CX45" s="20">
        <f ca="1">IF(AND(tblData[Dates]&gt;StartDt2Taiwan,ISNUMBER(tblData[Days'# Taiwan])),tblData[[#This Row],[Taiwan LogiP(t)]]/TaiwanPopscale,"")</f>
        <v>2.6622099572932831</v>
      </c>
      <c r="CY45" s="95">
        <f ca="1">IF(AND(ISNUMBER(tblData[Taiwan]),tblData[Dates]&gt;StartDt2Taiwan),(tblData[Taiwan]-AVERAGE(tblData[Taiwan]))^2,"")</f>
        <v>19195.830834294506</v>
      </c>
      <c r="CZ45" s="11">
        <f>tblData[[#This Row],[Dates]]-Taiwan100dt+1</f>
        <v>-29</v>
      </c>
      <c r="DA45"/>
      <c r="DB45" s="20" t="str">
        <f>IF(ISNUMBER(tblData[NZ]),tblData[NZ]/NZPopscale,"")</f>
        <v/>
      </c>
      <c r="DC45" s="11" t="str">
        <f ca="1">IF(tblData[[#This Row],[Dates]]&lt;StartDt2NZ,"",tblData[[#This Row],[Dates]]-NZStart)</f>
        <v/>
      </c>
      <c r="DD45" s="20" t="str">
        <f ca="1">IF(AND(tblData[Dates]&gt;StartDt2NZ,ISNUMBER(tblData[Days'# NZ])),betaNZ/(deltaNZ+betaPodeltaNZ*EXP(-betaNZ*tblData[Days'# NZ])),"")</f>
        <v/>
      </c>
      <c r="DE45" s="95" t="str">
        <f ca="1">IF(AND(tblData[Dates]&gt;StartDt2NZ,ISNUMBER(tblData[NZ])),(tblData[[#This Row],[NZ LogiP(t)]]-tblData[[#This Row],[NZ]])^2,"")</f>
        <v/>
      </c>
      <c r="DF45" s="20" t="str">
        <f ca="1">IF(AND(tblData[Dates]&gt;StartDt2NZ,ISNUMBER(tblData[Days'# NZ])),tblData[[#This Row],[NZ LogiP(t)]]/NZPopscale,"")</f>
        <v/>
      </c>
      <c r="DG45" s="95" t="str">
        <f ca="1">IF(AND(ISNUMBER(tblData[NZ]),tblData[Dates]&gt;StartDt2NZ),(tblData[NZ]-AVERAGE(tblData[NZ]))^2,"")</f>
        <v/>
      </c>
      <c r="DH45" s="11">
        <f>tblData[[#This Row],[Dates]]-NZ100dt+1</f>
        <v>-25</v>
      </c>
      <c r="DI45" s="39"/>
      <c r="DJ45" s="11"/>
      <c r="DM45" s="25"/>
      <c r="DP45"/>
      <c r="DV45" s="25"/>
      <c r="DW45"/>
      <c r="DZ45" s="25"/>
      <c r="EA45" s="25"/>
      <c r="EB45" s="25"/>
      <c r="EH45"/>
      <c r="EI45"/>
      <c r="EJ45"/>
      <c r="EK45"/>
      <c r="EQ45" s="25"/>
      <c r="ER45" s="25"/>
      <c r="ES45" s="25"/>
      <c r="ET45" s="25"/>
      <c r="FF45"/>
      <c r="FG45"/>
      <c r="FH45"/>
      <c r="FI45"/>
      <c r="FJ45" s="25"/>
      <c r="FK45" s="25"/>
      <c r="FM45" s="25"/>
      <c r="FN45"/>
      <c r="FO45" s="263" t="s">
        <v>48</v>
      </c>
      <c r="FP45" s="252">
        <v>43934.87976851852</v>
      </c>
      <c r="FQ45" s="244">
        <v>43855</v>
      </c>
      <c r="FR45" s="160">
        <v>43855</v>
      </c>
      <c r="FS45" s="211">
        <v>0</v>
      </c>
      <c r="FT45" s="72">
        <v>0.26048076284924959</v>
      </c>
      <c r="FU45" s="72">
        <v>5.3886700195284944E-5</v>
      </c>
      <c r="FV45" s="74">
        <v>1.0000000000000009E-3</v>
      </c>
      <c r="FW45" s="212">
        <v>4833.8599673995532</v>
      </c>
      <c r="FX45" s="214">
        <v>1050.9818601443217</v>
      </c>
      <c r="FY45" s="214">
        <v>0.77078446002779122</v>
      </c>
      <c r="FZ45" s="213">
        <v>260.48070896254916</v>
      </c>
      <c r="GA45" s="213">
        <v>5.3886700195284944E-2</v>
      </c>
      <c r="GB45" s="243">
        <v>44042</v>
      </c>
      <c r="GC45" s="26" t="s">
        <v>2365</v>
      </c>
      <c r="GD45" s="214">
        <v>4833.8599673995532</v>
      </c>
      <c r="GE45" s="214">
        <v>6366</v>
      </c>
      <c r="GF45" s="73" t="s">
        <v>2366</v>
      </c>
      <c r="GG45" s="156">
        <v>44042</v>
      </c>
      <c r="GH45" s="26">
        <v>83</v>
      </c>
      <c r="GI45" s="25" t="s">
        <v>2367</v>
      </c>
      <c r="GK45" s="62" t="s">
        <v>2368</v>
      </c>
      <c r="GM45" s="25" t="s">
        <v>2369</v>
      </c>
      <c r="GN45" s="25">
        <v>2509.8564895126951</v>
      </c>
      <c r="GO45" s="156"/>
      <c r="GP45" s="218"/>
      <c r="GQ45" s="156"/>
      <c r="GR45" s="25"/>
      <c r="GS45" s="25" t="s">
        <v>2364</v>
      </c>
      <c r="GT45" s="11">
        <v>4833.8599673995514</v>
      </c>
      <c r="GU45" s="12">
        <v>0.41874181433711238</v>
      </c>
      <c r="GV45" s="26">
        <v>43904</v>
      </c>
      <c r="GW45" s="25" t="s">
        <v>1965</v>
      </c>
      <c r="GX45" s="219" t="e">
        <v>#N/A</v>
      </c>
      <c r="GY45" s="25" t="s">
        <v>569</v>
      </c>
      <c r="GZ45" s="25" t="s">
        <v>569</v>
      </c>
      <c r="HK45" s="164">
        <v>43932</v>
      </c>
      <c r="HL45" s="60">
        <v>43932.833333333336</v>
      </c>
      <c r="HM45">
        <v>2857</v>
      </c>
      <c r="HN45">
        <v>138090</v>
      </c>
      <c r="HO45">
        <v>699</v>
      </c>
      <c r="HP45">
        <v>356</v>
      </c>
      <c r="HQ45" s="166">
        <f>IF(ISNUMBER(tblNSWKnown[[#This Row],[Unknown Locally]]),tblNSWKnown[[#This Row],[Known Locally]]+tblNSWKnown[[#This Row],[Unknown Locally]],"")</f>
        <v>1055</v>
      </c>
      <c r="HR45" s="25">
        <v>12</v>
      </c>
      <c r="HS45" s="166">
        <f>IF(ISNUMBER(tblNSWKnown[[#This Row],[Day '# NSW Unknown]]),betaNSWUnknown/(deltaNSWUnknown+betaPodeltaNSWUnknown*EXP(-betaNSWUnknown*tblNSWKnown[Day '# NSW Unknown])),"")</f>
        <v>1086.5253365543485</v>
      </c>
      <c r="HT45" s="166">
        <f>IF(ISNUMBER(tblNSWKnown[[#This Row],[Total Local]]),(tblNSWKnown[[#This Row],[Total Local]]-tblNSWKnown[[#This Row],[NSW Unknown Logi P(t)]])^2,"")</f>
        <v>993.84684486494439</v>
      </c>
      <c r="HU45" s="166">
        <f>IF(ISNUMBER(tblNSWKnown[Total Local]),(tblNSWKnown[Total Local]-AVERAGE(tblNSWKnown[Total Local]))^2,"")</f>
        <v>318.72750865051569</v>
      </c>
      <c r="HV45" s="166"/>
    </row>
    <row r="46" spans="2:231" ht="15" customHeight="1" x14ac:dyDescent="0.25">
      <c r="B46" s="26">
        <v>43887</v>
      </c>
      <c r="C46">
        <v>7</v>
      </c>
      <c r="D46" s="25">
        <v>0</v>
      </c>
      <c r="E46">
        <v>4</v>
      </c>
      <c r="F46">
        <v>0</v>
      </c>
      <c r="G46">
        <v>5</v>
      </c>
      <c r="H46">
        <v>2</v>
      </c>
      <c r="I46">
        <v>0</v>
      </c>
      <c r="J46">
        <v>4</v>
      </c>
      <c r="K46">
        <v>0</v>
      </c>
      <c r="L46" s="11">
        <f>IF(ISNUMBER(tblData[[#This Row],[NSW]]),tblData[[#This Row],[New South Wales]]/NSWpopscale,"")</f>
        <v>4.9504950495049505</v>
      </c>
      <c r="M46" s="25">
        <v>453</v>
      </c>
      <c r="N46" s="20">
        <f>IF(ISNUMBER(tblData[Italy]),tblData[Italy]/ItalyPopscale,"")</f>
        <v>74.894601967429949</v>
      </c>
      <c r="O46">
        <v>57</v>
      </c>
      <c r="P46" s="20">
        <f>IF(ISNUMBER(tblData[US]),tblData[US]/USPopscale,"")</f>
        <v>1.7313243094644886</v>
      </c>
      <c r="Q46">
        <v>1261</v>
      </c>
      <c r="R46" s="20">
        <f>IF(ISNUMBER(tblData[SKorea]),tblData[SKorea]/SKoreaPopscale,"")</f>
        <v>245.33073929961091</v>
      </c>
      <c r="S46">
        <v>13</v>
      </c>
      <c r="T46" s="20">
        <f>IF(ISNUMBER(tblData[United Kingdom]),tblData[United Kingdom]/UKPopscale,"")</f>
        <v>1.9566526189042746</v>
      </c>
      <c r="U46">
        <v>78166</v>
      </c>
      <c r="V46" s="20">
        <f>IF(ISNUMBER(tblData[China]),tblData[China]/ChinaPopscale,"")</f>
        <v>543.07447221659743</v>
      </c>
      <c r="W46" s="25">
        <f ca="1">IF(tblData[[#This Row],[Dates]]&lt;StartDt2China,"",tblData[[#This Row],[Dates]]-ChinaStart)</f>
        <v>35</v>
      </c>
      <c r="X46">
        <v>93</v>
      </c>
      <c r="Y46" s="20">
        <f>IF(ISNUMBER(tblData[Singapore]),tblData[Singapore]/SingaporePopscale,"")</f>
        <v>158.97435897435898</v>
      </c>
      <c r="Z46"/>
      <c r="AA46" s="20" t="str">
        <f>IF(AND(LEN(tblData[Generic])&gt;0,ISNUMBER(tblData[Generic])),tblData[Generic]/GenericPopscale,"")</f>
        <v/>
      </c>
      <c r="AB46" s="25">
        <f ca="1">IF(tblData[[#This Row],[Dates]]&lt;StartDt2Italy,"",tblData[[#This Row],[Dates]]-ItalyStart)</f>
        <v>27</v>
      </c>
      <c r="AC46" s="25">
        <f ca="1">IF(tblData[[#This Row],[Dates]]&lt;=StartDt2US,"",tblData[[#This Row],[Dates]]-USStart)</f>
        <v>35</v>
      </c>
      <c r="AD46" s="25">
        <f>IF(tblData[[#This Row],[Dates]]&lt;=SKoreaStart,"",tblData[[#This Row],[Dates]]-SKoreaStart)</f>
        <v>35</v>
      </c>
      <c r="AE46" s="25">
        <f ca="1">IF(tblData[[#This Row],[Dates]]&lt;=StartDt2UK,"",tblData[[#This Row],[Dates]]-UKStart)</f>
        <v>27</v>
      </c>
      <c r="AF46" s="25">
        <f ca="1">IF(tblData[[#This Row],[Dates]]&lt;StartDt2Singapore,"",tblData[[#This Row],[Dates]]-SingaporeStart)</f>
        <v>34</v>
      </c>
      <c r="AG46" s="25" t="str">
        <f>IF(tblData[[#This Row],[Dates]]&lt;StartDt2Generic,"",tblData[[#This Row],[Dates]]-GenericStart)</f>
        <v/>
      </c>
      <c r="AH46">
        <f ca="1">IF(tblData[Dates]&gt;StartDt2Au,tblData[Dates]-AuStart,"")</f>
        <v>32</v>
      </c>
      <c r="AI46" s="25">
        <f>IF(AND(COUNTBLANK(tblData[[#This Row],[Australian Capital Territory]:[Western Australia]])&lt;1,tblData[New South Wales]&gt;=0),SUM(tblData[[#This Row],[Australian Capital Territory]:[Western Australia]]),"")</f>
        <v>15</v>
      </c>
      <c r="AJ46" s="12">
        <f>IF(ISNUMBER(tblData[Au]),tblData[Au]/AuPopScale,"")</f>
        <v>5.9138937076170954</v>
      </c>
      <c r="AK46" s="11">
        <f ca="1">IF(ISNUMBER(tblData[[#This Row],[Day'# Aust]]),betaAu/(deltaAu+betaPodeltaAu*EXP(-betaAu*tblData[[#This Row],[Day'# Aust]])),"")</f>
        <v>6.5178585977722712</v>
      </c>
      <c r="AL46" s="369">
        <f ca="1">IF(ISNUMBER(tblData[Day'# Aust]),tblData[Au LogiP(t)]/AuPopScale,"")</f>
        <v>2.5697281965668943</v>
      </c>
      <c r="AM46" s="11">
        <f ca="1">IF(AND(tblData[Dates]&gt;StartDt2Au,ISNUMBER(tblData[Au])),(tblData[[#This Row],[Au LogiP(t)]]-tblData[[#This Row],[Au]])^2,"")</f>
        <v>71.946722767385779</v>
      </c>
      <c r="AN46" s="11">
        <f ca="1">IF(AND(ISNUMBER(tblData[Au]),tblData[Dates]&gt;StartDt2Au),(tblData[Au]-AVERAGE(tblData[Au]))^2,"")</f>
        <v>5923431.1160999993</v>
      </c>
      <c r="AO46" s="11">
        <f>tblData[[#This Row],[Dates]]-Au100dt</f>
        <v>-18</v>
      </c>
      <c r="AP46">
        <f ca="1">IF(tblData[Dates]&gt;StartDt2NSW,tblData[Dates]-StartDt2NSW,"")</f>
        <v>32</v>
      </c>
      <c r="AQ46" s="25">
        <f>IF(tblData[[#This Row],[New South Wales]]&gt;0,tblData[[#This Row],[New South Wales]],"")</f>
        <v>4</v>
      </c>
      <c r="AR46" s="44">
        <f ca="1">IF(tblData[Dates]&gt;StartDt2NSW,betaNSW/(deltaNSW+betaPodeltaNSW*EXP(-betaNSW*tblData[[#This Row],[Day '# NSW]])),"")</f>
        <v>2.2256470210338088</v>
      </c>
      <c r="AS46" s="12">
        <f ca="1">IF(AND(ISNUMBER(tblData[NSW]),tblData[Dates]&gt;StartDt2NSW),(tblData[[#This Row],[NSW LogiP(t)]]-tblData[[#This Row],[NSW]])^2,"")</f>
        <v>3.1483284939661966</v>
      </c>
      <c r="AT46" s="12">
        <f ca="1">IF(AND(tblData[Dates]&gt;StartDt2NSW,ISNUMBER(tblData[Day'# Aust])),tblData[NSW LogiP(t)]/NSWpopscale,"")</f>
        <v>2.7545136398933274</v>
      </c>
      <c r="AU46" s="11">
        <f>tblData[[#This Row],[Dates]]-NSW100dt+1</f>
        <v>-15</v>
      </c>
      <c r="AV46" s="11">
        <f ca="1">IF(AND(ISNUMBER(tblData[NSW]),tblData[Dates]&gt;StartDt2NSW),(tblData[NSW]-AVERAGE(tblData[NSW]))^2,"")</f>
        <v>1188666.8676</v>
      </c>
      <c r="AW46" s="11">
        <f ca="1">IF(AND(tblData[Dates]&gt;StartDt2Italy,ISNUMBER(tblData[Days'# Italy])),betaItaly/(deltaItaly+betaPodeltaItaly*EXP(-betaItaly*tblData[Days'# Italy])),"")</f>
        <v>411.14023014116657</v>
      </c>
      <c r="AX46" s="11">
        <f ca="1">IF(AND(tblData[Dates]&gt;StartDt2Italy,ISNUMBER(tblData[Italy])),(tblData[[#This Row],[Italy LogiP(t)]]-tblData[[#This Row],[Italy]])^2,"")</f>
        <v>1752.2403326344997</v>
      </c>
      <c r="AY46" s="11">
        <f ca="1">IF(AND(tblData[Dates]&gt;StartDt2Italy,ISNUMBER(tblData[Days'# Italy])),tblData[[#This Row],[Italy LogiP(t)]]/ItalyPopscale,"")</f>
        <v>67.973915870243303</v>
      </c>
      <c r="AZ46" s="39">
        <f ca="1">IF(AND(ISNUMBER(tblData[Italy]),tblData[Dates]&gt;StartDt2Italy),(tblData[Italy]-AVERAGE(tblData[Italy]))^2,"")</f>
        <v>4801881063.9847202</v>
      </c>
      <c r="BA46" s="11">
        <f>tblData[[#This Row],[Dates]]-Italy100dt+1</f>
        <v>0</v>
      </c>
      <c r="BB46" s="11">
        <f ca="1">IF(AND(tblData[Dates]&gt;StartDt2US,ISNUMBER(tblData[[#This Row],[Days'# US]])),betaUS/(deltaUS+betaPodeltaUS*EXP(-betaUS*tblData[Days'# US])),"")</f>
        <v>20.576287353043845</v>
      </c>
      <c r="BC46" s="11">
        <f ca="1">IF(AND(tblData[Dates]&gt;StartDt2US,ISNUMBER(tblData[US])),(tblData[[#This Row],[US LogiP(t)]]-tblData[US])^2,"")</f>
        <v>1326.6868429880337</v>
      </c>
      <c r="BD46" s="20">
        <f ca="1">IF(AND(tblData[Dates]&gt;=StartDt2US,ISNUMBER(tblData[[#This Row],[Days'# US]])),tblData[[#This Row],[US LogiP(t)]]/USPopscale,"")</f>
        <v>0.62498642969914964</v>
      </c>
      <c r="BE46" s="126">
        <f ca="1">IF(AND(ISNUMBER(tblData[US]),tblData[Dates]&gt;StartDt2US),(tblData[US]-AVERAGE(tblData[US]))^2,"")</f>
        <v>50125050744.099289</v>
      </c>
      <c r="BF46" s="11">
        <f>tblData[[#This Row],[Dates]]-US100dt+1</f>
        <v>-17</v>
      </c>
      <c r="BG46" s="20">
        <f ca="1">IF(tblData[Dates]&gt;StartDt2SKorea,betaSKorea/(deltaSKorea+betaPodeltaSKorea*EXP(-betaSKorea*(tblData[Dates]-StartDt2SKorea))),"")</f>
        <v>2044.8082557129669</v>
      </c>
      <c r="BH46" s="20">
        <f ca="1">IF(AND(tblData[Dates]&gt;StartDt2SKorea,ISNUMBER(tblData[SKorea])),(tblData[[#This Row],[SKorea LogiP(t)]]-tblData[[#This Row],[SKorea]])^2,"")</f>
        <v>614355.3817238037</v>
      </c>
      <c r="BI46" s="20">
        <f ca="1">IF(tblData[Dates]&gt;StartDt2SKorea,tblData[[#This Row],[SKorea LogiP(t)]]/SKoreaPopscale,"")</f>
        <v>397.8226178429897</v>
      </c>
      <c r="BJ46" s="126">
        <f ca="1">IF(AND(ISNUMBER(tblData[SKorea]),tblData[Dates]&gt;StartDt2SKorea),(tblData[SKorea]-AVERAGE(tblData[SKorea]))^2,"")</f>
        <v>20824369.021145709</v>
      </c>
      <c r="BK46" s="11">
        <f>tblData[[#This Row],[Dates]]-SKorea100dt+1</f>
        <v>4</v>
      </c>
      <c r="BL46" s="11">
        <f ca="1">IF(AND(tblData[Dates]&gt;StartDt2UK,ISNUMBER(tblData[Days'# UK])),betaUK/(deltaUK+betaPodeltaUK*EXP(-betaUK*tblData[Days'# UK])),"")</f>
        <v>27.814104218258965</v>
      </c>
      <c r="BM46" s="20">
        <f ca="1">IF(AND(tblData[Dates]&gt;StartDt2UK,ISNUMBER(tblData[United Kingdom])),(tblData[[#This Row],[UK LogiP(t)]]-tblData[[#This Row],[United Kingdom]])^2,"")</f>
        <v>219.45768378943805</v>
      </c>
      <c r="BN46" s="20">
        <f ca="1">IF(ISNUMBER(tblData[Days'# UK]),tblData[[#This Row],[UK LogiP(t)]]/UKPopscale,"")</f>
        <v>4.1863492200871413</v>
      </c>
      <c r="BO46" s="126">
        <f ca="1">IF(AND(ISNUMBER(tblData[United Kingdom]),tblData[Dates]&gt;StartDt2UK),(tblData[United Kingdom]-AVERAGE(tblData[United Kingdom]))^2,"")</f>
        <v>1440508538.5967634</v>
      </c>
      <c r="BP46" s="11">
        <f>tblData[[#This Row],[Dates]]-UK100dt</f>
        <v>-15</v>
      </c>
      <c r="BQ46" s="11">
        <f ca="1">IF(ISNUMBER(tblData[Days'# China]),betaChina/(deltaChina+betaPodeltaChina*EXP(-betaChina*tblData[Days'# China])),"")</f>
        <v>80307.943781472117</v>
      </c>
      <c r="BR46" s="11">
        <f ca="1">IF(ISNUMBER(tblData[China]),(tblData[[#This Row],[China LogiP(t)]]-tblData[[#This Row],[China]])^2,"")</f>
        <v>4587923.1629870711</v>
      </c>
      <c r="BS46" s="11">
        <f ca="1">tblData[[#This Row],[China LogiP(t)]]/ChinaPopscale</f>
        <v>557.95607020857074</v>
      </c>
      <c r="BT46" s="126">
        <f ca="1">IF(AND(ISNUMBER(tblData[China]),tblData[Dates]&gt;StartDt2China),(tblData[China]-AVERAGE(tblData[China]))^2,"")</f>
        <v>120155127.04498255</v>
      </c>
      <c r="BU46" s="11">
        <f>tblData[[#This Row],[Dates]]-China100dt</f>
        <v>24</v>
      </c>
      <c r="BV46" s="95">
        <f ca="1">IF(ISNUMBER(tblData[Day'# Singapore]),betaSingapore/(deltaSingapore+betaPodeltaSingapore*EXP(-betaSingapore*tblData[Day'# Singapore])),"")</f>
        <v>8.7390713070509367</v>
      </c>
      <c r="BW46" s="11">
        <f ca="1">IF(AND(ISNUMBER(tblData[Singapore]),tblData[Dates]&gt;=StartDt2Singapore),(tblData[[#This Row],[Singapore LogiP(t)]]-tblData[[#This Row],[Singapore]])^2,"")</f>
        <v>7099.9041041982473</v>
      </c>
      <c r="BX46" s="20">
        <f ca="1">IF(ISNUMBER(tblData[Day'# Singapore]),tblData[Singapore LogiP(t)]/SingaporePopscale,"")</f>
        <v>14.938583430856303</v>
      </c>
      <c r="BY46" s="95">
        <f ca="1">IF(AND(ISNUMBER(tblData[Singapore]),tblData[Dates]&gt;StartDt2Singapore),(tblData[Singapore]-AVERAGE(tblData[Singapore]))^2,"")</f>
        <v>4963110.3129565557</v>
      </c>
      <c r="BZ46" s="11">
        <f>tblData[[#This Row],[Dates]]-Singapore100dt+1</f>
        <v>13</v>
      </c>
      <c r="CA46" s="11" t="str">
        <f>IF(AND(tblData[Dates]&gt;StartDt2Generic,ISNUMBER(tblData[Day'# Generic])),betaGeneric/(deltaGeneric+betaPodeltaGeneric*EXP(-betaGeneric*tblData[Day'# Generic])),"")</f>
        <v/>
      </c>
      <c r="CB46" s="95" t="str">
        <f>IF(AND(ISNUMBER(tblData[Generic]),tblData[Dates]&gt;StartDt2Generic),(tblData[Generic LogiP(t)]-tblData[[#This Row],[Generic]])^2,"")</f>
        <v/>
      </c>
      <c r="CC46" s="11" t="str">
        <f>IF(AND(ISNUMBER(tblData[Day'# Generic]),tblData[Dates]&gt;StartDt2Generic),tblData[Generic LogiP(t)]/GenericPopscale,"")</f>
        <v/>
      </c>
      <c r="CD46" s="95" t="str">
        <f>IF(AND(ISNUMBER(tblData[Generic]),tblData[Dates]&gt;StartDt2Generic),(tblData[Generic]-AVERAGE(tblData[Generic]))^2,"")</f>
        <v/>
      </c>
      <c r="CE46" s="11">
        <f>tblData[[#This Row],[Dates]]-Generic100dt+1</f>
        <v>-15</v>
      </c>
      <c r="CF46"/>
      <c r="CG46" s="11"/>
      <c r="CH46" s="11" t="str">
        <f>IF(ISNUMBER(tblData[[#This Row],[Tests]]),tblData[[#This Row],[Tests]]-CH45,"")</f>
        <v/>
      </c>
      <c r="CI46" s="11" t="str">
        <f>IF(ISNUMBER(tblData[[#This Row],[NSW Under Investigation'']]),tblData[[#This Row],[NSW Under Investigation'']]-CG45,"")</f>
        <v/>
      </c>
      <c r="CJ46" s="11"/>
      <c r="CK46" s="11" t="str">
        <f>IF(AND(tblData[[#This Row],[NSW Test Day Number]]&gt;0,ISNUMBER(tblData[[#This Row],[NSW Test Day Number]])),betaTests/(deltaTests+betaPodeltaTests*EXP(-betaTests*tblData[[#This Row],[NSW Test Day Number]])),"")</f>
        <v/>
      </c>
      <c r="CL46" s="11" t="str">
        <f>IF(tblData[Tests]&gt;0,(tblData[[#This Row],[Tests]]-tblData[[#This Row],[NSW Test Logi]])^2,"")</f>
        <v/>
      </c>
      <c r="CM46" s="95" t="str">
        <f>IF(AND(ISNUMBER(tblData[Tests]),tblData[Dates]&gt;StartDt2Tests),(tblData[Tests]-AVERAGE(tblData[Tests]))^2,"")</f>
        <v/>
      </c>
      <c r="CN46" s="11" t="str">
        <f>IF(ISNUMBER(tblData[Tests]),tblData[Tests]/NSWpopscale/100,"")</f>
        <v/>
      </c>
      <c r="CO46" s="11" t="str">
        <f>IF(AND(tblData[[#This Row],[NSW Test Day Number]]&gt;0,ISNUMBER(tblData[[#This Row],[NSW Test Day Number]])),TestsLogestB*TestsLogestM^tblData[[#This Row],[NSW Test Day Number]],"")</f>
        <v/>
      </c>
      <c r="CP46" s="11" t="str">
        <f>IF(AND(tblData[[#This Row],[NSW Test Day Number]]&gt;0,ISNUMBER(tblData[Tests])),(tblData[Tests]-tblData[[#This Row],[NSW Test Per Capita]])^2,"")</f>
        <v/>
      </c>
      <c r="CQ46" s="20">
        <f ca="1">IF(AND(tblData[Day '# NSW]&gt;0,ISNUMBER(tblData[[#This Row],[Day '# NSW]])),NSWLogestB*NSWLogestM^tblData[[#This Row],[Day '# NSW]]/NSWpopscale,"")</f>
        <v>30.763637057527575</v>
      </c>
      <c r="CR46" s="39">
        <f ca="1">IF(AND(ISNUMBER(tblData[NSW]),tblData[Dates]&gt;StartDt2NSW),(tblData[NSW]/NSWpopscale-tblData[[#This Row],[NSW Cases LogEst]])^2,"")</f>
        <v>666.31830032634218</v>
      </c>
      <c r="CS46" s="11">
        <v>32</v>
      </c>
      <c r="CT46" s="19">
        <f>IF(ISNUMBER(tblData[Taiwan]),tblData[Taiwan]/TaiwanPopscale,"")</f>
        <v>13.441265575801555</v>
      </c>
      <c r="CU46" s="11">
        <f ca="1">IF(tblData[[#This Row],[Dates]]&lt;StartDt2Taiwan,"",tblData[[#This Row],[Dates]]-TaiwanStart)</f>
        <v>35</v>
      </c>
      <c r="CV46" s="19">
        <f ca="1">IF(AND(tblData[Dates]&gt;StartDt2Taiwan,ISNUMBER(tblData[Days'# Taiwan])),betaTaiwan/(deltaTaiwan+betaPodeltaTaiwan*EXP(-betaTaiwan*tblData[Days'# Taiwan])),"")</f>
        <v>7.3282673994145142</v>
      </c>
      <c r="CW46" s="95">
        <f ca="1">IF(AND(tblData[Dates]&gt;StartDt2Taiwan,ISNUMBER(tblData[Taiwan])),(tblData[[#This Row],[Taiwan LogiP(t)]]-tblData[[#This Row],[Taiwan]])^2,"")</f>
        <v>608.69438951479265</v>
      </c>
      <c r="CX46" s="20">
        <f ca="1">IF(AND(tblData[Dates]&gt;StartDt2Taiwan,ISNUMBER(tblData[Days'# Taiwan])),tblData[[#This Row],[Taiwan LogiP(t)]]/TaiwanPopscale,"")</f>
        <v>3.0781621351880966</v>
      </c>
      <c r="CY46" s="95">
        <f ca="1">IF(AND(ISNUMBER(tblData[Taiwan]),tblData[Dates]&gt;StartDt2Taiwan),(tblData[Taiwan]-AVERAGE(tblData[Taiwan]))^2,"")</f>
        <v>18919.73279507882</v>
      </c>
      <c r="CZ46" s="11">
        <f>tblData[[#This Row],[Dates]]-Taiwan100dt+1</f>
        <v>-28</v>
      </c>
      <c r="DA46"/>
      <c r="DB46" s="20" t="str">
        <f>IF(ISNUMBER(tblData[NZ]),tblData[NZ]/NZPopscale,"")</f>
        <v/>
      </c>
      <c r="DC46" s="11" t="str">
        <f ca="1">IF(tblData[[#This Row],[Dates]]&lt;StartDt2NZ,"",tblData[[#This Row],[Dates]]-NZStart)</f>
        <v/>
      </c>
      <c r="DD46" s="20" t="str">
        <f ca="1">IF(AND(tblData[Dates]&gt;StartDt2NZ,ISNUMBER(tblData[Days'# NZ])),betaNZ/(deltaNZ+betaPodeltaNZ*EXP(-betaNZ*tblData[Days'# NZ])),"")</f>
        <v/>
      </c>
      <c r="DE46" s="95" t="str">
        <f ca="1">IF(AND(tblData[Dates]&gt;StartDt2NZ,ISNUMBER(tblData[NZ])),(tblData[[#This Row],[NZ LogiP(t)]]-tblData[[#This Row],[NZ]])^2,"")</f>
        <v/>
      </c>
      <c r="DF46" s="20" t="str">
        <f ca="1">IF(AND(tblData[Dates]&gt;StartDt2NZ,ISNUMBER(tblData[Days'# NZ])),tblData[[#This Row],[NZ LogiP(t)]]/NZPopscale,"")</f>
        <v/>
      </c>
      <c r="DG46" s="95" t="str">
        <f ca="1">IF(AND(ISNUMBER(tblData[NZ]),tblData[Dates]&gt;StartDt2NZ),(tblData[NZ]-AVERAGE(tblData[NZ]))^2,"")</f>
        <v/>
      </c>
      <c r="DH46" s="11">
        <f>tblData[[#This Row],[Dates]]-NZ100dt+1</f>
        <v>-24</v>
      </c>
      <c r="DI46" s="39"/>
      <c r="DJ46" s="11"/>
      <c r="DM46" s="25"/>
      <c r="DP46"/>
      <c r="DV46" s="25"/>
      <c r="DW46"/>
      <c r="DZ46" s="25"/>
      <c r="EA46" s="25"/>
      <c r="EB46" s="25"/>
      <c r="EH46"/>
      <c r="EI46"/>
      <c r="EJ46"/>
      <c r="EK46"/>
      <c r="EQ46" s="25"/>
      <c r="ER46" s="25"/>
      <c r="ES46" s="25"/>
      <c r="ET46" s="25"/>
      <c r="FF46"/>
      <c r="FG46"/>
      <c r="FH46"/>
      <c r="FI46"/>
      <c r="FJ46" s="25"/>
      <c r="FK46" s="25"/>
      <c r="FM46" s="25"/>
      <c r="FN46"/>
      <c r="FO46" s="263" t="s">
        <v>48</v>
      </c>
      <c r="FP46" s="250">
        <v>43935.629710648151</v>
      </c>
      <c r="FQ46" s="156">
        <v>43855</v>
      </c>
      <c r="FR46" s="26">
        <v>43855</v>
      </c>
      <c r="FS46" s="211">
        <v>0</v>
      </c>
      <c r="FT46" s="44">
        <v>0.26048075828209349</v>
      </c>
      <c r="FU46" s="71">
        <v>5.3886700172004508E-5</v>
      </c>
      <c r="FV46" s="73">
        <v>1.0000000000000009E-3</v>
      </c>
      <c r="FW46" s="214">
        <v>4833.8598847331123</v>
      </c>
      <c r="FX46" s="214">
        <v>1050.9818601443114</v>
      </c>
      <c r="FY46" s="214">
        <v>0.77078446002779566</v>
      </c>
      <c r="FZ46" s="213">
        <v>260.4807043953931</v>
      </c>
      <c r="GA46" s="213">
        <v>5.3886700172004511E-2</v>
      </c>
      <c r="GB46" s="243">
        <v>44042</v>
      </c>
      <c r="GC46" s="26" t="s">
        <v>2365</v>
      </c>
      <c r="GD46" s="214">
        <v>4833.8598847331123</v>
      </c>
      <c r="GE46" s="214">
        <v>6366</v>
      </c>
      <c r="GF46" s="73" t="s">
        <v>2366</v>
      </c>
      <c r="GG46" s="156">
        <v>43934</v>
      </c>
      <c r="GH46" s="26">
        <v>83</v>
      </c>
      <c r="GI46" s="26" t="s">
        <v>2367</v>
      </c>
      <c r="GJ46" s="25"/>
      <c r="GK46" s="62" t="s">
        <v>2368</v>
      </c>
      <c r="GM46" s="18" t="s">
        <v>2388</v>
      </c>
      <c r="GN46" s="11">
        <v>2509.8564895126951</v>
      </c>
      <c r="GO46" s="156"/>
      <c r="GP46" s="218"/>
      <c r="GQ46" s="156"/>
      <c r="GR46" s="25"/>
      <c r="GS46" s="25" t="s">
        <v>2386</v>
      </c>
      <c r="GT46" s="11">
        <v>4833.8598847331095</v>
      </c>
      <c r="GU46" s="12">
        <v>0.41874181433710833</v>
      </c>
      <c r="GV46" s="240">
        <v>43905</v>
      </c>
      <c r="GW46" s="162" t="s">
        <v>2387</v>
      </c>
      <c r="GX46" s="230">
        <v>-1552.8745724408882</v>
      </c>
      <c r="GY46" s="25" t="s">
        <v>569</v>
      </c>
      <c r="GZ46" s="25" t="s">
        <v>569</v>
      </c>
      <c r="HK46" s="164">
        <v>43933</v>
      </c>
      <c r="HL46" s="60">
        <v>43933.833333333336</v>
      </c>
      <c r="HM46">
        <v>2854</v>
      </c>
      <c r="HN46">
        <v>138923</v>
      </c>
      <c r="HO46">
        <v>708</v>
      </c>
      <c r="HP46">
        <v>354</v>
      </c>
      <c r="HQ46" s="166">
        <f>IF(ISNUMBER(tblNSWKnown[[#This Row],[Unknown Locally]]),tblNSWKnown[[#This Row],[Known Locally]]+tblNSWKnown[[#This Row],[Unknown Locally]],"")</f>
        <v>1062</v>
      </c>
      <c r="HR46" s="25">
        <v>13</v>
      </c>
      <c r="HS46" s="166">
        <f>IF(ISNUMBER(tblNSWKnown[[#This Row],[Day '# NSW Unknown]]),betaNSWUnknown/(deltaNSWUnknown+betaPodeltaNSWUnknown*EXP(-betaNSWUnknown*tblNSWKnown[Day '# NSW Unknown])),"")</f>
        <v>1101.3462133337116</v>
      </c>
      <c r="HT46" s="166">
        <f>IF(ISNUMBER(tblNSWKnown[[#This Row],[Total Local]]),(tblNSWKnown[[#This Row],[Total Local]]-tblNSWKnown[[#This Row],[NSW Unknown Logi P(t)]])^2,"")</f>
        <v>1548.1245037019448</v>
      </c>
      <c r="HU46" s="166">
        <f>IF(ISNUMBER(tblNSWKnown[Total Local]),(tblNSWKnown[Total Local]-AVERAGE(tblNSWKnown[Total Local]))^2,"")</f>
        <v>117.78633217992876</v>
      </c>
      <c r="HV46" s="166"/>
    </row>
    <row r="47" spans="2:231" ht="15" customHeight="1" x14ac:dyDescent="0.25">
      <c r="B47" s="26">
        <v>43888</v>
      </c>
      <c r="C47">
        <v>8</v>
      </c>
      <c r="D47" s="25">
        <v>0</v>
      </c>
      <c r="E47">
        <v>4</v>
      </c>
      <c r="F47">
        <v>0</v>
      </c>
      <c r="G47">
        <v>5</v>
      </c>
      <c r="H47">
        <v>2</v>
      </c>
      <c r="I47">
        <v>0</v>
      </c>
      <c r="J47">
        <v>4</v>
      </c>
      <c r="K47">
        <v>0</v>
      </c>
      <c r="L47" s="11">
        <f>IF(ISNUMBER(tblData[[#This Row],[NSW]]),tblData[[#This Row],[New South Wales]]/NSWpopscale,"")</f>
        <v>4.9504950495049505</v>
      </c>
      <c r="M47" s="25">
        <v>655</v>
      </c>
      <c r="N47" s="20">
        <f>IF(ISNUMBER(tblData[Italy]),tblData[Italy]/ItalyPopscale,"")</f>
        <v>108.29131189551129</v>
      </c>
      <c r="O47">
        <v>58</v>
      </c>
      <c r="P47" s="20">
        <f>IF(ISNUMBER(tblData[US]),tblData[US]/USPopscale,"")</f>
        <v>1.761698420156848</v>
      </c>
      <c r="Q47">
        <v>1766</v>
      </c>
      <c r="R47" s="20">
        <f>IF(ISNUMBER(tblData[SKorea]),tblData[SKorea]/SKoreaPopscale,"")</f>
        <v>343.579766536965</v>
      </c>
      <c r="S47">
        <v>15</v>
      </c>
      <c r="T47" s="20">
        <f>IF(ISNUMBER(tblData[United Kingdom]),tblData[United Kingdom]/UKPopscale,"")</f>
        <v>2.2576760987357014</v>
      </c>
      <c r="U47">
        <v>78600</v>
      </c>
      <c r="V47" s="20">
        <f>IF(ISNUMBER(tblData[China]),tblData[China]/ChinaPopscale,"")</f>
        <v>546.08977709265605</v>
      </c>
      <c r="W47" s="25">
        <f ca="1">IF(tblData[[#This Row],[Dates]]&lt;StartDt2China,"",tblData[[#This Row],[Dates]]-ChinaStart)</f>
        <v>36</v>
      </c>
      <c r="X47">
        <v>93</v>
      </c>
      <c r="Y47" s="20">
        <f>IF(ISNUMBER(tblData[Singapore]),tblData[Singapore]/SingaporePopscale,"")</f>
        <v>158.97435897435898</v>
      </c>
      <c r="Z47"/>
      <c r="AA47" s="20" t="str">
        <f>IF(AND(LEN(tblData[Generic])&gt;0,ISNUMBER(tblData[Generic])),tblData[Generic]/GenericPopscale,"")</f>
        <v/>
      </c>
      <c r="AB47" s="25">
        <f ca="1">IF(tblData[[#This Row],[Dates]]&lt;StartDt2Italy,"",tblData[[#This Row],[Dates]]-ItalyStart)</f>
        <v>28</v>
      </c>
      <c r="AC47" s="25">
        <f ca="1">IF(tblData[[#This Row],[Dates]]&lt;=StartDt2US,"",tblData[[#This Row],[Dates]]-USStart)</f>
        <v>36</v>
      </c>
      <c r="AD47" s="25">
        <f>IF(tblData[[#This Row],[Dates]]&lt;=SKoreaStart,"",tblData[[#This Row],[Dates]]-SKoreaStart)</f>
        <v>36</v>
      </c>
      <c r="AE47" s="25">
        <f ca="1">IF(tblData[[#This Row],[Dates]]&lt;=StartDt2UK,"",tblData[[#This Row],[Dates]]-UKStart)</f>
        <v>28</v>
      </c>
      <c r="AF47" s="25">
        <f ca="1">IF(tblData[[#This Row],[Dates]]&lt;StartDt2Singapore,"",tblData[[#This Row],[Dates]]-SingaporeStart)</f>
        <v>35</v>
      </c>
      <c r="AG47" s="25" t="str">
        <f>IF(tblData[[#This Row],[Dates]]&lt;StartDt2Generic,"",tblData[[#This Row],[Dates]]-GenericStart)</f>
        <v/>
      </c>
      <c r="AH47">
        <f ca="1">IF(tblData[Dates]&gt;StartDt2Au,tblData[Dates]-AuStart,"")</f>
        <v>33</v>
      </c>
      <c r="AI47" s="25">
        <f>IF(AND(COUNTBLANK(tblData[[#This Row],[Australian Capital Territory]:[Western Australia]])&lt;1,tblData[New South Wales]&gt;=0),SUM(tblData[[#This Row],[Australian Capital Territory]:[Western Australia]]),"")</f>
        <v>15</v>
      </c>
      <c r="AJ47" s="12">
        <f>IF(ISNUMBER(tblData[Au]),tblData[Au]/AuPopScale,"")</f>
        <v>5.9138937076170954</v>
      </c>
      <c r="AK47" s="11">
        <f ca="1">IF(ISNUMBER(tblData[[#This Row],[Day'# Aust]]),betaAu/(deltaAu+betaPodeltaAu*EXP(-betaAu*tblData[[#This Row],[Day'# Aust]])),"")</f>
        <v>8.1700376581115517</v>
      </c>
      <c r="AL47" s="56">
        <f ca="1">IF(ISNUMBER(tblData[Day'# Aust]),tblData[Au LogiP(t)]/AuPopScale,"")</f>
        <v>3.2211156198200408</v>
      </c>
      <c r="AM47" s="11">
        <f ca="1">IF(AND(tblData[Dates]&gt;StartDt2Au,ISNUMBER(tblData[Au])),(tblData[[#This Row],[Au LogiP(t)]]-tblData[[#This Row],[Au]])^2,"")</f>
        <v>46.648385591614336</v>
      </c>
      <c r="AN47" s="11">
        <f ca="1">IF(AND(ISNUMBER(tblData[Au]),tblData[Dates]&gt;StartDt2Au),(tblData[Au]-AVERAGE(tblData[Au]))^2,"")</f>
        <v>5923431.1160999993</v>
      </c>
      <c r="AO47" s="11">
        <f>tblData[[#This Row],[Dates]]-Au100dt</f>
        <v>-17</v>
      </c>
      <c r="AP47">
        <f ca="1">IF(tblData[Dates]&gt;StartDt2NSW,tblData[Dates]-StartDt2NSW,"")</f>
        <v>33</v>
      </c>
      <c r="AQ47" s="25">
        <f>IF(tblData[[#This Row],[New South Wales]]&gt;0,tblData[[#This Row],[New South Wales]],"")</f>
        <v>4</v>
      </c>
      <c r="AR47" s="44">
        <f ca="1">IF(tblData[Dates]&gt;StartDt2NSW,betaNSW/(deltaNSW+betaPodeltaNSW*EXP(-betaNSW*tblData[[#This Row],[Day '# NSW]])),"")</f>
        <v>2.8126895037047723</v>
      </c>
      <c r="AS47" s="12">
        <f ca="1">IF(AND(ISNUMBER(tblData[NSW]),tblData[Dates]&gt;StartDt2NSW),(tblData[[#This Row],[NSW LogiP(t)]]-tblData[[#This Row],[NSW]])^2,"")</f>
        <v>1.4097062146128199</v>
      </c>
      <c r="AT47" s="12">
        <f ca="1">IF(AND(tblData[Dates]&gt;StartDt2NSW,ISNUMBER(tblData[Day'# Aust])),tblData[NSW LogiP(t)]/NSWpopscale,"")</f>
        <v>3.4810513659712528</v>
      </c>
      <c r="AU47" s="11">
        <f>tblData[[#This Row],[Dates]]-NSW100dt+1</f>
        <v>-14</v>
      </c>
      <c r="AV47" s="11">
        <f ca="1">IF(AND(ISNUMBER(tblData[NSW]),tblData[Dates]&gt;StartDt2NSW),(tblData[NSW]-AVERAGE(tblData[NSW]))^2,"")</f>
        <v>1188666.8676</v>
      </c>
      <c r="AW47" s="11">
        <f ca="1">IF(AND(tblData[Dates]&gt;StartDt2Italy,ISNUMBER(tblData[Days'# Italy])),betaItaly/(deltaItaly+betaPodeltaItaly*EXP(-betaItaly*tblData[Days'# Italy])),"")</f>
        <v>529.20869427623791</v>
      </c>
      <c r="AX47" s="11">
        <f ca="1">IF(AND(tblData[Dates]&gt;StartDt2Italy,ISNUMBER(tblData[Italy])),(tblData[[#This Row],[Italy LogiP(t)]]-tblData[[#This Row],[Italy]])^2,"")</f>
        <v>15823.452595688981</v>
      </c>
      <c r="AY47" s="11">
        <f ca="1">IF(AND(tblData[Dates]&gt;StartDt2Italy,ISNUMBER(tblData[Days'# Italy])),tblData[[#This Row],[Italy LogiP(t)]]/ItalyPopscale,"")</f>
        <v>87.494204228525732</v>
      </c>
      <c r="AZ47" s="39">
        <f ca="1">IF(AND(ISNUMBER(tblData[Italy]),tblData[Dates]&gt;StartDt2Italy),(tblData[Italy]-AVERAGE(tblData[Italy]))^2,"")</f>
        <v>4773926443.0059977</v>
      </c>
      <c r="BA47" s="11">
        <f>tblData[[#This Row],[Dates]]-Italy100dt+1</f>
        <v>1</v>
      </c>
      <c r="BB47" s="11">
        <f ca="1">IF(AND(tblData[Dates]&gt;StartDt2US,ISNUMBER(tblData[[#This Row],[Days'# US]])),betaUS/(deltaUS+betaPodeltaUS*EXP(-betaUS*tblData[Days'# US])),"")</f>
        <v>27.327681220686333</v>
      </c>
      <c r="BC47" s="11">
        <f ca="1">IF(AND(tblData[Dates]&gt;StartDt2US,ISNUMBER(tblData[US])),(tblData[[#This Row],[US LogiP(t)]]-tblData[US])^2,"")</f>
        <v>940.79113929983782</v>
      </c>
      <c r="BD47" s="20">
        <f ca="1">IF(AND(tblData[Dates]&gt;=StartDt2US,ISNUMBER(tblData[[#This Row],[Days'# US]])),tblData[[#This Row],[US LogiP(t)]]/USPopscale,"")</f>
        <v>0.83005401436263926</v>
      </c>
      <c r="BE47" s="126">
        <f ca="1">IF(AND(ISNUMBER(tblData[US]),tblData[Dates]&gt;StartDt2US),(tblData[US]-AVERAGE(tblData[US]))^2,"")</f>
        <v>50124602972.609093</v>
      </c>
      <c r="BF47" s="11">
        <f>tblData[[#This Row],[Dates]]-US100dt+1</f>
        <v>-16</v>
      </c>
      <c r="BG47" s="20">
        <f ca="1">IF(tblData[Dates]&gt;StartDt2SKorea,betaSKorea/(deltaSKorea+betaPodeltaSKorea*EXP(-betaSKorea*(tblData[Dates]-StartDt2SKorea))),"")</f>
        <v>2350.4144360070545</v>
      </c>
      <c r="BH47" s="20">
        <f ca="1">IF(AND(tblData[Dates]&gt;StartDt2SKorea,ISNUMBER(tblData[SKorea])),(tblData[[#This Row],[SKorea LogiP(t)]]-tblData[[#This Row],[SKorea]])^2,"")</f>
        <v>341540.23301344365</v>
      </c>
      <c r="BI47" s="20">
        <f ca="1">IF(tblData[Dates]&gt;StartDt2SKorea,tblData[[#This Row],[SKorea LogiP(t)]]/SKoreaPopscale,"")</f>
        <v>457.27907315312348</v>
      </c>
      <c r="BJ47" s="126">
        <f ca="1">IF(AND(ISNUMBER(tblData[SKorea]),tblData[Dates]&gt;StartDt2SKorea),(tblData[SKorea]-AVERAGE(tblData[SKorea]))^2,"")</f>
        <v>16470387.746635906</v>
      </c>
      <c r="BK47" s="11">
        <f>tblData[[#This Row],[Dates]]-SKorea100dt+1</f>
        <v>5</v>
      </c>
      <c r="BL47" s="11">
        <f ca="1">IF(AND(tblData[Dates]&gt;StartDt2UK,ISNUMBER(tblData[Days'# UK])),betaUK/(deltaUK+betaPodeltaUK*EXP(-betaUK*tblData[Days'# UK])),"")</f>
        <v>34.422300257176119</v>
      </c>
      <c r="BM47" s="20">
        <f ca="1">IF(AND(tblData[Dates]&gt;StartDt2UK,ISNUMBER(tblData[United Kingdom])),(tblData[[#This Row],[UK LogiP(t)]]-tblData[[#This Row],[United Kingdom]])^2,"")</f>
        <v>377.22574727990354</v>
      </c>
      <c r="BN47" s="20">
        <f ca="1">IF(ISNUMBER(tblData[Days'# UK]),tblData[[#This Row],[UK LogiP(t)]]/UKPopscale,"")</f>
        <v>5.1809603036086873</v>
      </c>
      <c r="BO47" s="126">
        <f ca="1">IF(AND(ISNUMBER(tblData[United Kingdom]),tblData[Dates]&gt;StartDt2UK),(tblData[United Kingdom]-AVERAGE(tblData[United Kingdom]))^2,"")</f>
        <v>1440356726.4691038</v>
      </c>
      <c r="BP47" s="11">
        <f>tblData[[#This Row],[Dates]]-UK100dt</f>
        <v>-14</v>
      </c>
      <c r="BQ47" s="11">
        <f ca="1">IF(ISNUMBER(tblData[Days'# China]),betaChina/(deltaChina+betaPodeltaChina*EXP(-betaChina*tblData[Days'# China])),"")</f>
        <v>80661.646708243235</v>
      </c>
      <c r="BR47" s="11">
        <f ca="1">IF(ISNUMBER(tblData[China]),(tblData[[#This Row],[China LogiP(t)]]-tblData[[#This Row],[China]])^2,"")</f>
        <v>4250387.1496101683</v>
      </c>
      <c r="BS47" s="11">
        <f ca="1">tblData[[#This Row],[China LogiP(t)]]/ChinaPopscale</f>
        <v>560.41349453983617</v>
      </c>
      <c r="BT47" s="126">
        <f ca="1">IF(AND(ISNUMBER(tblData[China]),tblData[Dates]&gt;StartDt2China),(tblData[China]-AVERAGE(tblData[China]))^2,"")</f>
        <v>129858090.5743943</v>
      </c>
      <c r="BU47" s="11">
        <f>tblData[[#This Row],[Dates]]-China100dt</f>
        <v>25</v>
      </c>
      <c r="BV47" s="95">
        <f ca="1">IF(ISNUMBER(tblData[Day'# Singapore]),betaSingapore/(deltaSingapore+betaPodeltaSingapore*EXP(-betaSingapore*tblData[Day'# Singapore])),"")</f>
        <v>9.9083327192373787</v>
      </c>
      <c r="BW47" s="11">
        <f ca="1">IF(AND(ISNUMBER(tblData[Singapore]),tblData[Dates]&gt;=StartDt2Singapore),(tblData[[#This Row],[Singapore LogiP(t)]]-tblData[[#This Row],[Singapore]])^2,"")</f>
        <v>6904.225171496958</v>
      </c>
      <c r="BX47" s="20">
        <f ca="1">IF(ISNUMBER(tblData[Day'# Singapore]),tblData[Singapore LogiP(t)]/SingaporePopscale,"")</f>
        <v>16.937320887585265</v>
      </c>
      <c r="BY47" s="95">
        <f ca="1">IF(AND(ISNUMBER(tblData[Singapore]),tblData[Dates]&gt;StartDt2Singapore),(tblData[Singapore]-AVERAGE(tblData[Singapore]))^2,"")</f>
        <v>4963110.3129565557</v>
      </c>
      <c r="BZ47" s="11">
        <f>tblData[[#This Row],[Dates]]-Singapore100dt+1</f>
        <v>14</v>
      </c>
      <c r="CA47" s="11" t="str">
        <f>IF(AND(tblData[Dates]&gt;StartDt2Generic,ISNUMBER(tblData[Day'# Generic])),betaGeneric/(deltaGeneric+betaPodeltaGeneric*EXP(-betaGeneric*tblData[Day'# Generic])),"")</f>
        <v/>
      </c>
      <c r="CB47" s="95" t="str">
        <f>IF(AND(ISNUMBER(tblData[Generic]),tblData[Dates]&gt;StartDt2Generic),(tblData[Generic LogiP(t)]-tblData[[#This Row],[Generic]])^2,"")</f>
        <v/>
      </c>
      <c r="CC47" s="11" t="str">
        <f>IF(AND(ISNUMBER(tblData[Day'# Generic]),tblData[Dates]&gt;StartDt2Generic),tblData[Generic LogiP(t)]/GenericPopscale,"")</f>
        <v/>
      </c>
      <c r="CD47" s="95" t="str">
        <f>IF(AND(ISNUMBER(tblData[Generic]),tblData[Dates]&gt;StartDt2Generic),(tblData[Generic]-AVERAGE(tblData[Generic]))^2,"")</f>
        <v/>
      </c>
      <c r="CE47" s="11">
        <f>tblData[[#This Row],[Dates]]-Generic100dt+1</f>
        <v>-14</v>
      </c>
      <c r="CF47"/>
      <c r="CG47" s="11"/>
      <c r="CH47" s="11" t="str">
        <f>IF(ISNUMBER(tblData[[#This Row],[Tests]]),tblData[[#This Row],[Tests]]-CH46,"")</f>
        <v/>
      </c>
      <c r="CI47" s="11" t="str">
        <f>IF(ISNUMBER(tblData[[#This Row],[NSW Under Investigation'']]),tblData[[#This Row],[NSW Under Investigation'']]-CG46,"")</f>
        <v/>
      </c>
      <c r="CJ47" s="11"/>
      <c r="CK47" s="11" t="str">
        <f>IF(AND(tblData[[#This Row],[NSW Test Day Number]]&gt;0,ISNUMBER(tblData[[#This Row],[NSW Test Day Number]])),betaTests/(deltaTests+betaPodeltaTests*EXP(-betaTests*tblData[[#This Row],[NSW Test Day Number]])),"")</f>
        <v/>
      </c>
      <c r="CL47" s="11" t="str">
        <f>IF(tblData[Tests]&gt;0,(tblData[[#This Row],[Tests]]-tblData[[#This Row],[NSW Test Logi]])^2,"")</f>
        <v/>
      </c>
      <c r="CM47" s="95" t="str">
        <f>IF(AND(ISNUMBER(tblData[Tests]),tblData[Dates]&gt;StartDt2Tests),(tblData[Tests]-AVERAGE(tblData[Tests]))^2,"")</f>
        <v/>
      </c>
      <c r="CN47" s="11" t="str">
        <f>IF(ISNUMBER(tblData[Tests]),tblData[Tests]/NSWpopscale/100,"")</f>
        <v/>
      </c>
      <c r="CO47" s="11" t="str">
        <f>IF(AND(tblData[[#This Row],[NSW Test Day Number]]&gt;0,ISNUMBER(tblData[[#This Row],[NSW Test Day Number]])),TestsLogestB*TestsLogestM^tblData[[#This Row],[NSW Test Day Number]],"")</f>
        <v/>
      </c>
      <c r="CP47" s="11" t="str">
        <f>IF(AND(tblData[[#This Row],[NSW Test Day Number]]&gt;0,ISNUMBER(tblData[Tests])),(tblData[Tests]-tblData[[#This Row],[NSW Test Per Capita]])^2,"")</f>
        <v/>
      </c>
      <c r="CQ47" s="20">
        <f ca="1">IF(AND(tblData[Day '# NSW]&gt;0,ISNUMBER(tblData[[#This Row],[Day '# NSW]])),NSWLogestB*NSWLogestM^tblData[[#This Row],[Day '# NSW]]/NSWpopscale,"")</f>
        <v>33.869399486234059</v>
      </c>
      <c r="CR47" s="39">
        <f ca="1">IF(AND(ISNUMBER(tblData[NSW]),tblData[Dates]&gt;StartDt2NSW),(tblData[NSW]/NSWpopscale-tblData[[#This Row],[NSW Cases LogEst]])^2,"")</f>
        <v>836.30303382067041</v>
      </c>
      <c r="CS47" s="11">
        <v>32</v>
      </c>
      <c r="CT47" s="19">
        <f>IF(ISNUMBER(tblData[Taiwan]),tblData[Taiwan]/TaiwanPopscale,"")</f>
        <v>13.441265575801555</v>
      </c>
      <c r="CU47" s="11">
        <f ca="1">IF(tblData[[#This Row],[Dates]]&lt;StartDt2Taiwan,"",tblData[[#This Row],[Dates]]-TaiwanStart)</f>
        <v>36</v>
      </c>
      <c r="CV47" s="19">
        <f ca="1">IF(AND(tblData[Dates]&gt;StartDt2Taiwan,ISNUMBER(tblData[Days'# Taiwan])),betaTaiwan/(deltaTaiwan+betaPodeltaTaiwan*EXP(-betaTaiwan*tblData[Days'# Taiwan])),"")</f>
        <v>8.4701381583700996</v>
      </c>
      <c r="CW47" s="95">
        <f ca="1">IF(AND(tblData[Dates]&gt;StartDt2Taiwan,ISNUMBER(tblData[Taiwan])),(tblData[[#This Row],[Taiwan LogiP(t)]]-tblData[[#This Row],[Taiwan]])^2,"")</f>
        <v>553.65439828619094</v>
      </c>
      <c r="CX47" s="20">
        <f ca="1">IF(AND(tblData[Dates]&gt;StartDt2Taiwan,ISNUMBER(tblData[Days'# Taiwan])),tblData[[#This Row],[Taiwan LogiP(t)]]/TaiwanPopscale,"")</f>
        <v>3.5577930140744751</v>
      </c>
      <c r="CY47" s="95">
        <f ca="1">IF(AND(ISNUMBER(tblData[Taiwan]),tblData[Dates]&gt;StartDt2Taiwan),(tblData[Taiwan]-AVERAGE(tblData[Taiwan]))^2,"")</f>
        <v>18919.73279507882</v>
      </c>
      <c r="CZ47" s="11">
        <f>tblData[[#This Row],[Dates]]-Taiwan100dt+1</f>
        <v>-27</v>
      </c>
      <c r="DA47">
        <v>0</v>
      </c>
      <c r="DB47" s="20">
        <f>IF(ISNUMBER(tblData[NZ]),tblData[NZ]/NZPopscale,"")</f>
        <v>0</v>
      </c>
      <c r="DC47" s="11">
        <f ca="1">IF(tblData[[#This Row],[Dates]]&lt;StartDt2NZ,"",tblData[[#This Row],[Dates]]-NZStart)</f>
        <v>-1</v>
      </c>
      <c r="DD47" s="20" t="str">
        <f ca="1">IF(AND(tblData[Dates]&gt;StartDt2NZ,ISNUMBER(tblData[Days'# NZ])),betaNZ/(deltaNZ+betaPodeltaNZ*EXP(-betaNZ*tblData[Days'# NZ])),"")</f>
        <v/>
      </c>
      <c r="DE47" s="95" t="str">
        <f ca="1">IF(AND(tblData[Dates]&gt;StartDt2NZ,ISNUMBER(tblData[NZ])),(tblData[[#This Row],[NZ LogiP(t)]]-tblData[[#This Row],[NZ]])^2,"")</f>
        <v/>
      </c>
      <c r="DF47" s="20" t="str">
        <f ca="1">IF(AND(tblData[Dates]&gt;StartDt2NZ,ISNUMBER(tblData[Days'# NZ])),tblData[[#This Row],[NZ LogiP(t)]]/NZPopscale,"")</f>
        <v/>
      </c>
      <c r="DG47" s="95" t="str">
        <f ca="1">IF(AND(ISNUMBER(tblData[NZ]),tblData[Dates]&gt;StartDt2NZ),(tblData[NZ]-AVERAGE(tblData[NZ]))^2,"")</f>
        <v/>
      </c>
      <c r="DH47" s="11">
        <f>tblData[[#This Row],[Dates]]-NZ100dt+1</f>
        <v>-23</v>
      </c>
      <c r="DI47" s="39"/>
      <c r="DJ47" s="11"/>
      <c r="DM47" s="25"/>
      <c r="DP47"/>
      <c r="DV47" s="25"/>
      <c r="DW47"/>
      <c r="DZ47" s="25"/>
      <c r="EA47" s="25"/>
      <c r="EB47" s="25"/>
      <c r="EH47"/>
      <c r="EI47"/>
      <c r="EJ47"/>
      <c r="EK47"/>
      <c r="EQ47" s="25"/>
      <c r="ER47" s="25"/>
      <c r="ES47" s="25"/>
      <c r="ET47" s="25"/>
      <c r="FF47"/>
      <c r="FG47"/>
      <c r="FH47"/>
      <c r="FI47"/>
      <c r="FJ47" s="25"/>
      <c r="FK47" s="25"/>
      <c r="FM47" s="25"/>
      <c r="FN47"/>
      <c r="FO47" s="267" t="s">
        <v>48</v>
      </c>
      <c r="FP47" s="251">
        <v>43935.735821759263</v>
      </c>
      <c r="FQ47" s="243">
        <v>43855</v>
      </c>
      <c r="FR47" s="160">
        <v>43855</v>
      </c>
      <c r="FS47" s="233">
        <v>0</v>
      </c>
      <c r="FT47" s="22">
        <v>0.25998753365373323</v>
      </c>
      <c r="FU47" s="72">
        <v>5.2690821821448796E-5</v>
      </c>
      <c r="FV47" s="74">
        <v>1.0000000000000009E-3</v>
      </c>
      <c r="FW47" s="212">
        <v>4934.2091215571127</v>
      </c>
      <c r="FX47" s="212">
        <v>1058.1651916337357</v>
      </c>
      <c r="FY47" s="212">
        <v>0.77883449212344802</v>
      </c>
      <c r="FZ47" s="213">
        <v>259.98748096291121</v>
      </c>
      <c r="GA47" s="213">
        <v>5.2690821821448797E-2</v>
      </c>
      <c r="GB47" s="243">
        <v>44042</v>
      </c>
      <c r="GC47" s="160" t="s">
        <v>2416</v>
      </c>
      <c r="GD47" s="212">
        <v>4934.2091215571127</v>
      </c>
      <c r="GE47" s="212">
        <v>6400</v>
      </c>
      <c r="GF47" s="74" t="s">
        <v>2417</v>
      </c>
      <c r="GG47" s="243">
        <v>43935</v>
      </c>
      <c r="GH47" s="160">
        <v>84</v>
      </c>
      <c r="GI47" s="160" t="s">
        <v>2418</v>
      </c>
      <c r="GJ47" s="23"/>
      <c r="GK47" s="161" t="s">
        <v>2419</v>
      </c>
      <c r="GL47" s="23"/>
      <c r="GM47" s="235" t="s">
        <v>2420</v>
      </c>
      <c r="GN47" s="204">
        <v>2523.2613152499607</v>
      </c>
      <c r="GO47" s="243"/>
      <c r="GP47" s="236"/>
      <c r="GQ47" s="243"/>
      <c r="GR47" s="23"/>
      <c r="GS47" s="23" t="s">
        <v>2415</v>
      </c>
      <c r="GT47" s="204">
        <v>4934.2091215571099</v>
      </c>
      <c r="GU47" s="34">
        <v>0.41936409250934487</v>
      </c>
      <c r="GV47" s="240">
        <v>43905</v>
      </c>
      <c r="GW47" s="162" t="s">
        <v>2387</v>
      </c>
      <c r="GX47" s="230">
        <v>-1483.1330178692197</v>
      </c>
      <c r="GY47" s="23" t="s">
        <v>569</v>
      </c>
      <c r="GZ47" s="23" t="s">
        <v>569</v>
      </c>
      <c r="HK47" s="164">
        <v>43934</v>
      </c>
      <c r="HL47" s="60">
        <v>43934.833333333336</v>
      </c>
      <c r="HM47">
        <v>2863</v>
      </c>
      <c r="HN47">
        <v>141517</v>
      </c>
      <c r="HO47">
        <v>722</v>
      </c>
      <c r="HP47">
        <v>351</v>
      </c>
      <c r="HQ47" s="166">
        <f>IF(ISNUMBER(tblNSWKnown[[#This Row],[Unknown Locally]]),tblNSWKnown[[#This Row],[Known Locally]]+tblNSWKnown[[#This Row],[Unknown Locally]],"")</f>
        <v>1073</v>
      </c>
      <c r="HR47" s="25">
        <v>14</v>
      </c>
      <c r="HS47" s="166">
        <f>IF(ISNUMBER(tblNSWKnown[[#This Row],[Day '# NSW Unknown]]),betaNSWUnknown/(deltaNSWUnknown+betaPodeltaNSWUnknown*EXP(-betaNSWUnknown*tblNSWKnown[Day '# NSW Unknown])),"")</f>
        <v>1113.8024455743216</v>
      </c>
      <c r="HT47" s="166">
        <f>IF(ISNUMBER(tblNSWKnown[[#This Row],[Total Local]]),(tblNSWKnown[[#This Row],[Total Local]]-tblNSWKnown[[#This Row],[NSW Unknown Logi P(t)]])^2,"")</f>
        <v>1664.8395648454771</v>
      </c>
      <c r="HU47" s="166">
        <f>IF(ISNUMBER(tblNSWKnown[Total Local]),(tblNSWKnown[Total Local]-AVERAGE(tblNSWKnown[Total Local]))^2,"")</f>
        <v>2.1626297577882207E-2</v>
      </c>
      <c r="HV47" s="166"/>
    </row>
    <row r="48" spans="2:231" ht="15" customHeight="1" x14ac:dyDescent="0.25">
      <c r="B48" s="26">
        <v>43889</v>
      </c>
      <c r="C48">
        <v>8</v>
      </c>
      <c r="D48" s="25">
        <v>0</v>
      </c>
      <c r="E48">
        <v>4</v>
      </c>
      <c r="F48">
        <v>0</v>
      </c>
      <c r="G48">
        <v>5</v>
      </c>
      <c r="H48">
        <v>2</v>
      </c>
      <c r="I48">
        <v>0</v>
      </c>
      <c r="J48">
        <v>4</v>
      </c>
      <c r="K48">
        <v>0</v>
      </c>
      <c r="L48" s="11">
        <f>IF(ISNUMBER(tblData[[#This Row],[NSW]]),tblData[[#This Row],[New South Wales]]/NSWpopscale,"")</f>
        <v>4.9504950495049505</v>
      </c>
      <c r="M48" s="25">
        <v>888</v>
      </c>
      <c r="N48" s="20">
        <f>IF(ISNUMBER(tblData[Italy]),tblData[Italy]/ItalyPopscale,"")</f>
        <v>146.81325948582293</v>
      </c>
      <c r="O48">
        <v>60</v>
      </c>
      <c r="P48" s="20">
        <f>IF(ISNUMBER(tblData[US]),tblData[US]/USPopscale,"")</f>
        <v>1.822446641541567</v>
      </c>
      <c r="Q48">
        <v>2337</v>
      </c>
      <c r="R48" s="20">
        <f>IF(ISNUMBER(tblData[SKorea]),tblData[SKorea]/SKoreaPopscale,"")</f>
        <v>454.66926070038915</v>
      </c>
      <c r="S48">
        <v>20</v>
      </c>
      <c r="T48" s="20">
        <f>IF(ISNUMBER(tblData[United Kingdom]),tblData[United Kingdom]/UKPopscale,"")</f>
        <v>3.0102347983142685</v>
      </c>
      <c r="U48">
        <v>78928</v>
      </c>
      <c r="V48" s="20">
        <f>IF(ISNUMBER(tblData[China]),tblData[China]/ChinaPopscale,"")</f>
        <v>548.36862501741928</v>
      </c>
      <c r="W48" s="25">
        <f ca="1">IF(tblData[[#This Row],[Dates]]&lt;StartDt2China,"",tblData[[#This Row],[Dates]]-ChinaStart)</f>
        <v>37</v>
      </c>
      <c r="X48">
        <v>93</v>
      </c>
      <c r="Y48" s="20">
        <f>IF(ISNUMBER(tblData[Singapore]),tblData[Singapore]/SingaporePopscale,"")</f>
        <v>158.97435897435898</v>
      </c>
      <c r="Z48">
        <v>0</v>
      </c>
      <c r="AA48" s="20">
        <f>IF(AND(LEN(tblData[Generic])&gt;0,ISNUMBER(tblData[Generic])),tblData[Generic]/GenericPopscale,"")</f>
        <v>0</v>
      </c>
      <c r="AB48" s="25">
        <f ca="1">IF(tblData[[#This Row],[Dates]]&lt;StartDt2Italy,"",tblData[[#This Row],[Dates]]-ItalyStart)</f>
        <v>29</v>
      </c>
      <c r="AC48" s="25">
        <f ca="1">IF(tblData[[#This Row],[Dates]]&lt;=StartDt2US,"",tblData[[#This Row],[Dates]]-USStart)</f>
        <v>37</v>
      </c>
      <c r="AD48" s="25">
        <f>IF(tblData[[#This Row],[Dates]]&lt;=SKoreaStart,"",tblData[[#This Row],[Dates]]-SKoreaStart)</f>
        <v>37</v>
      </c>
      <c r="AE48" s="25">
        <f ca="1">IF(tblData[[#This Row],[Dates]]&lt;=StartDt2UK,"",tblData[[#This Row],[Dates]]-UKStart)</f>
        <v>29</v>
      </c>
      <c r="AF48" s="25">
        <f ca="1">IF(tblData[[#This Row],[Dates]]&lt;StartDt2Singapore,"",tblData[[#This Row],[Dates]]-SingaporeStart)</f>
        <v>36</v>
      </c>
      <c r="AG48" s="25" t="str">
        <f>IF(tblData[[#This Row],[Dates]]&lt;StartDt2Generic,"",tblData[[#This Row],[Dates]]-GenericStart)</f>
        <v/>
      </c>
      <c r="AH48">
        <f ca="1">IF(tblData[Dates]&gt;StartDt2Au,tblData[Dates]-AuStart,"")</f>
        <v>34</v>
      </c>
      <c r="AI48" s="25">
        <f>IF(AND(COUNTBLANK(tblData[[#This Row],[Australian Capital Territory]:[Western Australia]])&lt;1,tblData[New South Wales]&gt;=0),SUM(tblData[[#This Row],[Australian Capital Territory]:[Western Australia]]),"")</f>
        <v>15</v>
      </c>
      <c r="AJ48" s="12">
        <f>IF(ISNUMBER(tblData[Au]),tblData[Au]/AuPopScale,"")</f>
        <v>5.9138937076170954</v>
      </c>
      <c r="AK48" s="11">
        <f ca="1">IF(ISNUMBER(tblData[[#This Row],[Day'# Aust]]),betaAu/(deltaAu+betaPodeltaAu*EXP(-betaAu*tblData[[#This Row],[Day'# Aust]])),"")</f>
        <v>10.240373090750621</v>
      </c>
      <c r="AL48" s="56">
        <f ca="1">IF(ISNUMBER(tblData[Day'# Aust]),tblData[Au LogiP(t)]/AuPopScale,"")</f>
        <v>4.0373651990027684</v>
      </c>
      <c r="AM48" s="11">
        <f ca="1">IF(AND(tblData[Dates]&gt;StartDt2Au,ISNUMBER(tblData[Au])),(tblData[[#This Row],[Au LogiP(t)]]-tblData[[#This Row],[Au]])^2,"")</f>
        <v>22.654048315250794</v>
      </c>
      <c r="AN48" s="11">
        <f ca="1">IF(AND(ISNUMBER(tblData[Au]),tblData[Dates]&gt;StartDt2Au),(tblData[Au]-AVERAGE(tblData[Au]))^2,"")</f>
        <v>5923431.1160999993</v>
      </c>
      <c r="AO48" s="11">
        <f>tblData[[#This Row],[Dates]]-Au100dt</f>
        <v>-16</v>
      </c>
      <c r="AP48" s="25">
        <f ca="1">IF(tblData[Dates]&gt;StartDt2NSW,tblData[Dates]-StartDt2NSW,"")</f>
        <v>34</v>
      </c>
      <c r="AQ48" s="25">
        <f>IF(tblData[[#This Row],[New South Wales]]&gt;0,tblData[[#This Row],[New South Wales]],"")</f>
        <v>4</v>
      </c>
      <c r="AR48" s="44">
        <f ca="1">IF(tblData[Dates]&gt;StartDt2NSW,betaNSW/(deltaNSW+betaPodeltaNSW*EXP(-betaNSW*tblData[[#This Row],[Day '# NSW]])),"")</f>
        <v>3.5543866261644204</v>
      </c>
      <c r="AS48" s="12">
        <f ca="1">IF(AND(ISNUMBER(tblData[NSW]),tblData[Dates]&gt;StartDt2NSW),(tblData[[#This Row],[NSW LogiP(t)]]-tblData[[#This Row],[NSW]])^2,"")</f>
        <v>0.19857127894112805</v>
      </c>
      <c r="AT48" s="12">
        <f ca="1">IF(AND(tblData[Dates]&gt;StartDt2NSW,ISNUMBER(tblData[Day'# Aust])),tblData[NSW LogiP(t)]/NSWpopscale,"")</f>
        <v>4.3989933492133915</v>
      </c>
      <c r="AU48" s="11">
        <f>tblData[[#This Row],[Dates]]-NSW100dt+1</f>
        <v>-13</v>
      </c>
      <c r="AV48" s="11">
        <f ca="1">IF(AND(ISNUMBER(tblData[NSW]),tblData[Dates]&gt;StartDt2NSW),(tblData[NSW]-AVERAGE(tblData[NSW]))^2,"")</f>
        <v>1188666.8676</v>
      </c>
      <c r="AW48" s="11">
        <f ca="1">IF(AND(tblData[Dates]&gt;StartDt2Italy,ISNUMBER(tblData[Days'# Italy])),betaItaly/(deltaItaly+betaPodeltaItaly*EXP(-betaItaly*tblData[Days'# Italy])),"")</f>
        <v>681.03981145090347</v>
      </c>
      <c r="AX48" s="11">
        <f ca="1">IF(AND(tblData[Dates]&gt;StartDt2Italy,ISNUMBER(tblData[Italy])),(tblData[[#This Row],[Italy LogiP(t)]]-tblData[[#This Row],[Italy]])^2,"")</f>
        <v>42832.519644277585</v>
      </c>
      <c r="AY48" s="11">
        <f ca="1">IF(AND(tblData[Dates]&gt;StartDt2Italy,ISNUMBER(tblData[Days'# Italy])),tblData[[#This Row],[Italy LogiP(t)]]/ItalyPopscale,"")</f>
        <v>112.59648035891601</v>
      </c>
      <c r="AZ48" s="39">
        <f ca="1">IF(AND(ISNUMBER(tblData[Italy]),tblData[Dates]&gt;StartDt2Italy),(tblData[Italy]-AVERAGE(tblData[Italy]))^2,"")</f>
        <v>4741783111.431529</v>
      </c>
      <c r="BA48" s="11">
        <f>tblData[[#This Row],[Dates]]-Italy100dt+1</f>
        <v>2</v>
      </c>
      <c r="BB48" s="11">
        <f ca="1">IF(AND(tblData[Dates]&gt;StartDt2US,ISNUMBER(tblData[[#This Row],[Days'# US]])),betaUS/(deltaUS+betaPodeltaUS*EXP(-betaUS*tblData[Days'# US])),"")</f>
        <v>36.294211593094666</v>
      </c>
      <c r="BC48" s="11">
        <f ca="1">IF(AND(tblData[Dates]&gt;StartDt2US,ISNUMBER(tblData[US])),(tblData[[#This Row],[US LogiP(t)]]-tblData[US])^2,"")</f>
        <v>561.96440399296739</v>
      </c>
      <c r="BD48" s="20">
        <f ca="1">IF(AND(tblData[Dates]&gt;=StartDt2US,ISNUMBER(tblData[[#This Row],[Days'# US]])),tblData[[#This Row],[US LogiP(t)]]/USPopscale,"")</f>
        <v>1.1024044004205729</v>
      </c>
      <c r="BE48" s="126">
        <f ca="1">IF(AND(ISNUMBER(tblData[US]),tblData[Dates]&gt;StartDt2US),(tblData[US]-AVERAGE(tblData[US]))^2,"")</f>
        <v>50123707435.6287</v>
      </c>
      <c r="BF48" s="11">
        <f>tblData[[#This Row],[Dates]]-US100dt+1</f>
        <v>-15</v>
      </c>
      <c r="BG48" s="20">
        <f ca="1">IF(tblData[Dates]&gt;StartDt2SKorea,betaSKorea/(deltaSKorea+betaPodeltaSKorea*EXP(-betaSKorea*(tblData[Dates]-StartDt2SKorea))),"")</f>
        <v>2686.7104263988604</v>
      </c>
      <c r="BH48" s="20">
        <f ca="1">IF(AND(tblData[Dates]&gt;StartDt2SKorea,ISNUMBER(tblData[SKorea])),(tblData[[#This Row],[SKorea LogiP(t)]]-tblData[[#This Row],[SKorea]])^2,"")</f>
        <v>122297.38233207272</v>
      </c>
      <c r="BI48" s="20">
        <f ca="1">IF(tblData[Dates]&gt;StartDt2SKorea,tblData[[#This Row],[SKorea LogiP(t)]]/SKoreaPopscale,"")</f>
        <v>522.70630863791064</v>
      </c>
      <c r="BJ48" s="126">
        <f ca="1">IF(AND(ISNUMBER(tblData[SKorea]),tblData[Dates]&gt;StartDt2SKorea),(tblData[SKorea]-AVERAGE(tblData[SKorea]))^2,"")</f>
        <v>12161767.295655515</v>
      </c>
      <c r="BK48" s="11">
        <f>tblData[[#This Row],[Dates]]-SKorea100dt+1</f>
        <v>6</v>
      </c>
      <c r="BL48" s="11">
        <f ca="1">IF(AND(tblData[Dates]&gt;StartDt2UK,ISNUMBER(tblData[Days'# UK])),betaUK/(deltaUK+betaPodeltaUK*EXP(-betaUK*tblData[Days'# UK])),"")</f>
        <v>42.6000319424463</v>
      </c>
      <c r="BM48" s="20">
        <f ca="1">IF(AND(tblData[Dates]&gt;StartDt2UK,ISNUMBER(tblData[United Kingdom])),(tblData[[#This Row],[UK LogiP(t)]]-tblData[[#This Row],[United Kingdom]])^2,"")</f>
        <v>510.76144379959311</v>
      </c>
      <c r="BN48" s="20">
        <f ca="1">IF(ISNUMBER(tblData[Days'# UK]),tblData[[#This Row],[UK LogiP(t)]]/UKPopscale,"")</f>
        <v>6.411804928122562</v>
      </c>
      <c r="BO48" s="126">
        <f ca="1">IF(AND(ISNUMBER(tblData[United Kingdom]),tblData[Dates]&gt;StartDt2UK),(tblData[United Kingdom]-AVERAGE(tblData[United Kingdom]))^2,"")</f>
        <v>1439977231.1499548</v>
      </c>
      <c r="BP48" s="11">
        <f>tblData[[#This Row],[Dates]]-UK100dt</f>
        <v>-13</v>
      </c>
      <c r="BQ48" s="11">
        <f ca="1">IF(ISNUMBER(tblData[Days'# China]),betaChina/(deltaChina+betaPodeltaChina*EXP(-betaChina*tblData[Days'# China])),"")</f>
        <v>80947.514472556111</v>
      </c>
      <c r="BR48" s="11">
        <f ca="1">IF(ISNUMBER(tblData[China]),(tblData[[#This Row],[China LogiP(t)]]-tblData[[#This Row],[China]])^2,"")</f>
        <v>4078438.7048635883</v>
      </c>
      <c r="BS48" s="11">
        <f ca="1">tblData[[#This Row],[China LogiP(t)]]/ChinaPopscale</f>
        <v>562.39962003209564</v>
      </c>
      <c r="BT48" s="126">
        <f ca="1">IF(AND(ISNUMBER(tblData[China]),tblData[Dates]&gt;StartDt2China),(tblData[China]-AVERAGE(tblData[China]))^2,"")</f>
        <v>137441141.86851195</v>
      </c>
      <c r="BU48" s="11">
        <f>tblData[[#This Row],[Dates]]-China100dt</f>
        <v>26</v>
      </c>
      <c r="BV48" s="95">
        <f ca="1">IF(ISNUMBER(tblData[Day'# Singapore]),betaSingapore/(deltaSingapore+betaPodeltaSingapore*EXP(-betaSingapore*tblData[Day'# Singapore])),"")</f>
        <v>11.233988292663675</v>
      </c>
      <c r="BW48" s="11">
        <f ca="1">IF(AND(ISNUMBER(tblData[Singapore]),tblData[Dates]&gt;=StartDt2Singapore),(tblData[[#This Row],[Singapore LogiP(t)]]-tblData[[#This Row],[Singapore]])^2,"")</f>
        <v>6685.6806705242625</v>
      </c>
      <c r="BX48" s="20">
        <f ca="1">IF(ISNUMBER(tblData[Day'# Singapore]),tblData[Singapore LogiP(t)]/SingaporePopscale,"")</f>
        <v>19.203398790878076</v>
      </c>
      <c r="BY48" s="95">
        <f ca="1">IF(AND(ISNUMBER(tblData[Singapore]),tblData[Dates]&gt;StartDt2Singapore),(tblData[Singapore]-AVERAGE(tblData[Singapore]))^2,"")</f>
        <v>4963110.3129565557</v>
      </c>
      <c r="BZ48" s="11">
        <f>tblData[[#This Row],[Dates]]-Singapore100dt+1</f>
        <v>15</v>
      </c>
      <c r="CA48" s="11" t="str">
        <f>IF(AND(tblData[Dates]&gt;StartDt2Generic,ISNUMBER(tblData[Day'# Generic])),betaGeneric/(deltaGeneric+betaPodeltaGeneric*EXP(-betaGeneric*tblData[Day'# Generic])),"")</f>
        <v/>
      </c>
      <c r="CB48" s="95" t="str">
        <f>IF(AND(ISNUMBER(tblData[Generic]),tblData[Dates]&gt;StartDt2Generic),(tblData[Generic LogiP(t)]-tblData[[#This Row],[Generic]])^2,"")</f>
        <v/>
      </c>
      <c r="CC48" s="11" t="str">
        <f>IF(AND(ISNUMBER(tblData[Day'# Generic]),tblData[Dates]&gt;StartDt2Generic),tblData[Generic LogiP(t)]/GenericPopscale,"")</f>
        <v/>
      </c>
      <c r="CD48" s="95" t="str">
        <f>IF(AND(ISNUMBER(tblData[Generic]),tblData[Dates]&gt;StartDt2Generic),(tblData[Generic]-AVERAGE(tblData[Generic]))^2,"")</f>
        <v/>
      </c>
      <c r="CE48" s="11">
        <f>tblData[[#This Row],[Dates]]-Generic100dt+1</f>
        <v>-13</v>
      </c>
      <c r="CF48"/>
      <c r="CG48" s="11"/>
      <c r="CH48" s="11" t="str">
        <f>IF(ISNUMBER(tblData[[#This Row],[Tests]]),tblData[[#This Row],[Tests]]-CH47,"")</f>
        <v/>
      </c>
      <c r="CI48" s="11" t="str">
        <f>IF(ISNUMBER(tblData[[#This Row],[NSW Under Investigation'']]),tblData[[#This Row],[NSW Under Investigation'']]-CG47,"")</f>
        <v/>
      </c>
      <c r="CJ48" s="11"/>
      <c r="CK48" s="11" t="str">
        <f>IF(AND(tblData[[#This Row],[NSW Test Day Number]]&gt;0,ISNUMBER(tblData[[#This Row],[NSW Test Day Number]])),betaTests/(deltaTests+betaPodeltaTests*EXP(-betaTests*tblData[[#This Row],[NSW Test Day Number]])),"")</f>
        <v/>
      </c>
      <c r="CL48" s="11" t="str">
        <f>IF(tblData[Tests]&gt;0,(tblData[[#This Row],[Tests]]-tblData[[#This Row],[NSW Test Logi]])^2,"")</f>
        <v/>
      </c>
      <c r="CM48" s="95" t="str">
        <f>IF(AND(ISNUMBER(tblData[Tests]),tblData[Dates]&gt;StartDt2Tests),(tblData[Tests]-AVERAGE(tblData[Tests]))^2,"")</f>
        <v/>
      </c>
      <c r="CN48" s="11" t="str">
        <f>IF(ISNUMBER(tblData[Tests]),tblData[Tests]/NSWpopscale/100,"")</f>
        <v/>
      </c>
      <c r="CO48" s="11" t="str">
        <f>IF(AND(tblData[[#This Row],[NSW Test Day Number]]&gt;0,ISNUMBER(tblData[[#This Row],[NSW Test Day Number]])),TestsLogestB*TestsLogestM^tblData[[#This Row],[NSW Test Day Number]],"")</f>
        <v/>
      </c>
      <c r="CP48" s="11" t="str">
        <f>IF(AND(tblData[[#This Row],[NSW Test Day Number]]&gt;0,ISNUMBER(tblData[Tests])),(tblData[Tests]-tblData[[#This Row],[NSW Test Per Capita]])^2,"")</f>
        <v/>
      </c>
      <c r="CQ48" s="20">
        <f ca="1">IF(AND(tblData[Day '# NSW]&gt;0,ISNUMBER(tblData[[#This Row],[Day '# NSW]])),NSWLogestB*NSWLogestM^tblData[[#This Row],[Day '# NSW]]/NSWpopscale,"")</f>
        <v>37.28870612447362</v>
      </c>
      <c r="CR48" s="39">
        <f ca="1">IF(AND(ISNUMBER(tblData[NSW]),tblData[Dates]&gt;StartDt2NSW),(tblData[NSW]/NSWpopscale-tblData[[#This Row],[NSW Cases LogEst]])^2,"")</f>
        <v>1045.7598955292262</v>
      </c>
      <c r="CS48" s="11">
        <v>34</v>
      </c>
      <c r="CT48" s="19">
        <f>IF(ISNUMBER(tblData[Taiwan]),tblData[Taiwan]/TaiwanPopscale,"")</f>
        <v>14.281344674289151</v>
      </c>
      <c r="CU48" s="11">
        <f ca="1">IF(tblData[[#This Row],[Dates]]&lt;StartDt2Taiwan,"",tblData[[#This Row],[Dates]]-TaiwanStart)</f>
        <v>37</v>
      </c>
      <c r="CV48" s="19">
        <f ca="1">IF(AND(tblData[Dates]&gt;StartDt2Taiwan,ISNUMBER(tblData[Days'# Taiwan])),betaTaiwan/(deltaTaiwan+betaPodeltaTaiwan*EXP(-betaTaiwan*tblData[Days'# Taiwan])),"")</f>
        <v>9.785775705875956</v>
      </c>
      <c r="CW48" s="95">
        <f ca="1">IF(AND(tblData[Dates]&gt;StartDt2Taiwan,ISNUMBER(tblData[Taiwan])),(tblData[[#This Row],[Taiwan LogiP(t)]]-tblData[[#This Row],[Taiwan]])^2,"")</f>
        <v>586.32865816614708</v>
      </c>
      <c r="CX48" s="20">
        <f ca="1">IF(AND(tblData[Dates]&gt;StartDt2Taiwan,ISNUMBER(tblData[Days'# Taiwan])),tblData[[#This Row],[Taiwan LogiP(t)]]/TaiwanPopscale,"")</f>
        <v>4.1104128164970515</v>
      </c>
      <c r="CY48" s="95">
        <f ca="1">IF(AND(ISNUMBER(tblData[Taiwan]),tblData[Dates]&gt;StartDt2Taiwan),(tblData[Taiwan]-AVERAGE(tblData[Taiwan]))^2,"")</f>
        <v>18373.536716647446</v>
      </c>
      <c r="CZ48" s="11">
        <f>tblData[[#This Row],[Dates]]-Taiwan100dt+1</f>
        <v>-26</v>
      </c>
      <c r="DA48">
        <v>1</v>
      </c>
      <c r="DB48" s="20">
        <f>IF(ISNUMBER(tblData[NZ]),tblData[NZ]/NZPopscale,"")</f>
        <v>1.9120458891013383</v>
      </c>
      <c r="DC48" s="11">
        <f ca="1">IF(tblData[[#This Row],[Dates]]&lt;StartDt2NZ,"",tblData[[#This Row],[Dates]]-NZStart)</f>
        <v>0</v>
      </c>
      <c r="DD48" s="20">
        <f ca="1">IF(AND(tblData[Dates]&gt;StartDt2NZ,ISNUMBER(tblData[Days'# NZ])),betaNZ/(deltaNZ+betaPodeltaNZ*EXP(-betaNZ*tblData[Days'# NZ])),"")</f>
        <v>0.6389765835282526</v>
      </c>
      <c r="DE48" s="95">
        <f ca="1">IF(AND(tblData[Dates]&gt;StartDt2NZ,ISNUMBER(tblData[NZ])),(tblData[[#This Row],[NZ LogiP(t)]]-tblData[[#This Row],[NZ]])^2,"")</f>
        <v>0.13033790724093278</v>
      </c>
      <c r="DF48" s="20">
        <f ca="1">IF(AND(tblData[Dates]&gt;StartDt2NZ,ISNUMBER(tblData[Days'# NZ])),tblData[[#This Row],[NZ LogiP(t)]]/NZPopscale,"")</f>
        <v>1.2217525497672133</v>
      </c>
      <c r="DG48" s="95">
        <f ca="1">IF(AND(ISNUMBER(tblData[NZ]),tblData[Dates]&gt;StartDt2NZ),(tblData[NZ]-AVERAGE(tblData[NZ]))^2,"")</f>
        <v>473260.60973370069</v>
      </c>
      <c r="DH48" s="11">
        <f>tblData[[#This Row],[Dates]]-NZ100dt+1</f>
        <v>-22</v>
      </c>
      <c r="DI48" s="39"/>
      <c r="DJ48" s="11"/>
      <c r="DM48" s="25"/>
      <c r="DP48"/>
      <c r="DV48" s="25"/>
      <c r="DW48"/>
      <c r="DZ48" s="25"/>
      <c r="EA48" s="25"/>
      <c r="EB48" s="25"/>
      <c r="EH48"/>
      <c r="EI48"/>
      <c r="EJ48"/>
      <c r="EK48"/>
      <c r="EQ48" s="25"/>
      <c r="ER48" s="25"/>
      <c r="ES48" s="25"/>
      <c r="ET48" s="25"/>
      <c r="FF48"/>
      <c r="FG48"/>
      <c r="FH48"/>
      <c r="FI48"/>
      <c r="FJ48" s="25"/>
      <c r="FK48" s="25"/>
      <c r="FM48" s="25"/>
      <c r="FN48"/>
      <c r="FO48" s="263" t="s">
        <v>48</v>
      </c>
      <c r="FP48" s="250">
        <v>43938.512118055558</v>
      </c>
      <c r="FQ48" s="156">
        <v>43855</v>
      </c>
      <c r="FR48" s="26">
        <v>43855</v>
      </c>
      <c r="FS48" s="211">
        <v>0</v>
      </c>
      <c r="FT48" s="44">
        <v>0.25869773723270162</v>
      </c>
      <c r="FU48" s="71">
        <v>4.983817601279238E-5</v>
      </c>
      <c r="FV48" s="73">
        <v>1.0000000000000009E-3</v>
      </c>
      <c r="FW48" s="214">
        <v>5190.7545165035635</v>
      </c>
      <c r="FX48" s="214">
        <v>1073.1305742250697</v>
      </c>
      <c r="FY48" s="214">
        <v>0.79958667145432616</v>
      </c>
      <c r="FZ48" s="213">
        <v>258.69768739452536</v>
      </c>
      <c r="GA48" s="213">
        <v>4.9838176012792383E-2</v>
      </c>
      <c r="GB48" s="243">
        <v>44042</v>
      </c>
      <c r="GC48" s="26" t="s">
        <v>2433</v>
      </c>
      <c r="GD48" s="214">
        <v>5190.7545165035635</v>
      </c>
      <c r="GE48" s="214">
        <v>6515</v>
      </c>
      <c r="GF48" s="73" t="s">
        <v>2434</v>
      </c>
      <c r="GG48" s="156">
        <v>43938</v>
      </c>
      <c r="GH48" s="26">
        <v>87</v>
      </c>
      <c r="GI48" s="26" t="s">
        <v>2435</v>
      </c>
      <c r="GJ48" s="25"/>
      <c r="GK48" s="62" t="s">
        <v>2436</v>
      </c>
      <c r="GM48" s="18" t="s">
        <v>2437</v>
      </c>
      <c r="GN48" s="11">
        <v>2568.6011670083585</v>
      </c>
      <c r="GO48" s="156"/>
      <c r="GP48" s="218"/>
      <c r="GQ48" s="156"/>
      <c r="GR48" s="25"/>
      <c r="GS48" s="25" t="s">
        <v>2432</v>
      </c>
      <c r="GT48" s="11">
        <v>5190.7545165035599</v>
      </c>
      <c r="GU48" s="12">
        <v>0.41778793376277307</v>
      </c>
      <c r="GV48" s="240">
        <v>43905</v>
      </c>
      <c r="GW48" s="162" t="s">
        <v>2387</v>
      </c>
      <c r="GX48" s="230">
        <v>-1334.0664549485327</v>
      </c>
      <c r="GY48" s="25" t="s">
        <v>569</v>
      </c>
      <c r="GZ48" s="25" t="s">
        <v>569</v>
      </c>
      <c r="HA48" t="s">
        <v>2437</v>
      </c>
      <c r="HK48" s="164">
        <v>43935</v>
      </c>
      <c r="HL48" s="60">
        <v>43935.833333333336</v>
      </c>
      <c r="HM48">
        <v>2870</v>
      </c>
      <c r="HN48">
        <v>142939</v>
      </c>
      <c r="HO48">
        <v>730</v>
      </c>
      <c r="HP48">
        <v>350</v>
      </c>
      <c r="HQ48" s="166">
        <f>IF(ISNUMBER(tblNSWKnown[[#This Row],[Unknown Locally]]),tblNSWKnown[[#This Row],[Known Locally]]+tblNSWKnown[[#This Row],[Unknown Locally]],"")</f>
        <v>1080</v>
      </c>
      <c r="HR48" s="25">
        <v>15</v>
      </c>
      <c r="HS48" s="166">
        <f>IF(ISNUMBER(tblNSWKnown[[#This Row],[Day '# NSW Unknown]]),betaNSWUnknown/(deltaNSWUnknown+betaPodeltaNSWUnknown*EXP(-betaNSWUnknown*tblNSWKnown[Day '# NSW Unknown])),"")</f>
        <v>1124.2270929229257</v>
      </c>
      <c r="HT48" s="166">
        <f>IF(ISNUMBER(tblNSWKnown[[#This Row],[Total Local]]),(tblNSWKnown[[#This Row],[Total Local]]-tblNSWKnown[[#This Row],[NSW Unknown Logi P(t)]])^2,"")</f>
        <v>1956.0357484131089</v>
      </c>
      <c r="HU48" s="166">
        <f>IF(ISNUMBER(tblNSWKnown[Total Local]),(tblNSWKnown[Total Local]-AVERAGE(tblNSWKnown[Total Local]))^2,"")</f>
        <v>51.080449826990957</v>
      </c>
      <c r="HV48" s="166"/>
    </row>
    <row r="49" spans="2:241" x14ac:dyDescent="0.25">
      <c r="B49" s="26">
        <v>43890</v>
      </c>
      <c r="C49">
        <v>0</v>
      </c>
      <c r="D49" s="25">
        <v>0</v>
      </c>
      <c r="E49">
        <v>4</v>
      </c>
      <c r="F49">
        <v>0</v>
      </c>
      <c r="G49">
        <v>9</v>
      </c>
      <c r="H49">
        <v>3</v>
      </c>
      <c r="I49">
        <v>0</v>
      </c>
      <c r="J49">
        <v>7</v>
      </c>
      <c r="K49">
        <v>2</v>
      </c>
      <c r="L49" s="11">
        <f>IF(ISNUMBER(tblData[[#This Row],[NSW]]),tblData[[#This Row],[New South Wales]]/NSWpopscale,"")</f>
        <v>4.9504950495049505</v>
      </c>
      <c r="M49" s="25">
        <v>1128</v>
      </c>
      <c r="N49" s="20">
        <f>IF(ISNUMBER(tblData[Italy]),tblData[Italy]/ItalyPopscale,"")</f>
        <v>186.49251880631562</v>
      </c>
      <c r="O49">
        <v>68</v>
      </c>
      <c r="P49" s="20">
        <f>IF(ISNUMBER(tblData[US]),tblData[US]/USPopscale,"")</f>
        <v>2.0654395270804424</v>
      </c>
      <c r="Q49">
        <v>3150</v>
      </c>
      <c r="R49" s="20">
        <f>IF(ISNUMBER(tblData[SKorea]),tblData[SKorea]/SKoreaPopscale,"")</f>
        <v>612.84046692607012</v>
      </c>
      <c r="S49">
        <v>23</v>
      </c>
      <c r="T49" s="20">
        <f>IF(ISNUMBER(tblData[United Kingdom]),tblData[United Kingdom]/UKPopscale,"")</f>
        <v>3.4617700180614088</v>
      </c>
      <c r="U49">
        <v>79356</v>
      </c>
      <c r="V49" s="20">
        <f>IF(ISNUMBER(tblData[China]),tblData[China]/ChinaPopscale,"")</f>
        <v>551.34224365095179</v>
      </c>
      <c r="W49" s="25">
        <f ca="1">IF(tblData[[#This Row],[Dates]]&lt;StartDt2China,"",tblData[[#This Row],[Dates]]-ChinaStart)</f>
        <v>38</v>
      </c>
      <c r="X49">
        <v>102</v>
      </c>
      <c r="Y49" s="20">
        <f>IF(ISNUMBER(tblData[Singapore]),tblData[Singapore]/SingaporePopscale,"")</f>
        <v>174.35897435897436</v>
      </c>
      <c r="Z49">
        <v>1</v>
      </c>
      <c r="AA49" s="20">
        <f>IF(AND(LEN(tblData[Generic])&gt;0,ISNUMBER(tblData[Generic])),tblData[Generic]/GenericPopscale,"")</f>
        <v>2.0408163265306123</v>
      </c>
      <c r="AB49" s="25">
        <f ca="1">IF(tblData[[#This Row],[Dates]]&lt;StartDt2Italy,"",tblData[[#This Row],[Dates]]-ItalyStart)</f>
        <v>30</v>
      </c>
      <c r="AC49" s="25">
        <f ca="1">IF(tblData[[#This Row],[Dates]]&lt;=StartDt2US,"",tblData[[#This Row],[Dates]]-USStart)</f>
        <v>38</v>
      </c>
      <c r="AD49" s="25">
        <f>IF(tblData[[#This Row],[Dates]]&lt;=SKoreaStart,"",tblData[[#This Row],[Dates]]-SKoreaStart)</f>
        <v>38</v>
      </c>
      <c r="AE49" s="25">
        <f ca="1">IF(tblData[[#This Row],[Dates]]&lt;=StartDt2UK,"",tblData[[#This Row],[Dates]]-UKStart)</f>
        <v>30</v>
      </c>
      <c r="AF49" s="25">
        <f ca="1">IF(tblData[[#This Row],[Dates]]&lt;StartDt2Singapore,"",tblData[[#This Row],[Dates]]-SingaporeStart)</f>
        <v>37</v>
      </c>
      <c r="AG49" s="25">
        <f>IF(tblData[[#This Row],[Dates]]&lt;StartDt2Generic,"",tblData[[#This Row],[Dates]]-GenericStart)</f>
        <v>0</v>
      </c>
      <c r="AH49">
        <f ca="1">IF(tblData[Dates]&gt;StartDt2Au,tblData[Dates]-AuStart,"")</f>
        <v>35</v>
      </c>
      <c r="AI49" s="25">
        <f>IF(AND(COUNTBLANK(tblData[[#This Row],[Australian Capital Territory]:[Western Australia]])&lt;1,tblData[New South Wales]&gt;=0),SUM(tblData[[#This Row],[Australian Capital Territory]:[Western Australia]]),"")</f>
        <v>25</v>
      </c>
      <c r="AJ49" s="12">
        <f>IF(ISNUMBER(tblData[Au]),tblData[Au]/AuPopScale,"")</f>
        <v>9.856489512695159</v>
      </c>
      <c r="AK49" s="11">
        <f ca="1">IF(ISNUMBER(tblData[[#This Row],[Day'# Aust]]),betaAu/(deltaAu+betaPodeltaAu*EXP(-betaAu*tblData[[#This Row],[Day'# Aust]])),"")</f>
        <v>12.834328929551067</v>
      </c>
      <c r="AL49" s="56">
        <f ca="1">IF(ISNUMBER(tblData[Day'# Aust]),tblData[Au LogiP(t)]/AuPopScale,"")</f>
        <v>5.0600571398640071</v>
      </c>
      <c r="AM49" s="11">
        <f ca="1">IF(AND(tblData[Dates]&gt;StartDt2Au,ISNUMBER(tblData[Au])),(tblData[[#This Row],[Au LogiP(t)]]-tblData[[#This Row],[Au]])^2,"")</f>
        <v>148.0035525943581</v>
      </c>
      <c r="AN49" s="11">
        <f ca="1">IF(AND(ISNUMBER(tblData[Au]),tblData[Dates]&gt;StartDt2Au),(tblData[Au]-AVERAGE(tblData[Au]))^2,"")</f>
        <v>5874854.9161</v>
      </c>
      <c r="AO49" s="11">
        <f>tblData[[#This Row],[Dates]]-Au100dt</f>
        <v>-15</v>
      </c>
      <c r="AP49" s="25">
        <f ca="1">IF(tblData[Dates]&gt;StartDt2NSW,tblData[Dates]-StartDt2NSW,"")</f>
        <v>35</v>
      </c>
      <c r="AQ49" s="25">
        <f>IF(tblData[[#This Row],[New South Wales]]&gt;0,tblData[[#This Row],[New South Wales]],"")</f>
        <v>4</v>
      </c>
      <c r="AR49" s="44">
        <f ca="1">IF(tblData[Dates]&gt;StartDt2NSW,betaNSW/(deltaNSW+betaPodeltaNSW*EXP(-betaNSW*tblData[[#This Row],[Day '# NSW]])),"")</f>
        <v>4.4913711875783848</v>
      </c>
      <c r="AS49" s="12">
        <f ca="1">IF(AND(ISNUMBER(tblData[NSW]),tblData[Dates]&gt;StartDt2NSW),(tblData[[#This Row],[NSW LogiP(t)]]-tblData[[#This Row],[NSW]])^2,"")</f>
        <v>0.24144564398219226</v>
      </c>
      <c r="AT49" s="12">
        <f ca="1">IF(AND(tblData[Dates]&gt;StartDt2NSW,ISNUMBER(tblData[Day'# Aust])),tblData[NSW LogiP(t)]/NSWpopscale,"")</f>
        <v>5.5586277073989905</v>
      </c>
      <c r="AU49" s="11">
        <f>tblData[[#This Row],[Dates]]-NSW100dt+1</f>
        <v>-12</v>
      </c>
      <c r="AV49" s="11">
        <f ca="1">IF(AND(ISNUMBER(tblData[NSW]),tblData[Dates]&gt;StartDt2NSW),(tblData[NSW]-AVERAGE(tblData[NSW]))^2,"")</f>
        <v>1188666.8676</v>
      </c>
      <c r="AW49" s="11">
        <f ca="1">IF(AND(tblData[Dates]&gt;StartDt2Italy,ISNUMBER(tblData[Days'# Italy])),betaItaly/(deltaItaly+betaPodeltaItaly*EXP(-betaItaly*tblData[Days'# Italy])),"")</f>
        <v>876.19432565454247</v>
      </c>
      <c r="AX49" s="11">
        <f ca="1">IF(AND(tblData[Dates]&gt;StartDt2Italy,ISNUMBER(tblData[Italy])),(tblData[[#This Row],[Italy LogiP(t)]]-tblData[[#This Row],[Italy]])^2,"")</f>
        <v>63406.097632570607</v>
      </c>
      <c r="AY49" s="11">
        <f ca="1">IF(AND(tblData[Dates]&gt;StartDt2Italy,ISNUMBER(tblData[Days'# Italy])),tblData[[#This Row],[Italy LogiP(t)]]/ItalyPopscale,"")</f>
        <v>144.86142442829504</v>
      </c>
      <c r="AZ49" s="39">
        <f ca="1">IF(AND(ISNUMBER(tblData[Italy]),tblData[Dates]&gt;StartDt2Italy),(tblData[Italy]-AVERAGE(tblData[Italy]))^2,"")</f>
        <v>4708787620.3676996</v>
      </c>
      <c r="BA49" s="11">
        <f>tblData[[#This Row],[Dates]]-Italy100dt+1</f>
        <v>3</v>
      </c>
      <c r="BB49" s="11">
        <f ca="1">IF(AND(tblData[Dates]&gt;StartDt2US,ISNUMBER(tblData[[#This Row],[Days'# US]])),betaUS/(deltaUS+betaPodeltaUS*EXP(-betaUS*tblData[Days'# US])),"")</f>
        <v>48.202590621924841</v>
      </c>
      <c r="BC49" s="11">
        <f ca="1">IF(AND(tblData[Dates]&gt;StartDt2US,ISNUMBER(tblData[US])),(tblData[[#This Row],[US LogiP(t)]]-tblData[US])^2,"")</f>
        <v>391.93741808309824</v>
      </c>
      <c r="BD49" s="20">
        <f ca="1">IF(AND(tblData[Dates]&gt;=StartDt2US,ISNUMBER(tblData[[#This Row],[Days'# US]])),tblData[[#This Row],[US LogiP(t)]]/USPopscale,"")</f>
        <v>1.4641108232088327</v>
      </c>
      <c r="BE49" s="126">
        <f ca="1">IF(AND(ISNUMBER(tblData[US]),tblData[Dates]&gt;StartDt2US),(tblData[US]-AVERAGE(tblData[US]))^2,"")</f>
        <v>50120125367.70713</v>
      </c>
      <c r="BF49" s="11">
        <f>tblData[[#This Row],[Dates]]-US100dt+1</f>
        <v>-14</v>
      </c>
      <c r="BG49" s="20">
        <f ca="1">IF(tblData[Dates]&gt;StartDt2SKorea,betaSKorea/(deltaSKorea+betaPodeltaSKorea*EXP(-betaSKorea*(tblData[Dates]-StartDt2SKorea))),"")</f>
        <v>3052.4931862967492</v>
      </c>
      <c r="BH49" s="20">
        <f ca="1">IF(AND(tblData[Dates]&gt;StartDt2SKorea,ISNUMBER(tblData[SKorea])),(tblData[[#This Row],[SKorea LogiP(t)]]-tblData[[#This Row],[SKorea]])^2,"")</f>
        <v>9507.578718560464</v>
      </c>
      <c r="BI49" s="20">
        <f ca="1">IF(tblData[Dates]&gt;StartDt2SKorea,tblData[[#This Row],[SKorea LogiP(t)]]/SKoreaPopscale,"")</f>
        <v>593.8702697075388</v>
      </c>
      <c r="BJ49" s="126">
        <f ca="1">IF(AND(ISNUMBER(tblData[SKorea]),tblData[Dates]&gt;StartDt2SKorea),(tblData[SKorea]-AVERAGE(tblData[SKorea]))^2,"")</f>
        <v>7152268.5309496326</v>
      </c>
      <c r="BK49" s="11">
        <f>tblData[[#This Row],[Dates]]-SKorea100dt+1</f>
        <v>7</v>
      </c>
      <c r="BL49" s="11">
        <f ca="1">IF(AND(tblData[Dates]&gt;StartDt2UK,ISNUMBER(tblData[Days'# UK])),betaUK/(deltaUK+betaPodeltaUK*EXP(-betaUK*tblData[Days'# UK])),"")</f>
        <v>52.719836205230884</v>
      </c>
      <c r="BM49" s="20">
        <f ca="1">IF(AND(tblData[Dates]&gt;StartDt2UK,ISNUMBER(tblData[United Kingdom])),(tblData[[#This Row],[UK LogiP(t)]]-tblData[[#This Row],[United Kingdom]])^2,"")</f>
        <v>883.26866406575243</v>
      </c>
      <c r="BN49" s="20">
        <f ca="1">IF(ISNUMBER(tblData[Days'# UK]),tblData[[#This Row],[UK LogiP(t)]]/UKPopscale,"")</f>
        <v>7.9349542753207229</v>
      </c>
      <c r="BO49" s="126">
        <f ca="1">IF(AND(ISNUMBER(tblData[United Kingdom]),tblData[Dates]&gt;StartDt2UK),(tblData[United Kingdom]-AVERAGE(tblData[United Kingdom]))^2,"")</f>
        <v>1439749557.9584653</v>
      </c>
      <c r="BP49" s="11">
        <f>tblData[[#This Row],[Dates]]-UK100dt</f>
        <v>-12</v>
      </c>
      <c r="BQ49" s="11">
        <f ca="1">IF(ISNUMBER(tblData[Days'# China]),betaChina/(deltaChina+betaPodeltaChina*EXP(-betaChina*tblData[Days'# China])),"")</f>
        <v>81178.199301936707</v>
      </c>
      <c r="BR49" s="11">
        <f ca="1">IF(ISNUMBER(tblData[China]),(tblData[[#This Row],[China LogiP(t)]]-tblData[[#This Row],[China]])^2,"")</f>
        <v>3320410.2959786234</v>
      </c>
      <c r="BS49" s="11">
        <f ca="1">tblData[[#This Row],[China LogiP(t)]]/ChinaPopscale</f>
        <v>564.00235065620643</v>
      </c>
      <c r="BT49" s="126">
        <f ca="1">IF(AND(ISNUMBER(tblData[China]),tblData[Dates]&gt;StartDt2China),(tblData[China]-AVERAGE(tblData[China]))^2,"")</f>
        <v>147659667.04498252</v>
      </c>
      <c r="BU49" s="11">
        <f>tblData[[#This Row],[Dates]]-China100dt</f>
        <v>27</v>
      </c>
      <c r="BV49" s="95">
        <f ca="1">IF(ISNUMBER(tblData[Day'# Singapore]),betaSingapore/(deltaSingapore+betaPodeltaSingapore*EXP(-betaSingapore*tblData[Day'# Singapore])),"")</f>
        <v>12.73694234637418</v>
      </c>
      <c r="BW49" s="11">
        <f ca="1">IF(AND(ISNUMBER(tblData[Singapore]),tblData[Dates]&gt;=StartDt2Singapore),(tblData[[#This Row],[Singapore LogiP(t)]]-tblData[[#This Row],[Singapore]])^2,"")</f>
        <v>7967.8934616745273</v>
      </c>
      <c r="BX49" s="20">
        <f ca="1">IF(ISNUMBER(tblData[Day'# Singapore]),tblData[Singapore LogiP(t)]/SingaporePopscale,"")</f>
        <v>21.772551019443043</v>
      </c>
      <c r="BY49" s="95">
        <f ca="1">IF(AND(ISNUMBER(tblData[Singapore]),tblData[Dates]&gt;StartDt2Singapore),(tblData[Singapore]-AVERAGE(tblData[Singapore]))^2,"")</f>
        <v>4923090.8423683206</v>
      </c>
      <c r="BZ49" s="11">
        <f>tblData[[#This Row],[Dates]]-Singapore100dt+1</f>
        <v>16</v>
      </c>
      <c r="CA49" s="11" t="str">
        <f>IF(AND(tblData[Dates]&gt;StartDt2Generic,ISNUMBER(tblData[Day'# Generic])),betaGeneric/(deltaGeneric+betaPodeltaGeneric*EXP(-betaGeneric*tblData[Day'# Generic])),"")</f>
        <v/>
      </c>
      <c r="CB49" s="95" t="str">
        <f>IF(AND(ISNUMBER(tblData[Generic]),tblData[Dates]&gt;StartDt2Generic),(tblData[Generic LogiP(t)]-tblData[[#This Row],[Generic]])^2,"")</f>
        <v/>
      </c>
      <c r="CC49" s="11" t="str">
        <f>IF(AND(ISNUMBER(tblData[Day'# Generic]),tblData[Dates]&gt;StartDt2Generic),tblData[Generic LogiP(t)]/GenericPopscale,"")</f>
        <v/>
      </c>
      <c r="CD49" s="95" t="str">
        <f>IF(AND(ISNUMBER(tblData[Generic]),tblData[Dates]&gt;StartDt2Generic),(tblData[Generic]-AVERAGE(tblData[Generic]))^2,"")</f>
        <v/>
      </c>
      <c r="CE49" s="11">
        <f>tblData[[#This Row],[Dates]]-Generic100dt+1</f>
        <v>-12</v>
      </c>
      <c r="CF49"/>
      <c r="CG49" s="11"/>
      <c r="CH49" s="11" t="str">
        <f>IF(ISNUMBER(tblData[[#This Row],[Tests]]),tblData[[#This Row],[Tests]]-CH48,"")</f>
        <v/>
      </c>
      <c r="CI49" s="11" t="str">
        <f>IF(ISNUMBER(tblData[[#This Row],[NSW Under Investigation'']]),tblData[[#This Row],[NSW Under Investigation'']]-CG48,"")</f>
        <v/>
      </c>
      <c r="CJ49" s="11"/>
      <c r="CK49" s="11" t="str">
        <f>IF(AND(tblData[[#This Row],[NSW Test Day Number]]&gt;0,ISNUMBER(tblData[[#This Row],[NSW Test Day Number]])),betaTests/(deltaTests+betaPodeltaTests*EXP(-betaTests*tblData[[#This Row],[NSW Test Day Number]])),"")</f>
        <v/>
      </c>
      <c r="CL49" s="11" t="str">
        <f>IF(tblData[Tests]&gt;0,(tblData[[#This Row],[Tests]]-tblData[[#This Row],[NSW Test Logi]])^2,"")</f>
        <v/>
      </c>
      <c r="CM49" s="95" t="str">
        <f>IF(AND(ISNUMBER(tblData[Tests]),tblData[Dates]&gt;StartDt2Tests),(tblData[Tests]-AVERAGE(tblData[Tests]))^2,"")</f>
        <v/>
      </c>
      <c r="CN49" s="11" t="str">
        <f>IF(ISNUMBER(tblData[Tests]),tblData[Tests]/NSWpopscale/100,"")</f>
        <v/>
      </c>
      <c r="CO49" s="11" t="str">
        <f>IF(AND(tblData[[#This Row],[NSW Test Day Number]]&gt;0,ISNUMBER(tblData[[#This Row],[NSW Test Day Number]])),TestsLogestB*TestsLogestM^tblData[[#This Row],[NSW Test Day Number]],"")</f>
        <v/>
      </c>
      <c r="CP49" s="11" t="str">
        <f>IF(AND(tblData[[#This Row],[NSW Test Day Number]]&gt;0,ISNUMBER(tblData[Tests])),(tblData[Tests]-tblData[[#This Row],[NSW Test Per Capita]])^2,"")</f>
        <v/>
      </c>
      <c r="CQ49" s="20">
        <f ca="1">IF(AND(tblData[Day '# NSW]&gt;0,ISNUMBER(tblData[[#This Row],[Day '# NSW]])),NSWLogestB*NSWLogestM^tblData[[#This Row],[Day '# NSW]]/NSWpopscale,"")</f>
        <v>41.053211026150379</v>
      </c>
      <c r="CR49" s="39">
        <f ca="1">IF(AND(ISNUMBER(tblData[NSW]),tblData[Dates]&gt;StartDt2NSW),(tblData[NSW]/NSWpopscale-tblData[[#This Row],[NSW Cases LogEst]])^2,"")</f>
        <v>1303.4061008903291</v>
      </c>
      <c r="CS49" s="11">
        <v>39</v>
      </c>
      <c r="CT49" s="19">
        <f>IF(ISNUMBER(tblData[Taiwan]),tblData[Taiwan]/TaiwanPopscale,"")</f>
        <v>16.381542420508143</v>
      </c>
      <c r="CU49" s="11">
        <f ca="1">IF(tblData[[#This Row],[Dates]]&lt;StartDt2Taiwan,"",tblData[[#This Row],[Dates]]-TaiwanStart)</f>
        <v>38</v>
      </c>
      <c r="CV49" s="19">
        <f ca="1">IF(AND(tblData[Dates]&gt;StartDt2Taiwan,ISNUMBER(tblData[Days'# Taiwan])),betaTaiwan/(deltaTaiwan+betaPodeltaTaiwan*EXP(-betaTaiwan*tblData[Days'# Taiwan])),"")</f>
        <v>11.300239002370256</v>
      </c>
      <c r="CW49" s="95">
        <f ca="1">IF(AND(tblData[Dates]&gt;StartDt2Taiwan,ISNUMBER(tblData[Taiwan])),(tblData[[#This Row],[Taiwan LogiP(t)]]-tblData[[#This Row],[Taiwan]])^2,"")</f>
        <v>767.27675932581008</v>
      </c>
      <c r="CX49" s="20">
        <f ca="1">IF(AND(tblData[Dates]&gt;StartDt2Taiwan,ISNUMBER(tblData[Days'# Taiwan])),tblData[[#This Row],[Taiwan LogiP(t)]]/TaiwanPopscale,"")</f>
        <v>4.7465472969027944</v>
      </c>
      <c r="CY49" s="95">
        <f ca="1">IF(AND(ISNUMBER(tblData[Taiwan]),tblData[Dates]&gt;StartDt2Taiwan),(tblData[Taiwan]-AVERAGE(tblData[Taiwan]))^2,"")</f>
        <v>17043.046520569016</v>
      </c>
      <c r="CZ49" s="11">
        <f>tblData[[#This Row],[Dates]]-Taiwan100dt+1</f>
        <v>-25</v>
      </c>
      <c r="DA49">
        <v>1</v>
      </c>
      <c r="DB49" s="20">
        <f>IF(ISNUMBER(tblData[NZ]),tblData[NZ]/NZPopscale,"")</f>
        <v>1.9120458891013383</v>
      </c>
      <c r="DC49" s="11">
        <f ca="1">IF(tblData[[#This Row],[Dates]]&lt;StartDt2NZ,"",tblData[[#This Row],[Dates]]-NZStart)</f>
        <v>1</v>
      </c>
      <c r="DD49" s="20">
        <f ca="1">IF(AND(tblData[Dates]&gt;StartDt2NZ,ISNUMBER(tblData[Days'# NZ])),betaNZ/(deltaNZ+betaPodeltaNZ*EXP(-betaNZ*tblData[Days'# NZ])),"")</f>
        <v>0.80652968943506376</v>
      </c>
      <c r="DE49" s="95">
        <f ca="1">IF(AND(tblData[Dates]&gt;StartDt2NZ,ISNUMBER(tblData[NZ])),(tblData[[#This Row],[NZ LogiP(t)]]-tblData[[#This Row],[NZ]])^2,"")</f>
        <v>3.7430761070092883E-2</v>
      </c>
      <c r="DF49" s="20">
        <f ca="1">IF(AND(tblData[Dates]&gt;StartDt2NZ,ISNUMBER(tblData[Days'# NZ])),tblData[[#This Row],[NZ LogiP(t)]]/NZPopscale,"")</f>
        <v>1.5421217771224929</v>
      </c>
      <c r="DG49" s="95">
        <f ca="1">IF(AND(ISNUMBER(tblData[NZ]),tblData[Dates]&gt;StartDt2NZ),(tblData[NZ]-AVERAGE(tblData[NZ]))^2,"")</f>
        <v>473260.60973370069</v>
      </c>
      <c r="DH49" s="11">
        <f>tblData[[#This Row],[Dates]]-NZ100dt+1</f>
        <v>-21</v>
      </c>
      <c r="DI49" s="39"/>
      <c r="DJ49" s="11"/>
      <c r="DM49" s="25"/>
      <c r="DP49"/>
      <c r="DV49" s="25"/>
      <c r="DW49"/>
      <c r="DZ49" s="25"/>
      <c r="EA49" s="25"/>
      <c r="EB49" s="25"/>
      <c r="EH49"/>
      <c r="EI49"/>
      <c r="EJ49"/>
      <c r="EK49"/>
      <c r="EQ49" s="25"/>
      <c r="ER49" s="25"/>
      <c r="ES49" s="25"/>
      <c r="ET49" s="25"/>
      <c r="FF49"/>
      <c r="FG49"/>
      <c r="FH49"/>
      <c r="FI49"/>
      <c r="FJ49" s="25"/>
      <c r="FK49" s="25"/>
      <c r="FM49" s="25"/>
      <c r="FN49"/>
      <c r="FO49" s="263" t="s">
        <v>48</v>
      </c>
      <c r="FP49" s="250">
        <v>43938.923587962963</v>
      </c>
      <c r="FQ49" s="156">
        <v>43855</v>
      </c>
      <c r="FR49" s="26">
        <v>43855</v>
      </c>
      <c r="FS49" s="211">
        <v>0</v>
      </c>
      <c r="FT49" s="44">
        <v>0.25869481409167844</v>
      </c>
      <c r="FU49" s="71">
        <v>4.9831662551566092E-5</v>
      </c>
      <c r="FV49" s="73">
        <v>1.0000000000000009E-3</v>
      </c>
      <c r="FW49" s="214">
        <v>5191.3743360254048</v>
      </c>
      <c r="FX49" s="214">
        <v>1073.2905337364782</v>
      </c>
      <c r="FY49" s="214">
        <v>0.79957082284218295</v>
      </c>
      <c r="FZ49" s="213">
        <v>258.69476426001563</v>
      </c>
      <c r="GA49" s="213">
        <v>4.983166255156609E-2</v>
      </c>
      <c r="GB49" s="243">
        <v>44042</v>
      </c>
      <c r="GC49" s="26" t="s">
        <v>2433</v>
      </c>
      <c r="GD49" s="214">
        <v>5191.3743360254048</v>
      </c>
      <c r="GE49" s="214">
        <v>6526</v>
      </c>
      <c r="GF49" s="73" t="s">
        <v>2434</v>
      </c>
      <c r="GG49" s="156">
        <v>43938</v>
      </c>
      <c r="GH49" s="26">
        <v>87</v>
      </c>
      <c r="GI49" s="26" t="s">
        <v>2435</v>
      </c>
      <c r="GJ49" s="25"/>
      <c r="GK49" s="62" t="s">
        <v>2436</v>
      </c>
      <c r="GM49" s="18" t="s">
        <v>2437</v>
      </c>
      <c r="GN49" s="11">
        <v>2572.9380223939443</v>
      </c>
      <c r="GO49" s="156"/>
      <c r="GP49" s="218"/>
      <c r="GQ49" s="156"/>
      <c r="GR49" s="25"/>
      <c r="GS49" s="25" t="s">
        <v>2497</v>
      </c>
      <c r="GT49" s="11">
        <v>5191.3743360254002</v>
      </c>
      <c r="GU49" s="12">
        <v>0.41714589484664466</v>
      </c>
      <c r="GV49" s="240">
        <v>43905</v>
      </c>
      <c r="GW49" s="162" t="s">
        <v>2387</v>
      </c>
      <c r="GX49" s="230">
        <v>-1344.4513865447661</v>
      </c>
      <c r="GY49" s="25" t="s">
        <v>569</v>
      </c>
      <c r="GZ49" s="25" t="s">
        <v>569</v>
      </c>
      <c r="HA49" t="s">
        <v>2437</v>
      </c>
      <c r="HK49" s="164">
        <v>43936</v>
      </c>
      <c r="HL49" s="60">
        <v>43936.833333333336</v>
      </c>
      <c r="HM49">
        <v>2886</v>
      </c>
      <c r="HN49">
        <v>144228</v>
      </c>
      <c r="HO49">
        <v>738</v>
      </c>
      <c r="HP49">
        <v>351</v>
      </c>
      <c r="HQ49" s="166">
        <f>IF(ISNUMBER(tblNSWKnown[[#This Row],[Unknown Locally]]),tblNSWKnown[[#This Row],[Known Locally]]+tblNSWKnown[[#This Row],[Unknown Locally]],"")</f>
        <v>1089</v>
      </c>
      <c r="HR49" s="25">
        <v>16</v>
      </c>
      <c r="HS49" s="166">
        <f>IF(ISNUMBER(tblNSWKnown[[#This Row],[Day '# NSW Unknown]]),betaNSWUnknown/(deltaNSWUnknown+betaPodeltaNSWUnknown*EXP(-betaNSWUnknown*tblNSWKnown[Day '# NSW Unknown])),"")</f>
        <v>1132.920643532907</v>
      </c>
      <c r="HT49" s="166">
        <f>IF(ISNUMBER(tblNSWKnown[[#This Row],[Total Local]]),(tblNSWKnown[[#This Row],[Total Local]]-tblNSWKnown[[#This Row],[NSW Unknown Logi P(t)]])^2,"")</f>
        <v>1929.0229283446836</v>
      </c>
      <c r="HU49" s="166">
        <f>IF(ISNUMBER(tblNSWKnown[Total Local]),(tblNSWKnown[Total Local]-AVERAGE(tblNSWKnown[Total Local]))^2,"")</f>
        <v>260.72750865052205</v>
      </c>
      <c r="HV49" s="166"/>
    </row>
    <row r="50" spans="2:241" x14ac:dyDescent="0.25">
      <c r="B50" s="26">
        <v>43891</v>
      </c>
      <c r="C50">
        <v>0</v>
      </c>
      <c r="D50" s="25">
        <v>0</v>
      </c>
      <c r="E50">
        <v>6</v>
      </c>
      <c r="F50">
        <v>0</v>
      </c>
      <c r="G50">
        <v>9</v>
      </c>
      <c r="H50">
        <v>3</v>
      </c>
      <c r="I50">
        <v>0</v>
      </c>
      <c r="J50">
        <v>7</v>
      </c>
      <c r="K50">
        <v>2</v>
      </c>
      <c r="L50" s="11">
        <f>IF(ISNUMBER(tblData[[#This Row],[NSW]]),tblData[[#This Row],[New South Wales]]/NSWpopscale,"")</f>
        <v>7.4257425742574252</v>
      </c>
      <c r="M50" s="25">
        <v>1694</v>
      </c>
      <c r="N50" s="20">
        <f>IF(ISNUMBER(tblData[Italy]),tblData[Italy]/ItalyPopscale,"")</f>
        <v>280.06943870381087</v>
      </c>
      <c r="O50">
        <v>74</v>
      </c>
      <c r="P50" s="20">
        <f>IF(ISNUMBER(tblData[US]),tblData[US]/USPopscale,"")</f>
        <v>2.2476841912345993</v>
      </c>
      <c r="Q50">
        <v>3736</v>
      </c>
      <c r="R50" s="20">
        <f>IF(ISNUMBER(tblData[SKorea]),tblData[SKorea]/SKoreaPopscale,"")</f>
        <v>726.84824902723744</v>
      </c>
      <c r="S50">
        <v>36</v>
      </c>
      <c r="T50" s="20">
        <f>IF(ISNUMBER(tblData[United Kingdom]),tblData[United Kingdom]/UKPopscale,"")</f>
        <v>5.4184226369656834</v>
      </c>
      <c r="U50">
        <v>79932</v>
      </c>
      <c r="V50" s="20">
        <f>IF(ISNUMBER(tblData[China]),tblData[China]/ChinaPopscale,"")</f>
        <v>555.34412293346293</v>
      </c>
      <c r="W50" s="25">
        <f ca="1">IF(tblData[[#This Row],[Dates]]&lt;StartDt2China,"",tblData[[#This Row],[Dates]]-ChinaStart)</f>
        <v>39</v>
      </c>
      <c r="X50">
        <v>106</v>
      </c>
      <c r="Y50" s="20">
        <f>IF(ISNUMBER(tblData[Singapore]),tblData[Singapore]/SingaporePopscale,"")</f>
        <v>181.19658119658121</v>
      </c>
      <c r="Z50">
        <v>1</v>
      </c>
      <c r="AA50" s="20">
        <f>IF(AND(LEN(tblData[Generic])&gt;0,ISNUMBER(tblData[Generic])),tblData[Generic]/GenericPopscale,"")</f>
        <v>2.0408163265306123</v>
      </c>
      <c r="AB50" s="25">
        <f ca="1">IF(tblData[[#This Row],[Dates]]&lt;StartDt2Italy,"",tblData[[#This Row],[Dates]]-ItalyStart)</f>
        <v>31</v>
      </c>
      <c r="AC50" s="25">
        <f ca="1">IF(tblData[[#This Row],[Dates]]&lt;=StartDt2US,"",tblData[[#This Row],[Dates]]-USStart)</f>
        <v>39</v>
      </c>
      <c r="AD50" s="25">
        <f>IF(tblData[[#This Row],[Dates]]&lt;=SKoreaStart,"",tblData[[#This Row],[Dates]]-SKoreaStart)</f>
        <v>39</v>
      </c>
      <c r="AE50" s="25">
        <f ca="1">IF(tblData[[#This Row],[Dates]]&lt;=StartDt2UK,"",tblData[[#This Row],[Dates]]-UKStart)</f>
        <v>31</v>
      </c>
      <c r="AF50" s="25">
        <f ca="1">IF(tblData[[#This Row],[Dates]]&lt;StartDt2Singapore,"",tblData[[#This Row],[Dates]]-SingaporeStart)</f>
        <v>38</v>
      </c>
      <c r="AG50" s="25">
        <f>IF(tblData[[#This Row],[Dates]]&lt;StartDt2Generic,"",tblData[[#This Row],[Dates]]-GenericStart)</f>
        <v>1</v>
      </c>
      <c r="AH50">
        <f ca="1">IF(tblData[Dates]&gt;StartDt2Au,tblData[Dates]-AuStart,"")</f>
        <v>36</v>
      </c>
      <c r="AI50" s="25">
        <f>IF(AND(COUNTBLANK(tblData[[#This Row],[Australian Capital Territory]:[Western Australia]])&lt;1,tblData[New South Wales]&gt;=0),SUM(tblData[[#This Row],[Australian Capital Territory]:[Western Australia]]),"")</f>
        <v>27</v>
      </c>
      <c r="AJ50" s="12">
        <f>IF(ISNUMBER(tblData[Au]),tblData[Au]/AuPopScale,"")</f>
        <v>10.645008673710771</v>
      </c>
      <c r="AK50" s="11">
        <f ca="1">IF(ISNUMBER(tblData[[#This Row],[Day'# Aust]]),betaAu/(deltaAu+betaPodeltaAu*EXP(-betaAu*tblData[[#This Row],[Day'# Aust]])),"")</f>
        <v>16.083758213976914</v>
      </c>
      <c r="AL50" s="56">
        <f ca="1">IF(ISNUMBER(tblData[Day'# Aust]),tblData[Au LogiP(t)]/AuPopScale,"")</f>
        <v>6.3411757664315225</v>
      </c>
      <c r="AM50" s="11">
        <f ca="1">IF(AND(tblData[Dates]&gt;StartDt2Au,ISNUMBER(tblData[Au])),(tblData[[#This Row],[Au LogiP(t)]]-tblData[[#This Row],[Au]])^2,"")</f>
        <v>119.16433473091649</v>
      </c>
      <c r="AN50" s="11">
        <f ca="1">IF(AND(ISNUMBER(tblData[Au]),tblData[Dates]&gt;StartDt2Au),(tblData[Au]-AVERAGE(tblData[Au]))^2,"")</f>
        <v>5865163.6760999998</v>
      </c>
      <c r="AO50" s="11">
        <f>tblData[[#This Row],[Dates]]-Au100dt</f>
        <v>-14</v>
      </c>
      <c r="AP50" s="25">
        <f ca="1">IF(tblData[Dates]&gt;StartDt2NSW,tblData[Dates]-StartDt2NSW,"")</f>
        <v>36</v>
      </c>
      <c r="AQ50" s="25">
        <f>IF(tblData[[#This Row],[New South Wales]]&gt;0,tblData[[#This Row],[New South Wales]],"")</f>
        <v>6</v>
      </c>
      <c r="AR50" s="44">
        <f ca="1">IF(tblData[Dates]&gt;StartDt2NSW,betaNSW/(deltaNSW+betaPodeltaNSW*EXP(-betaNSW*tblData[[#This Row],[Day '# NSW]])),"")</f>
        <v>5.6748856478734648</v>
      </c>
      <c r="AS50" s="12">
        <f ca="1">IF(AND(ISNUMBER(tblData[NSW]),tblData[Dates]&gt;StartDt2NSW),(tblData[[#This Row],[NSW LogiP(t)]]-tblData[[#This Row],[NSW]])^2,"")</f>
        <v>0.1056993419586567</v>
      </c>
      <c r="AT50" s="12">
        <f ca="1">IF(AND(tblData[Dates]&gt;StartDt2NSW,ISNUMBER(tblData[Day'# Aust])),tblData[NSW LogiP(t)]/NSWpopscale,"")</f>
        <v>7.0233733265760696</v>
      </c>
      <c r="AU50" s="11">
        <f>tblData[[#This Row],[Dates]]-NSW100dt+1</f>
        <v>-11</v>
      </c>
      <c r="AV50" s="11">
        <f ca="1">IF(AND(ISNUMBER(tblData[NSW]),tblData[Dates]&gt;StartDt2NSW),(tblData[NSW]-AVERAGE(tblData[NSW]))^2,"")</f>
        <v>1184309.8276</v>
      </c>
      <c r="AW50" s="11">
        <f ca="1">IF(AND(tblData[Dates]&gt;StartDt2Italy,ISNUMBER(tblData[Days'# Italy])),betaItaly/(deltaItaly+betaPodeltaItaly*EXP(-betaItaly*tblData[Days'# Italy])),"")</f>
        <v>1126.8789637854879</v>
      </c>
      <c r="AX50" s="11">
        <f ca="1">IF(AND(tblData[Dates]&gt;StartDt2Italy,ISNUMBER(tblData[Italy])),(tblData[[#This Row],[Italy LogiP(t)]]-tblData[[#This Row],[Italy]])^2,"")</f>
        <v>321626.2697170219</v>
      </c>
      <c r="AY50" s="11">
        <f ca="1">IF(AND(tblData[Dates]&gt;StartDt2Italy,ISNUMBER(tblData[Days'# Italy])),tblData[[#This Row],[Italy LogiP(t)]]/ItalyPopscale,"")</f>
        <v>186.30717761188527</v>
      </c>
      <c r="AZ50" s="39">
        <f ca="1">IF(AND(ISNUMBER(tblData[Italy]),tblData[Dates]&gt;StartDt2Italy),(tblData[Italy]-AVERAGE(tblData[Italy]))^2,"")</f>
        <v>4631429449.9421673</v>
      </c>
      <c r="BA50" s="11">
        <f>tblData[[#This Row],[Dates]]-Italy100dt+1</f>
        <v>4</v>
      </c>
      <c r="BB50" s="11">
        <f ca="1">IF(AND(tblData[Dates]&gt;StartDt2US,ISNUMBER(tblData[[#This Row],[Days'# US]])),betaUS/(deltaUS+betaPodeltaUS*EXP(-betaUS*tblData[Days'# US])),"")</f>
        <v>64.017882719942193</v>
      </c>
      <c r="BC50" s="11">
        <f ca="1">IF(AND(tblData[Dates]&gt;StartDt2US,ISNUMBER(tblData[US])),(tblData[[#This Row],[US LogiP(t)]]-tblData[US])^2,"")</f>
        <v>99.642665392828661</v>
      </c>
      <c r="BD50" s="20">
        <f ca="1">IF(AND(tblData[Dates]&gt;=StartDt2US,ISNUMBER(tblData[[#This Row],[Days'# US]])),tblData[[#This Row],[US LogiP(t)]]/USPopscale,"")</f>
        <v>1.9444862560260094</v>
      </c>
      <c r="BE50" s="126">
        <f ca="1">IF(AND(ISNUMBER(tblData[US]),tblData[Dates]&gt;StartDt2US),(tblData[US]-AVERAGE(tblData[US]))^2,"")</f>
        <v>50117438900.765953</v>
      </c>
      <c r="BF50" s="11">
        <f>tblData[[#This Row],[Dates]]-US100dt+1</f>
        <v>-13</v>
      </c>
      <c r="BG50" s="20">
        <f ca="1">IF(tblData[Dates]&gt;StartDt2SKorea,betaSKorea/(deltaSKorea+betaPodeltaSKorea*EXP(-betaSKorea*(tblData[Dates]-StartDt2SKorea))),"")</f>
        <v>3445.3425613681361</v>
      </c>
      <c r="BH50" s="20">
        <f ca="1">IF(AND(tblData[Dates]&gt;StartDt2SKorea,ISNUMBER(tblData[SKorea])),(tblData[[#This Row],[SKorea LogiP(t)]]-tblData[[#This Row],[SKorea]])^2,"")</f>
        <v>84481.746632035734</v>
      </c>
      <c r="BI50" s="20">
        <f ca="1">IF(tblData[Dates]&gt;StartDt2SKorea,tblData[[#This Row],[SKorea LogiP(t)]]/SKoreaPopscale,"")</f>
        <v>670.30010921559074</v>
      </c>
      <c r="BJ50" s="126">
        <f ca="1">IF(AND(ISNUMBER(tblData[SKorea]),tblData[Dates]&gt;StartDt2SKorea),(tblData[SKorea]-AVERAGE(tblData[SKorea]))^2,"")</f>
        <v>4361299.9034986533</v>
      </c>
      <c r="BK50" s="11">
        <f>tblData[[#This Row],[Dates]]-SKorea100dt+1</f>
        <v>8</v>
      </c>
      <c r="BL50" s="11">
        <f ca="1">IF(AND(tblData[Dates]&gt;StartDt2UK,ISNUMBER(tblData[Days'# UK])),betaUK/(deltaUK+betaPodeltaUK*EXP(-betaUK*tblData[Days'# UK])),"")</f>
        <v>65.242541131623071</v>
      </c>
      <c r="BM50" s="20">
        <f ca="1">IF(AND(tblData[Dates]&gt;StartDt2UK,ISNUMBER(tblData[United Kingdom])),(tblData[[#This Row],[UK LogiP(t)]]-tblData[[#This Row],[United Kingdom]])^2,"")</f>
        <v>855.12621183466706</v>
      </c>
      <c r="BN50" s="20">
        <f ca="1">IF(ISNUMBER(tblData[Days'# UK]),tblData[[#This Row],[UK LogiP(t)]]/UKPopscale,"")</f>
        <v>9.8197683822430868</v>
      </c>
      <c r="BO50" s="126">
        <f ca="1">IF(AND(ISNUMBER(tblData[United Kingdom]),tblData[Dates]&gt;StartDt2UK),(tblData[United Kingdom]-AVERAGE(tblData[United Kingdom]))^2,"")</f>
        <v>1438763182.1286781</v>
      </c>
      <c r="BP50" s="11">
        <f>tblData[[#This Row],[Dates]]-UK100dt</f>
        <v>-11</v>
      </c>
      <c r="BQ50" s="11">
        <f ca="1">IF(ISNUMBER(tblData[Days'# China]),betaChina/(deltaChina+betaPodeltaChina*EXP(-betaChina*tblData[Days'# China])),"")</f>
        <v>81364.120955529055</v>
      </c>
      <c r="BR50" s="11">
        <f ca="1">IF(ISNUMBER(tblData[China]),(tblData[[#This Row],[China LogiP(t)]]-tblData[[#This Row],[China]])^2,"")</f>
        <v>2050970.431265454</v>
      </c>
      <c r="BS50" s="11">
        <f ca="1">tblData[[#This Row],[China LogiP(t)]]/ChinaPopscale</f>
        <v>565.29407984662555</v>
      </c>
      <c r="BT50" s="126">
        <f ca="1">IF(AND(ISNUMBER(tblData[China]),tblData[Dates]&gt;StartDt2China),(tblData[China]-AVERAGE(tblData[China]))^2,"")</f>
        <v>161990004.92733547</v>
      </c>
      <c r="BU50" s="11">
        <f>tblData[[#This Row],[Dates]]-China100dt</f>
        <v>28</v>
      </c>
      <c r="BV50" s="95">
        <f ca="1">IF(ISNUMBER(tblData[Day'# Singapore]),betaSingapore/(deltaSingapore+betaPodeltaSingapore*EXP(-betaSingapore*tblData[Day'# Singapore])),"")</f>
        <v>14.440889328083829</v>
      </c>
      <c r="BW50" s="11">
        <f ca="1">IF(AND(ISNUMBER(tblData[Singapore]),tblData[Dates]&gt;=StartDt2Singapore),(tblData[[#This Row],[Singapore LogiP(t)]]-tblData[[#This Row],[Singapore]])^2,"")</f>
        <v>8383.070747032194</v>
      </c>
      <c r="BX50" s="20">
        <f ca="1">IF(ISNUMBER(tblData[Day'# Singapore]),tblData[Singapore LogiP(t)]/SingaporePopscale,"")</f>
        <v>24.685280902707401</v>
      </c>
      <c r="BY50" s="95">
        <f ca="1">IF(AND(ISNUMBER(tblData[Singapore]),tblData[Dates]&gt;StartDt2Singapore),(tblData[Singapore]-AVERAGE(tblData[Singapore]))^2,"")</f>
        <v>4905356.4109957721</v>
      </c>
      <c r="BZ50" s="11">
        <f>tblData[[#This Row],[Dates]]-Singapore100dt+1</f>
        <v>17</v>
      </c>
      <c r="CA50" s="11">
        <f>IF(AND(tblData[Dates]&gt;StartDt2Generic,ISNUMBER(tblData[Day'# Generic])),betaGeneric/(deltaGeneric+betaPodeltaGeneric*EXP(-betaGeneric*tblData[Day'# Generic])),"")</f>
        <v>69.701279432358803</v>
      </c>
      <c r="CB50" s="95">
        <f>IF(AND(ISNUMBER(tblData[Generic]),tblData[Dates]&gt;StartDt2Generic),(tblData[Generic LogiP(t)]-tblData[[#This Row],[Generic]])^2,"")</f>
        <v>4719.865795643047</v>
      </c>
      <c r="CC50" s="11">
        <f>IF(AND(ISNUMBER(tblData[Day'# Generic]),tblData[Dates]&gt;StartDt2Generic),tblData[Generic LogiP(t)]/GenericPopscale,"")</f>
        <v>142.24750904563021</v>
      </c>
      <c r="CD50" s="95">
        <f>IF(AND(ISNUMBER(tblData[Generic]),tblData[Dates]&gt;StartDt2Generic),(tblData[Generic]-AVERAGE(tblData[Generic]))^2,"")</f>
        <v>43990158.288520709</v>
      </c>
      <c r="CE50" s="11">
        <f>tblData[[#This Row],[Dates]]-Generic100dt+1</f>
        <v>-11</v>
      </c>
      <c r="CF50"/>
      <c r="CG50" s="11"/>
      <c r="CH50" s="11" t="str">
        <f>IF(ISNUMBER(tblData[[#This Row],[Tests]]),tblData[[#This Row],[Tests]]-CH49,"")</f>
        <v/>
      </c>
      <c r="CI50" s="11" t="str">
        <f>IF(ISNUMBER(tblData[[#This Row],[NSW Under Investigation'']]),tblData[[#This Row],[NSW Under Investigation'']]-CG49,"")</f>
        <v/>
      </c>
      <c r="CJ50" s="11"/>
      <c r="CK50" s="11" t="str">
        <f>IF(AND(tblData[[#This Row],[NSW Test Day Number]]&gt;0,ISNUMBER(tblData[[#This Row],[NSW Test Day Number]])),betaTests/(deltaTests+betaPodeltaTests*EXP(-betaTests*tblData[[#This Row],[NSW Test Day Number]])),"")</f>
        <v/>
      </c>
      <c r="CL50" s="11" t="str">
        <f>IF(tblData[Tests]&gt;0,(tblData[[#This Row],[Tests]]-tblData[[#This Row],[NSW Test Logi]])^2,"")</f>
        <v/>
      </c>
      <c r="CM50" s="95" t="str">
        <f>IF(AND(ISNUMBER(tblData[Tests]),tblData[Dates]&gt;StartDt2Tests),(tblData[Tests]-AVERAGE(tblData[Tests]))^2,"")</f>
        <v/>
      </c>
      <c r="CN50" s="11" t="str">
        <f>IF(ISNUMBER(tblData[Tests]),tblData[Tests]/NSWpopscale/100,"")</f>
        <v/>
      </c>
      <c r="CO50" s="11" t="str">
        <f>IF(AND(tblData[[#This Row],[NSW Test Day Number]]&gt;0,ISNUMBER(tblData[[#This Row],[NSW Test Day Number]])),TestsLogestB*TestsLogestM^tblData[[#This Row],[NSW Test Day Number]],"")</f>
        <v/>
      </c>
      <c r="CP50" s="11" t="str">
        <f>IF(AND(tblData[[#This Row],[NSW Test Day Number]]&gt;0,ISNUMBER(tblData[Tests])),(tblData[Tests]-tblData[[#This Row],[NSW Test Per Capita]])^2,"")</f>
        <v/>
      </c>
      <c r="CQ50" s="20">
        <f ca="1">IF(AND(tblData[Day '# NSW]&gt;0,ISNUMBER(tblData[[#This Row],[Day '# NSW]])),NSWLogestB*NSWLogestM^tblData[[#This Row],[Day '# NSW]]/NSWpopscale,"")</f>
        <v>45.197763900192903</v>
      </c>
      <c r="CR50" s="39">
        <f ca="1">IF(AND(ISNUMBER(tblData[NSW]),tblData[Dates]&gt;StartDt2NSW),(tblData[NSW]/NSWpopscale-tblData[[#This Row],[NSW Cases LogEst]])^2,"")</f>
        <v>1426.7255950469244</v>
      </c>
      <c r="CS50" s="11">
        <v>40</v>
      </c>
      <c r="CT50" s="19">
        <f>IF(ISNUMBER(tblData[Taiwan]),tblData[Taiwan]/TaiwanPopscale,"")</f>
        <v>16.801581969751943</v>
      </c>
      <c r="CU50" s="11">
        <f ca="1">IF(tblData[[#This Row],[Dates]]&lt;StartDt2Taiwan,"",tblData[[#This Row],[Dates]]-TaiwanStart)</f>
        <v>39</v>
      </c>
      <c r="CV50" s="19">
        <f ca="1">IF(AND(tblData[Dates]&gt;StartDt2Taiwan,ISNUMBER(tblData[Days'# Taiwan])),betaTaiwan/(deltaTaiwan+betaPodeltaTaiwan*EXP(-betaTaiwan*tblData[Days'# Taiwan])),"")</f>
        <v>13.041743072008774</v>
      </c>
      <c r="CW50" s="95">
        <f ca="1">IF(AND(tblData[Dates]&gt;StartDt2Taiwan,ISNUMBER(tblData[Taiwan])),(tblData[[#This Row],[Taiwan LogiP(t)]]-tblData[[#This Row],[Taiwan]])^2,"")</f>
        <v>726.74761659558692</v>
      </c>
      <c r="CX50" s="20">
        <f ca="1">IF(AND(tblData[Dates]&gt;StartDt2Taiwan,ISNUMBER(tblData[Days'# Taiwan])),tblData[[#This Row],[Taiwan LogiP(t)]]/TaiwanPopscale,"")</f>
        <v>5.4780478813199984</v>
      </c>
      <c r="CY50" s="95">
        <f ca="1">IF(AND(ISNUMBER(tblData[Taiwan]),tblData[Dates]&gt;StartDt2Taiwan),(tblData[Taiwan]-AVERAGE(tblData[Taiwan]))^2,"")</f>
        <v>16782.948481353327</v>
      </c>
      <c r="CZ50" s="11">
        <f>tblData[[#This Row],[Dates]]-Taiwan100dt+1</f>
        <v>-24</v>
      </c>
      <c r="DA50">
        <v>1</v>
      </c>
      <c r="DB50" s="20">
        <f>IF(ISNUMBER(tblData[NZ]),tblData[NZ]/NZPopscale,"")</f>
        <v>1.9120458891013383</v>
      </c>
      <c r="DC50" s="11">
        <f ca="1">IF(tblData[[#This Row],[Dates]]&lt;StartDt2NZ,"",tblData[[#This Row],[Dates]]-NZStart)</f>
        <v>2</v>
      </c>
      <c r="DD50" s="20">
        <f ca="1">IF(AND(tblData[Dates]&gt;StartDt2NZ,ISNUMBER(tblData[Days'# NZ])),betaNZ/(deltaNZ+betaPodeltaNZ*EXP(-betaNZ*tblData[Days'# NZ])),"")</f>
        <v>1.017988120760059</v>
      </c>
      <c r="DE50" s="95">
        <f ca="1">IF(AND(tblData[Dates]&gt;StartDt2NZ,ISNUMBER(tblData[NZ])),(tblData[[#This Row],[NZ LogiP(t)]]-tblData[[#This Row],[NZ]])^2,"")</f>
        <v>3.23572488478464E-4</v>
      </c>
      <c r="DF50" s="20">
        <f ca="1">IF(AND(tblData[Dates]&gt;StartDt2NZ,ISNUMBER(tblData[Days'# NZ])),tblData[[#This Row],[NZ LogiP(t)]]/NZPopscale,"")</f>
        <v>1.9464400014532675</v>
      </c>
      <c r="DG50" s="95">
        <f ca="1">IF(AND(ISNUMBER(tblData[NZ]),tblData[Dates]&gt;StartDt2NZ),(tblData[NZ]-AVERAGE(tblData[NZ]))^2,"")</f>
        <v>473260.60973370069</v>
      </c>
      <c r="DH50" s="11">
        <f>tblData[[#This Row],[Dates]]-NZ100dt+1</f>
        <v>-20</v>
      </c>
      <c r="DI50" s="39"/>
      <c r="DJ50" s="11"/>
      <c r="DM50" s="25"/>
      <c r="DP50"/>
      <c r="DV50" s="25"/>
      <c r="DW50"/>
      <c r="DZ50" s="25"/>
      <c r="EA50" s="25"/>
      <c r="EB50" s="25"/>
      <c r="EH50"/>
      <c r="EI50"/>
      <c r="EJ50"/>
      <c r="EK50"/>
      <c r="EQ50" s="25"/>
      <c r="ER50" s="25"/>
      <c r="ES50" s="25"/>
      <c r="ET50" s="25"/>
      <c r="FF50"/>
      <c r="FG50"/>
      <c r="FH50"/>
      <c r="FI50"/>
      <c r="FJ50" s="25"/>
      <c r="FK50" s="25"/>
      <c r="FM50" s="25"/>
      <c r="FN50"/>
      <c r="FO50" s="263" t="s">
        <v>48</v>
      </c>
      <c r="FP50" s="250">
        <v>43939.897465277776</v>
      </c>
      <c r="FQ50" s="156">
        <v>43855</v>
      </c>
      <c r="FR50" s="26">
        <v>43855</v>
      </c>
      <c r="FS50" s="211">
        <v>0</v>
      </c>
      <c r="FT50" s="44">
        <v>0.25831470393195116</v>
      </c>
      <c r="FU50" s="71">
        <v>4.9057633942315195E-5</v>
      </c>
      <c r="FV50" s="73">
        <v>1.0000000000000009E-3</v>
      </c>
      <c r="FW50" s="214">
        <v>5265.5353137432703</v>
      </c>
      <c r="FX50" s="214">
        <v>1076.8354444077556</v>
      </c>
      <c r="FY50" s="214">
        <v>0.80549032494989248</v>
      </c>
      <c r="FZ50" s="213">
        <v>258.314654874317</v>
      </c>
      <c r="GA50" s="213">
        <v>4.9057633942315194E-2</v>
      </c>
      <c r="GB50" s="243">
        <v>44042</v>
      </c>
      <c r="GC50" s="26" t="s">
        <v>2889</v>
      </c>
      <c r="GD50" s="214">
        <v>5265.5353137432703</v>
      </c>
      <c r="GE50" s="214">
        <v>6566</v>
      </c>
      <c r="GF50" s="73" t="s">
        <v>1689</v>
      </c>
      <c r="GG50" s="156">
        <v>43939</v>
      </c>
      <c r="GH50" s="26">
        <v>88</v>
      </c>
      <c r="GI50" s="26" t="s">
        <v>2890</v>
      </c>
      <c r="GJ50" s="25"/>
      <c r="GK50" s="62" t="s">
        <v>2891</v>
      </c>
      <c r="GM50" s="18" t="s">
        <v>2892</v>
      </c>
      <c r="GN50" s="11">
        <v>2588.7084056142567</v>
      </c>
      <c r="GO50" s="156"/>
      <c r="GP50" s="218"/>
      <c r="GQ50" s="156"/>
      <c r="GR50" s="25"/>
      <c r="GS50" s="25" t="s">
        <v>2888</v>
      </c>
      <c r="GT50" s="11">
        <v>5265.5353137432658</v>
      </c>
      <c r="GU50" s="12">
        <v>0.4159740208948875</v>
      </c>
      <c r="GV50" s="240">
        <v>43905</v>
      </c>
      <c r="GW50" s="162" t="s">
        <v>2387</v>
      </c>
      <c r="GX50" s="230">
        <v>-1308.5281958315591</v>
      </c>
      <c r="GY50" s="25" t="s">
        <v>569</v>
      </c>
      <c r="GZ50" s="25" t="s">
        <v>569</v>
      </c>
      <c r="HA50" s="25" t="s">
        <v>2892</v>
      </c>
      <c r="HK50" s="164">
        <v>43937</v>
      </c>
      <c r="HL50" s="60">
        <v>43937.833333333336</v>
      </c>
      <c r="HM50">
        <v>2897</v>
      </c>
      <c r="HN50">
        <v>147417</v>
      </c>
      <c r="HO50">
        <f>(HO51+HO49)/2</f>
        <v>754</v>
      </c>
      <c r="HP50" s="25">
        <f>(HP51+HP49)/2</f>
        <v>349</v>
      </c>
      <c r="HQ50" s="25">
        <f>(HQ51+HQ49)/2</f>
        <v>1103</v>
      </c>
      <c r="HR50" s="25">
        <v>17</v>
      </c>
      <c r="HS50" s="166">
        <f>IF(ISNUMBER(tblNSWKnown[[#This Row],[Day '# NSW Unknown]]),betaNSWUnknown/(deltaNSWUnknown+betaPodeltaNSWUnknown*EXP(-betaNSWUnknown*tblNSWKnown[Day '# NSW Unknown])),"")</f>
        <v>1140.1491621376301</v>
      </c>
      <c r="HT50" s="166">
        <f>IF(ISNUMBER(tblNSWKnown[[#This Row],[Total Local]]),(tblNSWKnown[[#This Row],[Total Local]]-tblNSWKnown[[#This Row],[NSW Unknown Logi P(t)]])^2,"")</f>
        <v>1380.0602475279318</v>
      </c>
      <c r="HU50" s="166">
        <f>IF(ISNUMBER(tblNSWKnown[Total Local]),(tblNSWKnown[Total Local]-AVERAGE(tblNSWKnown[Total Local]))^2,"")</f>
        <v>908.84515570934821</v>
      </c>
      <c r="HV50" s="166" t="s">
        <v>3686</v>
      </c>
    </row>
    <row r="51" spans="2:241" x14ac:dyDescent="0.25">
      <c r="B51" s="26">
        <v>43892</v>
      </c>
      <c r="C51">
        <v>0</v>
      </c>
      <c r="D51" s="25">
        <v>0</v>
      </c>
      <c r="E51">
        <v>6</v>
      </c>
      <c r="F51">
        <v>0</v>
      </c>
      <c r="G51">
        <v>9</v>
      </c>
      <c r="H51">
        <v>3</v>
      </c>
      <c r="I51">
        <v>1</v>
      </c>
      <c r="J51">
        <v>9</v>
      </c>
      <c r="K51">
        <v>2</v>
      </c>
      <c r="L51" s="11">
        <f>IF(ISNUMBER(tblData[[#This Row],[NSW]]),tblData[[#This Row],[New South Wales]]/NSWpopscale,"")</f>
        <v>7.4257425742574252</v>
      </c>
      <c r="M51" s="25">
        <v>2036</v>
      </c>
      <c r="N51" s="20">
        <f>IF(ISNUMBER(tblData[Italy]),tblData[Italy]/ItalyPopscale,"")</f>
        <v>336.61238323551294</v>
      </c>
      <c r="O51">
        <v>98</v>
      </c>
      <c r="P51" s="20">
        <f>IF(ISNUMBER(tblData[US]),tblData[US]/USPopscale,"")</f>
        <v>2.9766628478512263</v>
      </c>
      <c r="Q51">
        <v>4335</v>
      </c>
      <c r="R51" s="20">
        <f>IF(ISNUMBER(tblData[SKorea]),tblData[SKorea]/SKoreaPopscale,"")</f>
        <v>843.38521400778211</v>
      </c>
      <c r="S51">
        <v>40</v>
      </c>
      <c r="T51" s="20">
        <f>IF(ISNUMBER(tblData[United Kingdom]),tblData[United Kingdom]/UKPopscale,"")</f>
        <v>6.0204695966285371</v>
      </c>
      <c r="U51">
        <v>80136</v>
      </c>
      <c r="V51" s="20">
        <f>IF(ISNUMBER(tblData[China]),tblData[China]/ChinaPopscale,"")</f>
        <v>556.7614551793522</v>
      </c>
      <c r="W51" s="25">
        <f ca="1">IF(tblData[[#This Row],[Dates]]&lt;StartDt2China,"",tblData[[#This Row],[Dates]]-ChinaStart)</f>
        <v>40</v>
      </c>
      <c r="X51">
        <v>108</v>
      </c>
      <c r="Y51" s="20">
        <f>IF(ISNUMBER(tblData[Singapore]),tblData[Singapore]/SingaporePopscale,"")</f>
        <v>184.61538461538461</v>
      </c>
      <c r="Z51">
        <v>1</v>
      </c>
      <c r="AA51" s="20">
        <f>IF(AND(LEN(tblData[Generic])&gt;0,ISNUMBER(tblData[Generic])),tblData[Generic]/GenericPopscale,"")</f>
        <v>2.0408163265306123</v>
      </c>
      <c r="AB51" s="25">
        <f ca="1">IF(tblData[[#This Row],[Dates]]&lt;StartDt2Italy,"",tblData[[#This Row],[Dates]]-ItalyStart)</f>
        <v>32</v>
      </c>
      <c r="AC51" s="25">
        <f ca="1">IF(tblData[[#This Row],[Dates]]&lt;=StartDt2US,"",tblData[[#This Row],[Dates]]-USStart)</f>
        <v>40</v>
      </c>
      <c r="AD51" s="25">
        <f>IF(tblData[[#This Row],[Dates]]&lt;=SKoreaStart,"",tblData[[#This Row],[Dates]]-SKoreaStart)</f>
        <v>40</v>
      </c>
      <c r="AE51" s="25">
        <f ca="1">IF(tblData[[#This Row],[Dates]]&lt;=StartDt2UK,"",tblData[[#This Row],[Dates]]-UKStart)</f>
        <v>32</v>
      </c>
      <c r="AF51" s="25">
        <f ca="1">IF(tblData[[#This Row],[Dates]]&lt;StartDt2Singapore,"",tblData[[#This Row],[Dates]]-SingaporeStart)</f>
        <v>39</v>
      </c>
      <c r="AG51" s="25">
        <f>IF(tblData[[#This Row],[Dates]]&lt;StartDt2Generic,"",tblData[[#This Row],[Dates]]-GenericStart)</f>
        <v>2</v>
      </c>
      <c r="AH51">
        <f ca="1">IF(tblData[Dates]&gt;StartDt2Au,tblData[Dates]-AuStart,"")</f>
        <v>37</v>
      </c>
      <c r="AI51" s="25">
        <f>IF(AND(COUNTBLANK(tblData[[#This Row],[Australian Capital Territory]:[Western Australia]])&lt;1,tblData[New South Wales]&gt;=0),SUM(tblData[[#This Row],[Australian Capital Territory]:[Western Australia]]),"")</f>
        <v>30</v>
      </c>
      <c r="AJ51" s="12">
        <f>IF(ISNUMBER(tblData[Au]),tblData[Au]/AuPopScale,"")</f>
        <v>11.827787415234191</v>
      </c>
      <c r="AK51" s="11">
        <f ca="1">IF(ISNUMBER(tblData[[#This Row],[Day'# Aust]]),betaAu/(deltaAu+betaPodeltaAu*EXP(-betaAu*tblData[[#This Row],[Day'# Aust]])),"")</f>
        <v>20.153386160503846</v>
      </c>
      <c r="AL51" s="56">
        <f ca="1">IF(ISNUMBER(tblData[Day'# Aust]),tblData[Au LogiP(t)]/AuPopScale,"")</f>
        <v>7.945665573452076</v>
      </c>
      <c r="AM51" s="11">
        <f ca="1">IF(AND(tblData[Dates]&gt;StartDt2Au,ISNUMBER(tblData[Au])),(tblData[[#This Row],[Au LogiP(t)]]-tblData[[#This Row],[Au]])^2,"")</f>
        <v>96.955804104157195</v>
      </c>
      <c r="AN51" s="11">
        <f ca="1">IF(AND(ISNUMBER(tblData[Au]),tblData[Dates]&gt;StartDt2Au),(tblData[Au]-AVERAGE(tblData[Au]))^2,"")</f>
        <v>5850641.8160999995</v>
      </c>
      <c r="AO51" s="11">
        <f>tblData[[#This Row],[Dates]]-Au100dt</f>
        <v>-13</v>
      </c>
      <c r="AP51" s="25">
        <f ca="1">IF(tblData[Dates]&gt;StartDt2NSW,tblData[Dates]-StartDt2NSW,"")</f>
        <v>37</v>
      </c>
      <c r="AQ51" s="25">
        <f>IF(tblData[[#This Row],[New South Wales]]&gt;0,tblData[[#This Row],[New South Wales]],"")</f>
        <v>6</v>
      </c>
      <c r="AR51" s="44">
        <f ca="1">IF(tblData[Dates]&gt;StartDt2NSW,betaNSW/(deltaNSW+betaPodeltaNSW*EXP(-betaNSW*tblData[[#This Row],[Day '# NSW]])),"")</f>
        <v>7.169513155018163</v>
      </c>
      <c r="AS51" s="12">
        <f ca="1">IF(AND(ISNUMBER(tblData[NSW]),tblData[Dates]&gt;StartDt2NSW),(tblData[[#This Row],[NSW LogiP(t)]]-tblData[[#This Row],[NSW]])^2,"")</f>
        <v>1.3677610197605377</v>
      </c>
      <c r="AT51" s="12">
        <f ca="1">IF(AND(tblData[Dates]&gt;StartDt2NSW,ISNUMBER(tblData[Day'# Aust])),tblData[NSW LogiP(t)]/NSWpopscale,"")</f>
        <v>8.873159845319508</v>
      </c>
      <c r="AU51" s="11">
        <f>tblData[[#This Row],[Dates]]-NSW100dt+1</f>
        <v>-10</v>
      </c>
      <c r="AV51" s="11">
        <f ca="1">IF(AND(ISNUMBER(tblData[NSW]),tblData[Dates]&gt;StartDt2NSW),(tblData[NSW]-AVERAGE(tblData[NSW]))^2,"")</f>
        <v>1184309.8276</v>
      </c>
      <c r="AW51" s="11">
        <f ca="1">IF(AND(tblData[Dates]&gt;StartDt2Italy,ISNUMBER(tblData[Days'# Italy])),betaItaly/(deltaItaly+betaPodeltaItaly*EXP(-betaItaly*tblData[Days'# Italy])),"")</f>
        <v>1448.6387182338983</v>
      </c>
      <c r="AX51" s="11">
        <f ca="1">IF(AND(tblData[Dates]&gt;StartDt2Italy,ISNUMBER(tblData[Italy])),(tblData[[#This Row],[Italy LogiP(t)]]-tblData[[#This Row],[Italy]])^2,"")</f>
        <v>344993.27531791787</v>
      </c>
      <c r="AY51" s="11">
        <f ca="1">IF(AND(tblData[Dates]&gt;StartDt2Italy,ISNUMBER(tblData[Days'# Italy])),tblData[[#This Row],[Italy LogiP(t)]]/ItalyPopscale,"")</f>
        <v>239.50379734378745</v>
      </c>
      <c r="AZ51" s="39">
        <f ca="1">IF(AND(ISNUMBER(tblData[Italy]),tblData[Dates]&gt;StartDt2Italy),(tblData[Italy]-AVERAGE(tblData[Italy]))^2,"")</f>
        <v>4584997063.1762104</v>
      </c>
      <c r="BA51" s="11">
        <f>tblData[[#This Row],[Dates]]-Italy100dt+1</f>
        <v>5</v>
      </c>
      <c r="BB51" s="11">
        <f ca="1">IF(AND(tblData[Dates]&gt;StartDt2US,ISNUMBER(tblData[[#This Row],[Days'# US]])),betaUS/(deltaUS+betaPodeltaUS*EXP(-betaUS*tblData[Days'# US])),"")</f>
        <v>85.021636991783794</v>
      </c>
      <c r="BC51" s="11">
        <f ca="1">IF(AND(tblData[Dates]&gt;StartDt2US,ISNUMBER(tblData[US])),(tblData[[#This Row],[US LogiP(t)]]-tblData[US])^2,"")</f>
        <v>168.43790637303482</v>
      </c>
      <c r="BD51" s="20">
        <f ca="1">IF(AND(tblData[Dates]&gt;=StartDt2US,ISNUMBER(tblData[[#This Row],[Days'# US]])),tblData[[#This Row],[US LogiP(t)]]/USPopscale,"")</f>
        <v>2.5824566132340436</v>
      </c>
      <c r="BE51" s="126">
        <f ca="1">IF(AND(ISNUMBER(tblData[US]),tblData[Dates]&gt;StartDt2US),(tblData[US]-AVERAGE(tblData[US]))^2,"")</f>
        <v>50106693753.001251</v>
      </c>
      <c r="BF51" s="11">
        <f>tblData[[#This Row],[Dates]]-US100dt+1</f>
        <v>-12</v>
      </c>
      <c r="BG51" s="20">
        <f ca="1">IF(tblData[Dates]&gt;StartDt2SKorea,betaSKorea/(deltaSKorea+betaPodeltaSKorea*EXP(-betaSKorea*(tblData[Dates]-StartDt2SKorea))),"")</f>
        <v>3861.5655470727825</v>
      </c>
      <c r="BH51" s="20">
        <f ca="1">IF(AND(tblData[Dates]&gt;StartDt2SKorea,ISNUMBER(tblData[SKorea])),(tblData[[#This Row],[SKorea LogiP(t)]]-tblData[[#This Row],[SKorea]])^2,"")</f>
        <v>224140.18121849376</v>
      </c>
      <c r="BI51" s="20">
        <f ca="1">IF(tblData[Dates]&gt;StartDt2SKorea,tblData[[#This Row],[SKorea LogiP(t)]]/SKoreaPopscale,"")</f>
        <v>751.27734378847913</v>
      </c>
      <c r="BJ51" s="126">
        <f ca="1">IF(AND(ISNUMBER(tblData[SKorea]),tblData[Dates]&gt;StartDt2SKorea),(tblData[SKorea]-AVERAGE(tblData[SKorea]))^2,"")</f>
        <v>2218230.5897731632</v>
      </c>
      <c r="BK51" s="11">
        <f>tblData[[#This Row],[Dates]]-SKorea100dt+1</f>
        <v>9</v>
      </c>
      <c r="BL51" s="11">
        <f ca="1">IF(AND(tblData[Dates]&gt;StartDt2UK,ISNUMBER(tblData[Days'# UK])),betaUK/(deltaUK+betaPodeltaUK*EXP(-betaUK*tblData[Days'# UK])),"")</f>
        <v>80.7381206398518</v>
      </c>
      <c r="BM51" s="20">
        <f ca="1">IF(AND(tblData[Dates]&gt;StartDt2UK,ISNUMBER(tblData[United Kingdom])),(tblData[[#This Row],[UK LogiP(t)]]-tblData[[#This Row],[United Kingdom]])^2,"")</f>
        <v>1659.5944732671192</v>
      </c>
      <c r="BN51" s="20">
        <f ca="1">IF(ISNUMBER(tblData[Days'# UK]),tblData[[#This Row],[UK LogiP(t)]]/UKPopscale,"")</f>
        <v>12.152035015028869</v>
      </c>
      <c r="BO51" s="126">
        <f ca="1">IF(AND(ISNUMBER(tblData[United Kingdom]),tblData[Dates]&gt;StartDt2UK),(tblData[United Kingdom]-AVERAGE(tblData[United Kingdom]))^2,"")</f>
        <v>1438459749.873359</v>
      </c>
      <c r="BP51" s="11">
        <f>tblData[[#This Row],[Dates]]-UK100dt</f>
        <v>-10</v>
      </c>
      <c r="BQ51" s="11">
        <f ca="1">IF(ISNUMBER(tblData[Days'# China]),betaChina/(deltaChina+betaPodeltaChina*EXP(-betaChina*tblData[Days'# China])),"")</f>
        <v>81513.814577579731</v>
      </c>
      <c r="BR51" s="11">
        <f ca="1">IF(ISNUMBER(tblData[China]),(tblData[[#This Row],[China LogiP(t)]]-tblData[[#This Row],[China]])^2,"")</f>
        <v>1898373.0101912129</v>
      </c>
      <c r="BS51" s="11">
        <f ca="1">tblData[[#This Row],[China LogiP(t)]]/ChinaPopscale</f>
        <v>566.3341072855294</v>
      </c>
      <c r="BT51" s="126">
        <f ca="1">IF(AND(ISNUMBER(tblData[China]),tblData[Dates]&gt;StartDt2China),(tblData[China]-AVERAGE(tblData[China]))^2,"")</f>
        <v>167224452.92733547</v>
      </c>
      <c r="BU51" s="11">
        <f>tblData[[#This Row],[Dates]]-China100dt</f>
        <v>29</v>
      </c>
      <c r="BV51" s="95">
        <f ca="1">IF(ISNUMBER(tblData[Day'# Singapore]),betaSingapore/(deltaSingapore+betaPodeltaSingapore*EXP(-betaSingapore*tblData[Day'# Singapore])),"")</f>
        <v>16.372685065366465</v>
      </c>
      <c r="BW51" s="11">
        <f ca="1">IF(AND(ISNUMBER(tblData[Singapore]),tblData[Dates]&gt;=StartDt2Singapore),(tblData[[#This Row],[Singapore LogiP(t)]]-tblData[[#This Row],[Singapore]])^2,"")</f>
        <v>8395.5648421305177</v>
      </c>
      <c r="BX51" s="20">
        <f ca="1">IF(ISNUMBER(tblData[Day'# Singapore]),tblData[Singapore LogiP(t)]/SingaporePopscale,"")</f>
        <v>27.987495838233276</v>
      </c>
      <c r="BY51" s="95">
        <f ca="1">IF(AND(ISNUMBER(tblData[Singapore]),tblData[Dates]&gt;StartDt2Singapore),(tblData[Singapore]-AVERAGE(tblData[Singapore]))^2,"")</f>
        <v>4896501.1953094974</v>
      </c>
      <c r="BZ51" s="11">
        <f>tblData[[#This Row],[Dates]]-Singapore100dt+1</f>
        <v>18</v>
      </c>
      <c r="CA51" s="44">
        <f>IF(AND(tblData[Dates]&gt;StartDt2Generic,ISNUMBER(tblData[Day'# Generic])),betaGeneric/(deltaGeneric+betaPodeltaGeneric*EXP(-betaGeneric*tblData[Day'# Generic])),"")</f>
        <v>79.290809745124434</v>
      </c>
      <c r="CB51" s="95">
        <f>IF(AND(ISNUMBER(tblData[Generic]),tblData[Dates]&gt;StartDt2Generic),(tblData[Generic LogiP(t)]-tblData[[#This Row],[Generic]])^2,"")</f>
        <v>6129.4508905472712</v>
      </c>
      <c r="CC51" s="11">
        <f>IF(AND(ISNUMBER(tblData[Day'# Generic]),tblData[Dates]&gt;StartDt2Generic),tblData[Generic LogiP(t)]/GenericPopscale,"")</f>
        <v>161.81797907168252</v>
      </c>
      <c r="CD51" s="95">
        <f>IF(AND(ISNUMBER(tblData[Generic]),tblData[Dates]&gt;StartDt2Generic),(tblData[Generic]-AVERAGE(tblData[Generic]))^2,"")</f>
        <v>43990158.288520709</v>
      </c>
      <c r="CE51" s="11">
        <f>tblData[[#This Row],[Dates]]-Generic100dt+1</f>
        <v>-10</v>
      </c>
      <c r="CF51"/>
      <c r="CG51" s="11"/>
      <c r="CH51" s="11" t="str">
        <f>IF(ISNUMBER(tblData[[#This Row],[Tests]]),tblData[[#This Row],[Tests]]-CH50,"")</f>
        <v/>
      </c>
      <c r="CI51" s="11" t="str">
        <f>IF(ISNUMBER(tblData[[#This Row],[NSW Under Investigation'']]),tblData[[#This Row],[NSW Under Investigation'']]-CG50,"")</f>
        <v/>
      </c>
      <c r="CJ51" s="11"/>
      <c r="CK51" s="11" t="str">
        <f>IF(AND(tblData[[#This Row],[NSW Test Day Number]]&gt;0,ISNUMBER(tblData[[#This Row],[NSW Test Day Number]])),betaTests/(deltaTests+betaPodeltaTests*EXP(-betaTests*tblData[[#This Row],[NSW Test Day Number]])),"")</f>
        <v/>
      </c>
      <c r="CL51" s="11" t="str">
        <f>IF(tblData[Tests]&gt;0,(tblData[[#This Row],[Tests]]-tblData[[#This Row],[NSW Test Logi]])^2,"")</f>
        <v/>
      </c>
      <c r="CM51" s="95" t="str">
        <f>IF(AND(ISNUMBER(tblData[Tests]),tblData[Dates]&gt;StartDt2Tests),(tblData[Tests]-AVERAGE(tblData[Tests]))^2,"")</f>
        <v/>
      </c>
      <c r="CN51" s="11" t="str">
        <f>IF(ISNUMBER(tblData[Tests]),tblData[Tests]/NSWpopscale/100,"")</f>
        <v/>
      </c>
      <c r="CO51" s="11" t="str">
        <f>IF(AND(tblData[[#This Row],[NSW Test Day Number]]&gt;0,ISNUMBER(tblData[[#This Row],[NSW Test Day Number]])),TestsLogestB*TestsLogestM^tblData[[#This Row],[NSW Test Day Number]],"")</f>
        <v/>
      </c>
      <c r="CP51" s="11" t="str">
        <f>IF(AND(tblData[[#This Row],[NSW Test Day Number]]&gt;0,ISNUMBER(tblData[Tests])),(tblData[Tests]-tblData[[#This Row],[NSW Test Per Capita]])^2,"")</f>
        <v/>
      </c>
      <c r="CQ51" s="20">
        <f ca="1">IF(AND(tblData[Day '# NSW]&gt;0,ISNUMBER(tblData[[#This Row],[Day '# NSW]])),NSWLogestB*NSWLogestM^tblData[[#This Row],[Day '# NSW]]/NSWpopscale,"")</f>
        <v>49.760732729927469</v>
      </c>
      <c r="CR51" s="39">
        <f ca="1">IF(AND(ISNUMBER(tblData[NSW]),tblData[Dates]&gt;StartDt2NSW),(tblData[NSW]/NSWpopscale-tblData[[#This Row],[NSW Cases LogEst]])^2,"")</f>
        <v>1792.2513914806793</v>
      </c>
      <c r="CS51" s="11">
        <v>41</v>
      </c>
      <c r="CT51" s="19">
        <f>IF(ISNUMBER(tblData[Taiwan]),tblData[Taiwan]/TaiwanPopscale,"")</f>
        <v>17.221621518995743</v>
      </c>
      <c r="CU51" s="11">
        <f ca="1">IF(tblData[[#This Row],[Dates]]&lt;StartDt2Taiwan,"",tblData[[#This Row],[Dates]]-TaiwanStart)</f>
        <v>40</v>
      </c>
      <c r="CV51" s="19">
        <f ca="1">IF(AND(tblData[Dates]&gt;StartDt2Taiwan,ISNUMBER(tblData[Days'# Taiwan])),betaTaiwan/(deltaTaiwan+betaPodeltaTaiwan*EXP(-betaTaiwan*tblData[Days'# Taiwan])),"")</f>
        <v>15.041904511362564</v>
      </c>
      <c r="CW51" s="95">
        <f ca="1">IF(AND(tblData[Dates]&gt;StartDt2Taiwan,ISNUMBER(tblData[Taiwan])),(tblData[[#This Row],[Taiwan LogiP(t)]]-tblData[[#This Row],[Taiwan]])^2,"")</f>
        <v>673.8227213972192</v>
      </c>
      <c r="CX51" s="20">
        <f ca="1">IF(AND(tblData[Dates]&gt;StartDt2Taiwan,ISNUMBER(tblData[Days'# Taiwan])),tblData[[#This Row],[Taiwan LogiP(t)]]/TaiwanPopscale,"")</f>
        <v>6.3181947907209919</v>
      </c>
      <c r="CY51" s="95">
        <f ca="1">IF(AND(ISNUMBER(tblData[Taiwan]),tblData[Dates]&gt;StartDt2Taiwan),(tblData[Taiwan]-AVERAGE(tblData[Taiwan]))^2,"")</f>
        <v>16524.850442137642</v>
      </c>
      <c r="CZ51" s="11">
        <f>tblData[[#This Row],[Dates]]-Taiwan100dt+1</f>
        <v>-23</v>
      </c>
      <c r="DA51">
        <v>1</v>
      </c>
      <c r="DB51" s="20">
        <f>IF(ISNUMBER(tblData[NZ]),tblData[NZ]/NZPopscale,"")</f>
        <v>1.9120458891013383</v>
      </c>
      <c r="DC51" s="11">
        <f ca="1">IF(tblData[[#This Row],[Dates]]&lt;StartDt2NZ,"",tblData[[#This Row],[Dates]]-NZStart)</f>
        <v>3</v>
      </c>
      <c r="DD51" s="20">
        <f ca="1">IF(AND(tblData[Dates]&gt;StartDt2NZ,ISNUMBER(tblData[Days'# NZ])),betaNZ/(deltaNZ+betaPodeltaNZ*EXP(-betaNZ*tblData[Days'# NZ])),"")</f>
        <v>1.2848385936528635</v>
      </c>
      <c r="DE51" s="95">
        <f ca="1">IF(AND(tblData[Dates]&gt;StartDt2NZ,ISNUMBER(tblData[NZ])),(tblData[[#This Row],[NZ LogiP(t)]]-tblData[[#This Row],[NZ]])^2,"")</f>
        <v>8.1133024434141068E-2</v>
      </c>
      <c r="DF51" s="20">
        <f ca="1">IF(AND(tblData[Dates]&gt;StartDt2NZ,ISNUMBER(tblData[Days'# NZ])),tblData[[#This Row],[NZ LogiP(t)]]/NZPopscale,"")</f>
        <v>2.4566703511527024</v>
      </c>
      <c r="DG51" s="95">
        <f ca="1">IF(AND(ISNUMBER(tblData[NZ]),tblData[Dates]&gt;StartDt2NZ),(tblData[NZ]-AVERAGE(tblData[NZ]))^2,"")</f>
        <v>473260.60973370069</v>
      </c>
      <c r="DH51" s="11">
        <f>tblData[[#This Row],[Dates]]-NZ100dt+1</f>
        <v>-19</v>
      </c>
      <c r="DI51" s="39"/>
      <c r="DJ51" s="11"/>
      <c r="DM51" s="25"/>
      <c r="DP51"/>
      <c r="DV51" s="25"/>
      <c r="DW51"/>
      <c r="DZ51" s="25"/>
      <c r="EA51" s="25"/>
      <c r="EB51" s="25"/>
      <c r="EH51"/>
      <c r="EI51"/>
      <c r="EJ51"/>
      <c r="EK51"/>
      <c r="EQ51" s="25"/>
      <c r="ER51" s="25"/>
      <c r="ES51" s="25"/>
      <c r="ET51" s="25"/>
      <c r="FF51"/>
      <c r="FG51"/>
      <c r="FH51"/>
      <c r="FI51"/>
      <c r="FJ51" s="25"/>
      <c r="FK51" s="25"/>
      <c r="FM51" s="25"/>
      <c r="FN51"/>
      <c r="FO51" s="263" t="s">
        <v>48</v>
      </c>
      <c r="FP51" s="250">
        <v>43947.950335648151</v>
      </c>
      <c r="FQ51" s="156">
        <v>43855</v>
      </c>
      <c r="FR51" s="26">
        <v>43855</v>
      </c>
      <c r="FS51" s="211">
        <v>0</v>
      </c>
      <c r="FT51" s="44">
        <v>0.25148928838105011</v>
      </c>
      <c r="FU51" s="71">
        <v>3.8539352447266472E-5</v>
      </c>
      <c r="FV51" s="73">
        <v>1.0000000000000009E-3</v>
      </c>
      <c r="FW51" s="214">
        <v>6525.5193045903861</v>
      </c>
      <c r="FX51" s="214">
        <v>76.751077446985533</v>
      </c>
      <c r="FY51" s="214">
        <v>0.99921388315016602</v>
      </c>
      <c r="FZ51" s="213">
        <v>251.48924984169744</v>
      </c>
      <c r="GA51" s="213">
        <v>3.8539352447266473E-2</v>
      </c>
      <c r="GB51" s="243">
        <v>44049</v>
      </c>
      <c r="GC51" s="26" t="s">
        <v>3498</v>
      </c>
      <c r="GD51" s="214">
        <v>6525.5193045903588</v>
      </c>
      <c r="GE51" s="214">
        <v>6714</v>
      </c>
      <c r="GF51" s="73" t="s">
        <v>1465</v>
      </c>
      <c r="GG51" s="156">
        <v>43947</v>
      </c>
      <c r="GH51" s="26">
        <v>93</v>
      </c>
      <c r="GI51" s="26" t="s">
        <v>3499</v>
      </c>
      <c r="GJ51" s="25"/>
      <c r="GK51" s="62" t="s">
        <v>3500</v>
      </c>
      <c r="GM51" s="18" t="s">
        <v>3501</v>
      </c>
      <c r="GN51" s="11">
        <v>2647.0588235294117</v>
      </c>
      <c r="GO51" s="156"/>
      <c r="GP51" s="218"/>
      <c r="GQ51" s="156"/>
      <c r="GR51" s="25"/>
      <c r="GS51" s="25" t="s">
        <v>3497</v>
      </c>
      <c r="GT51" s="11">
        <v>6525.5193045903588</v>
      </c>
      <c r="GU51" s="12">
        <v>2.8994851479972314E-2</v>
      </c>
      <c r="GV51" s="240">
        <v>43905</v>
      </c>
      <c r="GW51" s="162" t="s">
        <v>2387</v>
      </c>
      <c r="GX51" s="230">
        <v>-191.44235261229733</v>
      </c>
      <c r="GY51" s="25" t="s">
        <v>569</v>
      </c>
      <c r="GZ51" s="25" t="s">
        <v>569</v>
      </c>
      <c r="HA51" s="26" t="s">
        <v>3501</v>
      </c>
      <c r="HK51" s="164">
        <v>43938</v>
      </c>
      <c r="HL51" s="60">
        <v>43938.833333333336</v>
      </c>
      <c r="HM51">
        <v>2926</v>
      </c>
      <c r="HN51">
        <v>152376</v>
      </c>
      <c r="HO51">
        <v>770</v>
      </c>
      <c r="HP51">
        <v>347</v>
      </c>
      <c r="HQ51" s="166">
        <f>IF(ISNUMBER(tblNSWKnown[[#This Row],[Unknown Locally]]),tblNSWKnown[[#This Row],[Known Locally]]+tblNSWKnown[[#This Row],[Unknown Locally]],"")</f>
        <v>1117</v>
      </c>
      <c r="HR51" s="25">
        <v>18</v>
      </c>
      <c r="HS51" s="166">
        <f>IF(ISNUMBER(tblNSWKnown[[#This Row],[Day '# NSW Unknown]]),betaNSWUnknown/(deltaNSWUnknown+betaPodeltaNSWUnknown*EXP(-betaNSWUnknown*tblNSWKnown[Day '# NSW Unknown])),"")</f>
        <v>1146.1447777788148</v>
      </c>
      <c r="HT51" s="166">
        <f>IF(ISNUMBER(tblNSWKnown[[#This Row],[Total Local]]),(tblNSWKnown[[#This Row],[Total Local]]-tblNSWKnown[[#This Row],[NSW Unknown Logi P(t)]])^2,"")</f>
        <v>849.41807177649935</v>
      </c>
      <c r="HU51" s="166">
        <f>IF(ISNUMBER(tblNSWKnown[Total Local]),(tblNSWKnown[Total Local]-AVERAGE(tblNSWKnown[Total Local]))^2,"")</f>
        <v>1948.9628027681745</v>
      </c>
      <c r="HV51" s="166"/>
    </row>
    <row r="52" spans="2:241" x14ac:dyDescent="0.25">
      <c r="B52" s="26">
        <v>43893</v>
      </c>
      <c r="C52">
        <v>0</v>
      </c>
      <c r="D52" s="25">
        <v>0</v>
      </c>
      <c r="E52">
        <v>13</v>
      </c>
      <c r="F52">
        <v>0</v>
      </c>
      <c r="G52">
        <v>11</v>
      </c>
      <c r="H52">
        <v>3</v>
      </c>
      <c r="I52">
        <v>1</v>
      </c>
      <c r="J52">
        <v>9</v>
      </c>
      <c r="K52">
        <v>2</v>
      </c>
      <c r="L52" s="11">
        <f>IF(ISNUMBER(tblData[[#This Row],[NSW]]),tblData[[#This Row],[New South Wales]]/NSWpopscale,"")</f>
        <v>16.089108910891088</v>
      </c>
      <c r="M52" s="25">
        <v>2502</v>
      </c>
      <c r="N52" s="20">
        <f>IF(ISNUMBER(tblData[Italy]),tblData[Italy]/ItalyPopscale,"")</f>
        <v>413.65627841613627</v>
      </c>
      <c r="O52">
        <v>118</v>
      </c>
      <c r="P52" s="20">
        <f>IF(ISNUMBER(tblData[US]),tblData[US]/USPopscale,"")</f>
        <v>3.5841450616984152</v>
      </c>
      <c r="Q52">
        <v>5186</v>
      </c>
      <c r="R52" s="20">
        <f>IF(ISNUMBER(tblData[SKorea]),tblData[SKorea]/SKoreaPopscale,"")</f>
        <v>1008.9494163424125</v>
      </c>
      <c r="S52">
        <v>51</v>
      </c>
      <c r="T52" s="20">
        <f>IF(ISNUMBER(tblData[United Kingdom]),tblData[United Kingdom]/UKPopscale,"")</f>
        <v>7.6760987357013848</v>
      </c>
      <c r="U52">
        <v>80261</v>
      </c>
      <c r="V52" s="20">
        <f>IF(ISNUMBER(tblData[China]),tblData[China]/ChinaPopscale,"")</f>
        <v>557.6299185653138</v>
      </c>
      <c r="W52" s="25">
        <f ca="1">IF(tblData[[#This Row],[Dates]]&lt;StartDt2China,"",tblData[[#This Row],[Dates]]-ChinaStart)</f>
        <v>41</v>
      </c>
      <c r="X52">
        <v>110</v>
      </c>
      <c r="Y52" s="20">
        <f>IF(ISNUMBER(tblData[Singapore]),tblData[Singapore]/SingaporePopscale,"")</f>
        <v>188.03418803418805</v>
      </c>
      <c r="Z52">
        <v>2</v>
      </c>
      <c r="AA52" s="20">
        <f>IF(AND(LEN(tblData[Generic])&gt;0,ISNUMBER(tblData[Generic])),tblData[Generic]/GenericPopscale,"")</f>
        <v>4.0816326530612246</v>
      </c>
      <c r="AB52" s="25">
        <f ca="1">IF(tblData[[#This Row],[Dates]]&lt;StartDt2Italy,"",tblData[[#This Row],[Dates]]-ItalyStart)</f>
        <v>33</v>
      </c>
      <c r="AC52" s="25">
        <f ca="1">IF(tblData[[#This Row],[Dates]]&lt;=StartDt2US,"",tblData[[#This Row],[Dates]]-USStart)</f>
        <v>41</v>
      </c>
      <c r="AD52" s="25">
        <f>IF(tblData[[#This Row],[Dates]]&lt;=SKoreaStart,"",tblData[[#This Row],[Dates]]-SKoreaStart)</f>
        <v>41</v>
      </c>
      <c r="AE52" s="25">
        <f ca="1">IF(tblData[[#This Row],[Dates]]&lt;=StartDt2UK,"",tblData[[#This Row],[Dates]]-UKStart)</f>
        <v>33</v>
      </c>
      <c r="AF52" s="25">
        <f ca="1">IF(tblData[[#This Row],[Dates]]&lt;StartDt2Singapore,"",tblData[[#This Row],[Dates]]-SingaporeStart)</f>
        <v>40</v>
      </c>
      <c r="AG52" s="25">
        <f>IF(tblData[[#This Row],[Dates]]&lt;StartDt2Generic,"",tblData[[#This Row],[Dates]]-GenericStart)</f>
        <v>3</v>
      </c>
      <c r="AH52">
        <f ca="1">IF(tblData[Dates]&gt;StartDt2Au,tblData[Dates]-AuStart,"")</f>
        <v>38</v>
      </c>
      <c r="AI52" s="25">
        <f>IF(AND(COUNTBLANK(tblData[[#This Row],[Australian Capital Territory]:[Western Australia]])&lt;1,tblData[New South Wales]&gt;=0),SUM(tblData[[#This Row],[Australian Capital Territory]:[Western Australia]]),"")</f>
        <v>39</v>
      </c>
      <c r="AJ52" s="12">
        <f>IF(ISNUMBER(tblData[Au]),tblData[Au]/AuPopScale,"")</f>
        <v>15.376123639804447</v>
      </c>
      <c r="AK52" s="11">
        <f ca="1">IF(ISNUMBER(tblData[[#This Row],[Day'# Aust]]),betaAu/(deltaAu+betaPodeltaAu*EXP(-betaAu*tblData[[#This Row],[Day'# Aust]])),"")</f>
        <v>25.248817742745633</v>
      </c>
      <c r="AL52" s="56">
        <f ca="1">IF(ISNUMBER(tblData[Day'# Aust]),tblData[Au LogiP(t)]/AuPopScale,"")</f>
        <v>9.9545882915729518</v>
      </c>
      <c r="AM52" s="11">
        <f ca="1">IF(AND(tblData[Dates]&gt;StartDt2Au,ISNUMBER(tblData[Au])),(tblData[[#This Row],[Au LogiP(t)]]-tblData[[#This Row],[Au]])^2,"")</f>
        <v>189.09501347222732</v>
      </c>
      <c r="AN52" s="11">
        <f ca="1">IF(AND(ISNUMBER(tblData[Au]),tblData[Dates]&gt;StartDt2Au),(tblData[Au]-AVERAGE(tblData[Au]))^2,"")</f>
        <v>5807184.2360999994</v>
      </c>
      <c r="AO52" s="11">
        <f>tblData[[#This Row],[Dates]]-Au100dt</f>
        <v>-12</v>
      </c>
      <c r="AP52">
        <f ca="1">IF(tblData[Dates]&gt;StartDt2NSW,tblData[Dates]-StartDt2NSW,"")</f>
        <v>38</v>
      </c>
      <c r="AQ52" s="25">
        <f>IF(tblData[[#This Row],[New South Wales]]&gt;0,tblData[[#This Row],[New South Wales]],"")</f>
        <v>13</v>
      </c>
      <c r="AR52" s="44">
        <f ca="1">IF(tblData[Dates]&gt;StartDt2NSW,betaNSW/(deltaNSW+betaPodeltaNSW*EXP(-betaNSW*tblData[[#This Row],[Day '# NSW]])),"")</f>
        <v>9.0565881476405128</v>
      </c>
      <c r="AS52" s="12">
        <f ca="1">IF(AND(ISNUMBER(tblData[NSW]),tblData[Dates]&gt;StartDt2NSW),(tblData[[#This Row],[NSW LogiP(t)]]-tblData[[#This Row],[NSW]])^2,"")</f>
        <v>15.550497037329283</v>
      </c>
      <c r="AT52" s="12">
        <f ca="1">IF(AND(tblData[Dates]&gt;StartDt2NSW,ISNUMBER(tblData[Day'# Aust])),tblData[NSW LogiP(t)]/NSWpopscale,"")</f>
        <v>11.20864869757489</v>
      </c>
      <c r="AU52" s="11">
        <f>tblData[[#This Row],[Dates]]-NSW100dt+1</f>
        <v>-9</v>
      </c>
      <c r="AV52" s="11">
        <f ca="1">IF(AND(ISNUMBER(tblData[NSW]),tblData[Dates]&gt;StartDt2NSW),(tblData[NSW]-AVERAGE(tblData[NSW]))^2,"")</f>
        <v>1169123.1876000001</v>
      </c>
      <c r="AW52" s="11">
        <f ca="1">IF(AND(tblData[Dates]&gt;StartDt2Italy,ISNUMBER(tblData[Days'# Italy])),betaItaly/(deltaItaly+betaPodeltaItaly*EXP(-betaItaly*tblData[Days'# Italy])),"")</f>
        <v>1861.2041186178299</v>
      </c>
      <c r="AX52" s="11">
        <f ca="1">IF(AND(tblData[Dates]&gt;StartDt2Italy,ISNUMBER(tblData[Italy])),(tblData[[#This Row],[Italy LogiP(t)]]-tblData[[#This Row],[Italy]])^2,"")</f>
        <v>410619.36159635225</v>
      </c>
      <c r="AY52" s="11">
        <f ca="1">IF(AND(tblData[Dates]&gt;StartDt2Italy,ISNUMBER(tblData[Days'# Italy])),tblData[[#This Row],[Italy LogiP(t)]]/ItalyPopscale,"")</f>
        <v>307.71333696252458</v>
      </c>
      <c r="AZ52" s="39">
        <f ca="1">IF(AND(ISNUMBER(tblData[Italy]),tblData[Dates]&gt;StartDt2Italy),(tblData[Italy]-AVERAGE(tblData[Italy]))^2,"")</f>
        <v>4522106070.0272741</v>
      </c>
      <c r="BA52" s="11">
        <f>tblData[[#This Row],[Dates]]-Italy100dt+1</f>
        <v>6</v>
      </c>
      <c r="BB52" s="11">
        <f ca="1">IF(AND(tblData[Dates]&gt;StartDt2US,ISNUMBER(tblData[[#This Row],[Days'# US]])),betaUS/(deltaUS+betaPodeltaUS*EXP(-betaUS*tblData[Days'# US])),"")</f>
        <v>112.9155980110899</v>
      </c>
      <c r="BC52" s="11">
        <f ca="1">IF(AND(tblData[Dates]&gt;StartDt2US,ISNUMBER(tblData[US])),(tblData[[#This Row],[US LogiP(t)]]-tblData[US])^2,"")</f>
        <v>25.851143584833</v>
      </c>
      <c r="BD52" s="20">
        <f ca="1">IF(AND(tblData[Dates]&gt;=StartDt2US,ISNUMBER(tblData[[#This Row],[Days'# US]])),tblData[[#This Row],[US LogiP(t)]]/USPopscale,"")</f>
        <v>3.429710872882807</v>
      </c>
      <c r="BE52" s="126">
        <f ca="1">IF(AND(ISNUMBER(tblData[US]),tblData[Dates]&gt;StartDt2US),(tblData[US]-AVERAGE(tblData[US]))^2,"")</f>
        <v>50097740343.197327</v>
      </c>
      <c r="BF52" s="11">
        <f>tblData[[#This Row],[Dates]]-US100dt+1</f>
        <v>-11</v>
      </c>
      <c r="BG52" s="20">
        <f ca="1">IF(tblData[Dates]&gt;StartDt2SKorea,betaSKorea/(deltaSKorea+betaPodeltaSKorea*EXP(-betaSKorea*(tblData[Dates]-StartDt2SKorea))),"")</f>
        <v>4296.2504171849632</v>
      </c>
      <c r="BH52" s="20">
        <f ca="1">IF(AND(tblData[Dates]&gt;StartDt2SKorea,ISNUMBER(tblData[SKorea])),(tblData[[#This Row],[SKorea LogiP(t)]]-tblData[[#This Row],[SKorea]])^2,"")</f>
        <v>791654.32011953194</v>
      </c>
      <c r="BI52" s="20">
        <f ca="1">IF(tblData[Dates]&gt;StartDt2SKorea,tblData[[#This Row],[SKorea LogiP(t)]]/SKoreaPopscale,"")</f>
        <v>835.84638466633533</v>
      </c>
      <c r="BJ52" s="126">
        <f ca="1">IF(AND(ISNUMBER(tblData[SKorea]),tblData[Dates]&gt;StartDt2SKorea),(tblData[SKorea]-AVERAGE(tblData[SKorea]))^2,"")</f>
        <v>407519.51134179119</v>
      </c>
      <c r="BK52" s="11">
        <f>tblData[[#This Row],[Dates]]-SKorea100dt+1</f>
        <v>10</v>
      </c>
      <c r="BL52" s="11">
        <f ca="1">IF(AND(tblData[Dates]&gt;StartDt2UK,ISNUMBER(tblData[Days'# UK])),betaUK/(deltaUK+betaPodeltaUK*EXP(-betaUK*tblData[Days'# UK])),"")</f>
        <v>99.911437738436803</v>
      </c>
      <c r="BM52" s="20">
        <f ca="1">IF(AND(tblData[Dates]&gt;StartDt2UK,ISNUMBER(tblData[United Kingdom])),(tblData[[#This Row],[UK LogiP(t)]]-tblData[[#This Row],[United Kingdom]])^2,"")</f>
        <v>2392.3287416409798</v>
      </c>
      <c r="BN52" s="20">
        <f ca="1">IF(ISNUMBER(tblData[Days'# UK]),tblData[[#This Row],[UK LogiP(t)]]/UKPopscale,"")</f>
        <v>15.037844331492595</v>
      </c>
      <c r="BO52" s="126">
        <f ca="1">IF(AND(ISNUMBER(tblData[United Kingdom]),tblData[Dates]&gt;StartDt2UK),(tblData[United Kingdom]-AVERAGE(tblData[United Kingdom]))^2,"")</f>
        <v>1437625476.1712313</v>
      </c>
      <c r="BP52" s="11">
        <f>tblData[[#This Row],[Dates]]-UK100dt</f>
        <v>-9</v>
      </c>
      <c r="BQ52" s="11">
        <f ca="1">IF(ISNUMBER(tblData[Days'# China]),betaChina/(deltaChina+betaPodeltaChina*EXP(-betaChina*tblData[Days'# China])),"")</f>
        <v>81634.241681642656</v>
      </c>
      <c r="BR52" s="11">
        <f ca="1">IF(ISNUMBER(tblData[China]),(tblData[[#This Row],[China LogiP(t)]]-tblData[[#This Row],[China]])^2,"")</f>
        <v>1885792.7162007492</v>
      </c>
      <c r="BS52" s="11">
        <f ca="1">tblData[[#This Row],[China LogiP(t)]]/ChinaPopscale</f>
        <v>567.17079952997778</v>
      </c>
      <c r="BT52" s="126">
        <f ca="1">IF(AND(ISNUMBER(tblData[China]),tblData[Dates]&gt;StartDt2China),(tblData[China]-AVERAGE(tblData[China]))^2,"")</f>
        <v>170472960.28027663</v>
      </c>
      <c r="BU52" s="11">
        <f>tblData[[#This Row],[Dates]]-China100dt</f>
        <v>30</v>
      </c>
      <c r="BV52" s="95">
        <f ca="1">IF(ISNUMBER(tblData[Day'# Singapore]),betaSingapore/(deltaSingapore+betaPodeltaSingapore*EXP(-betaSingapore*tblData[Day'# Singapore])),"")</f>
        <v>18.562767086347716</v>
      </c>
      <c r="BW52" s="11">
        <f ca="1">IF(AND(ISNUMBER(tblData[Singapore]),tblData[Dates]&gt;=StartDt2Singapore),(tblData[[#This Row],[Singapore LogiP(t)]]-tblData[[#This Row],[Singapore]])^2,"")</f>
        <v>8360.7675629054957</v>
      </c>
      <c r="BX52" s="20">
        <f ca="1">IF(ISNUMBER(tblData[Day'# Singapore]),tblData[Singapore LogiP(t)]/SingaporePopscale,"")</f>
        <v>31.731225788628574</v>
      </c>
      <c r="BY52" s="95">
        <f ca="1">IF(AND(ISNUMBER(tblData[Singapore]),tblData[Dates]&gt;StartDt2Singapore),(tblData[Singapore]-AVERAGE(tblData[Singapore]))^2,"")</f>
        <v>4887653.9796232227</v>
      </c>
      <c r="BZ52" s="11">
        <f>tblData[[#This Row],[Dates]]-Singapore100dt+1</f>
        <v>19</v>
      </c>
      <c r="CA52" s="44">
        <f>IF(AND(tblData[Dates]&gt;StartDt2Generic,ISNUMBER(tblData[Day'# Generic])),betaGeneric/(deltaGeneric+betaPodeltaGeneric*EXP(-betaGeneric*tblData[Day'# Generic])),"")</f>
        <v>90.194976939147736</v>
      </c>
      <c r="CB52" s="95">
        <f>IF(AND(ISNUMBER(tblData[Generic]),tblData[Dates]&gt;StartDt2Generic),(tblData[Generic LogiP(t)]-tblData[[#This Row],[Generic]])^2,"")</f>
        <v>7778.3539572968011</v>
      </c>
      <c r="CC52" s="11">
        <f>IF(AND(ISNUMBER(tblData[Day'# Generic]),tblData[Dates]&gt;StartDt2Generic),tblData[Generic LogiP(t)]/GenericPopscale,"")</f>
        <v>184.07138150846478</v>
      </c>
      <c r="CD52" s="95">
        <f>IF(AND(ISNUMBER(tblData[Generic]),tblData[Dates]&gt;StartDt2Generic),(tblData[Generic]-AVERAGE(tblData[Generic]))^2,"")</f>
        <v>43976894.273136094</v>
      </c>
      <c r="CE52" s="11">
        <f>tblData[[#This Row],[Dates]]-Generic100dt+1</f>
        <v>-9</v>
      </c>
      <c r="CF52"/>
      <c r="CG52" s="11"/>
      <c r="CH52" s="11" t="str">
        <f>IF(ISNUMBER(tblData[[#This Row],[Tests]]),tblData[[#This Row],[Tests]]-CH51,"")</f>
        <v/>
      </c>
      <c r="CI52" s="11" t="str">
        <f>IF(ISNUMBER(tblData[[#This Row],[NSW Under Investigation'']]),tblData[[#This Row],[NSW Under Investigation'']]-CG51,"")</f>
        <v/>
      </c>
      <c r="CJ52" s="11"/>
      <c r="CK52" s="11" t="str">
        <f>IF(AND(tblData[[#This Row],[NSW Test Day Number]]&gt;0,ISNUMBER(tblData[[#This Row],[NSW Test Day Number]])),betaTests/(deltaTests+betaPodeltaTests*EXP(-betaTests*tblData[[#This Row],[NSW Test Day Number]])),"")</f>
        <v/>
      </c>
      <c r="CL52" s="11" t="str">
        <f>IF(tblData[Tests]&gt;0,(tblData[[#This Row],[Tests]]-tblData[[#This Row],[NSW Test Logi]])^2,"")</f>
        <v/>
      </c>
      <c r="CM52" s="95" t="str">
        <f>IF(AND(ISNUMBER(tblData[Tests]),tblData[Dates]&gt;StartDt2Tests),(tblData[Tests]-AVERAGE(tblData[Tests]))^2,"")</f>
        <v/>
      </c>
      <c r="CN52" s="11" t="str">
        <f>IF(ISNUMBER(tblData[Tests]),tblData[Tests]/NSWpopscale/100,"")</f>
        <v/>
      </c>
      <c r="CO52" s="11" t="str">
        <f>IF(AND(tblData[[#This Row],[NSW Test Day Number]]&gt;0,ISNUMBER(tblData[[#This Row],[NSW Test Day Number]])),TestsLogestB*TestsLogestM^tblData[[#This Row],[NSW Test Day Number]],"")</f>
        <v/>
      </c>
      <c r="CP52" s="11" t="str">
        <f>IF(AND(tblData[[#This Row],[NSW Test Day Number]]&gt;0,ISNUMBER(tblData[Tests])),(tblData[Tests]-tblData[[#This Row],[NSW Test Per Capita]])^2,"")</f>
        <v/>
      </c>
      <c r="CQ52" s="20">
        <f ca="1">IF(AND(tblData[Day '# NSW]&gt;0,ISNUMBER(tblData[[#This Row],[Day '# NSW]])),NSWLogestB*NSWLogestM^tblData[[#This Row],[Day '# NSW]]/NSWpopscale,"")</f>
        <v>54.784358962694313</v>
      </c>
      <c r="CR52" s="39">
        <f ca="1">IF(AND(ISNUMBER(tblData[NSW]),tblData[Dates]&gt;StartDt2NSW),(tblData[NSW]/NSWpopscale-tblData[[#This Row],[NSW Cases LogEst]])^2,"")</f>
        <v>1497.3223765715777</v>
      </c>
      <c r="CS52" s="11">
        <v>42</v>
      </c>
      <c r="CT52" s="19">
        <f>IF(ISNUMBER(tblData[Taiwan]),tblData[Taiwan]/TaiwanPopscale,"")</f>
        <v>17.641661068239539</v>
      </c>
      <c r="CU52" s="11">
        <f ca="1">IF(tblData[[#This Row],[Dates]]&lt;StartDt2Taiwan,"",tblData[[#This Row],[Dates]]-TaiwanStart)</f>
        <v>41</v>
      </c>
      <c r="CV52" s="19">
        <f ca="1">IF(AND(tblData[Dates]&gt;StartDt2Taiwan,ISNUMBER(tblData[Days'# Taiwan])),betaTaiwan/(deltaTaiwan+betaPodeltaTaiwan*EXP(-betaTaiwan*tblData[Days'# Taiwan])),"")</f>
        <v>17.335952367874636</v>
      </c>
      <c r="CW52" s="95">
        <f ca="1">IF(AND(tblData[Dates]&gt;StartDt2Taiwan,ISNUMBER(tblData[Taiwan])),(tblData[[#This Row],[Taiwan LogiP(t)]]-tblData[[#This Row],[Taiwan]])^2,"")</f>
        <v>608.31524559974878</v>
      </c>
      <c r="CX52" s="20">
        <f ca="1">IF(AND(tblData[Dates]&gt;StartDt2Taiwan,ISNUMBER(tblData[Days'# Taiwan])),tblData[[#This Row],[Taiwan LogiP(t)]]/TaiwanPopscale,"")</f>
        <v>7.281785618314025</v>
      </c>
      <c r="CY52" s="95">
        <f ca="1">IF(AND(ISNUMBER(tblData[Taiwan]),tblData[Dates]&gt;StartDt2Taiwan),(tblData[Taiwan]-AVERAGE(tblData[Taiwan]))^2,"")</f>
        <v>16268.752402921957</v>
      </c>
      <c r="CZ52" s="11">
        <f>tblData[[#This Row],[Dates]]-Taiwan100dt+1</f>
        <v>-22</v>
      </c>
      <c r="DA52">
        <v>1</v>
      </c>
      <c r="DB52" s="20">
        <f>IF(ISNUMBER(tblData[NZ]),tblData[NZ]/NZPopscale,"")</f>
        <v>1.9120458891013383</v>
      </c>
      <c r="DC52" s="11">
        <f ca="1">IF(tblData[[#This Row],[Dates]]&lt;StartDt2NZ,"",tblData[[#This Row],[Dates]]-NZStart)</f>
        <v>4</v>
      </c>
      <c r="DD52" s="20">
        <f ca="1">IF(AND(tblData[Dates]&gt;StartDt2NZ,ISNUMBER(tblData[Days'# NZ])),betaNZ/(deltaNZ+betaPodeltaNZ*EXP(-betaNZ*tblData[Days'# NZ])),"")</f>
        <v>1.6215622693181537</v>
      </c>
      <c r="DE52" s="95">
        <f ca="1">IF(AND(tblData[Dates]&gt;StartDt2NZ,ISNUMBER(tblData[NZ])),(tblData[[#This Row],[NZ LogiP(t)]]-tblData[[#This Row],[NZ]])^2,"")</f>
        <v>0.38633965463993308</v>
      </c>
      <c r="DF52" s="20">
        <f ca="1">IF(AND(tblData[Dates]&gt;StartDt2NZ,ISNUMBER(tblData[Days'# NZ])),tblData[[#This Row],[NZ LogiP(t)]]/NZPopscale,"")</f>
        <v>3.1005014709716132</v>
      </c>
      <c r="DG52" s="95">
        <f ca="1">IF(AND(ISNUMBER(tblData[NZ]),tblData[Dates]&gt;StartDt2NZ),(tblData[NZ]-AVERAGE(tblData[NZ]))^2,"")</f>
        <v>473260.60973370069</v>
      </c>
      <c r="DH52" s="11">
        <f>tblData[[#This Row],[Dates]]-NZ100dt+1</f>
        <v>-18</v>
      </c>
      <c r="DI52" s="39"/>
      <c r="DJ52" s="11"/>
      <c r="DM52" s="25"/>
      <c r="DP52"/>
      <c r="DV52" s="25"/>
      <c r="DW52"/>
      <c r="DZ52" s="25"/>
      <c r="EA52" s="25"/>
      <c r="EB52" s="25"/>
      <c r="EH52"/>
      <c r="EI52"/>
      <c r="EJ52"/>
      <c r="EK52"/>
      <c r="EQ52" s="25"/>
      <c r="ER52" s="25"/>
      <c r="ES52" s="25"/>
      <c r="ET52" s="25"/>
      <c r="FF52"/>
      <c r="FG52"/>
      <c r="FH52"/>
      <c r="FI52"/>
      <c r="FJ52" s="25"/>
      <c r="FK52" s="25"/>
      <c r="FM52" s="25"/>
      <c r="FN52"/>
      <c r="FO52" s="263" t="s">
        <v>48</v>
      </c>
      <c r="FP52" s="250">
        <v>43949.716979166667</v>
      </c>
      <c r="FQ52" s="156">
        <v>43855</v>
      </c>
      <c r="FR52" s="26">
        <v>43855</v>
      </c>
      <c r="FS52" s="211">
        <v>0</v>
      </c>
      <c r="FT52" s="44">
        <v>0.25141435340271806</v>
      </c>
      <c r="FU52" s="71">
        <v>3.8474796919748038E-5</v>
      </c>
      <c r="FV52" s="73">
        <v>1.001073741824001E-3</v>
      </c>
      <c r="FW52" s="214">
        <v>6534.5206090918728</v>
      </c>
      <c r="FX52" s="214">
        <v>78.858832406157063</v>
      </c>
      <c r="FY52" s="214">
        <v>0.99918551768564967</v>
      </c>
      <c r="FZ52" s="213">
        <v>251.144650371631</v>
      </c>
      <c r="GA52" s="213">
        <v>3.847479691974804E-2</v>
      </c>
      <c r="GB52" s="243">
        <v>44049</v>
      </c>
      <c r="GC52" s="26" t="s">
        <v>3498</v>
      </c>
      <c r="GD52" s="214">
        <v>6534.5206090918455</v>
      </c>
      <c r="GE52" s="214">
        <v>6719</v>
      </c>
      <c r="GF52" s="73" t="s">
        <v>3556</v>
      </c>
      <c r="GG52" s="156">
        <v>43948</v>
      </c>
      <c r="GH52" s="26">
        <v>94</v>
      </c>
      <c r="GI52" s="26" t="s">
        <v>3557</v>
      </c>
      <c r="GJ52" s="25"/>
      <c r="GK52" s="62" t="s">
        <v>3558</v>
      </c>
      <c r="GM52" s="18" t="s">
        <v>3559</v>
      </c>
      <c r="GN52" s="11">
        <v>2649.0301214319506</v>
      </c>
      <c r="GO52" s="156"/>
      <c r="GP52" s="218"/>
      <c r="GQ52" s="156"/>
      <c r="GR52" s="25"/>
      <c r="GS52" s="25" t="s">
        <v>3555</v>
      </c>
      <c r="GT52" s="11">
        <v>6534.5206090918455</v>
      </c>
      <c r="GU52" s="12">
        <v>2.9768945157758117E-2</v>
      </c>
      <c r="GV52" s="240">
        <v>43905</v>
      </c>
      <c r="GW52" s="162" t="s">
        <v>2387</v>
      </c>
      <c r="GX52" s="230">
        <v>-186.80291637890423</v>
      </c>
      <c r="GY52" s="25" t="s">
        <v>569</v>
      </c>
      <c r="GZ52" s="25" t="s">
        <v>569</v>
      </c>
      <c r="HA52" s="26" t="s">
        <v>3559</v>
      </c>
      <c r="HK52" s="164">
        <v>43939</v>
      </c>
      <c r="HL52" s="60">
        <v>43939.833333333336</v>
      </c>
      <c r="HM52">
        <v>2936</v>
      </c>
      <c r="HN52">
        <v>157518</v>
      </c>
      <c r="HO52">
        <v>773</v>
      </c>
      <c r="HP52">
        <v>350</v>
      </c>
      <c r="HQ52" s="166">
        <f>IF(ISNUMBER(tblNSWKnown[[#This Row],[Unknown Locally]]),tblNSWKnown[[#This Row],[Known Locally]]+tblNSWKnown[[#This Row],[Unknown Locally]],"")</f>
        <v>1123</v>
      </c>
      <c r="HR52" s="25">
        <v>19</v>
      </c>
      <c r="HS52" s="166">
        <f>IF(ISNUMBER(tblNSWKnown[[#This Row],[Day '# NSW Unknown]]),betaNSWUnknown/(deltaNSWUnknown+betaPodeltaNSWUnknown*EXP(-betaNSWUnknown*tblNSWKnown[Day '# NSW Unknown])),"")</f>
        <v>1151.1076436787209</v>
      </c>
      <c r="HT52" s="166">
        <f>IF(ISNUMBER(tblNSWKnown[[#This Row],[Total Local]]),(tblNSWKnown[[#This Row],[Total Local]]-tblNSWKnown[[#This Row],[NSW Unknown Logi P(t)]])^2,"")</f>
        <v>790.03963316994088</v>
      </c>
      <c r="HU52" s="166">
        <f>IF(ISNUMBER(tblNSWKnown[Total Local]),(tblNSWKnown[Total Local]-AVERAGE(tblNSWKnown[Total Local]))^2,"")</f>
        <v>2514.7275086505283</v>
      </c>
      <c r="HV52" s="166"/>
    </row>
    <row r="53" spans="2:241" x14ac:dyDescent="0.25">
      <c r="B53" s="26">
        <v>43894</v>
      </c>
      <c r="C53">
        <v>0</v>
      </c>
      <c r="D53" s="25">
        <v>0</v>
      </c>
      <c r="E53">
        <v>22</v>
      </c>
      <c r="F53">
        <v>1</v>
      </c>
      <c r="G53">
        <v>11</v>
      </c>
      <c r="H53">
        <v>5</v>
      </c>
      <c r="I53">
        <v>1</v>
      </c>
      <c r="J53">
        <v>10</v>
      </c>
      <c r="K53">
        <v>2</v>
      </c>
      <c r="L53" s="11">
        <f>IF(ISNUMBER(tblData[[#This Row],[NSW]]),tblData[[#This Row],[New South Wales]]/NSWpopscale,"")</f>
        <v>27.227722772277225</v>
      </c>
      <c r="M53" s="25">
        <v>3089</v>
      </c>
      <c r="N53" s="20">
        <f>IF(ISNUMBER(tblData[Italy]),tblData[Italy]/ItalyPopscale,"")</f>
        <v>510.70513350417463</v>
      </c>
      <c r="O53">
        <v>149</v>
      </c>
      <c r="P53" s="20">
        <f>IF(ISNUMBER(tblData[US]),tblData[US]/USPopscale,"")</f>
        <v>4.525742493161558</v>
      </c>
      <c r="Q53">
        <v>5621</v>
      </c>
      <c r="R53" s="20">
        <f>IF(ISNUMBER(tblData[SKorea]),tblData[SKorea]/SKoreaPopscale,"")</f>
        <v>1093.5797665369651</v>
      </c>
      <c r="S53">
        <v>86</v>
      </c>
      <c r="T53" s="20">
        <f>IF(ISNUMBER(tblData[United Kingdom]),tblData[United Kingdom]/UKPopscale,"")</f>
        <v>12.944009632751355</v>
      </c>
      <c r="U53">
        <v>80386</v>
      </c>
      <c r="V53" s="20">
        <f>IF(ISNUMBER(tblData[China]),tblData[China]/ChinaPopscale,"")</f>
        <v>558.49838195127541</v>
      </c>
      <c r="W53" s="25">
        <f ca="1">IF(tblData[[#This Row],[Dates]]&lt;StartDt2China,"",tblData[[#This Row],[Dates]]-ChinaStart)</f>
        <v>42</v>
      </c>
      <c r="X53">
        <v>110</v>
      </c>
      <c r="Y53" s="20">
        <f>IF(ISNUMBER(tblData[Singapore]),tblData[Singapore]/SingaporePopscale,"")</f>
        <v>188.03418803418805</v>
      </c>
      <c r="Z53">
        <v>6</v>
      </c>
      <c r="AA53" s="20">
        <f>IF(AND(LEN(tblData[Generic])&gt;0,ISNUMBER(tblData[Generic])),tblData[Generic]/GenericPopscale,"")</f>
        <v>12.244897959183673</v>
      </c>
      <c r="AB53" s="25">
        <f ca="1">IF(tblData[[#This Row],[Dates]]&lt;StartDt2Italy,"",tblData[[#This Row],[Dates]]-ItalyStart)</f>
        <v>34</v>
      </c>
      <c r="AC53" s="25">
        <f ca="1">IF(tblData[[#This Row],[Dates]]&lt;=StartDt2US,"",tblData[[#This Row],[Dates]]-USStart)</f>
        <v>42</v>
      </c>
      <c r="AD53" s="25">
        <f>IF(tblData[[#This Row],[Dates]]&lt;=SKoreaStart,"",tblData[[#This Row],[Dates]]-SKoreaStart)</f>
        <v>42</v>
      </c>
      <c r="AE53" s="25">
        <f ca="1">IF(tblData[[#This Row],[Dates]]&lt;=StartDt2UK,"",tblData[[#This Row],[Dates]]-UKStart)</f>
        <v>34</v>
      </c>
      <c r="AF53" s="25">
        <f ca="1">IF(tblData[[#This Row],[Dates]]&lt;StartDt2Singapore,"",tblData[[#This Row],[Dates]]-SingaporeStart)</f>
        <v>41</v>
      </c>
      <c r="AG53" s="25">
        <f>IF(tblData[[#This Row],[Dates]]&lt;StartDt2Generic,"",tblData[[#This Row],[Dates]]-GenericStart)</f>
        <v>4</v>
      </c>
      <c r="AH53">
        <f ca="1">IF(tblData[Dates]&gt;StartDt2Au,tblData[Dates]-AuStart,"")</f>
        <v>39</v>
      </c>
      <c r="AI53" s="25">
        <f>IF(AND(COUNTBLANK(tblData[[#This Row],[Australian Capital Territory]:[Western Australia]])&lt;1,tblData[New South Wales]&gt;=0),SUM(tblData[[#This Row],[Australian Capital Territory]:[Western Australia]]),"")</f>
        <v>52</v>
      </c>
      <c r="AJ53" s="12">
        <f>IF(ISNUMBER(tblData[Au]),tblData[Au]/AuPopScale,"")</f>
        <v>20.501498186405929</v>
      </c>
      <c r="AK53" s="11">
        <f ca="1">IF(ISNUMBER(tblData[[#This Row],[Day'# Aust]]),betaAu/(deltaAu+betaPodeltaAu*EXP(-betaAu*tblData[[#This Row],[Day'# Aust]])),"")</f>
        <v>31.62638886508703</v>
      </c>
      <c r="AL53" s="56">
        <f ca="1">IF(ISNUMBER(tblData[Day'# Aust]),tblData[Au LogiP(t)]/AuPopScale,"")</f>
        <v>12.46900680692597</v>
      </c>
      <c r="AM53" s="11">
        <f ca="1">IF(AND(tblData[Dates]&gt;StartDt2Au,ISNUMBER(tblData[Au])),(tblData[[#This Row],[Au LogiP(t)]]-tblData[[#This Row],[Au]])^2,"")</f>
        <v>415.08403067664977</v>
      </c>
      <c r="AN53" s="11">
        <f ca="1">IF(AND(ISNUMBER(tblData[Au]),tblData[Dates]&gt;StartDt2Au),(tblData[Au]-AVERAGE(tblData[Au]))^2,"")</f>
        <v>5744698.1760999998</v>
      </c>
      <c r="AO53" s="11">
        <f>tblData[[#This Row],[Dates]]-Au100dt</f>
        <v>-11</v>
      </c>
      <c r="AP53">
        <f ca="1">IF(tblData[Dates]&gt;StartDt2NSW,tblData[Dates]-StartDt2NSW,"")</f>
        <v>39</v>
      </c>
      <c r="AQ53" s="25">
        <f>IF(tblData[[#This Row],[New South Wales]]&gt;0,tblData[[#This Row],[New South Wales]],"")</f>
        <v>22</v>
      </c>
      <c r="AR53" s="44">
        <f ca="1">IF(tblData[Dates]&gt;StartDt2NSW,betaNSW/(deltaNSW+betaPodeltaNSW*EXP(-betaNSW*tblData[[#This Row],[Day '# NSW]])),"")</f>
        <v>11.438441602178813</v>
      </c>
      <c r="AS53" s="12">
        <f ca="1">IF(AND(ISNUMBER(tblData[NSW]),tblData[Dates]&gt;StartDt2NSW),(tblData[[#This Row],[NSW LogiP(t)]]-tblData[[#This Row],[NSW]])^2,"")</f>
        <v>111.54651579058725</v>
      </c>
      <c r="AT53" s="12">
        <f ca="1">IF(AND(tblData[Dates]&gt;StartDt2NSW,ISNUMBER(tblData[Day'# Aust])),tblData[NSW LogiP(t)]/NSWpopscale,"")</f>
        <v>14.15648713140942</v>
      </c>
      <c r="AU53" s="11">
        <f>tblData[[#This Row],[Dates]]-NSW100dt+1</f>
        <v>-8</v>
      </c>
      <c r="AV53" s="11">
        <f ca="1">IF(AND(ISNUMBER(tblData[NSW]),tblData[Dates]&gt;StartDt2NSW),(tblData[NSW]-AVERAGE(tblData[NSW]))^2,"")</f>
        <v>1149741.5075999999</v>
      </c>
      <c r="AW53" s="11">
        <f ca="1">IF(AND(tblData[Dates]&gt;StartDt2Italy,ISNUMBER(tblData[Days'# Italy])),betaItaly/(deltaItaly+betaPodeltaItaly*EXP(-betaItaly*tblData[Days'# Italy])),"")</f>
        <v>2389.5107336787896</v>
      </c>
      <c r="AX53" s="11">
        <f ca="1">IF(AND(tblData[Dates]&gt;StartDt2Italy,ISNUMBER(tblData[Italy])),(tblData[[#This Row],[Italy LogiP(t)]]-tblData[[#This Row],[Italy]])^2,"")</f>
        <v>489285.23369858519</v>
      </c>
      <c r="AY53" s="11">
        <f ca="1">IF(AND(tblData[Dates]&gt;StartDt2Italy,ISNUMBER(tblData[Days'# Italy])),tblData[[#This Row],[Italy LogiP(t)]]/ItalyPopscale,"")</f>
        <v>395.05840021142262</v>
      </c>
      <c r="AZ53" s="39">
        <f ca="1">IF(AND(ISNUMBER(tblData[Italy]),tblData[Dates]&gt;StartDt2Italy),(tblData[Italy]-AVERAGE(tblData[Italy]))^2,"")</f>
        <v>4443503123.1336565</v>
      </c>
      <c r="BA53" s="11">
        <f>tblData[[#This Row],[Dates]]-Italy100dt+1</f>
        <v>7</v>
      </c>
      <c r="BB53" s="11">
        <f ca="1">IF(AND(tblData[Dates]&gt;StartDt2US,ISNUMBER(tblData[[#This Row],[Days'# US]])),betaUS/(deltaUS+betaPodeltaUS*EXP(-betaUS*tblData[Days'# US])),"")</f>
        <v>149.95934286646329</v>
      </c>
      <c r="BC53" s="11">
        <f ca="1">IF(AND(tblData[Dates]&gt;StartDt2US,ISNUMBER(tblData[US])),(tblData[[#This Row],[US LogiP(t)]]-tblData[US])^2,"")</f>
        <v>0.92033873543399836</v>
      </c>
      <c r="BD53" s="20">
        <f ca="1">IF(AND(tblData[Dates]&gt;=StartDt2US,ISNUMBER(tblData[[#This Row],[Days'# US]])),tblData[[#This Row],[US LogiP(t)]]/USPopscale,"")</f>
        <v>4.5548816795794389</v>
      </c>
      <c r="BE53" s="126">
        <f ca="1">IF(AND(ISNUMBER(tblData[US]),tblData[Dates]&gt;StartDt2US),(tblData[US]-AVERAGE(tblData[US]))^2,"")</f>
        <v>50083864139.001251</v>
      </c>
      <c r="BF53" s="11">
        <f>tblData[[#This Row],[Dates]]-US100dt+1</f>
        <v>-10</v>
      </c>
      <c r="BG53" s="20">
        <f ca="1">IF(tblData[Dates]&gt;StartDt2SKorea,betaSKorea/(deltaSKorea+betaPodeltaSKorea*EXP(-betaSKorea*(tblData[Dates]-StartDt2SKorea))),"")</f>
        <v>4743.4446978076821</v>
      </c>
      <c r="BH53" s="20">
        <f ca="1">IF(AND(tblData[Dates]&gt;StartDt2SKorea,ISNUMBER(tblData[SKorea])),(tblData[[#This Row],[SKorea LogiP(t)]]-tblData[[#This Row],[SKorea]])^2,"")</f>
        <v>770103.30840585032</v>
      </c>
      <c r="BI53" s="20">
        <f ca="1">IF(tblData[Dates]&gt;StartDt2SKorea,tblData[[#This Row],[SKorea LogiP(t)]]/SKoreaPopscale,"")</f>
        <v>922.84916299760357</v>
      </c>
      <c r="BJ53" s="126">
        <f ca="1">IF(AND(ISNUMBER(tblData[SKorea]),tblData[Dates]&gt;StartDt2SKorea),(tblData[SKorea]-AVERAGE(tblData[SKorea]))^2,"")</f>
        <v>41360.393694732658</v>
      </c>
      <c r="BK53" s="11">
        <f>tblData[[#This Row],[Dates]]-SKorea100dt+1</f>
        <v>11</v>
      </c>
      <c r="BL53" s="11">
        <f ca="1">IF(AND(tblData[Dates]&gt;StartDt2UK,ISNUMBER(tblData[Days'# UK])),betaUK/(deltaUK+betaPodeltaUK*EXP(-betaUK*tblData[Days'# UK])),"")</f>
        <v>123.63400242229272</v>
      </c>
      <c r="BM53" s="20">
        <f ca="1">IF(AND(tblData[Dates]&gt;StartDt2UK,ISNUMBER(tblData[United Kingdom])),(tblData[[#This Row],[UK LogiP(t)]]-tblData[[#This Row],[United Kingdom]])^2,"")</f>
        <v>1416.3181383211347</v>
      </c>
      <c r="BN53" s="20">
        <f ca="1">IF(ISNUMBER(tblData[Days'# UK]),tblData[[#This Row],[UK LogiP(t)]]/UKPopscale,"")</f>
        <v>18.608368817322805</v>
      </c>
      <c r="BO53" s="126">
        <f ca="1">IF(AND(ISNUMBER(tblData[United Kingdom]),tblData[Dates]&gt;StartDt2UK),(tblData[United Kingdom]-AVERAGE(tblData[United Kingdom]))^2,"")</f>
        <v>1434972578.9371889</v>
      </c>
      <c r="BP53" s="11">
        <f>tblData[[#This Row],[Dates]]-UK100dt</f>
        <v>-8</v>
      </c>
      <c r="BQ53" s="11">
        <f ca="1">IF(ISNUMBER(tblData[Days'# China]),betaChina/(deltaChina+betaPodeltaChina*EXP(-betaChina*tblData[Days'# China])),"")</f>
        <v>81731.060924498423</v>
      </c>
      <c r="BR53" s="11">
        <f ca="1">IF(ISNUMBER(tblData[China]),(tblData[[#This Row],[China LogiP(t)]]-tblData[[#This Row],[China]])^2,"")</f>
        <v>1809188.8906125512</v>
      </c>
      <c r="BS53" s="11">
        <f ca="1">tblData[[#This Row],[China LogiP(t)]]/ChinaPopscale</f>
        <v>567.84347126979185</v>
      </c>
      <c r="BT53" s="126">
        <f ca="1">IF(AND(ISNUMBER(tblData[China]),tblData[Dates]&gt;StartDt2China),(tblData[China]-AVERAGE(tblData[China]))^2,"")</f>
        <v>173752717.63321781</v>
      </c>
      <c r="BU53" s="11">
        <f>tblData[[#This Row],[Dates]]-China100dt</f>
        <v>31</v>
      </c>
      <c r="BV53" s="95">
        <f ca="1">IF(ISNUMBER(tblData[Day'# Singapore]),betaSingapore/(deltaSingapore+betaPodeltaSingapore*EXP(-betaSingapore*tblData[Day'# Singapore])),"")</f>
        <v>21.045630401572858</v>
      </c>
      <c r="BW53" s="11">
        <f ca="1">IF(AND(ISNUMBER(tblData[Singapore]),tblData[Dates]&gt;=StartDt2Singapore),(tblData[[#This Row],[Singapore LogiP(t)]]-tblData[[#This Row],[Singapore]])^2,"")</f>
        <v>7912.8798706535799</v>
      </c>
      <c r="BX53" s="20">
        <f ca="1">IF(ISNUMBER(tblData[Day'# Singapore]),tblData[Singapore LogiP(t)]/SingaporePopscale,"")</f>
        <v>35.975436583885227</v>
      </c>
      <c r="BY53" s="95">
        <f ca="1">IF(AND(ISNUMBER(tblData[Singapore]),tblData[Dates]&gt;StartDt2Singapore),(tblData[Singapore]-AVERAGE(tblData[Singapore]))^2,"")</f>
        <v>4887653.9796232227</v>
      </c>
      <c r="BZ53" s="11">
        <f>tblData[[#This Row],[Dates]]-Singapore100dt+1</f>
        <v>20</v>
      </c>
      <c r="CA53" s="44">
        <f>IF(AND(tblData[Dates]&gt;StartDt2Generic,ISNUMBER(tblData[Day'# Generic])),betaGeneric/(deltaGeneric+betaPodeltaGeneric*EXP(-betaGeneric*tblData[Day'# Generic])),"")</f>
        <v>102.59262666173544</v>
      </c>
      <c r="CB53" s="95">
        <f>IF(AND(ISNUMBER(tblData[Generic]),tblData[Dates]&gt;StartDt2Generic),(tblData[Generic LogiP(t)]-tblData[[#This Row],[Generic]])^2,"")</f>
        <v>9330.1355254134032</v>
      </c>
      <c r="CC53" s="11">
        <f>IF(AND(ISNUMBER(tblData[Day'# Generic]),tblData[Dates]&gt;StartDt2Generic),tblData[Generic LogiP(t)]/GenericPopscale,"")</f>
        <v>209.37270747292948</v>
      </c>
      <c r="CD53" s="95">
        <f>IF(AND(ISNUMBER(tblData[Generic]),tblData[Dates]&gt;StartDt2Generic),(tblData[Generic]-AVERAGE(tblData[Generic]))^2,"")</f>
        <v>43923858.211597629</v>
      </c>
      <c r="CE53" s="11">
        <f>tblData[[#This Row],[Dates]]-Generic100dt+1</f>
        <v>-8</v>
      </c>
      <c r="CF53"/>
      <c r="CG53" s="11"/>
      <c r="CH53" s="11" t="str">
        <f>IF(ISNUMBER(tblData[[#This Row],[Tests]]),tblData[[#This Row],[Tests]]-CH52,"")</f>
        <v/>
      </c>
      <c r="CI53" s="11" t="str">
        <f>IF(ISNUMBER(tblData[[#This Row],[NSW Under Investigation'']]),tblData[[#This Row],[NSW Under Investigation'']]-CG52,"")</f>
        <v/>
      </c>
      <c r="CJ53" s="11"/>
      <c r="CK53" s="11" t="str">
        <f>IF(AND(tblData[[#This Row],[NSW Test Day Number]]&gt;0,ISNUMBER(tblData[[#This Row],[NSW Test Day Number]])),betaTests/(deltaTests+betaPodeltaTests*EXP(-betaTests*tblData[[#This Row],[NSW Test Day Number]])),"")</f>
        <v/>
      </c>
      <c r="CL53" s="11" t="str">
        <f>IF(tblData[Tests]&gt;0,(tblData[[#This Row],[Tests]]-tblData[[#This Row],[NSW Test Logi]])^2,"")</f>
        <v/>
      </c>
      <c r="CM53" s="95" t="str">
        <f>IF(AND(ISNUMBER(tblData[Tests]),tblData[Dates]&gt;StartDt2Tests),(tblData[Tests]-AVERAGE(tblData[Tests]))^2,"")</f>
        <v/>
      </c>
      <c r="CN53" s="11" t="str">
        <f>IF(ISNUMBER(tblData[Tests]),tblData[Tests]/NSWpopscale/100,"")</f>
        <v/>
      </c>
      <c r="CO53" s="11" t="str">
        <f>IF(AND(tblData[[#This Row],[NSW Test Day Number]]&gt;0,ISNUMBER(tblData[[#This Row],[NSW Test Day Number]])),TestsLogestB*TestsLogestM^tblData[[#This Row],[NSW Test Day Number]],"")</f>
        <v/>
      </c>
      <c r="CP53" s="11" t="str">
        <f>IF(AND(tblData[[#This Row],[NSW Test Day Number]]&gt;0,ISNUMBER(tblData[Tests])),(tblData[Tests]-tblData[[#This Row],[NSW Test Per Capita]])^2,"")</f>
        <v/>
      </c>
      <c r="CQ53" s="20">
        <f ca="1">IF(AND(tblData[Day '# NSW]&gt;0,ISNUMBER(tblData[[#This Row],[Day '# NSW]])),NSWLogestB*NSWLogestM^tblData[[#This Row],[Day '# NSW]]/NSWpopscale,"")</f>
        <v>60.315148557856041</v>
      </c>
      <c r="CR53" s="39">
        <f ca="1">IF(AND(ISNUMBER(tblData[NSW]),tblData[Dates]&gt;StartDt2NSW),(tblData[NSW]/NSWpopscale-tblData[[#This Row],[NSW Cases LogEst]])^2,"")</f>
        <v>1094.777745116186</v>
      </c>
      <c r="CS53" s="11">
        <v>42</v>
      </c>
      <c r="CT53" s="19">
        <f>IF(ISNUMBER(tblData[Taiwan]),tblData[Taiwan]/TaiwanPopscale,"")</f>
        <v>17.641661068239539</v>
      </c>
      <c r="CU53" s="11">
        <f ca="1">IF(tblData[[#This Row],[Dates]]&lt;StartDt2Taiwan,"",tblData[[#This Row],[Dates]]-TaiwanStart)</f>
        <v>42</v>
      </c>
      <c r="CV53" s="19">
        <f ca="1">IF(AND(tblData[Dates]&gt;StartDt2Taiwan,ISNUMBER(tblData[Days'# Taiwan])),betaTaiwan/(deltaTaiwan+betaPodeltaTaiwan*EXP(-betaTaiwan*tblData[Days'# Taiwan])),"")</f>
        <v>19.962880639757575</v>
      </c>
      <c r="CW53" s="95">
        <f ca="1">IF(AND(tblData[Dates]&gt;StartDt2Taiwan,ISNUMBER(tblData[Taiwan])),(tblData[[#This Row],[Taiwan LogiP(t)]]-tblData[[#This Row],[Taiwan]])^2,"")</f>
        <v>485.63462969757148</v>
      </c>
      <c r="CX53" s="20">
        <f ca="1">IF(AND(tblData[Dates]&gt;StartDt2Taiwan,ISNUMBER(tblData[Days'# Taiwan])),tblData[[#This Row],[Taiwan LogiP(t)]]/TaiwanPopscale,"")</f>
        <v>8.385199385531525</v>
      </c>
      <c r="CY53" s="95">
        <f ca="1">IF(AND(ISNUMBER(tblData[Taiwan]),tblData[Dates]&gt;StartDt2Taiwan),(tblData[Taiwan]-AVERAGE(tblData[Taiwan]))^2,"")</f>
        <v>16268.752402921957</v>
      </c>
      <c r="CZ53" s="11">
        <f>tblData[[#This Row],[Dates]]-Taiwan100dt+1</f>
        <v>-21</v>
      </c>
      <c r="DA53">
        <v>3</v>
      </c>
      <c r="DB53" s="20">
        <f>IF(ISNUMBER(tblData[NZ]),tblData[NZ]/NZPopscale,"")</f>
        <v>5.736137667304015</v>
      </c>
      <c r="DC53" s="11">
        <f ca="1">IF(tblData[[#This Row],[Dates]]&lt;StartDt2NZ,"",tblData[[#This Row],[Dates]]-NZStart)</f>
        <v>5</v>
      </c>
      <c r="DD53" s="20">
        <f ca="1">IF(AND(tblData[Dates]&gt;StartDt2NZ,ISNUMBER(tblData[Days'# NZ])),betaNZ/(deltaNZ+betaPodeltaNZ*EXP(-betaNZ*tblData[Days'# NZ])),"")</f>
        <v>2.0464089913264929</v>
      </c>
      <c r="DE53" s="95">
        <f ca="1">IF(AND(tblData[Dates]&gt;StartDt2NZ,ISNUMBER(tblData[NZ])),(tblData[[#This Row],[NZ LogiP(t)]]-tblData[[#This Row],[NZ]])^2,"")</f>
        <v>0.90933581182295664</v>
      </c>
      <c r="DF53" s="20">
        <f ca="1">IF(AND(tblData[Dates]&gt;StartDt2NZ,ISNUMBER(tblData[Days'# NZ])),tblData[[#This Row],[NZ LogiP(t)]]/NZPopscale,"")</f>
        <v>3.912827899285837</v>
      </c>
      <c r="DG53" s="95">
        <f ca="1">IF(AND(ISNUMBER(tblData[NZ]),tblData[Dates]&gt;StartDt2NZ),(tblData[NZ]-AVERAGE(tblData[NZ]))^2,"")</f>
        <v>470512.85215794313</v>
      </c>
      <c r="DH53" s="11">
        <f>tblData[[#This Row],[Dates]]-NZ100dt+1</f>
        <v>-17</v>
      </c>
      <c r="DI53" s="39"/>
      <c r="DJ53" s="11"/>
      <c r="DM53" s="25"/>
      <c r="DP53"/>
      <c r="DV53" s="25"/>
      <c r="DW53"/>
      <c r="DZ53" s="25"/>
      <c r="EA53" s="25"/>
      <c r="EB53" s="25"/>
      <c r="EH53"/>
      <c r="EI53"/>
      <c r="EJ53"/>
      <c r="EK53"/>
      <c r="EQ53" s="25"/>
      <c r="ER53" s="25"/>
      <c r="ES53" s="25"/>
      <c r="ET53" s="25"/>
      <c r="FF53"/>
      <c r="FG53"/>
      <c r="FH53"/>
      <c r="FI53"/>
      <c r="FJ53" s="25"/>
      <c r="FK53" s="25"/>
      <c r="FM53" s="25"/>
      <c r="FN53"/>
      <c r="FO53" s="267" t="s">
        <v>48</v>
      </c>
      <c r="FP53" s="251">
        <v>43949.721250000002</v>
      </c>
      <c r="FQ53" s="243">
        <v>43855</v>
      </c>
      <c r="FR53" s="160">
        <v>43855</v>
      </c>
      <c r="FS53" s="233">
        <v>0</v>
      </c>
      <c r="FT53" s="22">
        <v>0.23031965212081126</v>
      </c>
      <c r="FU53" s="72">
        <v>3.4929963700562626E-5</v>
      </c>
      <c r="FV53" s="74">
        <v>3.6775580076578961E-3</v>
      </c>
      <c r="FW53" s="212">
        <v>6593.7558394056232</v>
      </c>
      <c r="FX53" s="212">
        <v>62.271654872675079</v>
      </c>
      <c r="FY53" s="212">
        <v>0.99949211920830572</v>
      </c>
      <c r="FZ53" s="213">
        <v>62.628386332517898</v>
      </c>
      <c r="GA53" s="213">
        <v>3.4929963700562623E-2</v>
      </c>
      <c r="GB53" s="243">
        <v>44049</v>
      </c>
      <c r="GC53" s="160" t="s">
        <v>3614</v>
      </c>
      <c r="GD53" s="212">
        <v>6593.7558394051575</v>
      </c>
      <c r="GE53" s="212">
        <v>6719</v>
      </c>
      <c r="GF53" s="74" t="s">
        <v>3615</v>
      </c>
      <c r="GG53" s="243">
        <v>43948</v>
      </c>
      <c r="GH53" s="160">
        <v>94</v>
      </c>
      <c r="GI53" s="160" t="s">
        <v>3616</v>
      </c>
      <c r="GJ53" s="23"/>
      <c r="GK53" s="161" t="s">
        <v>3617</v>
      </c>
      <c r="GL53" s="23"/>
      <c r="GM53" s="235" t="s">
        <v>3618</v>
      </c>
      <c r="GN53" s="204">
        <v>2649.0301214319506</v>
      </c>
      <c r="GO53" s="243"/>
      <c r="GP53" s="236"/>
      <c r="GQ53" s="243"/>
      <c r="GR53" s="23"/>
      <c r="GS53" s="23" t="s">
        <v>3555</v>
      </c>
      <c r="GT53" s="204">
        <v>6593.7558394051575</v>
      </c>
      <c r="GU53" s="34">
        <v>2.3507341184559171E-2</v>
      </c>
      <c r="GV53" s="240">
        <v>43905</v>
      </c>
      <c r="GW53" s="162" t="s">
        <v>2387</v>
      </c>
      <c r="GX53" s="230">
        <v>-129.92045411550498</v>
      </c>
      <c r="GY53" s="23" t="s">
        <v>569</v>
      </c>
      <c r="GZ53" s="23" t="s">
        <v>569</v>
      </c>
      <c r="HA53" s="160" t="s">
        <v>3618</v>
      </c>
      <c r="HK53" s="164">
        <v>43940</v>
      </c>
      <c r="HL53" s="60">
        <v>43940.833333333336</v>
      </c>
      <c r="HM53">
        <v>2957</v>
      </c>
      <c r="HN53">
        <v>162180</v>
      </c>
      <c r="HO53">
        <v>783</v>
      </c>
      <c r="HP53">
        <v>357</v>
      </c>
      <c r="HQ53" s="166">
        <f>IF(ISNUMBER(tblNSWKnown[[#This Row],[Unknown Locally]]),tblNSWKnown[[#This Row],[Known Locally]]+tblNSWKnown[[#This Row],[Unknown Locally]],"")</f>
        <v>1140</v>
      </c>
      <c r="HR53" s="25">
        <v>20</v>
      </c>
      <c r="HS53" s="166">
        <f>IF(ISNUMBER(tblNSWKnown[[#This Row],[Day '# NSW Unknown]]),betaNSWUnknown/(deltaNSWUnknown+betaPodeltaNSWUnknown*EXP(-betaNSWUnknown*tblNSWKnown[Day '# NSW Unknown])),"")</f>
        <v>1155.2087215021909</v>
      </c>
      <c r="HT53" s="166">
        <f>IF(ISNUMBER(tblNSWKnown[[#This Row],[Total Local]]),(tblNSWKnown[[#This Row],[Total Local]]-tblNSWKnown[[#This Row],[NSW Unknown Logi P(t)]])^2,"")</f>
        <v>231.30520973120332</v>
      </c>
      <c r="HU53" s="166">
        <f>IF(ISNUMBER(tblNSWKnown[Total Local]),(tblNSWKnown[Total Local]-AVERAGE(tblNSWKnown[Total Local]))^2,"")</f>
        <v>4508.7275086505315</v>
      </c>
      <c r="HV53" s="166"/>
    </row>
    <row r="54" spans="2:241" x14ac:dyDescent="0.25">
      <c r="B54" s="26">
        <v>43895</v>
      </c>
      <c r="C54">
        <v>0</v>
      </c>
      <c r="D54" s="25">
        <v>0</v>
      </c>
      <c r="E54">
        <v>22</v>
      </c>
      <c r="F54">
        <v>1</v>
      </c>
      <c r="G54">
        <v>13</v>
      </c>
      <c r="H54">
        <v>5</v>
      </c>
      <c r="I54">
        <v>1</v>
      </c>
      <c r="J54">
        <v>10</v>
      </c>
      <c r="K54">
        <v>3</v>
      </c>
      <c r="L54" s="11">
        <f>IF(ISNUMBER(tblData[[#This Row],[NSW]]),tblData[[#This Row],[New South Wales]]/NSWpopscale,"")</f>
        <v>27.227722772277225</v>
      </c>
      <c r="M54" s="25">
        <v>3858</v>
      </c>
      <c r="N54" s="20">
        <f>IF(ISNUMBER(tblData[Italy]),tblData[Italy]/ItalyPopscale,"")</f>
        <v>637.84409357691993</v>
      </c>
      <c r="O54">
        <v>217</v>
      </c>
      <c r="P54" s="20">
        <f>IF(ISNUMBER(tblData[US]),tblData[US]/USPopscale,"")</f>
        <v>6.5911820202420008</v>
      </c>
      <c r="Q54">
        <v>6088</v>
      </c>
      <c r="R54" s="20">
        <f>IF(ISNUMBER(tblData[SKorea]),tblData[SKorea]/SKoreaPopscale,"")</f>
        <v>1184.4357976653698</v>
      </c>
      <c r="S54">
        <v>116</v>
      </c>
      <c r="T54" s="20">
        <f>IF(ISNUMBER(tblData[United Kingdom]),tblData[United Kingdom]/UKPopscale,"")</f>
        <v>17.459361830222758</v>
      </c>
      <c r="U54">
        <v>80537</v>
      </c>
      <c r="V54" s="20">
        <f>IF(ISNUMBER(tblData[China]),tblData[China]/ChinaPopscale,"")</f>
        <v>559.54748572151709</v>
      </c>
      <c r="W54" s="25">
        <f ca="1">IF(tblData[[#This Row],[Dates]]&lt;StartDt2China,"",tblData[[#This Row],[Dates]]-ChinaStart)</f>
        <v>43</v>
      </c>
      <c r="X54">
        <v>117</v>
      </c>
      <c r="Y54" s="20">
        <f>IF(ISNUMBER(tblData[Singapore]),tblData[Singapore]/SingaporePopscale,"")</f>
        <v>200</v>
      </c>
      <c r="Z54">
        <v>6</v>
      </c>
      <c r="AA54" s="20">
        <f>IF(AND(LEN(tblData[Generic])&gt;0,ISNUMBER(tblData[Generic])),tblData[Generic]/GenericPopscale,"")</f>
        <v>12.244897959183673</v>
      </c>
      <c r="AB54" s="25">
        <f ca="1">IF(tblData[[#This Row],[Dates]]&lt;StartDt2Italy,"",tblData[[#This Row],[Dates]]-ItalyStart)</f>
        <v>35</v>
      </c>
      <c r="AC54" s="25">
        <f ca="1">IF(tblData[[#This Row],[Dates]]&lt;=StartDt2US,"",tblData[[#This Row],[Dates]]-USStart)</f>
        <v>43</v>
      </c>
      <c r="AD54" s="25">
        <f>IF(tblData[[#This Row],[Dates]]&lt;=SKoreaStart,"",tblData[[#This Row],[Dates]]-SKoreaStart)</f>
        <v>43</v>
      </c>
      <c r="AE54" s="25">
        <f ca="1">IF(tblData[[#This Row],[Dates]]&lt;=StartDt2UK,"",tblData[[#This Row],[Dates]]-UKStart)</f>
        <v>35</v>
      </c>
      <c r="AF54" s="25">
        <f ca="1">IF(tblData[[#This Row],[Dates]]&lt;StartDt2Singapore,"",tblData[[#This Row],[Dates]]-SingaporeStart)</f>
        <v>42</v>
      </c>
      <c r="AG54" s="25">
        <f>IF(tblData[[#This Row],[Dates]]&lt;StartDt2Generic,"",tblData[[#This Row],[Dates]]-GenericStart)</f>
        <v>5</v>
      </c>
      <c r="AH54">
        <f ca="1">IF(tblData[Dates]&gt;StartDt2Au,tblData[Dates]-AuStart,"")</f>
        <v>40</v>
      </c>
      <c r="AI54" s="25">
        <f>IF(AND(COUNTBLANK(tblData[[#This Row],[Australian Capital Territory]:[Western Australia]])&lt;1,tblData[New South Wales]&gt;=0),SUM(tblData[[#This Row],[Australian Capital Territory]:[Western Australia]]),"")</f>
        <v>55</v>
      </c>
      <c r="AJ54" s="12">
        <f>IF(ISNUMBER(tblData[Au]),tblData[Au]/AuPopScale,"")</f>
        <v>21.68427692792935</v>
      </c>
      <c r="AK54" s="11">
        <f ca="1">IF(ISNUMBER(tblData[[#This Row],[Day'# Aust]]),betaAu/(deltaAu+betaPodeltaAu*EXP(-betaAu*tblData[[#This Row],[Day'# Aust]])),"")</f>
        <v>39.605224036166703</v>
      </c>
      <c r="AL54" s="56">
        <f ca="1">IF(ISNUMBER(tblData[Day'# Aust]),tblData[Au LogiP(t)]/AuPopScale,"")</f>
        <v>15.614739014416774</v>
      </c>
      <c r="AM54" s="11">
        <f ca="1">IF(AND(tblData[Dates]&gt;StartDt2Au,ISNUMBER(tblData[Au])),(tblData[[#This Row],[Au LogiP(t)]]-tblData[[#This Row],[Au]])^2,"")</f>
        <v>236.99912697661941</v>
      </c>
      <c r="AN54" s="11">
        <f ca="1">IF(AND(ISNUMBER(tblData[Au]),tblData[Dates]&gt;StartDt2Au),(tblData[Au]-AVERAGE(tblData[Au]))^2,"")</f>
        <v>5730326.3160999995</v>
      </c>
      <c r="AO54" s="11">
        <f>tblData[[#This Row],[Dates]]-Au100dt</f>
        <v>-10</v>
      </c>
      <c r="AP54">
        <f ca="1">IF(tblData[Dates]&gt;StartDt2NSW,tblData[Dates]-StartDt2NSW,"")</f>
        <v>40</v>
      </c>
      <c r="AQ54" s="25">
        <f>IF(tblData[[#This Row],[New South Wales]]&gt;0,tblData[[#This Row],[New South Wales]],"")</f>
        <v>22</v>
      </c>
      <c r="AR54" s="44">
        <f ca="1">IF(tblData[Dates]&gt;StartDt2NSW,betaNSW/(deltaNSW+betaPodeltaNSW*EXP(-betaNSW*tblData[[#This Row],[Day '# NSW]])),"")</f>
        <v>14.443662812463144</v>
      </c>
      <c r="AS54" s="12">
        <f ca="1">IF(AND(ISNUMBER(tblData[NSW]),tblData[Dates]&gt;StartDt2NSW),(tblData[[#This Row],[NSW LogiP(t)]]-tblData[[#This Row],[NSW]])^2,"")</f>
        <v>57.09823169175241</v>
      </c>
      <c r="AT54" s="12">
        <f ca="1">IF(AND(tblData[Dates]&gt;StartDt2NSW,ISNUMBER(tblData[Day'# Aust])),tblData[NSW LogiP(t)]/NSWpopscale,"")</f>
        <v>17.875820312454383</v>
      </c>
      <c r="AU54" s="11">
        <f>tblData[[#This Row],[Dates]]-NSW100dt+1</f>
        <v>-7</v>
      </c>
      <c r="AV54" s="11">
        <f ca="1">IF(AND(ISNUMBER(tblData[NSW]),tblData[Dates]&gt;StartDt2NSW),(tblData[NSW]-AVERAGE(tblData[NSW]))^2,"")</f>
        <v>1149741.5075999999</v>
      </c>
      <c r="AW54" s="11">
        <f ca="1">IF(AND(tblData[Dates]&gt;StartDt2Italy,ISNUMBER(tblData[Days'# Italy])),betaItaly/(deltaItaly+betaPodeltaItaly*EXP(-betaItaly*tblData[Days'# Italy])),"")</f>
        <v>3064.8971013164232</v>
      </c>
      <c r="AX54" s="11">
        <f ca="1">IF(AND(tblData[Dates]&gt;StartDt2Italy,ISNUMBER(tblData[Italy])),(tblData[[#This Row],[Italy LogiP(t)]]-tblData[[#This Row],[Italy]])^2,"")</f>
        <v>629012.20790029189</v>
      </c>
      <c r="AY54" s="11">
        <f ca="1">IF(AND(tblData[Dates]&gt;StartDt2Italy,ISNUMBER(tblData[Days'# Italy])),tblData[[#This Row],[Italy LogiP(t)]]/ItalyPopscale,"")</f>
        <v>506.72019530733627</v>
      </c>
      <c r="AZ54" s="39">
        <f ca="1">IF(AND(ISNUMBER(tblData[Italy]),tblData[Dates]&gt;StartDt2Italy),(tblData[Italy]-AVERAGE(tblData[Italy]))^2,"")</f>
        <v>4341572009.5166359</v>
      </c>
      <c r="BA54" s="11">
        <f>tblData[[#This Row],[Dates]]-Italy100dt+1</f>
        <v>8</v>
      </c>
      <c r="BB54" s="11">
        <f ca="1">IF(AND(tblData[Dates]&gt;StartDt2US,ISNUMBER(tblData[[#This Row],[Days'# US]])),betaUS/(deltaUS+betaPodeltaUS*EXP(-betaUS*tblData[Days'# US])),"")</f>
        <v>199.15289723633344</v>
      </c>
      <c r="BC54" s="11">
        <f ca="1">IF(AND(tblData[Dates]&gt;StartDt2US,ISNUMBER(tblData[US])),(tblData[[#This Row],[US LogiP(t)]]-tblData[US])^2,"")</f>
        <v>318.51907705687438</v>
      </c>
      <c r="BD54" s="20">
        <f ca="1">IF(AND(tblData[Dates]&gt;=StartDt2US,ISNUMBER(tblData[[#This Row],[Days'# US]])),tblData[[#This Row],[US LogiP(t)]]/USPopscale,"")</f>
        <v>6.0490921453604782</v>
      </c>
      <c r="BE54" s="126">
        <f ca="1">IF(AND(ISNUMBER(tblData[US]),tblData[Dates]&gt;StartDt2US),(tblData[US]-AVERAGE(tblData[US]))^2,"")</f>
        <v>50053432745.667915</v>
      </c>
      <c r="BF54" s="11">
        <f>tblData[[#This Row],[Dates]]-US100dt+1</f>
        <v>-9</v>
      </c>
      <c r="BG54" s="20">
        <f ca="1">IF(tblData[Dates]&gt;StartDt2SKorea,betaSKorea/(deltaSKorea+betaPodeltaSKorea*EXP(-betaSKorea*(tblData[Dates]-StartDt2SKorea))),"")</f>
        <v>5196.451607327911</v>
      </c>
      <c r="BH54" s="20">
        <f ca="1">IF(AND(tblData[Dates]&gt;StartDt2SKorea,ISNUMBER(tblData[SKorea])),(tblData[[#This Row],[SKorea LogiP(t)]]-tblData[[#This Row],[SKorea]])^2,"")</f>
        <v>794858.53647618543</v>
      </c>
      <c r="BI54" s="20">
        <f ca="1">IF(tblData[Dates]&gt;StartDt2SKorea,tblData[[#This Row],[SKorea LogiP(t)]]/SKoreaPopscale,"")</f>
        <v>1010.982802982084</v>
      </c>
      <c r="BJ54" s="126">
        <f ca="1">IF(AND(ISNUMBER(tblData[SKorea]),tblData[Dates]&gt;StartDt2SKorea),(tblData[SKorea]-AVERAGE(tblData[SKorea]))^2,"")</f>
        <v>69499.432910419244</v>
      </c>
      <c r="BK54" s="11">
        <f>tblData[[#This Row],[Dates]]-SKorea100dt+1</f>
        <v>12</v>
      </c>
      <c r="BL54" s="11">
        <f ca="1">IF(AND(tblData[Dates]&gt;StartDt2UK,ISNUMBER(tblData[Days'# UK])),betaUK/(deltaUK+betaPodeltaUK*EXP(-betaUK*tblData[Days'# UK])),"")</f>
        <v>152.98311902177173</v>
      </c>
      <c r="BM54" s="20">
        <f ca="1">IF(AND(tblData[Dates]&gt;StartDt2UK,ISNUMBER(tblData[United Kingdom])),(tblData[[#This Row],[UK LogiP(t)]]-tblData[[#This Row],[United Kingdom]])^2,"")</f>
        <v>1367.7510925785339</v>
      </c>
      <c r="BN54" s="20">
        <f ca="1">IF(ISNUMBER(tblData[Days'# UK]),tblData[[#This Row],[UK LogiP(t)]]/UKPopscale,"")</f>
        <v>23.025755421699536</v>
      </c>
      <c r="BO54" s="126">
        <f ca="1">IF(AND(ISNUMBER(tblData[United Kingdom]),tblData[Dates]&gt;StartDt2UK),(tblData[United Kingdom]-AVERAGE(tblData[United Kingdom]))^2,"")</f>
        <v>1432700617.0222952</v>
      </c>
      <c r="BP54" s="11">
        <f>tblData[[#This Row],[Dates]]-UK100dt</f>
        <v>-7</v>
      </c>
      <c r="BQ54" s="11">
        <f ca="1">IF(ISNUMBER(tblData[Days'# China]),betaChina/(deltaChina+betaPodeltaChina*EXP(-betaChina*tblData[Days'# China])),"")</f>
        <v>81808.859416124047</v>
      </c>
      <c r="BR54" s="11">
        <f ca="1">IF(ISNUMBER(tblData[China]),(tblData[[#This Row],[China LogiP(t)]]-tblData[[#This Row],[China]])^2,"")</f>
        <v>1617626.3743834021</v>
      </c>
      <c r="BS54" s="11">
        <f ca="1">tblData[[#This Row],[China LogiP(t)]]/ChinaPopscale</f>
        <v>568.383992401471</v>
      </c>
      <c r="BT54" s="126">
        <f ca="1">IF(AND(ISNUMBER(tblData[China]),tblData[Dates]&gt;StartDt2China),(tblData[China]-AVERAGE(tblData[China]))^2,"")</f>
        <v>177756340.51557076</v>
      </c>
      <c r="BU54" s="11">
        <f>tblData[[#This Row],[Dates]]-China100dt</f>
        <v>32</v>
      </c>
      <c r="BV54" s="95">
        <f ca="1">IF(ISNUMBER(tblData[Day'# Singapore]),betaSingapore/(deltaSingapore+betaPodeltaSingapore*EXP(-betaSingapore*tblData[Day'# Singapore])),"")</f>
        <v>23.860365944291832</v>
      </c>
      <c r="BW54" s="11">
        <f ca="1">IF(AND(ISNUMBER(tblData[Singapore]),tblData[Dates]&gt;=StartDt2Singapore),(tblData[[#This Row],[Singapore LogiP(t)]]-tblData[[#This Row],[Singapore]])^2,"")</f>
        <v>8674.9914320312328</v>
      </c>
      <c r="BX54" s="20">
        <f ca="1">IF(ISNUMBER(tblData[Day'# Singapore]),tblData[Singapore LogiP(t)]/SingaporePopscale,"")</f>
        <v>40.786950332122792</v>
      </c>
      <c r="BY54" s="95">
        <f ca="1">IF(AND(ISNUMBER(tblData[Singapore]),tblData[Dates]&gt;StartDt2Singapore),(tblData[Singapore]-AVERAGE(tblData[Singapore]))^2,"")</f>
        <v>4856751.7247212622</v>
      </c>
      <c r="BZ54" s="11">
        <f>tblData[[#This Row],[Dates]]-Singapore100dt+1</f>
        <v>21</v>
      </c>
      <c r="CA54" s="44">
        <f>IF(AND(tblData[Dates]&gt;StartDt2Generic,ISNUMBER(tblData[Day'# Generic])),betaGeneric/(deltaGeneric+betaPodeltaGeneric*EXP(-betaGeneric*tblData[Day'# Generic])),"")</f>
        <v>116.68653037872684</v>
      </c>
      <c r="CB54" s="95">
        <f>IF(AND(ISNUMBER(tblData[Generic]),tblData[Dates]&gt;StartDt2Generic),(tblData[Generic LogiP(t)]-tblData[[#This Row],[Generic]])^2,"")</f>
        <v>12251.50800728082</v>
      </c>
      <c r="CC54" s="11">
        <f>IF(AND(ISNUMBER(tblData[Day'# Generic]),tblData[Dates]&gt;StartDt2Generic),tblData[Generic LogiP(t)]/GenericPopscale,"")</f>
        <v>238.135776283116</v>
      </c>
      <c r="CD54" s="95">
        <f>IF(AND(ISNUMBER(tblData[Generic]),tblData[Dates]&gt;StartDt2Generic),(tblData[Generic]-AVERAGE(tblData[Generic]))^2,"")</f>
        <v>43923858.211597629</v>
      </c>
      <c r="CE54" s="11">
        <f>tblData[[#This Row],[Dates]]-Generic100dt+1</f>
        <v>-7</v>
      </c>
      <c r="CF54" s="11">
        <v>0</v>
      </c>
      <c r="CG54" s="11"/>
      <c r="CH54" s="11"/>
      <c r="CI54" s="11" t="str">
        <f>IF(ISNUMBER(tblData[[#This Row],[NSW Under Investigation'']]),tblData[[#This Row],[NSW Under Investigation'']]-CG53,"")</f>
        <v/>
      </c>
      <c r="CJ54" s="11"/>
      <c r="CK54" s="11" t="str">
        <f>IF(AND(tblData[[#This Row],[NSW Test Day Number]]&gt;0,ISNUMBER(tblData[[#This Row],[NSW Test Day Number]])),betaTests/(deltaTests+betaPodeltaTests*EXP(-betaTests*tblData[[#This Row],[NSW Test Day Number]])),"")</f>
        <v/>
      </c>
      <c r="CL54" s="11" t="str">
        <f>IF(tblData[Tests]&gt;0,(tblData[[#This Row],[Tests]]-tblData[[#This Row],[NSW Test Logi]])^2,"")</f>
        <v/>
      </c>
      <c r="CM54" s="95" t="str">
        <f>IF(AND(ISNUMBER(tblData[Tests]),tblData[Dates]&gt;StartDt2Tests),(tblData[Tests]-AVERAGE(tblData[Tests]))^2,"")</f>
        <v/>
      </c>
      <c r="CN54" s="11">
        <f>IF(ISNUMBER(tblData[Tests]),tblData[Tests]/NSWpopscale/100,"")</f>
        <v>0</v>
      </c>
      <c r="CO54" s="11" t="str">
        <f>IF(AND(tblData[[#This Row],[NSW Test Day Number]]&gt;0,ISNUMBER(tblData[[#This Row],[NSW Test Day Number]])),TestsLogestB*TestsLogestM^tblData[[#This Row],[NSW Test Day Number]],"")</f>
        <v/>
      </c>
      <c r="CP54" s="11" t="str">
        <f>IF(AND(tblData[[#This Row],[NSW Test Day Number]]&gt;0,ISNUMBER(tblData[Tests])),(tblData[Tests]-tblData[[#This Row],[NSW Test Per Capita]])^2,"")</f>
        <v/>
      </c>
      <c r="CQ54" s="20">
        <f ca="1">IF(AND(tblData[Day '# NSW]&gt;0,ISNUMBER(tblData[[#This Row],[Day '# NSW]])),NSWLogestB*NSWLogestM^tblData[[#This Row],[Day '# NSW]]/NSWpopscale,"")</f>
        <v>66.404302513304984</v>
      </c>
      <c r="CR54" s="39">
        <f ca="1">IF(AND(ISNUMBER(tblData[NSW]),tblData[Dates]&gt;StartDt2NSW),(tblData[NSW]/NSWpopscale-tblData[[#This Row],[NSW Cases LogEst]])^2,"")</f>
        <v>1534.8044002051065</v>
      </c>
      <c r="CS54" s="11">
        <v>44</v>
      </c>
      <c r="CT54" s="19">
        <f>IF(ISNUMBER(tblData[Taiwan]),tblData[Taiwan]/TaiwanPopscale,"")</f>
        <v>18.481740166727139</v>
      </c>
      <c r="CU54" s="11">
        <f ca="1">IF(tblData[[#This Row],[Dates]]&lt;StartDt2Taiwan,"",tblData[[#This Row],[Dates]]-TaiwanStart)</f>
        <v>43</v>
      </c>
      <c r="CV54" s="19">
        <f ca="1">IF(AND(tblData[Dates]&gt;StartDt2Taiwan,ISNUMBER(tblData[Days'# Taiwan])),betaTaiwan/(deltaTaiwan+betaPodeltaTaiwan*EXP(-betaTaiwan*tblData[Days'# Taiwan])),"")</f>
        <v>22.965511871190223</v>
      </c>
      <c r="CW54" s="95">
        <f ca="1">IF(AND(tblData[Dates]&gt;StartDt2Taiwan,ISNUMBER(tblData[Taiwan])),(tblData[[#This Row],[Taiwan LogiP(t)]]-tblData[[#This Row],[Taiwan]])^2,"")</f>
        <v>442.4496908410394</v>
      </c>
      <c r="CX54" s="20">
        <f ca="1">IF(AND(tblData[Dates]&gt;StartDt2Taiwan,ISNUMBER(tblData[Days'# Taiwan])),tblData[[#This Row],[Taiwan LogiP(t)]]/TaiwanPopscale,"")</f>
        <v>9.6464232545278463</v>
      </c>
      <c r="CY54" s="95">
        <f ca="1">IF(AND(ISNUMBER(tblData[Taiwan]),tblData[Dates]&gt;StartDt2Taiwan),(tblData[Taiwan]-AVERAGE(tblData[Taiwan]))^2,"")</f>
        <v>15762.556324490584</v>
      </c>
      <c r="CZ54" s="11">
        <f>tblData[[#This Row],[Dates]]-Taiwan100dt+1</f>
        <v>-20</v>
      </c>
      <c r="DA54">
        <v>3</v>
      </c>
      <c r="DB54" s="20">
        <f>IF(ISNUMBER(tblData[NZ]),tblData[NZ]/NZPopscale,"")</f>
        <v>5.736137667304015</v>
      </c>
      <c r="DC54" s="11">
        <f ca="1">IF(tblData[[#This Row],[Dates]]&lt;StartDt2NZ,"",tblData[[#This Row],[Dates]]-NZStart)</f>
        <v>6</v>
      </c>
      <c r="DD54" s="20">
        <f ca="1">IF(AND(tblData[Dates]&gt;StartDt2NZ,ISNUMBER(tblData[Days'# NZ])),betaNZ/(deltaNZ+betaPodeltaNZ*EXP(-betaNZ*tblData[Days'# NZ])),"")</f>
        <v>2.5823679277912941</v>
      </c>
      <c r="DE54" s="95">
        <f ca="1">IF(AND(tblData[Dates]&gt;StartDt2NZ,ISNUMBER(tblData[NZ])),(tblData[[#This Row],[NZ LogiP(t)]]-tblData[[#This Row],[NZ]])^2,"")</f>
        <v>0.17441654773733775</v>
      </c>
      <c r="DF54" s="20">
        <f ca="1">IF(AND(tblData[Dates]&gt;StartDt2NZ,ISNUMBER(tblData[Days'# NZ])),tblData[[#This Row],[NZ LogiP(t)]]/NZPopscale,"")</f>
        <v>4.9376059804804857</v>
      </c>
      <c r="DG54" s="95">
        <f ca="1">IF(AND(ISNUMBER(tblData[NZ]),tblData[Dates]&gt;StartDt2NZ),(tblData[NZ]-AVERAGE(tblData[NZ]))^2,"")</f>
        <v>470512.85215794313</v>
      </c>
      <c r="DH54" s="11">
        <f>tblData[[#This Row],[Dates]]-NZ100dt+1</f>
        <v>-16</v>
      </c>
      <c r="DI54" s="39"/>
      <c r="DJ54" s="11"/>
      <c r="DM54" s="25"/>
      <c r="DP54"/>
      <c r="DV54" s="25"/>
      <c r="DW54"/>
      <c r="DZ54" s="25"/>
      <c r="EA54" s="25"/>
      <c r="EB54" s="25"/>
      <c r="EH54"/>
      <c r="EI54"/>
      <c r="EJ54"/>
      <c r="EK54"/>
      <c r="EQ54" s="25"/>
      <c r="ER54" s="25"/>
      <c r="ES54" s="25"/>
      <c r="ET54" s="25"/>
      <c r="FF54"/>
      <c r="FG54"/>
      <c r="FH54"/>
      <c r="FI54"/>
      <c r="FJ54" s="25"/>
      <c r="FK54" s="25"/>
      <c r="FM54" s="25"/>
      <c r="FN54"/>
      <c r="FO54" s="267" t="s">
        <v>48</v>
      </c>
      <c r="FP54" s="251">
        <v>43949.892118055555</v>
      </c>
      <c r="FQ54" s="243">
        <v>43855</v>
      </c>
      <c r="FR54" s="160">
        <v>43855</v>
      </c>
      <c r="FS54" s="233">
        <v>0</v>
      </c>
      <c r="FT54" s="22">
        <v>0.22954926758839245</v>
      </c>
      <c r="FU54" s="72">
        <v>3.476549508916044E-5</v>
      </c>
      <c r="FV54" s="74">
        <v>3.8484375392373784E-3</v>
      </c>
      <c r="FW54" s="212">
        <v>6602.7901227836619</v>
      </c>
      <c r="FX54" s="212">
        <v>63.589916789915051</v>
      </c>
      <c r="FY54" s="212">
        <v>0.99947961437051935</v>
      </c>
      <c r="FZ54" s="213">
        <v>59.647358559194508</v>
      </c>
      <c r="GA54" s="213">
        <v>3.4765495089160443E-2</v>
      </c>
      <c r="GB54" s="243">
        <v>44049</v>
      </c>
      <c r="GC54" s="160" t="s">
        <v>3621</v>
      </c>
      <c r="GD54" s="212">
        <v>6602.7901227831444</v>
      </c>
      <c r="GE54" s="212">
        <v>6733</v>
      </c>
      <c r="GF54" s="74" t="s">
        <v>3615</v>
      </c>
      <c r="GG54" s="243">
        <v>43949</v>
      </c>
      <c r="GH54" s="160">
        <v>95</v>
      </c>
      <c r="GI54" s="160" t="s">
        <v>3622</v>
      </c>
      <c r="GJ54" s="23"/>
      <c r="GK54" s="161" t="s">
        <v>3617</v>
      </c>
      <c r="GL54" s="23"/>
      <c r="GM54" s="235" t="s">
        <v>3623</v>
      </c>
      <c r="GN54" s="204">
        <v>2654.54975555906</v>
      </c>
      <c r="GO54" s="243"/>
      <c r="GP54" s="236"/>
      <c r="GQ54" s="243"/>
      <c r="GR54" s="23"/>
      <c r="GS54" s="23" t="s">
        <v>3620</v>
      </c>
      <c r="GT54" s="204">
        <v>6602.7901227831444</v>
      </c>
      <c r="GU54" s="34">
        <v>2.3955066826962801E-2</v>
      </c>
      <c r="GV54" s="240">
        <v>43905</v>
      </c>
      <c r="GW54" s="162" t="s">
        <v>2387</v>
      </c>
      <c r="GX54" s="230">
        <v>-134.03971332618403</v>
      </c>
      <c r="GY54" s="23" t="s">
        <v>569</v>
      </c>
      <c r="GZ54" s="23" t="s">
        <v>569</v>
      </c>
      <c r="HA54" s="160" t="s">
        <v>3623</v>
      </c>
      <c r="HK54" s="164">
        <v>43941</v>
      </c>
      <c r="HL54" s="60">
        <v>43941.833333333336</v>
      </c>
      <c r="HM54">
        <v>2963</v>
      </c>
      <c r="HN54">
        <v>165663</v>
      </c>
      <c r="HO54">
        <v>790</v>
      </c>
      <c r="HP54">
        <v>358</v>
      </c>
      <c r="HQ54" s="166">
        <f>IF(ISNUMBER(tblNSWKnown[[#This Row],[Unknown Locally]]),tblNSWKnown[[#This Row],[Known Locally]]+tblNSWKnown[[#This Row],[Unknown Locally]],"")</f>
        <v>1148</v>
      </c>
      <c r="HR54" s="25">
        <v>21</v>
      </c>
      <c r="HS54" s="166">
        <f>IF(ISNUMBER(tblNSWKnown[[#This Row],[Day '# NSW Unknown]]),betaNSWUnknown/(deltaNSWUnknown+betaPodeltaNSWUnknown*EXP(-betaNSWUnknown*tblNSWKnown[Day '# NSW Unknown])),"")</f>
        <v>1158.5929325513619</v>
      </c>
      <c r="HT54" s="166">
        <f>IF(ISNUMBER(tblNSWKnown[[#This Row],[Total Local]]),(tblNSWKnown[[#This Row],[Total Local]]-tblNSWKnown[[#This Row],[NSW Unknown Logi P(t)]])^2,"")</f>
        <v>112.21022003770157</v>
      </c>
      <c r="HU54" s="166">
        <f>IF(ISNUMBER(tblNSWKnown[Total Local]),(tblNSWKnown[Total Local]-AVERAGE(tblNSWKnown[Total Local]))^2,"")</f>
        <v>5647.0804498270036</v>
      </c>
      <c r="HV54" s="166"/>
    </row>
    <row r="55" spans="2:241" ht="15" customHeight="1" x14ac:dyDescent="0.25">
      <c r="B55" s="26">
        <v>43896</v>
      </c>
      <c r="C55">
        <v>0</v>
      </c>
      <c r="D55" s="25">
        <v>0</v>
      </c>
      <c r="E55">
        <v>26</v>
      </c>
      <c r="F55">
        <v>0</v>
      </c>
      <c r="G55">
        <v>13</v>
      </c>
      <c r="H55">
        <v>7</v>
      </c>
      <c r="I55">
        <v>1</v>
      </c>
      <c r="J55">
        <v>10</v>
      </c>
      <c r="K55">
        <v>3</v>
      </c>
      <c r="L55" s="11">
        <f>IF(ISNUMBER(tblData[[#This Row],[NSW]]),tblData[[#This Row],[New South Wales]]/NSWpopscale,"")</f>
        <v>32.178217821782177</v>
      </c>
      <c r="M55" s="25">
        <v>4636</v>
      </c>
      <c r="N55" s="20">
        <f>IF(ISNUMBER(tblData[Italy]),tblData[Italy]/ItalyPopscale,"")</f>
        <v>766.47102587418374</v>
      </c>
      <c r="O55">
        <v>262</v>
      </c>
      <c r="P55" s="20">
        <f>IF(ISNUMBER(tblData[US]),tblData[US]/USPopscale,"")</f>
        <v>7.9580170013981757</v>
      </c>
      <c r="Q55">
        <v>6593</v>
      </c>
      <c r="R55" s="20">
        <f>IF(ISNUMBER(tblData[SKorea]),tblData[SKorea]/SKoreaPopscale,"")</f>
        <v>1282.6848249027239</v>
      </c>
      <c r="S55">
        <v>164</v>
      </c>
      <c r="T55" s="20">
        <f>IF(ISNUMBER(tblData[United Kingdom]),tblData[United Kingdom]/UKPopscale,"")</f>
        <v>24.683925346177002</v>
      </c>
      <c r="U55">
        <v>80690</v>
      </c>
      <c r="V55" s="20">
        <f>IF(ISNUMBER(tblData[China]),tblData[China]/ChinaPopscale,"")</f>
        <v>560.61048490593407</v>
      </c>
      <c r="W55" s="25">
        <f ca="1">IF(tblData[[#This Row],[Dates]]&lt;StartDt2China,"",tblData[[#This Row],[Dates]]-ChinaStart)</f>
        <v>44</v>
      </c>
      <c r="X55">
        <v>130</v>
      </c>
      <c r="Y55" s="20">
        <f>IF(ISNUMBER(tblData[Singapore]),tblData[Singapore]/SingaporePopscale,"")</f>
        <v>222.22222222222223</v>
      </c>
      <c r="Z55">
        <v>18</v>
      </c>
      <c r="AA55" s="20">
        <f>IF(AND(LEN(tblData[Generic])&gt;0,ISNUMBER(tblData[Generic])),tblData[Generic]/GenericPopscale,"")</f>
        <v>36.734693877551024</v>
      </c>
      <c r="AB55" s="25">
        <f ca="1">IF(tblData[[#This Row],[Dates]]&lt;StartDt2Italy,"",tblData[[#This Row],[Dates]]-ItalyStart)</f>
        <v>36</v>
      </c>
      <c r="AC55" s="25">
        <f ca="1">IF(tblData[[#This Row],[Dates]]&lt;=StartDt2US,"",tblData[[#This Row],[Dates]]-USStart)</f>
        <v>44</v>
      </c>
      <c r="AD55" s="25">
        <f>IF(tblData[[#This Row],[Dates]]&lt;=SKoreaStart,"",tblData[[#This Row],[Dates]]-SKoreaStart)</f>
        <v>44</v>
      </c>
      <c r="AE55" s="25">
        <f ca="1">IF(tblData[[#This Row],[Dates]]&lt;=StartDt2UK,"",tblData[[#This Row],[Dates]]-UKStart)</f>
        <v>36</v>
      </c>
      <c r="AF55" s="25">
        <f ca="1">IF(tblData[[#This Row],[Dates]]&lt;StartDt2Singapore,"",tblData[[#This Row],[Dates]]-SingaporeStart)</f>
        <v>43</v>
      </c>
      <c r="AG55" s="25">
        <f>IF(tblData[[#This Row],[Dates]]&lt;StartDt2Generic,"",tblData[[#This Row],[Dates]]-GenericStart)</f>
        <v>6</v>
      </c>
      <c r="AH55">
        <f ca="1">IF(tblData[Dates]&gt;StartDt2Au,tblData[Dates]-AuStart,"")</f>
        <v>41</v>
      </c>
      <c r="AI55" s="25">
        <f>IF(AND(COUNTBLANK(tblData[[#This Row],[Australian Capital Territory]:[Western Australia]])&lt;1,tblData[New South Wales]&gt;=0),SUM(tblData[[#This Row],[Australian Capital Territory]:[Western Australia]]),"")</f>
        <v>60</v>
      </c>
      <c r="AJ55" s="12">
        <f>IF(ISNUMBER(tblData[Au]),tblData[Au]/AuPopScale,"")</f>
        <v>23.655574830468382</v>
      </c>
      <c r="AK55" s="11">
        <f ca="1">IF(ISNUMBER(tblData[[#This Row],[Day'# Aust]]),betaAu/(deltaAu+betaPodeltaAu*EXP(-betaAu*tblData[[#This Row],[Day'# Aust]])),"")</f>
        <v>49.581898305282593</v>
      </c>
      <c r="AL55" s="56">
        <f ca="1">IF(ISNUMBER(tblData[Day'# Aust]),tblData[Au LogiP(t)]/AuPopScale,"")</f>
        <v>19.548138426621428</v>
      </c>
      <c r="AM55" s="11">
        <f ca="1">IF(AND(tblData[Dates]&gt;StartDt2Au,ISNUMBER(tblData[Au])),(tblData[[#This Row],[Au LogiP(t)]]-tblData[[#This Row],[Au]])^2,"")</f>
        <v>108.53684292147371</v>
      </c>
      <c r="AN55" s="11">
        <f ca="1">IF(AND(ISNUMBER(tblData[Au]),tblData[Dates]&gt;StartDt2Au),(tblData[Au]-AVERAGE(tblData[Au]))^2,"")</f>
        <v>5706413.2160999998</v>
      </c>
      <c r="AO55" s="11">
        <f>tblData[[#This Row],[Dates]]-Au100dt</f>
        <v>-9</v>
      </c>
      <c r="AP55">
        <f ca="1">IF(tblData[Dates]&gt;StartDt2NSW,tblData[Dates]-StartDt2NSW,"")</f>
        <v>41</v>
      </c>
      <c r="AQ55" s="25">
        <f>IF(tblData[[#This Row],[New South Wales]]&gt;0,tblData[[#This Row],[New South Wales]],"")</f>
        <v>26</v>
      </c>
      <c r="AR55" s="44">
        <f ca="1">IF(tblData[Dates]&gt;StartDt2NSW,betaNSW/(deltaNSW+betaPodeltaNSW*EXP(-betaNSW*tblData[[#This Row],[Day '# NSW]])),"")</f>
        <v>18.233585479587248</v>
      </c>
      <c r="AS55" s="12">
        <f ca="1">IF(AND(ISNUMBER(tblData[NSW]),tblData[Dates]&gt;StartDt2NSW),(tblData[[#This Row],[NSW LogiP(t)]]-tblData[[#This Row],[NSW]])^2,"")</f>
        <v>60.317194502878039</v>
      </c>
      <c r="AT55" s="12">
        <f ca="1">IF(AND(tblData[Dates]&gt;StartDt2NSW,ISNUMBER(tblData[Day'# Aust])),tblData[NSW LogiP(t)]/NSWpopscale,"")</f>
        <v>22.566318662855505</v>
      </c>
      <c r="AU55" s="11">
        <f>tblData[[#This Row],[Dates]]-NSW100dt+1</f>
        <v>-6</v>
      </c>
      <c r="AV55" s="11">
        <f ca="1">IF(AND(ISNUMBER(tblData[NSW]),tblData[Dates]&gt;StartDt2NSW),(tblData[NSW]-AVERAGE(tblData[NSW]))^2,"")</f>
        <v>1141179.4276000001</v>
      </c>
      <c r="AW55" s="11">
        <f ca="1">IF(AND(tblData[Dates]&gt;StartDt2Italy,ISNUMBER(tblData[Days'# Italy])),betaItaly/(deltaItaly+betaPodeltaItaly*EXP(-betaItaly*tblData[Days'# Italy])),"")</f>
        <v>3926.4646805095003</v>
      </c>
      <c r="AX55" s="11">
        <f ca="1">IF(AND(tblData[Dates]&gt;StartDt2Italy,ISNUMBER(tblData[Italy])),(tblData[[#This Row],[Italy LogiP(t)]]-tblData[[#This Row],[Italy]])^2,"")</f>
        <v>503440.3696044854</v>
      </c>
      <c r="AY55" s="11">
        <f ca="1">IF(AND(tblData[Dates]&gt;StartDt2Italy,ISNUMBER(tblData[Days'# Italy])),tblData[[#This Row],[Italy LogiP(t)]]/ItalyPopscale,"")</f>
        <v>649.163376127883</v>
      </c>
      <c r="AZ55" s="39">
        <f ca="1">IF(AND(ISNUMBER(tblData[Italy]),tblData[Dates]&gt;StartDt2Italy),(tblData[Italy]-AVERAGE(tblData[Italy]))^2,"")</f>
        <v>4239651509.9847207</v>
      </c>
      <c r="BA55" s="11">
        <f>tblData[[#This Row],[Dates]]-Italy100dt+1</f>
        <v>9</v>
      </c>
      <c r="BB55" s="11">
        <f ca="1">IF(AND(tblData[Dates]&gt;StartDt2US,ISNUMBER(tblData[[#This Row],[Days'# US]])),betaUS/(deltaUS+betaPodeltaUS*EXP(-betaUS*tblData[Days'# US])),"")</f>
        <v>264.47894945012172</v>
      </c>
      <c r="BC55" s="11">
        <f ca="1">IF(AND(tblData[Dates]&gt;StartDt2US,ISNUMBER(tblData[US])),(tblData[[#This Row],[US LogiP(t)]]-tblData[US])^2,"")</f>
        <v>6.1451903762587667</v>
      </c>
      <c r="BD55" s="20">
        <f ca="1">IF(AND(tblData[Dates]&gt;=StartDt2US,ISNUMBER(tblData[[#This Row],[Days'# US]])),tblData[[#This Row],[US LogiP(t)]]/USPopscale,"")</f>
        <v>8.0333128863969367</v>
      </c>
      <c r="BE55" s="126">
        <f ca="1">IF(AND(ISNUMBER(tblData[US]),tblData[Dates]&gt;StartDt2US),(tblData[US]-AVERAGE(tblData[US]))^2,"")</f>
        <v>50033299408.609093</v>
      </c>
      <c r="BF55" s="11">
        <f>tblData[[#This Row],[Dates]]-US100dt+1</f>
        <v>-8</v>
      </c>
      <c r="BG55" s="20">
        <f ca="1">IF(tblData[Dates]&gt;StartDt2SKorea,betaSKorea/(deltaSKorea+betaPodeltaSKorea*EXP(-betaSKorea*(tblData[Dates]-StartDt2SKorea))),"")</f>
        <v>5648.2177745046811</v>
      </c>
      <c r="BH55" s="20">
        <f ca="1">IF(AND(tblData[Dates]&gt;StartDt2SKorea,ISNUMBER(tblData[SKorea])),(tblData[[#This Row],[SKorea LogiP(t)]]-tblData[[#This Row],[SKorea]])^2,"")</f>
        <v>892613.45361188764</v>
      </c>
      <c r="BI55" s="20">
        <f ca="1">IF(tblData[Dates]&gt;StartDt2SKorea,tblData[[#This Row],[SKorea LogiP(t)]]/SKoreaPopscale,"")</f>
        <v>1098.87505340558</v>
      </c>
      <c r="BJ55" s="126">
        <f ca="1">IF(AND(ISNUMBER(tblData[SKorea]),tblData[Dates]&gt;StartDt2SKorea),(tblData[SKorea]-AVERAGE(tblData[SKorea]))^2,"")</f>
        <v>590788.15840061568</v>
      </c>
      <c r="BK55" s="11">
        <f>tblData[[#This Row],[Dates]]-SKorea100dt+1</f>
        <v>13</v>
      </c>
      <c r="BL55" s="11">
        <f ca="1">IF(AND(tblData[Dates]&gt;StartDt2UK,ISNUMBER(tblData[Days'# UK])),betaUK/(deltaUK+betaPodeltaUK*EXP(-betaUK*tblData[Days'# UK])),"")</f>
        <v>189.29009579008832</v>
      </c>
      <c r="BM55" s="20">
        <f ca="1">IF(AND(tblData[Dates]&gt;StartDt2UK,ISNUMBER(tblData[United Kingdom])),(tblData[[#This Row],[UK LogiP(t)]]-tblData[[#This Row],[United Kingdom]])^2,"")</f>
        <v>639.58894507184277</v>
      </c>
      <c r="BN55" s="20">
        <f ca="1">IF(ISNUMBER(tblData[Days'# UK]),tblData[[#This Row],[UK LogiP(t)]]/UKPopscale,"")</f>
        <v>28.490381666178251</v>
      </c>
      <c r="BO55" s="126">
        <f ca="1">IF(AND(ISNUMBER(tblData[United Kingdom]),tblData[Dates]&gt;StartDt2UK),(tblData[United Kingdom]-AVERAGE(tblData[United Kingdom]))^2,"")</f>
        <v>1429069221.9584653</v>
      </c>
      <c r="BP55" s="11">
        <f>tblData[[#This Row],[Dates]]-UK100dt</f>
        <v>-6</v>
      </c>
      <c r="BQ55" s="11">
        <f ca="1">IF(ISNUMBER(tblData[Days'# China]),betaChina/(deltaChina+betaPodeltaChina*EXP(-betaChina*tblData[Days'# China])),"")</f>
        <v>81871.347541910582</v>
      </c>
      <c r="BR55" s="11">
        <f ca="1">IF(ISNUMBER(tblData[China]),(tblData[[#This Row],[China LogiP(t)]]-tblData[[#This Row],[China]])^2,"")</f>
        <v>1395582.0147781735</v>
      </c>
      <c r="BS55" s="11">
        <f ca="1">tblData[[#This Row],[China LogiP(t)]]/ChinaPopscale</f>
        <v>568.81814159589476</v>
      </c>
      <c r="BT55" s="126">
        <f ca="1">IF(AND(ISNUMBER(tblData[China]),tblData[Dates]&gt;StartDt2China),(tblData[China]-AVERAGE(tblData[China]))^2,"")</f>
        <v>181859503.51557076</v>
      </c>
      <c r="BU55" s="11">
        <f>tblData[[#This Row],[Dates]]-China100dt</f>
        <v>33</v>
      </c>
      <c r="BV55" s="95">
        <f ca="1">IF(ISNUMBER(tblData[Day'# Singapore]),betaSingapore/(deltaSingapore+betaPodeltaSingapore*EXP(-betaSingapore*tblData[Day'# Singapore])),"")</f>
        <v>27.051269765672185</v>
      </c>
      <c r="BW55" s="11">
        <f ca="1">IF(AND(ISNUMBER(tblData[Singapore]),tblData[Dates]&gt;=StartDt2Singapore),(tblData[[#This Row],[Singapore LogiP(t)]]-tblData[[#This Row],[Singapore]])^2,"")</f>
        <v>10598.441056860402</v>
      </c>
      <c r="BX55" s="20">
        <f ca="1">IF(ISNUMBER(tblData[Day'# Singapore]),tblData[Singapore LogiP(t)]/SingaporePopscale,"")</f>
        <v>46.241486778926813</v>
      </c>
      <c r="BY55" s="95">
        <f ca="1">IF(AND(ISNUMBER(tblData[Singapore]),tblData[Dates]&gt;StartDt2Singapore),(tblData[Singapore]-AVERAGE(tblData[Singapore]))^2,"")</f>
        <v>4799621.8227604777</v>
      </c>
      <c r="BZ55" s="11">
        <f>tblData[[#This Row],[Dates]]-Singapore100dt+1</f>
        <v>22</v>
      </c>
      <c r="CA55" s="44">
        <f>IF(AND(tblData[Dates]&gt;StartDt2Generic,ISNUMBER(tblData[Day'# Generic])),betaGeneric/(deltaGeneric+betaPodeltaGeneric*EXP(-betaGeneric*tblData[Day'# Generic])),"")</f>
        <v>132.7064673622076</v>
      </c>
      <c r="CB55" s="95">
        <f>IF(AND(ISNUMBER(tblData[Generic]),tblData[Dates]&gt;StartDt2Generic),(tblData[Generic LogiP(t)]-tblData[[#This Row],[Generic]])^2,"")</f>
        <v>13157.573654717198</v>
      </c>
      <c r="CC55" s="11">
        <f>IF(AND(ISNUMBER(tblData[Day'# Generic]),tblData[Dates]&gt;StartDt2Generic),tblData[Generic LogiP(t)]/GenericPopscale,"")</f>
        <v>270.82952522899512</v>
      </c>
      <c r="CD55" s="95">
        <f>IF(AND(ISNUMBER(tblData[Generic]),tblData[Dates]&gt;StartDt2Generic),(tblData[Generic]-AVERAGE(tblData[Generic]))^2,"")</f>
        <v>43764942.026982248</v>
      </c>
      <c r="CE55" s="11">
        <f>tblData[[#This Row],[Dates]]-Generic100dt+1</f>
        <v>-6</v>
      </c>
      <c r="CF55" s="11">
        <v>6217</v>
      </c>
      <c r="CG55" s="11">
        <v>545</v>
      </c>
      <c r="CH55" s="11"/>
      <c r="CI55" s="11"/>
      <c r="CJ55" s="11">
        <f>IF(tblData[[#This Row],[Dates]]&gt;myData!TestsStart,tblData[[#This Row],[Dates]]-myData!TestsStart,"")</f>
        <v>1</v>
      </c>
      <c r="CK55" s="11">
        <f>IF(AND(tblData[[#This Row],[NSW Test Day Number]]&gt;0,ISNUMBER(tblData[[#This Row],[NSW Test Day Number]])),betaTests/(deltaTests+betaPodeltaTests*EXP(-betaTests*tblData[[#This Row],[NSW Test Day Number]])),"")</f>
        <v>5097.2337520634874</v>
      </c>
      <c r="CL55" s="11">
        <f>IF(tblData[Tests]&gt;0,(tblData[[#This Row],[Tests]]-tblData[[#This Row],[NSW Test Logi]])^2,"")</f>
        <v>1253876.4500178155</v>
      </c>
      <c r="CM55" s="95" t="str">
        <f>IF(AND(ISNUMBER(tblData[Tests]),tblData[Dates]&gt;StartDt2Tests),(tblData[Tests]-AVERAGE(tblData[Tests]))^2,"")</f>
        <v/>
      </c>
      <c r="CN55" s="11">
        <f>IF(ISNUMBER(tblData[Tests]),tblData[Tests]/NSWpopscale/100,"")</f>
        <v>76.943069306930695</v>
      </c>
      <c r="CO55" s="95">
        <f ca="1">IF(AND(tblData[[#This Row],[NSW Test Day Number]]&gt;0,ISNUMBER(tblData[[#This Row],[NSW Test Day Number]])),TestsLogestB*TestsLogestM^tblData[[#This Row],[NSW Test Day Number]],"")</f>
        <v>14052.439044114559</v>
      </c>
      <c r="CP55" s="95">
        <f>IF(AND(tblData[[#This Row],[NSW Test Day Number]]&gt;0,ISNUMBER(tblData[Tests])),(tblData[Tests]-tblData[[#This Row],[NSW Test Per Capita]])^2,"")</f>
        <v>37700299.112151995</v>
      </c>
      <c r="CQ55" s="20">
        <f ca="1">IF(AND(tblData[Day '# NSW]&gt;0,ISNUMBER(tblData[[#This Row],[Day '# NSW]])),NSWLogestB*NSWLogestM^tblData[[#This Row],[Day '# NSW]]/NSWpopscale,"")</f>
        <v>73.108190856046249</v>
      </c>
      <c r="CR55" s="39">
        <f ca="1">IF(AND(ISNUMBER(tblData[NSW]),tblData[Dates]&gt;StartDt2NSW),(tblData[NSW]/NSWpopscale-tblData[[#This Row],[NSW Cases LogEst]])^2,"")</f>
        <v>1675.2626925855841</v>
      </c>
      <c r="CS55" s="11">
        <v>45</v>
      </c>
      <c r="CT55" s="19">
        <f>IF(ISNUMBER(tblData[Taiwan]),tblData[Taiwan]/TaiwanPopscale,"")</f>
        <v>18.901779715970935</v>
      </c>
      <c r="CU55" s="11">
        <f ca="1">IF(tblData[[#This Row],[Dates]]&lt;StartDt2Taiwan,"",tblData[[#This Row],[Dates]]-TaiwanStart)</f>
        <v>44</v>
      </c>
      <c r="CV55" s="19">
        <f ca="1">IF(AND(tblData[Dates]&gt;StartDt2Taiwan,ISNUMBER(tblData[Days'# Taiwan])),betaTaiwan/(deltaTaiwan+betaPodeltaTaiwan*EXP(-betaTaiwan*tblData[Days'# Taiwan])),"")</f>
        <v>26.390433788119047</v>
      </c>
      <c r="CW55" s="95">
        <f ca="1">IF(AND(tblData[Dates]&gt;StartDt2Taiwan,ISNUMBER(tblData[Taiwan])),(tblData[[#This Row],[Taiwan LogiP(t)]]-tblData[[#This Row],[Taiwan]])^2,"")</f>
        <v>346.3159545943812</v>
      </c>
      <c r="CX55" s="20">
        <f ca="1">IF(AND(tblData[Dates]&gt;StartDt2Taiwan,ISNUMBER(tblData[Days'# Taiwan])),tblData[[#This Row],[Taiwan LogiP(t)]]/TaiwanPopscale,"")</f>
        <v>11.085025912709837</v>
      </c>
      <c r="CY55" s="95">
        <f ca="1">IF(AND(ISNUMBER(tblData[Taiwan]),tblData[Dates]&gt;StartDt2Taiwan),(tblData[Taiwan]-AVERAGE(tblData[Taiwan]))^2,"")</f>
        <v>15512.458285274897</v>
      </c>
      <c r="CZ55" s="11">
        <f>tblData[[#This Row],[Dates]]-Taiwan100dt+1</f>
        <v>-19</v>
      </c>
      <c r="DA55">
        <v>4</v>
      </c>
      <c r="DB55" s="20">
        <f>IF(ISNUMBER(tblData[NZ]),tblData[NZ]/NZPopscale,"")</f>
        <v>7.6481835564053533</v>
      </c>
      <c r="DC55" s="11">
        <f ca="1">IF(tblData[[#This Row],[Dates]]&lt;StartDt2NZ,"",tblData[[#This Row],[Dates]]-NZStart)</f>
        <v>7</v>
      </c>
      <c r="DD55" s="20">
        <f ca="1">IF(AND(tblData[Dates]&gt;StartDt2NZ,ISNUMBER(tblData[Days'# NZ])),betaNZ/(deltaNZ+betaPodeltaNZ*EXP(-betaNZ*tblData[Days'# NZ])),"")</f>
        <v>3.2583821945475555</v>
      </c>
      <c r="DE55" s="95">
        <f ca="1">IF(AND(tblData[Dates]&gt;StartDt2NZ,ISNUMBER(tblData[NZ])),(tblData[[#This Row],[NZ LogiP(t)]]-tblData[[#This Row],[NZ]])^2,"")</f>
        <v>0.54999696936409981</v>
      </c>
      <c r="DF55" s="20">
        <f ca="1">IF(AND(tblData[Dates]&gt;StartDt2NZ,ISNUMBER(tblData[Days'# NZ])),tblData[[#This Row],[NZ LogiP(t)]]/NZPopscale,"")</f>
        <v>6.2301762802056508</v>
      </c>
      <c r="DG55" s="95">
        <f ca="1">IF(AND(ISNUMBER(tblData[NZ]),tblData[Dates]&gt;StartDt2NZ),(tblData[NZ]-AVERAGE(tblData[NZ]))^2,"")</f>
        <v>469141.97337006434</v>
      </c>
      <c r="DH55" s="11">
        <f>tblData[[#This Row],[Dates]]-NZ100dt+1</f>
        <v>-15</v>
      </c>
      <c r="DI55" s="39"/>
      <c r="DJ55" s="11"/>
      <c r="DM55" s="25"/>
      <c r="DP55"/>
      <c r="DV55" s="25"/>
      <c r="DW55"/>
      <c r="DZ55" s="25"/>
      <c r="EA55" s="25"/>
      <c r="EB55" s="25"/>
      <c r="EH55"/>
      <c r="EI55"/>
      <c r="EJ55"/>
      <c r="EK55"/>
      <c r="EQ55" s="25"/>
      <c r="ER55" s="25"/>
      <c r="ES55" s="25"/>
      <c r="ET55" s="25"/>
      <c r="FF55"/>
      <c r="FG55"/>
      <c r="FH55"/>
      <c r="FI55"/>
      <c r="FJ55" s="25"/>
      <c r="FK55" s="25"/>
      <c r="FM55" s="25"/>
      <c r="FN55"/>
      <c r="FO55" s="263" t="s">
        <v>48</v>
      </c>
      <c r="FP55" s="250">
        <v>43950.65896990741</v>
      </c>
      <c r="FQ55" s="156">
        <v>43855</v>
      </c>
      <c r="FR55" s="26">
        <v>43855</v>
      </c>
      <c r="FS55" s="211">
        <v>0</v>
      </c>
      <c r="FT55" s="44">
        <v>0.22978258932455287</v>
      </c>
      <c r="FU55" s="71">
        <v>3.479991649276827E-5</v>
      </c>
      <c r="FV55" s="73">
        <v>3.7950077196264522E-3</v>
      </c>
      <c r="FW55" s="214">
        <v>6602.9638137868442</v>
      </c>
      <c r="FX55" s="214">
        <v>63.042589900738911</v>
      </c>
      <c r="FY55" s="214">
        <v>0.99948868746168928</v>
      </c>
      <c r="FZ55" s="213">
        <v>60.548613925143464</v>
      </c>
      <c r="GA55" s="213">
        <v>3.4799916492768271E-2</v>
      </c>
      <c r="GB55" s="243">
        <v>44049</v>
      </c>
      <c r="GC55" s="26" t="s">
        <v>3621</v>
      </c>
      <c r="GD55" s="214">
        <v>6602.9638137863421</v>
      </c>
      <c r="GE55" s="214">
        <v>6733</v>
      </c>
      <c r="GF55" s="73" t="s">
        <v>3615</v>
      </c>
      <c r="GG55" s="156">
        <v>43949</v>
      </c>
      <c r="GH55" s="26">
        <v>95</v>
      </c>
      <c r="GI55" s="26" t="s">
        <v>3622</v>
      </c>
      <c r="GJ55" s="25"/>
      <c r="GK55" s="62" t="s">
        <v>3617</v>
      </c>
      <c r="GM55" s="18" t="s">
        <v>3623</v>
      </c>
      <c r="GN55" s="11">
        <v>2654.54975555906</v>
      </c>
      <c r="GO55" s="156"/>
      <c r="GP55" s="218"/>
      <c r="GQ55" s="156"/>
      <c r="GR55" s="25"/>
      <c r="GS55" s="25" t="s">
        <v>3620</v>
      </c>
      <c r="GT55" s="11">
        <v>6602.9638137863421</v>
      </c>
      <c r="GU55" s="12">
        <v>2.374888237401369E-2</v>
      </c>
      <c r="GV55" s="240">
        <v>43905</v>
      </c>
      <c r="GW55" s="162" t="s">
        <v>2387</v>
      </c>
      <c r="GX55" s="230">
        <v>-133.83502168462201</v>
      </c>
      <c r="GY55" s="25" t="s">
        <v>569</v>
      </c>
      <c r="GZ55" s="25" t="s">
        <v>569</v>
      </c>
      <c r="HA55" s="26" t="s">
        <v>3623</v>
      </c>
      <c r="HK55" s="164">
        <v>43942</v>
      </c>
      <c r="HL55" s="60">
        <v>43942.833333333336</v>
      </c>
      <c r="HM55">
        <v>2969</v>
      </c>
      <c r="HN55">
        <v>168159</v>
      </c>
      <c r="HO55">
        <v>795</v>
      </c>
      <c r="HP55">
        <v>360</v>
      </c>
      <c r="HQ55" s="166">
        <f>IF(ISNUMBER(tblNSWKnown[[#This Row],[Unknown Locally]]),tblNSWKnown[[#This Row],[Known Locally]]+tblNSWKnown[[#This Row],[Unknown Locally]],"")</f>
        <v>1155</v>
      </c>
      <c r="HR55" s="25">
        <v>22</v>
      </c>
      <c r="HS55" s="166">
        <f>IF(ISNUMBER(tblNSWKnown[[#This Row],[Day '# NSW Unknown]]),betaNSWUnknown/(deltaNSWUnknown+betaPodeltaNSWUnknown*EXP(-betaNSWUnknown*tblNSWKnown[Day '# NSW Unknown])),"")</f>
        <v>1161.3823704713652</v>
      </c>
      <c r="HT55" s="166">
        <f>IF(ISNUMBER(tblNSWKnown[[#This Row],[Total Local]]),(tblNSWKnown[[#This Row],[Total Local]]-tblNSWKnown[[#This Row],[NSW Unknown Logi P(t)]])^2,"")</f>
        <v>40.734652833754708</v>
      </c>
      <c r="HU55" s="166">
        <f>IF(ISNUMBER(tblNSWKnown[Total Local]),(tblNSWKnown[Total Local]-AVERAGE(tblNSWKnown[Total Local]))^2,"")</f>
        <v>6748.1392733564171</v>
      </c>
      <c r="HV55" s="166"/>
    </row>
    <row r="56" spans="2:241" ht="15" customHeight="1" x14ac:dyDescent="0.25">
      <c r="B56" s="26">
        <v>43897</v>
      </c>
      <c r="C56">
        <v>0</v>
      </c>
      <c r="D56" s="25">
        <v>0</v>
      </c>
      <c r="E56">
        <v>28</v>
      </c>
      <c r="F56">
        <v>0</v>
      </c>
      <c r="G56">
        <v>13</v>
      </c>
      <c r="H56">
        <v>7</v>
      </c>
      <c r="I56">
        <v>1</v>
      </c>
      <c r="J56">
        <v>11</v>
      </c>
      <c r="K56">
        <v>3</v>
      </c>
      <c r="L56" s="11">
        <f>IF(ISNUMBER(tblData[[#This Row],[NSW]]),tblData[[#This Row],[New South Wales]]/NSWpopscale,"")</f>
        <v>34.653465346534652</v>
      </c>
      <c r="M56" s="25">
        <v>5883</v>
      </c>
      <c r="N56" s="20">
        <f>IF(ISNUMBER(tblData[Italy]),tblData[Italy]/ItalyPopscale,"")</f>
        <v>972.63784409357697</v>
      </c>
      <c r="O56">
        <v>402</v>
      </c>
      <c r="P56" s="20">
        <f>IF(ISNUMBER(tblData[US]),tblData[US]/USPopscale,"")</f>
        <v>12.210392498328499</v>
      </c>
      <c r="Q56">
        <v>7041</v>
      </c>
      <c r="R56" s="20">
        <f>IF(ISNUMBER(tblData[SKorea]),tblData[SKorea]/SKoreaPopscale,"")</f>
        <v>1369.8443579766538</v>
      </c>
      <c r="S56">
        <v>207</v>
      </c>
      <c r="T56" s="20">
        <f>IF(ISNUMBER(tblData[United Kingdom]),tblData[United Kingdom]/UKPopscale,"")</f>
        <v>31.155930162552679</v>
      </c>
      <c r="U56">
        <v>80770</v>
      </c>
      <c r="V56" s="20">
        <f>IF(ISNUMBER(tblData[China]),tblData[China]/ChinaPopscale,"")</f>
        <v>561.1663014729495</v>
      </c>
      <c r="W56" s="25">
        <f ca="1">IF(tblData[[#This Row],[Dates]]&lt;StartDt2China,"",tblData[[#This Row],[Dates]]-ChinaStart)</f>
        <v>45</v>
      </c>
      <c r="X56">
        <v>138</v>
      </c>
      <c r="Y56" s="20">
        <f>IF(ISNUMBER(tblData[Singapore]),tblData[Singapore]/SingaporePopscale,"")</f>
        <v>235.89743589743591</v>
      </c>
      <c r="Z56">
        <v>18</v>
      </c>
      <c r="AA56" s="20">
        <f>IF(AND(LEN(tblData[Generic])&gt;0,ISNUMBER(tblData[Generic])),tblData[Generic]/GenericPopscale,"")</f>
        <v>36.734693877551024</v>
      </c>
      <c r="AB56" s="25">
        <f ca="1">IF(tblData[[#This Row],[Dates]]&lt;StartDt2Italy,"",tblData[[#This Row],[Dates]]-ItalyStart)</f>
        <v>37</v>
      </c>
      <c r="AC56" s="25">
        <f ca="1">IF(tblData[[#This Row],[Dates]]&lt;=StartDt2US,"",tblData[[#This Row],[Dates]]-USStart)</f>
        <v>45</v>
      </c>
      <c r="AD56" s="25">
        <f>IF(tblData[[#This Row],[Dates]]&lt;=SKoreaStart,"",tblData[[#This Row],[Dates]]-SKoreaStart)</f>
        <v>45</v>
      </c>
      <c r="AE56" s="25">
        <f ca="1">IF(tblData[[#This Row],[Dates]]&lt;=StartDt2UK,"",tblData[[#This Row],[Dates]]-UKStart)</f>
        <v>37</v>
      </c>
      <c r="AF56" s="25">
        <f ca="1">IF(tblData[[#This Row],[Dates]]&lt;StartDt2Singapore,"",tblData[[#This Row],[Dates]]-SingaporeStart)</f>
        <v>44</v>
      </c>
      <c r="AG56" s="25">
        <f>IF(tblData[[#This Row],[Dates]]&lt;StartDt2Generic,"",tblData[[#This Row],[Dates]]-GenericStart)</f>
        <v>7</v>
      </c>
      <c r="AH56">
        <f ca="1">IF(tblData[Dates]&gt;StartDt2Au,tblData[Dates]-AuStart,"")</f>
        <v>42</v>
      </c>
      <c r="AI56" s="25">
        <f>IF(AND(COUNTBLANK(tblData[[#This Row],[Australian Capital Territory]:[Western Australia]])&lt;1,tblData[New South Wales]&gt;=0),SUM(tblData[[#This Row],[Australian Capital Territory]:[Western Australia]]),"")</f>
        <v>63</v>
      </c>
      <c r="AJ56" s="12">
        <f>IF(ISNUMBER(tblData[Au]),tblData[Au]/AuPopScale,"")</f>
        <v>24.838353571991799</v>
      </c>
      <c r="AK56" s="11">
        <f ca="1">IF(ISNUMBER(tblData[[#This Row],[Day'# Aust]]),betaAu/(deltaAu+betaPodeltaAu*EXP(-betaAu*tblData[[#This Row],[Day'# Aust]])),"")</f>
        <v>62.048114829015567</v>
      </c>
      <c r="AL56" s="56">
        <f ca="1">IF(ISNUMBER(tblData[Day'# Aust]),tblData[Au LogiP(t)]/AuPopScale,"")</f>
        <v>24.463063723787876</v>
      </c>
      <c r="AM56" s="11">
        <f ca="1">IF(AND(tblData[Dates]&gt;StartDt2Au,ISNUMBER(tblData[Au])),(tblData[[#This Row],[Au LogiP(t)]]-tblData[[#This Row],[Au]])^2,"")</f>
        <v>0.90608537874006267</v>
      </c>
      <c r="AN56" s="11">
        <f ca="1">IF(AND(ISNUMBER(tblData[Au]),tblData[Dates]&gt;StartDt2Au),(tblData[Au]-AVERAGE(tblData[Au]))^2,"")</f>
        <v>5692089.3560999995</v>
      </c>
      <c r="AO56" s="11">
        <f>tblData[[#This Row],[Dates]]-Au100dt</f>
        <v>-8</v>
      </c>
      <c r="AP56">
        <f ca="1">IF(tblData[Dates]&gt;StartDt2NSW,tblData[Dates]-StartDt2NSW,"")</f>
        <v>42</v>
      </c>
      <c r="AQ56" s="25">
        <f>IF(tblData[[#This Row],[New South Wales]]&gt;0,tblData[[#This Row],[New South Wales]],"")</f>
        <v>28</v>
      </c>
      <c r="AR56" s="44">
        <f ca="1">IF(tblData[Dates]&gt;StartDt2NSW,betaNSW/(deltaNSW+betaPodeltaNSW*EXP(-betaNSW*tblData[[#This Row],[Day '# NSW]])),"")</f>
        <v>23.010226245998194</v>
      </c>
      <c r="AS56" s="12">
        <f ca="1">IF(AND(ISNUMBER(tblData[NSW]),tblData[Dates]&gt;StartDt2NSW),(tblData[[#This Row],[NSW LogiP(t)]]-tblData[[#This Row],[NSW]])^2,"")</f>
        <v>24.897842116125279</v>
      </c>
      <c r="AT56" s="12">
        <f ca="1">IF(AND(tblData[Dates]&gt;StartDt2NSW,ISNUMBER(tblData[Day'# Aust])),tblData[NSW LogiP(t)]/NSWpopscale,"")</f>
        <v>28.478002779700734</v>
      </c>
      <c r="AU56" s="11">
        <f>tblData[[#This Row],[Dates]]-NSW100dt+1</f>
        <v>-5</v>
      </c>
      <c r="AV56" s="11">
        <f ca="1">IF(AND(ISNUMBER(tblData[NSW]),tblData[Dates]&gt;StartDt2NSW),(tblData[NSW]-AVERAGE(tblData[NSW]))^2,"")</f>
        <v>1136910.3876</v>
      </c>
      <c r="AW56" s="11">
        <f ca="1">IF(AND(tblData[Dates]&gt;StartDt2Italy,ISNUMBER(tblData[Days'# Italy])),betaItaly/(deltaItaly+betaPodeltaItaly*EXP(-betaItaly*tblData[Days'# Italy])),"")</f>
        <v>5022.5425933922252</v>
      </c>
      <c r="AX56" s="11">
        <f ca="1">IF(AND(tblData[Dates]&gt;StartDt2Italy,ISNUMBER(tblData[Italy])),(tblData[[#This Row],[Italy LogiP(t)]]-tblData[[#This Row],[Italy]])^2,"")</f>
        <v>740386.94858617755</v>
      </c>
      <c r="AY56" s="11">
        <f ca="1">IF(AND(tblData[Dates]&gt;StartDt2Italy,ISNUMBER(tblData[Days'# Italy])),tblData[[#This Row],[Italy LogiP(t)]]/ItalyPopscale,"")</f>
        <v>830.3782083809582</v>
      </c>
      <c r="AZ56" s="39">
        <f ca="1">IF(AND(ISNUMBER(tblData[Italy]),tblData[Dates]&gt;StartDt2Italy),(tblData[Italy]-AVERAGE(tblData[Italy]))^2,"")</f>
        <v>4078815678.6655717</v>
      </c>
      <c r="BA56" s="11">
        <f>tblData[[#This Row],[Dates]]-Italy100dt+1</f>
        <v>10</v>
      </c>
      <c r="BB56" s="11">
        <f ca="1">IF(AND(tblData[Dates]&gt;StartDt2US,ISNUMBER(tblData[[#This Row],[Days'# US]])),betaUS/(deltaUS+betaPodeltaUS*EXP(-betaUS*tblData[Days'# US])),"")</f>
        <v>351.22397177556377</v>
      </c>
      <c r="BC56" s="11">
        <f ca="1">IF(AND(tblData[Dates]&gt;StartDt2US,ISNUMBER(tblData[US])),(tblData[[#This Row],[US LogiP(t)]]-tblData[US])^2,"")</f>
        <v>2578.205042248745</v>
      </c>
      <c r="BD56" s="20">
        <f ca="1">IF(AND(tblData[Dates]&gt;=StartDt2US,ISNUMBER(tblData[[#This Row],[Days'# US]])),tblData[[#This Row],[US LogiP(t)]]/USPopscale,"")</f>
        <v>10.668115796521105</v>
      </c>
      <c r="BE56" s="126">
        <f ca="1">IF(AND(ISNUMBER(tblData[US]),tblData[Dates]&gt;StartDt2US),(tblData[US]-AVERAGE(tblData[US]))^2,"")</f>
        <v>49970688259.981644</v>
      </c>
      <c r="BF56" s="11">
        <f>tblData[[#This Row],[Dates]]-US100dt+1</f>
        <v>-7</v>
      </c>
      <c r="BG56" s="20">
        <f ca="1">IF(tblData[Dates]&gt;StartDt2SKorea,betaSKorea/(deltaSKorea+betaPodeltaSKorea*EXP(-betaSKorea*(tblData[Dates]-StartDt2SKorea))),"")</f>
        <v>6091.7665160802908</v>
      </c>
      <c r="BH56" s="20">
        <f ca="1">IF(AND(tblData[Dates]&gt;StartDt2SKorea,ISNUMBER(tblData[SKorea])),(tblData[[#This Row],[SKorea LogiP(t)]]-tblData[[#This Row],[SKorea]])^2,"")</f>
        <v>901044.2069943489</v>
      </c>
      <c r="BI56" s="20">
        <f ca="1">IF(tblData[Dates]&gt;StartDt2SKorea,tblData[[#This Row],[SKorea LogiP(t)]]/SKoreaPopscale,"")</f>
        <v>1185.1685828949983</v>
      </c>
      <c r="BJ56" s="126">
        <f ca="1">IF(AND(ISNUMBER(tblData[SKorea]),tblData[Dates]&gt;StartDt2SKorea),(tblData[SKorea]-AVERAGE(tblData[SKorea]))^2,"")</f>
        <v>1480182.3544790472</v>
      </c>
      <c r="BK56" s="11">
        <f>tblData[[#This Row],[Dates]]-SKorea100dt+1</f>
        <v>14</v>
      </c>
      <c r="BL56" s="11">
        <f ca="1">IF(AND(tblData[Dates]&gt;StartDt2UK,ISNUMBER(tblData[Days'# UK])),betaUK/(deltaUK+betaPodeltaUK*EXP(-betaUK*tblData[Days'# UK])),"")</f>
        <v>234.19954322936661</v>
      </c>
      <c r="BM56" s="20">
        <f ca="1">IF(AND(tblData[Dates]&gt;StartDt2UK,ISNUMBER(tblData[United Kingdom])),(tblData[[#This Row],[UK LogiP(t)]]-tblData[[#This Row],[United Kingdom]])^2,"")</f>
        <v>739.81515188618312</v>
      </c>
      <c r="BN56" s="20">
        <f ca="1">IF(ISNUMBER(tblData[Days'# UK]),tblData[[#This Row],[UK LogiP(t)]]/UKPopscale,"")</f>
        <v>35.249780738917309</v>
      </c>
      <c r="BO56" s="126">
        <f ca="1">IF(AND(ISNUMBER(tblData[United Kingdom]),tblData[Dates]&gt;StartDt2UK),(tblData[United Kingdom]-AVERAGE(tblData[United Kingdom]))^2,"")</f>
        <v>1425820010.2137847</v>
      </c>
      <c r="BP56" s="11">
        <f>tblData[[#This Row],[Dates]]-UK100dt</f>
        <v>-5</v>
      </c>
      <c r="BQ56" s="11">
        <f ca="1">IF(ISNUMBER(tblData[Days'# China]),betaChina/(deltaChina+betaPodeltaChina*EXP(-betaChina*tblData[Days'# China])),"")</f>
        <v>81921.521306738592</v>
      </c>
      <c r="BR56" s="11">
        <f ca="1">IF(ISNUMBER(tblData[China]),(tblData[[#This Row],[China LogiP(t)]]-tblData[[#This Row],[China]])^2,"")</f>
        <v>1326001.3198729546</v>
      </c>
      <c r="BS56" s="11">
        <f ca="1">tblData[[#This Row],[China LogiP(t)]]/ChinaPopscale</f>
        <v>569.16673421740654</v>
      </c>
      <c r="BT56" s="126">
        <f ca="1">IF(AND(ISNUMBER(tblData[China]),tblData[Dates]&gt;StartDt2China),(tblData[China]-AVERAGE(tblData[China]))^2,"")</f>
        <v>184023588.2214531</v>
      </c>
      <c r="BU56" s="11">
        <f>tblData[[#This Row],[Dates]]-China100dt</f>
        <v>34</v>
      </c>
      <c r="BV56" s="95">
        <f ca="1">IF(ISNUMBER(tblData[Day'# Singapore]),betaSingapore/(deltaSingapore+betaPodeltaSingapore*EXP(-betaSingapore*tblData[Day'# Singapore])),"")</f>
        <v>30.668532082983965</v>
      </c>
      <c r="BW56" s="11">
        <f ca="1">IF(AND(ISNUMBER(tblData[Singapore]),tblData[Dates]&gt;=StartDt2Singapore),(tblData[[#This Row],[Singapore LogiP(t)]]-tblData[[#This Row],[Singapore]])^2,"")</f>
        <v>11520.044005221442</v>
      </c>
      <c r="BX56" s="20">
        <f ca="1">IF(ISNUMBER(tblData[Day'# Singapore]),tblData[Singapore LogiP(t)]/SingaporePopscale,"")</f>
        <v>52.424841167493959</v>
      </c>
      <c r="BY56" s="95">
        <f ca="1">IF(AND(ISNUMBER(tblData[Singapore]),tblData[Dates]&gt;StartDt2Singapore),(tblData[Singapore]-AVERAGE(tblData[Singapore]))^2,"")</f>
        <v>4764632.9600153798</v>
      </c>
      <c r="BZ56" s="11">
        <f>tblData[[#This Row],[Dates]]-Singapore100dt+1</f>
        <v>23</v>
      </c>
      <c r="CA56" s="44">
        <f>IF(AND(tblData[Dates]&gt;StartDt2Generic,ISNUMBER(tblData[Day'# Generic])),betaGeneric/(deltaGeneric+betaPodeltaGeneric*EXP(-betaGeneric*tblData[Day'# Generic])),"")</f>
        <v>150.91266863694261</v>
      </c>
      <c r="CB56" s="95">
        <f>IF(AND(ISNUMBER(tblData[Generic]),tblData[Dates]&gt;StartDt2Generic),(tblData[Generic LogiP(t)]-tblData[[#This Row],[Generic]])^2,"")</f>
        <v>17665.77748419371</v>
      </c>
      <c r="CC56" s="11">
        <f>IF(AND(ISNUMBER(tblData[Day'# Generic]),tblData[Dates]&gt;StartDt2Generic),tblData[Generic LogiP(t)]/GenericPopscale,"")</f>
        <v>307.98503803457675</v>
      </c>
      <c r="CD56" s="95">
        <f>IF(AND(ISNUMBER(tblData[Generic]),tblData[Dates]&gt;StartDt2Generic),(tblData[Generic]-AVERAGE(tblData[Generic]))^2,"")</f>
        <v>43764942.026982248</v>
      </c>
      <c r="CE56" s="11">
        <f>tblData[[#This Row],[Dates]]-Generic100dt+1</f>
        <v>-5</v>
      </c>
      <c r="CF56" s="11">
        <v>6690</v>
      </c>
      <c r="CG56" s="11">
        <v>488</v>
      </c>
      <c r="CH56" s="11">
        <f>IF(ISNUMBER(tblData[[#This Row],[Tests]]),tblData[[#This Row],[Tests]]-CF55,"")</f>
        <v>473</v>
      </c>
      <c r="CI56" s="11">
        <f>IF(ISNUMBER(tblData[[#This Row],[NSW Under Investigation'']]),tblData[[#This Row],[NSW Under Investigation'']]-CG55,"")</f>
        <v>-57</v>
      </c>
      <c r="CJ56" s="11">
        <f>IF(tblData[[#This Row],[Dates]]&gt;myData!TestsStart,tblData[[#This Row],[Dates]]-myData!TestsStart,"")</f>
        <v>2</v>
      </c>
      <c r="CK56" s="11">
        <f>IF(AND(tblData[[#This Row],[NSW Test Day Number]]&gt;0,ISNUMBER(tblData[[#This Row],[NSW Test Day Number]])),betaTests/(deltaTests+betaPodeltaTests*EXP(-betaTests*tblData[[#This Row],[NSW Test Day Number]])),"")</f>
        <v>6044.26114170649</v>
      </c>
      <c r="CL56" s="11">
        <f>IF(tblData[Tests]&gt;0,(tblData[[#This Row],[Tests]]-tblData[[#This Row],[NSW Test Logi]])^2,"")</f>
        <v>416978.6731102058</v>
      </c>
      <c r="CM56" s="95">
        <f>IF(AND(ISNUMBER(tblData[Tests]),tblData[Dates]&gt;StartDt2Tests),(tblData[Tests]-AVERAGE(tblData[Tests]))^2,"")</f>
        <v>9893653743.1588631</v>
      </c>
      <c r="CN56" s="11">
        <f>IF(ISNUMBER(tblData[Tests]),tblData[Tests]/NSWpopscale/100,"")</f>
        <v>82.797029702970292</v>
      </c>
      <c r="CO56" s="95">
        <f ca="1">IF(AND(tblData[[#This Row],[NSW Test Day Number]]&gt;0,ISNUMBER(tblData[[#This Row],[NSW Test Day Number]])),TestsLogestB*TestsLogestM^tblData[[#This Row],[NSW Test Day Number]],"")</f>
        <v>14895.746072418586</v>
      </c>
      <c r="CP56" s="95">
        <f>IF(AND(tblData[[#This Row],[NSW Test Day Number]]&gt;0,ISNUMBER(tblData[Tests])),(tblData[Tests]-tblData[[#This Row],[NSW Test Per Capita]])^2,"")</f>
        <v>43655131.090701886</v>
      </c>
      <c r="CQ56" s="20">
        <f ca="1">IF(AND(tblData[Day '# NSW]&gt;0,ISNUMBER(tblData[[#This Row],[Day '# NSW]])),NSWLogestB*NSWLogestM^tblData[[#This Row],[Day '# NSW]]/NSWpopscale,"")</f>
        <v>80.488874484799865</v>
      </c>
      <c r="CR56" s="39">
        <f ca="1">IF(AND(ISNUMBER(tblData[NSW]),tblData[Dates]&gt;StartDt2NSW),(tblData[NSW]/NSWpopscale-tblData[[#This Row],[NSW Cases LogEst]])^2,"")</f>
        <v>2100.8847308721661</v>
      </c>
      <c r="CS56" s="11">
        <v>45</v>
      </c>
      <c r="CT56" s="19">
        <f>IF(ISNUMBER(tblData[Taiwan]),tblData[Taiwan]/TaiwanPopscale,"")</f>
        <v>18.901779715970935</v>
      </c>
      <c r="CU56" s="11">
        <f ca="1">IF(tblData[[#This Row],[Dates]]&lt;StartDt2Taiwan,"",tblData[[#This Row],[Dates]]-TaiwanStart)</f>
        <v>45</v>
      </c>
      <c r="CV56" s="19">
        <f ca="1">IF(AND(tblData[Dates]&gt;StartDt2Taiwan,ISNUMBER(tblData[Days'# Taiwan])),betaTaiwan/(deltaTaiwan+betaPodeltaTaiwan*EXP(-betaTaiwan*tblData[Days'# Taiwan])),"")</f>
        <v>30.287763091417386</v>
      </c>
      <c r="CW56" s="95">
        <f ca="1">IF(AND(tblData[Dates]&gt;StartDt2Taiwan,ISNUMBER(tblData[Taiwan])),(tblData[[#This Row],[Taiwan LogiP(t)]]-tblData[[#This Row],[Taiwan]])^2,"")</f>
        <v>216.44991485426053</v>
      </c>
      <c r="CX56" s="20">
        <f ca="1">IF(AND(tblData[Dates]&gt;StartDt2Taiwan,ISNUMBER(tblData[Days'# Taiwan])),tblData[[#This Row],[Taiwan LogiP(t)]]/TaiwanPopscale,"")</f>
        <v>12.722058356521918</v>
      </c>
      <c r="CY56" s="95">
        <f ca="1">IF(AND(ISNUMBER(tblData[Taiwan]),tblData[Dates]&gt;StartDt2Taiwan),(tblData[Taiwan]-AVERAGE(tblData[Taiwan]))^2,"")</f>
        <v>15512.458285274897</v>
      </c>
      <c r="CZ56" s="11">
        <f>tblData[[#This Row],[Dates]]-Taiwan100dt+1</f>
        <v>-18</v>
      </c>
      <c r="DA56">
        <v>5</v>
      </c>
      <c r="DB56" s="20">
        <f>IF(ISNUMBER(tblData[NZ]),tblData[NZ]/NZPopscale,"")</f>
        <v>9.5602294455066925</v>
      </c>
      <c r="DC56" s="11">
        <f ca="1">IF(tblData[[#This Row],[Dates]]&lt;StartDt2NZ,"",tblData[[#This Row],[Dates]]-NZStart)</f>
        <v>8</v>
      </c>
      <c r="DD56" s="20">
        <f ca="1">IF(AND(tblData[Dates]&gt;StartDt2NZ,ISNUMBER(tblData[Days'# NZ])),betaNZ/(deltaNZ+betaPodeltaNZ*EXP(-betaNZ*tblData[Days'# NZ])),"")</f>
        <v>4.110865211221272</v>
      </c>
      <c r="DE56" s="95">
        <f ca="1">IF(AND(tblData[Dates]&gt;StartDt2NZ,ISNUMBER(tblData[NZ])),(tblData[[#This Row],[NZ LogiP(t)]]-tblData[[#This Row],[NZ]])^2,"")</f>
        <v>0.79056067261659324</v>
      </c>
      <c r="DF56" s="20">
        <f ca="1">IF(AND(tblData[Dates]&gt;StartDt2NZ,ISNUMBER(tblData[Days'# NZ])),tblData[[#This Row],[NZ LogiP(t)]]/NZPopscale,"")</f>
        <v>7.8601629277653382</v>
      </c>
      <c r="DG56" s="95">
        <f ca="1">IF(AND(ISNUMBER(tblData[NZ]),tblData[Dates]&gt;StartDt2NZ),(tblData[NZ]-AVERAGE(tblData[NZ]))^2,"")</f>
        <v>467773.09458218556</v>
      </c>
      <c r="DH56" s="11">
        <f>tblData[[#This Row],[Dates]]-NZ100dt+1</f>
        <v>-14</v>
      </c>
      <c r="DI56" s="39"/>
      <c r="DJ56" s="11"/>
      <c r="DM56" s="25"/>
      <c r="DP56"/>
      <c r="DV56" s="25"/>
      <c r="DW56"/>
      <c r="DZ56" s="25"/>
      <c r="EA56" s="25"/>
      <c r="EB56" s="25"/>
      <c r="EH56"/>
      <c r="EI56"/>
      <c r="EJ56"/>
      <c r="EK56"/>
      <c r="EQ56" s="25"/>
      <c r="ER56" s="25"/>
      <c r="ES56" s="25"/>
      <c r="ET56" s="25"/>
      <c r="FF56"/>
      <c r="FG56"/>
      <c r="FH56"/>
      <c r="FI56"/>
      <c r="FJ56" s="25"/>
      <c r="FK56" s="25"/>
      <c r="FM56" s="25"/>
      <c r="FN56"/>
      <c r="FO56" s="267" t="s">
        <v>48</v>
      </c>
      <c r="FP56" s="251">
        <v>43950.660358796296</v>
      </c>
      <c r="FQ56" s="243">
        <v>43855</v>
      </c>
      <c r="FR56" s="160">
        <v>43855</v>
      </c>
      <c r="FS56" s="233">
        <v>0</v>
      </c>
      <c r="FT56" s="22">
        <v>0.22904252844713224</v>
      </c>
      <c r="FU56" s="72">
        <v>3.4641805477071675E-5</v>
      </c>
      <c r="FV56" s="74">
        <v>3.9637485644609879E-3</v>
      </c>
      <c r="FW56" s="212">
        <v>6611.7376185467101</v>
      </c>
      <c r="FX56" s="212">
        <v>64.369567832854472</v>
      </c>
      <c r="FY56" s="212">
        <v>0.99947564289820168</v>
      </c>
      <c r="FZ56" s="213">
        <v>57.784288637609876</v>
      </c>
      <c r="GA56" s="213">
        <v>3.4641805477071672E-2</v>
      </c>
      <c r="GB56" s="243">
        <v>44049</v>
      </c>
      <c r="GC56" s="160" t="s">
        <v>3671</v>
      </c>
      <c r="GD56" s="212">
        <v>6611.7376185461535</v>
      </c>
      <c r="GE56" s="212">
        <v>6745</v>
      </c>
      <c r="GF56" s="74" t="s">
        <v>3672</v>
      </c>
      <c r="GG56" s="243">
        <v>43950</v>
      </c>
      <c r="GH56" s="160">
        <v>96</v>
      </c>
      <c r="GI56" s="160" t="s">
        <v>3673</v>
      </c>
      <c r="GJ56" s="23"/>
      <c r="GK56" s="161" t="s">
        <v>3674</v>
      </c>
      <c r="GL56" s="23"/>
      <c r="GM56" s="235" t="s">
        <v>3675</v>
      </c>
      <c r="GN56" s="204">
        <v>2659.2808705251537</v>
      </c>
      <c r="GO56" s="243"/>
      <c r="GP56" s="236"/>
      <c r="GQ56" s="243"/>
      <c r="GR56" s="23"/>
      <c r="GS56" s="23" t="s">
        <v>3670</v>
      </c>
      <c r="GT56" s="204">
        <v>6611.7376185461535</v>
      </c>
      <c r="GU56" s="34">
        <v>2.4205629629540711E-2</v>
      </c>
      <c r="GV56" s="240">
        <v>43905</v>
      </c>
      <c r="GW56" s="162" t="s">
        <v>2387</v>
      </c>
      <c r="GX56" s="230">
        <v>-136.37422257034359</v>
      </c>
      <c r="GY56" s="23" t="s">
        <v>569</v>
      </c>
      <c r="GZ56" s="23" t="s">
        <v>569</v>
      </c>
      <c r="HA56" s="160" t="s">
        <v>3675</v>
      </c>
      <c r="HK56" s="164">
        <v>43943</v>
      </c>
      <c r="HL56" s="60">
        <v>43943.833333333336</v>
      </c>
      <c r="HM56">
        <v>2971</v>
      </c>
      <c r="HN56">
        <v>172448</v>
      </c>
      <c r="HO56">
        <v>799</v>
      </c>
      <c r="HP56">
        <v>356</v>
      </c>
      <c r="HQ56" s="166">
        <f>IF(ISNUMBER(tblNSWKnown[[#This Row],[Unknown Locally]]),tblNSWKnown[[#This Row],[Known Locally]]+tblNSWKnown[[#This Row],[Unknown Locally]],"")</f>
        <v>1155</v>
      </c>
      <c r="HR56" s="25">
        <v>23</v>
      </c>
      <c r="HS56" s="166">
        <f>IF(ISNUMBER(tblNSWKnown[[#This Row],[Day '# NSW Unknown]]),betaNSWUnknown/(deltaNSWUnknown+betaPodeltaNSWUnknown*EXP(-betaNSWUnknown*tblNSWKnown[Day '# NSW Unknown])),"")</f>
        <v>1163.6793845509778</v>
      </c>
      <c r="HT56" s="166">
        <f>IF(ISNUMBER(tblNSWKnown[[#This Row],[Total Local]]),(tblNSWKnown[[#This Row],[Total Local]]-tblNSWKnown[[#This Row],[NSW Unknown Logi P(t)]])^2,"")</f>
        <v>75.331716183752619</v>
      </c>
      <c r="HU56" s="166">
        <f>IF(ISNUMBER(tblNSWKnown[Total Local]),(tblNSWKnown[Total Local]-AVERAGE(tblNSWKnown[Total Local]))^2,"")</f>
        <v>6748.1392733564171</v>
      </c>
      <c r="HV56" s="166"/>
    </row>
    <row r="57" spans="2:241" ht="15" customHeight="1" x14ac:dyDescent="0.25">
      <c r="B57" s="26">
        <v>43898</v>
      </c>
      <c r="C57">
        <v>0</v>
      </c>
      <c r="D57" s="25">
        <v>0</v>
      </c>
      <c r="E57">
        <v>38</v>
      </c>
      <c r="F57">
        <v>0</v>
      </c>
      <c r="G57">
        <v>15</v>
      </c>
      <c r="H57">
        <v>7</v>
      </c>
      <c r="I57">
        <v>2</v>
      </c>
      <c r="J57">
        <v>11</v>
      </c>
      <c r="K57">
        <v>3</v>
      </c>
      <c r="L57" s="11">
        <f>IF(ISNUMBER(tblData[[#This Row],[NSW]]),tblData[[#This Row],[New South Wales]]/NSWpopscale,"")</f>
        <v>47.029702970297024</v>
      </c>
      <c r="M57" s="25">
        <v>7375</v>
      </c>
      <c r="N57" s="20">
        <f>IF(ISNUMBER(tblData[Italy]),tblData[Italy]/ItalyPopscale,"")</f>
        <v>1219.3105728693065</v>
      </c>
      <c r="O57">
        <v>518</v>
      </c>
      <c r="P57" s="20">
        <f>IF(ISNUMBER(tblData[US]),tblData[US]/USPopscale,"")</f>
        <v>15.733789338642195</v>
      </c>
      <c r="Q57">
        <v>7314</v>
      </c>
      <c r="R57" s="20">
        <f>IF(ISNUMBER(tblData[SKorea]),tblData[SKorea]/SKoreaPopscale,"")</f>
        <v>1422.95719844358</v>
      </c>
      <c r="S57">
        <v>274</v>
      </c>
      <c r="T57" s="20">
        <f>IF(ISNUMBER(tblData[United Kingdom]),tblData[United Kingdom]/UKPopscale,"")</f>
        <v>41.240216736905481</v>
      </c>
      <c r="U57">
        <v>80823</v>
      </c>
      <c r="V57" s="20">
        <f>IF(ISNUMBER(tblData[China]),tblData[China]/ChinaPopscale,"")</f>
        <v>561.5345299485972</v>
      </c>
      <c r="W57" s="25">
        <f ca="1">IF(tblData[[#This Row],[Dates]]&lt;StartDt2China,"",tblData[[#This Row],[Dates]]-ChinaStart)</f>
        <v>46</v>
      </c>
      <c r="X57">
        <v>150</v>
      </c>
      <c r="Y57" s="20">
        <f>IF(ISNUMBER(tblData[Singapore]),tblData[Singapore]/SingaporePopscale,"")</f>
        <v>256.41025641025641</v>
      </c>
      <c r="Z57">
        <v>19</v>
      </c>
      <c r="AA57" s="20">
        <f>IF(AND(LEN(tblData[Generic])&gt;0,ISNUMBER(tblData[Generic])),tblData[Generic]/GenericPopscale,"")</f>
        <v>38.775510204081634</v>
      </c>
      <c r="AB57" s="25">
        <f ca="1">IF(tblData[[#This Row],[Dates]]&lt;StartDt2Italy,"",tblData[[#This Row],[Dates]]-ItalyStart)</f>
        <v>38</v>
      </c>
      <c r="AC57" s="25">
        <f ca="1">IF(tblData[[#This Row],[Dates]]&lt;=StartDt2US,"",tblData[[#This Row],[Dates]]-USStart)</f>
        <v>46</v>
      </c>
      <c r="AD57" s="25">
        <f>IF(tblData[[#This Row],[Dates]]&lt;=SKoreaStart,"",tblData[[#This Row],[Dates]]-SKoreaStart)</f>
        <v>46</v>
      </c>
      <c r="AE57" s="25">
        <f ca="1">IF(tblData[[#This Row],[Dates]]&lt;=StartDt2UK,"",tblData[[#This Row],[Dates]]-UKStart)</f>
        <v>38</v>
      </c>
      <c r="AF57" s="25">
        <f ca="1">IF(tblData[[#This Row],[Dates]]&lt;StartDt2Singapore,"",tblData[[#This Row],[Dates]]-SingaporeStart)</f>
        <v>45</v>
      </c>
      <c r="AG57" s="25">
        <f>IF(tblData[[#This Row],[Dates]]&lt;StartDt2Generic,"",tblData[[#This Row],[Dates]]-GenericStart)</f>
        <v>8</v>
      </c>
      <c r="AH57">
        <f ca="1">IF(tblData[Dates]&gt;StartDt2Au,tblData[Dates]-AuStart,"")</f>
        <v>43</v>
      </c>
      <c r="AI57" s="25">
        <f>IF(AND(COUNTBLANK(tblData[[#This Row],[Australian Capital Territory]:[Western Australia]])&lt;1,tblData[New South Wales]&gt;=0),SUM(tblData[[#This Row],[Australian Capital Territory]:[Western Australia]]),"")</f>
        <v>76</v>
      </c>
      <c r="AJ57" s="12">
        <f>IF(ISNUMBER(tblData[Au]),tblData[Au]/AuPopScale,"")</f>
        <v>29.963728118593281</v>
      </c>
      <c r="AK57" s="11">
        <f ca="1">IF(ISNUMBER(tblData[[#This Row],[Day'# Aust]]),betaAu/(deltaAu+betaPodeltaAu*EXP(-betaAu*tblData[[#This Row],[Day'# Aust]])),"")</f>
        <v>77.611781632243606</v>
      </c>
      <c r="AL57" s="56">
        <f ca="1">IF(ISNUMBER(tblData[Day'# Aust]),tblData[Au LogiP(t)]/AuPopScale,"")</f>
        <v>30.599188468791834</v>
      </c>
      <c r="AM57" s="11">
        <f ca="1">IF(AND(tblData[Dates]&gt;StartDt2Au,ISNUMBER(tblData[Au])),(tblData[[#This Row],[Au LogiP(t)]]-tblData[[#This Row],[Au]])^2,"")</f>
        <v>2.5978400300378617</v>
      </c>
      <c r="AN57" s="11">
        <f ca="1">IF(AND(ISNUMBER(tblData[Au]),tblData[Dates]&gt;StartDt2Au),(tblData[Au]-AVERAGE(tblData[Au]))^2,"")</f>
        <v>5630227.2960999999</v>
      </c>
      <c r="AO57" s="11">
        <f>tblData[[#This Row],[Dates]]-Au100dt</f>
        <v>-7</v>
      </c>
      <c r="AP57">
        <f ca="1">IF(tblData[Dates]&gt;StartDt2NSW,tblData[Dates]-StartDt2NSW,"")</f>
        <v>43</v>
      </c>
      <c r="AQ57" s="25">
        <f>IF(tblData[[#This Row],[New South Wales]]&gt;0,tblData[[#This Row],[New South Wales]],"")</f>
        <v>38</v>
      </c>
      <c r="AR57" s="44">
        <f ca="1">IF(tblData[Dates]&gt;StartDt2NSW,betaNSW/(deltaNSW+betaPodeltaNSW*EXP(-betaNSW*tblData[[#This Row],[Day '# NSW]])),"")</f>
        <v>29.025910619412258</v>
      </c>
      <c r="AS57" s="12">
        <f ca="1">IF(AND(ISNUMBER(tblData[NSW]),tblData[Dates]&gt;StartDt2NSW),(tblData[[#This Row],[NSW LogiP(t)]]-tblData[[#This Row],[NSW]])^2,"")</f>
        <v>80.534280210777681</v>
      </c>
      <c r="AT57" s="12">
        <f ca="1">IF(AND(tblData[Dates]&gt;StartDt2NSW,ISNUMBER(tblData[Day'# Aust])),tblData[NSW LogiP(t)]/NSWpopscale,"")</f>
        <v>35.923156707193385</v>
      </c>
      <c r="AU57" s="11">
        <f>tblData[[#This Row],[Dates]]-NSW100dt+1</f>
        <v>-4</v>
      </c>
      <c r="AV57" s="11">
        <f ca="1">IF(AND(ISNUMBER(tblData[NSW]),tblData[Dates]&gt;StartDt2NSW),(tblData[NSW]-AVERAGE(tblData[NSW]))^2,"")</f>
        <v>1115685.1876000001</v>
      </c>
      <c r="AW57" s="11">
        <f ca="1">IF(AND(tblData[Dates]&gt;StartDt2Italy,ISNUMBER(tblData[Days'# Italy])),betaItaly/(deltaItaly+betaPodeltaItaly*EXP(-betaItaly*tblData[Days'# Italy])),"")</f>
        <v>6412.132158678899</v>
      </c>
      <c r="AX57" s="11">
        <f ca="1">IF(AND(tblData[Dates]&gt;StartDt2Italy,ISNUMBER(tblData[Italy])),(tblData[[#This Row],[Italy LogiP(t)]]-tblData[[#This Row],[Italy]])^2,"")</f>
        <v>927114.47985035682</v>
      </c>
      <c r="AY57" s="11">
        <f ca="1">IF(AND(tblData[Dates]&gt;StartDt2Italy,ISNUMBER(tblData[Days'# Italy])),tblData[[#This Row],[Italy LogiP(t)]]/ItalyPopscale,"")</f>
        <v>1060.1193946728774</v>
      </c>
      <c r="AZ57" s="39">
        <f ca="1">IF(AND(ISNUMBER(tblData[Italy]),tblData[Dates]&gt;StartDt2Italy),(tblData[Italy]-AVERAGE(tblData[Italy]))^2,"")</f>
        <v>3890466773.2187634</v>
      </c>
      <c r="BA57" s="11">
        <f>tblData[[#This Row],[Dates]]-Italy100dt+1</f>
        <v>11</v>
      </c>
      <c r="BB57" s="11">
        <f ca="1">IF(AND(tblData[Dates]&gt;StartDt2US,ISNUMBER(tblData[[#This Row],[Days'# US]])),betaUS/(deltaUS+betaPodeltaUS*EXP(-betaUS*tblData[Days'# US])),"")</f>
        <v>466.40370637211896</v>
      </c>
      <c r="BC57" s="11">
        <f ca="1">IF(AND(tblData[Dates]&gt;StartDt2US,ISNUMBER(tblData[US])),(tblData[[#This Row],[US LogiP(t)]]-tblData[US])^2,"")</f>
        <v>2662.1775161345176</v>
      </c>
      <c r="BD57" s="20">
        <f ca="1">IF(AND(tblData[Dates]&gt;=StartDt2US,ISNUMBER(tblData[[#This Row],[Days'# US]])),tblData[[#This Row],[US LogiP(t)]]/USPopscale,"")</f>
        <v>14.166597804673456</v>
      </c>
      <c r="BE57" s="126">
        <f ca="1">IF(AND(ISNUMBER(tblData[US]),tblData[Dates]&gt;StartDt2US),(tblData[US]-AVERAGE(tblData[US]))^2,"")</f>
        <v>49918840147.118896</v>
      </c>
      <c r="BF57" s="11">
        <f>tblData[[#This Row],[Dates]]-US100dt+1</f>
        <v>-6</v>
      </c>
      <c r="BG57" s="20">
        <f ca="1">IF(tblData[Dates]&gt;StartDt2SKorea,betaSKorea/(deltaSKorea+betaPodeltaSKorea*EXP(-betaSKorea*(tblData[Dates]-StartDt2SKorea))),"")</f>
        <v>6520.6212188865238</v>
      </c>
      <c r="BH57" s="20">
        <f ca="1">IF(AND(tblData[Dates]&gt;StartDt2SKorea,ISNUMBER(tblData[SKorea])),(tblData[[#This Row],[SKorea LogiP(t)]]-tblData[[#This Row],[SKorea]])^2,"")</f>
        <v>629449.89032110514</v>
      </c>
      <c r="BI57" s="20">
        <f ca="1">IF(tblData[Dates]&gt;StartDt2SKorea,tblData[[#This Row],[SKorea LogiP(t)]]/SKoreaPopscale,"")</f>
        <v>1268.603349977923</v>
      </c>
      <c r="BJ57" s="126">
        <f ca="1">IF(AND(ISNUMBER(tblData[SKorea]),tblData[Dates]&gt;StartDt2SKorea),(tblData[SKorea]-AVERAGE(tblData[SKorea]))^2,"")</f>
        <v>2218989.9427143415</v>
      </c>
      <c r="BK57" s="11">
        <f>tblData[[#This Row],[Dates]]-SKorea100dt+1</f>
        <v>15</v>
      </c>
      <c r="BL57" s="11">
        <f ca="1">IF(AND(tblData[Dates]&gt;StartDt2UK,ISNUMBER(tblData[Days'# UK])),betaUK/(deltaUK+betaPodeltaUK*EXP(-betaUK*tblData[Days'# UK])),"")</f>
        <v>289.74220254450933</v>
      </c>
      <c r="BM57" s="20">
        <f ca="1">IF(AND(tblData[Dates]&gt;StartDt2UK,ISNUMBER(tblData[United Kingdom])),(tblData[[#This Row],[UK LogiP(t)]]-tblData[[#This Row],[United Kingdom]])^2,"")</f>
        <v>247.81694095235588</v>
      </c>
      <c r="BN57" s="20">
        <f ca="1">IF(ISNUMBER(tblData[Days'# UK]),tblData[[#This Row],[UK LogiP(t)]]/UKPopscale,"")</f>
        <v>43.609603031985145</v>
      </c>
      <c r="BO57" s="126">
        <f ca="1">IF(AND(ISNUMBER(tblData[United Kingdom]),tblData[Dates]&gt;StartDt2UK),(tblData[United Kingdom]-AVERAGE(tblData[United Kingdom]))^2,"")</f>
        <v>1420764654.9371889</v>
      </c>
      <c r="BP57" s="11">
        <f>tblData[[#This Row],[Dates]]-UK100dt</f>
        <v>-4</v>
      </c>
      <c r="BQ57" s="11">
        <f ca="1">IF(ISNUMBER(tblData[Days'# China]),betaChina/(deltaChina+betaPodeltaChina*EXP(-betaChina*tblData[Days'# China])),"")</f>
        <v>81961.796509941079</v>
      </c>
      <c r="BR57" s="11">
        <f ca="1">IF(ISNUMBER(tblData[China]),(tblData[[#This Row],[China LogiP(t)]]-tblData[[#This Row],[China]])^2,"")</f>
        <v>1296857.4910539831</v>
      </c>
      <c r="BS57" s="11">
        <f ca="1">tblData[[#This Row],[China LogiP(t)]]/ChinaPopscale</f>
        <v>569.44655453215466</v>
      </c>
      <c r="BT57" s="126">
        <f ca="1">IF(AND(ISNUMBER(tblData[China]),tblData[Dates]&gt;StartDt2China),(tblData[China]-AVERAGE(tblData[China]))^2,"")</f>
        <v>185464343.33910015</v>
      </c>
      <c r="BU57" s="11">
        <f>tblData[[#This Row],[Dates]]-China100dt</f>
        <v>35</v>
      </c>
      <c r="BV57" s="95">
        <f ca="1">IF(ISNUMBER(tblData[Day'# Singapore]),betaSingapore/(deltaSingapore+betaPodeltaSingapore*EXP(-betaSingapore*tblData[Day'# Singapore])),"")</f>
        <v>34.76901639119918</v>
      </c>
      <c r="BW57" s="11">
        <f ca="1">IF(AND(ISNUMBER(tblData[Singapore]),tblData[Dates]&gt;=StartDt2Singapore),(tblData[[#This Row],[Singapore LogiP(t)]]-tblData[[#This Row],[Singapore]])^2,"")</f>
        <v>13278.179583451722</v>
      </c>
      <c r="BX57" s="20">
        <f ca="1">IF(ISNUMBER(tblData[Day'# Singapore]),tblData[Singapore LogiP(t)]/SingaporePopscale,"")</f>
        <v>59.434216053331937</v>
      </c>
      <c r="BY57" s="95">
        <f ca="1">IF(AND(ISNUMBER(tblData[Singapore]),tblData[Dates]&gt;StartDt2Singapore),(tblData[Singapore]-AVERAGE(tblData[Singapore]))^2,"")</f>
        <v>4712389.6658977326</v>
      </c>
      <c r="BZ57" s="11">
        <f>tblData[[#This Row],[Dates]]-Singapore100dt+1</f>
        <v>24</v>
      </c>
      <c r="CA57" s="44">
        <f>IF(AND(tblData[Dates]&gt;StartDt2Generic,ISNUMBER(tblData[Day'# Generic])),betaGeneric/(deltaGeneric+betaPodeltaGeneric*EXP(-betaGeneric*tblData[Day'# Generic])),"")</f>
        <v>171.59965485144036</v>
      </c>
      <c r="CB57" s="95">
        <f>IF(AND(ISNUMBER(tblData[Generic]),tblData[Dates]&gt;StartDt2Generic),(tblData[Generic LogiP(t)]-tblData[[#This Row],[Generic]])^2,"")</f>
        <v>23286.654660778728</v>
      </c>
      <c r="CC57" s="11">
        <f>IF(AND(ISNUMBER(tblData[Day'# Generic]),tblData[Dates]&gt;StartDt2Generic),tblData[Generic LogiP(t)]/GenericPopscale,"")</f>
        <v>350.20337724783747</v>
      </c>
      <c r="CD57" s="95">
        <f>IF(AND(ISNUMBER(tblData[Generic]),tblData[Dates]&gt;StartDt2Generic),(tblData[Generic]-AVERAGE(tblData[Generic]))^2,"")</f>
        <v>43751712.011597633</v>
      </c>
      <c r="CE57" s="11">
        <f>tblData[[#This Row],[Dates]]-Generic100dt+1</f>
        <v>-4</v>
      </c>
      <c r="CF57" s="11">
        <v>7361</v>
      </c>
      <c r="CG57" s="11">
        <v>576</v>
      </c>
      <c r="CH57" s="11">
        <f>IF(ISNUMBER(tblData[[#This Row],[Tests]]),tblData[[#This Row],[Tests]]-CF56,"")</f>
        <v>671</v>
      </c>
      <c r="CI57" s="11">
        <f>IF(ISNUMBER(tblData[[#This Row],[NSW Under Investigation'']]),tblData[[#This Row],[NSW Under Investigation'']]-CG56,"")</f>
        <v>88</v>
      </c>
      <c r="CJ57" s="11">
        <f>IF(tblData[[#This Row],[Dates]]&gt;myData!TestsStart,tblData[[#This Row],[Dates]]-myData!TestsStart,"")</f>
        <v>3</v>
      </c>
      <c r="CK57" s="11">
        <f>IF(AND(tblData[[#This Row],[NSW Test Day Number]]&gt;0,ISNUMBER(tblData[[#This Row],[NSW Test Day Number]])),betaTests/(deltaTests+betaPodeltaTests*EXP(-betaTests*tblData[[#This Row],[NSW Test Day Number]])),"")</f>
        <v>7159.7158928624867</v>
      </c>
      <c r="CL57" s="11">
        <f>IF(tblData[Tests]&gt;0,(tblData[[#This Row],[Tests]]-tblData[[#This Row],[NSW Test Logi]])^2,"")</f>
        <v>40515.291786145921</v>
      </c>
      <c r="CM57" s="95">
        <f>IF(AND(ISNUMBER(tblData[Tests]),tblData[Dates]&gt;StartDt2Tests),(tblData[Tests]-AVERAGE(tblData[Tests]))^2,"")</f>
        <v>9760619474.8707275</v>
      </c>
      <c r="CN57" s="11">
        <f>IF(ISNUMBER(tblData[Tests]),tblData[Tests]/NSWpopscale/100,"")</f>
        <v>91.10148514851484</v>
      </c>
      <c r="CO57" s="95">
        <f ca="1">IF(AND(tblData[[#This Row],[NSW Test Day Number]]&gt;0,ISNUMBER(tblData[[#This Row],[NSW Test Day Number]])),TestsLogestB*TestsLogestM^tblData[[#This Row],[NSW Test Day Number]],"")</f>
        <v>15789.66116539768</v>
      </c>
      <c r="CP57" s="95">
        <f>IF(AND(tblData[[#This Row],[NSW Test Day Number]]&gt;0,ISNUMBER(tblData[Tests])),(tblData[Tests]-tblData[[#This Row],[NSW Test Per Capita]])^2,"")</f>
        <v>52851424.416239828</v>
      </c>
      <c r="CQ57" s="20">
        <f ca="1">IF(AND(tblData[Day '# NSW]&gt;0,ISNUMBER(tblData[[#This Row],[Day '# NSW]])),NSWLogestB*NSWLogestM^tblData[[#This Row],[Day '# NSW]]/NSWpopscale,"")</f>
        <v>88.614679695552582</v>
      </c>
      <c r="CR57" s="39">
        <f ca="1">IF(AND(ISNUMBER(tblData[NSW]),tblData[Dates]&gt;StartDt2NSW),(tblData[NSW]/NSWpopscale-tblData[[#This Row],[NSW Cases LogEst]])^2,"")</f>
        <v>1729.3102892400464</v>
      </c>
      <c r="CS57" s="11">
        <v>45</v>
      </c>
      <c r="CT57" s="19">
        <f>IF(ISNUMBER(tblData[Taiwan]),tblData[Taiwan]/TaiwanPopscale,"")</f>
        <v>18.901779715970935</v>
      </c>
      <c r="CU57" s="11">
        <f ca="1">IF(tblData[[#This Row],[Dates]]&lt;StartDt2Taiwan,"",tblData[[#This Row],[Dates]]-TaiwanStart)</f>
        <v>46</v>
      </c>
      <c r="CV57" s="19">
        <f ca="1">IF(AND(tblData[Dates]&gt;StartDt2Taiwan,ISNUMBER(tblData[Days'# Taiwan])),betaTaiwan/(deltaTaiwan+betaPodeltaTaiwan*EXP(-betaTaiwan*tblData[Days'# Taiwan])),"")</f>
        <v>34.710683192499545</v>
      </c>
      <c r="CW57" s="95">
        <f ca="1">IF(AND(tblData[Dates]&gt;StartDt2Taiwan,ISNUMBER(tblData[Taiwan])),(tblData[[#This Row],[Taiwan LogiP(t)]]-tblData[[#This Row],[Taiwan]])^2,"")</f>
        <v>105.87004036511136</v>
      </c>
      <c r="CX57" s="20">
        <f ca="1">IF(AND(tblData[Dates]&gt;StartDt2Taiwan,ISNUMBER(tblData[Days'# Taiwan])),tblData[[#This Row],[Taiwan LogiP(t)]]/TaiwanPopscale,"")</f>
        <v>14.579859722121805</v>
      </c>
      <c r="CY57" s="95">
        <f ca="1">IF(AND(ISNUMBER(tblData[Taiwan]),tblData[Dates]&gt;StartDt2Taiwan),(tblData[Taiwan]-AVERAGE(tblData[Taiwan]))^2,"")</f>
        <v>15512.458285274897</v>
      </c>
      <c r="CZ57" s="11">
        <f>tblData[[#This Row],[Dates]]-Taiwan100dt+1</f>
        <v>-17</v>
      </c>
      <c r="DA57">
        <v>5</v>
      </c>
      <c r="DB57" s="20">
        <f>IF(ISNUMBER(tblData[NZ]),tblData[NZ]/NZPopscale,"")</f>
        <v>9.5602294455066925</v>
      </c>
      <c r="DC57" s="11">
        <f ca="1">IF(tblData[[#This Row],[Dates]]&lt;StartDt2NZ,"",tblData[[#This Row],[Dates]]-NZStart)</f>
        <v>9</v>
      </c>
      <c r="DD57" s="20">
        <f ca="1">IF(AND(tblData[Dates]&gt;StartDt2NZ,ISNUMBER(tblData[Days'# NZ])),betaNZ/(deltaNZ+betaPodeltaNZ*EXP(-betaNZ*tblData[Days'# NZ])),"")</f>
        <v>5.1855880587488468</v>
      </c>
      <c r="DE57" s="95">
        <f ca="1">IF(AND(tblData[Dates]&gt;StartDt2NZ,ISNUMBER(tblData[NZ])),(tblData[[#This Row],[NZ LogiP(t)]]-tblData[[#This Row],[NZ]])^2,"")</f>
        <v>3.4442927550165398E-2</v>
      </c>
      <c r="DF57" s="20">
        <f ca="1">IF(AND(tblData[Dates]&gt;StartDt2NZ,ISNUMBER(tblData[Days'# NZ])),tblData[[#This Row],[NZ LogiP(t)]]/NZPopscale,"")</f>
        <v>9.9150823303037221</v>
      </c>
      <c r="DG57" s="95">
        <f ca="1">IF(AND(ISNUMBER(tblData[NZ]),tblData[Dates]&gt;StartDt2NZ),(tblData[NZ]-AVERAGE(tblData[NZ]))^2,"")</f>
        <v>467773.09458218556</v>
      </c>
      <c r="DH57" s="11">
        <f>tblData[[#This Row],[Dates]]-NZ100dt+1</f>
        <v>-13</v>
      </c>
      <c r="DI57" s="39"/>
      <c r="DJ57" s="11"/>
      <c r="DM57" s="25"/>
      <c r="DP57"/>
      <c r="DV57" s="25"/>
      <c r="DW57"/>
      <c r="DZ57" s="25"/>
      <c r="EA57" s="25"/>
      <c r="EB57" s="25"/>
      <c r="EH57"/>
      <c r="EI57"/>
      <c r="EJ57"/>
      <c r="EK57"/>
      <c r="EQ57" s="25"/>
      <c r="ER57" s="25"/>
      <c r="ES57" s="25"/>
      <c r="ET57" s="25"/>
      <c r="FF57"/>
      <c r="FG57"/>
      <c r="FH57"/>
      <c r="FI57"/>
      <c r="FJ57" s="25"/>
      <c r="FK57" s="25"/>
      <c r="FM57" s="25"/>
      <c r="FN57"/>
      <c r="FO57" s="263" t="s">
        <v>48</v>
      </c>
      <c r="FP57" s="250">
        <v>43951.665243055555</v>
      </c>
      <c r="FQ57" s="156">
        <v>43855</v>
      </c>
      <c r="FR57" s="26">
        <v>43855</v>
      </c>
      <c r="FS57" s="211">
        <v>0</v>
      </c>
      <c r="FT57" s="44">
        <v>0.22814585412518248</v>
      </c>
      <c r="FU57" s="71">
        <v>3.4464367188903266E-5</v>
      </c>
      <c r="FV57" s="73">
        <v>4.1789581914684036E-3</v>
      </c>
      <c r="FW57" s="214">
        <v>6619.7604289290475</v>
      </c>
      <c r="FX57" s="214">
        <v>66.140819224018188</v>
      </c>
      <c r="FY57" s="214">
        <v>0.99945470695233463</v>
      </c>
      <c r="FZ57" s="213">
        <v>54.593920218155375</v>
      </c>
      <c r="GA57" s="213">
        <v>3.4464367188903264E-2</v>
      </c>
      <c r="GB57" s="243">
        <v>44049</v>
      </c>
      <c r="GC57" s="26" t="s">
        <v>3688</v>
      </c>
      <c r="GD57" s="214">
        <v>6619.7604289284191</v>
      </c>
      <c r="GE57" s="214">
        <v>6752</v>
      </c>
      <c r="GF57" s="73" t="s">
        <v>3672</v>
      </c>
      <c r="GG57" s="156">
        <v>43951</v>
      </c>
      <c r="GH57" s="26">
        <v>97</v>
      </c>
      <c r="GI57" s="26" t="s">
        <v>3689</v>
      </c>
      <c r="GJ57" s="25"/>
      <c r="GK57" s="62" t="s">
        <v>3674</v>
      </c>
      <c r="GM57" s="18" t="s">
        <v>3690</v>
      </c>
      <c r="GN57" s="11">
        <v>2662.0406875887084</v>
      </c>
      <c r="GO57" s="156"/>
      <c r="GP57" s="218"/>
      <c r="GQ57" s="156"/>
      <c r="GR57" s="25"/>
      <c r="GS57" s="25" t="s">
        <v>3687</v>
      </c>
      <c r="GT57" s="11">
        <v>6619.7604289284191</v>
      </c>
      <c r="GU57" s="12">
        <v>2.4845908453761809E-2</v>
      </c>
      <c r="GV57" s="240">
        <v>43905</v>
      </c>
      <c r="GW57" s="162" t="s">
        <v>2387</v>
      </c>
      <c r="GX57" s="230" t="e">
        <v>#N/A</v>
      </c>
      <c r="GY57" s="25" t="s">
        <v>569</v>
      </c>
      <c r="GZ57" s="25" t="s">
        <v>569</v>
      </c>
      <c r="HA57" s="26" t="s">
        <v>3690</v>
      </c>
      <c r="HK57" s="164">
        <v>43944</v>
      </c>
      <c r="HL57" s="60">
        <v>43944.833333333336</v>
      </c>
      <c r="HM57">
        <v>2976</v>
      </c>
      <c r="HN57">
        <v>178088</v>
      </c>
      <c r="HO57">
        <v>797</v>
      </c>
      <c r="HP57">
        <v>360</v>
      </c>
      <c r="HQ57" s="166">
        <f>IF(ISNUMBER(tblNSWKnown[[#This Row],[Unknown Locally]]),tblNSWKnown[[#This Row],[Known Locally]]+tblNSWKnown[[#This Row],[Unknown Locally]],"")</f>
        <v>1157</v>
      </c>
      <c r="HR57" s="25">
        <v>24</v>
      </c>
      <c r="HS57" s="166">
        <f>IF(ISNUMBER(tblNSWKnown[[#This Row],[Day '# NSW Unknown]]),betaNSWUnknown/(deltaNSWUnknown+betaPodeltaNSWUnknown*EXP(-betaNSWUnknown*tblNSWKnown[Day '# NSW Unknown])),"")</f>
        <v>1165.5694248564284</v>
      </c>
      <c r="HT57" s="166">
        <f>IF(ISNUMBER(tblNSWKnown[[#This Row],[Total Local]]),(tblNSWKnown[[#This Row],[Total Local]]-tblNSWKnown[[#This Row],[NSW Unknown Logi P(t)]])^2,"")</f>
        <v>73.435042369973601</v>
      </c>
      <c r="HU57" s="166">
        <f>IF(ISNUMBER(tblNSWKnown[Total Local]),(tblNSWKnown[Total Local]-AVERAGE(tblNSWKnown[Total Local]))^2,"")</f>
        <v>7080.7275086505351</v>
      </c>
      <c r="HV57" s="166"/>
    </row>
    <row r="58" spans="2:241" ht="15" customHeight="1" x14ac:dyDescent="0.25">
      <c r="B58" s="26">
        <v>43899</v>
      </c>
      <c r="C58">
        <v>0</v>
      </c>
      <c r="D58" s="25">
        <v>0</v>
      </c>
      <c r="E58">
        <v>48</v>
      </c>
      <c r="F58">
        <v>0</v>
      </c>
      <c r="G58">
        <v>15</v>
      </c>
      <c r="H58">
        <v>7</v>
      </c>
      <c r="I58">
        <v>2</v>
      </c>
      <c r="J58">
        <v>15</v>
      </c>
      <c r="K58">
        <v>4</v>
      </c>
      <c r="L58" s="11">
        <f>IF(ISNUMBER(tblData[[#This Row],[NSW]]),tblData[[#This Row],[New South Wales]]/NSWpopscale,"")</f>
        <v>59.405940594059402</v>
      </c>
      <c r="M58" s="25">
        <v>9172</v>
      </c>
      <c r="N58" s="20">
        <f>IF(ISNUMBER(tblData[Italy]),tblData[Italy]/ItalyPopscale,"")</f>
        <v>1516.4090270314955</v>
      </c>
      <c r="O58">
        <v>583</v>
      </c>
      <c r="P58" s="20">
        <f>IF(ISNUMBER(tblData[US]),tblData[US]/USPopscale,"")</f>
        <v>17.708106533645559</v>
      </c>
      <c r="Q58">
        <v>7478</v>
      </c>
      <c r="R58" s="20">
        <f>IF(ISNUMBER(tblData[SKorea]),tblData[SKorea]/SKoreaPopscale,"")</f>
        <v>1454.8638132295721</v>
      </c>
      <c r="S58">
        <v>322</v>
      </c>
      <c r="T58" s="20">
        <f>IF(ISNUMBER(tblData[United Kingdom]),tblData[United Kingdom]/UKPopscale,"")</f>
        <v>48.464780252859725</v>
      </c>
      <c r="U58">
        <v>80860</v>
      </c>
      <c r="V58" s="20">
        <f>IF(ISNUMBER(tblData[China]),tblData[China]/ChinaPopscale,"")</f>
        <v>561.79159511084185</v>
      </c>
      <c r="W58" s="25">
        <f ca="1">IF(tblData[[#This Row],[Dates]]&lt;StartDt2China,"",tblData[[#This Row],[Dates]]-ChinaStart)</f>
        <v>47</v>
      </c>
      <c r="X58">
        <v>150</v>
      </c>
      <c r="Y58" s="20">
        <f>IF(ISNUMBER(tblData[Singapore]),tblData[Singapore]/SingaporePopscale,"")</f>
        <v>256.41025641025641</v>
      </c>
      <c r="Z58">
        <v>21</v>
      </c>
      <c r="AA58" s="20">
        <f>IF(AND(LEN(tblData[Generic])&gt;0,ISNUMBER(tblData[Generic])),tblData[Generic]/GenericPopscale,"")</f>
        <v>42.857142857142861</v>
      </c>
      <c r="AB58" s="25">
        <f ca="1">IF(tblData[[#This Row],[Dates]]&lt;StartDt2Italy,"",tblData[[#This Row],[Dates]]-ItalyStart)</f>
        <v>39</v>
      </c>
      <c r="AC58" s="25">
        <f ca="1">IF(tblData[[#This Row],[Dates]]&lt;=StartDt2US,"",tblData[[#This Row],[Dates]]-USStart)</f>
        <v>47</v>
      </c>
      <c r="AD58" s="25">
        <f>IF(tblData[[#This Row],[Dates]]&lt;=SKoreaStart,"",tblData[[#This Row],[Dates]]-SKoreaStart)</f>
        <v>47</v>
      </c>
      <c r="AE58" s="25">
        <f ca="1">IF(tblData[[#This Row],[Dates]]&lt;=StartDt2UK,"",tblData[[#This Row],[Dates]]-UKStart)</f>
        <v>39</v>
      </c>
      <c r="AF58" s="25">
        <f ca="1">IF(tblData[[#This Row],[Dates]]&lt;StartDt2Singapore,"",tblData[[#This Row],[Dates]]-SingaporeStart)</f>
        <v>46</v>
      </c>
      <c r="AG58" s="25">
        <f>IF(tblData[[#This Row],[Dates]]&lt;StartDt2Generic,"",tblData[[#This Row],[Dates]]-GenericStart)</f>
        <v>9</v>
      </c>
      <c r="AH58">
        <f ca="1">IF(tblData[Dates]&gt;StartDt2Au,tblData[Dates]-AuStart,"")</f>
        <v>44</v>
      </c>
      <c r="AI58" s="25">
        <f>IF(AND(COUNTBLANK(tblData[[#This Row],[Australian Capital Territory]:[Western Australia]])&lt;1,tblData[New South Wales]&gt;=0),SUM(tblData[[#This Row],[Australian Capital Territory]:[Western Australia]]),"")</f>
        <v>91</v>
      </c>
      <c r="AJ58" s="12">
        <f>IF(ISNUMBER(tblData[Au]),tblData[Au]/AuPopScale,"")</f>
        <v>35.87762182621038</v>
      </c>
      <c r="AK58" s="11">
        <f ca="1">IF(ISNUMBER(tblData[[#This Row],[Day'# Aust]]),betaAu/(deltaAu+betaPodeltaAu*EXP(-betaAu*tblData[[#This Row],[Day'# Aust]])),"")</f>
        <v>97.021770425971141</v>
      </c>
      <c r="AL58" s="56">
        <f ca="1">IF(ISNUMBER(tblData[Day'# Aust]),tblData[Au LogiP(t)]/AuPopScale,"")</f>
        <v>38.251762508268072</v>
      </c>
      <c r="AM58" s="11">
        <f ca="1">IF(AND(tblData[Dates]&gt;StartDt2Au,ISNUMBER(tblData[Au])),(tblData[[#This Row],[Au LogiP(t)]]-tblData[[#This Row],[Au]])^2,"")</f>
        <v>36.261719063100657</v>
      </c>
      <c r="AN58" s="11">
        <f ca="1">IF(AND(ISNUMBER(tblData[Au]),tblData[Dates]&gt;StartDt2Au),(tblData[Au]-AVERAGE(tblData[Au]))^2,"")</f>
        <v>5559267.9961000001</v>
      </c>
      <c r="AO58" s="11">
        <f>tblData[[#This Row],[Dates]]-Au100dt</f>
        <v>-6</v>
      </c>
      <c r="AP58">
        <f ca="1">IF(tblData[Dates]&gt;StartDt2NSW,tblData[Dates]-StartDt2NSW,"")</f>
        <v>44</v>
      </c>
      <c r="AQ58" s="25">
        <f>IF(tblData[[#This Row],[New South Wales]]&gt;0,tblData[[#This Row],[New South Wales]],"")</f>
        <v>48</v>
      </c>
      <c r="AR58" s="44">
        <f ca="1">IF(tblData[Dates]&gt;StartDt2NSW,betaNSW/(deltaNSW+betaPodeltaNSW*EXP(-betaNSW*tblData[[#This Row],[Day '# NSW]])),"")</f>
        <v>36.594801271768475</v>
      </c>
      <c r="AS58" s="12">
        <f ca="1">IF(AND(ISNUMBER(tblData[NSW]),tblData[Dates]&gt;StartDt2NSW),(tblData[[#This Row],[NSW LogiP(t)]]-tblData[[#This Row],[NSW]])^2,"")</f>
        <v>130.07855803045399</v>
      </c>
      <c r="AT58" s="12">
        <f ca="1">IF(AND(tblData[Dates]&gt;StartDt2NSW,ISNUMBER(tblData[Day'# Aust])),tblData[NSW LogiP(t)]/NSWpopscale,"")</f>
        <v>45.290595633376824</v>
      </c>
      <c r="AU58" s="11">
        <f>tblData[[#This Row],[Dates]]-NSW100dt+1</f>
        <v>-3</v>
      </c>
      <c r="AV58" s="11">
        <f ca="1">IF(AND(ISNUMBER(tblData[NSW]),tblData[Dates]&gt;StartDt2NSW),(tblData[NSW]-AVERAGE(tblData[NSW]))^2,"")</f>
        <v>1094659.9875999999</v>
      </c>
      <c r="AW58" s="11">
        <f ca="1">IF(AND(tblData[Dates]&gt;StartDt2Italy,ISNUMBER(tblData[Days'# Italy])),betaItaly/(deltaItaly+betaPodeltaItaly*EXP(-betaItaly*tblData[Days'# Italy])),"")</f>
        <v>8166.1017050690625</v>
      </c>
      <c r="AX58" s="11">
        <f ca="1">IF(AND(tblData[Dates]&gt;StartDt2Italy,ISNUMBER(tblData[Italy])),(tblData[[#This Row],[Italy LogiP(t)]]-tblData[[#This Row],[Italy]])^2,"")</f>
        <v>1011831.3797449673</v>
      </c>
      <c r="AY58" s="11">
        <f ca="1">IF(AND(tblData[Dates]&gt;StartDt2Italy,ISNUMBER(tblData[Days'# Italy])),tblData[[#This Row],[Italy LogiP(t)]]/ItalyPopscale,"")</f>
        <v>1350.10361330397</v>
      </c>
      <c r="AZ58" s="39">
        <f ca="1">IF(AND(ISNUMBER(tblData[Italy]),tblData[Dates]&gt;StartDt2Italy),(tblData[Italy]-AVERAGE(tblData[Italy]))^2,"")</f>
        <v>3669525240.8783379</v>
      </c>
      <c r="BA58" s="11">
        <f>tblData[[#This Row],[Dates]]-Italy100dt+1</f>
        <v>12</v>
      </c>
      <c r="BB58" s="11">
        <f ca="1">IF(AND(tblData[Dates]&gt;StartDt2US,ISNUMBER(tblData[[#This Row],[Days'# US]])),betaUS/(deltaUS+betaPodeltaUS*EXP(-betaUS*tblData[Days'# US])),"")</f>
        <v>619.32649635020448</v>
      </c>
      <c r="BC58" s="11">
        <f ca="1">IF(AND(tblData[Dates]&gt;StartDt2US,ISNUMBER(tblData[US])),(tblData[[#This Row],[US LogiP(t)]]-tblData[US])^2,"")</f>
        <v>1319.6143370814193</v>
      </c>
      <c r="BD58" s="20">
        <f ca="1">IF(AND(tblData[Dates]&gt;=StartDt2US,ISNUMBER(tblData[[#This Row],[Days'# US]])),tblData[[#This Row],[US LogiP(t)]]/USPopscale,"")</f>
        <v>18.81149155485226</v>
      </c>
      <c r="BE58" s="126">
        <f ca="1">IF(AND(ISNUMBER(tblData[US]),tblData[Dates]&gt;StartDt2US),(tblData[US]-AVERAGE(tblData[US]))^2,"")</f>
        <v>49889799090.256149</v>
      </c>
      <c r="BF58" s="11">
        <f>tblData[[#This Row],[Dates]]-US100dt+1</f>
        <v>-5</v>
      </c>
      <c r="BG58" s="20">
        <f ca="1">IF(tblData[Dates]&gt;StartDt2SKorea,betaSKorea/(deltaSKorea+betaPodeltaSKorea*EXP(-betaSKorea*(tblData[Dates]-StartDt2SKorea))),"")</f>
        <v>6929.1655120642936</v>
      </c>
      <c r="BH58" s="20">
        <f ca="1">IF(AND(tblData[Dates]&gt;StartDt2SKorea,ISNUMBER(tblData[SKorea])),(tblData[[#This Row],[SKorea LogiP(t)]]-tblData[[#This Row],[SKorea]])^2,"")</f>
        <v>301219.29514764907</v>
      </c>
      <c r="BI58" s="20">
        <f ca="1">IF(tblData[Dates]&gt;StartDt2SKorea,tblData[[#This Row],[SKorea LogiP(t)]]/SKoreaPopscale,"")</f>
        <v>1348.0866754988899</v>
      </c>
      <c r="BJ58" s="126">
        <f ca="1">IF(AND(ISNUMBER(tblData[SKorea]),tblData[Dates]&gt;StartDt2SKorea),(tblData[SKorea]-AVERAGE(tblData[SKorea]))^2,"")</f>
        <v>2734483.7466359106</v>
      </c>
      <c r="BK58" s="11">
        <f>tblData[[#This Row],[Dates]]-SKorea100dt+1</f>
        <v>16</v>
      </c>
      <c r="BL58" s="11">
        <f ca="1">IF(AND(tblData[Dates]&gt;StartDt2UK,ISNUMBER(tblData[Days'# UK])),betaUK/(deltaUK+betaPodeltaUK*EXP(-betaUK*tblData[Days'# UK])),"")</f>
        <v>358.42422441225</v>
      </c>
      <c r="BM58" s="20">
        <f ca="1">IF(AND(tblData[Dates]&gt;StartDt2UK,ISNUMBER(tblData[United Kingdom])),(tblData[[#This Row],[UK LogiP(t)]]-tblData[[#This Row],[United Kingdom]])^2,"")</f>
        <v>1326.7241240339488</v>
      </c>
      <c r="BN58" s="20">
        <f ca="1">IF(ISNUMBER(tblData[Days'# UK]),tblData[[#This Row],[UK LogiP(t)]]/UKPopscale,"")</f>
        <v>53.947053644227871</v>
      </c>
      <c r="BO58" s="126">
        <f ca="1">IF(AND(ISNUMBER(tblData[United Kingdom]),tblData[Dates]&gt;StartDt2UK),(tblData[United Kingdom]-AVERAGE(tblData[United Kingdom]))^2,"")</f>
        <v>1417148427.873359</v>
      </c>
      <c r="BP58" s="11">
        <f>tblData[[#This Row],[Dates]]-UK100dt</f>
        <v>-3</v>
      </c>
      <c r="BQ58" s="11">
        <f ca="1">IF(ISNUMBER(tblData[Days'# China]),betaChina/(deltaChina+betaPodeltaChina*EXP(-betaChina*tblData[Days'# China])),"")</f>
        <v>81994.118936328436</v>
      </c>
      <c r="BR58" s="11">
        <f ca="1">IF(ISNUMBER(tblData[China]),(tblData[[#This Row],[China LogiP(t)]]-tblData[[#This Row],[China]])^2,"")</f>
        <v>1286225.7617387422</v>
      </c>
      <c r="BS58" s="11">
        <f ca="1">tblData[[#This Row],[China LogiP(t)]]/ChinaPopscale</f>
        <v>569.67112128305757</v>
      </c>
      <c r="BT58" s="126">
        <f ca="1">IF(AND(ISNUMBER(tblData[China]),tblData[Dates]&gt;StartDt2China),(tblData[China]-AVERAGE(tblData[China]))^2,"")</f>
        <v>186473483.51557076</v>
      </c>
      <c r="BU58" s="11">
        <f>tblData[[#This Row],[Dates]]-China100dt</f>
        <v>36</v>
      </c>
      <c r="BV58" s="95">
        <f ca="1">IF(ISNUMBER(tblData[Day'# Singapore]),betaSingapore/(deltaSingapore+betaPodeltaSingapore*EXP(-betaSingapore*tblData[Day'# Singapore])),"")</f>
        <v>39.417140080048931</v>
      </c>
      <c r="BW58" s="11">
        <f ca="1">IF(AND(ISNUMBER(tblData[Singapore]),tblData[Dates]&gt;=StartDt2Singapore),(tblData[[#This Row],[Singapore LogiP(t)]]-tblData[[#This Row],[Singapore]])^2,"")</f>
        <v>12228.568908075518</v>
      </c>
      <c r="BX58" s="20">
        <f ca="1">IF(ISNUMBER(tblData[Day'# Singapore]),tblData[Singapore LogiP(t)]/SingaporePopscale,"")</f>
        <v>67.379726632562281</v>
      </c>
      <c r="BY58" s="95">
        <f ca="1">IF(AND(ISNUMBER(tblData[Singapore]),tblData[Dates]&gt;StartDt2Singapore),(tblData[Singapore]-AVERAGE(tblData[Singapore]))^2,"")</f>
        <v>4712389.6658977326</v>
      </c>
      <c r="BZ58" s="11">
        <f>tblData[[#This Row],[Dates]]-Singapore100dt+1</f>
        <v>25</v>
      </c>
      <c r="CA58" s="44">
        <f>IF(AND(tblData[Dates]&gt;StartDt2Generic,ISNUMBER(tblData[Day'# Generic])),betaGeneric/(deltaGeneric+betaPodeltaGeneric*EXP(-betaGeneric*tblData[Day'# Generic])),"")</f>
        <v>195.10049947439936</v>
      </c>
      <c r="CB58" s="95">
        <f>IF(AND(ISNUMBER(tblData[Generic]),tblData[Dates]&gt;StartDt2Generic),(tblData[Generic LogiP(t)]-tblData[[#This Row],[Generic]])^2,"")</f>
        <v>30310.983917235331</v>
      </c>
      <c r="CC58" s="11">
        <f>IF(AND(ISNUMBER(tblData[Day'# Generic]),tblData[Dates]&gt;StartDt2Generic),tblData[Generic LogiP(t)]/GenericPopscale,"")</f>
        <v>398.16428464163135</v>
      </c>
      <c r="CD58" s="95">
        <f>IF(AND(ISNUMBER(tblData[Generic]),tblData[Dates]&gt;StartDt2Generic),(tblData[Generic]-AVERAGE(tblData[Generic]))^2,"")</f>
        <v>43725257.980828404</v>
      </c>
      <c r="CE58" s="11">
        <f>tblData[[#This Row],[Dates]]-Generic100dt+1</f>
        <v>-3</v>
      </c>
      <c r="CF58" s="11">
        <v>7848</v>
      </c>
      <c r="CG58" s="11">
        <v>476</v>
      </c>
      <c r="CH58" s="11">
        <f>IF(ISNUMBER(tblData[[#This Row],[Tests]]),tblData[[#This Row],[Tests]]-CF57,"")</f>
        <v>487</v>
      </c>
      <c r="CI58" s="11">
        <f>IF(ISNUMBER(tblData[[#This Row],[NSW Under Investigation'']]),tblData[[#This Row],[NSW Under Investigation'']]-CG57,"")</f>
        <v>-100</v>
      </c>
      <c r="CJ58" s="11">
        <f>IF(tblData[[#This Row],[Dates]]&gt;myData!TestsStart,tblData[[#This Row],[Dates]]-myData!TestsStart,"")</f>
        <v>4</v>
      </c>
      <c r="CK58" s="11">
        <f>IF(AND(tblData[[#This Row],[NSW Test Day Number]]&gt;0,ISNUMBER(tblData[[#This Row],[NSW Test Day Number]])),betaTests/(deltaTests+betaPodeltaTests*EXP(-betaTests*tblData[[#This Row],[NSW Test Day Number]])),"")</f>
        <v>8470.5528360471635</v>
      </c>
      <c r="CL58" s="11">
        <f>IF(tblData[Tests]&gt;0,(tblData[[#This Row],[Tests]]-tblData[[#This Row],[NSW Test Logi]])^2,"")</f>
        <v>387572.03367036645</v>
      </c>
      <c r="CM58" s="95">
        <f>IF(AND(ISNUMBER(tblData[Tests]),tblData[Dates]&gt;StartDt2Tests),(tblData[Tests]-AVERAGE(tblData[Tests]))^2,"")</f>
        <v>9664629488.4469986</v>
      </c>
      <c r="CN58" s="11">
        <f>IF(ISNUMBER(tblData[Tests]),tblData[Tests]/NSWpopscale/100,"")</f>
        <v>97.128712871287121</v>
      </c>
      <c r="CO58" s="95">
        <f ca="1">IF(AND(tblData[[#This Row],[NSW Test Day Number]]&gt;0,ISNUMBER(tblData[[#This Row],[NSW Test Day Number]])),TestsLogestB*TestsLogestM^tblData[[#This Row],[NSW Test Day Number]],"")</f>
        <v>16737.221385621218</v>
      </c>
      <c r="CP58" s="95">
        <f>IF(AND(tblData[[#This Row],[NSW Test Day Number]]&gt;0,ISNUMBER(tblData[Tests])),(tblData[Tests]-tblData[[#This Row],[NSW Test Per Capita]])^2,"")</f>
        <v>60076005.709636308</v>
      </c>
      <c r="CQ58" s="20">
        <f ca="1">IF(AND(tblData[Day '# NSW]&gt;0,ISNUMBER(tblData[[#This Row],[Day '# NSW]])),NSWLogestB*NSWLogestM^tblData[[#This Row],[Day '# NSW]]/NSWpopscale,"")</f>
        <v>97.560830708700237</v>
      </c>
      <c r="CR58" s="39">
        <f ca="1">IF(AND(ISNUMBER(tblData[NSW]),tblData[Dates]&gt;StartDt2NSW),(tblData[NSW]/NSWpopscale-tblData[[#This Row],[NSW Cases LogEst]])^2,"")</f>
        <v>1455.795639660317</v>
      </c>
      <c r="CS58" s="11">
        <v>45</v>
      </c>
      <c r="CT58" s="19">
        <f>IF(ISNUMBER(tblData[Taiwan]),tblData[Taiwan]/TaiwanPopscale,"")</f>
        <v>18.901779715970935</v>
      </c>
      <c r="CU58" s="11">
        <f ca="1">IF(tblData[[#This Row],[Dates]]&lt;StartDt2Taiwan,"",tblData[[#This Row],[Dates]]-TaiwanStart)</f>
        <v>47</v>
      </c>
      <c r="CV58" s="19">
        <f ca="1">IF(AND(tblData[Dates]&gt;StartDt2Taiwan,ISNUMBER(tblData[Days'# Taiwan])),betaTaiwan/(deltaTaiwan+betaPodeltaTaiwan*EXP(-betaTaiwan*tblData[Days'# Taiwan])),"")</f>
        <v>39.714697090074907</v>
      </c>
      <c r="CW58" s="95">
        <f ca="1">IF(AND(tblData[Dates]&gt;StartDt2Taiwan,ISNUMBER(tblData[Taiwan])),(tblData[[#This Row],[Taiwan LogiP(t)]]-tblData[[#This Row],[Taiwan]])^2,"")</f>
        <v>27.934426849662657</v>
      </c>
      <c r="CX58" s="20">
        <f ca="1">IF(AND(tblData[Dates]&gt;StartDt2Taiwan,ISNUMBER(tblData[Days'# Taiwan])),tblData[[#This Row],[Taiwan LogiP(t)]]/TaiwanPopscale,"")</f>
        <v>16.681743464069065</v>
      </c>
      <c r="CY58" s="95">
        <f ca="1">IF(AND(ISNUMBER(tblData[Taiwan]),tblData[Dates]&gt;StartDt2Taiwan),(tblData[Taiwan]-AVERAGE(tblData[Taiwan]))^2,"")</f>
        <v>15512.458285274897</v>
      </c>
      <c r="CZ58" s="11">
        <f>tblData[[#This Row],[Dates]]-Taiwan100dt+1</f>
        <v>-16</v>
      </c>
      <c r="DA58">
        <v>5</v>
      </c>
      <c r="DB58" s="20">
        <f>IF(ISNUMBER(tblData[NZ]),tblData[NZ]/NZPopscale,"")</f>
        <v>9.5602294455066925</v>
      </c>
      <c r="DC58" s="11">
        <f ca="1">IF(tblData[[#This Row],[Dates]]&lt;StartDt2NZ,"",tblData[[#This Row],[Dates]]-NZStart)</f>
        <v>10</v>
      </c>
      <c r="DD58" s="20">
        <f ca="1">IF(AND(tblData[Dates]&gt;StartDt2NZ,ISNUMBER(tblData[Days'# NZ])),betaNZ/(deltaNZ+betaPodeltaNZ*EXP(-betaNZ*tblData[Days'# NZ])),"")</f>
        <v>6.5400195676026609</v>
      </c>
      <c r="DE58" s="95">
        <f ca="1">IF(AND(tblData[Dates]&gt;StartDt2NZ,ISNUMBER(tblData[NZ])),(tblData[[#This Row],[NZ LogiP(t)]]-tblData[[#This Row],[NZ]])^2,"")</f>
        <v>2.3716602685990869</v>
      </c>
      <c r="DF58" s="20">
        <f ca="1">IF(AND(tblData[Dates]&gt;StartDt2NZ,ISNUMBER(tblData[Days'# NZ])),tblData[[#This Row],[NZ LogiP(t)]]/NZPopscale,"")</f>
        <v>12.504817528876981</v>
      </c>
      <c r="DG58" s="95">
        <f ca="1">IF(AND(ISNUMBER(tblData[NZ]),tblData[Dates]&gt;StartDt2NZ),(tblData[NZ]-AVERAGE(tblData[NZ]))^2,"")</f>
        <v>467773.09458218556</v>
      </c>
      <c r="DH58" s="11">
        <f>tblData[[#This Row],[Dates]]-NZ100dt+1</f>
        <v>-12</v>
      </c>
      <c r="DI58" s="39"/>
      <c r="DJ58" s="11"/>
      <c r="DM58" s="25"/>
      <c r="DP58"/>
      <c r="DV58" s="25"/>
      <c r="DW58"/>
      <c r="DZ58" s="25"/>
      <c r="EA58" s="25"/>
      <c r="EB58" s="25"/>
      <c r="EH58"/>
      <c r="EI58"/>
      <c r="EJ58"/>
      <c r="EK58"/>
      <c r="EQ58" s="25"/>
      <c r="ER58" s="25"/>
      <c r="ES58" s="25"/>
      <c r="ET58" s="25"/>
      <c r="FF58"/>
      <c r="FG58"/>
      <c r="FH58"/>
      <c r="FI58"/>
      <c r="FJ58" s="25"/>
      <c r="FK58" s="25"/>
      <c r="FM58" s="25"/>
      <c r="FN58"/>
      <c r="FO58" s="267" t="s">
        <v>48</v>
      </c>
      <c r="FP58" s="251">
        <v>43933.907210648147</v>
      </c>
      <c r="FQ58" s="244">
        <v>43855</v>
      </c>
      <c r="FR58" s="160">
        <v>43855</v>
      </c>
      <c r="FS58" s="211">
        <v>0</v>
      </c>
      <c r="FT58" s="72">
        <v>0.26158885342151733</v>
      </c>
      <c r="FU58" s="72">
        <v>5.6824064412731906E-5</v>
      </c>
      <c r="FV58" s="74">
        <v>1E-3</v>
      </c>
      <c r="FW58" s="212">
        <v>4603.4872043208888</v>
      </c>
      <c r="FX58" s="212">
        <v>1031.4805552822882</v>
      </c>
      <c r="FY58" s="212">
        <v>0.75275739206552361</v>
      </c>
      <c r="FZ58" s="213">
        <v>261.58879659745293</v>
      </c>
      <c r="GA58" s="213">
        <v>5.6824064412731905E-2</v>
      </c>
      <c r="GB58" s="243">
        <v>44072</v>
      </c>
      <c r="GC58" s="160" t="s">
        <v>2212</v>
      </c>
      <c r="GD58" s="212">
        <v>4603.4872043208888</v>
      </c>
      <c r="GE58" s="212">
        <v>6303</v>
      </c>
      <c r="GF58" s="74" t="s">
        <v>1935</v>
      </c>
      <c r="GG58" s="243">
        <v>44072</v>
      </c>
      <c r="GH58" s="160">
        <v>81</v>
      </c>
      <c r="GI58" s="23" t="s">
        <v>2213</v>
      </c>
      <c r="GJ58" s="21"/>
      <c r="GK58" s="161" t="s">
        <v>2214</v>
      </c>
      <c r="GL58" s="23"/>
      <c r="GM58" s="23" t="s">
        <v>2215</v>
      </c>
      <c r="GN58" s="23">
        <v>2485.0181359407034</v>
      </c>
      <c r="GO58" s="243"/>
      <c r="GP58" s="218"/>
      <c r="GQ58" s="243"/>
      <c r="GR58" s="23"/>
      <c r="GS58" s="23" t="s">
        <v>2211</v>
      </c>
      <c r="GT58" s="11">
        <v>4603.4872043208888</v>
      </c>
      <c r="GU58" s="34">
        <v>0.41507968910328347</v>
      </c>
      <c r="GV58" s="160">
        <v>43904</v>
      </c>
      <c r="GW58" s="23" t="s">
        <v>1965</v>
      </c>
      <c r="GX58" s="220" t="e">
        <v>#N/A</v>
      </c>
      <c r="GY58" s="23" t="s">
        <v>569</v>
      </c>
      <c r="GZ58" s="23"/>
      <c r="HA58" s="25"/>
      <c r="HB58" s="46"/>
      <c r="HC58" s="46"/>
      <c r="HK58" s="164">
        <v>43945</v>
      </c>
      <c r="HL58" s="60">
        <v>43945.833333333336</v>
      </c>
      <c r="HM58">
        <v>2982</v>
      </c>
      <c r="HN58">
        <v>185434</v>
      </c>
      <c r="HO58">
        <v>804</v>
      </c>
      <c r="HP58">
        <v>360</v>
      </c>
      <c r="HQ58" s="166">
        <f>IF(ISNUMBER(tblNSWKnown[[#This Row],[Unknown Locally]]),tblNSWKnown[[#This Row],[Known Locally]]+tblNSWKnown[[#This Row],[Unknown Locally]],"")</f>
        <v>1164</v>
      </c>
      <c r="HR58" s="25">
        <v>25</v>
      </c>
      <c r="HS58" s="166">
        <f>IF(ISNUMBER(tblNSWKnown[[#This Row],[Day '# NSW Unknown]]),betaNSWUnknown/(deltaNSWUnknown+betaPodeltaNSWUnknown*EXP(-betaNSWUnknown*tblNSWKnown[Day '# NSW Unknown])),"")</f>
        <v>1167.1235968047854</v>
      </c>
      <c r="HT58" s="166">
        <f>IF(ISNUMBER(tblNSWKnown[[#This Row],[Total Local]]),(tblNSWKnown[[#This Row],[Total Local]]-tblNSWKnown[[#This Row],[NSW Unknown Logi P(t)]])^2,"")</f>
        <v>9.7568569988655174</v>
      </c>
      <c r="HU58" s="166">
        <f>IF(ISNUMBER(tblNSWKnown[Total Local]),(tblNSWKnown[Total Local]-AVERAGE(tblNSWKnown[Total Local]))^2,"")</f>
        <v>8307.7863321799487</v>
      </c>
      <c r="HV58" s="166"/>
    </row>
    <row r="59" spans="2:241" ht="15" customHeight="1" x14ac:dyDescent="0.25">
      <c r="B59" s="26">
        <v>43900</v>
      </c>
      <c r="C59">
        <v>0</v>
      </c>
      <c r="D59" s="25">
        <v>0</v>
      </c>
      <c r="E59">
        <v>55</v>
      </c>
      <c r="F59">
        <v>1</v>
      </c>
      <c r="G59">
        <v>18</v>
      </c>
      <c r="H59">
        <v>7</v>
      </c>
      <c r="I59">
        <v>2</v>
      </c>
      <c r="J59">
        <v>18</v>
      </c>
      <c r="K59">
        <v>6</v>
      </c>
      <c r="L59" s="11">
        <f>IF(ISNUMBER(tblData[[#This Row],[NSW]]),tblData[[#This Row],[New South Wales]]/NSWpopscale,"")</f>
        <v>68.06930693069306</v>
      </c>
      <c r="M59" s="25">
        <v>10149</v>
      </c>
      <c r="N59" s="20">
        <f>IF(ISNUMBER(tblData[Italy]),tblData[Italy]/ItalyPopscale,"")</f>
        <v>1677.9366785153345</v>
      </c>
      <c r="O59">
        <v>959</v>
      </c>
      <c r="P59" s="20">
        <f>IF(ISNUMBER(tblData[US]),tblData[US]/USPopscale,"")</f>
        <v>29.128772153972712</v>
      </c>
      <c r="Q59">
        <v>7513</v>
      </c>
      <c r="R59" s="20">
        <f>IF(ISNUMBER(tblData[SKorea]),tblData[SKorea]/SKoreaPopscale,"")</f>
        <v>1461.6731517509729</v>
      </c>
      <c r="S59">
        <v>384</v>
      </c>
      <c r="T59" s="20">
        <f>IF(ISNUMBER(tblData[United Kingdom]),tblData[United Kingdom]/UKPopscale,"")</f>
        <v>57.796508127633956</v>
      </c>
      <c r="U59">
        <v>80887</v>
      </c>
      <c r="V59" s="20">
        <f>IF(ISNUMBER(tblData[China]),tblData[China]/ChinaPopscale,"")</f>
        <v>561.97918320220958</v>
      </c>
      <c r="W59" s="25">
        <f ca="1">IF(tblData[[#This Row],[Dates]]&lt;StartDt2China,"",tblData[[#This Row],[Dates]]-ChinaStart)</f>
        <v>48</v>
      </c>
      <c r="X59">
        <v>160</v>
      </c>
      <c r="Y59" s="20">
        <f>IF(ISNUMBER(tblData[Singapore]),tblData[Singapore]/SingaporePopscale,"")</f>
        <v>273.5042735042735</v>
      </c>
      <c r="Z59">
        <v>34</v>
      </c>
      <c r="AA59" s="20">
        <f>IF(AND(LEN(tblData[Generic])&gt;0,ISNUMBER(tblData[Generic])),tblData[Generic]/GenericPopscale,"")</f>
        <v>69.387755102040813</v>
      </c>
      <c r="AB59" s="25">
        <f ca="1">IF(tblData[[#This Row],[Dates]]&lt;StartDt2Italy,"",tblData[[#This Row],[Dates]]-ItalyStart)</f>
        <v>40</v>
      </c>
      <c r="AC59" s="25">
        <f ca="1">IF(tblData[[#This Row],[Dates]]&lt;=StartDt2US,"",tblData[[#This Row],[Dates]]-USStart)</f>
        <v>48</v>
      </c>
      <c r="AD59" s="25">
        <f>IF(tblData[[#This Row],[Dates]]&lt;=SKoreaStart,"",tblData[[#This Row],[Dates]]-SKoreaStart)</f>
        <v>48</v>
      </c>
      <c r="AE59" s="25">
        <f ca="1">IF(tblData[[#This Row],[Dates]]&lt;=StartDt2UK,"",tblData[[#This Row],[Dates]]-UKStart)</f>
        <v>40</v>
      </c>
      <c r="AF59" s="25">
        <f ca="1">IF(tblData[[#This Row],[Dates]]&lt;StartDt2Singapore,"",tblData[[#This Row],[Dates]]-SingaporeStart)</f>
        <v>47</v>
      </c>
      <c r="AG59" s="25">
        <f>IF(tblData[[#This Row],[Dates]]&lt;StartDt2Generic,"",tblData[[#This Row],[Dates]]-GenericStart)</f>
        <v>10</v>
      </c>
      <c r="AH59">
        <f ca="1">IF(tblData[Dates]&gt;StartDt2Au,tblData[Dates]-AuStart,"")</f>
        <v>45</v>
      </c>
      <c r="AI59" s="25">
        <f>IF(AND(COUNTBLANK(tblData[[#This Row],[Australian Capital Territory]:[Western Australia]])&lt;1,tblData[New South Wales]&gt;=0),SUM(tblData[[#This Row],[Australian Capital Territory]:[Western Australia]]),"")</f>
        <v>107</v>
      </c>
      <c r="AJ59" s="12">
        <f>IF(ISNUMBER(tblData[Au]),tblData[Au]/AuPopScale,"")</f>
        <v>42.185775114335279</v>
      </c>
      <c r="AK59" s="11">
        <f ca="1">IF(ISNUMBER(tblData[[#This Row],[Day'# Aust]]),betaAu/(deltaAu+betaPodeltaAu*EXP(-betaAu*tblData[[#This Row],[Day'# Aust]])),"")</f>
        <v>121.19641941197757</v>
      </c>
      <c r="AL59" s="56">
        <f ca="1">IF(ISNUMBER(tblData[Day'# Aust]),tblData[Au LogiP(t)]/AuPopScale,"")</f>
        <v>47.782849476414434</v>
      </c>
      <c r="AM59" s="11">
        <f ca="1">IF(AND(tblData[Dates]&gt;StartDt2Au,ISNUMBER(tblData[Au])),(tblData[[#This Row],[Au LogiP(t)]]-tblData[[#This Row],[Au]])^2,"")</f>
        <v>201.53832412077364</v>
      </c>
      <c r="AN59" s="11">
        <f ca="1">IF(AND(ISNUMBER(tblData[Au]),tblData[Dates]&gt;StartDt2Au),(tblData[Au]-AVERAGE(tblData[Au]))^2,"")</f>
        <v>5484074.0761000002</v>
      </c>
      <c r="AO59" s="11">
        <f>tblData[[#This Row],[Dates]]-Au100dt</f>
        <v>-5</v>
      </c>
      <c r="AP59">
        <f ca="1">IF(tblData[Dates]&gt;StartDt2NSW,tblData[Dates]-StartDt2NSW,"")</f>
        <v>45</v>
      </c>
      <c r="AQ59" s="25">
        <f>IF(tblData[[#This Row],[New South Wales]]&gt;0,tblData[[#This Row],[New South Wales]],"")</f>
        <v>55</v>
      </c>
      <c r="AR59" s="44">
        <f ca="1">IF(tblData[Dates]&gt;StartDt2NSW,betaNSW/(deltaNSW+betaPodeltaNSW*EXP(-betaNSW*tblData[[#This Row],[Day '# NSW]])),"")</f>
        <v>46.106476046397276</v>
      </c>
      <c r="AS59" s="12">
        <f ca="1">IF(AND(ISNUMBER(tblData[NSW]),tblData[Dates]&gt;StartDt2NSW),(tblData[[#This Row],[NSW LogiP(t)]]-tblData[[#This Row],[NSW]])^2,"")</f>
        <v>79.094768313305423</v>
      </c>
      <c r="AT59" s="12">
        <f ca="1">IF(AND(tblData[Dates]&gt;StartDt2NSW,ISNUMBER(tblData[Day'# Aust])),tblData[NSW LogiP(t)]/NSWpopscale,"")</f>
        <v>57.062470354452074</v>
      </c>
      <c r="AU59" s="11">
        <f>tblData[[#This Row],[Dates]]-NSW100dt+1</f>
        <v>-2</v>
      </c>
      <c r="AV59" s="11">
        <f ca="1">IF(AND(ISNUMBER(tblData[NSW]),tblData[Dates]&gt;StartDt2NSW),(tblData[NSW]-AVERAGE(tblData[NSW]))^2,"")</f>
        <v>1080061.3476</v>
      </c>
      <c r="AW59" s="11">
        <f ca="1">IF(AND(tblData[Dates]&gt;StartDt2Italy,ISNUMBER(tblData[Days'# Italy])),betaItaly/(deltaItaly+betaPodeltaItaly*EXP(-betaItaly*tblData[Days'# Italy])),"")</f>
        <v>10367.753250641717</v>
      </c>
      <c r="AX59" s="11">
        <f ca="1">IF(AND(tblData[Dates]&gt;StartDt2Italy,ISNUMBER(tblData[Italy])),(tblData[[#This Row],[Italy LogiP(t)]]-tblData[[#This Row],[Italy]])^2,"")</f>
        <v>47852.984666318029</v>
      </c>
      <c r="AY59" s="11">
        <f ca="1">IF(AND(tblData[Dates]&gt;StartDt2Italy,ISNUMBER(tblData[Days'# Italy])),tblData[[#This Row],[Italy LogiP(t)]]/ItalyPopscale,"")</f>
        <v>1714.1032075128903</v>
      </c>
      <c r="AZ59" s="39">
        <f ca="1">IF(AND(ISNUMBER(tblData[Italy]),tblData[Dates]&gt;StartDt2Italy),(tblData[Italy]-AVERAGE(tblData[Italy]))^2,"")</f>
        <v>3552113081.0059972</v>
      </c>
      <c r="BA59" s="11">
        <f>tblData[[#This Row],[Dates]]-Italy100dt+1</f>
        <v>13</v>
      </c>
      <c r="BB59" s="11">
        <f ca="1">IF(AND(tblData[Dates]&gt;StartDt2US,ISNUMBER(tblData[[#This Row],[Days'# US]])),betaUS/(deltaUS+betaPodeltaUS*EXP(-betaUS*tblData[Days'# US])),"")</f>
        <v>822.33834746316961</v>
      </c>
      <c r="BC59" s="11">
        <f ca="1">IF(AND(tblData[Dates]&gt;StartDt2US,ISNUMBER(tblData[US])),(tblData[[#This Row],[US LogiP(t)]]-tblData[US])^2,"")</f>
        <v>18676.407274097361</v>
      </c>
      <c r="BD59" s="20">
        <f ca="1">IF(AND(tblData[Dates]&gt;=StartDt2US,ISNUMBER(tblData[[#This Row],[Days'# US]])),tblData[[#This Row],[US LogiP(t)]]/USPopscale,"")</f>
        <v>24.977795992418262</v>
      </c>
      <c r="BE59" s="126">
        <f ca="1">IF(AND(ISNUMBER(tblData[US]),tblData[Dates]&gt;StartDt2US),(tblData[US]-AVERAGE(tblData[US]))^2,"")</f>
        <v>49721973561.942429</v>
      </c>
      <c r="BF59" s="11">
        <f>tblData[[#This Row],[Dates]]-US100dt+1</f>
        <v>-4</v>
      </c>
      <c r="BG59" s="20">
        <f ca="1">IF(tblData[Dates]&gt;StartDt2SKorea,betaSKorea/(deltaSKorea+betaPodeltaSKorea*EXP(-betaSKorea*(tblData[Dates]-StartDt2SKorea))),"")</f>
        <v>7312.9002452531249</v>
      </c>
      <c r="BH59" s="20">
        <f ca="1">IF(AND(tblData[Dates]&gt;StartDt2SKorea,ISNUMBER(tblData[SKorea])),(tblData[[#This Row],[SKorea LogiP(t)]]-tblData[[#This Row],[SKorea]])^2,"")</f>
        <v>40039.911849759555</v>
      </c>
      <c r="BI59" s="20">
        <f ca="1">IF(tblData[Dates]&gt;StartDt2SKorea,tblData[[#This Row],[SKorea LogiP(t)]]/SKoreaPopscale,"")</f>
        <v>1422.7432383760945</v>
      </c>
      <c r="BJ59" s="126">
        <f ca="1">IF(AND(ISNUMBER(tblData[SKorea]),tblData[Dates]&gt;StartDt2SKorea),(tblData[SKorea]-AVERAGE(tblData[SKorea]))^2,"")</f>
        <v>2851462.6682045381</v>
      </c>
      <c r="BK59" s="11">
        <f>tblData[[#This Row],[Dates]]-SKorea100dt+1</f>
        <v>17</v>
      </c>
      <c r="BL59" s="11">
        <f ca="1">IF(AND(tblData[Dates]&gt;StartDt2UK,ISNUMBER(tblData[Days'# UK])),betaUK/(deltaUK+betaPodeltaUK*EXP(-betaUK*tblData[Days'# UK])),"")</f>
        <v>443.33635839177401</v>
      </c>
      <c r="BM59" s="20">
        <f ca="1">IF(AND(tblData[Dates]&gt;StartDt2UK,ISNUMBER(tblData[United Kingdom])),(tblData[[#This Row],[UK LogiP(t)]]-tblData[[#This Row],[United Kingdom]])^2,"")</f>
        <v>3520.8034271970505</v>
      </c>
      <c r="BN59" s="20">
        <f ca="1">IF(ISNUMBER(tblData[Days'# UK]),tblData[[#This Row],[UK LogiP(t)]]/UKPopscale,"")</f>
        <v>66.727326669442206</v>
      </c>
      <c r="BO59" s="126">
        <f ca="1">IF(AND(ISNUMBER(tblData[United Kingdom]),tblData[Dates]&gt;StartDt2UK),(tblData[United Kingdom]-AVERAGE(tblData[United Kingdom]))^2,"")</f>
        <v>1412484287.9159122</v>
      </c>
      <c r="BP59" s="11">
        <f>tblData[[#This Row],[Dates]]-UK100dt</f>
        <v>-2</v>
      </c>
      <c r="BQ59" s="11">
        <f ca="1">IF(ISNUMBER(tblData[Days'# China]),betaChina/(deltaChina+betaPodeltaChina*EXP(-betaChina*tblData[Days'# China])),"")</f>
        <v>82020.054402521884</v>
      </c>
      <c r="BR59" s="11">
        <f ca="1">IF(ISNUMBER(tblData[China]),(tblData[[#This Row],[China LogiP(t)]]-tblData[[#This Row],[China]])^2,"")</f>
        <v>1283812.2790742239</v>
      </c>
      <c r="BS59" s="11">
        <f ca="1">tblData[[#This Row],[China LogiP(t)]]/ChinaPopscale</f>
        <v>569.85131330535239</v>
      </c>
      <c r="BT59" s="126">
        <f ca="1">IF(AND(ISNUMBER(tblData[China]),tblData[Dates]&gt;StartDt2China),(tblData[China]-AVERAGE(tblData[China]))^2,"")</f>
        <v>187211611.10380605</v>
      </c>
      <c r="BU59" s="11">
        <f>tblData[[#This Row],[Dates]]-China100dt</f>
        <v>37</v>
      </c>
      <c r="BV59" s="95">
        <f ca="1">IF(ISNUMBER(tblData[Day'# Singapore]),betaSingapore/(deltaSingapore+betaPodeltaSingapore*EXP(-betaSingapore*tblData[Day'# Singapore])),"")</f>
        <v>44.685869357038712</v>
      </c>
      <c r="BW59" s="11">
        <f ca="1">IF(AND(ISNUMBER(tblData[Singapore]),tblData[Dates]&gt;=StartDt2Singapore),(tblData[[#This Row],[Singapore LogiP(t)]]-tblData[[#This Row],[Singapore]])^2,"")</f>
        <v>13297.348725941943</v>
      </c>
      <c r="BX59" s="20">
        <f ca="1">IF(ISNUMBER(tblData[Day'# Singapore]),tblData[Singapore LogiP(t)]/SingaporePopscale,"")</f>
        <v>76.386101465023444</v>
      </c>
      <c r="BY59" s="95">
        <f ca="1">IF(AND(ISNUMBER(tblData[Singapore]),tblData[Dates]&gt;StartDt2Singapore),(tblData[Singapore]-AVERAGE(tblData[Singapore]))^2,"")</f>
        <v>4669073.5874663601</v>
      </c>
      <c r="BZ59" s="11">
        <f>tblData[[#This Row],[Dates]]-Singapore100dt+1</f>
        <v>26</v>
      </c>
      <c r="CA59" s="44">
        <f>IF(AND(tblData[Dates]&gt;StartDt2Generic,ISNUMBER(tblData[Day'# Generic])),betaGeneric/(deltaGeneric+betaPodeltaGeneric*EXP(-betaGeneric*tblData[Day'# Generic])),"")</f>
        <v>221.79154675702148</v>
      </c>
      <c r="CB59" s="95">
        <f>IF(AND(ISNUMBER(tblData[Generic]),tblData[Dates]&gt;StartDt2Generic),(tblData[Generic LogiP(t)]-tblData[[#This Row],[Generic]])^2,"")</f>
        <v>35265.665033394587</v>
      </c>
      <c r="CC59" s="11">
        <f>IF(AND(ISNUMBER(tblData[Day'# Generic]),tblData[Dates]&gt;StartDt2Generic),tblData[Generic LogiP(t)]/GenericPopscale,"")</f>
        <v>452.63580970820709</v>
      </c>
      <c r="CD59" s="95">
        <f>IF(AND(ISNUMBER(tblData[Generic]),tblData[Dates]&gt;StartDt2Generic),(tblData[Generic]-AVERAGE(tblData[Generic]))^2,"")</f>
        <v>43553501.780828401</v>
      </c>
      <c r="CE59" s="11">
        <f>tblData[[#This Row],[Dates]]-Generic100dt+1</f>
        <v>-2</v>
      </c>
      <c r="CF59" s="11">
        <v>8361</v>
      </c>
      <c r="CG59" s="11">
        <v>618</v>
      </c>
      <c r="CH59" s="11">
        <f>IF(ISNUMBER(tblData[[#This Row],[Tests]]),tblData[[#This Row],[Tests]]-CF58,"")</f>
        <v>513</v>
      </c>
      <c r="CI59" s="11">
        <f>IF(ISNUMBER(tblData[[#This Row],[NSW Under Investigation'']]),tblData[[#This Row],[NSW Under Investigation'']]-CG58,"")</f>
        <v>142</v>
      </c>
      <c r="CJ59" s="11">
        <f>IF(tblData[[#This Row],[Dates]]&gt;myData!TestsStart,tblData[[#This Row],[Dates]]-myData!TestsStart,"")</f>
        <v>5</v>
      </c>
      <c r="CK59" s="11">
        <f>IF(AND(tblData[[#This Row],[NSW Test Day Number]]&gt;0,ISNUMBER(tblData[[#This Row],[NSW Test Day Number]])),betaTests/(deltaTests+betaPodeltaTests*EXP(-betaTests*tblData[[#This Row],[NSW Test Day Number]])),"")</f>
        <v>10006.863469957965</v>
      </c>
      <c r="CL59" s="11">
        <f>IF(tblData[Tests]&gt;0,(tblData[[#This Row],[Tests]]-tblData[[#This Row],[NSW Test Logi]])^2,"")</f>
        <v>2708866.5617420739</v>
      </c>
      <c r="CM59" s="95">
        <f>IF(AND(ISNUMBER(tblData[Tests]),tblData[Dates]&gt;StartDt2Tests),(tblData[Tests]-AVERAGE(tblData[Tests]))^2,"")</f>
        <v>9564027779.9554749</v>
      </c>
      <c r="CN59" s="11">
        <f>IF(ISNUMBER(tblData[Tests]),tblData[Tests]/NSWpopscale/100,"")</f>
        <v>103.47772277227723</v>
      </c>
      <c r="CO59" s="95">
        <f ca="1">IF(AND(tblData[[#This Row],[NSW Test Day Number]]&gt;0,ISNUMBER(tblData[[#This Row],[NSW Test Day Number]])),TestsLogestB*TestsLogestM^tblData[[#This Row],[NSW Test Day Number]],"")</f>
        <v>17741.646054140689</v>
      </c>
      <c r="CP59" s="95">
        <f>IF(AND(tblData[[#This Row],[NSW Test Day Number]]&gt;0,ISNUMBER(tblData[Tests])),(tblData[Tests]-tblData[[#This Row],[NSW Test Per Capita]])^2,"")</f>
        <v>68186674.158912122</v>
      </c>
      <c r="CQ59" s="20">
        <f ca="1">IF(AND(tblData[Day '# NSW]&gt;0,ISNUMBER(tblData[[#This Row],[Day '# NSW]])),NSWLogestB*NSWLogestM^tblData[[#This Row],[Day '# NSW]]/NSWpopscale,"")</f>
        <v>107.4101460533673</v>
      </c>
      <c r="CR59" s="39">
        <f ca="1">IF(AND(ISNUMBER(tblData[NSW]),tblData[Dates]&gt;StartDt2NSW),(tblData[NSW]/NSWpopscale-tblData[[#This Row],[NSW Cases LogEst]])^2,"")</f>
        <v>1547.7016228761361</v>
      </c>
      <c r="CS59" s="11">
        <v>47</v>
      </c>
      <c r="CT59" s="19">
        <f>IF(ISNUMBER(tblData[Taiwan]),tblData[Taiwan]/TaiwanPopscale,"")</f>
        <v>19.741858814458535</v>
      </c>
      <c r="CU59" s="11">
        <f ca="1">IF(tblData[[#This Row],[Dates]]&lt;StartDt2Taiwan,"",tblData[[#This Row],[Dates]]-TaiwanStart)</f>
        <v>48</v>
      </c>
      <c r="CV59" s="19">
        <f ca="1">IF(AND(tblData[Dates]&gt;StartDt2Taiwan,ISNUMBER(tblData[Days'# Taiwan])),betaTaiwan/(deltaTaiwan+betaPodeltaTaiwan*EXP(-betaTaiwan*tblData[Days'# Taiwan])),"")</f>
        <v>45.356534530744767</v>
      </c>
      <c r="CW59" s="95">
        <f ca="1">IF(AND(tblData[Dates]&gt;StartDt2Taiwan,ISNUMBER(tblData[Taiwan])),(tblData[[#This Row],[Taiwan LogiP(t)]]-tblData[[#This Row],[Taiwan]])^2,"")</f>
        <v>2.7009787486343226</v>
      </c>
      <c r="CX59" s="20">
        <f ca="1">IF(AND(tblData[Dates]&gt;StartDt2Taiwan,ISNUMBER(tblData[Days'# Taiwan])),tblData[[#This Row],[Taiwan LogiP(t)]]/TaiwanPopscale,"")</f>
        <v>19.051538319554819</v>
      </c>
      <c r="CY59" s="95">
        <f ca="1">IF(AND(ISNUMBER(tblData[Taiwan]),tblData[Dates]&gt;StartDt2Taiwan),(tblData[Taiwan]-AVERAGE(tblData[Taiwan]))^2,"")</f>
        <v>15018.262206843525</v>
      </c>
      <c r="CZ59" s="11">
        <f>tblData[[#This Row],[Dates]]-Taiwan100dt+1</f>
        <v>-15</v>
      </c>
      <c r="DA59">
        <v>5</v>
      </c>
      <c r="DB59" s="20">
        <f>IF(ISNUMBER(tblData[NZ]),tblData[NZ]/NZPopscale,"")</f>
        <v>9.5602294455066925</v>
      </c>
      <c r="DC59" s="11">
        <f ca="1">IF(tblData[[#This Row],[Dates]]&lt;StartDt2NZ,"",tblData[[#This Row],[Dates]]-NZStart)</f>
        <v>11</v>
      </c>
      <c r="DD59" s="20">
        <f ca="1">IF(AND(tblData[Dates]&gt;StartDt2NZ,ISNUMBER(tblData[Days'# NZ])),betaNZ/(deltaNZ+betaPodeltaNZ*EXP(-betaNZ*tblData[Days'# NZ])),"")</f>
        <v>8.24621336477718</v>
      </c>
      <c r="DE59" s="95">
        <f ca="1">IF(AND(tblData[Dates]&gt;StartDt2NZ,ISNUMBER(tblData[NZ])),(tblData[[#This Row],[NZ LogiP(t)]]-tblData[[#This Row],[NZ]])^2,"")</f>
        <v>10.537901209657981</v>
      </c>
      <c r="DF59" s="20">
        <f ca="1">IF(AND(tblData[Dates]&gt;StartDt2NZ,ISNUMBER(tblData[Days'# NZ])),tblData[[#This Row],[NZ LogiP(t)]]/NZPopscale,"")</f>
        <v>15.767138364774722</v>
      </c>
      <c r="DG59" s="95">
        <f ca="1">IF(AND(ISNUMBER(tblData[NZ]),tblData[Dates]&gt;StartDt2NZ),(tblData[NZ]-AVERAGE(tblData[NZ]))^2,"")</f>
        <v>467773.09458218556</v>
      </c>
      <c r="DH59" s="11">
        <f>tblData[[#This Row],[Dates]]-NZ100dt+1</f>
        <v>-11</v>
      </c>
      <c r="DI59" s="39"/>
      <c r="DJ59" s="11"/>
      <c r="DM59" s="25"/>
      <c r="DP59"/>
      <c r="DV59" s="25"/>
      <c r="DW59"/>
      <c r="DZ59" s="25"/>
      <c r="EA59" s="25"/>
      <c r="EB59" s="25"/>
      <c r="EH59"/>
      <c r="EI59"/>
      <c r="EJ59"/>
      <c r="EK59"/>
      <c r="EQ59" s="25"/>
      <c r="ER59" s="25"/>
      <c r="ES59" s="25"/>
      <c r="ET59" s="25"/>
      <c r="FF59"/>
      <c r="FG59"/>
      <c r="FH59"/>
      <c r="FI59"/>
      <c r="FJ59" s="25"/>
      <c r="FK59" s="25"/>
      <c r="FM59" s="25"/>
      <c r="FN59"/>
      <c r="FO59" s="267" t="s">
        <v>48</v>
      </c>
      <c r="FP59" s="251">
        <v>43933.916643518518</v>
      </c>
      <c r="FQ59" s="244">
        <v>43855</v>
      </c>
      <c r="FR59" s="160">
        <v>43855</v>
      </c>
      <c r="FS59" s="211">
        <v>0</v>
      </c>
      <c r="FT59" s="72">
        <v>0.41849100610505413</v>
      </c>
      <c r="FU59" s="72">
        <v>9.2685867941054339E-5</v>
      </c>
      <c r="FV59" s="74">
        <v>8.1363288521204715E-8</v>
      </c>
      <c r="FW59" s="212">
        <v>4515.1544178364156</v>
      </c>
      <c r="FX59" s="212">
        <v>1005.8400557273125</v>
      </c>
      <c r="FY59" s="212">
        <v>0.76489650875852244</v>
      </c>
      <c r="FZ59" s="213">
        <v>5143486.8686317503</v>
      </c>
      <c r="GA59" s="213">
        <v>9.2685867941054337E-2</v>
      </c>
      <c r="GB59" s="243">
        <v>44072</v>
      </c>
      <c r="GC59" s="160" t="s">
        <v>2260</v>
      </c>
      <c r="GD59" s="212">
        <v>4515.1544178364156</v>
      </c>
      <c r="GE59" s="212">
        <v>6303</v>
      </c>
      <c r="GF59" s="74" t="s">
        <v>1675</v>
      </c>
      <c r="GG59" s="243">
        <v>44072</v>
      </c>
      <c r="GH59" s="160">
        <v>81</v>
      </c>
      <c r="GI59" s="23" t="s">
        <v>2261</v>
      </c>
      <c r="GJ59" s="21"/>
      <c r="GK59" s="161" t="s">
        <v>2262</v>
      </c>
      <c r="GL59" s="23"/>
      <c r="GM59" s="23" t="s">
        <v>2263</v>
      </c>
      <c r="GN59" s="23">
        <v>2485.0181359407034</v>
      </c>
      <c r="GO59" s="243"/>
      <c r="GP59" s="218"/>
      <c r="GQ59" s="243"/>
      <c r="GR59" s="23"/>
      <c r="GS59" s="23" t="s">
        <v>2211</v>
      </c>
      <c r="GT59" s="11">
        <v>4515.1544178364156</v>
      </c>
      <c r="GU59" s="34">
        <v>0.4047616559331676</v>
      </c>
      <c r="GV59" s="160">
        <v>43904</v>
      </c>
      <c r="GW59" s="23" t="s">
        <v>1965</v>
      </c>
      <c r="GX59" s="220" t="e">
        <v>#N/A</v>
      </c>
      <c r="GY59" s="23" t="s">
        <v>569</v>
      </c>
      <c r="GZ59" s="23"/>
      <c r="HA59" s="25"/>
      <c r="HK59" s="164">
        <v>43946</v>
      </c>
      <c r="HL59" s="60">
        <v>43945.833333333336</v>
      </c>
      <c r="HM59">
        <v>2994</v>
      </c>
      <c r="HN59">
        <v>190262</v>
      </c>
      <c r="HO59">
        <v>807</v>
      </c>
      <c r="HP59">
        <v>366</v>
      </c>
      <c r="HQ59" s="166">
        <f>IF(ISNUMBER(tblNSWKnown[[#This Row],[Unknown Locally]]),tblNSWKnown[[#This Row],[Known Locally]]+tblNSWKnown[[#This Row],[Unknown Locally]],"")</f>
        <v>1173</v>
      </c>
      <c r="HR59" s="25">
        <v>26</v>
      </c>
      <c r="HS59" s="166">
        <f>IF(ISNUMBER(tblNSWKnown[[#This Row],[Day '# NSW Unknown]]),betaNSWUnknown/(deltaNSWUnknown+betaPodeltaNSWUnknown*EXP(-betaNSWUnknown*tblNSWKnown[Day '# NSW Unknown])),"")</f>
        <v>1168.4009097013131</v>
      </c>
      <c r="HT59" s="166">
        <f>IF(ISNUMBER(tblNSWKnown[[#This Row],[Total Local]]),(tblNSWKnown[[#This Row],[Total Local]]-tblNSWKnown[[#This Row],[NSW Unknown Logi P(t)]])^2,"")</f>
        <v>21.151631575475594</v>
      </c>
      <c r="HU59" s="166">
        <f>IF(ISNUMBER(tblNSWKnown[Total Local]),(tblNSWKnown[Total Local]-AVERAGE(tblNSWKnown[Total Local]))^2,"")</f>
        <v>10029.433391003478</v>
      </c>
      <c r="HV59" s="166"/>
    </row>
    <row r="60" spans="2:241" ht="15" customHeight="1" x14ac:dyDescent="0.25">
      <c r="B60" s="26">
        <v>43901</v>
      </c>
      <c r="C60">
        <v>0</v>
      </c>
      <c r="D60" s="25">
        <v>0</v>
      </c>
      <c r="E60">
        <v>65</v>
      </c>
      <c r="F60">
        <v>1</v>
      </c>
      <c r="G60">
        <v>20</v>
      </c>
      <c r="H60">
        <v>9</v>
      </c>
      <c r="I60">
        <v>3</v>
      </c>
      <c r="J60">
        <v>21</v>
      </c>
      <c r="K60">
        <v>9</v>
      </c>
      <c r="L60" s="11">
        <f>IF(ISNUMBER(tblData[[#This Row],[NSW]]),tblData[[#This Row],[New South Wales]]/NSWpopscale,"")</f>
        <v>80.445544554455438</v>
      </c>
      <c r="M60" s="25">
        <v>12462</v>
      </c>
      <c r="N60" s="20">
        <f>IF(ISNUMBER(tblData[Italy]),tblData[Italy]/ItalyPopscale,"")</f>
        <v>2060.3455402165828</v>
      </c>
      <c r="O60">
        <v>1281</v>
      </c>
      <c r="P60" s="20">
        <f>IF(ISNUMBER(tblData[US]),tblData[US]/USPopscale,"")</f>
        <v>38.909235796912455</v>
      </c>
      <c r="Q60">
        <v>7755</v>
      </c>
      <c r="R60" s="20">
        <f>IF(ISNUMBER(tblData[SKorea]),tblData[SKorea]/SKoreaPopscale,"")</f>
        <v>1508.7548638132296</v>
      </c>
      <c r="S60">
        <v>459</v>
      </c>
      <c r="T60" s="20">
        <f>IF(ISNUMBER(tblData[United Kingdom]),tblData[United Kingdom]/UKPopscale,"")</f>
        <v>69.084888621312459</v>
      </c>
      <c r="U60">
        <v>80921</v>
      </c>
      <c r="V60" s="20">
        <f>IF(ISNUMBER(tblData[China]),tblData[China]/ChinaPopscale,"")</f>
        <v>562.21540524319107</v>
      </c>
      <c r="W60" s="25">
        <f ca="1">IF(tblData[[#This Row],[Dates]]&lt;StartDt2China,"",tblData[[#This Row],[Dates]]-ChinaStart)</f>
        <v>49</v>
      </c>
      <c r="X60">
        <v>178</v>
      </c>
      <c r="Y60" s="20">
        <f>IF(ISNUMBER(tblData[Singapore]),tblData[Singapore]/SingaporePopscale,"")</f>
        <v>304.27350427350427</v>
      </c>
      <c r="Z60">
        <v>43</v>
      </c>
      <c r="AA60" s="20">
        <f>IF(AND(LEN(tblData[Generic])&gt;0,ISNUMBER(tblData[Generic])),tblData[Generic]/GenericPopscale,"")</f>
        <v>87.755102040816325</v>
      </c>
      <c r="AB60" s="25">
        <f ca="1">IF(tblData[[#This Row],[Dates]]&lt;StartDt2Italy,"",tblData[[#This Row],[Dates]]-ItalyStart)</f>
        <v>41</v>
      </c>
      <c r="AC60" s="25">
        <f ca="1">IF(tblData[[#This Row],[Dates]]&lt;=StartDt2US,"",tblData[[#This Row],[Dates]]-USStart)</f>
        <v>49</v>
      </c>
      <c r="AD60" s="25">
        <f>IF(tblData[[#This Row],[Dates]]&lt;=SKoreaStart,"",tblData[[#This Row],[Dates]]-SKoreaStart)</f>
        <v>49</v>
      </c>
      <c r="AE60" s="25">
        <f ca="1">IF(tblData[[#This Row],[Dates]]&lt;=StartDt2UK,"",tblData[[#This Row],[Dates]]-UKStart)</f>
        <v>41</v>
      </c>
      <c r="AF60" s="25">
        <f ca="1">IF(tblData[[#This Row],[Dates]]&lt;StartDt2Singapore,"",tblData[[#This Row],[Dates]]-SingaporeStart)</f>
        <v>48</v>
      </c>
      <c r="AG60" s="25">
        <f>IF(tblData[[#This Row],[Dates]]&lt;StartDt2Generic,"",tblData[[#This Row],[Dates]]-GenericStart)</f>
        <v>11</v>
      </c>
      <c r="AH60">
        <f ca="1">IF(tblData[Dates]&gt;StartDt2Au,tblData[Dates]-AuStart,"")</f>
        <v>46</v>
      </c>
      <c r="AI60" s="25">
        <f>IF(AND(COUNTBLANK(tblData[[#This Row],[Australian Capital Territory]:[Western Australia]])&lt;1,tblData[New South Wales]&gt;=0),SUM(tblData[[#This Row],[Australian Capital Territory]:[Western Australia]]),"")</f>
        <v>128</v>
      </c>
      <c r="AJ60" s="12">
        <f>IF(ISNUMBER(tblData[Au]),tblData[Au]/AuPopScale,"")</f>
        <v>50.465226304999213</v>
      </c>
      <c r="AK60" s="11">
        <f ca="1">IF(ISNUMBER(tblData[[#This Row],[Day'# Aust]]),betaAu/(deltaAu+betaPodeltaAu*EXP(-betaAu*tblData[[#This Row],[Day'# Aust]])),"")</f>
        <v>151.25543265672439</v>
      </c>
      <c r="AL60" s="56">
        <f ca="1">IF(ISNUMBER(tblData[Day'# Aust]),tblData[Au LogiP(t)]/AuPopScale,"")</f>
        <v>59.633903428766914</v>
      </c>
      <c r="AM60" s="11">
        <f ca="1">IF(AND(tblData[Dates]&gt;StartDt2Au,ISNUMBER(tblData[Au])),(tblData[[#This Row],[Au LogiP(t)]]-tblData[[#This Row],[Au]])^2,"")</f>
        <v>540.81514805144343</v>
      </c>
      <c r="AN60" s="11">
        <f ca="1">IF(AND(ISNUMBER(tblData[Au]),tblData[Dates]&gt;StartDt2Au),(tblData[Au]-AVERAGE(tblData[Au]))^2,"")</f>
        <v>5386159.0560999997</v>
      </c>
      <c r="AO60" s="11">
        <f>tblData[[#This Row],[Dates]]-Au100dt</f>
        <v>-4</v>
      </c>
      <c r="AP60">
        <f ca="1">IF(tblData[Dates]&gt;StartDt2NSW,tblData[Dates]-StartDt2NSW,"")</f>
        <v>46</v>
      </c>
      <c r="AQ60" s="25">
        <f>IF(tblData[[#This Row],[New South Wales]]&gt;0,tblData[[#This Row],[New South Wales]],"")</f>
        <v>65</v>
      </c>
      <c r="AR60" s="44">
        <f ca="1">IF(tblData[Dates]&gt;StartDt2NSW,betaNSW/(deltaNSW+betaPodeltaNSW*EXP(-betaNSW*tblData[[#This Row],[Day '# NSW]])),"")</f>
        <v>58.041555935734131</v>
      </c>
      <c r="AS60" s="12">
        <f ca="1">IF(AND(ISNUMBER(tblData[NSW]),tblData[Dates]&gt;StartDt2NSW),(tblData[[#This Row],[NSW LogiP(t)]]-tblData[[#This Row],[NSW]])^2,"")</f>
        <v>48.419943795516907</v>
      </c>
      <c r="AT60" s="12">
        <f ca="1">IF(AND(tblData[Dates]&gt;StartDt2NSW,ISNUMBER(tblData[Day'# Aust])),tblData[NSW LogiP(t)]/NSWpopscale,"")</f>
        <v>71.833608831354113</v>
      </c>
      <c r="AU60" s="11">
        <f>tblData[[#This Row],[Dates]]-NSW100dt+1</f>
        <v>-1</v>
      </c>
      <c r="AV60" s="11">
        <f ca="1">IF(AND(ISNUMBER(tblData[NSW]),tblData[Dates]&gt;StartDt2NSW),(tblData[NSW]-AVERAGE(tblData[NSW]))^2,"")</f>
        <v>1059376.1476</v>
      </c>
      <c r="AW60" s="11">
        <f ca="1">IF(AND(tblData[Dates]&gt;StartDt2Italy,ISNUMBER(tblData[Days'# Italy])),betaItaly/(deltaItaly+betaPodeltaItaly*EXP(-betaItaly*tblData[Days'# Italy])),"")</f>
        <v>13112.191244423149</v>
      </c>
      <c r="AX60" s="11">
        <f ca="1">IF(AND(tblData[Dates]&gt;StartDt2Italy,ISNUMBER(tblData[Italy])),(tblData[[#This Row],[Italy LogiP(t)]]-tblData[[#This Row],[Italy]])^2,"")</f>
        <v>422748.65432452352</v>
      </c>
      <c r="AY60" s="11">
        <f ca="1">IF(AND(tblData[Dates]&gt;StartDt2Italy,ISNUMBER(tblData[Days'# Italy])),tblData[[#This Row],[Italy LogiP(t)]]/ItalyPopscale,"")</f>
        <v>2167.8418193639991</v>
      </c>
      <c r="AZ60" s="39">
        <f ca="1">IF(AND(ISNUMBER(tblData[Italy]),tblData[Dates]&gt;StartDt2Italy),(tblData[Italy]-AVERAGE(tblData[Italy]))^2,"")</f>
        <v>3281755270.8783379</v>
      </c>
      <c r="BA60" s="11">
        <f>tblData[[#This Row],[Dates]]-Italy100dt+1</f>
        <v>14</v>
      </c>
      <c r="BB60" s="11">
        <f ca="1">IF(AND(tblData[Dates]&gt;StartDt2US,ISNUMBER(tblData[[#This Row],[Days'# US]])),betaUS/(deltaUS+betaPodeltaUS*EXP(-betaUS*tblData[Days'# US])),"")</f>
        <v>1091.8069858512531</v>
      </c>
      <c r="BC60" s="11">
        <f ca="1">IF(AND(tblData[Dates]&gt;StartDt2US,ISNUMBER(tblData[US])),(tblData[[#This Row],[US LogiP(t)]]-tblData[US])^2,"")</f>
        <v>35793.996602687941</v>
      </c>
      <c r="BD60" s="20">
        <f ca="1">IF(AND(tblData[Dates]&gt;=StartDt2US,ISNUMBER(tblData[[#This Row],[Days'# US]])),tblData[[#This Row],[US LogiP(t)]]/USPopscale,"")</f>
        <v>33.162666242937291</v>
      </c>
      <c r="BE60" s="126">
        <f ca="1">IF(AND(ISNUMBER(tblData[US]),tblData[Dates]&gt;StartDt2US),(tblData[US]-AVERAGE(tblData[US]))^2,"")</f>
        <v>49578475392.099289</v>
      </c>
      <c r="BF60" s="11">
        <f>tblData[[#This Row],[Dates]]-US100dt+1</f>
        <v>-3</v>
      </c>
      <c r="BG60" s="20">
        <f ca="1">IF(tblData[Dates]&gt;StartDt2SKorea,betaSKorea/(deltaSKorea+betaPodeltaSKorea*EXP(-betaSKorea*(tblData[Dates]-StartDt2SKorea))),"")</f>
        <v>7668.5776535513924</v>
      </c>
      <c r="BH60" s="20">
        <f ca="1">IF(AND(tblData[Dates]&gt;StartDt2SKorea,ISNUMBER(tblData[SKorea])),(tblData[[#This Row],[SKorea LogiP(t)]]-tblData[[#This Row],[SKorea]])^2,"")</f>
        <v>7468.8219656831661</v>
      </c>
      <c r="BI60" s="20">
        <f ca="1">IF(tblData[Dates]&gt;StartDt2SKorea,tblData[[#This Row],[SKorea LogiP(t)]]/SKoreaPopscale,"")</f>
        <v>1491.9411777337341</v>
      </c>
      <c r="BJ60" s="126">
        <f ca="1">IF(AND(ISNUMBER(tblData[SKorea]),tblData[Dates]&gt;StartDt2SKorea),(tblData[SKorea]-AVERAGE(tblData[SKorea]))^2,"")</f>
        <v>3727322.3544790479</v>
      </c>
      <c r="BK60" s="11">
        <f>tblData[[#This Row],[Dates]]-SKorea100dt+1</f>
        <v>18</v>
      </c>
      <c r="BL60" s="11">
        <f ca="1">IF(AND(tblData[Dates]&gt;StartDt2UK,ISNUMBER(tblData[Days'# UK])),betaUK/(deltaUK+betaPodeltaUK*EXP(-betaUK*tblData[Days'# UK])),"")</f>
        <v>548.28710276836443</v>
      </c>
      <c r="BM60" s="20">
        <f ca="1">IF(AND(tblData[Dates]&gt;StartDt2UK,ISNUMBER(tblData[United Kingdom])),(tblData[[#This Row],[UK LogiP(t)]]-tblData[[#This Row],[United Kingdom]])^2,"")</f>
        <v>7972.1867207684718</v>
      </c>
      <c r="BN60" s="20">
        <f ca="1">IF(ISNUMBER(tblData[Days'# UK]),tblData[[#This Row],[UK LogiP(t)]]/UKPopscale,"")</f>
        <v>82.523645811012102</v>
      </c>
      <c r="BO60" s="126">
        <f ca="1">IF(AND(ISNUMBER(tblData[United Kingdom]),tblData[Dates]&gt;StartDt2UK),(tblData[United Kingdom]-AVERAGE(tblData[United Kingdom]))^2,"")</f>
        <v>1406852458.1286781</v>
      </c>
      <c r="BP60" s="11">
        <f>tblData[[#This Row],[Dates]]-UK100dt</f>
        <v>-1</v>
      </c>
      <c r="BQ60" s="11">
        <f ca="1">IF(ISNUMBER(tblData[Days'# China]),betaChina/(deltaChina+betaPodeltaChina*EXP(-betaChina*tblData[Days'# China])),"")</f>
        <v>82040.862055219899</v>
      </c>
      <c r="BR60" s="11">
        <f ca="1">IF(ISNUMBER(tblData[China]),(tblData[[#This Row],[China LogiP(t)]]-tblData[[#This Row],[China]])^2,"")</f>
        <v>1254091.0227213362</v>
      </c>
      <c r="BS60" s="11">
        <f ca="1">tblData[[#This Row],[China LogiP(t)]]/ChinaPopscale</f>
        <v>569.99587878148066</v>
      </c>
      <c r="BT60" s="126">
        <f ca="1">IF(AND(ISNUMBER(tblData[China]),tblData[Dates]&gt;StartDt2China),(tblData[China]-AVERAGE(tblData[China]))^2,"")</f>
        <v>188143179.10380605</v>
      </c>
      <c r="BU60" s="11">
        <f>tblData[[#This Row],[Dates]]-China100dt</f>
        <v>38</v>
      </c>
      <c r="BV60" s="95">
        <f ca="1">IF(ISNUMBER(tblData[Day'# Singapore]),betaSingapore/(deltaSingapore+betaPodeltaSingapore*EXP(-betaSingapore*tblData[Day'# Singapore])),"")</f>
        <v>50.65784276861379</v>
      </c>
      <c r="BW60" s="11">
        <f ca="1">IF(AND(ISNUMBER(tblData[Singapore]),tblData[Dates]&gt;=StartDt2Singapore),(tblData[[#This Row],[Singapore LogiP(t)]]-tblData[[#This Row],[Singapore]])^2,"")</f>
        <v>16216.025008343087</v>
      </c>
      <c r="BX60" s="20">
        <f ca="1">IF(ISNUMBER(tblData[Day'# Singapore]),tblData[Singapore LogiP(t)]/SingaporePopscale,"")</f>
        <v>86.594603023271446</v>
      </c>
      <c r="BY60" s="95">
        <f ca="1">IF(AND(ISNUMBER(tblData[Singapore]),tblData[Dates]&gt;StartDt2Singapore),(tblData[Singapore]-AVERAGE(tblData[Singapore]))^2,"")</f>
        <v>4591608.6462898897</v>
      </c>
      <c r="BZ60" s="11">
        <f>tblData[[#This Row],[Dates]]-Singapore100dt+1</f>
        <v>27</v>
      </c>
      <c r="CA60" s="44">
        <f>IF(AND(tblData[Dates]&gt;StartDt2Generic,ISNUMBER(tblData[Day'# Generic])),betaGeneric/(deltaGeneric+betaPodeltaGeneric*EXP(-betaGeneric*tblData[Day'# Generic])),"")</f>
        <v>252.09761003329183</v>
      </c>
      <c r="CB60" s="95">
        <f>IF(AND(ISNUMBER(tblData[Generic]),tblData[Dates]&gt;StartDt2Generic),(tblData[Generic LogiP(t)]-tblData[[#This Row],[Generic]])^2,"")</f>
        <v>43721.810521634587</v>
      </c>
      <c r="CC60" s="11">
        <f>IF(AND(ISNUMBER(tblData[Day'# Generic]),tblData[Dates]&gt;StartDt2Generic),tblData[Generic LogiP(t)]/GenericPopscale,"")</f>
        <v>514.4849184352895</v>
      </c>
      <c r="CD60" s="95">
        <f>IF(AND(ISNUMBER(tblData[Generic]),tblData[Dates]&gt;StartDt2Generic),(tblData[Generic]-AVERAGE(tblData[Generic]))^2,"")</f>
        <v>43434791.642366864</v>
      </c>
      <c r="CE60" s="11">
        <f>tblData[[#This Row],[Dates]]-Generic100dt+1</f>
        <v>-1</v>
      </c>
      <c r="CF60" s="11">
        <v>9152</v>
      </c>
      <c r="CG60" s="11">
        <v>1004</v>
      </c>
      <c r="CH60" s="11">
        <f>IF(ISNUMBER(tblData[[#This Row],[Tests]]),tblData[[#This Row],[Tests]]-CF59,"")</f>
        <v>791</v>
      </c>
      <c r="CI60" s="11">
        <f>IF(ISNUMBER(tblData[[#This Row],[NSW Under Investigation'']]),tblData[[#This Row],[NSW Under Investigation'']]-CG59,"")</f>
        <v>386</v>
      </c>
      <c r="CJ60" s="11">
        <f>IF(tblData[[#This Row],[Dates]]&gt;myData!TestsStart,tblData[[#This Row],[Dates]]-myData!TestsStart,"")</f>
        <v>6</v>
      </c>
      <c r="CK60" s="11">
        <f>IF(AND(tblData[[#This Row],[NSW Test Day Number]]&gt;0,ISNUMBER(tblData[[#This Row],[NSW Test Day Number]])),betaTests/(deltaTests+betaPodeltaTests*EXP(-betaTests*tblData[[#This Row],[NSW Test Day Number]])),"")</f>
        <v>11801.773747086769</v>
      </c>
      <c r="CL60" s="11">
        <f>IF(tblData[Tests]&gt;0,(tblData[[#This Row],[Tests]]-tblData[[#This Row],[NSW Test Logi]])^2,"")</f>
        <v>7021300.910750255</v>
      </c>
      <c r="CM60" s="95">
        <f>IF(AND(ISNUMBER(tblData[Tests]),tblData[Dates]&gt;StartDt2Tests),(tblData[Tests]-AVERAGE(tblData[Tests]))^2,"")</f>
        <v>9409940430.2775078</v>
      </c>
      <c r="CN60" s="11">
        <f>IF(ISNUMBER(tblData[Tests]),tblData[Tests]/NSWpopscale/100,"")</f>
        <v>113.26732673267327</v>
      </c>
      <c r="CO60" s="95">
        <f ca="1">IF(AND(tblData[[#This Row],[NSW Test Day Number]]&gt;0,ISNUMBER(tblData[[#This Row],[NSW Test Day Number]])),TestsLogestB*TestsLogestM^tblData[[#This Row],[NSW Test Day Number]],"")</f>
        <v>18806.3476880827</v>
      </c>
      <c r="CP60" s="95">
        <f>IF(AND(tblData[[#This Row],[NSW Test Day Number]]&gt;0,ISNUMBER(tblData[Tests])),(tblData[Tests]-tblData[[#This Row],[NSW Test Per Capita]])^2,"")</f>
        <v>81698688.338790312</v>
      </c>
      <c r="CQ60" s="20">
        <f ca="1">IF(AND(tblData[Day '# NSW]&gt;0,ISNUMBER(tblData[[#This Row],[Day '# NSW]])),NSWLogestB*NSWLogestM^tblData[[#This Row],[Day '# NSW]]/NSWpopscale,"")</f>
        <v>118.25380525564611</v>
      </c>
      <c r="CR60" s="39">
        <f ca="1">IF(AND(ISNUMBER(tblData[NSW]),tblData[Dates]&gt;StartDt2NSW),(tblData[NSW]/NSWpopscale-tblData[[#This Row],[NSW Cases LogEst]])^2,"")</f>
        <v>1429.4645772491992</v>
      </c>
      <c r="CS60" s="11">
        <v>48</v>
      </c>
      <c r="CT60" s="19">
        <f>IF(ISNUMBER(tblData[Taiwan]),tblData[Taiwan]/TaiwanPopscale,"")</f>
        <v>20.161898363702331</v>
      </c>
      <c r="CU60" s="11">
        <f ca="1">IF(tblData[[#This Row],[Dates]]&lt;StartDt2Taiwan,"",tblData[[#This Row],[Dates]]-TaiwanStart)</f>
        <v>49</v>
      </c>
      <c r="CV60" s="19">
        <f ca="1">IF(AND(tblData[Dates]&gt;StartDt2Taiwan,ISNUMBER(tblData[Days'# Taiwan])),betaTaiwan/(deltaTaiwan+betaPodeltaTaiwan*EXP(-betaTaiwan*tblData[Days'# Taiwan])),"")</f>
        <v>51.692656415652053</v>
      </c>
      <c r="CW60" s="95">
        <f ca="1">IF(AND(tblData[Dates]&gt;StartDt2Taiwan,ISNUMBER(tblData[Taiwan])),(tblData[[#This Row],[Taiwan LogiP(t)]]-tblData[[#This Row],[Taiwan]])^2,"")</f>
        <v>13.635711404056266</v>
      </c>
      <c r="CX60" s="20">
        <f ca="1">IF(AND(tblData[Dates]&gt;StartDt2Taiwan,ISNUMBER(tblData[Days'# Taiwan])),tblData[[#This Row],[Taiwan LogiP(t)]]/TaiwanPopscale,"")</f>
        <v>21.712960100045041</v>
      </c>
      <c r="CY60" s="95">
        <f ca="1">IF(AND(ISNUMBER(tblData[Taiwan]),tblData[Dates]&gt;StartDt2Taiwan),(tblData[Taiwan]-AVERAGE(tblData[Taiwan]))^2,"")</f>
        <v>14774.164167627838</v>
      </c>
      <c r="CZ60" s="11">
        <f>tblData[[#This Row],[Dates]]-Taiwan100dt+1</f>
        <v>-14</v>
      </c>
      <c r="DA60">
        <v>5</v>
      </c>
      <c r="DB60" s="20">
        <f>IF(ISNUMBER(tblData[NZ]),tblData[NZ]/NZPopscale,"")</f>
        <v>9.5602294455066925</v>
      </c>
      <c r="DC60" s="11">
        <f ca="1">IF(tblData[[#This Row],[Dates]]&lt;StartDt2NZ,"",tblData[[#This Row],[Dates]]-NZStart)</f>
        <v>12</v>
      </c>
      <c r="DD60" s="20">
        <f ca="1">IF(AND(tblData[Dates]&gt;StartDt2NZ,ISNUMBER(tblData[Days'# NZ])),betaNZ/(deltaNZ+betaPodeltaNZ*EXP(-betaNZ*tblData[Days'# NZ])),"")</f>
        <v>10.394346894048402</v>
      </c>
      <c r="DE60" s="95">
        <f ca="1">IF(AND(tblData[Dates]&gt;StartDt2NZ,ISNUMBER(tblData[NZ])),(tblData[[#This Row],[NZ LogiP(t)]]-tblData[[#This Row],[NZ]])^2,"")</f>
        <v>29.098978413329643</v>
      </c>
      <c r="DF60" s="20">
        <f ca="1">IF(AND(tblData[Dates]&gt;StartDt2NZ,ISNUMBER(tblData[Days'# NZ])),tblData[[#This Row],[NZ LogiP(t)]]/NZPopscale,"")</f>
        <v>19.874468248658513</v>
      </c>
      <c r="DG60" s="95">
        <f ca="1">IF(AND(ISNUMBER(tblData[NZ]),tblData[Dates]&gt;StartDt2NZ),(tblData[NZ]-AVERAGE(tblData[NZ]))^2,"")</f>
        <v>467773.09458218556</v>
      </c>
      <c r="DH60" s="11">
        <f>tblData[[#This Row],[Dates]]-NZ100dt+1</f>
        <v>-10</v>
      </c>
      <c r="DI60" s="39"/>
      <c r="DJ60" s="11"/>
      <c r="DM60" s="25"/>
      <c r="DP60"/>
      <c r="DV60" s="25"/>
      <c r="DW60"/>
      <c r="EA60" s="25"/>
      <c r="EH60"/>
      <c r="EI60"/>
      <c r="EJ60"/>
      <c r="EK60"/>
      <c r="EL60" s="25"/>
      <c r="EM60" s="25"/>
      <c r="EQ60" s="25"/>
      <c r="ER60" s="25"/>
      <c r="ES60" s="25"/>
      <c r="ET60" s="25"/>
      <c r="FF60"/>
      <c r="FG60"/>
      <c r="FH60"/>
      <c r="FI60"/>
      <c r="FJ60" s="25"/>
      <c r="FK60" s="25"/>
      <c r="FM60" s="25"/>
      <c r="FN60"/>
      <c r="FO60" s="267" t="s">
        <v>48</v>
      </c>
      <c r="FP60" s="251">
        <v>43933.921319444446</v>
      </c>
      <c r="FQ60" s="244">
        <v>43855</v>
      </c>
      <c r="FR60" s="160">
        <v>43855</v>
      </c>
      <c r="FS60" s="211">
        <v>0</v>
      </c>
      <c r="FT60" s="72">
        <v>0.26158870926355754</v>
      </c>
      <c r="FU60" s="72">
        <v>5.68240433697788E-5</v>
      </c>
      <c r="FV60" s="74">
        <v>1.0000000000000009E-3</v>
      </c>
      <c r="FW60" s="212">
        <v>4603.4863721556358</v>
      </c>
      <c r="FX60" s="212">
        <v>1031.4805553170875</v>
      </c>
      <c r="FY60" s="212">
        <v>0.75275739204884107</v>
      </c>
      <c r="FZ60" s="213">
        <v>261.58865243951391</v>
      </c>
      <c r="GA60" s="213">
        <v>5.6824043369778802E-2</v>
      </c>
      <c r="GB60" s="243">
        <v>44072</v>
      </c>
      <c r="GC60" s="160" t="s">
        <v>2212</v>
      </c>
      <c r="GD60" s="212">
        <v>4603.4863721556358</v>
      </c>
      <c r="GE60" s="212">
        <v>6303</v>
      </c>
      <c r="GF60" s="74" t="s">
        <v>1935</v>
      </c>
      <c r="GG60" s="243">
        <v>44072</v>
      </c>
      <c r="GH60" s="160">
        <v>81</v>
      </c>
      <c r="GI60" s="23" t="s">
        <v>2213</v>
      </c>
      <c r="GJ60" s="21"/>
      <c r="GK60" s="161" t="s">
        <v>2214</v>
      </c>
      <c r="GL60" s="23"/>
      <c r="GM60" s="23" t="s">
        <v>2215</v>
      </c>
      <c r="GN60" s="23">
        <v>2485.0181359407034</v>
      </c>
      <c r="GO60" s="243"/>
      <c r="GP60" s="218"/>
      <c r="GQ60" s="243"/>
      <c r="GR60" s="23"/>
      <c r="GS60" s="23" t="s">
        <v>2211</v>
      </c>
      <c r="GT60" s="11">
        <v>4603.4863721556358</v>
      </c>
      <c r="GU60" s="34">
        <v>0.4150796891172871</v>
      </c>
      <c r="GV60" s="160">
        <v>43904</v>
      </c>
      <c r="GW60" s="23" t="s">
        <v>1965</v>
      </c>
      <c r="GX60" s="220" t="e">
        <v>#N/A</v>
      </c>
      <c r="GY60" s="23" t="s">
        <v>569</v>
      </c>
      <c r="GZ60" s="23"/>
      <c r="HA60" s="25"/>
      <c r="HD60" s="46"/>
      <c r="HE60" s="46"/>
      <c r="HF60" s="46"/>
      <c r="HG60" s="46"/>
      <c r="HH60" s="46"/>
      <c r="HI60" s="46"/>
      <c r="HK60" s="164">
        <v>43947</v>
      </c>
      <c r="HL60" s="60">
        <v>43946.833333333336</v>
      </c>
      <c r="HM60">
        <v>3002</v>
      </c>
      <c r="HN60">
        <v>195713</v>
      </c>
      <c r="HO60">
        <v>813</v>
      </c>
      <c r="HP60">
        <v>368</v>
      </c>
      <c r="HQ60" s="166">
        <f>IF(ISNUMBER(tblNSWKnown[[#This Row],[Unknown Locally]]),tblNSWKnown[[#This Row],[Known Locally]]+tblNSWKnown[[#This Row],[Unknown Locally]],"")</f>
        <v>1181</v>
      </c>
      <c r="HR60" s="25">
        <v>27</v>
      </c>
      <c r="HS60" s="166">
        <f>IF(ISNUMBER(tblNSWKnown[[#This Row],[Day '# NSW Unknown]]),betaNSWUnknown/(deltaNSWUnknown+betaPodeltaNSWUnknown*EXP(-betaNSWUnknown*tblNSWKnown[Day '# NSW Unknown])),"")</f>
        <v>1169.450226633804</v>
      </c>
      <c r="HT60" s="166">
        <f>IF(ISNUMBER(tblNSWKnown[[#This Row],[Total Local]]),(tblNSWKnown[[#This Row],[Total Local]]-tblNSWKnown[[#This Row],[NSW Unknown Logi P(t)]])^2,"")</f>
        <v>133.39726481048933</v>
      </c>
      <c r="HU60" s="166">
        <f>IF(ISNUMBER(tblNSWKnown[Total Local]),(tblNSWKnown[Total Local]-AVERAGE(tblNSWKnown[Total Local]))^2,"")</f>
        <v>11695.78633217995</v>
      </c>
      <c r="HV60" s="166"/>
    </row>
    <row r="61" spans="2:241" ht="15" customHeight="1" x14ac:dyDescent="0.25">
      <c r="B61" s="26">
        <v>43902</v>
      </c>
      <c r="C61">
        <v>0</v>
      </c>
      <c r="D61" s="25">
        <v>0</v>
      </c>
      <c r="E61">
        <v>76</v>
      </c>
      <c r="F61">
        <v>1</v>
      </c>
      <c r="G61">
        <v>20</v>
      </c>
      <c r="H61">
        <v>9</v>
      </c>
      <c r="I61">
        <v>3</v>
      </c>
      <c r="J61">
        <v>21</v>
      </c>
      <c r="K61">
        <v>9</v>
      </c>
      <c r="L61" s="11">
        <f>IF(ISNUMBER(tblData[[#This Row],[NSW]]),tblData[[#This Row],[New South Wales]]/NSWpopscale,"")</f>
        <v>94.059405940594047</v>
      </c>
      <c r="M61" s="25">
        <v>12462</v>
      </c>
      <c r="N61" s="20">
        <f>IF(ISNUMBER(tblData[Italy]),tblData[Italy]/ItalyPopscale,"")</f>
        <v>2060.3455402165828</v>
      </c>
      <c r="O61">
        <v>1663</v>
      </c>
      <c r="P61" s="20">
        <f>IF(ISNUMBER(tblData[US]),tblData[US]/USPopscale,"")</f>
        <v>50.512146081393766</v>
      </c>
      <c r="Q61">
        <v>7869</v>
      </c>
      <c r="R61" s="20">
        <f>IF(ISNUMBER(tblData[SKorea]),tblData[SKorea]/SKoreaPopscale,"")</f>
        <v>1530.933852140078</v>
      </c>
      <c r="S61">
        <v>459</v>
      </c>
      <c r="T61" s="20">
        <f>IF(ISNUMBER(tblData[United Kingdom]),tblData[United Kingdom]/UKPopscale,"")</f>
        <v>69.084888621312459</v>
      </c>
      <c r="U61">
        <v>80932</v>
      </c>
      <c r="V61" s="20">
        <f>IF(ISNUMBER(tblData[China]),tblData[China]/ChinaPopscale,"")</f>
        <v>562.29183002115576</v>
      </c>
      <c r="W61" s="25">
        <f ca="1">IF(tblData[[#This Row],[Dates]]&lt;StartDt2China,"",tblData[[#This Row],[Dates]]-ChinaStart)</f>
        <v>50</v>
      </c>
      <c r="X61">
        <v>178</v>
      </c>
      <c r="Y61" s="20">
        <f>IF(ISNUMBER(tblData[Singapore]),tblData[Singapore]/SingaporePopscale,"")</f>
        <v>304.27350427350427</v>
      </c>
      <c r="Z61">
        <v>43</v>
      </c>
      <c r="AA61" s="20">
        <f>IF(AND(LEN(tblData[Generic])&gt;0,ISNUMBER(tblData[Generic])),tblData[Generic]/GenericPopscale,"")</f>
        <v>87.755102040816325</v>
      </c>
      <c r="AB61" s="25">
        <f ca="1">IF(tblData[[#This Row],[Dates]]&lt;StartDt2Italy,"",tblData[[#This Row],[Dates]]-ItalyStart)</f>
        <v>42</v>
      </c>
      <c r="AC61" s="25">
        <f ca="1">IF(tblData[[#This Row],[Dates]]&lt;=StartDt2US,"",tblData[[#This Row],[Dates]]-USStart)</f>
        <v>50</v>
      </c>
      <c r="AD61" s="25">
        <f>IF(tblData[[#This Row],[Dates]]&lt;=SKoreaStart,"",tblData[[#This Row],[Dates]]-SKoreaStart)</f>
        <v>50</v>
      </c>
      <c r="AE61" s="25">
        <f ca="1">IF(tblData[[#This Row],[Dates]]&lt;=StartDt2UK,"",tblData[[#This Row],[Dates]]-UKStart)</f>
        <v>42</v>
      </c>
      <c r="AF61" s="25">
        <f ca="1">IF(tblData[[#This Row],[Dates]]&lt;StartDt2Singapore,"",tblData[[#This Row],[Dates]]-SingaporeStart)</f>
        <v>49</v>
      </c>
      <c r="AG61" s="25">
        <f>IF(tblData[[#This Row],[Dates]]&lt;StartDt2Generic,"",tblData[[#This Row],[Dates]]-GenericStart)</f>
        <v>12</v>
      </c>
      <c r="AH61">
        <f ca="1">IF(tblData[Dates]&gt;StartDt2Au,tblData[Dates]-AuStart,"")</f>
        <v>47</v>
      </c>
      <c r="AI61" s="25">
        <f>IF(AND(COUNTBLANK(tblData[[#This Row],[Australian Capital Territory]:[Western Australia]])&lt;1,tblData[New South Wales]&gt;=0),SUM(tblData[[#This Row],[Australian Capital Territory]:[Western Australia]]),"")</f>
        <v>139</v>
      </c>
      <c r="AJ61" s="12">
        <f>IF(ISNUMBER(tblData[Au]),tblData[Au]/AuPopScale,"")</f>
        <v>54.802081690585084</v>
      </c>
      <c r="AK61" s="11">
        <f ca="1">IF(ISNUMBER(tblData[[#This Row],[Day'# Aust]]),betaAu/(deltaAu+betaPodeltaAu*EXP(-betaAu*tblData[[#This Row],[Day'# Aust]])),"")</f>
        <v>188.55413764969506</v>
      </c>
      <c r="AL61" s="56">
        <f ca="1">IF(ISNUMBER(tblData[Day'# Aust]),tblData[Au LogiP(t)]/AuPopScale,"")</f>
        <v>74.339275212779953</v>
      </c>
      <c r="AM61" s="11">
        <f ca="1">IF(AND(tblData[Dates]&gt;StartDt2Au,ISNUMBER(tblData[Au])),(tblData[[#This Row],[Au LogiP(t)]]-tblData[[#This Row],[Au]])^2,"")</f>
        <v>2455.6125582049258</v>
      </c>
      <c r="AN61" s="11">
        <f ca="1">IF(AND(ISNUMBER(tblData[Au]),tblData[Dates]&gt;StartDt2Au),(tblData[Au]-AVERAGE(tblData[Au]))^2,"")</f>
        <v>5335222.2360999994</v>
      </c>
      <c r="AO61" s="11">
        <f>tblData[[#This Row],[Dates]]-Au100dt</f>
        <v>-3</v>
      </c>
      <c r="AP61">
        <f ca="1">IF(tblData[Dates]&gt;StartDt2NSW,tblData[Dates]-StartDt2NSW,"")</f>
        <v>47</v>
      </c>
      <c r="AQ61" s="25">
        <f>IF(tblData[[#This Row],[New South Wales]]&gt;0,tblData[[#This Row],[New South Wales]],"")</f>
        <v>76</v>
      </c>
      <c r="AR61" s="44">
        <f ca="1">IF(tblData[Dates]&gt;StartDt2NSW,betaNSW/(deltaNSW+betaPodeltaNSW*EXP(-betaNSW*tblData[[#This Row],[Day '# NSW]])),"")</f>
        <v>72.989110883024836</v>
      </c>
      <c r="AS61" s="12">
        <f ca="1">IF(AND(ISNUMBER(tblData[NSW]),tblData[Dates]&gt;StartDt2NSW),(tblData[[#This Row],[NSW LogiP(t)]]-tblData[[#This Row],[NSW]])^2,"")</f>
        <v>9.0654532747194843</v>
      </c>
      <c r="AT61" s="12">
        <f ca="1">IF(AND(tblData[Dates]&gt;StartDt2NSW,ISNUMBER(tblData[Day'# Aust])),tblData[NSW LogiP(t)]/NSWpopscale,"")</f>
        <v>90.33305802354559</v>
      </c>
      <c r="AU61" s="11">
        <f>tblData[[#This Row],[Dates]]-NSW100dt+1</f>
        <v>0</v>
      </c>
      <c r="AV61" s="11">
        <f ca="1">IF(AND(ISNUMBER(tblData[NSW]),tblData[Dates]&gt;StartDt2NSW),(tblData[NSW]-AVERAGE(tblData[NSW]))^2,"")</f>
        <v>1036853.4275999999</v>
      </c>
      <c r="AW61" s="11">
        <f ca="1">IF(AND(tblData[Dates]&gt;StartDt2Italy,ISNUMBER(tblData[Days'# Italy])),betaItaly/(deltaItaly+betaPodeltaItaly*EXP(-betaItaly*tblData[Days'# Italy])),"")</f>
        <v>16503.714710702254</v>
      </c>
      <c r="AX61" s="11">
        <f ca="1">IF(AND(tblData[Dates]&gt;StartDt2Italy,ISNUMBER(tblData[Italy])),(tblData[[#This Row],[Italy LogiP(t)]]-tblData[[#This Row],[Italy]])^2,"")</f>
        <v>16335457.802707003</v>
      </c>
      <c r="AY61" s="11">
        <f ca="1">IF(AND(tblData[Dates]&gt;StartDt2Italy,ISNUMBER(tblData[Days'# Italy])),tblData[[#This Row],[Italy LogiP(t)]]/ItalyPopscale,"")</f>
        <v>2728.5632323224359</v>
      </c>
      <c r="AZ61" s="39">
        <f ca="1">IF(AND(ISNUMBER(tblData[Italy]),tblData[Dates]&gt;StartDt2Italy),(tblData[Italy]-AVERAGE(tblData[Italy]))^2,"")</f>
        <v>3281755270.8783379</v>
      </c>
      <c r="BA61" s="11">
        <f>tblData[[#This Row],[Dates]]-Italy100dt+1</f>
        <v>15</v>
      </c>
      <c r="BB61" s="11">
        <f ca="1">IF(AND(tblData[Dates]&gt;StartDt2US,ISNUMBER(tblData[[#This Row],[Days'# US]])),betaUS/(deltaUS+betaPodeltaUS*EXP(-betaUS*tblData[Days'# US])),"")</f>
        <v>1449.4191780904068</v>
      </c>
      <c r="BC61" s="11">
        <f ca="1">IF(AND(tblData[Dates]&gt;StartDt2US,ISNUMBER(tblData[US])),(tblData[[#This Row],[US LogiP(t)]]-tblData[US])^2,"")</f>
        <v>45616.767487577352</v>
      </c>
      <c r="BD61" s="20">
        <f ca="1">IF(AND(tblData[Dates]&gt;=StartDt2US,ISNUMBER(tblData[[#This Row],[Days'# US]])),tblData[[#This Row],[US LogiP(t)]]/USPopscale,"")</f>
        <v>44.02481855494667</v>
      </c>
      <c r="BE61" s="126">
        <f ca="1">IF(AND(ISNUMBER(tblData[US]),tblData[Dates]&gt;StartDt2US),(tblData[US]-AVERAGE(tblData[US]))^2,"")</f>
        <v>49408507360.844391</v>
      </c>
      <c r="BF61" s="11">
        <f>tblData[[#This Row],[Dates]]-US100dt+1</f>
        <v>-2</v>
      </c>
      <c r="BG61" s="20">
        <f ca="1">IF(tblData[Dates]&gt;StartDt2SKorea,betaSKorea/(deltaSKorea+betaPodeltaSKorea*EXP(-betaSKorea*(tblData[Dates]-StartDt2SKorea))),"")</f>
        <v>7994.2146360355937</v>
      </c>
      <c r="BH61" s="20">
        <f ca="1">IF(AND(tblData[Dates]&gt;StartDt2SKorea,ISNUMBER(tblData[SKorea])),(tblData[[#This Row],[SKorea LogiP(t)]]-tblData[[#This Row],[SKorea]])^2,"")</f>
        <v>15678.705077526196</v>
      </c>
      <c r="BI61" s="20">
        <f ca="1">IF(tblData[Dates]&gt;StartDt2SKorea,tblData[[#This Row],[SKorea LogiP(t)]]/SKoreaPopscale,"")</f>
        <v>1555.2946762715164</v>
      </c>
      <c r="BJ61" s="126">
        <f ca="1">IF(AND(ISNUMBER(tblData[SKorea]),tblData[Dates]&gt;StartDt2SKorea),(tblData[SKorea]-AVERAGE(tblData[SKorea]))^2,"")</f>
        <v>4180501.4133025771</v>
      </c>
      <c r="BK61" s="11">
        <f>tblData[[#This Row],[Dates]]-SKorea100dt+1</f>
        <v>19</v>
      </c>
      <c r="BL61" s="11">
        <f ca="1">IF(AND(tblData[Dates]&gt;StartDt2UK,ISNUMBER(tblData[Days'# UK])),betaUK/(deltaUK+betaPodeltaUK*EXP(-betaUK*tblData[Days'# UK])),"")</f>
        <v>677.96447553499206</v>
      </c>
      <c r="BM61" s="20">
        <f ca="1">IF(AND(tblData[Dates]&gt;StartDt2UK,ISNUMBER(tblData[United Kingdom])),(tblData[[#This Row],[UK LogiP(t)]]-tblData[[#This Row],[United Kingdom]])^2,"")</f>
        <v>47945.441546314134</v>
      </c>
      <c r="BN61" s="20">
        <f ca="1">IF(ISNUMBER(tblData[Days'# UK]),tblData[[#This Row],[UK LogiP(t)]]/UKPopscale,"")</f>
        <v>102.04161281381577</v>
      </c>
      <c r="BO61" s="126">
        <f ca="1">IF(AND(ISNUMBER(tblData[United Kingdom]),tblData[Dates]&gt;StartDt2UK),(tblData[United Kingdom]-AVERAGE(tblData[United Kingdom]))^2,"")</f>
        <v>1406852458.1286781</v>
      </c>
      <c r="BP61" s="11">
        <f>tblData[[#This Row],[Dates]]-UK100dt</f>
        <v>0</v>
      </c>
      <c r="BQ61" s="11">
        <f ca="1">IF(ISNUMBER(tblData[Days'# China]),betaChina/(deltaChina+betaPodeltaChina*EXP(-betaChina*tblData[Days'# China])),"")</f>
        <v>82057.553853351317</v>
      </c>
      <c r="BR61" s="11">
        <f ca="1">IF(ISNUMBER(tblData[China]),(tblData[[#This Row],[China LogiP(t)]]-tblData[[#This Row],[China]])^2,"")</f>
        <v>1266871.4767939986</v>
      </c>
      <c r="BS61" s="11">
        <f ca="1">tblData[[#This Row],[China LogiP(t)]]/ChinaPopscale</f>
        <v>570.11184850566463</v>
      </c>
      <c r="BT61" s="126">
        <f ca="1">IF(AND(ISNUMBER(tblData[China]),tblData[Dates]&gt;StartDt2China),(tblData[China]-AVERAGE(tblData[China]))^2,"")</f>
        <v>188445063.75086486</v>
      </c>
      <c r="BU61" s="11">
        <f>tblData[[#This Row],[Dates]]-China100dt</f>
        <v>39</v>
      </c>
      <c r="BV61" s="95">
        <f ca="1">IF(ISNUMBER(tblData[Day'# Singapore]),betaSingapore/(deltaSingapore+betaPodeltaSingapore*EXP(-betaSingapore*tblData[Day'# Singapore])),"")</f>
        <v>57.426639240921105</v>
      </c>
      <c r="BW61" s="11">
        <f ca="1">IF(AND(ISNUMBER(tblData[Singapore]),tblData[Dates]&gt;=StartDt2Singapore),(tblData[[#This Row],[Singapore LogiP(t)]]-tblData[[#This Row],[Singapore]])^2,"")</f>
        <v>14537.935324738986</v>
      </c>
      <c r="BX61" s="20">
        <f ca="1">IF(ISNUMBER(tblData[Day'# Singapore]),tblData[Singapore LogiP(t)]/SingaporePopscale,"")</f>
        <v>98.16519528362582</v>
      </c>
      <c r="BY61" s="95">
        <f ca="1">IF(AND(ISNUMBER(tblData[Singapore]),tblData[Dates]&gt;StartDt2Singapore),(tblData[Singapore]-AVERAGE(tblData[Singapore]))^2,"")</f>
        <v>4591608.6462898897</v>
      </c>
      <c r="BZ61" s="11">
        <f>tblData[[#This Row],[Dates]]-Singapore100dt+1</f>
        <v>28</v>
      </c>
      <c r="CA61" s="44">
        <f>IF(AND(tblData[Dates]&gt;StartDt2Generic,ISNUMBER(tblData[Day'# Generic])),betaGeneric/(deltaGeneric+betaPodeltaGeneric*EXP(-betaGeneric*tblData[Day'# Generic])),"")</f>
        <v>286.49766950537355</v>
      </c>
      <c r="CB61" s="95">
        <f>IF(AND(ISNUMBER(tblData[Generic]),tblData[Dates]&gt;StartDt2Generic),(tblData[Generic LogiP(t)]-tblData[[#This Row],[Generic]])^2,"")</f>
        <v>59291.115054548121</v>
      </c>
      <c r="CC61" s="11">
        <f>IF(AND(ISNUMBER(tblData[Day'# Generic]),tblData[Dates]&gt;StartDt2Generic),tblData[Generic LogiP(t)]/GenericPopscale,"")</f>
        <v>584.68912143953787</v>
      </c>
      <c r="CD61" s="95">
        <f>IF(AND(ISNUMBER(tblData[Generic]),tblData[Dates]&gt;StartDt2Generic),(tblData[Generic]-AVERAGE(tblData[Generic]))^2,"")</f>
        <v>43434791.642366864</v>
      </c>
      <c r="CE61" s="11">
        <f>tblData[[#This Row],[Dates]]-Generic100dt+1</f>
        <v>0</v>
      </c>
      <c r="CF61" s="11">
        <v>11040</v>
      </c>
      <c r="CG61" s="11">
        <v>1831</v>
      </c>
      <c r="CH61" s="11">
        <f>IF(ISNUMBER(tblData[[#This Row],[Tests]]),tblData[[#This Row],[Tests]]-CF60,"")</f>
        <v>1888</v>
      </c>
      <c r="CI61" s="11">
        <f>IF(ISNUMBER(tblData[[#This Row],[NSW Under Investigation'']]),tblData[[#This Row],[NSW Under Investigation'']]-CG60,"")</f>
        <v>827</v>
      </c>
      <c r="CJ61" s="11">
        <f>CJ60+1</f>
        <v>7</v>
      </c>
      <c r="CK61" s="11">
        <f>IF(AND(tblData[[#This Row],[NSW Test Day Number]]&gt;0,ISNUMBER(tblData[[#This Row],[NSW Test Day Number]])),betaTests/(deltaTests+betaPodeltaTests*EXP(-betaTests*tblData[[#This Row],[NSW Test Day Number]])),"")</f>
        <v>13891.118828240544</v>
      </c>
      <c r="CL61" s="11">
        <f>IF(tblData[Tests]&gt;0,(tblData[[#This Row],[Tests]]-tblData[[#This Row],[NSW Test Logi]])^2,"")</f>
        <v>8128878.5727477316</v>
      </c>
      <c r="CM61" s="95">
        <f>IF(AND(ISNUMBER(tblData[Tests]),tblData[Dates]&gt;StartDt2Tests),(tblData[Tests]-AVERAGE(tblData[Tests]))^2,"")</f>
        <v>9047214670.2775078</v>
      </c>
      <c r="CN61" s="11">
        <f>IF(ISNUMBER(tblData[Tests]),tblData[Tests]/NSWpopscale/100,"")</f>
        <v>136.63366336633663</v>
      </c>
      <c r="CO61" s="95">
        <f ca="1">IF(AND(tblData[[#This Row],[NSW Test Day Number]]&gt;0,ISNUMBER(tblData[[#This Row],[NSW Test Day Number]])),TestsLogestB*TestsLogestM^tblData[[#This Row],[NSW Test Day Number]],"")</f>
        <v>19934.943594622611</v>
      </c>
      <c r="CP61" s="95">
        <f>IF(AND(tblData[[#This Row],[NSW Test Day Number]]&gt;0,ISNUMBER(tblData[Tests])),(tblData[Tests]-tblData[[#This Row],[NSW Test Per Capita]])^2,"")</f>
        <v>118883397.47083621</v>
      </c>
      <c r="CQ61" s="20">
        <f ca="1">IF(AND(tblData[Day '# NSW]&gt;0,ISNUMBER(tblData[[#This Row],[Day '# NSW]])),NSWLogestB*NSWLogestM^tblData[[#This Row],[Day '# NSW]]/NSWpopscale,"")</f>
        <v>130.19219292833165</v>
      </c>
      <c r="CR61" s="39">
        <f ca="1">IF(AND(ISNUMBER(tblData[NSW]),tblData[Dates]&gt;StartDt2NSW),(tblData[NSW]/NSWpopscale-tblData[[#This Row],[NSW Cases LogEst]])^2,"")</f>
        <v>1305.5782955012198</v>
      </c>
      <c r="CS61" s="11">
        <v>49</v>
      </c>
      <c r="CT61" s="19">
        <f>IF(ISNUMBER(tblData[Taiwan]),tblData[Taiwan]/TaiwanPopscale,"")</f>
        <v>20.581937912946131</v>
      </c>
      <c r="CU61" s="11">
        <f ca="1">IF(tblData[[#This Row],[Dates]]&lt;StartDt2Taiwan,"",tblData[[#This Row],[Dates]]-TaiwanStart)</f>
        <v>50</v>
      </c>
      <c r="CV61" s="19">
        <f ca="1">IF(AND(tblData[Dates]&gt;StartDt2Taiwan,ISNUMBER(tblData[Days'# Taiwan])),betaTaiwan/(deltaTaiwan+betaPodeltaTaiwan*EXP(-betaTaiwan*tblData[Days'# Taiwan])),"")</f>
        <v>58.777311913280151</v>
      </c>
      <c r="CW61" s="95">
        <f ca="1">IF(AND(tblData[Dates]&gt;StartDt2Taiwan,ISNUMBER(tblData[Taiwan])),(tblData[[#This Row],[Taiwan LogiP(t)]]-tblData[[#This Row],[Taiwan]])^2,"")</f>
        <v>95.595828249569976</v>
      </c>
      <c r="CX61" s="20">
        <f ca="1">IF(AND(tblData[Dates]&gt;StartDt2Taiwan,ISNUMBER(tblData[Days'# Taiwan])),tblData[[#This Row],[Taiwan LogiP(t)]]/TaiwanPopscale,"")</f>
        <v>24.688795601816349</v>
      </c>
      <c r="CY61" s="95">
        <f ca="1">IF(AND(ISNUMBER(tblData[Taiwan]),tblData[Dates]&gt;StartDt2Taiwan),(tblData[Taiwan]-AVERAGE(tblData[Taiwan]))^2,"")</f>
        <v>14532.066128412152</v>
      </c>
      <c r="CZ61" s="11">
        <f>tblData[[#This Row],[Dates]]-Taiwan100dt+1</f>
        <v>-13</v>
      </c>
      <c r="DA61">
        <v>5</v>
      </c>
      <c r="DB61" s="20">
        <f>IF(ISNUMBER(tblData[NZ]),tblData[NZ]/NZPopscale,"")</f>
        <v>9.5602294455066925</v>
      </c>
      <c r="DC61" s="11">
        <f ca="1">IF(tblData[[#This Row],[Dates]]&lt;StartDt2NZ,"",tblData[[#This Row],[Dates]]-NZStart)</f>
        <v>13</v>
      </c>
      <c r="DD61" s="20">
        <f ca="1">IF(AND(tblData[Dates]&gt;StartDt2NZ,ISNUMBER(tblData[Days'# NZ])),betaNZ/(deltaNZ+betaPodeltaNZ*EXP(-betaNZ*tblData[Days'# NZ])),"")</f>
        <v>13.097023396357629</v>
      </c>
      <c r="DE61" s="95">
        <f ca="1">IF(AND(tblData[Dates]&gt;StartDt2NZ,ISNUMBER(tblData[NZ])),(tblData[[#This Row],[NZ LogiP(t)]]-tblData[[#This Row],[NZ]])^2,"")</f>
        <v>65.561787881162843</v>
      </c>
      <c r="DF61" s="20">
        <f ca="1">IF(AND(tblData[Dates]&gt;StartDt2NZ,ISNUMBER(tblData[Days'# NZ])),tblData[[#This Row],[NZ LogiP(t)]]/NZPopscale,"")</f>
        <v>25.042109744469652</v>
      </c>
      <c r="DG61" s="95">
        <f ca="1">IF(AND(ISNUMBER(tblData[NZ]),tblData[Dates]&gt;StartDt2NZ),(tblData[NZ]-AVERAGE(tblData[NZ]))^2,"")</f>
        <v>467773.09458218556</v>
      </c>
      <c r="DH61" s="11">
        <f>tblData[[#This Row],[Dates]]-NZ100dt+1</f>
        <v>-9</v>
      </c>
      <c r="DI61" s="39"/>
      <c r="DJ61" s="11"/>
      <c r="DM61" s="25"/>
      <c r="DP61"/>
      <c r="DV61" s="25"/>
      <c r="DW61"/>
      <c r="EA61" s="25"/>
      <c r="EH61"/>
      <c r="EI61"/>
      <c r="EJ61"/>
      <c r="EK61"/>
      <c r="EL61" s="25"/>
      <c r="EM61" s="25"/>
      <c r="EQ61" s="25"/>
      <c r="ER61" s="25"/>
      <c r="ES61" s="25"/>
      <c r="ET61" s="25"/>
      <c r="FF61"/>
      <c r="FG61"/>
      <c r="FH61"/>
      <c r="FI61"/>
      <c r="FJ61" s="25"/>
      <c r="FK61" s="25"/>
      <c r="FM61" s="25"/>
      <c r="FN61"/>
      <c r="FO61" s="267" t="s">
        <v>48</v>
      </c>
      <c r="FP61" s="251">
        <v>43933.928530092591</v>
      </c>
      <c r="FQ61" s="244">
        <v>43855</v>
      </c>
      <c r="FR61" s="160">
        <v>43855</v>
      </c>
      <c r="FS61" s="211">
        <v>0</v>
      </c>
      <c r="FT61" s="72">
        <v>0.2615890244037023</v>
      </c>
      <c r="FU61" s="72">
        <v>5.6823997054475232E-5</v>
      </c>
      <c r="FV61" s="74">
        <v>1.0000000000000009E-3</v>
      </c>
      <c r="FW61" s="212">
        <v>4603.495670199437</v>
      </c>
      <c r="FX61" s="212">
        <v>1031.4805552613232</v>
      </c>
      <c r="FY61" s="212">
        <v>0.75275739207557413</v>
      </c>
      <c r="FZ61" s="213">
        <v>261.58896757970501</v>
      </c>
      <c r="GA61" s="213">
        <v>5.6823997054475231E-2</v>
      </c>
      <c r="GB61" s="243">
        <v>44072</v>
      </c>
      <c r="GC61" s="160" t="s">
        <v>2212</v>
      </c>
      <c r="GD61" s="212">
        <v>4603.495670199437</v>
      </c>
      <c r="GE61" s="212">
        <v>6303</v>
      </c>
      <c r="GF61" s="74" t="s">
        <v>1935</v>
      </c>
      <c r="GG61" s="243">
        <v>44072</v>
      </c>
      <c r="GH61" s="160">
        <v>81</v>
      </c>
      <c r="GI61" s="23" t="s">
        <v>2213</v>
      </c>
      <c r="GJ61" s="21"/>
      <c r="GK61" s="161" t="s">
        <v>2214</v>
      </c>
      <c r="GL61" s="23"/>
      <c r="GM61" s="23" t="s">
        <v>2215</v>
      </c>
      <c r="GN61" s="23">
        <v>2485.0181359407034</v>
      </c>
      <c r="GO61" s="243"/>
      <c r="GP61" s="218"/>
      <c r="GQ61" s="243"/>
      <c r="GR61" s="23"/>
      <c r="GS61" s="23" t="s">
        <v>2211</v>
      </c>
      <c r="GT61" s="11">
        <v>4603.495670199437</v>
      </c>
      <c r="GU61" s="34">
        <v>0.41507968909484688</v>
      </c>
      <c r="GV61" s="160">
        <v>43904</v>
      </c>
      <c r="GW61" s="23" t="s">
        <v>1965</v>
      </c>
      <c r="GX61" s="220" t="e">
        <v>#N/A</v>
      </c>
      <c r="GY61" s="23" t="s">
        <v>569</v>
      </c>
      <c r="GZ61" s="23"/>
      <c r="HA61" s="25"/>
      <c r="HJ61" s="46"/>
      <c r="HK61" s="164">
        <v>43948</v>
      </c>
      <c r="HL61" s="60">
        <v>43947.833333333336</v>
      </c>
      <c r="HM61">
        <v>3004</v>
      </c>
      <c r="HN61">
        <v>200129</v>
      </c>
      <c r="HO61">
        <v>816</v>
      </c>
      <c r="HP61">
        <v>366</v>
      </c>
      <c r="HQ61" s="194">
        <f>IF(ISNUMBER(tblNSWKnown[[#This Row],[Unknown Locally]]),tblNSWKnown[[#This Row],[Known Locally]]+tblNSWKnown[[#This Row],[Unknown Locally]],"")</f>
        <v>1182</v>
      </c>
      <c r="HR61" s="25">
        <v>28</v>
      </c>
      <c r="HS61" s="194">
        <f>IF(ISNUMBER(tblNSWKnown[[#This Row],[Day '# NSW Unknown]]),betaNSWUnknown/(deltaNSWUnknown+betaPodeltaNSWUnknown*EXP(-betaNSWUnknown*tblNSWKnown[Day '# NSW Unknown])),"")</f>
        <v>1170.3119362118614</v>
      </c>
      <c r="HT61" s="194">
        <f>IF(ISNUMBER(tblNSWKnown[[#This Row],[Total Local]]),(tblNSWKnown[[#This Row],[Total Local]]-tblNSWKnown[[#This Row],[NSW Unknown Logi P(t)]])^2,"")</f>
        <v>136.61083511559698</v>
      </c>
      <c r="HU61" s="194">
        <f>IF(ISNUMBER(tblNSWKnown[Total Local]),(tblNSWKnown[Total Local]-AVERAGE(tblNSWKnown[Total Local]))^2,"")</f>
        <v>11913.08044982701</v>
      </c>
      <c r="HV61" s="194"/>
      <c r="HW61" s="46"/>
      <c r="HX61" s="46"/>
      <c r="HY61" s="46"/>
      <c r="HZ61" s="46"/>
      <c r="IA61" s="46"/>
      <c r="IB61" s="46"/>
      <c r="IC61" s="46"/>
      <c r="ID61" s="46"/>
      <c r="IE61" s="46"/>
      <c r="IF61" s="46"/>
      <c r="IG61" s="46"/>
    </row>
    <row r="62" spans="2:241" ht="15" customHeight="1" x14ac:dyDescent="0.25">
      <c r="B62" s="26">
        <v>43903</v>
      </c>
      <c r="D62" s="11">
        <v>1</v>
      </c>
      <c r="E62" s="11">
        <v>92</v>
      </c>
      <c r="F62" s="25">
        <v>1</v>
      </c>
      <c r="G62" s="25">
        <v>35</v>
      </c>
      <c r="H62" s="25">
        <v>16</v>
      </c>
      <c r="I62" s="25">
        <v>5</v>
      </c>
      <c r="J62" s="25">
        <v>36</v>
      </c>
      <c r="K62" s="25">
        <v>14</v>
      </c>
      <c r="L62" s="11">
        <f>IF(ISNUMBER(tblData[[#This Row],[NSW]]),tblData[[#This Row],[New South Wales]]/NSWpopscale,"")</f>
        <v>113.86138613861385</v>
      </c>
      <c r="M62" s="25">
        <v>17660</v>
      </c>
      <c r="N62" s="20">
        <f>IF(ISNUMBER(tblData[Italy]),tblData[Italy]/ItalyPopscale,"")</f>
        <v>2919.732164999587</v>
      </c>
      <c r="O62">
        <v>2179</v>
      </c>
      <c r="P62" s="20">
        <f>IF(ISNUMBER(tblData[US]),tblData[US]/USPopscale,"")</f>
        <v>66.185187198651235</v>
      </c>
      <c r="Q62">
        <v>7979</v>
      </c>
      <c r="R62" s="20">
        <f>IF(ISNUMBER(tblData[SKorea]),tblData[SKorea]/SKoreaPopscale,"")</f>
        <v>1552.3346303501946</v>
      </c>
      <c r="S62">
        <v>802</v>
      </c>
      <c r="T62" s="20">
        <f>IF(ISNUMBER(tblData[United Kingdom]),tblData[United Kingdom]/UKPopscale,"")</f>
        <v>120.71041541240217</v>
      </c>
      <c r="U62">
        <v>80945</v>
      </c>
      <c r="V62" s="20">
        <f>IF(ISNUMBER(tblData[China]),tblData[China]/ChinaPopscale,"")</f>
        <v>562.38215021329574</v>
      </c>
      <c r="W62" s="25">
        <f ca="1">IF(tblData[[#This Row],[Dates]]&lt;StartDt2China,"",tblData[[#This Row],[Dates]]-ChinaStart)</f>
        <v>51</v>
      </c>
      <c r="X62">
        <v>200</v>
      </c>
      <c r="Y62" s="20">
        <f>IF(ISNUMBER(tblData[Singapore]),tblData[Singapore]/SingaporePopscale,"")</f>
        <v>341.88034188034192</v>
      </c>
      <c r="Z62">
        <v>90</v>
      </c>
      <c r="AA62" s="20">
        <f>IF(AND(LEN(tblData[Generic])&gt;0,ISNUMBER(tblData[Generic])),tblData[Generic]/GenericPopscale,"")</f>
        <v>183.67346938775512</v>
      </c>
      <c r="AB62" s="25">
        <f ca="1">IF(tblData[[#This Row],[Dates]]&lt;StartDt2Italy,"",tblData[[#This Row],[Dates]]-ItalyStart)</f>
        <v>43</v>
      </c>
      <c r="AC62" s="25">
        <f ca="1">IF(tblData[[#This Row],[Dates]]&lt;=StartDt2US,"",tblData[[#This Row],[Dates]]-USStart)</f>
        <v>51</v>
      </c>
      <c r="AD62" s="25">
        <f>IF(tblData[[#This Row],[Dates]]&lt;=SKoreaStart,"",tblData[[#This Row],[Dates]]-SKoreaStart)</f>
        <v>51</v>
      </c>
      <c r="AE62" s="25">
        <f ca="1">IF(tblData[[#This Row],[Dates]]&lt;=StartDt2UK,"",tblData[[#This Row],[Dates]]-UKStart)</f>
        <v>43</v>
      </c>
      <c r="AF62" s="25">
        <f ca="1">IF(tblData[[#This Row],[Dates]]&lt;StartDt2Singapore,"",tblData[[#This Row],[Dates]]-SingaporeStart)</f>
        <v>50</v>
      </c>
      <c r="AG62" s="25">
        <f>IF(tblData[[#This Row],[Dates]]&lt;StartDt2Generic,"",tblData[[#This Row],[Dates]]-GenericStart)</f>
        <v>13</v>
      </c>
      <c r="AH62">
        <f ca="1">IF(tblData[Dates]&gt;StartDt2Au,tblData[Dates]-AuStart,"")</f>
        <v>48</v>
      </c>
      <c r="AI62" s="25">
        <f>IF(AND(COUNTBLANK(tblData[[#This Row],[Australian Capital Territory]:[Western Australia]])&lt;1,tblData[New South Wales]&gt;=0),SUM(tblData[[#This Row],[Australian Capital Territory]:[Western Australia]]),"")</f>
        <v>200</v>
      </c>
      <c r="AJ62" s="12">
        <f>IF(ISNUMBER(tblData[Au]),tblData[Au]/AuPopScale,"")</f>
        <v>78.851916101561272</v>
      </c>
      <c r="AK62" s="11">
        <f ca="1">IF(ISNUMBER(tblData[[#This Row],[Day'# Aust]]),betaAu/(deltaAu+betaPodeltaAu*EXP(-betaAu*tblData[[#This Row],[Day'# Aust]])),"")</f>
        <v>234.71797164550549</v>
      </c>
      <c r="AL62" s="56">
        <f ca="1">IF(ISNUMBER(tblData[Day'# Aust]),tblData[Au LogiP(t)]/AuPopScale,"")</f>
        <v>92.539809038600183</v>
      </c>
      <c r="AM62" s="11">
        <f ca="1">IF(AND(tblData[Dates]&gt;StartDt2Au,ISNUMBER(tblData[Au])),(tblData[[#This Row],[Au LogiP(t)]]-tblData[[#This Row],[Au]])^2,"")</f>
        <v>1205.3375551781228</v>
      </c>
      <c r="AN62" s="11">
        <f ca="1">IF(AND(ISNUMBER(tblData[Au]),tblData[Dates]&gt;StartDt2Au),(tblData[Au]-AVERAGE(tblData[Au]))^2,"")</f>
        <v>5057146.4161</v>
      </c>
      <c r="AO62" s="11">
        <f>tblData[[#This Row],[Dates]]-Au100dt</f>
        <v>-2</v>
      </c>
      <c r="AP62">
        <f ca="1">IF(tblData[Dates]&gt;StartDt2NSW,tblData[Dates]-StartDt2NSW,"")</f>
        <v>48</v>
      </c>
      <c r="AQ62" s="25">
        <f>IF(tblData[[#This Row],[New South Wales]]&gt;0,tblData[[#This Row],[New South Wales]],"")</f>
        <v>92</v>
      </c>
      <c r="AR62" s="44">
        <f ca="1">IF(tblData[Dates]&gt;StartDt2NSW,betaNSW/(deltaNSW+betaPodeltaNSW*EXP(-betaNSW*tblData[[#This Row],[Day '# NSW]])),"")</f>
        <v>91.665110891080701</v>
      </c>
      <c r="AS62" s="12">
        <f ca="1">IF(AND(ISNUMBER(tblData[NSW]),tblData[Dates]&gt;StartDt2NSW),(tblData[[#This Row],[NSW LogiP(t)]]-tblData[[#This Row],[NSW]])^2,"")</f>
        <v>0.11215071527276205</v>
      </c>
      <c r="AT62" s="12">
        <f ca="1">IF(AND(tblData[Dates]&gt;StartDt2NSW,ISNUMBER(tblData[Day'# Aust])),tblData[NSW LogiP(t)]/NSWpopscale,"")</f>
        <v>113.44691941965432</v>
      </c>
      <c r="AU62" s="11">
        <f>tblData[[#This Row],[Dates]]-NSW100dt+1</f>
        <v>1</v>
      </c>
      <c r="AV62" s="11">
        <f ca="1">IF(AND(ISNUMBER(tblData[NSW]),tblData[Dates]&gt;StartDt2NSW),(tblData[NSW]-AVERAGE(tblData[NSW]))^2,"")</f>
        <v>1004525.1076</v>
      </c>
      <c r="AW62" s="11">
        <f ca="1">IF(AND(tblData[Dates]&gt;StartDt2Italy,ISNUMBER(tblData[Days'# Italy])),betaItaly/(deltaItaly+betaPodeltaItaly*EXP(-betaItaly*tblData[Days'# Italy])),"")</f>
        <v>20650.295966138936</v>
      </c>
      <c r="AX62" s="11">
        <f ca="1">IF(AND(tblData[Dates]&gt;StartDt2Italy,ISNUMBER(tblData[Italy])),(tblData[[#This Row],[Italy LogiP(t)]]-tblData[[#This Row],[Italy]])^2,"")</f>
        <v>8941869.9651067927</v>
      </c>
      <c r="AY62" s="11">
        <f ca="1">IF(AND(tblData[Dates]&gt;StartDt2Italy,ISNUMBER(tblData[Days'# Italy])),tblData[[#This Row],[Italy LogiP(t)]]/ItalyPopscale,"")</f>
        <v>3414.118536188962</v>
      </c>
      <c r="AZ62" s="39">
        <f ca="1">IF(AND(ISNUMBER(tblData[Italy]),tblData[Dates]&gt;StartDt2Italy),(tblData[Italy]-AVERAGE(tblData[Italy]))^2,"")</f>
        <v>2713222914.9208913</v>
      </c>
      <c r="BA62" s="11">
        <f>tblData[[#This Row],[Dates]]-Italy100dt+1</f>
        <v>16</v>
      </c>
      <c r="BB62" s="11">
        <f ca="1">IF(AND(tblData[Dates]&gt;StartDt2US,ISNUMBER(tblData[[#This Row],[Days'# US]])),betaUS/(deltaUS+betaPodeltaUS*EXP(-betaUS*tblData[Days'# US])),"")</f>
        <v>1923.8868151965157</v>
      </c>
      <c r="BC62" s="11">
        <f ca="1">IF(AND(tblData[Dates]&gt;StartDt2US,ISNUMBER(tblData[US])),(tblData[[#This Row],[US LogiP(t)]]-tblData[US])^2,"")</f>
        <v>65082.737060576721</v>
      </c>
      <c r="BD62" s="20">
        <f ca="1">IF(AND(tblData[Dates]&gt;=StartDt2US,ISNUMBER(tblData[[#This Row],[Days'# US]])),tblData[[#This Row],[US LogiP(t)]]/USPopscale,"")</f>
        <v>58.436351084349859</v>
      </c>
      <c r="BE62" s="126">
        <f ca="1">IF(AND(ISNUMBER(tblData[US]),tblData[Dates]&gt;StartDt2US),(tblData[US]-AVERAGE(tblData[US]))^2,"")</f>
        <v>49179380403.903214</v>
      </c>
      <c r="BF62" s="11">
        <f>tblData[[#This Row],[Dates]]-US100dt+1</f>
        <v>-1</v>
      </c>
      <c r="BG62" s="20">
        <f ca="1">IF(tblData[Dates]&gt;StartDt2SKorea,betaSKorea/(deltaSKorea+betaPodeltaSKorea*EXP(-betaSKorea*(tblData[Dates]-StartDt2SKorea))),"")</f>
        <v>8289.0045116041674</v>
      </c>
      <c r="BH62" s="20">
        <f ca="1">IF(AND(tblData[Dates]&gt;StartDt2SKorea,ISNUMBER(tblData[SKorea])),(tblData[[#This Row],[SKorea LogiP(t)]]-tblData[[#This Row],[SKorea]])^2,"")</f>
        <v>96102.797214938371</v>
      </c>
      <c r="BI62" s="20">
        <f ca="1">IF(tblData[Dates]&gt;StartDt2SKorea,tblData[[#This Row],[SKorea LogiP(t)]]/SKoreaPopscale,"")</f>
        <v>1612.6467921408887</v>
      </c>
      <c r="BJ62" s="126">
        <f ca="1">IF(AND(ISNUMBER(tblData[SKorea]),tblData[Dates]&gt;StartDt2SKorea),(tblData[SKorea]-AVERAGE(tblData[SKorea]))^2,"")</f>
        <v>4642419.4525182638</v>
      </c>
      <c r="BK62" s="11">
        <f>tblData[[#This Row],[Dates]]-SKorea100dt+1</f>
        <v>20</v>
      </c>
      <c r="BL62" s="11">
        <f ca="1">IF(AND(tblData[Dates]&gt;StartDt2UK,ISNUMBER(tblData[Days'# UK])),betaUK/(deltaUK+betaPodeltaUK*EXP(-betaUK*tblData[Days'# UK])),"")</f>
        <v>838.13164613203026</v>
      </c>
      <c r="BM62" s="20">
        <f ca="1">IF(AND(tblData[Dates]&gt;StartDt2UK,ISNUMBER(tblData[United Kingdom])),(tblData[[#This Row],[UK LogiP(t)]]-tblData[[#This Row],[United Kingdom]])^2,"")</f>
        <v>1305.495852210257</v>
      </c>
      <c r="BN62" s="20">
        <f ca="1">IF(ISNUMBER(tblData[Days'# UK]),tblData[[#This Row],[UK LogiP(t)]]/UKPopscale,"")</f>
        <v>126.14865233775289</v>
      </c>
      <c r="BO62" s="126">
        <f ca="1">IF(AND(ISNUMBER(tblData[United Kingdom]),tblData[Dates]&gt;StartDt2UK),(tblData[United Kingdom]-AVERAGE(tblData[United Kingdom]))^2,"")</f>
        <v>1381239597.2350612</v>
      </c>
      <c r="BP62" s="11">
        <f>tblData[[#This Row],[Dates]]-UK100dt</f>
        <v>1</v>
      </c>
      <c r="BQ62" s="11">
        <f ca="1">IF(ISNUMBER(tblData[Days'# China]),betaChina/(deltaChina+betaPodeltaChina*EXP(-betaChina*tblData[Days'# China])),"")</f>
        <v>82070.942721064828</v>
      </c>
      <c r="BR62" s="11">
        <f ca="1">IF(ISNUMBER(tblData[China]),(tblData[[#This Row],[China LogiP(t)]]-tblData[[#This Row],[China]])^2,"")</f>
        <v>1267747.0111188695</v>
      </c>
      <c r="BS62" s="11">
        <f ca="1">tblData[[#This Row],[China LogiP(t)]]/ChinaPopscale</f>
        <v>570.20487043677394</v>
      </c>
      <c r="BT62" s="126">
        <f ca="1">IF(AND(ISNUMBER(tblData[China]),tblData[Dates]&gt;StartDt2China),(tblData[China]-AVERAGE(tblData[China]))^2,"")</f>
        <v>188802148.51557076</v>
      </c>
      <c r="BU62" s="11">
        <f>tblData[[#This Row],[Dates]]-China100dt</f>
        <v>40</v>
      </c>
      <c r="BV62" s="95">
        <f ca="1">IF(ISNUMBER(tblData[Day'# Singapore]),betaSingapore/(deltaSingapore+betaPodeltaSingapore*EXP(-betaSingapore*tblData[Day'# Singapore])),"")</f>
        <v>65.098208329638368</v>
      </c>
      <c r="BW62" s="11">
        <f ca="1">IF(AND(ISNUMBER(tblData[Singapore]),tblData[Dates]&gt;=StartDt2Singapore),(tblData[[#This Row],[Singapore LogiP(t)]]-tblData[[#This Row],[Singapore]])^2,"")</f>
        <v>18198.493395873651</v>
      </c>
      <c r="BX62" s="20">
        <f ca="1">IF(ISNUMBER(tblData[Day'# Singapore]),tblData[Singapore LogiP(t)]/SingaporePopscale,"")</f>
        <v>111.27898859767242</v>
      </c>
      <c r="BY62" s="95">
        <f ca="1">IF(AND(ISNUMBER(tblData[Singapore]),tblData[Dates]&gt;StartDt2Singapore),(tblData[Singapore]-AVERAGE(tblData[Singapore]))^2,"")</f>
        <v>4497809.2737408699</v>
      </c>
      <c r="BZ62" s="11">
        <f>tblData[[#This Row],[Dates]]-Singapore100dt+1</f>
        <v>29</v>
      </c>
      <c r="CA62" s="44">
        <f>IF(AND(tblData[Dates]&gt;StartDt2Generic,ISNUMBER(tblData[Day'# Generic])),betaGeneric/(deltaGeneric+betaPodeltaGeneric*EXP(-betaGeneric*tblData[Day'# Generic])),"")</f>
        <v>325.53107887085895</v>
      </c>
      <c r="CB62" s="95">
        <f>IF(AND(ISNUMBER(tblData[Generic]),tblData[Dates]&gt;StartDt2Generic),(tblData[Generic LogiP(t)]-tblData[[#This Row],[Generic]])^2,"")</f>
        <v>55474.889114070778</v>
      </c>
      <c r="CC62" s="11">
        <f>IF(AND(ISNUMBER(tblData[Day'# Generic]),tblData[Dates]&gt;StartDt2Generic),tblData[Generic LogiP(t)]/GenericPopscale,"")</f>
        <v>664.34914055277341</v>
      </c>
      <c r="CD62" s="95">
        <f>IF(AND(ISNUMBER(tblData[Generic]),tblData[Dates]&gt;StartDt2Generic),(tblData[Generic]-AVERAGE(tblData[Generic]))^2,"")</f>
        <v>42817492.919289939</v>
      </c>
      <c r="CE62" s="11">
        <f>tblData[[#This Row],[Dates]]-Generic100dt+1</f>
        <v>1</v>
      </c>
      <c r="CF62" s="11">
        <v>18716</v>
      </c>
      <c r="CG62" s="11">
        <v>1668</v>
      </c>
      <c r="CH62" s="11">
        <f>IF(ISNUMBER(tblData[[#This Row],[Tests]]),tblData[[#This Row],[Tests]]-CF61,"")</f>
        <v>7676</v>
      </c>
      <c r="CI62" s="11">
        <f>IF(ISNUMBER(tblData[[#This Row],[NSW Under Investigation'']]),tblData[[#This Row],[NSW Under Investigation'']]-CG61,"")</f>
        <v>-163</v>
      </c>
      <c r="CJ62" s="11">
        <f t="shared" ref="CJ62:CJ114" si="2">CJ61+1</f>
        <v>8</v>
      </c>
      <c r="CK62" s="11">
        <f>IF(AND(tblData[[#This Row],[NSW Test Day Number]]&gt;0,ISNUMBER(tblData[[#This Row],[NSW Test Day Number]])),betaTests/(deltaTests+betaPodeltaTests*EXP(-betaTests*tblData[[#This Row],[NSW Test Day Number]])),"")</f>
        <v>16312.817129003974</v>
      </c>
      <c r="CL62" s="11">
        <f>IF(tblData[Tests]&gt;0,(tblData[[#This Row],[Tests]]-tblData[[#This Row],[NSW Test Logi]])^2,"")</f>
        <v>5775287.9114487041</v>
      </c>
      <c r="CM62" s="95">
        <f>IF(AND(ISNUMBER(tblData[Tests]),tblData[Dates]&gt;StartDt2Tests),(tblData[Tests]-AVERAGE(tblData[Tests]))^2,"")</f>
        <v>7645901804.108016</v>
      </c>
      <c r="CN62" s="11">
        <f>IF(ISNUMBER(tblData[Tests]),tblData[Tests]/NSWpopscale/100,"")</f>
        <v>231.63366336633663</v>
      </c>
      <c r="CO62" s="95">
        <f ca="1">IF(AND(tblData[[#This Row],[NSW Test Day Number]]&gt;0,ISNUMBER(tblData[[#This Row],[NSW Test Day Number]])),TestsLogestB*TestsLogestM^tblData[[#This Row],[NSW Test Day Number]],"")</f>
        <v>21131.268160729196</v>
      </c>
      <c r="CP62" s="95">
        <f>IF(AND(tblData[[#This Row],[NSW Test Day Number]]&gt;0,ISNUMBER(tblData[Tests])),(tblData[Tests]-tblData[[#This Row],[NSW Test Per Capita]])^2,"")</f>
        <v>341671798.86687577</v>
      </c>
      <c r="CQ62" s="20">
        <f ca="1">IF(AND(tblData[Day '# NSW]&gt;0,ISNUMBER(tblData[[#This Row],[Day '# NSW]])),NSWLogestB*NSWLogestM^tblData[[#This Row],[Day '# NSW]]/NSWpopscale,"")</f>
        <v>143.33582807626939</v>
      </c>
      <c r="CR62" s="39">
        <f ca="1">IF(AND(ISNUMBER(tblData[NSW]),tblData[Dates]&gt;StartDt2NSW),(tblData[NSW]/NSWpopscale-tblData[[#This Row],[NSW Cases LogEst]])^2,"")</f>
        <v>868.74272753622779</v>
      </c>
      <c r="CS62" s="11">
        <v>50</v>
      </c>
      <c r="CT62" s="19">
        <f>IF(ISNUMBER(tblData[Taiwan]),tblData[Taiwan]/TaiwanPopscale,"")</f>
        <v>21.001977462189931</v>
      </c>
      <c r="CU62" s="11">
        <f ca="1">IF(tblData[[#This Row],[Dates]]&lt;StartDt2Taiwan,"",tblData[[#This Row],[Dates]]-TaiwanStart)</f>
        <v>51</v>
      </c>
      <c r="CV62" s="19">
        <f ca="1">IF(AND(tblData[Dates]&gt;StartDt2Taiwan,ISNUMBER(tblData[Days'# Taiwan])),betaTaiwan/(deltaTaiwan+betaPodeltaTaiwan*EXP(-betaTaiwan*tblData[Days'# Taiwan])),"")</f>
        <v>66.660127869701725</v>
      </c>
      <c r="CW62" s="95">
        <f ca="1">IF(AND(tblData[Dates]&gt;StartDt2Taiwan,ISNUMBER(tblData[Taiwan])),(tblData[[#This Row],[Taiwan LogiP(t)]]-tblData[[#This Row],[Taiwan]])^2,"")</f>
        <v>277.55986063481214</v>
      </c>
      <c r="CX62" s="20">
        <f ca="1">IF(AND(tblData[Dates]&gt;StartDt2Taiwan,ISNUMBER(tblData[Days'# Taiwan])),tblData[[#This Row],[Taiwan LogiP(t)]]/TaiwanPopscale,"")</f>
        <v>27.999890062923487</v>
      </c>
      <c r="CY62" s="95">
        <f ca="1">IF(AND(ISNUMBER(tblData[Taiwan]),tblData[Dates]&gt;StartDt2Taiwan),(tblData[Taiwan]-AVERAGE(tblData[Taiwan]))^2,"")</f>
        <v>14291.968089196465</v>
      </c>
      <c r="CZ62" s="11">
        <f>tblData[[#This Row],[Dates]]-Taiwan100dt+1</f>
        <v>-12</v>
      </c>
      <c r="DA62">
        <v>5</v>
      </c>
      <c r="DB62" s="20">
        <f>IF(ISNUMBER(tblData[NZ]),tblData[NZ]/NZPopscale,"")</f>
        <v>9.5602294455066925</v>
      </c>
      <c r="DC62" s="11">
        <f ca="1">IF(tblData[[#This Row],[Dates]]&lt;StartDt2NZ,"",tblData[[#This Row],[Dates]]-NZStart)</f>
        <v>14</v>
      </c>
      <c r="DD62" s="20">
        <f ca="1">IF(AND(tblData[Dates]&gt;StartDt2NZ,ISNUMBER(tblData[Days'# NZ])),betaNZ/(deltaNZ+betaPodeltaNZ*EXP(-betaNZ*tblData[Days'# NZ])),"")</f>
        <v>16.494443803220761</v>
      </c>
      <c r="DE62" s="95">
        <f ca="1">IF(AND(tblData[Dates]&gt;StartDt2NZ,ISNUMBER(tblData[NZ])),(tblData[[#This Row],[NZ LogiP(t)]]-tblData[[#This Row],[NZ]])^2,"")</f>
        <v>132.12223834540015</v>
      </c>
      <c r="DF62" s="20">
        <f ca="1">IF(AND(tblData[Dates]&gt;StartDt2NZ,ISNUMBER(tblData[Days'# NZ])),tblData[[#This Row],[NZ LogiP(t)]]/NZPopscale,"")</f>
        <v>31.538133466961302</v>
      </c>
      <c r="DG62" s="95">
        <f ca="1">IF(AND(ISNUMBER(tblData[NZ]),tblData[Dates]&gt;StartDt2NZ),(tblData[NZ]-AVERAGE(tblData[NZ]))^2,"")</f>
        <v>467773.09458218556</v>
      </c>
      <c r="DH62" s="11">
        <f>tblData[[#This Row],[Dates]]-NZ100dt+1</f>
        <v>-8</v>
      </c>
      <c r="DI62" s="39"/>
      <c r="DJ62" s="11"/>
      <c r="DM62" s="25"/>
      <c r="DP62"/>
      <c r="DV62" s="25"/>
      <c r="DW62"/>
      <c r="EA62" s="25"/>
      <c r="EH62"/>
      <c r="EI62"/>
      <c r="EJ62"/>
      <c r="EK62"/>
      <c r="EL62" s="25"/>
      <c r="EM62" s="25"/>
      <c r="EQ62" s="25"/>
      <c r="ER62" s="25"/>
      <c r="ES62" s="25"/>
      <c r="ET62" s="25"/>
      <c r="FF62"/>
      <c r="FG62"/>
      <c r="FH62"/>
      <c r="FI62"/>
      <c r="FJ62" s="25"/>
      <c r="FK62" s="25"/>
      <c r="FM62" s="25"/>
      <c r="FN62"/>
      <c r="FO62" s="263" t="s">
        <v>48</v>
      </c>
      <c r="FP62" s="252">
        <v>43934.703877314816</v>
      </c>
      <c r="FQ62" s="244">
        <v>43855</v>
      </c>
      <c r="FR62" s="160">
        <v>43855</v>
      </c>
      <c r="FS62" s="211">
        <v>0</v>
      </c>
      <c r="FT62" s="72">
        <v>0.26101384111332659</v>
      </c>
      <c r="FU62" s="72">
        <v>5.5253699159881277E-5</v>
      </c>
      <c r="FV62" s="74">
        <v>1.0000000000000009E-3</v>
      </c>
      <c r="FW62" s="212">
        <v>4723.9161374166251</v>
      </c>
      <c r="FX62" s="214">
        <v>1042.1682278826675</v>
      </c>
      <c r="FY62" s="214">
        <v>0.76210832112550253</v>
      </c>
      <c r="FZ62" s="213">
        <v>261.01378585962721</v>
      </c>
      <c r="GA62" s="213">
        <v>5.5253699159881278E-2</v>
      </c>
      <c r="GB62" s="243">
        <v>44072</v>
      </c>
      <c r="GC62" s="26" t="s">
        <v>2311</v>
      </c>
      <c r="GD62" s="214">
        <v>4723.9161374166251</v>
      </c>
      <c r="GE62" s="214">
        <v>6325</v>
      </c>
      <c r="GF62" s="73" t="s">
        <v>2312</v>
      </c>
      <c r="GG62" s="156">
        <v>44072</v>
      </c>
      <c r="GH62" s="26">
        <v>82</v>
      </c>
      <c r="GI62" s="25" t="s">
        <v>2313</v>
      </c>
      <c r="GK62" s="62" t="s">
        <v>2314</v>
      </c>
      <c r="GM62" s="25" t="s">
        <v>2315</v>
      </c>
      <c r="GN62" s="25">
        <v>2493.6918467118753</v>
      </c>
      <c r="GO62" s="156"/>
      <c r="GP62" s="218"/>
      <c r="GQ62" s="156"/>
      <c r="GR62" s="25"/>
      <c r="GS62" s="25" t="s">
        <v>2310</v>
      </c>
      <c r="GT62" s="11">
        <v>4723.9161374166251</v>
      </c>
      <c r="GU62" s="12">
        <v>0.41792181710697196</v>
      </c>
      <c r="GV62" s="26">
        <v>43904</v>
      </c>
      <c r="GW62" s="25" t="s">
        <v>1965</v>
      </c>
      <c r="GX62" s="219" t="e">
        <v>#N/A</v>
      </c>
      <c r="GY62" s="25" t="s">
        <v>569</v>
      </c>
      <c r="GZ62" s="25" t="s">
        <v>569</v>
      </c>
      <c r="HA62" s="25"/>
      <c r="HK62" s="164">
        <v>43949</v>
      </c>
      <c r="HL62" s="60">
        <v>43948.833333333336</v>
      </c>
      <c r="HM62">
        <v>3009</v>
      </c>
      <c r="HN62">
        <v>204236</v>
      </c>
      <c r="HO62">
        <v>824</v>
      </c>
      <c r="HP62">
        <v>366</v>
      </c>
      <c r="HQ62" s="166">
        <f>IF(ISNUMBER(tblNSWKnown[[#This Row],[Unknown Locally]]),tblNSWKnown[[#This Row],[Known Locally]]+tblNSWKnown[[#This Row],[Unknown Locally]],"")</f>
        <v>1190</v>
      </c>
      <c r="HR62" s="25">
        <v>29</v>
      </c>
      <c r="HS62" s="166">
        <f>IF(ISNUMBER(tblNSWKnown[[#This Row],[Day '# NSW Unknown]]),betaNSWUnknown/(deltaNSWUnknown+betaPodeltaNSWUnknown*EXP(-betaNSWUnknown*tblNSWKnown[Day '# NSW Unknown])),"")</f>
        <v>1171.0193731772549</v>
      </c>
      <c r="HT62" s="166">
        <f>IF(ISNUMBER(tblNSWKnown[[#This Row],[Total Local]]),(tblNSWKnown[[#This Row],[Total Local]]-tblNSWKnown[[#This Row],[NSW Unknown Logi P(t)]])^2,"")</f>
        <v>360.26419458431002</v>
      </c>
      <c r="HU62" s="166">
        <f>IF(ISNUMBER(tblNSWKnown[Total Local]),(tblNSWKnown[Total Local]-AVERAGE(tblNSWKnown[Total Local]))^2,"")</f>
        <v>13723.433391003482</v>
      </c>
      <c r="HV62" s="166"/>
    </row>
    <row r="63" spans="2:241" ht="15" customHeight="1" x14ac:dyDescent="0.25">
      <c r="B63" s="26">
        <v>43904</v>
      </c>
      <c r="D63" s="25">
        <v>1</v>
      </c>
      <c r="E63">
        <v>112</v>
      </c>
      <c r="F63">
        <v>1</v>
      </c>
      <c r="G63">
        <v>46</v>
      </c>
      <c r="H63">
        <v>19</v>
      </c>
      <c r="I63">
        <v>5</v>
      </c>
      <c r="J63">
        <v>49</v>
      </c>
      <c r="K63">
        <v>17</v>
      </c>
      <c r="L63" s="11">
        <f>IF(ISNUMBER(tblData[[#This Row],[NSW]]),tblData[[#This Row],[New South Wales]]/NSWpopscale,"")</f>
        <v>138.61386138613861</v>
      </c>
      <c r="M63" s="25">
        <v>21157</v>
      </c>
      <c r="N63" s="20">
        <f>IF(ISNUMBER(tblData[Italy]),tblData[Italy]/ItalyPopscale,"")</f>
        <v>3497.8920393485992</v>
      </c>
      <c r="O63">
        <v>2727</v>
      </c>
      <c r="P63" s="20">
        <f>IF(ISNUMBER(tblData[US]),tblData[US]/USPopscale,"")</f>
        <v>82.830199858064219</v>
      </c>
      <c r="Q63">
        <v>8086</v>
      </c>
      <c r="R63" s="20">
        <f>IF(ISNUMBER(tblData[SKorea]),tblData[SKorea]/SKoreaPopscale,"")</f>
        <v>1573.1517509727628</v>
      </c>
      <c r="S63">
        <v>1144</v>
      </c>
      <c r="T63" s="20">
        <f>IF(ISNUMBER(tblData[United Kingdom]),tblData[United Kingdom]/UKPopscale,"")</f>
        <v>172.18543046357615</v>
      </c>
      <c r="U63">
        <v>80977</v>
      </c>
      <c r="V63" s="20">
        <f>IF(ISNUMBER(tblData[China]),tblData[China]/ChinaPopscale,"")</f>
        <v>562.60447684010194</v>
      </c>
      <c r="W63" s="25">
        <f ca="1">IF(tblData[[#This Row],[Dates]]&lt;StartDt2China,"",tblData[[#This Row],[Dates]]-ChinaStart)</f>
        <v>52</v>
      </c>
      <c r="X63">
        <v>212</v>
      </c>
      <c r="Y63" s="20">
        <f>IF(ISNUMBER(tblData[Singapore]),tblData[Singapore]/SingaporePopscale,"")</f>
        <v>362.39316239316241</v>
      </c>
      <c r="Z63">
        <v>129</v>
      </c>
      <c r="AA63" s="20">
        <f>IF(AND(LEN(tblData[Generic])&gt;0,ISNUMBER(tblData[Generic])),tblData[Generic]/GenericPopscale,"")</f>
        <v>263.26530612244898</v>
      </c>
      <c r="AB63" s="25">
        <f ca="1">IF(tblData[[#This Row],[Dates]]&lt;StartDt2Italy,"",tblData[[#This Row],[Dates]]-ItalyStart)</f>
        <v>44</v>
      </c>
      <c r="AC63" s="25">
        <f ca="1">IF(tblData[[#This Row],[Dates]]&lt;=StartDt2US,"",tblData[[#This Row],[Dates]]-USStart)</f>
        <v>52</v>
      </c>
      <c r="AD63" s="25">
        <f>IF(tblData[[#This Row],[Dates]]&lt;=SKoreaStart,"",tblData[[#This Row],[Dates]]-SKoreaStart)</f>
        <v>52</v>
      </c>
      <c r="AE63" s="25">
        <f ca="1">IF(tblData[[#This Row],[Dates]]&lt;=StartDt2UK,"",tblData[[#This Row],[Dates]]-UKStart)</f>
        <v>44</v>
      </c>
      <c r="AF63" s="25">
        <f ca="1">IF(tblData[[#This Row],[Dates]]&lt;StartDt2Singapore,"",tblData[[#This Row],[Dates]]-SingaporeStart)</f>
        <v>51</v>
      </c>
      <c r="AG63" s="25">
        <f>IF(tblData[[#This Row],[Dates]]&lt;StartDt2Generic,"",tblData[[#This Row],[Dates]]-GenericStart)</f>
        <v>14</v>
      </c>
      <c r="AH63">
        <f ca="1">IF(tblData[Dates]&gt;StartDt2Au,tblData[Dates]-AuStart,"")</f>
        <v>49</v>
      </c>
      <c r="AI63" s="25">
        <f>IF(AND(COUNTBLANK(tblData[[#This Row],[Australian Capital Territory]:[Western Australia]])&lt;1,tblData[New South Wales]&gt;=0),SUM(tblData[[#This Row],[Australian Capital Territory]:[Western Australia]]),"")</f>
        <v>250</v>
      </c>
      <c r="AJ63" s="12">
        <f>IF(ISNUMBER(tblData[Au]),tblData[Au]/AuPopScale,"")</f>
        <v>98.564895126951583</v>
      </c>
      <c r="AK63" s="11">
        <f ca="1">IF(ISNUMBER(tblData[[#This Row],[Day'# Aust]]),betaAu/(deltaAu+betaPodeltaAu*EXP(-betaAu*tblData[[#This Row],[Day'# Aust]])),"")</f>
        <v>291.67344257521285</v>
      </c>
      <c r="AL63" s="56">
        <f ca="1">IF(ISNUMBER(tblData[Day'# Aust]),tblData[Au LogiP(t)]/AuPopScale,"")</f>
        <v>114.99504911497115</v>
      </c>
      <c r="AM63" s="11">
        <f ca="1">IF(AND(tblData[Dates]&gt;StartDt2Au,ISNUMBER(tblData[Au])),(tblData[[#This Row],[Au LogiP(t)]]-tblData[[#This Row],[Au]])^2,"")</f>
        <v>1736.6758160695626</v>
      </c>
      <c r="AN63" s="11">
        <f ca="1">IF(AND(ISNUMBER(tblData[Au]),tblData[Dates]&gt;StartDt2Au),(tblData[Au]-AVERAGE(tblData[Au]))^2,"")</f>
        <v>4834765.4161</v>
      </c>
      <c r="AO63" s="11">
        <f>tblData[[#This Row],[Dates]]-Au100dt</f>
        <v>-1</v>
      </c>
      <c r="AP63">
        <f ca="1">IF(tblData[Dates]&gt;StartDt2NSW,tblData[Dates]-StartDt2NSW,"")</f>
        <v>49</v>
      </c>
      <c r="AQ63" s="25">
        <f>IF(tblData[[#This Row],[New South Wales]]&gt;0,tblData[[#This Row],[New South Wales]],"")</f>
        <v>112</v>
      </c>
      <c r="AR63" s="44">
        <f ca="1">IF(tblData[Dates]&gt;StartDt2NSW,betaNSW/(deltaNSW+betaPodeltaNSW*EXP(-betaNSW*tblData[[#This Row],[Day '# NSW]])),"")</f>
        <v>114.93046323840164</v>
      </c>
      <c r="AS63" s="12">
        <f ca="1">IF(AND(ISNUMBER(tblData[NSW]),tblData[Dates]&gt;StartDt2NSW),(tblData[[#This Row],[NSW LogiP(t)]]-tblData[[#This Row],[NSW]])^2,"")</f>
        <v>8.5876147916234444</v>
      </c>
      <c r="AT63" s="12">
        <f ca="1">IF(AND(tblData[Dates]&gt;StartDt2NSW,ISNUMBER(tblData[Day'# Aust])),tblData[NSW LogiP(t)]/NSWpopscale,"")</f>
        <v>142.24067232475451</v>
      </c>
      <c r="AU63" s="11">
        <f>tblData[[#This Row],[Dates]]-NSW100dt+1</f>
        <v>2</v>
      </c>
      <c r="AV63" s="11">
        <f ca="1">IF(AND(ISNUMBER(tblData[NSW]),tblData[Dates]&gt;StartDt2NSW),(tblData[NSW]-AVERAGE(tblData[NSW]))^2,"")</f>
        <v>964834.70759999997</v>
      </c>
      <c r="AW63" s="11">
        <f ca="1">IF(AND(tblData[Dates]&gt;StartDt2Italy,ISNUMBER(tblData[Days'# Italy])),betaItaly/(deltaItaly+betaPodeltaItaly*EXP(-betaItaly*tblData[Days'# Italy])),"")</f>
        <v>25654.233276739506</v>
      </c>
      <c r="AX63" s="11">
        <f ca="1">IF(AND(tblData[Dates]&gt;StartDt2Italy,ISNUMBER(tblData[Italy])),(tblData[[#This Row],[Italy LogiP(t)]]-tblData[[#This Row],[Italy]])^2,"")</f>
        <v>20225107.145413149</v>
      </c>
      <c r="AY63" s="11">
        <f ca="1">IF(AND(tblData[Dates]&gt;StartDt2Italy,ISNUMBER(tblData[Days'# Italy])),tblData[[#This Row],[Italy LogiP(t)]]/ItalyPopscale,"")</f>
        <v>4241.4207285673319</v>
      </c>
      <c r="AZ63" s="39">
        <f ca="1">IF(AND(ISNUMBER(tblData[Italy]),tblData[Dates]&gt;StartDt2Italy),(tblData[Italy]-AVERAGE(tblData[Italy]))^2,"")</f>
        <v>2361144210.8783379</v>
      </c>
      <c r="BA63" s="11">
        <f>tblData[[#This Row],[Dates]]-Italy100dt+1</f>
        <v>17</v>
      </c>
      <c r="BB63" s="11">
        <f ca="1">IF(AND(tblData[Dates]&gt;StartDt2US,ISNUMBER(tblData[[#This Row],[Days'# US]])),betaUS/(deltaUS+betaPodeltaUS*EXP(-betaUS*tblData[Days'# US])),"")</f>
        <v>2553.1831258273464</v>
      </c>
      <c r="BC63" s="11">
        <f ca="1">IF(AND(tblData[Dates]&gt;StartDt2US,ISNUMBER(tblData[US])),(tblData[[#This Row],[US LogiP(t)]]-tblData[US])^2,"")</f>
        <v>30212.305747152084</v>
      </c>
      <c r="BD63" s="20">
        <f ca="1">IF(AND(tblData[Dates]&gt;=StartDt2US,ISNUMBER(tblData[[#This Row],[Days'# US]])),tblData[[#This Row],[US LogiP(t)]]/USPopscale,"")</f>
        <v>77.550666881744121</v>
      </c>
      <c r="BE63" s="126">
        <f ca="1">IF(AND(ISNUMBER(tblData[US]),tblData[Dates]&gt;StartDt2US),(tblData[US]-AVERAGE(tblData[US]))^2,"")</f>
        <v>48936627095.275757</v>
      </c>
      <c r="BF63" s="11">
        <f>tblData[[#This Row],[Dates]]-US100dt+1</f>
        <v>0</v>
      </c>
      <c r="BG63" s="20">
        <f ca="1">IF(tblData[Dates]&gt;StartDt2SKorea,betaSKorea/(deltaSKorea+betaPodeltaSKorea*EXP(-betaSKorea*(tblData[Dates]-StartDt2SKorea))),"")</f>
        <v>8553.1568636939683</v>
      </c>
      <c r="BH63" s="20">
        <f ca="1">IF(AND(tblData[Dates]&gt;StartDt2SKorea,ISNUMBER(tblData[SKorea])),(tblData[[#This Row],[SKorea LogiP(t)]]-tblData[[#This Row],[SKorea]])^2,"")</f>
        <v>218235.53529638486</v>
      </c>
      <c r="BI63" s="20">
        <f ca="1">IF(tblData[Dates]&gt;StartDt2SKorea,tblData[[#This Row],[SKorea LogiP(t)]]/SKoreaPopscale,"")</f>
        <v>1664.0383003295658</v>
      </c>
      <c r="BJ63" s="126">
        <f ca="1">IF(AND(ISNUMBER(tblData[SKorea]),tblData[Dates]&gt;StartDt2SKorea),(tblData[SKorea]-AVERAGE(tblData[SKorea]))^2,"")</f>
        <v>5114958.7270280672</v>
      </c>
      <c r="BK63" s="11">
        <f>tblData[[#This Row],[Dates]]-SKorea100dt+1</f>
        <v>21</v>
      </c>
      <c r="BL63" s="11">
        <f ca="1">IF(AND(tblData[Dates]&gt;StartDt2UK,ISNUMBER(tblData[Days'# UK])),betaUK/(deltaUK+betaPodeltaUK*EXP(-betaUK*tblData[Days'# UK])),"")</f>
        <v>1035.8621211291659</v>
      </c>
      <c r="BM63" s="20">
        <f ca="1">IF(AND(tblData[Dates]&gt;StartDt2UK,ISNUMBER(tblData[United Kingdom])),(tblData[[#This Row],[UK LogiP(t)]]-tblData[[#This Row],[United Kingdom]])^2,"")</f>
        <v>11693.800846683194</v>
      </c>
      <c r="BN63" s="20">
        <f ca="1">IF(ISNUMBER(tblData[Days'# UK]),tblData[[#This Row],[UK LogiP(t)]]/UKPopscale,"")</f>
        <v>155.90941016393225</v>
      </c>
      <c r="BO63" s="126">
        <f ca="1">IF(AND(ISNUMBER(tblData[United Kingdom]),tblData[Dates]&gt;StartDt2UK),(tblData[United Kingdom]-AVERAGE(tblData[United Kingdom]))^2,"")</f>
        <v>1355935679.4052739</v>
      </c>
      <c r="BP63" s="11">
        <f>tblData[[#This Row],[Dates]]-UK100dt</f>
        <v>2</v>
      </c>
      <c r="BQ63" s="11">
        <f ca="1">IF(ISNUMBER(tblData[Days'# China]),betaChina/(deltaChina+betaPodeltaChina*EXP(-betaChina*tblData[Days'# China])),"")</f>
        <v>82081.681454163438</v>
      </c>
      <c r="BR63" s="11">
        <f ca="1">IF(ISNUMBER(tblData[China]),(tblData[[#This Row],[China LogiP(t)]]-tblData[[#This Row],[China]])^2,"")</f>
        <v>1220321.1151726472</v>
      </c>
      <c r="BS63" s="11">
        <f ca="1">tblData[[#This Row],[China LogiP(t)]]/ChinaPopscale</f>
        <v>570.279480008836</v>
      </c>
      <c r="BT63" s="126">
        <f ca="1">IF(AND(ISNUMBER(tblData[China]),tblData[Dates]&gt;StartDt2China),(tblData[China]-AVERAGE(tblData[China]))^2,"")</f>
        <v>189682566.39792368</v>
      </c>
      <c r="BU63" s="11">
        <f>tblData[[#This Row],[Dates]]-China100dt</f>
        <v>41</v>
      </c>
      <c r="BV63" s="95">
        <f ca="1">IF(ISNUMBER(tblData[Day'# Singapore]),betaSingapore/(deltaSingapore+betaPodeltaSingapore*EXP(-betaSingapore*tblData[Day'# Singapore])),"")</f>
        <v>73.792482271833094</v>
      </c>
      <c r="BW63" s="11">
        <f ca="1">IF(AND(ISNUMBER(tblData[Singapore]),tblData[Dates]&gt;=StartDt2Singapore),(tblData[[#This Row],[Singapore LogiP(t)]]-tblData[[#This Row],[Singapore]])^2,"")</f>
        <v>19101.317956581574</v>
      </c>
      <c r="BX63" s="20">
        <f ca="1">IF(ISNUMBER(tblData[Day'# Singapore]),tblData[Singapore LogiP(t)]/SingaporePopscale,"")</f>
        <v>126.14099533646683</v>
      </c>
      <c r="BY63" s="95">
        <f ca="1">IF(AND(ISNUMBER(tblData[Singapore]),tblData[Dates]&gt;StartDt2Singapore),(tblData[Singapore]-AVERAGE(tblData[Singapore]))^2,"")</f>
        <v>4447053.9796232227</v>
      </c>
      <c r="BZ63" s="11">
        <f>tblData[[#This Row],[Dates]]-Singapore100dt+1</f>
        <v>30</v>
      </c>
      <c r="CA63" s="44">
        <f>IF(AND(tblData[Dates]&gt;StartDt2Generic,ISNUMBER(tblData[Day'# Generic])),betaGeneric/(deltaGeneric+betaPodeltaGeneric*EXP(-betaGeneric*tblData[Day'# Generic])),"")</f>
        <v>369.8042759980064</v>
      </c>
      <c r="CB63" s="95">
        <f>IF(AND(ISNUMBER(tblData[Generic]),tblData[Dates]&gt;StartDt2Generic),(tblData[Generic LogiP(t)]-tblData[[#This Row],[Generic]])^2,"")</f>
        <v>57986.699338924045</v>
      </c>
      <c r="CC63" s="11">
        <f>IF(AND(ISNUMBER(tblData[Day'# Generic]),tblData[Dates]&gt;StartDt2Generic),tblData[Generic LogiP(t)]/GenericPopscale,"")</f>
        <v>754.70260407756405</v>
      </c>
      <c r="CD63" s="95">
        <f>IF(AND(ISNUMBER(tblData[Generic]),tblData[Dates]&gt;StartDt2Generic),(tblData[Generic]-AVERAGE(tblData[Generic]))^2,"")</f>
        <v>42308620.319289938</v>
      </c>
      <c r="CE63" s="11">
        <f>tblData[[#This Row],[Dates]]-Generic100dt+1</f>
        <v>2</v>
      </c>
      <c r="CF63" s="11">
        <v>18716</v>
      </c>
      <c r="CG63" s="11">
        <v>1668</v>
      </c>
      <c r="CH63" s="11">
        <f>IF(ISNUMBER(tblData[[#This Row],[Tests]]),tblData[[#This Row],[Tests]]-CF62,"")</f>
        <v>0</v>
      </c>
      <c r="CI63" s="11">
        <f>IF(ISNUMBER(tblData[[#This Row],[NSW Under Investigation'']]),tblData[[#This Row],[NSW Under Investigation'']]-CG62,"")</f>
        <v>0</v>
      </c>
      <c r="CJ63" s="11">
        <f t="shared" si="2"/>
        <v>9</v>
      </c>
      <c r="CK63" s="11">
        <f>IF(AND(tblData[[#This Row],[NSW Test Day Number]]&gt;0,ISNUMBER(tblData[[#This Row],[NSW Test Day Number]])),betaTests/(deltaTests+betaPodeltaTests*EXP(-betaTests*tblData[[#This Row],[NSW Test Day Number]])),"")</f>
        <v>19105.859840060755</v>
      </c>
      <c r="CL63" s="11">
        <f>IF(tblData[Tests]&gt;0,(tblData[[#This Row],[Tests]]-tblData[[#This Row],[NSW Test Logi]])^2,"")</f>
        <v>151990.69489219764</v>
      </c>
      <c r="CM63" s="95">
        <f>IF(AND(ISNUMBER(tblData[Tests]),tblData[Dates]&gt;StartDt2Tests),(tblData[Tests]-AVERAGE(tblData[Tests]))^2,"")</f>
        <v>7645901804.108016</v>
      </c>
      <c r="CN63" s="11">
        <f>IF(ISNUMBER(tblData[Tests]),tblData[Tests]/NSWpopscale/100,"")</f>
        <v>231.63366336633663</v>
      </c>
      <c r="CO63" s="95">
        <f ca="1">IF(AND(tblData[[#This Row],[NSW Test Day Number]]&gt;0,ISNUMBER(tblData[[#This Row],[NSW Test Day Number]])),TestsLogestB*TestsLogestM^tblData[[#This Row],[NSW Test Day Number]],"")</f>
        <v>22399.385880434482</v>
      </c>
      <c r="CP63" s="95">
        <f>IF(AND(tblData[[#This Row],[NSW Test Day Number]]&gt;0,ISNUMBER(tblData[Tests])),(tblData[Tests]-tblData[[#This Row],[NSW Test Per Capita]])^2,"")</f>
        <v>341671798.86687577</v>
      </c>
      <c r="CQ63" s="20">
        <f ca="1">IF(AND(tblData[Day '# NSW]&gt;0,ISNUMBER(tblData[[#This Row],[Day '# NSW]])),NSWLogestB*NSWLogestM^tblData[[#This Row],[Day '# NSW]]/NSWpopscale,"")</f>
        <v>157.80638722031185</v>
      </c>
      <c r="CR63" s="39">
        <f ca="1">IF(AND(ISNUMBER(tblData[NSW]),tblData[Dates]&gt;StartDt2NSW),(tblData[NSW]/NSWpopscale-tblData[[#This Row],[NSW Cases LogEst]])^2,"")</f>
        <v>368.3530478954072</v>
      </c>
      <c r="CS63" s="11">
        <v>53</v>
      </c>
      <c r="CT63" s="19">
        <f>IF(ISNUMBER(tblData[Taiwan]),tblData[Taiwan]/TaiwanPopscale,"")</f>
        <v>22.262096109921327</v>
      </c>
      <c r="CU63" s="11">
        <f ca="1">IF(tblData[[#This Row],[Dates]]&lt;StartDt2Taiwan,"",tblData[[#This Row],[Dates]]-TaiwanStart)</f>
        <v>52</v>
      </c>
      <c r="CV63" s="19">
        <f ca="1">IF(AND(tblData[Dates]&gt;StartDt2Taiwan,ISNUMBER(tblData[Days'# Taiwan])),betaTaiwan/(deltaTaiwan+betaPodeltaTaiwan*EXP(-betaTaiwan*tblData[Days'# Taiwan])),"")</f>
        <v>75.383248391737453</v>
      </c>
      <c r="CW63" s="95">
        <f ca="1">IF(AND(tblData[Dates]&gt;StartDt2Taiwan,ISNUMBER(tblData[Taiwan])),(tblData[[#This Row],[Taiwan LogiP(t)]]-tblData[[#This Row],[Taiwan]])^2,"")</f>
        <v>501.00980856621726</v>
      </c>
      <c r="CX63" s="20">
        <f ca="1">IF(AND(tblData[Dates]&gt;StartDt2Taiwan,ISNUMBER(tblData[Days'# Taiwan])),tblData[[#This Row],[Taiwan LogiP(t)]]/TaiwanPopscale,"")</f>
        <v>31.663945674998704</v>
      </c>
      <c r="CY63" s="95">
        <f ca="1">IF(AND(ISNUMBER(tblData[Taiwan]),tblData[Dates]&gt;StartDt2Taiwan),(tblData[Taiwan]-AVERAGE(tblData[Taiwan]))^2,"")</f>
        <v>13583.673971549408</v>
      </c>
      <c r="CZ63" s="11">
        <f>tblData[[#This Row],[Dates]]-Taiwan100dt+1</f>
        <v>-11</v>
      </c>
      <c r="DA63">
        <v>6</v>
      </c>
      <c r="DB63" s="20">
        <f>IF(ISNUMBER(tblData[NZ]),tblData[NZ]/NZPopscale,"")</f>
        <v>11.47227533460803</v>
      </c>
      <c r="DC63" s="11">
        <f ca="1">IF(tblData[[#This Row],[Dates]]&lt;StartDt2NZ,"",tblData[[#This Row],[Dates]]-NZStart)</f>
        <v>15</v>
      </c>
      <c r="DD63" s="20">
        <f ca="1">IF(AND(tblData[Dates]&gt;StartDt2NZ,ISNUMBER(tblData[Days'# NZ])),betaNZ/(deltaNZ+betaPodeltaNZ*EXP(-betaNZ*tblData[Days'# NZ])),"")</f>
        <v>20.760533144641478</v>
      </c>
      <c r="DE63" s="95">
        <f ca="1">IF(AND(tblData[Dates]&gt;StartDt2NZ,ISNUMBER(tblData[NZ])),(tblData[[#This Row],[NZ LogiP(t)]]-tblData[[#This Row],[NZ]])^2,"")</f>
        <v>217.87333871405963</v>
      </c>
      <c r="DF63" s="20">
        <f ca="1">IF(AND(tblData[Dates]&gt;StartDt2NZ,ISNUMBER(tblData[Days'# NZ])),tblData[[#This Row],[NZ LogiP(t)]]/NZPopscale,"")</f>
        <v>39.695092054763819</v>
      </c>
      <c r="DG63" s="95">
        <f ca="1">IF(AND(ISNUMBER(tblData[NZ]),tblData[Dates]&gt;StartDt2NZ),(tblData[NZ]-AVERAGE(tblData[NZ]))^2,"")</f>
        <v>466406.21579430677</v>
      </c>
      <c r="DH63" s="11">
        <f>tblData[[#This Row],[Dates]]-NZ100dt+1</f>
        <v>-7</v>
      </c>
      <c r="DI63" s="39"/>
      <c r="DJ63" s="11"/>
      <c r="DM63" s="25"/>
      <c r="DP63"/>
      <c r="DV63" s="25"/>
      <c r="DW63"/>
      <c r="EA63" s="25"/>
      <c r="EH63"/>
      <c r="EI63"/>
      <c r="EJ63"/>
      <c r="EK63"/>
      <c r="EL63" s="25"/>
      <c r="EM63" s="25"/>
      <c r="EQ63" s="25"/>
      <c r="ER63" s="25"/>
      <c r="ES63" s="25"/>
      <c r="ET63" s="25"/>
      <c r="FF63"/>
      <c r="FG63"/>
      <c r="FH63"/>
      <c r="FI63"/>
      <c r="FJ63" s="25"/>
      <c r="FK63" s="25"/>
      <c r="FM63" s="25"/>
      <c r="FN63"/>
      <c r="FO63" s="267" t="s">
        <v>48</v>
      </c>
      <c r="FP63" s="251">
        <v>43931.864085648151</v>
      </c>
      <c r="FQ63" s="243">
        <v>43855</v>
      </c>
      <c r="FR63" s="160">
        <v>43855</v>
      </c>
      <c r="FS63" s="211">
        <v>0</v>
      </c>
      <c r="FT63" s="72">
        <v>0.26288369800445727</v>
      </c>
      <c r="FU63" s="72">
        <v>6.0774506785075525E-5</v>
      </c>
      <c r="FV63" s="74">
        <v>1E-3</v>
      </c>
      <c r="FW63" s="212">
        <v>4325.5587237281197</v>
      </c>
      <c r="FX63" s="212">
        <v>1002.6932214078777</v>
      </c>
      <c r="FY63" s="212">
        <v>0.73194965832604197</v>
      </c>
      <c r="FZ63" s="213">
        <v>262.88363722995047</v>
      </c>
      <c r="GA63" s="213">
        <v>6.0774506785075524E-2</v>
      </c>
      <c r="GB63" s="243">
        <v>44096</v>
      </c>
      <c r="GC63" s="160" t="s">
        <v>2079</v>
      </c>
      <c r="GD63" s="212">
        <v>4325.5587237281197</v>
      </c>
      <c r="GE63" s="212">
        <v>6108</v>
      </c>
      <c r="GF63" s="74" t="s">
        <v>1436</v>
      </c>
      <c r="GG63" s="243">
        <v>44096</v>
      </c>
      <c r="GH63" s="160">
        <v>79</v>
      </c>
      <c r="GI63" s="23" t="s">
        <v>2080</v>
      </c>
      <c r="GJ63" s="21"/>
      <c r="GK63" s="161" t="s">
        <v>2081</v>
      </c>
      <c r="GL63" s="23"/>
      <c r="GM63" s="23" t="s">
        <v>2082</v>
      </c>
      <c r="GN63" s="23">
        <v>2408.1375177416812</v>
      </c>
      <c r="GO63" s="243"/>
      <c r="GP63" s="218"/>
      <c r="GQ63" s="243"/>
      <c r="GR63" s="23"/>
      <c r="GS63" s="23" t="s">
        <v>2078</v>
      </c>
      <c r="GT63" s="11">
        <v>4325.5587237281197</v>
      </c>
      <c r="GU63" s="34">
        <v>0.41637706070382136</v>
      </c>
      <c r="GV63" s="160">
        <v>43904</v>
      </c>
      <c r="GW63" s="23" t="s">
        <v>1965</v>
      </c>
      <c r="GX63" s="220" t="e">
        <v>#N/A</v>
      </c>
      <c r="GY63" s="23" t="s">
        <v>569</v>
      </c>
      <c r="GZ63" s="23"/>
      <c r="HA63" s="25"/>
      <c r="HK63" s="164">
        <v>43950</v>
      </c>
      <c r="HL63" s="60">
        <v>43949.833333333336</v>
      </c>
      <c r="HM63">
        <v>3016</v>
      </c>
      <c r="HN63">
        <v>209643</v>
      </c>
      <c r="HO63">
        <v>830</v>
      </c>
      <c r="HP63">
        <v>366</v>
      </c>
      <c r="HQ63" s="166">
        <f>IF(ISNUMBER(tblNSWKnown[[#This Row],[Unknown Locally]]),tblNSWKnown[[#This Row],[Known Locally]]+tblNSWKnown[[#This Row],[Unknown Locally]],"")</f>
        <v>1196</v>
      </c>
      <c r="HR63" s="25">
        <v>30</v>
      </c>
      <c r="HS63" s="166">
        <f>IF(ISNUMBER(tblNSWKnown[[#This Row],[Day '# NSW Unknown]]),betaNSWUnknown/(deltaNSWUnknown+betaPodeltaNSWUnknown*EXP(-betaNSWUnknown*tblNSWKnown[Day '# NSW Unknown])),"")</f>
        <v>1171.6000172206668</v>
      </c>
      <c r="HT63" s="166">
        <f>IF(ISNUMBER(tblNSWKnown[[#This Row],[Total Local]]),(tblNSWKnown[[#This Row],[Total Local]]-tblNSWKnown[[#This Row],[NSW Unknown Logi P(t)]])^2,"")</f>
        <v>595.35915963175603</v>
      </c>
      <c r="HU63" s="166">
        <f>IF(ISNUMBER(tblNSWKnown[Total Local]),(tblNSWKnown[Total Local]-AVERAGE(tblNSWKnown[Total Local]))^2,"")</f>
        <v>15165.198096885837</v>
      </c>
      <c r="HV63" s="166"/>
    </row>
    <row r="64" spans="2:241" ht="15" customHeight="1" x14ac:dyDescent="0.25">
      <c r="B64" s="26">
        <v>43905</v>
      </c>
      <c r="D64" s="25">
        <v>1</v>
      </c>
      <c r="E64">
        <v>134</v>
      </c>
      <c r="F64">
        <v>1</v>
      </c>
      <c r="G64">
        <v>61</v>
      </c>
      <c r="H64">
        <v>20</v>
      </c>
      <c r="I64">
        <v>6</v>
      </c>
      <c r="J64">
        <v>57</v>
      </c>
      <c r="K64">
        <v>17</v>
      </c>
      <c r="L64" s="11">
        <f>IF(ISNUMBER(tblData[[#This Row],[NSW]]),tblData[[#This Row],[New South Wales]]/NSWpopscale,"")</f>
        <v>165.84158415841583</v>
      </c>
      <c r="M64" s="25">
        <v>24747</v>
      </c>
      <c r="N64" s="20">
        <f>IF(ISNUMBER(tblData[Italy]),tblData[Italy]/ItalyPopscale,"")</f>
        <v>4091.4276266843021</v>
      </c>
      <c r="O64">
        <v>3499</v>
      </c>
      <c r="P64" s="20">
        <f>IF(ISNUMBER(tblData[US]),tblData[US]/USPopscale,"")</f>
        <v>106.27901331256571</v>
      </c>
      <c r="Q64">
        <v>8162</v>
      </c>
      <c r="R64" s="20">
        <f>IF(ISNUMBER(tblData[SKorea]),tblData[SKorea]/SKoreaPopscale,"")</f>
        <v>1587.9377431906616</v>
      </c>
      <c r="S64">
        <v>1145</v>
      </c>
      <c r="T64" s="20">
        <f>IF(ISNUMBER(tblData[United Kingdom]),tblData[United Kingdom]/UKPopscale,"")</f>
        <v>172.33594220349187</v>
      </c>
      <c r="U64">
        <v>81003</v>
      </c>
      <c r="V64" s="20">
        <f>IF(ISNUMBER(tblData[China]),tblData[China]/ChinaPopscale,"")</f>
        <v>562.78511722438191</v>
      </c>
      <c r="W64" s="25">
        <f ca="1">IF(tblData[[#This Row],[Dates]]&lt;StartDt2China,"",tblData[[#This Row],[Dates]]-ChinaStart)</f>
        <v>53</v>
      </c>
      <c r="X64">
        <v>226</v>
      </c>
      <c r="Y64" s="20">
        <f>IF(ISNUMBER(tblData[Singapore]),tblData[Singapore]/SingaporePopscale,"")</f>
        <v>386.32478632478637</v>
      </c>
      <c r="Z64">
        <v>129</v>
      </c>
      <c r="AA64" s="20">
        <f>IF(AND(LEN(tblData[Generic])&gt;0,ISNUMBER(tblData[Generic])),tblData[Generic]/GenericPopscale,"")</f>
        <v>263.26530612244898</v>
      </c>
      <c r="AB64" s="25">
        <f ca="1">IF(tblData[[#This Row],[Dates]]&lt;StartDt2Italy,"",tblData[[#This Row],[Dates]]-ItalyStart)</f>
        <v>45</v>
      </c>
      <c r="AC64" s="25">
        <f ca="1">IF(tblData[[#This Row],[Dates]]&lt;=StartDt2US,"",tblData[[#This Row],[Dates]]-USStart)</f>
        <v>53</v>
      </c>
      <c r="AD64" s="25">
        <f>IF(tblData[[#This Row],[Dates]]&lt;=SKoreaStart,"",tblData[[#This Row],[Dates]]-SKoreaStart)</f>
        <v>53</v>
      </c>
      <c r="AE64" s="25">
        <f ca="1">IF(tblData[[#This Row],[Dates]]&lt;=StartDt2UK,"",tblData[[#This Row],[Dates]]-UKStart)</f>
        <v>45</v>
      </c>
      <c r="AF64" s="25">
        <f ca="1">IF(tblData[[#This Row],[Dates]]&lt;StartDt2Singapore,"",tblData[[#This Row],[Dates]]-SingaporeStart)</f>
        <v>52</v>
      </c>
      <c r="AG64" s="25">
        <f>IF(tblData[[#This Row],[Dates]]&lt;StartDt2Generic,"",tblData[[#This Row],[Dates]]-GenericStart)</f>
        <v>15</v>
      </c>
      <c r="AH64">
        <f ca="1">IF(tblData[Dates]&gt;StartDt2Au,tblData[Dates]-AuStart,"")</f>
        <v>50</v>
      </c>
      <c r="AI64" s="25">
        <f>IF(AND(COUNTBLANK(tblData[[#This Row],[Australian Capital Territory]:[Western Australia]])&lt;1,tblData[New South Wales]&gt;=0),SUM(tblData[[#This Row],[Australian Capital Territory]:[Western Australia]]),"")</f>
        <v>297</v>
      </c>
      <c r="AJ64" s="12">
        <f>IF(ISNUMBER(tblData[Au]),tblData[Au]/AuPopScale,"")</f>
        <v>117.09509541081849</v>
      </c>
      <c r="AK64" s="11">
        <f ca="1">IF(ISNUMBER(tblData[[#This Row],[Day'# Aust]]),betaAu/(deltaAu+betaPodeltaAu*EXP(-betaAu*tblData[[#This Row],[Day'# Aust]])),"")</f>
        <v>361.6695332888504</v>
      </c>
      <c r="AL64" s="56">
        <f ca="1">IF(ISNUMBER(tblData[Day'# Aust]),tblData[Au LogiP(t)]/AuPopScale,"")</f>
        <v>142.59167847691626</v>
      </c>
      <c r="AM64" s="11">
        <f ca="1">IF(AND(tblData[Dates]&gt;StartDt2Au,ISNUMBER(tblData[Au])),(tblData[[#This Row],[Au LogiP(t)]]-tblData[[#This Row],[Au]])^2,"")</f>
        <v>4182.1485357977308</v>
      </c>
      <c r="AN64" s="11">
        <f ca="1">IF(AND(ISNUMBER(tblData[Au]),tblData[Dates]&gt;StartDt2Au),(tblData[Au]-AVERAGE(tblData[Au]))^2,"")</f>
        <v>4630286.2760999994</v>
      </c>
      <c r="AO64" s="11">
        <f>tblData[[#This Row],[Dates]]-Au100dt</f>
        <v>0</v>
      </c>
      <c r="AP64">
        <f ca="1">IF(tblData[Dates]&gt;StartDt2NSW,tblData[Dates]-StartDt2NSW,"")</f>
        <v>50</v>
      </c>
      <c r="AQ64" s="25">
        <f>IF(tblData[[#This Row],[New South Wales]]&gt;0,tblData[[#This Row],[New South Wales]],"")</f>
        <v>134</v>
      </c>
      <c r="AR64" s="11">
        <f ca="1">IF(tblData[Dates]&gt;StartDt2NSW,betaNSW/(deltaNSW+betaPodeltaNSW*EXP(-betaNSW*tblData[[#This Row],[Day '# NSW]])),"")</f>
        <v>143.80609911438353</v>
      </c>
      <c r="AS64" s="12">
        <f ca="1">IF(AND(ISNUMBER(tblData[NSW]),tblData[Dates]&gt;StartDt2NSW),(tblData[[#This Row],[NSW LogiP(t)]]-tblData[[#This Row],[NSW]])^2,"")</f>
        <v>96.159579841113413</v>
      </c>
      <c r="AT64" s="12">
        <f ca="1">IF(AND(tblData[Dates]&gt;StartDt2NSW,ISNUMBER(tblData[Day'# Aust])),tblData[NSW LogiP(t)]/NSWpopscale,"")</f>
        <v>177.97784543859348</v>
      </c>
      <c r="AU64" s="11">
        <f>tblData[[#This Row],[Dates]]-NSW100dt+1</f>
        <v>3</v>
      </c>
      <c r="AV64" s="11">
        <f ca="1">IF(AND(ISNUMBER(tblData[NSW]),tblData[Dates]&gt;StartDt2NSW),(tblData[NSW]-AVERAGE(tblData[NSW]))^2,"")</f>
        <v>922099.26760000002</v>
      </c>
      <c r="AW64" s="11">
        <f ca="1">IF(AND(tblData[Dates]&gt;StartDt2Italy,ISNUMBER(tblData[Days'# Italy])),betaItaly/(deltaItaly+betaPodeltaItaly*EXP(-betaItaly*tblData[Days'# Italy])),"")</f>
        <v>31598.468079418853</v>
      </c>
      <c r="AX64" s="11">
        <f ca="1">IF(AND(tblData[Dates]&gt;StartDt2Italy,ISNUMBER(tblData[Italy])),(tblData[[#This Row],[Italy LogiP(t)]]-tblData[[#This Row],[Italy]])^2,"")</f>
        <v>46942614.84329547</v>
      </c>
      <c r="AY64" s="11">
        <f ca="1">IF(AND(tblData[Dates]&gt;StartDt2Italy,ISNUMBER(tblData[Days'# Italy])),tblData[[#This Row],[Italy LogiP(t)]]/ItalyPopscale,"")</f>
        <v>5224.1825377232135</v>
      </c>
      <c r="AZ64" s="39">
        <f ca="1">IF(AND(ISNUMBER(tblData[Italy]),tblData[Dates]&gt;StartDt2Italy),(tblData[Italy]-AVERAGE(tblData[Italy]))^2,"")</f>
        <v>2025144577.0485508</v>
      </c>
      <c r="BA64" s="11">
        <f>tblData[[#This Row],[Dates]]-Italy100dt+1</f>
        <v>18</v>
      </c>
      <c r="BB64" s="11">
        <f ca="1">IF(AND(tblData[Dates]&gt;StartDt2US,ISNUMBER(tblData[[#This Row],[Days'# US]])),betaUS/(deltaUS+betaPodeltaUS*EXP(-betaUS*tblData[Days'# US])),"")</f>
        <v>3387.4606783876347</v>
      </c>
      <c r="BC64" s="11">
        <f ca="1">IF(AND(tblData[Dates]&gt;StartDt2US,ISNUMBER(tblData[US])),(tblData[[#This Row],[US LogiP(t)]]-tblData[US])^2,"")</f>
        <v>12441.020265746651</v>
      </c>
      <c r="BD64" s="20">
        <f ca="1">IF(AND(tblData[Dates]&gt;=StartDt2US,ISNUMBER(tblData[[#This Row],[Days'# US]])),tblData[[#This Row],[US LogiP(t)]]/USPopscale,"")</f>
        <v>102.89110561136106</v>
      </c>
      <c r="BE64" s="126">
        <f ca="1">IF(AND(ISNUMBER(tblData[US]),tblData[Dates]&gt;StartDt2US),(tblData[US]-AVERAGE(tblData[US]))^2,"")</f>
        <v>48595665196.844391</v>
      </c>
      <c r="BF64" s="11">
        <f>tblData[[#This Row],[Dates]]-US100dt+1</f>
        <v>1</v>
      </c>
      <c r="BG64" s="20">
        <f ca="1">IF(tblData[Dates]&gt;StartDt2SKorea,betaSKorea/(deltaSKorea+betaPodeltaSKorea*EXP(-betaSKorea*(tblData[Dates]-StartDt2SKorea))),"")</f>
        <v>8787.6977172514671</v>
      </c>
      <c r="BH64" s="20">
        <f ca="1">IF(AND(tblData[Dates]&gt;StartDt2SKorea,ISNUMBER(tblData[SKorea])),(tblData[[#This Row],[SKorea LogiP(t)]]-tblData[[#This Row],[SKorea]])^2,"")</f>
        <v>391497.63337369688</v>
      </c>
      <c r="BI64" s="20">
        <f ca="1">IF(tblData[Dates]&gt;StartDt2SKorea,tblData[[#This Row],[SKorea LogiP(t)]]/SKoreaPopscale,"")</f>
        <v>1709.6688165858886</v>
      </c>
      <c r="BJ64" s="126">
        <f ca="1">IF(AND(ISNUMBER(tblData[SKorea]),tblData[Dates]&gt;StartDt2SKorea),(tblData[SKorea]-AVERAGE(tblData[SKorea]))^2,"")</f>
        <v>5464502.099577087</v>
      </c>
      <c r="BK64" s="11">
        <f>tblData[[#This Row],[Dates]]-SKorea100dt+1</f>
        <v>22</v>
      </c>
      <c r="BL64" s="11">
        <f ca="1">IF(AND(tblData[Dates]&gt;StartDt2UK,ISNUMBER(tblData[Days'# UK])),betaUK/(deltaUK+betaPodeltaUK*EXP(-betaUK*tblData[Days'# UK])),"")</f>
        <v>1279.8203513678764</v>
      </c>
      <c r="BM64" s="20">
        <f ca="1">IF(AND(tblData[Dates]&gt;StartDt2UK,ISNUMBER(tblData[United Kingdom])),(tblData[[#This Row],[UK LogiP(t)]]-tblData[[#This Row],[United Kingdom]])^2,"")</f>
        <v>18176.527142957639</v>
      </c>
      <c r="BN64" s="20">
        <f ca="1">IF(ISNUMBER(tblData[Days'# UK]),tblData[[#This Row],[UK LogiP(t)]]/UKPopscale,"")</f>
        <v>192.62798786391878</v>
      </c>
      <c r="BO64" s="126">
        <f ca="1">IF(AND(ISNUMBER(tblData[United Kingdom]),tblData[Dates]&gt;StartDt2UK),(tblData[United Kingdom]-AVERAGE(tblData[United Kingdom]))^2,"")</f>
        <v>1355862034.3414443</v>
      </c>
      <c r="BP64" s="11">
        <f>tblData[[#This Row],[Dates]]-UK100dt</f>
        <v>3</v>
      </c>
      <c r="BQ64" s="11">
        <f ca="1">IF(ISNUMBER(tblData[Days'# China]),betaChina/(deltaChina+betaPodeltaChina*EXP(-betaChina*tblData[Days'# China])),"")</f>
        <v>82090.294107321912</v>
      </c>
      <c r="BR64" s="11">
        <f ca="1">IF(ISNUMBER(tblData[China]),(tblData[[#This Row],[China LogiP(t)]]-tblData[[#This Row],[China]])^2,"")</f>
        <v>1182208.475816953</v>
      </c>
      <c r="BS64" s="11">
        <f ca="1">tblData[[#This Row],[China LogiP(t)]]/ChinaPopscale</f>
        <v>570.33931820022906</v>
      </c>
      <c r="BT64" s="126">
        <f ca="1">IF(AND(ISNUMBER(tblData[China]),tblData[Dates]&gt;StartDt2China),(tblData[China]-AVERAGE(tblData[China]))^2,"")</f>
        <v>190399413.92733544</v>
      </c>
      <c r="BU64" s="11">
        <f>tblData[[#This Row],[Dates]]-China100dt</f>
        <v>42</v>
      </c>
      <c r="BV64" s="95">
        <f ca="1">IF(ISNUMBER(tblData[Day'# Singapore]),betaSingapore/(deltaSingapore+betaPodeltaSingapore*EXP(-betaSingapore*tblData[Day'# Singapore])),"")</f>
        <v>83.645191462131052</v>
      </c>
      <c r="BW64" s="11">
        <f ca="1">IF(AND(ISNUMBER(tblData[Singapore]),tblData[Dates]&gt;=StartDt2Singapore),(tblData[[#This Row],[Singapore LogiP(t)]]-tblData[[#This Row],[Singapore]])^2,"")</f>
        <v>20264.89151385333</v>
      </c>
      <c r="BX64" s="20">
        <f ca="1">IF(ISNUMBER(tblData[Day'# Singapore]),tblData[Singapore LogiP(t)]/SingaporePopscale,"")</f>
        <v>142.98323326860009</v>
      </c>
      <c r="BY64" s="95">
        <f ca="1">IF(AND(ISNUMBER(tblData[Singapore]),tblData[Dates]&gt;StartDt2Singapore),(tblData[Singapore]-AVERAGE(tblData[Singapore]))^2,"")</f>
        <v>4388203.4698193008</v>
      </c>
      <c r="BZ64" s="11">
        <f>tblData[[#This Row],[Dates]]-Singapore100dt+1</f>
        <v>31</v>
      </c>
      <c r="CA64" s="44">
        <f>IF(AND(tblData[Dates]&gt;StartDt2Generic,ISNUMBER(tblData[Day'# Generic])),betaGeneric/(deltaGeneric+betaPodeltaGeneric*EXP(-betaGeneric*tblData[Day'# Generic])),"")</f>
        <v>419.9979731408261</v>
      </c>
      <c r="CB64" s="95">
        <f>IF(AND(ISNUMBER(tblData[Generic]),tblData[Dates]&gt;StartDt2Generic),(tblData[Generic LogiP(t)]-tblData[[#This Row],[Generic]])^2,"")</f>
        <v>84679.820372068949</v>
      </c>
      <c r="CC64" s="11">
        <f>IF(AND(ISNUMBER(tblData[Day'# Generic]),tblData[Dates]&gt;StartDt2Generic),tblData[Generic LogiP(t)]/GenericPopscale,"")</f>
        <v>857.13872069556351</v>
      </c>
      <c r="CD64" s="95">
        <f>IF(AND(ISNUMBER(tblData[Generic]),tblData[Dates]&gt;StartDt2Generic),(tblData[Generic]-AVERAGE(tblData[Generic]))^2,"")</f>
        <v>42308620.319289938</v>
      </c>
      <c r="CE64" s="11">
        <f>tblData[[#This Row],[Dates]]-Generic100dt+1</f>
        <v>3</v>
      </c>
      <c r="CF64" s="11">
        <v>20511</v>
      </c>
      <c r="CG64" s="11">
        <v>1924</v>
      </c>
      <c r="CH64" s="11">
        <f>IF(ISNUMBER(tblData[[#This Row],[Tests]]),tblData[[#This Row],[Tests]]-CF63,"")</f>
        <v>1795</v>
      </c>
      <c r="CI64" s="11">
        <f>IF(ISNUMBER(tblData[[#This Row],[NSW Under Investigation'']]),tblData[[#This Row],[NSW Under Investigation'']]-CG63,"")</f>
        <v>256</v>
      </c>
      <c r="CJ64" s="11">
        <f t="shared" si="2"/>
        <v>10</v>
      </c>
      <c r="CK64" s="11">
        <f>IF(AND(tblData[[#This Row],[NSW Test Day Number]]&gt;0,ISNUMBER(tblData[[#This Row],[NSW Test Day Number]])),betaTests/(deltaTests+betaPodeltaTests*EXP(-betaTests*tblData[[#This Row],[NSW Test Day Number]])),"")</f>
        <v>22308.835938292796</v>
      </c>
      <c r="CL64" s="11">
        <f>IF(tblData[Tests]&gt;0,(tblData[[#This Row],[Tests]]-tblData[[#This Row],[NSW Test Logi]])^2,"")</f>
        <v>3232214.061017137</v>
      </c>
      <c r="CM64" s="95">
        <f>IF(AND(ISNUMBER(tblData[Tests]),tblData[Dates]&gt;StartDt2Tests),(tblData[Tests]-AVERAGE(tblData[Tests]))^2,"")</f>
        <v>7335211186.7351351</v>
      </c>
      <c r="CN64" s="11">
        <f>IF(ISNUMBER(tblData[Tests]),tblData[Tests]/NSWpopscale/100,"")</f>
        <v>253.8490099009901</v>
      </c>
      <c r="CO64" s="95">
        <f ca="1">IF(AND(tblData[[#This Row],[NSW Test Day Number]]&gt;0,ISNUMBER(tblData[[#This Row],[NSW Test Day Number]])),TestsLogestB*TestsLogestM^tblData[[#This Row],[NSW Test Day Number]],"")</f>
        <v>23743.605163888744</v>
      </c>
      <c r="CP64" s="95">
        <f>IF(AND(tblData[[#This Row],[NSW Test Day Number]]&gt;0,ISNUMBER(tblData[Tests])),(tblData[Tests]-tblData[[#This Row],[NSW Test Per Capita]])^2,"")</f>
        <v>410352166.23566926</v>
      </c>
      <c r="CQ64" s="20">
        <f ca="1">IF(AND(tblData[Day '# NSW]&gt;0,ISNUMBER(tblData[[#This Row],[Day '# NSW]])),NSWLogestB*NSWLogestM^tblData[[#This Row],[Day '# NSW]]/NSWpopscale,"")</f>
        <v>173.73783081140138</v>
      </c>
      <c r="CR64" s="39">
        <f ca="1">IF(AND(ISNUMBER(tblData[NSW]),tblData[Dates]&gt;StartDt2NSW),(tblData[NSW]/NSWpopscale-tblData[[#This Row],[NSW Cases LogEst]])^2,"")</f>
        <v>62.350711204785554</v>
      </c>
      <c r="CS64" s="11">
        <v>59</v>
      </c>
      <c r="CT64" s="19">
        <f>IF(ISNUMBER(tblData[Taiwan]),tblData[Taiwan]/TaiwanPopscale,"")</f>
        <v>24.782333405384115</v>
      </c>
      <c r="CU64" s="11">
        <f ca="1">IF(tblData[[#This Row],[Dates]]&lt;StartDt2Taiwan,"",tblData[[#This Row],[Dates]]-TaiwanStart)</f>
        <v>53</v>
      </c>
      <c r="CV64" s="19">
        <f ca="1">IF(AND(tblData[Dates]&gt;StartDt2Taiwan,ISNUMBER(tblData[Days'# Taiwan])),betaTaiwan/(deltaTaiwan+betaPodeltaTaiwan*EXP(-betaTaiwan*tblData[Days'# Taiwan])),"")</f>
        <v>84.978096089342941</v>
      </c>
      <c r="CW64" s="95">
        <f ca="1">IF(AND(tblData[Dates]&gt;StartDt2Taiwan,ISNUMBER(tblData[Taiwan])),(tblData[[#This Row],[Taiwan LogiP(t)]]-tblData[[#This Row],[Taiwan]])^2,"")</f>
        <v>674.86147642713502</v>
      </c>
      <c r="CX64" s="20">
        <f ca="1">IF(AND(tblData[Dates]&gt;StartDt2Taiwan,ISNUMBER(tblData[Days'# Taiwan])),tblData[[#This Row],[Taiwan LogiP(t)]]/TaiwanPopscale,"")</f>
        <v>35.69416117696381</v>
      </c>
      <c r="CY64" s="95">
        <f ca="1">IF(AND(ISNUMBER(tblData[Taiwan]),tblData[Dates]&gt;StartDt2Taiwan),(tblData[Taiwan]-AVERAGE(tblData[Taiwan]))^2,"")</f>
        <v>12221.085736255289</v>
      </c>
      <c r="CZ64" s="11">
        <f>tblData[[#This Row],[Dates]]-Taiwan100dt+1</f>
        <v>-10</v>
      </c>
      <c r="DA64">
        <v>8</v>
      </c>
      <c r="DB64" s="20">
        <f>IF(ISNUMBER(tblData[NZ]),tblData[NZ]/NZPopscale,"")</f>
        <v>15.296367112810707</v>
      </c>
      <c r="DC64" s="11">
        <f ca="1">IF(tblData[[#This Row],[Dates]]&lt;StartDt2NZ,"",tblData[[#This Row],[Dates]]-NZStart)</f>
        <v>16</v>
      </c>
      <c r="DD64" s="20">
        <f ca="1">IF(AND(tblData[Dates]&gt;StartDt2NZ,ISNUMBER(tblData[Days'# NZ])),betaNZ/(deltaNZ+betaPodeltaNZ*EXP(-betaNZ*tblData[Days'# NZ])),"")</f>
        <v>26.110052636631046</v>
      </c>
      <c r="DE64" s="95">
        <f ca="1">IF(AND(tblData[Dates]&gt;StartDt2NZ,ISNUMBER(tblData[NZ])),(tblData[[#This Row],[NZ LogiP(t)]]-tblData[[#This Row],[NZ]])^2,"")</f>
        <v>327.97400650154708</v>
      </c>
      <c r="DF64" s="20">
        <f ca="1">IF(AND(tblData[Dates]&gt;StartDt2NZ,ISNUMBER(tblData[Days'# NZ])),tblData[[#This Row],[NZ LogiP(t)]]/NZPopscale,"")</f>
        <v>49.923618808089955</v>
      </c>
      <c r="DG64" s="95">
        <f ca="1">IF(AND(ISNUMBER(tblData[NZ]),tblData[Dates]&gt;StartDt2NZ),(tblData[NZ]-AVERAGE(tblData[NZ]))^2,"")</f>
        <v>463678.4582185492</v>
      </c>
      <c r="DH64" s="11">
        <f>tblData[[#This Row],[Dates]]-NZ100dt+1</f>
        <v>-6</v>
      </c>
      <c r="DI64" s="39"/>
      <c r="DJ64" s="11"/>
      <c r="DM64" s="25"/>
      <c r="DP64"/>
      <c r="DV64" s="25"/>
      <c r="DW64"/>
      <c r="EA64" s="25"/>
      <c r="EH64"/>
      <c r="EI64"/>
      <c r="EJ64"/>
      <c r="EK64"/>
      <c r="EL64" s="25"/>
      <c r="EM64" s="25"/>
      <c r="EQ64" s="25"/>
      <c r="ER64" s="25"/>
      <c r="ES64" s="25"/>
      <c r="ET64" s="25"/>
      <c r="FF64"/>
      <c r="FG64"/>
      <c r="FH64"/>
      <c r="FI64"/>
      <c r="FJ64" s="25"/>
      <c r="FK64" s="25"/>
      <c r="FM64" s="25"/>
      <c r="FN64"/>
      <c r="FO64" s="268" t="s">
        <v>48</v>
      </c>
      <c r="FP64" s="250">
        <v>43925.473113425927</v>
      </c>
      <c r="FQ64" s="243">
        <v>43855</v>
      </c>
      <c r="FR64" s="160">
        <v>43855</v>
      </c>
      <c r="FS64" s="211">
        <v>0</v>
      </c>
      <c r="FT64" s="72">
        <v>0.25299089211607834</v>
      </c>
      <c r="FU64" s="74">
        <v>4.0715250209221816E-5</v>
      </c>
      <c r="FV64" s="160">
        <v>1E-3</v>
      </c>
      <c r="FW64" s="212">
        <v>6213.6641876457652</v>
      </c>
      <c r="FX64" s="212">
        <v>34.463521566582898</v>
      </c>
      <c r="FY64" s="212">
        <v>0.99947942442539683</v>
      </c>
      <c r="FZ64" s="213">
        <v>252.99085140082812</v>
      </c>
      <c r="GA64" s="213">
        <v>4.0715250209221815E-2</v>
      </c>
      <c r="GB64" s="243">
        <v>44120</v>
      </c>
      <c r="GC64" s="23" t="s">
        <v>1694</v>
      </c>
      <c r="GD64" s="212">
        <v>6213.6641876457652</v>
      </c>
      <c r="GE64" s="212">
        <v>5362</v>
      </c>
      <c r="GF64" s="23" t="s">
        <v>1695</v>
      </c>
      <c r="GG64" s="156">
        <v>44120</v>
      </c>
      <c r="GH64" s="25">
        <v>104</v>
      </c>
      <c r="GI64" s="21" t="s">
        <v>1696</v>
      </c>
      <c r="GJ64" s="161"/>
      <c r="GK64" s="23" t="s">
        <v>1697</v>
      </c>
      <c r="GL64" s="23"/>
      <c r="GM64" s="23" t="s">
        <v>1698</v>
      </c>
      <c r="GN64" s="165">
        <v>2114.0198706828578</v>
      </c>
      <c r="GO64" s="243"/>
      <c r="GP64" s="218"/>
      <c r="GQ64" s="156"/>
      <c r="GR64" s="23"/>
      <c r="GS64" s="25" t="s">
        <v>1964</v>
      </c>
      <c r="GT64" s="11"/>
      <c r="GU64" s="12"/>
      <c r="GV64" s="26"/>
      <c r="GW64" s="25"/>
      <c r="GX64" s="219"/>
      <c r="HA64" s="25"/>
      <c r="HK64" s="164">
        <v>43951</v>
      </c>
      <c r="HL64" s="60">
        <v>43950.833333333336</v>
      </c>
      <c r="HM64" s="25">
        <v>3016</v>
      </c>
      <c r="HN64" s="25">
        <v>217030</v>
      </c>
      <c r="HO64" s="25">
        <v>833</v>
      </c>
      <c r="HP64" s="25">
        <v>362</v>
      </c>
      <c r="HQ64" s="166">
        <f>IF(ISNUMBER(tblNSWKnown[[#This Row],[Unknown Locally]]),tblNSWKnown[[#This Row],[Known Locally]]+tblNSWKnown[[#This Row],[Unknown Locally]],"")</f>
        <v>1195</v>
      </c>
      <c r="HR64" s="25">
        <v>31</v>
      </c>
      <c r="HS64" s="166">
        <f>IF(ISNUMBER(tblNSWKnown[[#This Row],[Day '# NSW Unknown]]),betaNSWUnknown/(deltaNSWUnknown+betaPodeltaNSWUnknown*EXP(-betaNSWUnknown*tblNSWKnown[Day '# NSW Unknown])),"")</f>
        <v>1172.0764990510754</v>
      </c>
      <c r="HT64" s="166">
        <f>IF(ISNUMBER(tblNSWKnown[[#This Row],[Total Local]]),(tblNSWKnown[[#This Row],[Total Local]]-tblNSWKnown[[#This Row],[NSW Unknown Logi P(t)]])^2,"")</f>
        <v>525.48689575534627</v>
      </c>
      <c r="HU64" s="166">
        <f>IF(ISNUMBER(tblNSWKnown[Total Local]),(tblNSWKnown[Total Local]-AVERAGE(tblNSWKnown[Total Local]))^2,"")</f>
        <v>14919.903979238778</v>
      </c>
      <c r="HV64" s="166"/>
    </row>
    <row r="65" spans="2:237" ht="15" customHeight="1" x14ac:dyDescent="0.25">
      <c r="B65" s="26">
        <v>43906</v>
      </c>
      <c r="D65" s="25">
        <v>2</v>
      </c>
      <c r="E65">
        <v>171</v>
      </c>
      <c r="F65" s="11">
        <v>1</v>
      </c>
      <c r="G65">
        <v>68</v>
      </c>
      <c r="H65">
        <v>29</v>
      </c>
      <c r="I65">
        <v>7</v>
      </c>
      <c r="J65">
        <v>71</v>
      </c>
      <c r="K65">
        <v>28</v>
      </c>
      <c r="L65" s="11">
        <f>IF(ISNUMBER(tblData[[#This Row],[NSW]]),tblData[[#This Row],[New South Wales]]/NSWpopscale,"")</f>
        <v>211.63366336633663</v>
      </c>
      <c r="M65" s="25">
        <v>27980</v>
      </c>
      <c r="N65" s="20">
        <f>IF(ISNUMBER(tblData[Italy]),tblData[Italy]/ItalyPopscale,"")</f>
        <v>4625.9403157807719</v>
      </c>
      <c r="O65">
        <v>4632</v>
      </c>
      <c r="P65" s="20">
        <f>IF(ISNUMBER(tblData[US]),tblData[US]/USPopscale,"")</f>
        <v>140.69288072700897</v>
      </c>
      <c r="Q65">
        <v>8236</v>
      </c>
      <c r="R65" s="20">
        <f>IF(ISNUMBER(tblData[SKorea]),tblData[SKorea]/SKoreaPopscale,"")</f>
        <v>1602.3346303501946</v>
      </c>
      <c r="S65">
        <v>1551</v>
      </c>
      <c r="T65" s="20">
        <f>IF(ISNUMBER(tblData[United Kingdom]),tblData[United Kingdom]/UKPopscale,"")</f>
        <v>233.44370860927151</v>
      </c>
      <c r="U65">
        <v>81033</v>
      </c>
      <c r="V65" s="20">
        <f>IF(ISNUMBER(tblData[China]),tblData[China]/ChinaPopscale,"")</f>
        <v>562.99354843701269</v>
      </c>
      <c r="W65" s="25">
        <f ca="1">IF(tblData[[#This Row],[Dates]]&lt;StartDt2China,"",tblData[[#This Row],[Dates]]-ChinaStart)</f>
        <v>54</v>
      </c>
      <c r="X65">
        <v>243</v>
      </c>
      <c r="Y65" s="20">
        <f>IF(ISNUMBER(tblData[Singapore]),tblData[Singapore]/SingaporePopscale,"")</f>
        <v>415.38461538461542</v>
      </c>
      <c r="Z65">
        <v>169</v>
      </c>
      <c r="AA65" s="20">
        <f>IF(AND(LEN(tblData[Generic])&gt;0,ISNUMBER(tblData[Generic])),tblData[Generic]/GenericPopscale,"")</f>
        <v>344.89795918367349</v>
      </c>
      <c r="AB65" s="25">
        <f ca="1">IF(tblData[[#This Row],[Dates]]&lt;StartDt2Italy,"",tblData[[#This Row],[Dates]]-ItalyStart)</f>
        <v>46</v>
      </c>
      <c r="AC65" s="25">
        <f ca="1">IF(tblData[[#This Row],[Dates]]&lt;=StartDt2US,"",tblData[[#This Row],[Dates]]-USStart)</f>
        <v>54</v>
      </c>
      <c r="AD65" s="25">
        <f>IF(tblData[[#This Row],[Dates]]&lt;=SKoreaStart,"",tblData[[#This Row],[Dates]]-SKoreaStart)</f>
        <v>54</v>
      </c>
      <c r="AE65" s="25">
        <f ca="1">IF(tblData[[#This Row],[Dates]]&lt;=StartDt2UK,"",tblData[[#This Row],[Dates]]-UKStart)</f>
        <v>46</v>
      </c>
      <c r="AF65" s="25">
        <f ca="1">IF(tblData[[#This Row],[Dates]]&lt;StartDt2Singapore,"",tblData[[#This Row],[Dates]]-SingaporeStart)</f>
        <v>53</v>
      </c>
      <c r="AG65" s="25">
        <f>IF(tblData[[#This Row],[Dates]]&lt;StartDt2Generic,"",tblData[[#This Row],[Dates]]-GenericStart)</f>
        <v>16</v>
      </c>
      <c r="AH65">
        <f ca="1">IF(tblData[Dates]&gt;StartDt2Au,tblData[Dates]-AuStart,"")</f>
        <v>51</v>
      </c>
      <c r="AI65" s="25">
        <f>IF(AND(COUNTBLANK(tblData[[#This Row],[Australian Capital Territory]:[Western Australia]])&lt;1,tblData[New South Wales]&gt;=0),SUM(tblData[[#This Row],[Australian Capital Territory]:[Western Australia]]),"")</f>
        <v>377</v>
      </c>
      <c r="AJ65" s="12">
        <f>IF(ISNUMBER(tblData[Au]),tblData[Au]/AuPopScale,"")</f>
        <v>148.635861851443</v>
      </c>
      <c r="AK65" s="11">
        <f ca="1">IF(ISNUMBER(tblData[[#This Row],[Day'# Aust]]),betaAu/(deltaAu+betaPodeltaAu*EXP(-betaAu*tblData[[#This Row],[Day'# Aust]])),"")</f>
        <v>447.28055298174843</v>
      </c>
      <c r="AL65" s="56">
        <f ca="1">IF(ISNUMBER(tblData[Day'# Aust]),tblData[Au LogiP(t)]/AuPopScale,"")</f>
        <v>176.34464318788378</v>
      </c>
      <c r="AM65" s="11">
        <f ca="1">IF(AND(tblData[Dates]&gt;StartDt2Au,ISNUMBER(tblData[Au])),(tblData[[#This Row],[Au LogiP(t)]]-tblData[[#This Row],[Au]])^2,"")</f>
        <v>4939.3561274203475</v>
      </c>
      <c r="AN65" s="11">
        <f ca="1">IF(AND(ISNUMBER(tblData[Au]),tblData[Dates]&gt;StartDt2Au),(tblData[Au]-AVERAGE(tblData[Au]))^2,"")</f>
        <v>4292396.6760999998</v>
      </c>
      <c r="AO65" s="11">
        <f>tblData[[#This Row],[Dates]]-Au100dt</f>
        <v>1</v>
      </c>
      <c r="AP65">
        <f ca="1">IF(tblData[Dates]&gt;StartDt2NSW,tblData[Dates]-StartDt2NSW,"")</f>
        <v>51</v>
      </c>
      <c r="AQ65" s="25">
        <f>IF(tblData[[#This Row],[New South Wales]]&gt;0,tblData[[#This Row],[New South Wales]],"")</f>
        <v>171</v>
      </c>
      <c r="AR65" s="11">
        <f ca="1">IF(tblData[Dates]&gt;StartDt2NSW,betaNSW/(deltaNSW+betaPodeltaNSW*EXP(-betaNSW*tblData[[#This Row],[Day '# NSW]])),"")</f>
        <v>179.48108097241322</v>
      </c>
      <c r="AS65" s="12">
        <f ca="1">IF(AND(ISNUMBER(tblData[NSW]),tblData[Dates]&gt;StartDt2NSW),(tblData[[#This Row],[NSW LogiP(t)]]-tblData[[#This Row],[NSW]])^2,"")</f>
        <v>71.928734460629641</v>
      </c>
      <c r="AT65" s="12">
        <f ca="1">IF(AND(tblData[Dates]&gt;StartDt2NSW,ISNUMBER(tblData[Day'# Aust])),tblData[NSW LogiP(t)]/NSWpopscale,"")</f>
        <v>222.13005070843221</v>
      </c>
      <c r="AU65" s="11">
        <f>tblData[[#This Row],[Dates]]-NSW100dt+1</f>
        <v>4</v>
      </c>
      <c r="AV65" s="11">
        <f ca="1">IF(AND(ISNUMBER(tblData[NSW]),tblData[Dates]&gt;StartDt2NSW),(tblData[NSW]-AVERAGE(tblData[NSW]))^2,"")</f>
        <v>852409.02760000003</v>
      </c>
      <c r="AW65" s="11">
        <f ca="1">IF(AND(tblData[Dates]&gt;StartDt2Italy,ISNUMBER(tblData[Days'# Italy])),betaItaly/(deltaItaly+betaPodeltaItaly*EXP(-betaItaly*tblData[Days'# Italy])),"")</f>
        <v>38529.047361033146</v>
      </c>
      <c r="AX65" s="11">
        <f ca="1">IF(AND(tblData[Dates]&gt;StartDt2Italy,ISNUMBER(tblData[Italy])),(tblData[[#This Row],[Italy LogiP(t)]]-tblData[[#This Row],[Italy]])^2,"")</f>
        <v>111282400.22532038</v>
      </c>
      <c r="AY65" s="11">
        <f ca="1">IF(AND(tblData[Dates]&gt;StartDt2Italy,ISNUMBER(tblData[Days'# Italy])),tblData[[#This Row],[Italy LogiP(t)]]/ItalyPopscale,"")</f>
        <v>6370.0169233749111</v>
      </c>
      <c r="AZ65" s="39">
        <f ca="1">IF(AND(ISNUMBER(tblData[Italy]),tblData[Dates]&gt;StartDt2Italy),(tblData[Italy]-AVERAGE(tblData[Italy]))^2,"")</f>
        <v>1744616479.1762104</v>
      </c>
      <c r="BA65" s="11">
        <f>tblData[[#This Row],[Dates]]-Italy100dt+1</f>
        <v>19</v>
      </c>
      <c r="BB65" s="11">
        <f ca="1">IF(AND(tblData[Dates]&gt;StartDt2US,ISNUMBER(tblData[[#This Row],[Days'# US]])),betaUS/(deltaUS+betaPodeltaUS*EXP(-betaUS*tblData[Days'# US])),"")</f>
        <v>4492.8360779481081</v>
      </c>
      <c r="BC65" s="11">
        <f ca="1">IF(AND(tblData[Dates]&gt;StartDt2US,ISNUMBER(tblData[US])),(tblData[[#This Row],[US LogiP(t)]]-tblData[US])^2,"")</f>
        <v>19366.597200865031</v>
      </c>
      <c r="BD65" s="20">
        <f ca="1">IF(AND(tblData[Dates]&gt;=StartDt2US,ISNUMBER(tblData[[#This Row],[Days'# US]])),tblData[[#This Row],[US LogiP(t)]]/USPopscale,"")</f>
        <v>136.46590035422193</v>
      </c>
      <c r="BE65" s="126">
        <f ca="1">IF(AND(ISNUMBER(tblData[US]),tblData[Dates]&gt;StartDt2US),(tblData[US]-AVERAGE(tblData[US]))^2,"")</f>
        <v>48097422226.452232</v>
      </c>
      <c r="BF65" s="11">
        <f>tblData[[#This Row],[Dates]]-US100dt+1</f>
        <v>2</v>
      </c>
      <c r="BG65" s="20">
        <f ca="1">IF(tblData[Dates]&gt;StartDt2SKorea,betaSKorea/(deltaSKorea+betaPodeltaSKorea*EXP(-betaSKorea*(tblData[Dates]-StartDt2SKorea))),"")</f>
        <v>8994.2589112076494</v>
      </c>
      <c r="BH65" s="20">
        <f ca="1">IF(AND(tblData[Dates]&gt;StartDt2SKorea,ISNUMBER(tblData[SKorea])),(tblData[[#This Row],[SKorea LogiP(t)]]-tblData[[#This Row],[SKorea]])^2,"")</f>
        <v>574956.57642580988</v>
      </c>
      <c r="BI65" s="20">
        <f ca="1">IF(tblData[Dates]&gt;StartDt2SKorea,tblData[[#This Row],[SKorea LogiP(t)]]/SKoreaPopscale,"")</f>
        <v>1749.8558193010992</v>
      </c>
      <c r="BJ65" s="126">
        <f ca="1">IF(AND(ISNUMBER(tblData[SKorea]),tblData[Dates]&gt;StartDt2SKorea),(tblData[SKorea]-AVERAGE(tblData[SKorea]))^2,"")</f>
        <v>5815946.9623221857</v>
      </c>
      <c r="BK65" s="11">
        <f>tblData[[#This Row],[Dates]]-SKorea100dt+1</f>
        <v>23</v>
      </c>
      <c r="BL65" s="11">
        <f ca="1">IF(AND(tblData[Dates]&gt;StartDt2UK,ISNUMBER(tblData[Days'# UK])),betaUK/(deltaUK+betaPodeltaUK*EXP(-betaUK*tblData[Days'# UK])),"")</f>
        <v>1580.5932800879177</v>
      </c>
      <c r="BM65" s="20">
        <f ca="1">IF(AND(tblData[Dates]&gt;StartDt2UK,ISNUMBER(tblData[United Kingdom])),(tblData[[#This Row],[UK LogiP(t)]]-tblData[[#This Row],[United Kingdom]])^2,"")</f>
        <v>875.76222636194734</v>
      </c>
      <c r="BN65" s="20">
        <f ca="1">IF(ISNUMBER(tblData[Days'# UK]),tblData[[#This Row],[UK LogiP(t)]]/UKPopscale,"")</f>
        <v>237.89784468511706</v>
      </c>
      <c r="BO65" s="126">
        <f ca="1">IF(AND(ISNUMBER(tblData[United Kingdom]),tblData[Dates]&gt;StartDt2UK),(tblData[United Kingdom]-AVERAGE(tblData[United Kingdom]))^2,"")</f>
        <v>1326127380.4265506</v>
      </c>
      <c r="BP65" s="11">
        <f>tblData[[#This Row],[Dates]]-UK100dt</f>
        <v>4</v>
      </c>
      <c r="BQ65" s="11">
        <f ca="1">IF(ISNUMBER(tblData[Days'# China]),betaChina/(deltaChina+betaPodeltaChina*EXP(-betaChina*tblData[Days'# China])),"")</f>
        <v>82097.201284329771</v>
      </c>
      <c r="BR65" s="11">
        <f ca="1">IF(ISNUMBER(tblData[China]),(tblData[[#This Row],[China LogiP(t)]]-tblData[[#This Row],[China]])^2,"")</f>
        <v>1132524.3735691335</v>
      </c>
      <c r="BS65" s="11">
        <f ca="1">tblData[[#This Row],[China LogiP(t)]]/ChinaPopscale</f>
        <v>570.38730724288246</v>
      </c>
      <c r="BT65" s="126">
        <f ca="1">IF(AND(ISNUMBER(tblData[China]),tblData[Dates]&gt;StartDt2China),(tblData[China]-AVERAGE(tblData[China]))^2,"")</f>
        <v>191228225.69204134</v>
      </c>
      <c r="BU65" s="11">
        <f>tblData[[#This Row],[Dates]]-China100dt</f>
        <v>43</v>
      </c>
      <c r="BV65" s="95">
        <f ca="1">IF(ISNUMBER(tblData[Day'# Singapore]),betaSingapore/(deltaSingapore+betaPodeltaSingapore*EXP(-betaSingapore*tblData[Day'# Singapore])),"")</f>
        <v>94.809907112241845</v>
      </c>
      <c r="BW65" s="11">
        <f ca="1">IF(AND(ISNUMBER(tblData[Singapore]),tblData[Dates]&gt;=StartDt2Singapore),(tblData[[#This Row],[Singapore LogiP(t)]]-tblData[[#This Row],[Singapore]])^2,"")</f>
        <v>21960.303630082395</v>
      </c>
      <c r="BX65" s="20">
        <f ca="1">IF(ISNUMBER(tblData[Day'# Singapore]),tblData[Singapore LogiP(t)]/SingaporePopscale,"")</f>
        <v>162.06821728588349</v>
      </c>
      <c r="BY65" s="95">
        <f ca="1">IF(AND(ISNUMBER(tblData[Singapore]),tblData[Dates]&gt;StartDt2Singapore),(tblData[Singapore]-AVERAGE(tblData[Singapore]))^2,"")</f>
        <v>4317269.1364859678</v>
      </c>
      <c r="BZ65" s="11">
        <f>tblData[[#This Row],[Dates]]-Singapore100dt+1</f>
        <v>32</v>
      </c>
      <c r="CA65" s="44">
        <f>IF(AND(tblData[Dates]&gt;StartDt2Generic,ISNUMBER(tblData[Day'# Generic])),betaGeneric/(deltaGeneric+betaPodeltaGeneric*EXP(-betaGeneric*tblData[Day'# Generic])),"")</f>
        <v>476.87477547966427</v>
      </c>
      <c r="CB65" s="95">
        <f>IF(AND(ISNUMBER(tblData[Generic]),tblData[Dates]&gt;StartDt2Generic),(tblData[Generic LogiP(t)]-tblData[[#This Row],[Generic]])^2,"")</f>
        <v>94786.877376653676</v>
      </c>
      <c r="CC65" s="11">
        <f>IF(AND(ISNUMBER(tblData[Day'# Generic]),tblData[Dates]&gt;StartDt2Generic),tblData[Generic LogiP(t)]/GenericPopscale,"")</f>
        <v>973.21382750951898</v>
      </c>
      <c r="CD65" s="95">
        <f>IF(AND(ISNUMBER(tblData[Generic]),tblData[Dates]&gt;StartDt2Generic),(tblData[Generic]-AVERAGE(tblData[Generic]))^2,"")</f>
        <v>41789859.703905322</v>
      </c>
      <c r="CE65" s="11">
        <f>tblData[[#This Row],[Dates]]-Generic100dt+1</f>
        <v>4</v>
      </c>
      <c r="CF65" s="11">
        <v>25511</v>
      </c>
      <c r="CG65" s="11">
        <v>1282</v>
      </c>
      <c r="CH65" s="11">
        <f>IF(ISNUMBER(tblData[[#This Row],[Tests]]),tblData[[#This Row],[Tests]]-CF64,"")</f>
        <v>5000</v>
      </c>
      <c r="CI65" s="11">
        <f>IF(ISNUMBER(tblData[[#This Row],[NSW Under Investigation'']]),tblData[[#This Row],[NSW Under Investigation'']]-CG64,"")</f>
        <v>-642</v>
      </c>
      <c r="CJ65" s="11">
        <f t="shared" si="2"/>
        <v>11</v>
      </c>
      <c r="CK65" s="11">
        <f>IF(AND(tblData[[#This Row],[NSW Test Day Number]]&gt;0,ISNUMBER(tblData[[#This Row],[NSW Test Day Number]])),betaTests/(deltaTests+betaPodeltaTests*EXP(-betaTests*tblData[[#This Row],[NSW Test Day Number]])),"")</f>
        <v>25957.932815436958</v>
      </c>
      <c r="CL65" s="11">
        <f>IF(tblData[Tests]&gt;0,(tblData[[#This Row],[Tests]]-tblData[[#This Row],[NSW Test Logi]])^2,"")</f>
        <v>199748.94151440574</v>
      </c>
      <c r="CM65" s="95">
        <f>IF(AND(ISNUMBER(tblData[Tests]),tblData[Dates]&gt;StartDt2Tests),(tblData[Tests]-AVERAGE(tblData[Tests]))^2,"")</f>
        <v>6503752712.1588631</v>
      </c>
      <c r="CN65" s="11">
        <f>IF(ISNUMBER(tblData[Tests]),tblData[Tests]/NSWpopscale/100,"")</f>
        <v>315.73019801980195</v>
      </c>
      <c r="CO65" s="95">
        <f ca="1">IF(AND(tblData[[#This Row],[NSW Test Day Number]]&gt;0,ISNUMBER(tblData[[#This Row],[NSW Test Day Number]])),TestsLogestB*TestsLogestM^tblData[[#This Row],[NSW Test Day Number]],"")</f>
        <v>25168.49297511674</v>
      </c>
      <c r="CP65" s="95">
        <f>IF(AND(tblData[[#This Row],[NSW Test Day Number]]&gt;0,ISNUMBER(tblData[Tests])),(tblData[Tests]-tblData[[#This Row],[NSW Test Per Capita]])^2,"")</f>
        <v>634801620.39457524</v>
      </c>
      <c r="CQ65" s="20">
        <f ca="1">IF(AND(tblData[Day '# NSW]&gt;0,ISNUMBER(tblData[[#This Row],[Day '# NSW]])),NSWLogestB*NSWLogestM^tblData[[#This Row],[Day '# NSW]]/NSWpopscale,"")</f>
        <v>191.27764336249837</v>
      </c>
      <c r="CR65" s="39">
        <f ca="1">IF(AND(ISNUMBER(tblData[NSW]),tblData[Dates]&gt;StartDt2NSW),(tblData[NSW]/NSWpopscale-tblData[[#This Row],[NSW Cases LogEst]])^2,"")</f>
        <v>414.36755039666372</v>
      </c>
      <c r="CS65" s="11">
        <v>67</v>
      </c>
      <c r="CT65" s="19">
        <f>IF(ISNUMBER(tblData[Taiwan]),tblData[Taiwan]/TaiwanPopscale,"")</f>
        <v>28.142649799334507</v>
      </c>
      <c r="CU65" s="11">
        <f ca="1">IF(tblData[[#This Row],[Dates]]&lt;StartDt2Taiwan,"",tblData[[#This Row],[Dates]]-TaiwanStart)</f>
        <v>54</v>
      </c>
      <c r="CV65" s="19">
        <f ca="1">IF(AND(tblData[Dates]&gt;StartDt2Taiwan,ISNUMBER(tblData[Days'# Taiwan])),betaTaiwan/(deltaTaiwan+betaPodeltaTaiwan*EXP(-betaTaiwan*tblData[Days'# Taiwan])),"")</f>
        <v>95.461894045042612</v>
      </c>
      <c r="CW65" s="95">
        <f ca="1">IF(AND(tblData[Dates]&gt;StartDt2Taiwan,ISNUMBER(tblData[Taiwan])),(tblData[[#This Row],[Taiwan LogiP(t)]]-tblData[[#This Row],[Taiwan]])^2,"")</f>
        <v>810.07941263123212</v>
      </c>
      <c r="CX65" s="20">
        <f ca="1">IF(AND(tblData[Dates]&gt;StartDt2Taiwan,ISNUMBER(tblData[Days'# Taiwan])),tblData[[#This Row],[Taiwan LogiP(t)]]/TaiwanPopscale,"")</f>
        <v>40.09777094463896</v>
      </c>
      <c r="CY65" s="95">
        <f ca="1">IF(AND(ISNUMBER(tblData[Taiwan]),tblData[Dates]&gt;StartDt2Taiwan),(tblData[Taiwan]-AVERAGE(tblData[Taiwan]))^2,"")</f>
        <v>10516.301422529799</v>
      </c>
      <c r="CZ65" s="11">
        <f>tblData[[#This Row],[Dates]]-Taiwan100dt+1</f>
        <v>-9</v>
      </c>
      <c r="DA65">
        <v>8</v>
      </c>
      <c r="DB65" s="20">
        <f>IF(ISNUMBER(tblData[NZ]),tblData[NZ]/NZPopscale,"")</f>
        <v>15.296367112810707</v>
      </c>
      <c r="DC65" s="11">
        <f ca="1">IF(tblData[[#This Row],[Dates]]&lt;StartDt2NZ,"",tblData[[#This Row],[Dates]]-NZStart)</f>
        <v>17</v>
      </c>
      <c r="DD65" s="20">
        <f ca="1">IF(AND(tblData[Dates]&gt;StartDt2NZ,ISNUMBER(tblData[Days'# NZ])),betaNZ/(deltaNZ+betaPodeltaNZ*EXP(-betaNZ*tblData[Days'# NZ])),"")</f>
        <v>32.806625318718922</v>
      </c>
      <c r="DE65" s="95">
        <f ca="1">IF(AND(tblData[Dates]&gt;StartDt2NZ,ISNUMBER(tblData[NZ])),(tblData[[#This Row],[NZ LogiP(t)]]-tblData[[#This Row],[NZ]])^2,"")</f>
        <v>615.36865970330666</v>
      </c>
      <c r="DF65" s="20">
        <f ca="1">IF(AND(tblData[Dates]&gt;StartDt2NZ,ISNUMBER(tblData[Days'# NZ])),tblData[[#This Row],[NZ LogiP(t)]]/NZPopscale,"")</f>
        <v>62.727773075944398</v>
      </c>
      <c r="DG65" s="95">
        <f ca="1">IF(AND(ISNUMBER(tblData[NZ]),tblData[Dates]&gt;StartDt2NZ),(tblData[NZ]-AVERAGE(tblData[NZ]))^2,"")</f>
        <v>463678.4582185492</v>
      </c>
      <c r="DH65" s="11">
        <f>tblData[[#This Row],[Dates]]-NZ100dt+1</f>
        <v>-5</v>
      </c>
      <c r="DI65" s="39"/>
      <c r="DJ65" s="11"/>
      <c r="DM65" s="25"/>
      <c r="DP65"/>
      <c r="DV65" s="25"/>
      <c r="DW65"/>
      <c r="EA65" s="25"/>
      <c r="EH65"/>
      <c r="EI65"/>
      <c r="EJ65"/>
      <c r="EK65"/>
      <c r="EL65" s="25"/>
      <c r="EM65" s="25"/>
      <c r="EQ65" s="25"/>
      <c r="ER65" s="25"/>
      <c r="ES65" s="25"/>
      <c r="ET65" s="25"/>
      <c r="FF65"/>
      <c r="FG65"/>
      <c r="FH65"/>
      <c r="FI65"/>
      <c r="FJ65" s="25"/>
      <c r="FK65" s="25"/>
      <c r="FM65" s="25"/>
      <c r="FN65"/>
      <c r="FO65" s="265" t="s">
        <v>48</v>
      </c>
      <c r="FP65" s="250">
        <v>43922.849270833336</v>
      </c>
      <c r="FQ65" s="156">
        <v>43855</v>
      </c>
      <c r="FR65" s="26">
        <v>43855</v>
      </c>
      <c r="FS65" s="211">
        <v>0</v>
      </c>
      <c r="FT65" s="72">
        <v>0.25305494997021388</v>
      </c>
      <c r="FU65" s="74">
        <v>4.0881004750798046E-5</v>
      </c>
      <c r="FV65" s="21">
        <v>1E-3</v>
      </c>
      <c r="FW65" s="212">
        <v>6190.0374394607788</v>
      </c>
      <c r="FX65" s="214">
        <v>34.836711976012829</v>
      </c>
      <c r="FY65" s="214"/>
      <c r="FZ65" s="213">
        <v>253.0549090892091</v>
      </c>
      <c r="GA65" s="213">
        <v>4.0881004750798047E-2</v>
      </c>
      <c r="GB65" s="156">
        <v>44156</v>
      </c>
      <c r="GC65" s="26" t="s">
        <v>1544</v>
      </c>
      <c r="GD65" s="214">
        <v>6190.0374394607788</v>
      </c>
      <c r="GE65" s="214">
        <v>4864</v>
      </c>
      <c r="GF65" s="62" t="s">
        <v>1545</v>
      </c>
      <c r="GG65" s="156">
        <v>44156</v>
      </c>
      <c r="GH65" s="25">
        <v>104</v>
      </c>
      <c r="GI65" s="25" t="s">
        <v>1546</v>
      </c>
      <c r="GJ65" s="62"/>
      <c r="GK65" s="62" t="s">
        <v>1547</v>
      </c>
      <c r="GM65" s="25" t="s">
        <v>1548</v>
      </c>
      <c r="GN65" s="20">
        <v>1917.67859958997</v>
      </c>
      <c r="GO65" s="156"/>
      <c r="GP65" s="218"/>
      <c r="GQ65" s="156"/>
      <c r="GR65" s="25"/>
      <c r="GS65" s="25" t="s">
        <v>1964</v>
      </c>
      <c r="GT65" s="11"/>
      <c r="GU65" s="12"/>
      <c r="GV65" s="26"/>
      <c r="GW65" s="25"/>
      <c r="GX65" s="219"/>
      <c r="HA65" s="25"/>
      <c r="HK65" s="164">
        <v>43952</v>
      </c>
      <c r="HL65" s="60">
        <v>43951.833333333336</v>
      </c>
      <c r="HM65" s="25">
        <v>3025</v>
      </c>
      <c r="HN65" s="25">
        <v>224059</v>
      </c>
      <c r="HO65" s="25">
        <v>840</v>
      </c>
      <c r="HP65" s="25">
        <v>363</v>
      </c>
      <c r="HQ65" s="166">
        <f>IF(ISNUMBER(tblNSWKnown[[#This Row],[Unknown Locally]]),tblNSWKnown[[#This Row],[Known Locally]]+tblNSWKnown[[#This Row],[Unknown Locally]],"")</f>
        <v>1203</v>
      </c>
      <c r="HR65" s="25">
        <v>32</v>
      </c>
      <c r="HS65" s="166">
        <f>IF(ISNUMBER(tblNSWKnown[[#This Row],[Day '# NSW Unknown]]),betaNSWUnknown/(deltaNSWUnknown+betaPodeltaNSWUnknown*EXP(-betaNSWUnknown*tblNSWKnown[Day '# NSW Unknown])),"")</f>
        <v>1172.4674409854892</v>
      </c>
      <c r="HT65" s="166">
        <f>IF(ISNUMBER(tblNSWKnown[[#This Row],[Total Local]]),(tblNSWKnown[[#This Row],[Total Local]]-tblNSWKnown[[#This Row],[NSW Unknown Logi P(t)]])^2,"")</f>
        <v>932.2371599745818</v>
      </c>
      <c r="HU65" s="166">
        <f>IF(ISNUMBER(tblNSWKnown[Total Local]),(tblNSWKnown[Total Local]-AVERAGE(tblNSWKnown[Total Local]))^2,"")</f>
        <v>16938.25692041525</v>
      </c>
      <c r="HV65" s="166"/>
    </row>
    <row r="66" spans="2:237" ht="15" customHeight="1" x14ac:dyDescent="0.25">
      <c r="B66" s="26">
        <v>43907</v>
      </c>
      <c r="D66" s="25">
        <v>2</v>
      </c>
      <c r="E66">
        <v>210</v>
      </c>
      <c r="F66">
        <v>1</v>
      </c>
      <c r="G66">
        <v>78</v>
      </c>
      <c r="H66">
        <v>29</v>
      </c>
      <c r="I66">
        <v>7</v>
      </c>
      <c r="J66">
        <v>94</v>
      </c>
      <c r="K66">
        <v>31</v>
      </c>
      <c r="L66" s="11">
        <f>IF(ISNUMBER(tblData[[#This Row],[NSW]]),tblData[[#This Row],[New South Wales]]/NSWpopscale,"")</f>
        <v>259.9009900990099</v>
      </c>
      <c r="M66" s="25">
        <v>31506</v>
      </c>
      <c r="N66" s="20">
        <f>IF(ISNUMBER(tblData[Italy]),tblData[Italy]/ItalyPopscale,"")</f>
        <v>5208.8947672976774</v>
      </c>
      <c r="O66">
        <v>6421</v>
      </c>
      <c r="P66" s="20">
        <f>IF(ISNUMBER(tblData[US]),tblData[US]/USPopscale,"")</f>
        <v>195.03216475564003</v>
      </c>
      <c r="Q66">
        <v>8320</v>
      </c>
      <c r="R66" s="20">
        <f>IF(ISNUMBER(tblData[SKorea]),tblData[SKorea]/SKoreaPopscale,"")</f>
        <v>1618.6770428015566</v>
      </c>
      <c r="S66">
        <v>1960</v>
      </c>
      <c r="T66" s="20">
        <f>IF(ISNUMBER(tblData[United Kingdom]),tblData[United Kingdom]/UKPopscale,"")</f>
        <v>295.0030102347983</v>
      </c>
      <c r="U66">
        <v>81058</v>
      </c>
      <c r="V66" s="20">
        <f>IF(ISNUMBER(tblData[China]),tblData[China]/ChinaPopscale,"")</f>
        <v>563.16724111420501</v>
      </c>
      <c r="W66" s="25">
        <f ca="1">IF(tblData[[#This Row],[Dates]]&lt;StartDt2China,"",tblData[[#This Row],[Dates]]-ChinaStart)</f>
        <v>55</v>
      </c>
      <c r="X66">
        <v>266</v>
      </c>
      <c r="Y66" s="20">
        <f>IF(ISNUMBER(tblData[Singapore]),tblData[Singapore]/SingaporePopscale,"")</f>
        <v>454.70085470085473</v>
      </c>
      <c r="Z66">
        <v>223</v>
      </c>
      <c r="AA66" s="20">
        <f>IF(AND(LEN(tblData[Generic])&gt;0,ISNUMBER(tblData[Generic])),tblData[Generic]/GenericPopscale,"")</f>
        <v>455.10204081632656</v>
      </c>
      <c r="AB66" s="25">
        <f ca="1">IF(tblData[[#This Row],[Dates]]&lt;StartDt2Italy,"",tblData[[#This Row],[Dates]]-ItalyStart)</f>
        <v>47</v>
      </c>
      <c r="AC66" s="25">
        <f ca="1">IF(tblData[[#This Row],[Dates]]&lt;=StartDt2US,"",tblData[[#This Row],[Dates]]-USStart)</f>
        <v>55</v>
      </c>
      <c r="AD66" s="25">
        <f>IF(tblData[[#This Row],[Dates]]&lt;=SKoreaStart,"",tblData[[#This Row],[Dates]]-SKoreaStart)</f>
        <v>55</v>
      </c>
      <c r="AE66" s="25">
        <f ca="1">IF(tblData[[#This Row],[Dates]]&lt;=StartDt2UK,"",tblData[[#This Row],[Dates]]-UKStart)</f>
        <v>47</v>
      </c>
      <c r="AF66" s="25">
        <f ca="1">IF(tblData[[#This Row],[Dates]]&lt;StartDt2Singapore,"",tblData[[#This Row],[Dates]]-SingaporeStart)</f>
        <v>54</v>
      </c>
      <c r="AG66" s="25">
        <f>IF(tblData[[#This Row],[Dates]]&lt;StartDt2Generic,"",tblData[[#This Row],[Dates]]-GenericStart)</f>
        <v>17</v>
      </c>
      <c r="AH66">
        <f ca="1">IF(tblData[Dates]&gt;StartDt2Au,tblData[Dates]-AuStart,"")</f>
        <v>52</v>
      </c>
      <c r="AI66" s="25">
        <f>IF(AND(COUNTBLANK(tblData[[#This Row],[Australian Capital Territory]:[Western Australia]])&lt;1,tblData[New South Wales]&gt;=0),SUM(tblData[[#This Row],[Australian Capital Territory]:[Western Australia]]),"")</f>
        <v>452</v>
      </c>
      <c r="AJ66" s="12">
        <f>IF(ISNUMBER(tblData[Au]),tblData[Au]/AuPopScale,"")</f>
        <v>178.20533038952846</v>
      </c>
      <c r="AK66" s="11">
        <f ca="1">IF(ISNUMBER(tblData[[#This Row],[Day'# Aust]]),betaAu/(deltaAu+betaPodeltaAu*EXP(-betaAu*tblData[[#This Row],[Day'# Aust]])),"")</f>
        <v>551.377957222286</v>
      </c>
      <c r="AL66" s="56">
        <f ca="1">IF(ISNUMBER(tblData[Day'# Aust]),tblData[Au LogiP(t)]/AuPopScale,"")</f>
        <v>217.38604211570967</v>
      </c>
      <c r="AM66" s="11">
        <f ca="1">IF(AND(tblData[Dates]&gt;StartDt2Au,ISNUMBER(tblData[Au])),(tblData[[#This Row],[Au LogiP(t)]]-tblData[[#This Row],[Au]])^2,"")</f>
        <v>9875.9783816745057</v>
      </c>
      <c r="AN66" s="11">
        <f ca="1">IF(AND(ISNUMBER(tblData[Au]),tblData[Dates]&gt;StartDt2Au),(tblData[Au]-AVERAGE(tblData[Au]))^2,"")</f>
        <v>3987250.1760999998</v>
      </c>
      <c r="AO66" s="11">
        <f>tblData[[#This Row],[Dates]]-Au100dt</f>
        <v>2</v>
      </c>
      <c r="AP66">
        <f ca="1">IF(tblData[Dates]&gt;StartDt2NSW,tblData[Dates]-StartDt2NSW,"")</f>
        <v>52</v>
      </c>
      <c r="AQ66" s="25">
        <f>IF(tblData[[#This Row],[New South Wales]]&gt;0,tblData[[#This Row],[New South Wales]],"")</f>
        <v>210</v>
      </c>
      <c r="AR66" s="11">
        <f ca="1">IF(tblData[Dates]&gt;StartDt2NSW,betaNSW/(deltaNSW+betaPodeltaNSW*EXP(-betaNSW*tblData[[#This Row],[Day '# NSW]])),"")</f>
        <v>223.30780922537403</v>
      </c>
      <c r="AS66" s="12">
        <f ca="1">IF(AND(ISNUMBER(tblData[NSW]),tblData[Dates]&gt;StartDt2NSW),(tblData[[#This Row],[NSW LogiP(t)]]-tblData[[#This Row],[NSW]])^2,"")</f>
        <v>177.09778637895013</v>
      </c>
      <c r="AT66" s="12">
        <f ca="1">IF(AND(tblData[Dates]&gt;StartDt2NSW,ISNUMBER(tblData[Day'# Aust])),tblData[NSW LogiP(t)]/NSWpopscale,"")</f>
        <v>276.37105102150247</v>
      </c>
      <c r="AU66" s="11">
        <f>tblData[[#This Row],[Dates]]-NSW100dt+1</f>
        <v>5</v>
      </c>
      <c r="AV66" s="11">
        <f ca="1">IF(AND(ISNUMBER(tblData[NSW]),tblData[Dates]&gt;StartDt2NSW),(tblData[NSW]-AVERAGE(tblData[NSW]))^2,"")</f>
        <v>781915.7476</v>
      </c>
      <c r="AW66" s="11">
        <f ca="1">IF(AND(tblData[Dates]&gt;StartDt2Italy,ISNUMBER(tblData[Days'# Italy])),betaItaly/(deltaItaly+betaPodeltaItaly*EXP(-betaItaly*tblData[Days'# Italy])),"")</f>
        <v>46435.857835723276</v>
      </c>
      <c r="AX66" s="11">
        <f ca="1">IF(AND(tblData[Dates]&gt;StartDt2Italy,ISNUMBER(tblData[Italy])),(tblData[[#This Row],[Italy LogiP(t)]]-tblData[[#This Row],[Italy]])^2,"")</f>
        <v>222900654.99490771</v>
      </c>
      <c r="AY66" s="11">
        <f ca="1">IF(AND(tblData[Dates]&gt;StartDt2Italy,ISNUMBER(tblData[Days'# Italy])),tblData[[#This Row],[Italy LogiP(t)]]/ItalyPopscale,"")</f>
        <v>7677.2518534716501</v>
      </c>
      <c r="AZ66" s="39">
        <f ca="1">IF(AND(ISNUMBER(tblData[Italy]),tblData[Dates]&gt;StartDt2Italy),(tblData[Italy]-AVERAGE(tblData[Italy]))^2,"")</f>
        <v>1462496942.9634445</v>
      </c>
      <c r="BA66" s="11">
        <f>tblData[[#This Row],[Dates]]-Italy100dt+1</f>
        <v>20</v>
      </c>
      <c r="BB66" s="11">
        <f ca="1">IF(AND(tblData[Dates]&gt;StartDt2US,ISNUMBER(tblData[[#This Row],[Days'# US]])),betaUS/(deltaUS+betaPodeltaUS*EXP(-betaUS*tblData[Days'# US])),"")</f>
        <v>5956.2584722443889</v>
      </c>
      <c r="BC66" s="11">
        <f ca="1">IF(AND(tblData[Dates]&gt;StartDt2US,ISNUMBER(tblData[US])),(tblData[[#This Row],[US LogiP(t)]]-tblData[US])^2,"")</f>
        <v>215984.6876206194</v>
      </c>
      <c r="BD66" s="20">
        <f ca="1">IF(AND(tblData[Dates]&gt;=StartDt2US,ISNUMBER(tblData[[#This Row],[Days'# US]])),tblData[[#This Row],[US LogiP(t)]]/USPopscale,"")</f>
        <v>180.91605414825486</v>
      </c>
      <c r="BE66" s="126">
        <f ca="1">IF(AND(ISNUMBER(tblData[US]),tblData[Dates]&gt;StartDt2US),(tblData[US]-AVERAGE(tblData[US]))^2,"")</f>
        <v>47315927112.491447</v>
      </c>
      <c r="BF66" s="11">
        <f>tblData[[#This Row],[Dates]]-US100dt+1</f>
        <v>3</v>
      </c>
      <c r="BG66" s="20">
        <f ca="1">IF(tblData[Dates]&gt;StartDt2SKorea,betaSKorea/(deltaSKorea+betaPodeltaSKorea*EXP(-betaSKorea*(tblData[Dates]-StartDt2SKorea))),"")</f>
        <v>9174.8786629260976</v>
      </c>
      <c r="BH66" s="20">
        <f ca="1">IF(AND(tblData[Dates]&gt;StartDt2SKorea,ISNUMBER(tblData[SKorea])),(tblData[[#This Row],[SKorea LogiP(t)]]-tblData[[#This Row],[SKorea]])^2,"")</f>
        <v>730817.52832631243</v>
      </c>
      <c r="BI66" s="20">
        <f ca="1">IF(tblData[Dates]&gt;StartDt2SKorea,tblData[[#This Row],[SKorea LogiP(t)]]/SKoreaPopscale,"")</f>
        <v>1784.995848818307</v>
      </c>
      <c r="BJ66" s="126">
        <f ca="1">IF(AND(ISNUMBER(tblData[SKorea]),tblData[Dates]&gt;StartDt2SKorea),(tblData[SKorea]-AVERAGE(tblData[SKorea]))^2,"")</f>
        <v>6228156.3740868913</v>
      </c>
      <c r="BK66" s="11">
        <f>tblData[[#This Row],[Dates]]-SKorea100dt+1</f>
        <v>24</v>
      </c>
      <c r="BL66" s="11">
        <f ca="1">IF(AND(tblData[Dates]&gt;StartDt2UK,ISNUMBER(tblData[Days'# UK])),betaUK/(deltaUK+betaPodeltaUK*EXP(-betaUK*tblData[Days'# UK])),"")</f>
        <v>1951.0771106859893</v>
      </c>
      <c r="BM66" s="20">
        <f ca="1">IF(AND(tblData[Dates]&gt;StartDt2UK,ISNUMBER(tblData[United Kingdom])),(tblData[[#This Row],[UK LogiP(t)]]-tblData[[#This Row],[United Kingdom]])^2,"")</f>
        <v>79.617953710086653</v>
      </c>
      <c r="BN66" s="20">
        <f ca="1">IF(ISNUMBER(tblData[Days'# UK]),tblData[[#This Row],[UK LogiP(t)]]/UKPopscale,"")</f>
        <v>293.66001063907123</v>
      </c>
      <c r="BO66" s="126">
        <f ca="1">IF(AND(ISNUMBER(tblData[United Kingdom]),tblData[Dates]&gt;StartDt2UK),(tblData[United Kingdom]-AVERAGE(tblData[United Kingdom]))^2,"")</f>
        <v>1296506347.3201675</v>
      </c>
      <c r="BP66" s="11">
        <f>tblData[[#This Row],[Dates]]-UK100dt</f>
        <v>5</v>
      </c>
      <c r="BQ66" s="11">
        <f ca="1">IF(ISNUMBER(tblData[Days'# China]),betaChina/(deltaChina+betaPodeltaChina*EXP(-betaChina*tblData[Days'# China])),"")</f>
        <v>82102.740495826409</v>
      </c>
      <c r="BR66" s="11">
        <f ca="1">IF(ISNUMBER(tblData[China]),(tblData[[#This Row],[China LogiP(t)]]-tblData[[#This Row],[China]])^2,"")</f>
        <v>1091482.7036196103</v>
      </c>
      <c r="BS66" s="11">
        <f ca="1">tblData[[#This Row],[China LogiP(t)]]/ChinaPopscale</f>
        <v>570.42579206185792</v>
      </c>
      <c r="BT66" s="126">
        <f ca="1">IF(AND(ISNUMBER(tblData[China]),tblData[Dates]&gt;StartDt2China),(tblData[China]-AVERAGE(tblData[China]))^2,"")</f>
        <v>191920277.16262957</v>
      </c>
      <c r="BU66" s="11">
        <f>tblData[[#This Row],[Dates]]-China100dt</f>
        <v>44</v>
      </c>
      <c r="BV66" s="95">
        <f ca="1">IF(ISNUMBER(tblData[Day'# Singapore]),betaSingapore/(deltaSingapore+betaPodeltaSingapore*EXP(-betaSingapore*tblData[Day'# Singapore])),"")</f>
        <v>107.46033706695522</v>
      </c>
      <c r="BW66" s="11">
        <f ca="1">IF(AND(ISNUMBER(tblData[Singapore]),tblData[Dates]&gt;=StartDt2Singapore),(tblData[[#This Row],[Singapore LogiP(t)]]-tblData[[#This Row],[Singapore]])^2,"")</f>
        <v>25134.824722923455</v>
      </c>
      <c r="BX66" s="20">
        <f ca="1">IF(ISNUMBER(tblData[Day'# Singapore]),tblData[Singapore LogiP(t)]/SingaporePopscale,"")</f>
        <v>183.69288387513714</v>
      </c>
      <c r="BY66" s="95">
        <f ca="1">IF(AND(ISNUMBER(tblData[Singapore]),tblData[Dates]&gt;StartDt2Singapore),(tblData[Singapore]-AVERAGE(tblData[Singapore]))^2,"")</f>
        <v>4222219.1560938107</v>
      </c>
      <c r="BZ66" s="11">
        <f>tblData[[#This Row],[Dates]]-Singapore100dt+1</f>
        <v>33</v>
      </c>
      <c r="CA66" s="44">
        <f>IF(AND(tblData[Dates]&gt;StartDt2Generic,ISNUMBER(tblData[Day'# Generic])),betaGeneric/(deltaGeneric+betaPodeltaGeneric*EXP(-betaGeneric*tblData[Day'# Generic])),"")</f>
        <v>541.28714141918181</v>
      </c>
      <c r="CB66" s="95">
        <f>IF(AND(ISNUMBER(tblData[Generic]),tblData[Dates]&gt;StartDt2Generic),(tblData[Generic LogiP(t)]-tblData[[#This Row],[Generic]])^2,"")</f>
        <v>101306.70439279424</v>
      </c>
      <c r="CC66" s="11">
        <f>IF(AND(ISNUMBER(tblData[Day'# Generic]),tblData[Dates]&gt;StartDt2Generic),tblData[Generic LogiP(t)]/GenericPopscale,"")</f>
        <v>1104.6676355493507</v>
      </c>
      <c r="CD66" s="95">
        <f>IF(AND(ISNUMBER(tblData[Generic]),tblData[Dates]&gt;StartDt2Generic),(tblData[Generic]-AVERAGE(tblData[Generic]))^2,"")</f>
        <v>41094608.873136096</v>
      </c>
      <c r="CE66" s="11">
        <f>tblData[[#This Row],[Dates]]-Generic100dt+1</f>
        <v>5</v>
      </c>
      <c r="CF66" s="11">
        <v>28552</v>
      </c>
      <c r="CG66" s="11">
        <v>1482</v>
      </c>
      <c r="CH66" s="11">
        <f>IF(ISNUMBER(tblData[[#This Row],[Tests]]),tblData[[#This Row],[Tests]]-CF65,"")</f>
        <v>3041</v>
      </c>
      <c r="CI66" s="11">
        <f>IF(ISNUMBER(tblData[[#This Row],[NSW Under Investigation'']]),tblData[[#This Row],[NSW Under Investigation'']]-CG65,"")</f>
        <v>200</v>
      </c>
      <c r="CJ66" s="11">
        <f t="shared" si="2"/>
        <v>12</v>
      </c>
      <c r="CK66" s="11">
        <f>IF(AND(tblData[[#This Row],[NSW Test Day Number]]&gt;0,ISNUMBER(tblData[[#This Row],[NSW Test Day Number]])),betaTests/(deltaTests+betaPodeltaTests*EXP(-betaTests*tblData[[#This Row],[NSW Test Day Number]])),"")</f>
        <v>30084.395827784967</v>
      </c>
      <c r="CL66" s="11">
        <f>IF(tblData[Tests]&gt;0,(tblData[[#This Row],[Tests]]-tblData[[#This Row],[NSW Test Logi]])^2,"")</f>
        <v>2348236.9730127743</v>
      </c>
      <c r="CM66" s="95">
        <f>IF(AND(ISNUMBER(tblData[Tests]),tblData[Dates]&gt;StartDt2Tests),(tblData[Tests]-AVERAGE(tblData[Tests]))^2,"")</f>
        <v>6022512348.9215755</v>
      </c>
      <c r="CN66" s="11">
        <f>IF(ISNUMBER(tblData[Tests]),tblData[Tests]/NSWpopscale/100,"")</f>
        <v>353.36633663366337</v>
      </c>
      <c r="CO66" s="95">
        <f ca="1">IF(AND(tblData[[#This Row],[NSW Test Day Number]]&gt;0,ISNUMBER(tblData[[#This Row],[NSW Test Day Number]])),TestsLogestB*TestsLogestM^tblData[[#This Row],[NSW Test Day Number]],"")</f>
        <v>26678.890348206627</v>
      </c>
      <c r="CP66" s="95">
        <f>IF(AND(tblData[[#This Row],[NSW Test Day Number]]&gt;0,ISNUMBER(tblData[Tests])),(tblData[Tests]-tblData[[#This Row],[NSW Test Per Capita]])^2,"")</f>
        <v>795162940.48073721</v>
      </c>
      <c r="CQ66" s="20">
        <f ca="1">IF(AND(tblData[Day '# NSW]&gt;0,ISNUMBER(tblData[[#This Row],[Day '# NSW]])),NSWLogestB*NSWLogestM^tblData[[#This Row],[Day '# NSW]]/NSWpopscale,"")</f>
        <v>210.58819877881268</v>
      </c>
      <c r="CR66" s="39">
        <f ca="1">IF(AND(ISNUMBER(tblData[NSW]),tblData[Dates]&gt;StartDt2NSW),(tblData[NSW]/NSWpopscale-tblData[[#This Row],[NSW Cases LogEst]])^2,"")</f>
        <v>2431.7513877893184</v>
      </c>
      <c r="CS66" s="11">
        <v>77</v>
      </c>
      <c r="CT66" s="19">
        <f>IF(ISNUMBER(tblData[Taiwan]),tblData[Taiwan]/TaiwanPopscale,"")</f>
        <v>32.343045291772491</v>
      </c>
      <c r="CU66" s="11">
        <f ca="1">IF(tblData[[#This Row],[Dates]]&lt;StartDt2Taiwan,"",tblData[[#This Row],[Dates]]-TaiwanStart)</f>
        <v>55</v>
      </c>
      <c r="CV66" s="19">
        <f ca="1">IF(AND(tblData[Dates]&gt;StartDt2Taiwan,ISNUMBER(tblData[Days'# Taiwan])),betaTaiwan/(deltaTaiwan+betaPodeltaTaiwan*EXP(-betaTaiwan*tblData[Days'# Taiwan])),"")</f>
        <v>106.83416399386952</v>
      </c>
      <c r="CW66" s="95">
        <f ca="1">IF(AND(tblData[Dates]&gt;StartDt2Taiwan,ISNUMBER(tblData[Taiwan])),(tblData[[#This Row],[Taiwan LogiP(t)]]-tblData[[#This Row],[Taiwan]])^2,"")</f>
        <v>890.07734121310068</v>
      </c>
      <c r="CX66" s="20">
        <f ca="1">IF(AND(tblData[Dates]&gt;StartDt2Taiwan,ISNUMBER(tblData[Days'# Taiwan])),tblData[[#This Row],[Taiwan LogiP(t)]]/TaiwanPopscale,"")</f>
        <v>44.874574087823014</v>
      </c>
      <c r="CY66" s="95">
        <f ca="1">IF(AND(ISNUMBER(tblData[Taiwan]),tblData[Dates]&gt;StartDt2Taiwan),(tblData[Taiwan]-AVERAGE(tblData[Taiwan]))^2,"")</f>
        <v>8565.3210303729356</v>
      </c>
      <c r="CZ66" s="11">
        <f>tblData[[#This Row],[Dates]]-Taiwan100dt+1</f>
        <v>-8</v>
      </c>
      <c r="DA66">
        <v>12</v>
      </c>
      <c r="DB66" s="20">
        <f>IF(ISNUMBER(tblData[NZ]),tblData[NZ]/NZPopscale,"")</f>
        <v>22.94455066921606</v>
      </c>
      <c r="DC66" s="11">
        <f ca="1">IF(tblData[[#This Row],[Dates]]&lt;StartDt2NZ,"",tblData[[#This Row],[Dates]]-NZStart)</f>
        <v>18</v>
      </c>
      <c r="DD66" s="20">
        <f ca="1">IF(AND(tblData[Dates]&gt;StartDt2NZ,ISNUMBER(tblData[Days'# NZ])),betaNZ/(deltaNZ+betaPodeltaNZ*EXP(-betaNZ*tblData[Days'# NZ])),"")</f>
        <v>41.171423780709496</v>
      </c>
      <c r="DE66" s="95">
        <f ca="1">IF(AND(tblData[Dates]&gt;StartDt2NZ,ISNUMBER(tblData[NZ])),(tblData[[#This Row],[NZ LogiP(t)]]-tblData[[#This Row],[NZ]])^2,"")</f>
        <v>850.97196539374352</v>
      </c>
      <c r="DF66" s="20">
        <f ca="1">IF(AND(tblData[Dates]&gt;StartDt2NZ,ISNUMBER(tblData[Days'# NZ])),tblData[[#This Row],[NZ LogiP(t)]]/NZPopscale,"")</f>
        <v>78.721651588354675</v>
      </c>
      <c r="DG66" s="95">
        <f ca="1">IF(AND(ISNUMBER(tblData[NZ]),tblData[Dates]&gt;StartDt2NZ),(tblData[NZ]-AVERAGE(tblData[NZ]))^2,"")</f>
        <v>458246.94306703407</v>
      </c>
      <c r="DH66" s="11">
        <f>tblData[[#This Row],[Dates]]-NZ100dt+1</f>
        <v>-4</v>
      </c>
      <c r="DI66" s="39"/>
      <c r="DJ66" s="11"/>
      <c r="DM66" s="25"/>
      <c r="DP66"/>
      <c r="DV66" s="25"/>
      <c r="DW66"/>
      <c r="EA66" s="25"/>
      <c r="EH66"/>
      <c r="EI66"/>
      <c r="EJ66"/>
      <c r="EK66"/>
      <c r="EL66" s="25"/>
      <c r="EM66" s="25"/>
      <c r="EQ66" s="25"/>
      <c r="ER66" s="25"/>
      <c r="ES66" s="25"/>
      <c r="ET66" s="25"/>
      <c r="FF66"/>
      <c r="FG66"/>
      <c r="FH66"/>
      <c r="FI66"/>
      <c r="FJ66" s="25"/>
      <c r="FK66" s="25"/>
      <c r="FM66" s="25"/>
      <c r="FN66"/>
      <c r="FO66" s="265" t="s">
        <v>48</v>
      </c>
      <c r="FP66" s="250">
        <v>43923.637152777781</v>
      </c>
      <c r="FQ66" s="245">
        <v>43855</v>
      </c>
      <c r="FR66" s="26">
        <v>43855</v>
      </c>
      <c r="FS66" s="211">
        <v>0</v>
      </c>
      <c r="FT66" s="72">
        <v>0.25308130805396523</v>
      </c>
      <c r="FU66" s="74">
        <v>4.0953850247972857E-5</v>
      </c>
      <c r="FV66" s="21">
        <v>1E-3</v>
      </c>
      <c r="FW66" s="212">
        <v>6179.670690828204</v>
      </c>
      <c r="FX66" s="215">
        <v>34.611690822547168</v>
      </c>
      <c r="FY66" s="212">
        <v>0.99938979136599537</v>
      </c>
      <c r="FZ66" s="213">
        <v>253.08126710011496</v>
      </c>
      <c r="GA66" s="213">
        <v>4.0953850247972858E-2</v>
      </c>
      <c r="GB66" s="245">
        <v>44156</v>
      </c>
      <c r="GC66" s="25" t="s">
        <v>1601</v>
      </c>
      <c r="GD66" s="214">
        <v>6179.670690828204</v>
      </c>
      <c r="GE66" s="214">
        <v>5108</v>
      </c>
      <c r="GF66" s="25" t="s">
        <v>1545</v>
      </c>
      <c r="GG66" s="156">
        <v>44156</v>
      </c>
      <c r="GH66" s="25">
        <v>104</v>
      </c>
      <c r="GI66" s="62" t="s">
        <v>1602</v>
      </c>
      <c r="GJ66" s="62"/>
      <c r="GK66" s="25" t="s">
        <v>1547</v>
      </c>
      <c r="GM66" s="25" t="s">
        <v>1603</v>
      </c>
      <c r="GN66" s="20">
        <v>2013.8779372338747</v>
      </c>
      <c r="GO66" s="156"/>
      <c r="GP66" s="218"/>
      <c r="GQ66" s="156"/>
      <c r="GR66" s="25"/>
      <c r="GS66" s="25" t="s">
        <v>1964</v>
      </c>
      <c r="GT66" s="11"/>
      <c r="GU66" s="12"/>
      <c r="GV66" s="26"/>
      <c r="GW66" s="25"/>
      <c r="GX66" s="219"/>
      <c r="HA66" s="25"/>
      <c r="HK66" s="164">
        <v>43953</v>
      </c>
      <c r="HL66" s="60">
        <v>43953.833333333336</v>
      </c>
      <c r="HM66" s="25">
        <v>3031</v>
      </c>
      <c r="HN66" s="25">
        <v>232863</v>
      </c>
      <c r="HO66" s="25">
        <v>844</v>
      </c>
      <c r="HP66" s="25">
        <v>362</v>
      </c>
      <c r="HQ66" s="166">
        <f>IF(ISNUMBER(tblNSWKnown[[#This Row],[Unknown Locally]]),tblNSWKnown[[#This Row],[Known Locally]]+tblNSWKnown[[#This Row],[Unknown Locally]],"")</f>
        <v>1206</v>
      </c>
      <c r="HR66" s="25">
        <v>32</v>
      </c>
      <c r="HS66" s="166">
        <f>IF(ISNUMBER(tblNSWKnown[[#This Row],[Day '# NSW Unknown]]),betaNSWUnknown/(deltaNSWUnknown+betaPodeltaNSWUnknown*EXP(-betaNSWUnknown*tblNSWKnown[Day '# NSW Unknown])),"")</f>
        <v>1172.4674409854892</v>
      </c>
      <c r="HT66" s="166">
        <f>IF(ISNUMBER(tblNSWKnown[[#This Row],[Total Local]]),(tblNSWKnown[[#This Row],[Total Local]]-tblNSWKnown[[#This Row],[NSW Unknown Logi P(t)]])^2,"")</f>
        <v>1124.4325140616463</v>
      </c>
      <c r="HU66" s="166">
        <f>IF(ISNUMBER(tblNSWKnown[Total Local]),(tblNSWKnown[Total Local]-AVERAGE(tblNSWKnown[Total Local]))^2,"")</f>
        <v>17728.139273356428</v>
      </c>
      <c r="HV66" s="166"/>
    </row>
    <row r="67" spans="2:237" ht="15" customHeight="1" x14ac:dyDescent="0.25">
      <c r="B67" s="26">
        <v>43908</v>
      </c>
      <c r="D67" s="25">
        <v>3</v>
      </c>
      <c r="E67">
        <v>267</v>
      </c>
      <c r="F67">
        <v>1</v>
      </c>
      <c r="G67">
        <v>94</v>
      </c>
      <c r="H67">
        <v>37</v>
      </c>
      <c r="I67">
        <v>10</v>
      </c>
      <c r="J67">
        <v>121</v>
      </c>
      <c r="K67">
        <v>35</v>
      </c>
      <c r="L67" s="11">
        <f>IF(ISNUMBER(tblData[[#This Row],[NSW]]),tblData[[#This Row],[New South Wales]]/NSWpopscale,"")</f>
        <v>330.44554455445541</v>
      </c>
      <c r="M67" s="25">
        <v>35713</v>
      </c>
      <c r="N67" s="20">
        <f>IF(ISNUMBER(tblData[Italy]),tblData[Italy]/ItalyPopscale,"")</f>
        <v>5904.4391171364805</v>
      </c>
      <c r="O67">
        <v>7783</v>
      </c>
      <c r="P67" s="20">
        <f>IF(ISNUMBER(tblData[US]),tblData[US]/USPopscale,"")</f>
        <v>236.40170351863358</v>
      </c>
      <c r="Q67">
        <v>8413</v>
      </c>
      <c r="R67" s="20">
        <f>IF(ISNUMBER(tblData[SKorea]),tblData[SKorea]/SKoreaPopscale,"")</f>
        <v>1636.7704280155642</v>
      </c>
      <c r="S67">
        <v>2642</v>
      </c>
      <c r="T67" s="20">
        <f>IF(ISNUMBER(tblData[United Kingdom]),tblData[United Kingdom]/UKPopscale,"")</f>
        <v>397.65201685731489</v>
      </c>
      <c r="U67">
        <v>81102</v>
      </c>
      <c r="V67" s="20">
        <f>IF(ISNUMBER(tblData[China]),tblData[China]/ChinaPopscale,"")</f>
        <v>563.47294022606354</v>
      </c>
      <c r="W67" s="25">
        <f ca="1">IF(tblData[[#This Row],[Dates]]&lt;StartDt2China,"",tblData[[#This Row],[Dates]]-ChinaStart)</f>
        <v>56</v>
      </c>
      <c r="X67">
        <v>313</v>
      </c>
      <c r="Y67" s="20">
        <f>IF(ISNUMBER(tblData[Singapore]),tblData[Singapore]/SingaporePopscale,"")</f>
        <v>535.0427350427351</v>
      </c>
      <c r="Z67">
        <v>292</v>
      </c>
      <c r="AA67" s="20">
        <f>IF(AND(LEN(tblData[Generic])&gt;0,ISNUMBER(tblData[Generic])),tblData[Generic]/GenericPopscale,"")</f>
        <v>595.91836734693879</v>
      </c>
      <c r="AB67" s="25">
        <f ca="1">IF(tblData[[#This Row],[Dates]]&lt;StartDt2Italy,"",tblData[[#This Row],[Dates]]-ItalyStart)</f>
        <v>48</v>
      </c>
      <c r="AC67" s="25">
        <f ca="1">IF(tblData[[#This Row],[Dates]]&lt;=StartDt2US,"",tblData[[#This Row],[Dates]]-USStart)</f>
        <v>56</v>
      </c>
      <c r="AD67" s="25">
        <f>IF(tblData[[#This Row],[Dates]]&lt;=SKoreaStart,"",tblData[[#This Row],[Dates]]-SKoreaStart)</f>
        <v>56</v>
      </c>
      <c r="AE67" s="25">
        <f ca="1">IF(tblData[[#This Row],[Dates]]&lt;=StartDt2UK,"",tblData[[#This Row],[Dates]]-UKStart)</f>
        <v>48</v>
      </c>
      <c r="AF67" s="25">
        <f ca="1">IF(tblData[[#This Row],[Dates]]&lt;StartDt2Singapore,"",tblData[[#This Row],[Dates]]-SingaporeStart)</f>
        <v>55</v>
      </c>
      <c r="AG67" s="25">
        <f>IF(tblData[[#This Row],[Dates]]&lt;StartDt2Generic,"",tblData[[#This Row],[Dates]]-GenericStart)</f>
        <v>18</v>
      </c>
      <c r="AH67">
        <f ca="1">IF(tblData[Dates]&gt;StartDt2Au,tblData[Dates]-AuStart,"")</f>
        <v>53</v>
      </c>
      <c r="AI67" s="25">
        <f>IF(AND(COUNTBLANK(tblData[[#This Row],[Australian Capital Territory]:[Western Australia]])&lt;1,tblData[New South Wales]&gt;=0),SUM(tblData[[#This Row],[Australian Capital Territory]:[Western Australia]]),"")</f>
        <v>568</v>
      </c>
      <c r="AJ67" s="12">
        <f>IF(ISNUMBER(tblData[Au]),tblData[Au]/AuPopScale,"")</f>
        <v>223.93944172843399</v>
      </c>
      <c r="AK67" s="11">
        <f ca="1">IF(ISNUMBER(tblData[[#This Row],[Day'# Aust]]),betaAu/(deltaAu+betaPodeltaAu*EXP(-betaAu*tblData[[#This Row],[Day'# Aust]])),"")</f>
        <v>677.05522617992233</v>
      </c>
      <c r="AL67" s="56">
        <f ca="1">IF(ISNUMBER(tblData[Day'# Aust]),tblData[Au LogiP(t)]/AuPopScale,"")</f>
        <v>266.93550945431411</v>
      </c>
      <c r="AM67" s="11">
        <f ca="1">IF(AND(tblData[Dates]&gt;StartDt2Au,ISNUMBER(tblData[Au])),(tblData[[#This Row],[Au LogiP(t)]]-tblData[[#This Row],[Au]])^2,"")</f>
        <v>11893.042357154016</v>
      </c>
      <c r="AN67" s="11">
        <f ca="1">IF(AND(ISNUMBER(tblData[Au]),tblData[Dates]&gt;StartDt2Au),(tblData[Au]-AVERAGE(tblData[Au]))^2,"")</f>
        <v>3537446.2560999999</v>
      </c>
      <c r="AO67" s="11">
        <f>tblData[[#This Row],[Dates]]-Au100dt</f>
        <v>3</v>
      </c>
      <c r="AP67">
        <f ca="1">IF(tblData[Dates]&gt;StartDt2NSW,tblData[Dates]-StartDt2NSW,"")</f>
        <v>53</v>
      </c>
      <c r="AQ67" s="25">
        <f>IF(tblData[[#This Row],[New South Wales]]&gt;0,tblData[[#This Row],[New South Wales]],"")</f>
        <v>267</v>
      </c>
      <c r="AR67" s="11">
        <f ca="1">IF(tblData[Dates]&gt;StartDt2NSW,betaNSW/(deltaNSW+betaPodeltaNSW*EXP(-betaNSW*tblData[[#This Row],[Day '# NSW]])),"")</f>
        <v>276.77630502865674</v>
      </c>
      <c r="AS67" s="12">
        <f ca="1">IF(AND(ISNUMBER(tblData[NSW]),tblData[Dates]&gt;StartDt2NSW),(tblData[[#This Row],[NSW LogiP(t)]]-tblData[[#This Row],[NSW]])^2,"")</f>
        <v>95.576140013338986</v>
      </c>
      <c r="AT67" s="12">
        <f ca="1">IF(AND(tblData[Dates]&gt;StartDt2NSW,ISNUMBER(tblData[Day'# Aust])),tblData[NSW LogiP(t)]/NSWpopscale,"")</f>
        <v>342.54493196615931</v>
      </c>
      <c r="AU67" s="11">
        <f>tblData[[#This Row],[Dates]]-NSW100dt+1</f>
        <v>6</v>
      </c>
      <c r="AV67" s="11">
        <f ca="1">IF(AND(ISNUMBER(tblData[NSW]),tblData[Dates]&gt;StartDt2NSW),(tblData[NSW]-AVERAGE(tblData[NSW]))^2,"")</f>
        <v>684359.10759999999</v>
      </c>
      <c r="AW67" s="11">
        <f ca="1">IF(AND(tblData[Dates]&gt;StartDt2Italy,ISNUMBER(tblData[Days'# Italy])),betaItaly/(deltaItaly+betaPodeltaItaly*EXP(-betaItaly*tblData[Days'# Italy])),"")</f>
        <v>55235.757498082028</v>
      </c>
      <c r="AX67" s="11">
        <f ca="1">IF(AND(tblData[Dates]&gt;StartDt2Italy,ISNUMBER(tblData[Italy])),(tblData[[#This Row],[Italy LogiP(t)]]-tblData[[#This Row],[Italy]])^2,"")</f>
        <v>381138060.32891804</v>
      </c>
      <c r="AY67" s="11">
        <f ca="1">IF(AND(tblData[Dates]&gt;StartDt2Italy,ISNUMBER(tblData[Days'# Italy])),tblData[[#This Row],[Italy LogiP(t)]]/ItalyPopscale,"")</f>
        <v>9132.141439709354</v>
      </c>
      <c r="AZ67" s="39">
        <f ca="1">IF(AND(ISNUMBER(tblData[Italy]),tblData[Dates]&gt;StartDt2Italy),(tblData[Italy]-AVERAGE(tblData[Italy]))^2,"")</f>
        <v>1158422501.8570616</v>
      </c>
      <c r="BA67" s="11">
        <f>tblData[[#This Row],[Dates]]-Italy100dt+1</f>
        <v>21</v>
      </c>
      <c r="BB67" s="11">
        <f ca="1">IF(AND(tblData[Dates]&gt;StartDt2US,ISNUMBER(tblData[[#This Row],[Days'# US]])),betaUS/(deltaUS+betaPodeltaUS*EXP(-betaUS*tblData[Days'# US])),"")</f>
        <v>7891.7015569540426</v>
      </c>
      <c r="BC67" s="11">
        <f ca="1">IF(AND(tblData[Dates]&gt;StartDt2US,ISNUMBER(tblData[US])),(tblData[[#This Row],[US LogiP(t)]]-tblData[US])^2,"")</f>
        <v>11816.028484232977</v>
      </c>
      <c r="BD67" s="20">
        <f ca="1">IF(AND(tblData[Dates]&gt;=StartDt2US,ISNUMBER(tblData[[#This Row],[Days'# US]])),tblData[[#This Row],[US LogiP(t)]]/USPopscale,"")</f>
        <v>239.7034166419875</v>
      </c>
      <c r="BE67" s="126">
        <f ca="1">IF(AND(ISNUMBER(tblData[US]),tblData[Dates]&gt;StartDt2US),(tblData[US]-AVERAGE(tblData[US]))^2,"")</f>
        <v>46725251560.844391</v>
      </c>
      <c r="BF67" s="11">
        <f>tblData[[#This Row],[Dates]]-US100dt+1</f>
        <v>4</v>
      </c>
      <c r="BG67" s="20">
        <f ca="1">IF(tblData[Dates]&gt;StartDt2SKorea,betaSKorea/(deltaSKorea+betaPodeltaSKorea*EXP(-betaSKorea*(tblData[Dates]-StartDt2SKorea))),"")</f>
        <v>9331.8274050507116</v>
      </c>
      <c r="BH67" s="20">
        <f ca="1">IF(AND(tblData[Dates]&gt;StartDt2SKorea,ISNUMBER(tblData[SKorea])),(tblData[[#This Row],[SKorea LogiP(t)]]-tblData[[#This Row],[SKorea]])^2,"")</f>
        <v>844243.80027222447</v>
      </c>
      <c r="BI67" s="20">
        <f ca="1">IF(tblData[Dates]&gt;StartDt2SKorea,tblData[[#This Row],[SKorea LogiP(t)]]/SKoreaPopscale,"")</f>
        <v>1815.5306235507221</v>
      </c>
      <c r="BJ67" s="126">
        <f ca="1">IF(AND(ISNUMBER(tblData[SKorea]),tblData[Dates]&gt;StartDt2SKorea),(tblData[SKorea]-AVERAGE(tblData[SKorea]))^2,"")</f>
        <v>6700992.0799692441</v>
      </c>
      <c r="BK67" s="11">
        <f>tblData[[#This Row],[Dates]]-SKorea100dt+1</f>
        <v>25</v>
      </c>
      <c r="BL67" s="11">
        <f ca="1">IF(AND(tblData[Dates]&gt;StartDt2UK,ISNUMBER(tblData[Days'# UK])),betaUK/(deltaUK+betaPodeltaUK*EXP(-betaUK*tblData[Days'# UK])),"")</f>
        <v>2406.9208932193756</v>
      </c>
      <c r="BM67" s="20">
        <f ca="1">IF(AND(tblData[Dates]&gt;StartDt2UK,ISNUMBER(tblData[United Kingdom])),(tblData[[#This Row],[UK LogiP(t)]]-tblData[[#This Row],[United Kingdom]])^2,"")</f>
        <v>55262.186444776227</v>
      </c>
      <c r="BN67" s="20">
        <f ca="1">IF(ISNUMBER(tblData[Days'# UK]),tblData[[#This Row],[UK LogiP(t)]]/UKPopscale,"")</f>
        <v>362.2698514779313</v>
      </c>
      <c r="BO67" s="126">
        <f ca="1">IF(AND(ISNUMBER(tblData[United Kingdom]),tblData[Dates]&gt;StartDt2UK),(tblData[United Kingdom]-AVERAGE(tblData[United Kingdom]))^2,"")</f>
        <v>1247857879.7882526</v>
      </c>
      <c r="BP67" s="11">
        <f>tblData[[#This Row],[Dates]]-UK100dt</f>
        <v>6</v>
      </c>
      <c r="BQ67" s="11">
        <f ca="1">IF(ISNUMBER(tblData[Days'# China]),betaChina/(deltaChina+betaPodeltaChina*EXP(-betaChina*tblData[Days'# China])),"")</f>
        <v>82107.182533782165</v>
      </c>
      <c r="BR67" s="11">
        <f ca="1">IF(ISNUMBER(tblData[China]),(tblData[[#This Row],[China LogiP(t)]]-tblData[[#This Row],[China]])^2,"")</f>
        <v>1010391.9262207326</v>
      </c>
      <c r="BS67" s="11">
        <f ca="1">tblData[[#This Row],[China LogiP(t)]]/ChinaPopscale</f>
        <v>570.45665404044689</v>
      </c>
      <c r="BT67" s="126">
        <f ca="1">IF(AND(ISNUMBER(tblData[China]),tblData[Dates]&gt;StartDt2China),(tblData[China]-AVERAGE(tblData[China]))^2,"")</f>
        <v>193141323.75086486</v>
      </c>
      <c r="BU67" s="11">
        <f>tblData[[#This Row],[Dates]]-China100dt</f>
        <v>45</v>
      </c>
      <c r="BV67" s="95">
        <f ca="1">IF(ISNUMBER(tblData[Day'# Singapore]),betaSingapore/(deltaSingapore+betaPodeltaSingapore*EXP(-betaSingapore*tblData[Day'# Singapore])),"")</f>
        <v>121.79290299521166</v>
      </c>
      <c r="BW67" s="11">
        <f ca="1">IF(AND(ISNUMBER(tblData[Singapore]),tblData[Dates]&gt;=StartDt2Singapore),(tblData[[#This Row],[Singapore LogiP(t)]]-tblData[[#This Row],[Singapore]])^2,"")</f>
        <v>36560.153944998543</v>
      </c>
      <c r="BX67" s="20">
        <f ca="1">IF(ISNUMBER(tblData[Day'# Singapore]),tblData[Singapore LogiP(t)]/SingaporePopscale,"")</f>
        <v>208.19299657301141</v>
      </c>
      <c r="BY67" s="95">
        <f ca="1">IF(AND(ISNUMBER(tblData[Singapore]),tblData[Dates]&gt;StartDt2Singapore),(tblData[Singapore]-AVERAGE(tblData[Singapore]))^2,"")</f>
        <v>4031276.5874663596</v>
      </c>
      <c r="BZ67" s="11">
        <f>tblData[[#This Row],[Dates]]-Singapore100dt+1</f>
        <v>34</v>
      </c>
      <c r="CA67" s="44">
        <f>IF(AND(tblData[Dates]&gt;StartDt2Generic,ISNUMBER(tblData[Day'# Generic])),betaGeneric/(deltaGeneric+betaPodeltaGeneric*EXP(-betaGeneric*tblData[Day'# Generic])),"")</f>
        <v>614.18555221250585</v>
      </c>
      <c r="CB67" s="95">
        <f>IF(AND(ISNUMBER(tblData[Generic]),tblData[Dates]&gt;StartDt2Generic),(tblData[Generic LogiP(t)]-tblData[[#This Row],[Generic]])^2,"")</f>
        <v>103803.53005447733</v>
      </c>
      <c r="CC67" s="11">
        <f>IF(AND(ISNUMBER(tblData[Day'# Generic]),tblData[Dates]&gt;StartDt2Generic),tblData[Generic LogiP(t)]/GenericPopscale,"")</f>
        <v>1253.4399024745019</v>
      </c>
      <c r="CD67" s="95">
        <f>IF(AND(ISNUMBER(tblData[Generic]),tblData[Dates]&gt;StartDt2Generic),(tblData[Generic]-AVERAGE(tblData[Generic]))^2,"")</f>
        <v>40214719.81159763</v>
      </c>
      <c r="CE67" s="11">
        <f>tblData[[#This Row],[Dates]]-Generic100dt+1</f>
        <v>6</v>
      </c>
      <c r="CF67" s="11">
        <v>33387</v>
      </c>
      <c r="CG67" s="11">
        <v>2146</v>
      </c>
      <c r="CH67" s="11">
        <f>IF(ISNUMBER(tblData[[#This Row],[Tests]]),tblData[[#This Row],[Tests]]-CF66,"")</f>
        <v>4835</v>
      </c>
      <c r="CI67" s="11">
        <f>IF(ISNUMBER(tblData[[#This Row],[NSW Under Investigation'']]),tblData[[#This Row],[NSW Under Investigation'']]-CG66,"")</f>
        <v>664</v>
      </c>
      <c r="CJ67" s="11">
        <f t="shared" si="2"/>
        <v>13</v>
      </c>
      <c r="CK67" s="11">
        <f>IF(AND(tblData[[#This Row],[NSW Test Day Number]]&gt;0,ISNUMBER(tblData[[#This Row],[NSW Test Day Number]])),betaTests/(deltaTests+betaPodeltaTests*EXP(-betaTests*tblData[[#This Row],[NSW Test Day Number]])),"")</f>
        <v>34711.501668985715</v>
      </c>
      <c r="CL67" s="11">
        <f>IF(tblData[Tests]&gt;0,(tblData[[#This Row],[Tests]]-tblData[[#This Row],[NSW Test Logi]])^2,"")</f>
        <v>1754304.6711459439</v>
      </c>
      <c r="CM67" s="95">
        <f>IF(AND(ISNUMBER(tblData[Tests]),tblData[Dates]&gt;StartDt2Tests),(tblData[Tests]-AVERAGE(tblData[Tests]))^2,"")</f>
        <v>5295450699.006321</v>
      </c>
      <c r="CN67" s="11">
        <f>IF(ISNUMBER(tblData[Tests]),tblData[Tests]/NSWpopscale/100,"")</f>
        <v>413.20544554455444</v>
      </c>
      <c r="CO67" s="95">
        <f ca="1">IF(AND(tblData[[#This Row],[NSW Test Day Number]]&gt;0,ISNUMBER(tblData[[#This Row],[NSW Test Day Number]])),TestsLogestB*TestsLogestM^tblData[[#This Row],[NSW Test Day Number]],"")</f>
        <v>28279.928834647744</v>
      </c>
      <c r="CP67" s="95">
        <f>IF(AND(tblData[[#This Row],[NSW Test Day Number]]&gt;0,ISNUMBER(tblData[Tests])),(tblData[Tests]-tblData[[#This Row],[NSW Test Per Capita]])^2,"")</f>
        <v>1087271127.3194356</v>
      </c>
      <c r="CQ67" s="20">
        <f ca="1">IF(AND(tblData[Day '# NSW]&gt;0,ISNUMBER(tblData[[#This Row],[Day '# NSW]])),NSWLogestB*NSWLogestM^tblData[[#This Row],[Day '# NSW]]/NSWpopscale,"")</f>
        <v>231.84826352581149</v>
      </c>
      <c r="CR67" s="39">
        <f ca="1">IF(AND(ISNUMBER(tblData[NSW]),tblData[Dates]&gt;StartDt2NSW),(tblData[NSW]/NSWpopscale-tblData[[#This Row],[NSW Cases LogEst]])^2,"")</f>
        <v>9721.4238262413855</v>
      </c>
      <c r="CS67" s="11">
        <v>100</v>
      </c>
      <c r="CT67" s="19">
        <f>IF(ISNUMBER(tblData[Taiwan]),tblData[Taiwan]/TaiwanPopscale,"")</f>
        <v>42.003954924379862</v>
      </c>
      <c r="CU67" s="11">
        <f ca="1">IF(tblData[[#This Row],[Dates]]&lt;StartDt2Taiwan,"",tblData[[#This Row],[Dates]]-TaiwanStart)</f>
        <v>56</v>
      </c>
      <c r="CV67" s="19">
        <f ca="1">IF(AND(tblData[Dates]&gt;StartDt2Taiwan,ISNUMBER(tblData[Days'# Taiwan])),betaTaiwan/(deltaTaiwan+betaPodeltaTaiwan*EXP(-betaTaiwan*tblData[Days'# Taiwan])),"")</f>
        <v>119.07349162224222</v>
      </c>
      <c r="CW67" s="95">
        <f ca="1">IF(AND(tblData[Dates]&gt;StartDt2Taiwan,ISNUMBER(tblData[Taiwan])),(tblData[[#This Row],[Taiwan LogiP(t)]]-tblData[[#This Row],[Taiwan]])^2,"")</f>
        <v>363.79808266374397</v>
      </c>
      <c r="CX67" s="20">
        <f ca="1">IF(AND(tblData[Dates]&gt;StartDt2Taiwan,ISNUMBER(tblData[Days'# Taiwan])),tblData[[#This Row],[Taiwan LogiP(t)]]/TaiwanPopscale,"")</f>
        <v>50.015575747891845</v>
      </c>
      <c r="CY67" s="95">
        <f ca="1">IF(AND(ISNUMBER(tblData[Taiwan]),tblData[Dates]&gt;StartDt2Taiwan),(tblData[Taiwan]-AVERAGE(tblData[Taiwan]))^2,"")</f>
        <v>4837.0661284121506</v>
      </c>
      <c r="CZ67" s="11">
        <f>tblData[[#This Row],[Dates]]-Taiwan100dt+1</f>
        <v>-7</v>
      </c>
      <c r="DA67">
        <v>20</v>
      </c>
      <c r="DB67" s="20">
        <f>IF(ISNUMBER(tblData[NZ]),tblData[NZ]/NZPopscale,"")</f>
        <v>38.24091778202677</v>
      </c>
      <c r="DC67" s="11">
        <f ca="1">IF(tblData[[#This Row],[Dates]]&lt;StartDt2NZ,"",tblData[[#This Row],[Dates]]-NZStart)</f>
        <v>19</v>
      </c>
      <c r="DD67" s="20">
        <f ca="1">IF(AND(tblData[Dates]&gt;StartDt2NZ,ISNUMBER(tblData[Days'# NZ])),betaNZ/(deltaNZ+betaPodeltaNZ*EXP(-betaNZ*tblData[Days'# NZ])),"")</f>
        <v>51.591979216937141</v>
      </c>
      <c r="DE67" s="95">
        <f ca="1">IF(AND(tblData[Dates]&gt;StartDt2NZ,ISNUMBER(tblData[NZ])),(tblData[[#This Row],[NZ LogiP(t)]]-tblData[[#This Row],[NZ]])^2,"")</f>
        <v>998.05315084338827</v>
      </c>
      <c r="DF67" s="20">
        <f ca="1">IF(AND(tblData[Dates]&gt;StartDt2NZ,ISNUMBER(tblData[Days'# NZ])),tblData[[#This Row],[NZ LogiP(t)]]/NZPopscale,"")</f>
        <v>98.64623177234634</v>
      </c>
      <c r="DG67" s="95">
        <f ca="1">IF(AND(ISNUMBER(tblData[NZ]),tblData[Dates]&gt;StartDt2NZ),(tblData[NZ]-AVERAGE(tblData[NZ]))^2,"")</f>
        <v>447479.91276400373</v>
      </c>
      <c r="DH67" s="11">
        <f>tblData[[#This Row],[Dates]]-NZ100dt+1</f>
        <v>-3</v>
      </c>
      <c r="DI67" s="39"/>
      <c r="DJ67" s="11"/>
      <c r="DM67" s="25"/>
      <c r="DP67"/>
      <c r="DV67" s="25"/>
      <c r="DW67"/>
      <c r="EA67" s="25"/>
      <c r="EH67"/>
      <c r="EI67"/>
      <c r="EJ67"/>
      <c r="EK67"/>
      <c r="EL67" s="25"/>
      <c r="EM67" s="25"/>
      <c r="EQ67" s="25"/>
      <c r="ER67" s="25"/>
      <c r="ES67" s="25"/>
      <c r="ET67" s="25"/>
      <c r="FF67"/>
      <c r="FG67"/>
      <c r="FH67"/>
      <c r="FI67"/>
      <c r="FJ67"/>
      <c r="FK67" s="25"/>
      <c r="FM67"/>
      <c r="FN67"/>
      <c r="FO67" s="268" t="s">
        <v>48</v>
      </c>
      <c r="FP67" s="250">
        <v>43923.978263888886</v>
      </c>
      <c r="FQ67" s="243">
        <v>43855</v>
      </c>
      <c r="FR67" s="160">
        <v>43855</v>
      </c>
      <c r="FS67" s="211">
        <v>0</v>
      </c>
      <c r="FT67" s="72">
        <v>0.25303382985571593</v>
      </c>
      <c r="FU67" s="74">
        <v>4.0822089752086368E-5</v>
      </c>
      <c r="FV67" s="21">
        <v>1E-3</v>
      </c>
      <c r="FW67" s="212">
        <v>6198.4536164708143</v>
      </c>
      <c r="FX67" s="212">
        <v>34.601600656890902</v>
      </c>
      <c r="FY67" s="212">
        <v>0.99939134052811451</v>
      </c>
      <c r="FZ67" s="213">
        <v>253.03378903362619</v>
      </c>
      <c r="GA67" s="213">
        <v>4.0822089752086371E-2</v>
      </c>
      <c r="GB67" s="245">
        <v>44156</v>
      </c>
      <c r="GC67" s="23" t="s">
        <v>1630</v>
      </c>
      <c r="GD67" s="212">
        <v>6198.4536164708143</v>
      </c>
      <c r="GE67" s="212">
        <v>5136</v>
      </c>
      <c r="GF67" s="23" t="s">
        <v>1545</v>
      </c>
      <c r="GG67" s="156">
        <v>44156</v>
      </c>
      <c r="GH67" s="25">
        <v>104</v>
      </c>
      <c r="GI67" s="161" t="s">
        <v>1631</v>
      </c>
      <c r="GJ67" s="161"/>
      <c r="GK67" s="23" t="s">
        <v>1547</v>
      </c>
      <c r="GL67" s="23"/>
      <c r="GM67" s="23" t="s">
        <v>1632</v>
      </c>
      <c r="GN67" s="165">
        <v>2024.9172054880933</v>
      </c>
      <c r="GO67" s="243"/>
      <c r="GP67" s="218"/>
      <c r="GQ67" s="156"/>
      <c r="GR67" s="23"/>
      <c r="GS67" s="25" t="s">
        <v>1964</v>
      </c>
      <c r="GT67" s="11"/>
      <c r="GU67" s="12"/>
      <c r="GV67" s="26"/>
      <c r="GX67" s="219"/>
      <c r="HA67" s="25"/>
      <c r="HK67" s="164">
        <v>43954</v>
      </c>
      <c r="HL67" s="60">
        <v>43954.833333333336</v>
      </c>
      <c r="HM67" s="25">
        <v>3035</v>
      </c>
      <c r="HN67" s="25">
        <v>240093</v>
      </c>
      <c r="HO67" s="25">
        <v>846</v>
      </c>
      <c r="HP67" s="25">
        <v>363</v>
      </c>
      <c r="HQ67" s="166">
        <f>IF(ISNUMBER(tblNSWKnown[[#This Row],[Unknown Locally]]),tblNSWKnown[[#This Row],[Known Locally]]+tblNSWKnown[[#This Row],[Unknown Locally]],"")</f>
        <v>1209</v>
      </c>
      <c r="HR67" s="25">
        <v>32</v>
      </c>
      <c r="HS67" s="166">
        <f>IF(ISNUMBER(tblNSWKnown[[#This Row],[Day '# NSW Unknown]]),betaNSWUnknown/(deltaNSWUnknown+betaPodeltaNSWUnknown*EXP(-betaNSWUnknown*tblNSWKnown[Day '# NSW Unknown])),"")</f>
        <v>1172.4674409854892</v>
      </c>
      <c r="HT67" s="166">
        <f>IF(ISNUMBER(tblNSWKnown[[#This Row],[Total Local]]),(tblNSWKnown[[#This Row],[Total Local]]-tblNSWKnown[[#This Row],[NSW Unknown Logi P(t)]])^2,"")</f>
        <v>1334.6278681487108</v>
      </c>
      <c r="HU67" s="166">
        <f>IF(ISNUMBER(tblNSWKnown[Total Local]),(tblNSWKnown[Total Local]-AVERAGE(tblNSWKnown[Total Local]))^2,"")</f>
        <v>18536.021626297603</v>
      </c>
      <c r="HV67" s="166"/>
    </row>
    <row r="68" spans="2:237" ht="15" customHeight="1" x14ac:dyDescent="0.25">
      <c r="B68" s="26">
        <v>43909</v>
      </c>
      <c r="D68" s="25">
        <v>4</v>
      </c>
      <c r="E68">
        <v>307</v>
      </c>
      <c r="F68">
        <v>1</v>
      </c>
      <c r="G68">
        <v>144</v>
      </c>
      <c r="H68">
        <v>42</v>
      </c>
      <c r="I68">
        <v>10</v>
      </c>
      <c r="J68">
        <v>121</v>
      </c>
      <c r="K68">
        <v>52</v>
      </c>
      <c r="L68" s="11">
        <f>IF(ISNUMBER(tblData[[#This Row],[NSW]]),tblData[[#This Row],[New South Wales]]/NSWpopscale,"")</f>
        <v>379.95049504950492</v>
      </c>
      <c r="M68" s="25">
        <v>41035</v>
      </c>
      <c r="N68" s="20">
        <f>IF(ISNUMBER(tblData[Italy]),tblData[Italy]/ItalyPopscale,"")</f>
        <v>6784.3266925684056</v>
      </c>
      <c r="O68">
        <v>13747</v>
      </c>
      <c r="P68" s="20">
        <f>IF(ISNUMBER(tblData[US]),tblData[US]/USPopscale,"")</f>
        <v>417.55289968786536</v>
      </c>
      <c r="Q68">
        <v>8565</v>
      </c>
      <c r="R68" s="20">
        <f>IF(ISNUMBER(tblData[SKorea]),tblData[SKorea]/SKoreaPopscale,"")</f>
        <v>1666.342412451362</v>
      </c>
      <c r="S68">
        <v>2716</v>
      </c>
      <c r="T68" s="20">
        <f>IF(ISNUMBER(tblData[United Kingdom]),tblData[United Kingdom]/UKPopscale,"")</f>
        <v>408.78988561107764</v>
      </c>
      <c r="U68">
        <v>81156</v>
      </c>
      <c r="V68" s="20">
        <f>IF(ISNUMBER(tblData[China]),tblData[China]/ChinaPopscale,"")</f>
        <v>563.84811640879889</v>
      </c>
      <c r="W68" s="25">
        <f ca="1">IF(tblData[[#This Row],[Dates]]&lt;StartDt2China,"",tblData[[#This Row],[Dates]]-ChinaStart)</f>
        <v>57</v>
      </c>
      <c r="X68">
        <v>345</v>
      </c>
      <c r="Y68" s="20">
        <f>IF(ISNUMBER(tblData[Singapore]),tblData[Singapore]/SingaporePopscale,"")</f>
        <v>589.74358974358972</v>
      </c>
      <c r="Z68">
        <v>557</v>
      </c>
      <c r="AA68" s="20">
        <f>IF(AND(LEN(tblData[Generic])&gt;0,ISNUMBER(tblData[Generic])),tblData[Generic]/GenericPopscale,"")</f>
        <v>1136.7346938775511</v>
      </c>
      <c r="AB68" s="25">
        <f ca="1">IF(tblData[[#This Row],[Dates]]&lt;StartDt2Italy,"",tblData[[#This Row],[Dates]]-ItalyStart)</f>
        <v>49</v>
      </c>
      <c r="AC68" s="25">
        <f ca="1">IF(tblData[[#This Row],[Dates]]&lt;=StartDt2US,"",tblData[[#This Row],[Dates]]-USStart)</f>
        <v>57</v>
      </c>
      <c r="AD68" s="25">
        <f>IF(tblData[[#This Row],[Dates]]&lt;=SKoreaStart,"",tblData[[#This Row],[Dates]]-SKoreaStart)</f>
        <v>57</v>
      </c>
      <c r="AE68" s="25">
        <f ca="1">IF(tblData[[#This Row],[Dates]]&lt;=StartDt2UK,"",tblData[[#This Row],[Dates]]-UKStart)</f>
        <v>49</v>
      </c>
      <c r="AF68" s="25">
        <f ca="1">IF(tblData[[#This Row],[Dates]]&lt;StartDt2Singapore,"",tblData[[#This Row],[Dates]]-SingaporeStart)</f>
        <v>56</v>
      </c>
      <c r="AG68" s="25">
        <f>IF(tblData[[#This Row],[Dates]]&lt;StartDt2Generic,"",tblData[[#This Row],[Dates]]-GenericStart)</f>
        <v>19</v>
      </c>
      <c r="AH68">
        <f ca="1">IF(tblData[Dates]&gt;StartDt2Au,tblData[Dates]-AuStart,"")</f>
        <v>54</v>
      </c>
      <c r="AI68" s="25">
        <f>IF(AND(COUNTBLANK(tblData[[#This Row],[Australian Capital Territory]:[Western Australia]])&lt;1,tblData[New South Wales]&gt;=0),SUM(tblData[[#This Row],[Australian Capital Territory]:[Western Australia]]),"")</f>
        <v>681</v>
      </c>
      <c r="AJ68" s="12">
        <f>IF(ISNUMBER(tblData[Au]),tblData[Au]/AuPopScale,"")</f>
        <v>268.49077432581612</v>
      </c>
      <c r="AK68" s="11">
        <f ca="1">IF(ISNUMBER(tblData[[#This Row],[Day'# Aust]]),betaAu/(deltaAu+betaPodeltaAu*EXP(-betaAu*tblData[[#This Row],[Day'# Aust]])),"")</f>
        <v>827.4877169990292</v>
      </c>
      <c r="AL68" s="56">
        <f ca="1">IF(ISNUMBER(tblData[Day'# Aust]),tblData[Au LogiP(t)]/AuPopScale,"")</f>
        <v>326.24496017939964</v>
      </c>
      <c r="AM68" s="11">
        <f ca="1">IF(AND(tblData[Dates]&gt;StartDt2Au,ISNUMBER(tblData[Au])),(tblData[[#This Row],[Au LogiP(t)]]-tblData[[#This Row],[Au]])^2,"")</f>
        <v>21458.651231587668</v>
      </c>
      <c r="AN68" s="11">
        <f ca="1">IF(AND(ISNUMBER(tblData[Au]),tblData[Dates]&gt;StartDt2Au),(tblData[Au]-AVERAGE(tblData[Au]))^2,"")</f>
        <v>3125152.1960999998</v>
      </c>
      <c r="AO68" s="11">
        <f>tblData[[#This Row],[Dates]]-Au100dt</f>
        <v>4</v>
      </c>
      <c r="AP68">
        <f ca="1">IF(tblData[Dates]&gt;StartDt2NSW,tblData[Dates]-StartDt2NSW,"")</f>
        <v>54</v>
      </c>
      <c r="AQ68" s="25">
        <f>IF(tblData[[#This Row],[New South Wales]]&gt;0,tblData[[#This Row],[New South Wales]],"")</f>
        <v>307</v>
      </c>
      <c r="AR68" s="11">
        <f ca="1">IF(tblData[Dates]&gt;StartDt2NSW,betaNSW/(deltaNSW+betaPodeltaNSW*EXP(-betaNSW*tblData[[#This Row],[Day '# NSW]])),"")</f>
        <v>341.45775025312889</v>
      </c>
      <c r="AS68" s="12">
        <f ca="1">IF(AND(ISNUMBER(tblData[NSW]),tblData[Dates]&gt;StartDt2NSW),(tblData[[#This Row],[NSW LogiP(t)]]-tblData[[#This Row],[NSW]])^2,"")</f>
        <v>1187.3365525070042</v>
      </c>
      <c r="AT68" s="12">
        <f ca="1">IF(AND(tblData[Dates]&gt;StartDt2NSW,ISNUMBER(tblData[Day'# Aust])),tblData[NSW LogiP(t)]/NSWpopscale,"")</f>
        <v>422.59622556080308</v>
      </c>
      <c r="AU68" s="11">
        <f>tblData[[#This Row],[Dates]]-NSW100dt+1</f>
        <v>7</v>
      </c>
      <c r="AV68" s="11">
        <f ca="1">IF(AND(ISNUMBER(tblData[NSW]),tblData[Dates]&gt;StartDt2NSW),(tblData[NSW]-AVERAGE(tblData[NSW]))^2,"")</f>
        <v>619778.30759999994</v>
      </c>
      <c r="AW68" s="11">
        <f ca="1">IF(AND(tblData[Dates]&gt;StartDt2Italy,ISNUMBER(tblData[Days'# Italy])),betaItaly/(deltaItaly+betaPodeltaItaly*EXP(-betaItaly*tblData[Days'# Italy])),"")</f>
        <v>64763.728817933821</v>
      </c>
      <c r="AX68" s="11">
        <f ca="1">IF(AND(tblData[Dates]&gt;StartDt2Italy,ISNUMBER(tblData[Italy])),(tblData[[#This Row],[Italy LogiP(t)]]-tblData[[#This Row],[Italy]])^2,"")</f>
        <v>563052571.31504297</v>
      </c>
      <c r="AY68" s="11">
        <f ca="1">IF(AND(tblData[Dates]&gt;StartDt2Italy,ISNUMBER(tblData[Days'# Italy])),tblData[[#This Row],[Italy LogiP(t)]]/ItalyPopscale,"")</f>
        <v>10707.403293036923</v>
      </c>
      <c r="AZ68" s="39">
        <f ca="1">IF(AND(ISNUMBER(tblData[Italy]),tblData[Dates]&gt;StartDt2Italy),(tblData[Italy]-AVERAGE(tblData[Italy]))^2,"")</f>
        <v>824471191.51663613</v>
      </c>
      <c r="BA68" s="11">
        <f>tblData[[#This Row],[Dates]]-Italy100dt+1</f>
        <v>22</v>
      </c>
      <c r="BB68" s="11">
        <f ca="1">IF(AND(tblData[Dates]&gt;StartDt2US,ISNUMBER(tblData[[#This Row],[Days'# US]])),betaUS/(deltaUS+betaPodeltaUS*EXP(-betaUS*tblData[Days'# US])),"")</f>
        <v>10447.915106254031</v>
      </c>
      <c r="BC68" s="11">
        <f ca="1">IF(AND(tblData[Dates]&gt;StartDt2US,ISNUMBER(tblData[US])),(tblData[[#This Row],[US LogiP(t)]]-tblData[US])^2,"")</f>
        <v>10883961.13614285</v>
      </c>
      <c r="BD68" s="20">
        <f ca="1">IF(AND(tblData[Dates]&gt;=StartDt2US,ISNUMBER(tblData[[#This Row],[Days'# US]])),tblData[[#This Row],[US LogiP(t)]]/USPopscale,"")</f>
        <v>317.34612994173438</v>
      </c>
      <c r="BE68" s="126">
        <f ca="1">IF(AND(ISNUMBER(tblData[US]),tblData[Dates]&gt;StartDt2US),(tblData[US]-AVERAGE(tblData[US]))^2,"")</f>
        <v>44182461453.314972</v>
      </c>
      <c r="BF68" s="11">
        <f>tblData[[#This Row],[Dates]]-US100dt+1</f>
        <v>5</v>
      </c>
      <c r="BG68" s="20">
        <f ca="1">IF(tblData[Dates]&gt;StartDt2SKorea,betaSKorea/(deltaSKorea+betaPodeltaSKorea*EXP(-betaSKorea*(tblData[Dates]-StartDt2SKorea))),"")</f>
        <v>9467.4657678837884</v>
      </c>
      <c r="BH68" s="20">
        <f ca="1">IF(AND(tblData[Dates]&gt;StartDt2SKorea,ISNUMBER(tblData[SKorea])),(tblData[[#This Row],[SKorea LogiP(t)]]-tblData[[#This Row],[SKorea]])^2,"")</f>
        <v>814444.46220207587</v>
      </c>
      <c r="BI68" s="20">
        <f ca="1">IF(tblData[Dates]&gt;StartDt2SKorea,tblData[[#This Row],[SKorea LogiP(t)]]/SKoreaPopscale,"")</f>
        <v>1841.9194100941224</v>
      </c>
      <c r="BJ68" s="126">
        <f ca="1">IF(AND(ISNUMBER(tblData[SKorea]),tblData[Dates]&gt;StartDt2SKorea),(tblData[SKorea]-AVERAGE(tblData[SKorea]))^2,"")</f>
        <v>7511038.8250672836</v>
      </c>
      <c r="BK68" s="11">
        <f>tblData[[#This Row],[Dates]]-SKorea100dt+1</f>
        <v>26</v>
      </c>
      <c r="BL68" s="11">
        <f ca="1">IF(AND(tblData[Dates]&gt;StartDt2UK,ISNUMBER(tblData[Days'# UK])),betaUK/(deltaUK+betaPodeltaUK*EXP(-betaUK*tblData[Days'# UK])),"")</f>
        <v>2967.0236358983616</v>
      </c>
      <c r="BM68" s="20">
        <f ca="1">IF(AND(tblData[Dates]&gt;StartDt2UK,ISNUMBER(tblData[United Kingdom])),(tblData[[#This Row],[UK LogiP(t)]]-tblData[[#This Row],[United Kingdom]])^2,"")</f>
        <v>63012.865779633212</v>
      </c>
      <c r="BN68" s="20">
        <f ca="1">IF(ISNUMBER(tblData[Days'# UK]),tblData[[#This Row],[UK LogiP(t)]]/UKPopscale,"")</f>
        <v>446.57188981010859</v>
      </c>
      <c r="BO68" s="126">
        <f ca="1">IF(AND(ISNUMBER(tblData[United Kingdom]),tblData[Dates]&gt;StartDt2UK),(tblData[United Kingdom]-AVERAGE(tblData[United Kingdom]))^2,"")</f>
        <v>1242635251.0648484</v>
      </c>
      <c r="BP68" s="11">
        <f>tblData[[#This Row],[Dates]]-UK100dt</f>
        <v>7</v>
      </c>
      <c r="BQ68" s="11">
        <f ca="1">IF(ISNUMBER(tblData[Days'# China]),betaChina/(deltaChina+betaPodeltaChina*EXP(-betaChina*tblData[Days'# China])),"")</f>
        <v>82110.744633902417</v>
      </c>
      <c r="BR68" s="11">
        <f ca="1">IF(ISNUMBER(tblData[China]),(tblData[[#This Row],[China LogiP(t)]]-tblData[[#This Row],[China]])^2,"")</f>
        <v>911537.31596546073</v>
      </c>
      <c r="BS68" s="11">
        <f ca="1">tblData[[#This Row],[China LogiP(t)]]/ChinaPopscale</f>
        <v>570.48140246869946</v>
      </c>
      <c r="BT68" s="126">
        <f ca="1">IF(AND(ISNUMBER(tblData[China]),tblData[Dates]&gt;StartDt2China),(tblData[China]-AVERAGE(tblData[China]))^2,"")</f>
        <v>194645172.92733544</v>
      </c>
      <c r="BU68" s="11">
        <f>tblData[[#This Row],[Dates]]-China100dt</f>
        <v>46</v>
      </c>
      <c r="BV68" s="95">
        <f ca="1">IF(ISNUMBER(tblData[Day'# Singapore]),betaSingapore/(deltaSingapore+betaPodeltaSingapore*EXP(-betaSingapore*tblData[Day'# Singapore])),"")</f>
        <v>138.02962938521878</v>
      </c>
      <c r="BW68" s="11">
        <f ca="1">IF(AND(ISNUMBER(tblData[Singapore]),tblData[Dates]&gt;=StartDt2Singapore),(tblData[[#This Row],[Singapore LogiP(t)]]-tblData[[#This Row],[Singapore]])^2,"")</f>
        <v>42836.734312419889</v>
      </c>
      <c r="BX68" s="20">
        <f ca="1">IF(ISNUMBER(tblData[Day'# Singapore]),tblData[Singapore LogiP(t)]/SingaporePopscale,"")</f>
        <v>235.94808441917743</v>
      </c>
      <c r="BY68" s="95">
        <f ca="1">IF(AND(ISNUMBER(tblData[Singapore]),tblData[Dates]&gt;StartDt2Singapore),(tblData[Singapore]-AVERAGE(tblData[Singapore]))^2,"")</f>
        <v>3903801.1364859678</v>
      </c>
      <c r="BZ68" s="11">
        <f>tblData[[#This Row],[Dates]]-Singapore100dt+1</f>
        <v>35</v>
      </c>
      <c r="CA68" s="44">
        <f>IF(AND(tblData[Dates]&gt;StartDt2Generic,ISNUMBER(tblData[Day'# Generic])),betaGeneric/(deltaGeneric+betaPodeltaGeneric*EXP(-betaGeneric*tblData[Day'# Generic])),"")</f>
        <v>696.62670009839496</v>
      </c>
      <c r="CB68" s="95">
        <f>IF(AND(ISNUMBER(tblData[Generic]),tblData[Dates]&gt;StartDt2Generic),(tblData[Generic LogiP(t)]-tblData[[#This Row],[Generic]])^2,"")</f>
        <v>19495.61538036713</v>
      </c>
      <c r="CC68" s="11">
        <f>IF(AND(ISNUMBER(tblData[Day'# Generic]),tblData[Dates]&gt;StartDt2Generic),tblData[Generic LogiP(t)]/GenericPopscale,"")</f>
        <v>1421.687143057949</v>
      </c>
      <c r="CD68" s="95">
        <f>IF(AND(ISNUMBER(tblData[Generic]),tblData[Dates]&gt;StartDt2Generic),(tblData[Generic]-AVERAGE(tblData[Generic]))^2,"")</f>
        <v>36923945.734674558</v>
      </c>
      <c r="CE68" s="11">
        <f>tblData[[#This Row],[Dates]]-Generic100dt+1</f>
        <v>7</v>
      </c>
      <c r="CF68" s="11">
        <v>38782</v>
      </c>
      <c r="CG68" s="11"/>
      <c r="CH68" s="11">
        <f>IF(ISNUMBER(tblData[[#This Row],[Tests]]),tblData[[#This Row],[Tests]]-CF67,"")</f>
        <v>5395</v>
      </c>
      <c r="CI68" s="11" t="str">
        <f>IF(ISNUMBER(tblData[[#This Row],[NSW Under Investigation'']]),tblData[[#This Row],[NSW Under Investigation'']]-CG67,"")</f>
        <v/>
      </c>
      <c r="CJ68" s="11">
        <f t="shared" si="2"/>
        <v>14</v>
      </c>
      <c r="CK68" s="11">
        <f>IF(AND(tblData[[#This Row],[NSW Test Day Number]]&gt;0,ISNUMBER(tblData[[#This Row],[NSW Test Day Number]])),betaTests/(deltaTests+betaPodeltaTests*EXP(-betaTests*tblData[[#This Row],[NSW Test Day Number]])),"")</f>
        <v>39851.201257446526</v>
      </c>
      <c r="CL68" s="11">
        <f>IF(tblData[Tests]&gt;0,(tblData[[#This Row],[Tests]]-tblData[[#This Row],[NSW Test Logi]])^2,"")</f>
        <v>1143191.3289252326</v>
      </c>
      <c r="CM68" s="95">
        <f>IF(AND(ISNUMBER(tblData[Tests]),tblData[Dates]&gt;StartDt2Tests),(tblData[Tests]-AVERAGE(tblData[Tests]))^2,"")</f>
        <v>4539370069.9385242</v>
      </c>
      <c r="CN68" s="11">
        <f>IF(ISNUMBER(tblData[Tests]),tblData[Tests]/NSWpopscale/100,"")</f>
        <v>479.97524752475243</v>
      </c>
      <c r="CO68" s="95">
        <f ca="1">IF(AND(tblData[[#This Row],[NSW Test Day Number]]&gt;0,ISNUMBER(tblData[[#This Row],[NSW Test Day Number]])),TestsLogestB*TestsLogestM^tblData[[#This Row],[NSW Test Day Number]],"")</f>
        <v>29977.047937696581</v>
      </c>
      <c r="CP68" s="95">
        <f>IF(AND(tblData[[#This Row],[NSW Test Day Number]]&gt;0,ISNUMBER(tblData[Tests])),(tblData[Tests]-tblData[[#This Row],[NSW Test Per Capita]])^2,"")</f>
        <v>1467045100.1392267</v>
      </c>
      <c r="CQ68" s="20">
        <f ca="1">IF(AND(tblData[Day '# NSW]&gt;0,ISNUMBER(tblData[[#This Row],[Day '# NSW]])),NSWLogestB*NSWLogestM^tblData[[#This Row],[Day '# NSW]]/NSWpopscale,"")</f>
        <v>255.25465155050421</v>
      </c>
      <c r="CR68" s="39">
        <f ca="1">IF(AND(ISNUMBER(tblData[NSW]),tblData[Dates]&gt;StartDt2NSW),(tblData[NSW]/NSWpopscale-tblData[[#This Row],[NSW Cases LogEst]])^2,"")</f>
        <v>15549.05338592728</v>
      </c>
      <c r="CS68" s="11">
        <v>108</v>
      </c>
      <c r="CT68" s="19">
        <f>IF(ISNUMBER(tblData[Taiwan]),tblData[Taiwan]/TaiwanPopscale,"")</f>
        <v>45.364271318330246</v>
      </c>
      <c r="CU68" s="11">
        <f ca="1">IF(tblData[[#This Row],[Dates]]&lt;StartDt2Taiwan,"",tblData[[#This Row],[Dates]]-TaiwanStart)</f>
        <v>57</v>
      </c>
      <c r="CV68" s="19">
        <f ca="1">IF(AND(tblData[Dates]&gt;StartDt2Taiwan,ISNUMBER(tblData[Days'# Taiwan])),betaTaiwan/(deltaTaiwan+betaPodeltaTaiwan*EXP(-betaTaiwan*tblData[Days'# Taiwan])),"")</f>
        <v>132.13490983943228</v>
      </c>
      <c r="CW68" s="95">
        <f ca="1">IF(AND(tblData[Dates]&gt;StartDt2Taiwan,ISNUMBER(tblData[Taiwan])),(tblData[[#This Row],[Taiwan LogiP(t)]]-tblData[[#This Row],[Taiwan]])^2,"")</f>
        <v>582.49387295752524</v>
      </c>
      <c r="CX68" s="20">
        <f ca="1">IF(AND(tblData[Dates]&gt;StartDt2Taiwan,ISNUMBER(tblData[Days'# Taiwan])),tblData[[#This Row],[Taiwan LogiP(t)]]/TaiwanPopscale,"")</f>
        <v>55.5018879683251</v>
      </c>
      <c r="CY68" s="95">
        <f ca="1">IF(AND(ISNUMBER(tblData[Taiwan]),tblData[Dates]&gt;StartDt2Taiwan),(tblData[Taiwan]-AVERAGE(tblData[Taiwan]))^2,"")</f>
        <v>3788.2818146866607</v>
      </c>
      <c r="CZ68" s="11">
        <f>tblData[[#This Row],[Dates]]-Taiwan100dt+1</f>
        <v>-6</v>
      </c>
      <c r="DA68">
        <v>28</v>
      </c>
      <c r="DB68" s="20">
        <f>IF(ISNUMBER(tblData[NZ]),tblData[NZ]/NZPopscale,"")</f>
        <v>53.537284894837477</v>
      </c>
      <c r="DC68" s="11">
        <f ca="1">IF(tblData[[#This Row],[Dates]]&lt;StartDt2NZ,"",tblData[[#This Row],[Dates]]-NZStart)</f>
        <v>20</v>
      </c>
      <c r="DD68" s="20">
        <f ca="1">IF(AND(tblData[Dates]&gt;StartDt2NZ,ISNUMBER(tblData[Days'# NZ])),betaNZ/(deltaNZ+betaPodeltaNZ*EXP(-betaNZ*tblData[Days'# NZ])),"")</f>
        <v>64.530132627799588</v>
      </c>
      <c r="DE68" s="95">
        <f ca="1">IF(AND(tblData[Dates]&gt;StartDt2NZ,ISNUMBER(tblData[NZ])),(tblData[[#This Row],[NZ LogiP(t)]]-tblData[[#This Row],[NZ]])^2,"")</f>
        <v>1334.450589804628</v>
      </c>
      <c r="DF68" s="20">
        <f ca="1">IF(AND(tblData[Dates]&gt;StartDt2NZ,ISNUMBER(tblData[Days'# NZ])),tblData[[#This Row],[NZ LogiP(t)]]/NZPopscale,"")</f>
        <v>123.38457481414835</v>
      </c>
      <c r="DG68" s="95">
        <f ca="1">IF(AND(ISNUMBER(tblData[NZ]),tblData[Dates]&gt;StartDt2NZ),(tblData[NZ]-AVERAGE(tblData[NZ]))^2,"")</f>
        <v>436840.88246097346</v>
      </c>
      <c r="DH68" s="11">
        <f>tblData[[#This Row],[Dates]]-NZ100dt+1</f>
        <v>-2</v>
      </c>
      <c r="DI68" s="39"/>
      <c r="DJ68" s="11"/>
      <c r="DM68" s="25"/>
      <c r="DP68"/>
      <c r="DV68" s="25"/>
      <c r="DW68"/>
      <c r="EA68" s="25"/>
      <c r="EH68"/>
      <c r="EI68"/>
      <c r="EJ68"/>
      <c r="EK68"/>
      <c r="EL68" s="25"/>
      <c r="EM68" s="25"/>
      <c r="EQ68" s="25"/>
      <c r="ER68" s="25"/>
      <c r="ES68" s="25"/>
      <c r="ET68" s="25"/>
      <c r="FF68"/>
      <c r="FG68"/>
      <c r="FH68"/>
      <c r="FI68"/>
      <c r="FJ68"/>
      <c r="FK68" s="25"/>
      <c r="FM68"/>
      <c r="FN68"/>
      <c r="FO68" s="268" t="s">
        <v>48</v>
      </c>
      <c r="FP68" s="250">
        <v>43925.354062500002</v>
      </c>
      <c r="FQ68" s="243">
        <v>43855</v>
      </c>
      <c r="FR68" s="160">
        <v>43855</v>
      </c>
      <c r="FS68" s="211">
        <v>0</v>
      </c>
      <c r="FT68" s="72">
        <v>0.25283794788169139</v>
      </c>
      <c r="FU68" s="74">
        <v>4.033359968948402E-5</v>
      </c>
      <c r="FV68" s="160">
        <v>1E-3</v>
      </c>
      <c r="FW68" s="212">
        <v>6268.6680541338483</v>
      </c>
      <c r="FX68" s="212">
        <v>36.620768323576499</v>
      </c>
      <c r="FY68" s="212">
        <v>0.99941585868397576</v>
      </c>
      <c r="FZ68" s="213">
        <v>252.83790754809169</v>
      </c>
      <c r="GA68" s="213">
        <v>4.0333599689484016E-2</v>
      </c>
      <c r="GB68" s="243">
        <v>44156</v>
      </c>
      <c r="GC68" s="23" t="s">
        <v>1476</v>
      </c>
      <c r="GD68" s="212">
        <v>6268.6680541338483</v>
      </c>
      <c r="GE68" s="212">
        <v>5462</v>
      </c>
      <c r="GF68" s="23" t="s">
        <v>1477</v>
      </c>
      <c r="GG68" s="156">
        <v>44156</v>
      </c>
      <c r="GH68" s="25">
        <v>104</v>
      </c>
      <c r="GI68" s="21" t="s">
        <v>1642</v>
      </c>
      <c r="GJ68" s="161"/>
      <c r="GK68" s="23" t="s">
        <v>1479</v>
      </c>
      <c r="GL68" s="23"/>
      <c r="GM68" s="23" t="s">
        <v>1643</v>
      </c>
      <c r="GN68" s="165">
        <v>2153.4458287336383</v>
      </c>
      <c r="GO68" s="243"/>
      <c r="GP68" s="218"/>
      <c r="GQ68" s="156"/>
      <c r="GR68" s="23"/>
      <c r="GS68" s="25" t="s">
        <v>1964</v>
      </c>
      <c r="GT68" s="11"/>
      <c r="GU68" s="12"/>
      <c r="GV68" s="26"/>
      <c r="GX68" s="219"/>
      <c r="GY68" s="25"/>
      <c r="GZ68" s="25"/>
      <c r="HA68" s="25"/>
      <c r="HK68" s="164">
        <v>43955</v>
      </c>
      <c r="HL68" s="60"/>
      <c r="HM68" s="25"/>
      <c r="HN68" s="25"/>
      <c r="HO68" s="25"/>
      <c r="HP68" s="25"/>
      <c r="HQ68" s="166" t="str">
        <f>IF(ISNUMBER(tblNSWKnown[[#This Row],[Unknown Locally]]),tblNSWKnown[[#This Row],[Known Locally]]+tblNSWKnown[[#This Row],[Unknown Locally]],"")</f>
        <v/>
      </c>
      <c r="HR68" s="25">
        <v>32</v>
      </c>
      <c r="HS68" s="166">
        <f>IF(ISNUMBER(tblNSWKnown[[#This Row],[Day '# NSW Unknown]]),betaNSWUnknown/(deltaNSWUnknown+betaPodeltaNSWUnknown*EXP(-betaNSWUnknown*tblNSWKnown[Day '# NSW Unknown])),"")</f>
        <v>1172.4674409854892</v>
      </c>
      <c r="HT68" s="166" t="str">
        <f>IF(ISNUMBER(tblNSWKnown[[#This Row],[Total Local]]),(tblNSWKnown[[#This Row],[Total Local]]-tblNSWKnown[[#This Row],[NSW Unknown Logi P(t)]])^2,"")</f>
        <v/>
      </c>
      <c r="HU68" s="166" t="str">
        <f>IF(ISNUMBER(tblNSWKnown[Total Local]),(tblNSWKnown[Total Local]-AVERAGE(tblNSWKnown[Total Local]))^2,"")</f>
        <v/>
      </c>
      <c r="HV68" s="166"/>
    </row>
    <row r="69" spans="2:237" ht="15" customHeight="1" x14ac:dyDescent="0.3">
      <c r="B69" s="26">
        <v>43910</v>
      </c>
      <c r="D69" s="25">
        <v>6</v>
      </c>
      <c r="E69">
        <v>353</v>
      </c>
      <c r="F69">
        <v>3</v>
      </c>
      <c r="G69">
        <v>184</v>
      </c>
      <c r="H69">
        <v>50</v>
      </c>
      <c r="I69">
        <v>10</v>
      </c>
      <c r="J69">
        <v>121</v>
      </c>
      <c r="K69">
        <v>64</v>
      </c>
      <c r="L69" s="11">
        <f>IF(ISNUMBER(tblData[[#This Row],[NSW]]),tblData[[#This Row],[New South Wales]]/NSWpopscale,"")</f>
        <v>436.88118811881185</v>
      </c>
      <c r="M69" s="25">
        <v>47021</v>
      </c>
      <c r="N69" s="20">
        <f>IF(ISNUMBER(tblData[Italy]),tblData[Italy]/ItalyPopscale,"")</f>
        <v>7773.9935521203606</v>
      </c>
      <c r="O69">
        <v>19273</v>
      </c>
      <c r="P69" s="20">
        <f>IF(ISNUMBER(tblData[US]),tblData[US]/USPopscale,"")</f>
        <v>585.40023537384366</v>
      </c>
      <c r="Q69">
        <v>8652</v>
      </c>
      <c r="R69" s="20">
        <f>IF(ISNUMBER(tblData[SKorea]),tblData[SKorea]/SKoreaPopscale,"")</f>
        <v>1683.2684824902724</v>
      </c>
      <c r="S69">
        <v>4014</v>
      </c>
      <c r="T69" s="20">
        <f>IF(ISNUMBER(tblData[United Kingdom]),tblData[United Kingdom]/UKPopscale,"")</f>
        <v>604.15412402167362</v>
      </c>
      <c r="U69">
        <v>81250</v>
      </c>
      <c r="V69" s="20">
        <f>IF(ISNUMBER(tblData[China]),tblData[China]/ChinaPopscale,"")</f>
        <v>564.50120087504206</v>
      </c>
      <c r="W69" s="25">
        <f ca="1">IF(tblData[[#This Row],[Dates]]&lt;StartDt2China,"",tblData[[#This Row],[Dates]]-ChinaStart)</f>
        <v>58</v>
      </c>
      <c r="X69">
        <v>385</v>
      </c>
      <c r="Y69" s="20">
        <f>IF(ISNUMBER(tblData[Singapore]),tblData[Singapore]/SingaporePopscale,"")</f>
        <v>658.1196581196582</v>
      </c>
      <c r="Z69">
        <v>683</v>
      </c>
      <c r="AA69" s="20">
        <f>IF(AND(LEN(tblData[Generic])&gt;0,ISNUMBER(tblData[Generic])),tblData[Generic]/GenericPopscale,"")</f>
        <v>1393.8775510204082</v>
      </c>
      <c r="AB69" s="25">
        <f ca="1">IF(tblData[[#This Row],[Dates]]&lt;StartDt2Italy,"",tblData[[#This Row],[Dates]]-ItalyStart)</f>
        <v>50</v>
      </c>
      <c r="AC69" s="25">
        <f ca="1">IF(tblData[[#This Row],[Dates]]&lt;=StartDt2US,"",tblData[[#This Row],[Dates]]-USStart)</f>
        <v>58</v>
      </c>
      <c r="AD69" s="25">
        <f>IF(tblData[[#This Row],[Dates]]&lt;=SKoreaStart,"",tblData[[#This Row],[Dates]]-SKoreaStart)</f>
        <v>58</v>
      </c>
      <c r="AE69" s="25">
        <f ca="1">IF(tblData[[#This Row],[Dates]]&lt;=StartDt2UK,"",tblData[[#This Row],[Dates]]-UKStart)</f>
        <v>50</v>
      </c>
      <c r="AF69" s="25">
        <f ca="1">IF(tblData[[#This Row],[Dates]]&lt;StartDt2Singapore,"",tblData[[#This Row],[Dates]]-SingaporeStart)</f>
        <v>57</v>
      </c>
      <c r="AG69" s="25">
        <f>IF(tblData[[#This Row],[Dates]]&lt;StartDt2Generic,"",tblData[[#This Row],[Dates]]-GenericStart)</f>
        <v>20</v>
      </c>
      <c r="AH69">
        <f ca="1">IF(tblData[Dates]&gt;StartDt2Au,tblData[Dates]-AuStart,"")</f>
        <v>55</v>
      </c>
      <c r="AI69" s="25">
        <f>IF(AND(COUNTBLANK(tblData[[#This Row],[Australian Capital Territory]:[Western Australia]])&lt;1,tblData[New South Wales]&gt;=0),SUM(tblData[[#This Row],[Australian Capital Territory]:[Western Australia]]),"")</f>
        <v>791</v>
      </c>
      <c r="AJ69" s="12">
        <f>IF(ISNUMBER(tblData[Au]),tblData[Au]/AuPopScale,"")</f>
        <v>311.85932818167481</v>
      </c>
      <c r="AK69" s="11">
        <f ca="1">IF(ISNUMBER(tblData[[#This Row],[Day'# Aust]]),betaAu/(deltaAu+betaPodeltaAu*EXP(-betaAu*tblData[[#This Row],[Day'# Aust]])),"")</f>
        <v>1005.7105354209825</v>
      </c>
      <c r="AL69" s="56">
        <f ca="1">IF(ISNUMBER(tblData[Day'# Aust]),tblData[Au LogiP(t)]/AuPopScale,"")</f>
        <v>396.51101380735787</v>
      </c>
      <c r="AM69" s="11">
        <f ca="1">IF(AND(tblData[Dates]&gt;StartDt2Au,ISNUMBER(tblData[Au])),(tblData[[#This Row],[Au LogiP(t)]]-tblData[[#This Row],[Au]])^2,"")</f>
        <v>46100.614020764988</v>
      </c>
      <c r="AN69" s="11">
        <f ca="1">IF(AND(ISNUMBER(tblData[Au]),tblData[Dates]&gt;StartDt2Au),(tblData[Au]-AVERAGE(tblData[Au]))^2,"")</f>
        <v>2748333.9960999996</v>
      </c>
      <c r="AO69" s="11">
        <f>tblData[[#This Row],[Dates]]-Au100dt</f>
        <v>5</v>
      </c>
      <c r="AP69">
        <f ca="1">IF(tblData[Dates]&gt;StartDt2NSW,tblData[Dates]-StartDt2NSW,"")</f>
        <v>55</v>
      </c>
      <c r="AQ69" s="25">
        <f>IF(tblData[[#This Row],[New South Wales]]&gt;0,tblData[[#This Row],[New South Wales]],"")</f>
        <v>353</v>
      </c>
      <c r="AR69" s="11">
        <f ca="1">IF(tblData[Dates]&gt;StartDt2NSW,betaNSW/(deltaNSW+betaPodeltaNSW*EXP(-betaNSW*tblData[[#This Row],[Day '# NSW]])),"")</f>
        <v>418.90697708534231</v>
      </c>
      <c r="AS69" s="12">
        <f ca="1">IF(AND(ISNUMBER(tblData[NSW]),tblData[Dates]&gt;StartDt2NSW),(tblData[[#This Row],[NSW LogiP(t)]]-tblData[[#This Row],[NSW]])^2,"")</f>
        <v>4343.7296285278353</v>
      </c>
      <c r="AT69" s="12">
        <f ca="1">IF(AND(tblData[Dates]&gt;StartDt2NSW,ISNUMBER(tblData[Day'# Aust])),tblData[NSW LogiP(t)]/NSWpopscale,"")</f>
        <v>518.44922906601766</v>
      </c>
      <c r="AU69" s="11">
        <f>tblData[[#This Row],[Dates]]-NSW100dt+1</f>
        <v>8</v>
      </c>
      <c r="AV69" s="11">
        <f ca="1">IF(AND(ISNUMBER(tblData[NSW]),tblData[Dates]&gt;StartDt2NSW),(tblData[NSW]-AVERAGE(tblData[NSW]))^2,"")</f>
        <v>549466.38760000002</v>
      </c>
      <c r="AW69" s="11">
        <f ca="1">IF(AND(tblData[Dates]&gt;StartDt2Italy,ISNUMBER(tblData[Days'# Italy])),betaItaly/(deltaItaly+betaPodeltaItaly*EXP(-betaItaly*tblData[Days'# Italy])),"")</f>
        <v>74777.440186015374</v>
      </c>
      <c r="AX69" s="11">
        <f ca="1">IF(AND(tblData[Dates]&gt;StartDt2Italy,ISNUMBER(tblData[Italy])),(tblData[[#This Row],[Italy LogiP(t)]]-tblData[[#This Row],[Italy]])^2,"")</f>
        <v>770419971.79984915</v>
      </c>
      <c r="AY69" s="11">
        <f ca="1">IF(AND(tblData[Dates]&gt;StartDt2Italy,ISNUMBER(tblData[Days'# Italy])),tblData[[#This Row],[Italy LogiP(t)]]/ItalyPopscale,"")</f>
        <v>12362.972668598062</v>
      </c>
      <c r="AZ69" s="39">
        <f ca="1">IF(AND(ISNUMBER(tblData[Italy]),tblData[Dates]&gt;StartDt2Italy),(tblData[Italy]-AVERAGE(tblData[Italy]))^2,"")</f>
        <v>516544091.89961487</v>
      </c>
      <c r="BA69" s="11">
        <f>tblData[[#This Row],[Dates]]-Italy100dt+1</f>
        <v>23</v>
      </c>
      <c r="BB69" s="11">
        <f ca="1">IF(AND(tblData[Dates]&gt;StartDt2US,ISNUMBER(tblData[[#This Row],[Days'# US]])),betaUS/(deltaUS+betaPodeltaUS*EXP(-betaUS*tblData[Days'# US])),"")</f>
        <v>13817.912307393168</v>
      </c>
      <c r="BC69" s="11">
        <f ca="1">IF(AND(tblData[Dates]&gt;StartDt2US,ISNUMBER(tblData[US])),(tblData[[#This Row],[US LogiP(t)]]-tblData[US])^2,"")</f>
        <v>29757981.734030534</v>
      </c>
      <c r="BD69" s="20">
        <f ca="1">IF(AND(tblData[Dates]&gt;=StartDt2US,ISNUMBER(tblData[[#This Row],[Days'# US]])),tblData[[#This Row],[US LogiP(t)]]/USPopscale,"")</f>
        <v>419.70679796207605</v>
      </c>
      <c r="BE69" s="126">
        <f ca="1">IF(AND(ISNUMBER(tblData[US]),tblData[Dates]&gt;StartDt2US),(tblData[US]-AVERAGE(tblData[US]))^2,"")</f>
        <v>41889909228.491447</v>
      </c>
      <c r="BF69" s="11">
        <f>tblData[[#This Row],[Dates]]-US100dt+1</f>
        <v>6</v>
      </c>
      <c r="BG69" s="20">
        <f ca="1">IF(tblData[Dates]&gt;StartDt2SKorea,betaSKorea/(deltaSKorea+betaPodeltaSKorea*EXP(-betaSKorea*(tblData[Dates]-StartDt2SKorea))),"")</f>
        <v>9584.1360089772879</v>
      </c>
      <c r="BH69" s="20">
        <f ca="1">IF(AND(tblData[Dates]&gt;StartDt2SKorea,ISNUMBER(tblData[SKorea])),(tblData[[#This Row],[SKorea LogiP(t)]]-tblData[[#This Row],[SKorea]])^2,"")</f>
        <v>868877.53923210665</v>
      </c>
      <c r="BI69" s="20">
        <f ca="1">IF(tblData[Dates]&gt;StartDt2SKorea,tblData[[#This Row],[SKorea LogiP(t)]]/SKoreaPopscale,"")</f>
        <v>1864.6179005792389</v>
      </c>
      <c r="BJ69" s="126">
        <f ca="1">IF(AND(ISNUMBER(tblData[SKorea]),tblData[Dates]&gt;StartDt2SKorea),(tblData[SKorea]-AVERAGE(tblData[SKorea]))^2,"")</f>
        <v>7995477.0015378715</v>
      </c>
      <c r="BK69" s="11">
        <f>tblData[[#This Row],[Dates]]-SKorea100dt+1</f>
        <v>27</v>
      </c>
      <c r="BL69" s="11">
        <f ca="1">IF(AND(tblData[Dates]&gt;StartDt2UK,ISNUMBER(tblData[Days'# UK])),betaUK/(deltaUK+betaPodeltaUK*EXP(-betaUK*tblData[Days'# UK])),"")</f>
        <v>3654.0734898782084</v>
      </c>
      <c r="BM69" s="20">
        <f ca="1">IF(AND(tblData[Dates]&gt;StartDt2UK,ISNUMBER(tblData[United Kingdom])),(tblData[[#This Row],[UK LogiP(t)]]-tblData[[#This Row],[United Kingdom]])^2,"")</f>
        <v>129547.09268845213</v>
      </c>
      <c r="BN69" s="20">
        <f ca="1">IF(ISNUMBER(tblData[Days'# UK]),tblData[[#This Row],[UK LogiP(t)]]/UKPopscale,"")</f>
        <v>549.98095874145224</v>
      </c>
      <c r="BO69" s="126">
        <f ca="1">IF(AND(ISNUMBER(tblData[United Kingdom]),tblData[Dates]&gt;StartDt2UK),(tblData[United Kingdom]-AVERAGE(tblData[United Kingdom]))^2,"")</f>
        <v>1152808376.2137845</v>
      </c>
      <c r="BP69" s="11">
        <f>tblData[[#This Row],[Dates]]-UK100dt</f>
        <v>8</v>
      </c>
      <c r="BQ69" s="11">
        <f ca="1">IF(ISNUMBER(tblData[Days'# China]),betaChina/(deltaChina+betaPodeltaChina*EXP(-betaChina*tblData[Days'# China])),"")</f>
        <v>82113.601050779936</v>
      </c>
      <c r="BR69" s="11">
        <f ca="1">IF(ISNUMBER(tblData[China]),(tblData[[#This Row],[China LogiP(t)]]-tblData[[#This Row],[China]])^2,"")</f>
        <v>745806.77490821038</v>
      </c>
      <c r="BS69" s="11">
        <f ca="1">tblData[[#This Row],[China LogiP(t)]]/ChinaPopscale</f>
        <v>570.50124801648474</v>
      </c>
      <c r="BT69" s="126">
        <f ca="1">IF(AND(ISNUMBER(tblData[China]),tblData[Dates]&gt;StartDt2China),(tblData[China]-AVERAGE(tblData[China]))^2,"")</f>
        <v>197276896.4567472</v>
      </c>
      <c r="BU69" s="11">
        <f>tblData[[#This Row],[Dates]]-China100dt</f>
        <v>47</v>
      </c>
      <c r="BV69" s="95">
        <f ca="1">IF(ISNUMBER(tblData[Day'# Singapore]),betaSingapore/(deltaSingapore+betaPodeltaSingapore*EXP(-betaSingapore*tblData[Day'# Singapore])),"")</f>
        <v>156.4213768543309</v>
      </c>
      <c r="BW69" s="11">
        <f ca="1">IF(AND(ISNUMBER(tblData[Singapore]),tblData[Dates]&gt;=StartDt2Singapore),(tblData[[#This Row],[Singapore LogiP(t)]]-tblData[[#This Row],[Singapore]])^2,"")</f>
        <v>52248.186959169812</v>
      </c>
      <c r="BX69" s="20">
        <f ca="1">IF(ISNUMBER(tblData[Day'# Singapore]),tblData[Singapore LogiP(t)]/SingaporePopscale,"")</f>
        <v>267.38696898176227</v>
      </c>
      <c r="BY69" s="95">
        <f ca="1">IF(AND(ISNUMBER(tblData[Singapore]),tblData[Dates]&gt;StartDt2Singapore),(tblData[Singapore]-AVERAGE(tblData[Singapore]))^2,"")</f>
        <v>3747336.8227604777</v>
      </c>
      <c r="BZ69" s="11">
        <f>tblData[[#This Row],[Dates]]-Singapore100dt+1</f>
        <v>36</v>
      </c>
      <c r="CA69" s="44">
        <f>IF(AND(tblData[Dates]&gt;StartDt2Generic,ISNUMBER(tblData[Day'# Generic])),betaGeneric/(deltaGeneric+betaPodeltaGeneric*EXP(-betaGeneric*tblData[Day'# Generic])),"")</f>
        <v>789.78143119566607</v>
      </c>
      <c r="CB69" s="95">
        <f>IF(AND(ISNUMBER(tblData[Generic]),tblData[Dates]&gt;StartDt2Generic),(tblData[Generic LogiP(t)]-tblData[[#This Row],[Generic]])^2,"")</f>
        <v>11402.274048194768</v>
      </c>
      <c r="CC69" s="11">
        <f>IF(AND(ISNUMBER(tblData[Day'# Generic]),tblData[Dates]&gt;StartDt2Generic),tblData[Generic LogiP(t)]/GenericPopscale,"")</f>
        <v>1611.7988391748288</v>
      </c>
      <c r="CD69" s="95">
        <f>IF(AND(ISNUMBER(tblData[Generic]),tblData[Dates]&gt;StartDt2Generic),(tblData[Generic]-AVERAGE(tblData[Generic]))^2,"")</f>
        <v>35408541.796213016</v>
      </c>
      <c r="CE69" s="11">
        <f>tblData[[#This Row],[Dates]]-Generic100dt+1</f>
        <v>8</v>
      </c>
      <c r="CF69" s="11">
        <v>40298</v>
      </c>
      <c r="CG69" s="11"/>
      <c r="CH69" s="11">
        <f>IF(ISNUMBER(tblData[[#This Row],[Tests]]),tblData[[#This Row],[Tests]]-CF68,"")</f>
        <v>1516</v>
      </c>
      <c r="CI69" s="11" t="str">
        <f>IF(ISNUMBER(tblData[[#This Row],[NSW Under Investigation'']]),tblData[[#This Row],[NSW Under Investigation'']]-CG68,"")</f>
        <v/>
      </c>
      <c r="CJ69" s="11">
        <f t="shared" si="2"/>
        <v>15</v>
      </c>
      <c r="CK69" s="11">
        <f>IF(AND(tblData[[#This Row],[NSW Test Day Number]]&gt;0,ISNUMBER(tblData[[#This Row],[NSW Test Day Number]])),betaTests/(deltaTests+betaPodeltaTests*EXP(-betaTests*tblData[[#This Row],[NSW Test Day Number]])),"")</f>
        <v>45500.710008963397</v>
      </c>
      <c r="CL69" s="11">
        <f>IF(tblData[Tests]&gt;0,(tblData[[#This Row],[Tests]]-tblData[[#This Row],[NSW Test Logi]])^2,"")</f>
        <v>27068191.437367909</v>
      </c>
      <c r="CM69" s="95">
        <f>IF(AND(ISNUMBER(tblData[Tests]),tblData[Dates]&gt;StartDt2Tests),(tblData[Tests]-AVERAGE(tblData[Tests]))^2,"")</f>
        <v>4337387788.4469986</v>
      </c>
      <c r="CN69" s="11">
        <f>IF(ISNUMBER(tblData[Tests]),tblData[Tests]/NSWpopscale/100,"")</f>
        <v>498.73762376237619</v>
      </c>
      <c r="CO69" s="95">
        <f ca="1">IF(AND(tblData[[#This Row],[NSW Test Day Number]]&gt;0,ISNUMBER(tblData[[#This Row],[NSW Test Day Number]])),TestsLogestB*TestsLogestM^tblData[[#This Row],[NSW Test Day Number]],"")</f>
        <v>31776.013593004223</v>
      </c>
      <c r="CP69" s="95">
        <f>IF(AND(tblData[[#This Row],[NSW Test Day Number]]&gt;0,ISNUMBER(tblData[Tests])),(tblData[Tests]-tblData[[#This Row],[NSW Test Per Capita]])^2,"")</f>
        <v>1583981285.6926036</v>
      </c>
      <c r="CQ69" s="20">
        <f ca="1">IF(AND(tblData[Day '# NSW]&gt;0,ISNUMBER(tblData[[#This Row],[Day '# NSW]])),NSWLogestB*NSWLogestM^tblData[[#This Row],[Day '# NSW]]/NSWpopscale,"")</f>
        <v>281.02404627635116</v>
      </c>
      <c r="CR69" s="39">
        <f ca="1">IF(AND(ISNUMBER(tblData[NSW]),tblData[Dates]&gt;StartDt2NSW),(tblData[NSW]/NSWpopscale-tblData[[#This Row],[NSW Cases LogEst]])^2,"")</f>
        <v>24291.448663300911</v>
      </c>
      <c r="CS69" s="11">
        <v>135</v>
      </c>
      <c r="CT69" s="19">
        <f>IF(ISNUMBER(tblData[Taiwan]),tblData[Taiwan]/TaiwanPopscale,"")</f>
        <v>56.705339147912809</v>
      </c>
      <c r="CU69" s="11">
        <f ca="1">IF(tblData[[#This Row],[Dates]]&lt;StartDt2Taiwan,"",tblData[[#This Row],[Dates]]-TaiwanStart)</f>
        <v>58</v>
      </c>
      <c r="CV69" s="19">
        <f ca="1">IF(AND(tblData[Dates]&gt;StartDt2Taiwan,ISNUMBER(tblData[Days'# Taiwan])),betaTaiwan/(deltaTaiwan+betaPodeltaTaiwan*EXP(-betaTaiwan*tblData[Days'# Taiwan])),"")</f>
        <v>145.94827776426482</v>
      </c>
      <c r="CW69" s="95">
        <f ca="1">IF(AND(tblData[Dates]&gt;StartDt2Taiwan,ISNUMBER(tblData[Taiwan])),(tblData[[#This Row],[Taiwan LogiP(t)]]-tblData[[#This Row],[Taiwan]])^2,"")</f>
        <v>119.8647860034954</v>
      </c>
      <c r="CX69" s="20">
        <f ca="1">IF(AND(tblData[Dates]&gt;StartDt2Taiwan,ISNUMBER(tblData[Days'# Taiwan])),tblData[[#This Row],[Taiwan LogiP(t)]]/TaiwanPopscale,"")</f>
        <v>61.304048805010503</v>
      </c>
      <c r="CY69" s="95">
        <f ca="1">IF(AND(ISNUMBER(tblData[Taiwan]),tblData[Dates]&gt;StartDt2Taiwan),(tblData[Taiwan]-AVERAGE(tblData[Taiwan]))^2,"")</f>
        <v>1193.6347558631305</v>
      </c>
      <c r="CZ69" s="11">
        <f>tblData[[#This Row],[Dates]]-Taiwan100dt+1</f>
        <v>-5</v>
      </c>
      <c r="DA69">
        <v>39</v>
      </c>
      <c r="DB69" s="20">
        <f>IF(ISNUMBER(tblData[NZ]),tblData[NZ]/NZPopscale,"")</f>
        <v>74.56978967495219</v>
      </c>
      <c r="DC69" s="11">
        <f ca="1">IF(tblData[[#This Row],[Dates]]&lt;StartDt2NZ,"",tblData[[#This Row],[Dates]]-NZStart)</f>
        <v>21</v>
      </c>
      <c r="DD69" s="20">
        <f ca="1">IF(AND(tblData[Dates]&gt;StartDt2NZ,ISNUMBER(tblData[Days'# NZ])),betaNZ/(deltaNZ+betaPodeltaNZ*EXP(-betaNZ*tblData[Days'# NZ])),"")</f>
        <v>80.527525826870416</v>
      </c>
      <c r="DE69" s="95">
        <f ca="1">IF(AND(tblData[Dates]&gt;StartDt2NZ,ISNUMBER(tblData[NZ])),(tblData[[#This Row],[NZ LogiP(t)]]-tblData[[#This Row],[NZ]])^2,"")</f>
        <v>1724.5354013013894</v>
      </c>
      <c r="DF69" s="20">
        <f ca="1">IF(AND(tblData[Dates]&gt;StartDt2NZ,ISNUMBER(tblData[Days'# NZ])),tblData[[#This Row],[NZ LogiP(t)]]/NZPopscale,"")</f>
        <v>153.97232471676944</v>
      </c>
      <c r="DG69" s="95">
        <f ca="1">IF(AND(ISNUMBER(tblData[NZ]),tblData[Dates]&gt;StartDt2NZ),(tblData[NZ]-AVERAGE(tblData[NZ]))^2,"")</f>
        <v>422421.21579430677</v>
      </c>
      <c r="DH69" s="11">
        <f>tblData[[#This Row],[Dates]]-NZ100dt+1</f>
        <v>-1</v>
      </c>
      <c r="DI69" s="39"/>
      <c r="DJ69" s="11"/>
      <c r="DM69" s="25"/>
      <c r="DP69"/>
      <c r="DV69" s="25"/>
      <c r="DW69"/>
      <c r="EA69" s="25"/>
      <c r="EH69"/>
      <c r="EI69"/>
      <c r="EJ69"/>
      <c r="EK69"/>
      <c r="EL69" s="25"/>
      <c r="EM69" s="25"/>
      <c r="EQ69" s="25"/>
      <c r="ER69" s="25"/>
      <c r="ES69" s="25"/>
      <c r="ET69" s="25"/>
      <c r="FF69"/>
      <c r="FG69"/>
      <c r="FH69"/>
      <c r="FI69" s="59"/>
      <c r="FJ69" s="26"/>
      <c r="FK69" s="59"/>
      <c r="FL69" s="26"/>
      <c r="FM69" s="26"/>
      <c r="FN69" s="59"/>
      <c r="FO69" s="265" t="s">
        <v>153</v>
      </c>
      <c r="FP69" s="250"/>
      <c r="FQ69" s="156">
        <v>43855</v>
      </c>
      <c r="FR69" s="26"/>
      <c r="FS69" s="211">
        <v>1</v>
      </c>
      <c r="FT69" s="22">
        <v>0.19302410780606497</v>
      </c>
      <c r="FU69" s="24">
        <v>2.763601010404924E-4</v>
      </c>
      <c r="FV69" s="21">
        <v>9.6455935044007356E-3</v>
      </c>
      <c r="FW69" s="212">
        <v>698.45143014252619</v>
      </c>
      <c r="FX69" s="212">
        <v>3.2654567368634559</v>
      </c>
      <c r="FY69" s="212"/>
      <c r="FZ69" s="213">
        <v>20.011359804951844</v>
      </c>
      <c r="GA69" s="213">
        <v>0.27636010104049241</v>
      </c>
      <c r="GB69" s="156">
        <v>43903</v>
      </c>
      <c r="GC69" s="26" t="s">
        <v>458</v>
      </c>
      <c r="GD69" s="212"/>
      <c r="GE69" s="212"/>
      <c r="GF69" s="19"/>
      <c r="GG69" s="156"/>
      <c r="GH69" s="25"/>
      <c r="GI69" s="26"/>
      <c r="GJ69" s="25"/>
      <c r="GK69" s="17"/>
      <c r="GM69" s="25"/>
      <c r="GN69" s="20"/>
      <c r="GO69" s="156"/>
      <c r="GP69" s="218"/>
      <c r="GQ69" s="156"/>
      <c r="GR69" s="25"/>
      <c r="GS69" s="25"/>
      <c r="GT69" s="11"/>
      <c r="GU69" s="12"/>
      <c r="GV69" s="26"/>
      <c r="GX69" s="219"/>
      <c r="GY69" s="25"/>
      <c r="GZ69" s="25"/>
      <c r="HA69" s="25"/>
      <c r="HK69" s="164">
        <v>43956</v>
      </c>
      <c r="HL69" s="60"/>
      <c r="HQ69" s="166" t="str">
        <f>IF(ISNUMBER(tblNSWKnown[[#This Row],[Unknown Locally]]),tblNSWKnown[[#This Row],[Known Locally]]+tblNSWKnown[[#This Row],[Unknown Locally]],"")</f>
        <v/>
      </c>
      <c r="HR69" s="25">
        <v>32</v>
      </c>
      <c r="HS69" s="166">
        <f>IF(ISNUMBER(tblNSWKnown[[#This Row],[Day '# NSW Unknown]]),betaNSWUnknown/(deltaNSWUnknown+betaPodeltaNSWUnknown*EXP(-betaNSWUnknown*tblNSWKnown[Day '# NSW Unknown])),"")</f>
        <v>1172.4674409854892</v>
      </c>
      <c r="HT69" s="166" t="str">
        <f>IF(ISNUMBER(tblNSWKnown[[#This Row],[Total Local]]),(tblNSWKnown[[#This Row],[Total Local]]-tblNSWKnown[[#This Row],[NSW Unknown Logi P(t)]])^2,"")</f>
        <v/>
      </c>
      <c r="HU69" s="166" t="str">
        <f>IF(ISNUMBER(tblNSWKnown[Total Local]),(tblNSWKnown[Total Local]-AVERAGE(tblNSWKnown[Total Local]))^2,"")</f>
        <v/>
      </c>
      <c r="HV69" s="166"/>
    </row>
    <row r="70" spans="2:237" ht="15" customHeight="1" x14ac:dyDescent="0.25">
      <c r="B70" s="26">
        <v>43911</v>
      </c>
      <c r="D70" s="25">
        <v>9</v>
      </c>
      <c r="E70">
        <v>436</v>
      </c>
      <c r="F70">
        <v>3</v>
      </c>
      <c r="G70">
        <v>221</v>
      </c>
      <c r="H70">
        <v>67</v>
      </c>
      <c r="I70">
        <v>16</v>
      </c>
      <c r="J70">
        <v>229</v>
      </c>
      <c r="K70">
        <v>90</v>
      </c>
      <c r="L70" s="11">
        <f>IF(ISNUMBER(tblData[[#This Row],[NSW]]),tblData[[#This Row],[New South Wales]]/NSWpopscale,"")</f>
        <v>539.60396039603961</v>
      </c>
      <c r="M70" s="25">
        <v>53578</v>
      </c>
      <c r="N70" s="20">
        <f>IF(ISNUMBER(tblData[Italy]),tblData[Italy]/ItalyPopscale,"")</f>
        <v>8858.0639828056555</v>
      </c>
      <c r="O70">
        <v>25600</v>
      </c>
      <c r="P70" s="20">
        <f>IF(ISNUMBER(tblData[US]),tblData[US]/USPopscale,"")</f>
        <v>777.57723372440194</v>
      </c>
      <c r="Q70">
        <v>8799</v>
      </c>
      <c r="R70" s="20">
        <f>IF(ISNUMBER(tblData[SKorea]),tblData[SKorea]/SKoreaPopscale,"")</f>
        <v>1711.8677042801557</v>
      </c>
      <c r="S70">
        <v>5067</v>
      </c>
      <c r="T70" s="20">
        <f>IF(ISNUMBER(tblData[United Kingdom]),tblData[United Kingdom]/UKPopscale,"")</f>
        <v>762.64298615291989</v>
      </c>
      <c r="U70">
        <v>81305</v>
      </c>
      <c r="V70" s="20">
        <f>IF(ISNUMBER(tblData[China]),tblData[China]/ChinaPopscale,"")</f>
        <v>564.88332476486516</v>
      </c>
      <c r="W70" s="25">
        <f ca="1">IF(tblData[[#This Row],[Dates]]&lt;StartDt2China,"",tblData[[#This Row],[Dates]]-ChinaStart)</f>
        <v>59</v>
      </c>
      <c r="X70">
        <v>432</v>
      </c>
      <c r="Y70" s="20">
        <f>IF(ISNUMBER(tblData[Singapore]),tblData[Singapore]/SingaporePopscale,"")</f>
        <v>738.46153846153845</v>
      </c>
      <c r="Z70">
        <v>785</v>
      </c>
      <c r="AA70" s="20">
        <f>IF(AND(LEN(tblData[Generic])&gt;0,ISNUMBER(tblData[Generic])),tblData[Generic]/GenericPopscale,"")</f>
        <v>1602.0408163265306</v>
      </c>
      <c r="AB70" s="25">
        <f ca="1">IF(tblData[[#This Row],[Dates]]&lt;StartDt2Italy,"",tblData[[#This Row],[Dates]]-ItalyStart)</f>
        <v>51</v>
      </c>
      <c r="AC70" s="25">
        <f ca="1">IF(tblData[[#This Row],[Dates]]&lt;=StartDt2US,"",tblData[[#This Row],[Dates]]-USStart)</f>
        <v>59</v>
      </c>
      <c r="AD70" s="25">
        <f>IF(tblData[[#This Row],[Dates]]&lt;=SKoreaStart,"",tblData[[#This Row],[Dates]]-SKoreaStart)</f>
        <v>59</v>
      </c>
      <c r="AE70" s="25">
        <f ca="1">IF(tblData[[#This Row],[Dates]]&lt;=StartDt2UK,"",tblData[[#This Row],[Dates]]-UKStart)</f>
        <v>51</v>
      </c>
      <c r="AF70" s="25">
        <f ca="1">IF(tblData[[#This Row],[Dates]]&lt;StartDt2Singapore,"",tblData[[#This Row],[Dates]]-SingaporeStart)</f>
        <v>58</v>
      </c>
      <c r="AG70" s="25">
        <f>IF(tblData[[#This Row],[Dates]]&lt;StartDt2Generic,"",tblData[[#This Row],[Dates]]-GenericStart)</f>
        <v>21</v>
      </c>
      <c r="AH70">
        <f ca="1">IF(tblData[Dates]&gt;StartDt2Au,tblData[Dates]-AuStart,"")</f>
        <v>56</v>
      </c>
      <c r="AI70" s="25">
        <f>IF(AND(COUNTBLANK(tblData[[#This Row],[Australian Capital Territory]:[Western Australia]])&lt;1,tblData[New South Wales]&gt;=0),SUM(tblData[[#This Row],[Australian Capital Territory]:[Western Australia]]),"")</f>
        <v>1071</v>
      </c>
      <c r="AJ70" s="12">
        <f>IF(ISNUMBER(tblData[Au]),tblData[Au]/AuPopScale,"")</f>
        <v>422.25201072386056</v>
      </c>
      <c r="AK70" s="11">
        <f ca="1">IF(ISNUMBER(tblData[[#This Row],[Day'# Aust]]),betaAu/(deltaAu+betaPodeltaAu*EXP(-betaAu*tblData[[#This Row],[Day'# Aust]])),"")</f>
        <v>1214.3047164868146</v>
      </c>
      <c r="AL70" s="56">
        <f ca="1">IF(ISNUMBER(tblData[Day'# Aust]),tblData[Au LogiP(t)]/AuPopScale,"")</f>
        <v>478.75126813074223</v>
      </c>
      <c r="AM70" s="11">
        <f ca="1">IF(AND(tblData[Dates]&gt;StartDt2Au,ISNUMBER(tblData[Au])),(tblData[[#This Row],[Au LogiP(t)]]-tblData[[#This Row],[Au]])^2,"")</f>
        <v>20536.241767366326</v>
      </c>
      <c r="AN70" s="11">
        <f ca="1">IF(AND(ISNUMBER(tblData[Au]),tblData[Dates]&gt;StartDt2Au),(tblData[Au]-AVERAGE(tblData[Au]))^2,"")</f>
        <v>1898360.3960999998</v>
      </c>
      <c r="AO70" s="11">
        <f>tblData[[#This Row],[Dates]]-Au100dt</f>
        <v>6</v>
      </c>
      <c r="AP70">
        <f ca="1">IF(tblData[Dates]&gt;StartDt2NSW,tblData[Dates]-StartDt2NSW,"")</f>
        <v>56</v>
      </c>
      <c r="AQ70" s="25">
        <f>IF(tblData[[#This Row],[New South Wales]]&gt;0,tblData[[#This Row],[New South Wales]],"")</f>
        <v>436</v>
      </c>
      <c r="AR70" s="11">
        <f ca="1">IF(tblData[Dates]&gt;StartDt2NSW,betaNSW/(deltaNSW+betaPodeltaNSW*EXP(-betaNSW*tblData[[#This Row],[Day '# NSW]])),"")</f>
        <v>510.51597522859322</v>
      </c>
      <c r="AS70" s="12">
        <f ca="1">IF(AND(ISNUMBER(tblData[NSW]),tblData[Dates]&gt;StartDt2NSW),(tblData[[#This Row],[NSW LogiP(t)]]-tblData[[#This Row],[NSW]])^2,"")</f>
        <v>5552.6305642683183</v>
      </c>
      <c r="AT70" s="12">
        <f ca="1">IF(AND(tblData[Dates]&gt;StartDt2NSW,ISNUMBER(tblData[Day'# Aust])),tblData[NSW LogiP(t)]/NSWpopscale,"")</f>
        <v>631.82670201558562</v>
      </c>
      <c r="AU70" s="11">
        <f>tblData[[#This Row],[Dates]]-NSW100dt+1</f>
        <v>9</v>
      </c>
      <c r="AV70" s="11">
        <f ca="1">IF(AND(ISNUMBER(tblData[NSW]),tblData[Dates]&gt;StartDt2NSW),(tblData[NSW]-AVERAGE(tblData[NSW]))^2,"")</f>
        <v>433306.22759999998</v>
      </c>
      <c r="AW70" s="11">
        <f ca="1">IF(AND(tblData[Dates]&gt;StartDt2Italy,ISNUMBER(tblData[Days'# Italy])),betaItaly/(deltaItaly+betaPodeltaItaly*EXP(-betaItaly*tblData[Days'# Italy])),"")</f>
        <v>84977.734972078732</v>
      </c>
      <c r="AX70" s="11">
        <f ca="1">IF(AND(tblData[Dates]&gt;StartDt2Italy,ISNUMBER(tblData[Italy])),(tblData[[#This Row],[Italy LogiP(t)]]-tblData[[#This Row],[Italy]])^2,"")</f>
        <v>985943356.31678414</v>
      </c>
      <c r="AY70" s="11">
        <f ca="1">IF(AND(tblData[Dates]&gt;StartDt2Italy,ISNUMBER(tblData[Days'# Italy])),tblData[[#This Row],[Italy LogiP(t)]]/ItalyPopscale,"")</f>
        <v>14049.389926771717</v>
      </c>
      <c r="AZ70" s="39">
        <f ca="1">IF(AND(ISNUMBER(tblData[Italy]),tblData[Dates]&gt;StartDt2Italy),(tblData[Italy]-AVERAGE(tblData[Italy]))^2,"")</f>
        <v>261488510.79323199</v>
      </c>
      <c r="BA70" s="11">
        <f>tblData[[#This Row],[Dates]]-Italy100dt+1</f>
        <v>24</v>
      </c>
      <c r="BB70" s="11">
        <f ca="1">IF(AND(tblData[Dates]&gt;StartDt2US,ISNUMBER(tblData[[#This Row],[Days'# US]])),betaUS/(deltaUS+betaPodeltaUS*EXP(-betaUS*tblData[Days'# US])),"")</f>
        <v>18250.202962014493</v>
      </c>
      <c r="BC70" s="11">
        <f ca="1">IF(AND(tblData[Dates]&gt;StartDt2US,ISNUMBER(tblData[US])),(tblData[[#This Row],[US LogiP(t)]]-tblData[US])^2,"")</f>
        <v>54019516.499580532</v>
      </c>
      <c r="BD70" s="20">
        <f ca="1">IF(AND(tblData[Dates]&gt;=StartDt2US,ISNUMBER(tblData[[#This Row],[Days'# US]])),tblData[[#This Row],[US LogiP(t)]]/USPopscale,"")</f>
        <v>554.33368492625448</v>
      </c>
      <c r="BE70" s="126">
        <f ca="1">IF(AND(ISNUMBER(tblData[US]),tblData[Dates]&gt;StartDt2US),(tblData[US]-AVERAGE(tblData[US]))^2,"")</f>
        <v>39340042876.020859</v>
      </c>
      <c r="BF70" s="11">
        <f>tblData[[#This Row],[Dates]]-US100dt+1</f>
        <v>7</v>
      </c>
      <c r="BG70" s="20">
        <f ca="1">IF(tblData[Dates]&gt;StartDt2SKorea,betaSKorea/(deltaSKorea+betaPodeltaSKorea*EXP(-betaSKorea*(tblData[Dates]-StartDt2SKorea))),"")</f>
        <v>9684.0844921292537</v>
      </c>
      <c r="BH70" s="20">
        <f ca="1">IF(AND(tblData[Dates]&gt;StartDt2SKorea,ISNUMBER(tblData[SKorea])),(tblData[[#This Row],[SKorea LogiP(t)]]-tblData[[#This Row],[SKorea]])^2,"")</f>
        <v>783374.55820769898</v>
      </c>
      <c r="BI70" s="20">
        <f ca="1">IF(tblData[Dates]&gt;StartDt2SKorea,tblData[[#This Row],[SKorea LogiP(t)]]/SKoreaPopscale,"")</f>
        <v>1884.0631307644464</v>
      </c>
      <c r="BJ70" s="126">
        <f ca="1">IF(AND(ISNUMBER(tblData[SKorea]),tblData[Dates]&gt;StartDt2SKorea),(tblData[SKorea]-AVERAGE(tblData[SKorea]))^2,"")</f>
        <v>8848408.4721261077</v>
      </c>
      <c r="BK70" s="11">
        <f>tblData[[#This Row],[Dates]]-SKorea100dt+1</f>
        <v>28</v>
      </c>
      <c r="BL70" s="11">
        <f ca="1">IF(AND(tblData[Dates]&gt;StartDt2UK,ISNUMBER(tblData[Days'# UK])),betaUK/(deltaUK+betaPodeltaUK*EXP(-betaUK*tblData[Days'# UK])),"")</f>
        <v>4495.104787117366</v>
      </c>
      <c r="BM70" s="20">
        <f ca="1">IF(AND(tblData[Dates]&gt;StartDt2UK,ISNUMBER(tblData[United Kingdom])),(tblData[[#This Row],[UK LogiP(t)]]-tblData[[#This Row],[United Kingdom]])^2,"")</f>
        <v>327064.13451807329</v>
      </c>
      <c r="BN70" s="20">
        <f ca="1">IF(ISNUMBER(tblData[Days'# UK]),tblData[[#This Row],[UK LogiP(t)]]/UKPopscale,"")</f>
        <v>676.56604261248731</v>
      </c>
      <c r="BO70" s="126">
        <f ca="1">IF(AND(ISNUMBER(tblData[United Kingdom]),tblData[Dates]&gt;StartDt2UK),(tblData[United Kingdom]-AVERAGE(tblData[United Kingdom]))^2,"")</f>
        <v>1082412100.0010185</v>
      </c>
      <c r="BP70" s="11">
        <f>tblData[[#This Row],[Dates]]-UK100dt</f>
        <v>9</v>
      </c>
      <c r="BQ70" s="11">
        <f ca="1">IF(ISNUMBER(tblData[Days'# China]),betaChina/(deltaChina+betaPodeltaChina*EXP(-betaChina*tblData[Days'# China])),"")</f>
        <v>82115.891550970715</v>
      </c>
      <c r="BR70" s="11">
        <f ca="1">IF(ISNUMBER(tblData[China]),(tblData[[#This Row],[China LogiP(t)]]-tblData[[#This Row],[China]])^2,"")</f>
        <v>657545.10743569152</v>
      </c>
      <c r="BS70" s="11">
        <f ca="1">tblData[[#This Row],[China LogiP(t)]]/ChinaPopscale</f>
        <v>570.51716174089461</v>
      </c>
      <c r="BT70" s="126">
        <f ca="1">IF(AND(ISNUMBER(tblData[China]),tblData[Dates]&gt;StartDt2China),(tblData[China]-AVERAGE(tblData[China]))^2,"")</f>
        <v>198824929.69204134</v>
      </c>
      <c r="BU70" s="11">
        <f>tblData[[#This Row],[Dates]]-China100dt</f>
        <v>48</v>
      </c>
      <c r="BV70" s="95">
        <f ca="1">IF(ISNUMBER(tblData[Day'# Singapore]),betaSingapore/(deltaSingapore+betaPodeltaSingapore*EXP(-betaSingapore*tblData[Day'# Singapore])),"")</f>
        <v>177.25145410930989</v>
      </c>
      <c r="BW70" s="11">
        <f ca="1">IF(AND(ISNUMBER(tblData[Singapore]),tblData[Dates]&gt;=StartDt2Singapore),(tblData[[#This Row],[Singapore LogiP(t)]]-tblData[[#This Row],[Singapore]])^2,"")</f>
        <v>64896.821633421045</v>
      </c>
      <c r="BX70" s="20">
        <f ca="1">IF(ISNUMBER(tblData[Day'# Singapore]),tblData[Singapore LogiP(t)]/SingaporePopscale,"")</f>
        <v>302.993938648393</v>
      </c>
      <c r="BY70" s="95">
        <f ca="1">IF(AND(ISNUMBER(tblData[Singapore]),tblData[Dates]&gt;StartDt2Singapore),(tblData[Singapore]-AVERAGE(tblData[Singapore]))^2,"")</f>
        <v>3567580.2541330266</v>
      </c>
      <c r="BZ70" s="11">
        <f>tblData[[#This Row],[Dates]]-Singapore100dt+1</f>
        <v>37</v>
      </c>
      <c r="CA70" s="44">
        <f>IF(AND(tblData[Dates]&gt;StartDt2Generic,ISNUMBER(tblData[Day'# Generic])),betaGeneric/(deltaGeneric+betaPodeltaGeneric*EXP(-betaGeneric*tblData[Day'# Generic])),"")</f>
        <v>894.94209001810395</v>
      </c>
      <c r="CB70" s="95">
        <f>IF(AND(ISNUMBER(tblData[Generic]),tblData[Dates]&gt;StartDt2Generic),(tblData[Generic LogiP(t)]-tblData[[#This Row],[Generic]])^2,"")</f>
        <v>12087.263157548874</v>
      </c>
      <c r="CC70" s="11">
        <f>IF(AND(ISNUMBER(tblData[Day'# Generic]),tblData[Dates]&gt;StartDt2Generic),tblData[Generic LogiP(t)]/GenericPopscale,"")</f>
        <v>1826.4124286083754</v>
      </c>
      <c r="CD70" s="95">
        <f>IF(AND(ISNUMBER(tblData[Generic]),tblData[Dates]&gt;StartDt2Generic),(tblData[Generic]-AVERAGE(tblData[Generic]))^2,"")</f>
        <v>34205042.226982251</v>
      </c>
      <c r="CE70" s="11">
        <f>tblData[[#This Row],[Dates]]-Generic100dt+1</f>
        <v>9</v>
      </c>
      <c r="CF70" s="11">
        <v>46456</v>
      </c>
      <c r="CG70" s="11"/>
      <c r="CH70" s="11">
        <f>IF(ISNUMBER(tblData[[#This Row],[Tests]]),tblData[[#This Row],[Tests]]-CF69,"")</f>
        <v>6158</v>
      </c>
      <c r="CI70" s="11" t="str">
        <f>IF(ISNUMBER(tblData[[#This Row],[NSW Under Investigation'']]),tblData[[#This Row],[NSW Under Investigation'']]-CG69,"")</f>
        <v/>
      </c>
      <c r="CJ70" s="11">
        <f t="shared" si="2"/>
        <v>16</v>
      </c>
      <c r="CK70" s="11">
        <f>IF(AND(tblData[[#This Row],[NSW Test Day Number]]&gt;0,ISNUMBER(tblData[[#This Row],[NSW Test Day Number]])),betaTests/(deltaTests+betaPodeltaTests*EXP(-betaTests*tblData[[#This Row],[NSW Test Day Number]])),"")</f>
        <v>51639.447056110657</v>
      </c>
      <c r="CL70" s="11">
        <f>IF(tblData[Tests]&gt;0,(tblData[[#This Row],[Tests]]-tblData[[#This Row],[NSW Test Logi]])^2,"")</f>
        <v>26868123.383502241</v>
      </c>
      <c r="CM70" s="95">
        <f>IF(AND(ISNUMBER(tblData[Tests]),tblData[Dates]&gt;StartDt2Tests),(tblData[Tests]-AVERAGE(tblData[Tests]))^2,"")</f>
        <v>3564191187.1588631</v>
      </c>
      <c r="CN70" s="11">
        <f>IF(ISNUMBER(tblData[Tests]),tblData[Tests]/NSWpopscale/100,"")</f>
        <v>574.95049504950487</v>
      </c>
      <c r="CO70" s="95">
        <f ca="1">IF(AND(tblData[[#This Row],[NSW Test Day Number]]&gt;0,ISNUMBER(tblData[[#This Row],[NSW Test Day Number]])),TestsLogestB*TestsLogestM^tblData[[#This Row],[NSW Test Day Number]],"")</f>
        <v>33682.937758292661</v>
      </c>
      <c r="CP70" s="95">
        <f>IF(AND(tblData[[#This Row],[NSW Test Day Number]]&gt;0,ISNUMBER(tblData[Tests])),(tblData[Tests]-tblData[[#This Row],[NSW Test Per Capita]])^2,"")</f>
        <v>2105070703.6757183</v>
      </c>
      <c r="CQ70" s="20">
        <f ca="1">IF(AND(tblData[Day '# NSW]&gt;0,ISNUMBER(tblData[[#This Row],[Day '# NSW]])),NSWLogestB*NSWLogestM^tblData[[#This Row],[Day '# NSW]]/NSWpopscale,"")</f>
        <v>309.39500653882118</v>
      </c>
      <c r="CR70" s="39">
        <f ca="1">IF(AND(ISNUMBER(tblData[NSW]),tblData[Dates]&gt;StartDt2NSW),(tblData[NSW]/NSWpopscale-tblData[[#This Row],[NSW Cases LogEst]])^2,"")</f>
        <v>52996.162436034923</v>
      </c>
      <c r="CS70" s="11">
        <v>153</v>
      </c>
      <c r="CT70" s="19">
        <f>IF(ISNUMBER(tblData[Taiwan]),tblData[Taiwan]/TaiwanPopscale,"")</f>
        <v>64.266051034301185</v>
      </c>
      <c r="CU70" s="11">
        <f ca="1">IF(tblData[[#This Row],[Dates]]&lt;StartDt2Taiwan,"",tblData[[#This Row],[Dates]]-TaiwanStart)</f>
        <v>59</v>
      </c>
      <c r="CV70" s="19">
        <f ca="1">IF(AND(tblData[Dates]&gt;StartDt2Taiwan,ISNUMBER(tblData[Days'# Taiwan])),betaTaiwan/(deltaTaiwan+betaPodeltaTaiwan*EXP(-betaTaiwan*tblData[Days'# Taiwan])),"")</f>
        <v>160.41800982559914</v>
      </c>
      <c r="CW70" s="95">
        <f ca="1">IF(AND(tblData[Dates]&gt;StartDt2Taiwan,ISNUMBER(tblData[Taiwan])),(tblData[[#This Row],[Taiwan LogiP(t)]]-tblData[[#This Row],[Taiwan]])^2,"")</f>
        <v>55.026869772685423</v>
      </c>
      <c r="CX70" s="20">
        <f ca="1">IF(AND(tblData[Dates]&gt;StartDt2Taiwan,ISNUMBER(tblData[Days'# Taiwan])),tblData[[#This Row],[Taiwan LogiP(t)]]/TaiwanPopscale,"")</f>
        <v>67.381908537731917</v>
      </c>
      <c r="CY70" s="95">
        <f ca="1">IF(AND(ISNUMBER(tblData[Taiwan]),tblData[Dates]&gt;StartDt2Taiwan),(tblData[Taiwan]-AVERAGE(tblData[Taiwan]))^2,"")</f>
        <v>273.87004998077703</v>
      </c>
      <c r="CZ70" s="11">
        <f>tblData[[#This Row],[Dates]]-Taiwan100dt+1</f>
        <v>-4</v>
      </c>
      <c r="DA70">
        <v>52</v>
      </c>
      <c r="DB70" s="20">
        <f>IF(ISNUMBER(tblData[NZ]),tblData[NZ]/NZPopscale,"")</f>
        <v>99.426386233269596</v>
      </c>
      <c r="DC70" s="11">
        <f ca="1">IF(tblData[[#This Row],[Dates]]&lt;StartDt2NZ,"",tblData[[#This Row],[Dates]]-NZStart)</f>
        <v>22</v>
      </c>
      <c r="DD70" s="20">
        <f ca="1">IF(AND(tblData[Dates]&gt;StartDt2NZ,ISNUMBER(tblData[Days'# NZ])),betaNZ/(deltaNZ+betaPodeltaNZ*EXP(-betaNZ*tblData[Days'# NZ])),"")</f>
        <v>100.20620993418231</v>
      </c>
      <c r="DE70" s="95">
        <f ca="1">IF(AND(tblData[Dates]&gt;StartDt2NZ,ISNUMBER(tblData[NZ])),(tblData[[#This Row],[NZ LogiP(t)]]-tblData[[#This Row],[NZ]])^2,"")</f>
        <v>2323.8386762184573</v>
      </c>
      <c r="DF70" s="20">
        <f ca="1">IF(AND(tblData[Dates]&gt;StartDt2NZ,ISNUMBER(tblData[Days'# NZ])),tblData[[#This Row],[NZ LogiP(t)]]/NZPopscale,"")</f>
        <v>191.59887176707898</v>
      </c>
      <c r="DG70" s="95">
        <f ca="1">IF(AND(ISNUMBER(tblData[NZ]),tblData[Dates]&gt;StartDt2NZ),(tblData[NZ]-AVERAGE(tblData[NZ]))^2,"")</f>
        <v>405691.79155188252</v>
      </c>
      <c r="DH70" s="11">
        <f>tblData[[#This Row],[Dates]]-NZ100dt+1</f>
        <v>0</v>
      </c>
      <c r="DI70" s="39"/>
      <c r="DJ70" s="11"/>
      <c r="DM70" s="25"/>
      <c r="DP70"/>
      <c r="DV70" s="25"/>
      <c r="DW70"/>
      <c r="EA70" s="25"/>
      <c r="EH70"/>
      <c r="EI70"/>
      <c r="EJ70"/>
      <c r="EK70"/>
      <c r="EL70" s="25"/>
      <c r="EM70" s="25"/>
      <c r="EQ70" s="25"/>
      <c r="ER70" s="25"/>
      <c r="ES70" s="25"/>
      <c r="ET70" s="25"/>
      <c r="FF70"/>
      <c r="FG70"/>
      <c r="FH70"/>
      <c r="FI70"/>
      <c r="FJ70"/>
      <c r="FK70"/>
      <c r="FL70"/>
      <c r="FO70" s="265" t="s">
        <v>153</v>
      </c>
      <c r="FP70" s="250"/>
      <c r="FQ70" s="156">
        <v>43855</v>
      </c>
      <c r="FR70" s="26"/>
      <c r="FS70" s="211">
        <v>1</v>
      </c>
      <c r="FT70" s="22">
        <v>0.20197976034974141</v>
      </c>
      <c r="FU70" s="24">
        <v>3.7238456472139586E-4</v>
      </c>
      <c r="FV70" s="21">
        <v>6.7779266478176703E-3</v>
      </c>
      <c r="FW70" s="212">
        <v>542.39562937001722</v>
      </c>
      <c r="FX70" s="212">
        <v>3.1776191206100863</v>
      </c>
      <c r="FY70" s="212"/>
      <c r="FZ70" s="213">
        <v>29.799265593927426</v>
      </c>
      <c r="GA70" s="213">
        <v>0.37238456472139586</v>
      </c>
      <c r="GB70" s="156">
        <v>43904</v>
      </c>
      <c r="GC70" s="26" t="s">
        <v>459</v>
      </c>
      <c r="GD70" s="212"/>
      <c r="GE70" s="212"/>
      <c r="GF70" s="19"/>
      <c r="GG70" s="156"/>
      <c r="GH70" s="25"/>
      <c r="GI70" s="18"/>
      <c r="GJ70" s="25"/>
      <c r="GK70" s="25"/>
      <c r="GM70" s="25"/>
      <c r="GN70" s="20"/>
      <c r="GO70" s="156"/>
      <c r="GP70" s="218"/>
      <c r="GQ70" s="156"/>
      <c r="GR70" s="25"/>
      <c r="GS70" s="25"/>
      <c r="GT70" s="11"/>
      <c r="GU70" s="12"/>
      <c r="GV70" s="26"/>
      <c r="GX70" s="219"/>
      <c r="GY70" s="25"/>
      <c r="GZ70" s="25"/>
      <c r="HA70" s="25"/>
      <c r="HK70" s="164">
        <v>43957</v>
      </c>
      <c r="HL70" s="60"/>
      <c r="HQ70" s="166" t="str">
        <f>IF(ISNUMBER(tblNSWKnown[[#This Row],[Unknown Locally]]),tblNSWKnown[[#This Row],[Known Locally]]+tblNSWKnown[[#This Row],[Unknown Locally]],"")</f>
        <v/>
      </c>
      <c r="HR70" s="25">
        <v>32</v>
      </c>
      <c r="HS70" s="166">
        <f>IF(ISNUMBER(tblNSWKnown[[#This Row],[Day '# NSW Unknown]]),betaNSWUnknown/(deltaNSWUnknown+betaPodeltaNSWUnknown*EXP(-betaNSWUnknown*tblNSWKnown[Day '# NSW Unknown])),"")</f>
        <v>1172.4674409854892</v>
      </c>
      <c r="HT70" s="166" t="str">
        <f>IF(ISNUMBER(tblNSWKnown[[#This Row],[Total Local]]),(tblNSWKnown[[#This Row],[Total Local]]-tblNSWKnown[[#This Row],[NSW Unknown Logi P(t)]])^2,"")</f>
        <v/>
      </c>
      <c r="HU70" s="166" t="str">
        <f>IF(ISNUMBER(tblNSWKnown[Total Local]),(tblNSWKnown[Total Local]-AVERAGE(tblNSWKnown[Total Local]))^2,"")</f>
        <v/>
      </c>
      <c r="HV70" s="166"/>
    </row>
    <row r="71" spans="2:237" x14ac:dyDescent="0.25">
      <c r="B71" s="26">
        <v>43912</v>
      </c>
      <c r="D71" s="25">
        <v>19</v>
      </c>
      <c r="E71">
        <v>669</v>
      </c>
      <c r="F71">
        <v>5</v>
      </c>
      <c r="G71">
        <v>259</v>
      </c>
      <c r="H71">
        <v>100</v>
      </c>
      <c r="I71">
        <v>22</v>
      </c>
      <c r="J71">
        <v>355</v>
      </c>
      <c r="K71">
        <v>120</v>
      </c>
      <c r="L71" s="11">
        <f>IF(ISNUMBER(tblData[[#This Row],[NSW]]),tblData[[#This Row],[New South Wales]]/NSWpopscale,"")</f>
        <v>827.97029702970292</v>
      </c>
      <c r="M71" s="25">
        <v>59138</v>
      </c>
      <c r="N71" s="20">
        <f>IF(ISNUMBER(tblData[Italy]),tblData[Italy]/ItalyPopscale,"")</f>
        <v>9777.3001570637352</v>
      </c>
      <c r="O71">
        <v>33276</v>
      </c>
      <c r="P71" s="20">
        <f>IF(ISNUMBER(tblData[US]),tblData[US]/USPopscale,"")</f>
        <v>1010.7289073989531</v>
      </c>
      <c r="Q71">
        <v>8961</v>
      </c>
      <c r="R71" s="20">
        <f>IF(ISNUMBER(tblData[SKorea]),tblData[SKorea]/SKoreaPopscale,"")</f>
        <v>1743.3852140077822</v>
      </c>
      <c r="S71">
        <v>5745</v>
      </c>
      <c r="T71" s="20">
        <f>IF(ISNUMBER(tblData[United Kingdom]),tblData[United Kingdom]/UKPopscale,"")</f>
        <v>864.68994581577363</v>
      </c>
      <c r="U71">
        <v>81435</v>
      </c>
      <c r="V71" s="20">
        <f>IF(ISNUMBER(tblData[China]),tblData[China]/ChinaPopscale,"")</f>
        <v>565.78652668626523</v>
      </c>
      <c r="W71" s="25">
        <f ca="1">IF(tblData[[#This Row],[Dates]]&lt;StartDt2China,"",tblData[[#This Row],[Dates]]-ChinaStart)</f>
        <v>60</v>
      </c>
      <c r="X71">
        <v>455</v>
      </c>
      <c r="Y71" s="20">
        <f>IF(ISNUMBER(tblData[Singapore]),tblData[Singapore]/SingaporePopscale,"")</f>
        <v>777.77777777777783</v>
      </c>
      <c r="Z71">
        <v>906</v>
      </c>
      <c r="AA71" s="20">
        <f>IF(AND(LEN(tblData[Generic])&gt;0,ISNUMBER(tblData[Generic])),tblData[Generic]/GenericPopscale,"")</f>
        <v>1848.9795918367347</v>
      </c>
      <c r="AB71" s="25">
        <f ca="1">IF(tblData[[#This Row],[Dates]]&lt;StartDt2Italy,"",tblData[[#This Row],[Dates]]-ItalyStart)</f>
        <v>52</v>
      </c>
      <c r="AC71" s="25">
        <f ca="1">IF(tblData[[#This Row],[Dates]]&lt;=StartDt2US,"",tblData[[#This Row],[Dates]]-USStart)</f>
        <v>60</v>
      </c>
      <c r="AD71" s="25">
        <f>IF(tblData[[#This Row],[Dates]]&lt;=SKoreaStart,"",tblData[[#This Row],[Dates]]-SKoreaStart)</f>
        <v>60</v>
      </c>
      <c r="AE71" s="25">
        <f ca="1">IF(tblData[[#This Row],[Dates]]&lt;=StartDt2UK,"",tblData[[#This Row],[Dates]]-UKStart)</f>
        <v>52</v>
      </c>
      <c r="AF71" s="25">
        <f ca="1">IF(tblData[[#This Row],[Dates]]&lt;StartDt2Singapore,"",tblData[[#This Row],[Dates]]-SingaporeStart)</f>
        <v>59</v>
      </c>
      <c r="AG71" s="25">
        <f>IF(tblData[[#This Row],[Dates]]&lt;StartDt2Generic,"",tblData[[#This Row],[Dates]]-GenericStart)</f>
        <v>22</v>
      </c>
      <c r="AH71">
        <f ca="1">IF(tblData[Dates]&gt;StartDt2Au,tblData[Dates]-AuStart,"")</f>
        <v>57</v>
      </c>
      <c r="AI71" s="25">
        <f>IF(AND(COUNTBLANK(tblData[[#This Row],[Australian Capital Territory]:[Western Australia]])&lt;1,tblData[New South Wales]&gt;=0),SUM(tblData[[#This Row],[Australian Capital Territory]:[Western Australia]]),"")</f>
        <v>1549</v>
      </c>
      <c r="AJ71" s="12">
        <f>IF(ISNUMBER(tblData[Au]),tblData[Au]/AuPopScale,"")</f>
        <v>610.70809020659203</v>
      </c>
      <c r="AK71" s="11">
        <f ca="1">IF(ISNUMBER(tblData[[#This Row],[Day'# Aust]]),betaAu/(deltaAu+betaPodeltaAu*EXP(-betaAu*tblData[[#This Row],[Day'# Aust]])),"")</f>
        <v>1454.9982458981858</v>
      </c>
      <c r="AL71" s="56">
        <f ca="1">IF(ISNUMBER(tblData[Day'# Aust]),tblData[Au LogiP(t)]/AuPopScale,"")</f>
        <v>573.64699806741282</v>
      </c>
      <c r="AM71" s="11">
        <f ca="1">IF(AND(tblData[Dates]&gt;StartDt2Au,ISNUMBER(tblData[Au])),(tblData[[#This Row],[Au LogiP(t)]]-tblData[[#This Row],[Au]])^2,"")</f>
        <v>8836.3297742179402</v>
      </c>
      <c r="AN71" s="11">
        <f ca="1">IF(AND(ISNUMBER(tblData[Au]),tblData[Dates]&gt;StartDt2Au),(tblData[Au]-AVERAGE(tblData[Au]))^2,"")</f>
        <v>809658.03609999991</v>
      </c>
      <c r="AO71" s="11">
        <f>tblData[[#This Row],[Dates]]-Au100dt</f>
        <v>7</v>
      </c>
      <c r="AP71">
        <f ca="1">IF(tblData[Dates]&gt;StartDt2NSW,tblData[Dates]-StartDt2NSW,"")</f>
        <v>57</v>
      </c>
      <c r="AQ71" s="25">
        <f>IF(tblData[[#This Row],[New South Wales]]&gt;0,tblData[[#This Row],[New South Wales]],"")</f>
        <v>669</v>
      </c>
      <c r="AR71" s="11">
        <f ca="1">IF(tblData[Dates]&gt;StartDt2NSW,betaNSW/(deltaNSW+betaPodeltaNSW*EXP(-betaNSW*tblData[[#This Row],[Day '# NSW]])),"")</f>
        <v>617.31760717876739</v>
      </c>
      <c r="AS71" s="12">
        <f ca="1">IF(AND(ISNUMBER(tblData[NSW]),tblData[Dates]&gt;StartDt2NSW),(tblData[[#This Row],[NSW LogiP(t)]]-tblData[[#This Row],[NSW]])^2,"")</f>
        <v>2671.0697277281961</v>
      </c>
      <c r="AT71" s="12">
        <f ca="1">IF(AND(tblData[Dates]&gt;StartDt2NSW,ISNUMBER(tblData[Day'# Aust])),tblData[NSW LogiP(t)]/NSWpopscale,"")</f>
        <v>764.00693957768237</v>
      </c>
      <c r="AU71" s="11">
        <f>tblData[[#This Row],[Dates]]-NSW100dt+1</f>
        <v>10</v>
      </c>
      <c r="AV71" s="11">
        <f ca="1">IF(AND(ISNUMBER(tblData[NSW]),tblData[Dates]&gt;StartDt2NSW),(tblData[NSW]-AVERAGE(tblData[NSW]))^2,"")</f>
        <v>180846.06759999998</v>
      </c>
      <c r="AW71" s="11">
        <f ca="1">IF(AND(tblData[Dates]&gt;StartDt2Italy,ISNUMBER(tblData[Days'# Italy])),betaItaly/(deltaItaly+betaPodeltaItaly*EXP(-betaItaly*tblData[Days'# Italy])),"")</f>
        <v>95042.517838917716</v>
      </c>
      <c r="AX71" s="11">
        <f ca="1">IF(AND(tblData[Dates]&gt;StartDt2Italy,ISNUMBER(tblData[Italy])),(tblData[[#This Row],[Italy LogiP(t)]]-tblData[[#This Row],[Italy]])^2,"")</f>
        <v>1289134401.2451606</v>
      </c>
      <c r="AY71" s="11">
        <f ca="1">IF(AND(tblData[Dates]&gt;StartDt2Italy,ISNUMBER(tblData[Days'# Italy])),tblData[[#This Row],[Italy LogiP(t)]]/ItalyPopscale,"")</f>
        <v>15713.4029658457</v>
      </c>
      <c r="AZ71" s="39">
        <f ca="1">IF(AND(ISNUMBER(tblData[Italy]),tblData[Dates]&gt;StartDt2Italy),(tblData[Italy]-AVERAGE(tblData[Italy]))^2,"")</f>
        <v>112584967.81450868</v>
      </c>
      <c r="BA71" s="11">
        <f>tblData[[#This Row],[Dates]]-Italy100dt+1</f>
        <v>25</v>
      </c>
      <c r="BB71" s="11">
        <f ca="1">IF(AND(tblData[Dates]&gt;StartDt2US,ISNUMBER(tblData[[#This Row],[Days'# US]])),betaUS/(deltaUS+betaPodeltaUS*EXP(-betaUS*tblData[Days'# US])),"")</f>
        <v>24061.430349206239</v>
      </c>
      <c r="BC71" s="11">
        <f ca="1">IF(AND(tblData[Dates]&gt;StartDt2US,ISNUMBER(tblData[US])),(tblData[[#This Row],[US LogiP(t)]]-tblData[US])^2,"")</f>
        <v>84908293.849329457</v>
      </c>
      <c r="BD71" s="20">
        <f ca="1">IF(AND(tblData[Dates]&gt;=StartDt2US,ISNUMBER(tblData[[#This Row],[Days'# US]])),tblData[[#This Row],[US LogiP(t)]]/USPopscale,"")</f>
        <v>730.84454884328738</v>
      </c>
      <c r="BE71" s="126">
        <f ca="1">IF(AND(ISNUMBER(tblData[US]),tblData[Dates]&gt;StartDt2US),(tblData[US]-AVERAGE(tblData[US]))^2,"")</f>
        <v>36353998353.275757</v>
      </c>
      <c r="BF71" s="11">
        <f>tblData[[#This Row],[Dates]]-US100dt+1</f>
        <v>8</v>
      </c>
      <c r="BG71" s="20">
        <f ca="1">IF(tblData[Dates]&gt;StartDt2SKorea,betaSKorea/(deltaSKorea+betaPodeltaSKorea*EXP(-betaSKorea*(tblData[Dates]-StartDt2SKorea))),"")</f>
        <v>9769.4107887391874</v>
      </c>
      <c r="BH71" s="20">
        <f ca="1">IF(AND(tblData[Dates]&gt;StartDt2SKorea,ISNUMBER(tblData[SKorea])),(tblData[[#This Row],[SKorea LogiP(t)]]-tblData[[#This Row],[SKorea]])^2,"")</f>
        <v>653528.00334991515</v>
      </c>
      <c r="BI71" s="20">
        <f ca="1">IF(tblData[Dates]&gt;StartDt2SKorea,tblData[[#This Row],[SKorea LogiP(t)]]/SKoreaPopscale,"")</f>
        <v>1900.6635775757175</v>
      </c>
      <c r="BJ71" s="126">
        <f ca="1">IF(AND(ISNUMBER(tblData[SKorea]),tblData[Dates]&gt;StartDt2SKorea),(tblData[SKorea]-AVERAGE(tblData[SKorea]))^2,"")</f>
        <v>9838431.766243754</v>
      </c>
      <c r="BK71" s="11">
        <f>tblData[[#This Row],[Dates]]-SKorea100dt+1</f>
        <v>29</v>
      </c>
      <c r="BL71" s="11">
        <f ca="1">IF(AND(tblData[Dates]&gt;StartDt2UK,ISNUMBER(tblData[Days'# UK])),betaUK/(deltaUK+betaPodeltaUK*EXP(-betaUK*tblData[Days'# UK])),"")</f>
        <v>5522.0297577363162</v>
      </c>
      <c r="BM71" s="20">
        <f ca="1">IF(AND(tblData[Dates]&gt;StartDt2UK,ISNUMBER(tblData[United Kingdom])),(tblData[[#This Row],[UK LogiP(t)]]-tblData[[#This Row],[United Kingdom]])^2,"")</f>
        <v>49715.72893512583</v>
      </c>
      <c r="BN71" s="20">
        <f ca="1">IF(ISNUMBER(tblData[Days'# UK]),tblData[[#This Row],[UK LogiP(t)]]/UKPopscale,"")</f>
        <v>831.13030670323838</v>
      </c>
      <c r="BO71" s="126">
        <f ca="1">IF(AND(ISNUMBER(tblData[United Kingdom]),tblData[Dates]&gt;StartDt2UK),(tblData[United Kingdom]-AVERAGE(tblData[United Kingdom]))^2,"")</f>
        <v>1038259340.7244228</v>
      </c>
      <c r="BP71" s="11">
        <f>tblData[[#This Row],[Dates]]-UK100dt</f>
        <v>10</v>
      </c>
      <c r="BQ71" s="11">
        <f ca="1">IF(ISNUMBER(tblData[Days'# China]),betaChina/(deltaChina+betaPodeltaChina*EXP(-betaChina*tblData[Days'# China])),"")</f>
        <v>82117.72823174551</v>
      </c>
      <c r="BR71" s="11">
        <f ca="1">IF(ISNUMBER(tblData[China]),(tblData[[#This Row],[China LogiP(t)]]-tblData[[#This Row],[China]])^2,"")</f>
        <v>466117.83842235099</v>
      </c>
      <c r="BS71" s="11">
        <f ca="1">tblData[[#This Row],[China LogiP(t)]]/ChinaPopscale</f>
        <v>570.52992246093152</v>
      </c>
      <c r="BT71" s="126">
        <f ca="1">IF(AND(ISNUMBER(tblData[China]),tblData[Dates]&gt;StartDt2China),(tblData[China]-AVERAGE(tblData[China]))^2,"")</f>
        <v>202507967.33910015</v>
      </c>
      <c r="BU71" s="11">
        <f>tblData[[#This Row],[Dates]]-China100dt</f>
        <v>49</v>
      </c>
      <c r="BV71" s="95">
        <f ca="1">IF(ISNUMBER(tblData[Day'# Singapore]),betaSingapore/(deltaSingapore+betaPodeltaSingapore*EXP(-betaSingapore*tblData[Day'# Singapore])),"")</f>
        <v>200.83964428803799</v>
      </c>
      <c r="BW71" s="11">
        <f ca="1">IF(AND(ISNUMBER(tblData[Singapore]),tblData[Dates]&gt;=StartDt2Singapore),(tblData[[#This Row],[Singapore LogiP(t)]]-tblData[[#This Row],[Singapore]])^2,"")</f>
        <v>64597.486415631058</v>
      </c>
      <c r="BX71" s="20">
        <f ca="1">IF(ISNUMBER(tblData[Day'# Singapore]),tblData[Singapore LogiP(t)]/SingaporePopscale,"")</f>
        <v>343.31563126160341</v>
      </c>
      <c r="BY71" s="95">
        <f ca="1">IF(AND(ISNUMBER(tblData[Singapore]),tblData[Dates]&gt;StartDt2Singapore),(tblData[Singapore]-AVERAGE(tblData[Singapore]))^2,"")</f>
        <v>3481224.2737408695</v>
      </c>
      <c r="BZ71" s="11">
        <f>tblData[[#This Row],[Dates]]-Singapore100dt+1</f>
        <v>38</v>
      </c>
      <c r="CA71" s="44">
        <f>IF(AND(tblData[Dates]&gt;StartDt2Generic,ISNUMBER(tblData[Day'# Generic])),betaGeneric/(deltaGeneric+betaPodeltaGeneric*EXP(-betaGeneric*tblData[Day'# Generic])),"")</f>
        <v>1013.5288052476827</v>
      </c>
      <c r="CB71" s="95">
        <f>IF(AND(ISNUMBER(tblData[Generic]),tblData[Dates]&gt;StartDt2Generic),(tblData[Generic LogiP(t)]-tblData[[#This Row],[Generic]])^2,"")</f>
        <v>11562.443957994081</v>
      </c>
      <c r="CC71" s="11">
        <f>IF(AND(ISNUMBER(tblData[Day'# Generic]),tblData[Dates]&gt;StartDt2Generic),tblData[Generic LogiP(t)]/GenericPopscale,"")</f>
        <v>2068.4261331585362</v>
      </c>
      <c r="CD71" s="95">
        <f>IF(AND(ISNUMBER(tblData[Generic]),tblData[Dates]&gt;StartDt2Generic),(tblData[Generic]-AVERAGE(tblData[Generic]))^2,"")</f>
        <v>32804344.365443785</v>
      </c>
      <c r="CE71" s="11">
        <f>tblData[[#This Row],[Dates]]-Generic100dt+1</f>
        <v>10</v>
      </c>
      <c r="CF71" s="11">
        <v>52130</v>
      </c>
      <c r="CG71" s="11"/>
      <c r="CH71" s="11">
        <f>IF(ISNUMBER(tblData[[#This Row],[Tests]]),tblData[[#This Row],[Tests]]-CF70,"")</f>
        <v>5674</v>
      </c>
      <c r="CI71" s="11" t="str">
        <f>IF(ISNUMBER(tblData[[#This Row],[NSW Under Investigation'']]),tblData[[#This Row],[NSW Under Investigation'']]-CG70,"")</f>
        <v/>
      </c>
      <c r="CJ71" s="11">
        <f t="shared" si="2"/>
        <v>17</v>
      </c>
      <c r="CK71" s="11">
        <f>IF(AND(tblData[[#This Row],[NSW Test Day Number]]&gt;0,ISNUMBER(tblData[[#This Row],[NSW Test Day Number]])),betaTests/(deltaTests+betaPodeltaTests*EXP(-betaTests*tblData[[#This Row],[NSW Test Day Number]])),"")</f>
        <v>58226.817546249884</v>
      </c>
      <c r="CL71" s="11">
        <f>IF(tblData[Tests]&gt;0,(tblData[[#This Row],[Tests]]-tblData[[#This Row],[NSW Test Logi]])^2,"")</f>
        <v>37171184.192260452</v>
      </c>
      <c r="CM71" s="95">
        <f>IF(AND(ISNUMBER(tblData[Tests]),tblData[Dates]&gt;StartDt2Tests),(tblData[Tests]-AVERAGE(tblData[Tests]))^2,"")</f>
        <v>2918900246.2097106</v>
      </c>
      <c r="CN71" s="11">
        <f>IF(ISNUMBER(tblData[Tests]),tblData[Tests]/NSWpopscale/100,"")</f>
        <v>645.17326732673257</v>
      </c>
      <c r="CO71" s="95">
        <f ca="1">IF(AND(tblData[[#This Row],[NSW Test Day Number]]&gt;0,ISNUMBER(tblData[[#This Row],[NSW Test Day Number]])),TestsLogestB*TestsLogestM^tblData[[#This Row],[NSW Test Day Number]],"")</f>
        <v>35704.299178635694</v>
      </c>
      <c r="CP71" s="95">
        <f>IF(AND(tblData[[#This Row],[NSW Test Day Number]]&gt;0,ISNUMBER(tblData[Tests])),(tblData[Tests]-tblData[[#This Row],[NSW Test Per Capita]])^2,"")</f>
        <v>2650687383.693388</v>
      </c>
      <c r="CQ71" s="20">
        <f ca="1">IF(AND(tblData[Day '# NSW]&gt;0,ISNUMBER(tblData[[#This Row],[Day '# NSW]])),NSWLogestB*NSWLogestM^tblData[[#This Row],[Day '# NSW]]/NSWpopscale,"")</f>
        <v>340.63017503144073</v>
      </c>
      <c r="CR71" s="39">
        <f ca="1">IF(AND(ISNUMBER(tblData[NSW]),tblData[Dates]&gt;StartDt2NSW),(tblData[NSW]/NSWpopscale-tblData[[#This Row],[NSW Cases LogEst]])^2,"")</f>
        <v>237500.39450928109</v>
      </c>
      <c r="CS71" s="11">
        <v>169</v>
      </c>
      <c r="CT71" s="19">
        <f>IF(ISNUMBER(tblData[Taiwan]),tblData[Taiwan]/TaiwanPopscale,"")</f>
        <v>70.986683822201968</v>
      </c>
      <c r="CU71" s="11">
        <f ca="1">IF(tblData[[#This Row],[Dates]]&lt;StartDt2Taiwan,"",tblData[[#This Row],[Dates]]-TaiwanStart)</f>
        <v>60</v>
      </c>
      <c r="CV71" s="19">
        <f ca="1">IF(AND(tblData[Dates]&gt;StartDt2Taiwan,ISNUMBER(tblData[Days'# Taiwan])),betaTaiwan/(deltaTaiwan+betaPodeltaTaiwan*EXP(-betaTaiwan*tblData[Days'# Taiwan])),"")</f>
        <v>175.42442413332898</v>
      </c>
      <c r="CW71" s="95">
        <f ca="1">IF(AND(tblData[Dates]&gt;StartDt2Taiwan,ISNUMBER(tblData[Taiwan])),(tblData[[#This Row],[Taiwan LogiP(t)]]-tblData[[#This Row],[Taiwan]])^2,"")</f>
        <v>41.273225444899865</v>
      </c>
      <c r="CX71" s="20">
        <f ca="1">IF(AND(tblData[Dates]&gt;StartDt2Taiwan,ISNUMBER(tblData[Days'# Taiwan])),tblData[[#This Row],[Taiwan LogiP(t)]]/TaiwanPopscale,"")</f>
        <v>73.685196039316452</v>
      </c>
      <c r="CY71" s="95">
        <f ca="1">IF(AND(ISNUMBER(tblData[Taiwan]),tblData[Dates]&gt;StartDt2Taiwan),(tblData[Taiwan]-AVERAGE(tblData[Taiwan]))^2,"")</f>
        <v>0.30142252979624568</v>
      </c>
      <c r="CZ71" s="11">
        <f>tblData[[#This Row],[Dates]]-Taiwan100dt+1</f>
        <v>-3</v>
      </c>
      <c r="DA71">
        <v>102</v>
      </c>
      <c r="DB71" s="20">
        <f>IF(ISNUMBER(tblData[NZ]),tblData[NZ]/NZPopscale,"")</f>
        <v>195.02868068833652</v>
      </c>
      <c r="DC71" s="11">
        <f ca="1">IF(tblData[[#This Row],[Dates]]&lt;StartDt2NZ,"",tblData[[#This Row],[Dates]]-NZStart)</f>
        <v>23</v>
      </c>
      <c r="DD71" s="20">
        <f ca="1">IF(AND(tblData[Dates]&gt;StartDt2NZ,ISNUMBER(tblData[Days'# NZ])),betaNZ/(deltaNZ+betaPodeltaNZ*EXP(-betaNZ*tblData[Days'# NZ])),"")</f>
        <v>124.26098131871471</v>
      </c>
      <c r="DE71" s="95">
        <f ca="1">IF(AND(tblData[Dates]&gt;StartDt2NZ,ISNUMBER(tblData[NZ])),(tblData[[#This Row],[NZ LogiP(t)]]-tblData[[#This Row],[NZ]])^2,"")</f>
        <v>495.55128927216543</v>
      </c>
      <c r="DF71" s="20">
        <f ca="1">IF(AND(tblData[Dates]&gt;StartDt2NZ,ISNUMBER(tblData[Days'# NZ])),tblData[[#This Row],[NZ LogiP(t)]]/NZPopscale,"")</f>
        <v>237.59269850614666</v>
      </c>
      <c r="DG71" s="95">
        <f ca="1">IF(AND(ISNUMBER(tblData[NZ]),tblData[Dates]&gt;StartDt2NZ),(tblData[NZ]-AVERAGE(tblData[NZ]))^2,"")</f>
        <v>344497.85215794313</v>
      </c>
      <c r="DH71" s="11">
        <f>tblData[[#This Row],[Dates]]-NZ100dt+1</f>
        <v>1</v>
      </c>
      <c r="DI71" s="39"/>
      <c r="DJ71" s="11"/>
      <c r="DM71" s="25"/>
      <c r="DP71"/>
      <c r="DV71" s="25"/>
      <c r="DW71"/>
      <c r="EA71" s="25"/>
      <c r="EH71"/>
      <c r="EI71"/>
      <c r="EJ71"/>
      <c r="EK71"/>
      <c r="EL71" s="25"/>
      <c r="EM71" s="25"/>
      <c r="EQ71" s="25"/>
      <c r="ER71" s="25"/>
      <c r="ES71" s="25"/>
      <c r="ET71" s="25"/>
      <c r="FF71"/>
      <c r="FG71"/>
      <c r="FH71"/>
      <c r="FI71"/>
      <c r="FJ71"/>
      <c r="FK71"/>
      <c r="FL71"/>
      <c r="FO71" s="265" t="s">
        <v>153</v>
      </c>
      <c r="FP71" s="250"/>
      <c r="FQ71" s="156">
        <v>43855</v>
      </c>
      <c r="FR71" s="26"/>
      <c r="FS71" s="211">
        <v>1</v>
      </c>
      <c r="FT71" s="25">
        <v>0.18458384557537055</v>
      </c>
      <c r="FU71" s="24">
        <v>1.2349487374940706E-6</v>
      </c>
      <c r="FV71" s="21">
        <v>1.3171361296767334E-2</v>
      </c>
      <c r="FW71" s="212">
        <v>149466.80778825187</v>
      </c>
      <c r="FX71" s="212">
        <v>3.1071550624512132</v>
      </c>
      <c r="FY71" s="212"/>
      <c r="FZ71" s="213">
        <v>14.014028250422166</v>
      </c>
      <c r="GA71" s="213">
        <v>1.2349487374940706E-3</v>
      </c>
      <c r="GB71" s="156">
        <v>43905</v>
      </c>
      <c r="GC71" s="26" t="s">
        <v>460</v>
      </c>
      <c r="GD71" s="212"/>
      <c r="GE71" s="212"/>
      <c r="GF71" s="19"/>
      <c r="GG71" s="156"/>
      <c r="GH71" s="25"/>
      <c r="GI71" s="18"/>
      <c r="GJ71" s="25"/>
      <c r="GK71" s="25"/>
      <c r="GM71" s="25"/>
      <c r="GN71" s="20"/>
      <c r="GO71" s="156"/>
      <c r="GP71" s="218"/>
      <c r="GQ71" s="156"/>
      <c r="GR71" s="25"/>
      <c r="GS71" s="25"/>
      <c r="GT71" s="11"/>
      <c r="GU71" s="12"/>
      <c r="GV71" s="26"/>
      <c r="GX71" s="219"/>
      <c r="GY71" s="25"/>
      <c r="GZ71" s="25"/>
      <c r="HA71" s="46"/>
      <c r="HK71" s="164">
        <v>43958</v>
      </c>
      <c r="HL71" s="60"/>
      <c r="HQ71" s="166" t="str">
        <f>IF(ISNUMBER(tblNSWKnown[[#This Row],[Unknown Locally]]),tblNSWKnown[[#This Row],[Known Locally]]+tblNSWKnown[[#This Row],[Unknown Locally]],"")</f>
        <v/>
      </c>
      <c r="HR71" s="25">
        <v>32</v>
      </c>
      <c r="HS71" s="166">
        <f>IF(ISNUMBER(tblNSWKnown[[#This Row],[Day '# NSW Unknown]]),betaNSWUnknown/(deltaNSWUnknown+betaPodeltaNSWUnknown*EXP(-betaNSWUnknown*tblNSWKnown[Day '# NSW Unknown])),"")</f>
        <v>1172.4674409854892</v>
      </c>
      <c r="HT71" s="166" t="str">
        <f>IF(ISNUMBER(tblNSWKnown[[#This Row],[Total Local]]),(tblNSWKnown[[#This Row],[Total Local]]-tblNSWKnown[[#This Row],[NSW Unknown Logi P(t)]])^2,"")</f>
        <v/>
      </c>
      <c r="HU71" s="166" t="str">
        <f>IF(ISNUMBER(tblNSWKnown[Total Local]),(tblNSWKnown[Total Local]-AVERAGE(tblNSWKnown[Total Local]))^2,"")</f>
        <v/>
      </c>
      <c r="HV71" s="166"/>
    </row>
    <row r="72" spans="2:237" ht="15" customHeight="1" x14ac:dyDescent="0.25">
      <c r="B72" s="26">
        <v>43913</v>
      </c>
      <c r="D72" s="25">
        <v>32</v>
      </c>
      <c r="E72">
        <v>669</v>
      </c>
      <c r="F72">
        <v>5</v>
      </c>
      <c r="G72">
        <v>319</v>
      </c>
      <c r="H72">
        <v>134</v>
      </c>
      <c r="I72">
        <v>28</v>
      </c>
      <c r="J72">
        <v>355</v>
      </c>
      <c r="K72">
        <v>140</v>
      </c>
      <c r="L72" s="11">
        <f>IF(ISNUMBER(tblData[[#This Row],[NSW]]),tblData[[#This Row],[New South Wales]]/NSWpopscale,"")</f>
        <v>827.97029702970292</v>
      </c>
      <c r="M72" s="25">
        <v>63927</v>
      </c>
      <c r="N72" s="20">
        <f>IF(ISNUMBER(tblData[Italy]),tblData[Italy]/ItalyPopscale,"")</f>
        <v>10569.066710754732</v>
      </c>
      <c r="O72">
        <v>43843</v>
      </c>
      <c r="P72" s="20">
        <f>IF(ISNUMBER(tblData[US]),tblData[US]/USPopscale,"")</f>
        <v>1331.6921350851153</v>
      </c>
      <c r="Q72">
        <v>8961</v>
      </c>
      <c r="R72" s="20">
        <f>IF(ISNUMBER(tblData[SKorea]),tblData[SKorea]/SKoreaPopscale,"")</f>
        <v>1743.3852140077822</v>
      </c>
      <c r="S72">
        <v>6726</v>
      </c>
      <c r="T72" s="20">
        <f>IF(ISNUMBER(tblData[United Kingdom]),tblData[United Kingdom]/UKPopscale,"")</f>
        <v>1012.3419626730885</v>
      </c>
      <c r="U72">
        <v>81498</v>
      </c>
      <c r="V72" s="20">
        <f>IF(ISNUMBER(tblData[China]),tblData[China]/ChinaPopscale,"")</f>
        <v>566.22423223278986</v>
      </c>
      <c r="W72" s="25">
        <f ca="1">IF(tblData[[#This Row],[Dates]]&lt;StartDt2China,"",tblData[[#This Row],[Dates]]-ChinaStart)</f>
        <v>61</v>
      </c>
      <c r="X72">
        <v>509</v>
      </c>
      <c r="Y72" s="20">
        <f>IF(ISNUMBER(tblData[Singapore]),tblData[Singapore]/SingaporePopscale,"")</f>
        <v>870.08547008547009</v>
      </c>
      <c r="Z72">
        <v>1125</v>
      </c>
      <c r="AA72" s="20">
        <f>IF(AND(LEN(tblData[Generic])&gt;0,ISNUMBER(tblData[Generic])),tblData[Generic]/GenericPopscale,"")</f>
        <v>2295.9183673469388</v>
      </c>
      <c r="AB72" s="25">
        <f ca="1">IF(tblData[[#This Row],[Dates]]&lt;StartDt2Italy,"",tblData[[#This Row],[Dates]]-ItalyStart)</f>
        <v>53</v>
      </c>
      <c r="AC72" s="25">
        <f ca="1">IF(tblData[[#This Row],[Dates]]&lt;=StartDt2US,"",tblData[[#This Row],[Dates]]-USStart)</f>
        <v>61</v>
      </c>
      <c r="AD72" s="25">
        <f>IF(tblData[[#This Row],[Dates]]&lt;=SKoreaStart,"",tblData[[#This Row],[Dates]]-SKoreaStart)</f>
        <v>61</v>
      </c>
      <c r="AE72" s="25">
        <f ca="1">IF(tblData[[#This Row],[Dates]]&lt;=StartDt2UK,"",tblData[[#This Row],[Dates]]-UKStart)</f>
        <v>53</v>
      </c>
      <c r="AF72" s="25">
        <f ca="1">IF(tblData[[#This Row],[Dates]]&lt;StartDt2Singapore,"",tblData[[#This Row],[Dates]]-SingaporeStart)</f>
        <v>60</v>
      </c>
      <c r="AG72" s="25">
        <f>IF(tblData[[#This Row],[Dates]]&lt;StartDt2Generic,"",tblData[[#This Row],[Dates]]-GenericStart)</f>
        <v>23</v>
      </c>
      <c r="AH72">
        <f ca="1">IF(tblData[Dates]&gt;StartDt2Au,tblData[Dates]-AuStart,"")</f>
        <v>58</v>
      </c>
      <c r="AI72" s="25">
        <f>IF(AND(COUNTBLANK(tblData[[#This Row],[Australian Capital Territory]:[Western Australia]])&lt;1,tblData[New South Wales]&gt;=0),SUM(tblData[[#This Row],[Australian Capital Territory]:[Western Australia]]),"")</f>
        <v>1682</v>
      </c>
      <c r="AJ72" s="12">
        <f>IF(ISNUMBER(tblData[Au]),tblData[Au]/AuPopScale,"")</f>
        <v>663.14461441413027</v>
      </c>
      <c r="AK72" s="11">
        <f ca="1">IF(ISNUMBER(tblData[[#This Row],[Day'# Aust]]),betaAu/(deltaAu+betaPodeltaAu*EXP(-betaAu*tblData[[#This Row],[Day'# Aust]])),"")</f>
        <v>1728.2149492738849</v>
      </c>
      <c r="AL72" s="56">
        <f ca="1">IF(ISNUMBER(tblData[Day'# Aust]),tblData[Au LogiP(t)]/AuPopScale,"")</f>
        <v>681.36530092804173</v>
      </c>
      <c r="AM72" s="11">
        <f ca="1">IF(AND(tblData[Dates]&gt;StartDt2Au,ISNUMBER(tblData[Au])),(tblData[[#This Row],[Au LogiP(t)]]-tblData[[#This Row],[Au]])^2,"")</f>
        <v>2135.821536387758</v>
      </c>
      <c r="AN72" s="11">
        <f ca="1">IF(AND(ISNUMBER(tblData[Au]),tblData[Dates]&gt;StartDt2Au),(tblData[Au]-AVERAGE(tblData[Au]))^2,"")</f>
        <v>587997.57609999995</v>
      </c>
      <c r="AO72" s="11">
        <f>tblData[[#This Row],[Dates]]-Au100dt</f>
        <v>8</v>
      </c>
      <c r="AP72">
        <f ca="1">IF(tblData[Dates]&gt;StartDt2NSW,tblData[Dates]-StartDt2NSW,"")</f>
        <v>58</v>
      </c>
      <c r="AQ72" s="25">
        <f>IF(tblData[[#This Row],[New South Wales]]&gt;0,tblData[[#This Row],[New South Wales]],"")</f>
        <v>669</v>
      </c>
      <c r="AR72" s="11">
        <f ca="1">IF(tblData[Dates]&gt;StartDt2NSW,betaNSW/(deltaNSW+betaPodeltaNSW*EXP(-betaNSW*tblData[[#This Row],[Day '# NSW]])),"")</f>
        <v>739.7519841920514</v>
      </c>
      <c r="AS72" s="12">
        <f ca="1">IF(AND(ISNUMBER(tblData[NSW]),tblData[Dates]&gt;StartDt2NSW),(tblData[[#This Row],[NSW LogiP(t)]]-tblData[[#This Row],[NSW]])^2,"")</f>
        <v>5005.843267112291</v>
      </c>
      <c r="AT72" s="12">
        <f ca="1">IF(AND(tblData[Dates]&gt;StartDt2NSW,ISNUMBER(tblData[Day'# Aust])),tblData[NSW LogiP(t)]/NSWpopscale,"")</f>
        <v>915.53463390105367</v>
      </c>
      <c r="AU72" s="11">
        <f>tblData[[#This Row],[Dates]]-NSW100dt+1</f>
        <v>11</v>
      </c>
      <c r="AV72" s="11">
        <f ca="1">IF(AND(ISNUMBER(tblData[NSW]),tblData[Dates]&gt;StartDt2NSW),(tblData[NSW]-AVERAGE(tblData[NSW]))^2,"")</f>
        <v>180846.06759999998</v>
      </c>
      <c r="AW72" s="11">
        <f ca="1">IF(AND(tblData[Dates]&gt;StartDt2Italy,ISNUMBER(tblData[Days'# Italy])),betaItaly/(deltaItaly+betaPodeltaItaly*EXP(-betaItaly*tblData[Days'# Italy])),"")</f>
        <v>104666.4145787637</v>
      </c>
      <c r="AX72" s="11">
        <f ca="1">IF(AND(tblData[Dates]&gt;StartDt2Italy,ISNUMBER(tblData[Italy])),(tblData[[#This Row],[Italy LogiP(t)]]-tblData[[#This Row],[Italy]])^2,"")</f>
        <v>1659699900.2203839</v>
      </c>
      <c r="AY72" s="11">
        <f ca="1">IF(AND(tblData[Dates]&gt;StartDt2Italy,ISNUMBER(tblData[Days'# Italy])),tblData[[#This Row],[Italy LogiP(t)]]/ItalyPopscale,"")</f>
        <v>17304.524192570669</v>
      </c>
      <c r="AZ72" s="39">
        <f ca="1">IF(AND(ISNUMBER(tblData[Italy]),tblData[Dates]&gt;StartDt2Italy),(tblData[Italy]-AVERAGE(tblData[Italy]))^2,"")</f>
        <v>33891100.878338531</v>
      </c>
      <c r="BA72" s="11">
        <f>tblData[[#This Row],[Dates]]-Italy100dt+1</f>
        <v>26</v>
      </c>
      <c r="BB72" s="11">
        <f ca="1">IF(AND(tblData[Dates]&gt;StartDt2US,ISNUMBER(tblData[[#This Row],[Days'# US]])),betaUS/(deltaUS+betaPodeltaUS*EXP(-betaUS*tblData[Days'# US])),"")</f>
        <v>31649.415975451226</v>
      </c>
      <c r="BC72" s="11">
        <f ca="1">IF(AND(tblData[Dates]&gt;StartDt2US,ISNUMBER(tblData[US])),(tblData[[#This Row],[US LogiP(t)]]-tblData[US])^2,"")</f>
        <v>148683491.36373109</v>
      </c>
      <c r="BD72" s="20">
        <f ca="1">IF(AND(tblData[Dates]&gt;=StartDt2US,ISNUMBER(tblData[[#This Row],[Days'# US]])),tblData[[#This Row],[US LogiP(t)]]/USPopscale,"")</f>
        <v>961.322864186885</v>
      </c>
      <c r="BE72" s="126">
        <f ca="1">IF(AND(ISNUMBER(tblData[US]),tblData[Dates]&gt;StartDt2US),(tblData[US]-AVERAGE(tblData[US]))^2,"")</f>
        <v>32436098284.373798</v>
      </c>
      <c r="BF72" s="11">
        <f>tblData[[#This Row],[Dates]]-US100dt+1</f>
        <v>9</v>
      </c>
      <c r="BG72" s="20">
        <f ca="1">IF(tblData[Dates]&gt;StartDt2SKorea,betaSKorea/(deltaSKorea+betaPodeltaSKorea*EXP(-betaSKorea*(tblData[Dates]-StartDt2SKorea))),"")</f>
        <v>9842.0382158785324</v>
      </c>
      <c r="BH72" s="20">
        <f ca="1">IF(AND(tblData[Dates]&gt;StartDt2SKorea,ISNUMBER(tblData[SKorea])),(tblData[[#This Row],[SKorea LogiP(t)]]-tblData[[#This Row],[SKorea]])^2,"")</f>
        <v>776228.3378384274</v>
      </c>
      <c r="BI72" s="20">
        <f ca="1">IF(tblData[Dates]&gt;StartDt2SKorea,tblData[[#This Row],[SKorea LogiP(t)]]/SKoreaPopscale,"")</f>
        <v>1914.7934272137225</v>
      </c>
      <c r="BJ72" s="126">
        <f ca="1">IF(AND(ISNUMBER(tblData[SKorea]),tblData[Dates]&gt;StartDt2SKorea),(tblData[SKorea]-AVERAGE(tblData[SKorea]))^2,"")</f>
        <v>9838431.766243754</v>
      </c>
      <c r="BK72" s="11">
        <f>tblData[[#This Row],[Dates]]-SKorea100dt+1</f>
        <v>30</v>
      </c>
      <c r="BL72" s="11">
        <f ca="1">IF(AND(tblData[Dates]&gt;StartDt2UK,ISNUMBER(tblData[Days'# UK])),betaUK/(deltaUK+betaPodeltaUK*EXP(-betaUK*tblData[Days'# UK])),"")</f>
        <v>6772.0750473921034</v>
      </c>
      <c r="BM72" s="20">
        <f ca="1">IF(AND(tblData[Dates]&gt;StartDt2UK,ISNUMBER(tblData[United Kingdom])),(tblData[[#This Row],[UK LogiP(t)]]-tblData[[#This Row],[United Kingdom]])^2,"")</f>
        <v>2122.9099921845782</v>
      </c>
      <c r="BN72" s="20">
        <f ca="1">IF(ISNUMBER(tblData[Days'# UK]),tblData[[#This Row],[UK LogiP(t)]]/UKPopscale,"")</f>
        <v>1019.2767982227729</v>
      </c>
      <c r="BO72" s="126">
        <f ca="1">IF(AND(ISNUMBER(tblData[United Kingdom]),tblData[Dates]&gt;StartDt2UK),(tblData[United Kingdom]-AVERAGE(tblData[United Kingdom]))^2,"")</f>
        <v>976002075.10740161</v>
      </c>
      <c r="BP72" s="11">
        <f>tblData[[#This Row],[Dates]]-UK100dt</f>
        <v>11</v>
      </c>
      <c r="BQ72" s="11">
        <f ca="1">IF(ISNUMBER(tblData[Days'# China]),betaChina/(deltaChina+betaPodeltaChina*EXP(-betaChina*tblData[Days'# China])),"")</f>
        <v>82119.200994195227</v>
      </c>
      <c r="BR72" s="11">
        <f ca="1">IF(ISNUMBER(tblData[China]),(tblData[[#This Row],[China LogiP(t)]]-tblData[[#This Row],[China]])^2,"")</f>
        <v>385890.67518913891</v>
      </c>
      <c r="BS72" s="11">
        <f ca="1">tblData[[#This Row],[China LogiP(t)]]/ChinaPopscale</f>
        <v>570.54015478304188</v>
      </c>
      <c r="BT72" s="126">
        <f ca="1">IF(AND(ISNUMBER(tblData[China]),tblData[Dates]&gt;StartDt2China),(tblData[China]-AVERAGE(tblData[China]))^2,"")</f>
        <v>204304983.04498249</v>
      </c>
      <c r="BU72" s="11">
        <f>tblData[[#This Row],[Dates]]-China100dt</f>
        <v>50</v>
      </c>
      <c r="BV72" s="95">
        <f ca="1">IF(ISNUMBER(tblData[Day'# Singapore]),betaSingapore/(deltaSingapore+betaPodeltaSingapore*EXP(-betaSingapore*tblData[Day'# Singapore])),"")</f>
        <v>227.54668215102694</v>
      </c>
      <c r="BW72" s="11">
        <f ca="1">IF(AND(ISNUMBER(tblData[Singapore]),tblData[Dates]&gt;=StartDt2Singapore),(tblData[[#This Row],[Singapore LogiP(t)]]-tblData[[#This Row],[Singapore]])^2,"")</f>
        <v>79215.97012819504</v>
      </c>
      <c r="BX72" s="20">
        <f ca="1">IF(ISNUMBER(tblData[Day'# Singapore]),tblData[Singapore LogiP(t)]/SingaporePopscale,"")</f>
        <v>388.96868743765293</v>
      </c>
      <c r="BY72" s="95">
        <f ca="1">IF(AND(ISNUMBER(tblData[Singapore]),tblData[Dates]&gt;StartDt2Singapore),(tblData[Singapore]-AVERAGE(tblData[Singapore]))^2,"")</f>
        <v>3282633.4502114579</v>
      </c>
      <c r="BZ72" s="11">
        <f>tblData[[#This Row],[Dates]]-Singapore100dt+1</f>
        <v>39</v>
      </c>
      <c r="CA72" s="44">
        <f>IF(AND(tblData[Dates]&gt;StartDt2Generic,ISNUMBER(tblData[Day'# Generic])),betaGeneric/(deltaGeneric+betaPodeltaGeneric*EXP(-betaGeneric*tblData[Day'# Generic])),"")</f>
        <v>1147.0941308538727</v>
      </c>
      <c r="CB72" s="95">
        <f>IF(AND(ISNUMBER(tblData[Generic]),tblData[Dates]&gt;StartDt2Generic),(tblData[Generic LogiP(t)]-tblData[[#This Row],[Generic]])^2,"")</f>
        <v>488.1506181880489</v>
      </c>
      <c r="CC72" s="11">
        <f>IF(AND(ISNUMBER(tblData[Day'# Generic]),tblData[Dates]&gt;StartDt2Generic),tblData[Generic LogiP(t)]/GenericPopscale,"")</f>
        <v>2341.0084303140261</v>
      </c>
      <c r="CD72" s="95">
        <f>IF(AND(ISNUMBER(tblData[Generic]),tblData[Dates]&gt;StartDt2Generic),(tblData[Generic]-AVERAGE(tblData[Generic]))^2,"")</f>
        <v>30343656.996213015</v>
      </c>
      <c r="CE72" s="11">
        <f>tblData[[#This Row],[Dates]]-Generic100dt+1</f>
        <v>11</v>
      </c>
      <c r="CF72" s="11">
        <v>56272</v>
      </c>
      <c r="CG72" s="11"/>
      <c r="CH72" s="11">
        <f>IF(ISNUMBER(tblData[[#This Row],[Tests]]),tblData[[#This Row],[Tests]]-CF71,"")</f>
        <v>4142</v>
      </c>
      <c r="CI72" s="11" t="str">
        <f>IF(ISNUMBER(tblData[[#This Row],[NSW Under Investigation'']]),tblData[[#This Row],[NSW Under Investigation'']]-CG71,"")</f>
        <v/>
      </c>
      <c r="CJ72" s="11">
        <f t="shared" si="2"/>
        <v>18</v>
      </c>
      <c r="CK72" s="11">
        <f>IF(AND(tblData[[#This Row],[NSW Test Day Number]]&gt;0,ISNUMBER(tblData[[#This Row],[NSW Test Day Number]])),betaTests/(deltaTests+betaPodeltaTests*EXP(-betaTests*tblData[[#This Row],[NSW Test Day Number]])),"")</f>
        <v>65201.353128617295</v>
      </c>
      <c r="CL72" s="11">
        <f>IF(tblData[Tests]&gt;0,(tblData[[#This Row],[Tests]]-tblData[[#This Row],[NSW Test Logi]])^2,"")</f>
        <v>79733347.29554747</v>
      </c>
      <c r="CM72" s="95">
        <f>IF(AND(ISNUMBER(tblData[Tests]),tblData[Dates]&gt;StartDt2Tests),(tblData[Tests]-AVERAGE(tblData[Tests]))^2,"")</f>
        <v>2488498005.8707275</v>
      </c>
      <c r="CN72" s="11">
        <f>IF(ISNUMBER(tblData[Tests]),tblData[Tests]/NSWpopscale/100,"")</f>
        <v>696.43564356435638</v>
      </c>
      <c r="CO72" s="95">
        <f ca="1">IF(AND(tblData[[#This Row],[NSW Test Day Number]]&gt;0,ISNUMBER(tblData[[#This Row],[NSW Test Day Number]])),TestsLogestB*TestsLogestM^tblData[[#This Row],[NSW Test Day Number]],"")</f>
        <v>37846.965397894179</v>
      </c>
      <c r="CP72" s="95">
        <f>IF(AND(tblData[[#This Row],[NSW Test Day Number]]&gt;0,ISNUMBER(tblData[Tests])),(tblData[Tests]-tblData[[#This Row],[NSW Test Per Capita]])^2,"")</f>
        <v>3088643353.5363197</v>
      </c>
      <c r="CQ72" s="20">
        <f ca="1">IF(AND(tblData[Day '# NSW]&gt;0,ISNUMBER(tblData[[#This Row],[Day '# NSW]])),NSWLogestB*NSWLogestM^tblData[[#This Row],[Day '# NSW]]/NSWpopscale,"")</f>
        <v>375.01870970691073</v>
      </c>
      <c r="CR72" s="39">
        <f ca="1">IF(AND(ISNUMBER(tblData[NSW]),tblData[Dates]&gt;StartDt2NSW),(tblData[NSW]/NSWpopscale-tblData[[#This Row],[NSW Cases LogEst]])^2,"")</f>
        <v>205165.14045823703</v>
      </c>
      <c r="CS72" s="11">
        <v>195</v>
      </c>
      <c r="CT72" s="19">
        <f>IF(ISNUMBER(tblData[Taiwan]),tblData[Taiwan]/TaiwanPopscale,"")</f>
        <v>81.907712102540728</v>
      </c>
      <c r="CU72" s="11">
        <f ca="1">IF(tblData[[#This Row],[Dates]]&lt;StartDt2Taiwan,"",tblData[[#This Row],[Dates]]-TaiwanStart)</f>
        <v>61</v>
      </c>
      <c r="CV72" s="19">
        <f ca="1">IF(AND(tblData[Dates]&gt;StartDt2Taiwan,ISNUMBER(tblData[Days'# Taiwan])),betaTaiwan/(deltaTaiwan+betaPodeltaTaiwan*EXP(-betaTaiwan*tblData[Days'# Taiwan])),"")</f>
        <v>190.82683152173462</v>
      </c>
      <c r="CW72" s="95">
        <f ca="1">IF(AND(tblData[Dates]&gt;StartDt2Taiwan,ISNUMBER(tblData[Taiwan])),(tblData[[#This Row],[Taiwan LogiP(t)]]-tblData[[#This Row],[Taiwan]])^2,"")</f>
        <v>17.4153351479878</v>
      </c>
      <c r="CX72" s="20">
        <f ca="1">IF(AND(tblData[Dates]&gt;StartDt2Taiwan,ISNUMBER(tblData[Days'# Taiwan])),tblData[[#This Row],[Taiwan LogiP(t)]]/TaiwanPopscale,"")</f>
        <v>80.154816296011703</v>
      </c>
      <c r="CY72" s="95">
        <f ca="1">IF(AND(ISNUMBER(tblData[Taiwan]),tblData[Dates]&gt;StartDt2Taiwan),(tblData[Taiwan]-AVERAGE(tblData[Taiwan]))^2,"")</f>
        <v>647.75240292195247</v>
      </c>
      <c r="CZ72" s="11">
        <f>tblData[[#This Row],[Dates]]-Taiwan100dt+1</f>
        <v>-2</v>
      </c>
      <c r="DA72">
        <v>102</v>
      </c>
      <c r="DB72" s="20">
        <f>IF(ISNUMBER(tblData[NZ]),tblData[NZ]/NZPopscale,"")</f>
        <v>195.02868068833652</v>
      </c>
      <c r="DC72" s="11">
        <f ca="1">IF(tblData[[#This Row],[Dates]]&lt;StartDt2NZ,"",tblData[[#This Row],[Dates]]-NZStart)</f>
        <v>24</v>
      </c>
      <c r="DD72" s="20">
        <f ca="1">IF(AND(tblData[Dates]&gt;StartDt2NZ,ISNUMBER(tblData[Days'# NZ])),betaNZ/(deltaNZ+betaPodeltaNZ*EXP(-betaNZ*tblData[Days'# NZ])),"")</f>
        <v>153.43910910637453</v>
      </c>
      <c r="DE72" s="95">
        <f ca="1">IF(AND(tblData[Dates]&gt;StartDt2NZ,ISNUMBER(tblData[NZ])),(tblData[[#This Row],[NZ LogiP(t)]]-tblData[[#This Row],[NZ]])^2,"")</f>
        <v>2645.9819456575033</v>
      </c>
      <c r="DF72" s="20">
        <f ca="1">IF(AND(tblData[Dates]&gt;StartDt2NZ,ISNUMBER(tblData[Days'# NZ])),tblData[[#This Row],[NZ LogiP(t)]]/NZPopscale,"")</f>
        <v>293.38261779421515</v>
      </c>
      <c r="DG72" s="95">
        <f ca="1">IF(AND(ISNUMBER(tblData[NZ]),tblData[Dates]&gt;StartDt2NZ),(tblData[NZ]-AVERAGE(tblData[NZ]))^2,"")</f>
        <v>344497.85215794313</v>
      </c>
      <c r="DH72" s="11">
        <f>tblData[[#This Row],[Dates]]-NZ100dt+1</f>
        <v>2</v>
      </c>
      <c r="DI72" s="39"/>
      <c r="DJ72" s="11"/>
      <c r="DM72" s="25"/>
      <c r="DP72"/>
      <c r="DV72" s="25"/>
      <c r="DW72"/>
      <c r="EA72" s="25"/>
      <c r="EH72"/>
      <c r="EI72"/>
      <c r="EJ72"/>
      <c r="EK72"/>
      <c r="EL72" s="25"/>
      <c r="EM72" s="25"/>
      <c r="EQ72" s="25"/>
      <c r="ER72" s="25"/>
      <c r="ES72" s="25"/>
      <c r="ET72" s="25"/>
      <c r="FF72"/>
      <c r="FG72"/>
      <c r="FH72"/>
      <c r="FI72"/>
      <c r="FJ72"/>
      <c r="FK72"/>
      <c r="FL72"/>
      <c r="FO72" s="265" t="s">
        <v>153</v>
      </c>
      <c r="FP72" s="250"/>
      <c r="FQ72" s="156">
        <v>43855</v>
      </c>
      <c r="FR72" s="26"/>
      <c r="FS72" s="211">
        <v>1</v>
      </c>
      <c r="FT72" s="22">
        <v>0.19036954183670268</v>
      </c>
      <c r="FU72" s="24">
        <v>1.0000000000000751E-10</v>
      </c>
      <c r="FV72" s="21">
        <v>1.0111170011545663E-2</v>
      </c>
      <c r="FW72" s="212">
        <v>1903695418.3668838</v>
      </c>
      <c r="FX72" s="212">
        <v>3.2111653832176152</v>
      </c>
      <c r="FY72" s="212"/>
      <c r="FZ72" s="213">
        <v>18.827647207822032</v>
      </c>
      <c r="GA72" s="213">
        <v>1.0000000000000751E-7</v>
      </c>
      <c r="GB72" s="156">
        <v>43906</v>
      </c>
      <c r="GC72" s="26" t="s">
        <v>562</v>
      </c>
      <c r="GD72" s="212"/>
      <c r="GE72" s="212">
        <v>171</v>
      </c>
      <c r="GF72" s="73"/>
      <c r="GG72" s="156">
        <v>43906</v>
      </c>
      <c r="GH72" s="25">
        <v>52</v>
      </c>
      <c r="GI72" s="25" t="s">
        <v>563</v>
      </c>
      <c r="GJ72" s="18"/>
      <c r="GK72" s="62" t="s">
        <v>564</v>
      </c>
      <c r="GM72" s="25" t="s">
        <v>565</v>
      </c>
      <c r="GN72" s="20"/>
      <c r="GO72" s="156"/>
      <c r="GP72" s="218"/>
      <c r="GQ72" s="156"/>
      <c r="GR72" s="136"/>
      <c r="GS72" s="25"/>
      <c r="GT72" s="11"/>
      <c r="GU72" s="12"/>
      <c r="GV72" s="26"/>
      <c r="GX72" s="219"/>
      <c r="GY72" s="25"/>
      <c r="GZ72" s="25"/>
      <c r="HK72" s="164">
        <f>HK71+7</f>
        <v>43965</v>
      </c>
      <c r="HL72" s="60"/>
      <c r="HQ72" s="166" t="str">
        <f>IF(ISNUMBER(tblNSWKnown[[#This Row],[Unknown Locally]]),tblNSWKnown[[#This Row],[Known Locally]]+tblNSWKnown[[#This Row],[Unknown Locally]],"")</f>
        <v/>
      </c>
      <c r="HR72" s="25">
        <v>32</v>
      </c>
      <c r="HS72" s="166">
        <f>IF(ISNUMBER(tblNSWKnown[[#This Row],[Day '# NSW Unknown]]),betaNSWUnknown/(deltaNSWUnknown+betaPodeltaNSWUnknown*EXP(-betaNSWUnknown*tblNSWKnown[Day '# NSW Unknown])),"")</f>
        <v>1172.4674409854892</v>
      </c>
      <c r="HT72" s="166" t="str">
        <f>IF(ISNUMBER(tblNSWKnown[[#This Row],[Total Local]]),(tblNSWKnown[[#This Row],[Total Local]]-tblNSWKnown[[#This Row],[NSW Unknown Logi P(t)]])^2,"")</f>
        <v/>
      </c>
      <c r="HU72" s="166" t="str">
        <f>IF(ISNUMBER(tblNSWKnown[Total Local]),(tblNSWKnown[Total Local]-AVERAGE(tblNSWKnown[Total Local]))^2,"")</f>
        <v/>
      </c>
      <c r="HV72" s="166"/>
    </row>
    <row r="73" spans="2:237" x14ac:dyDescent="0.25">
      <c r="B73" s="26">
        <v>43914</v>
      </c>
      <c r="D73" s="25">
        <v>39</v>
      </c>
      <c r="E73">
        <v>818</v>
      </c>
      <c r="F73">
        <v>6</v>
      </c>
      <c r="G73">
        <v>397</v>
      </c>
      <c r="H73">
        <v>170</v>
      </c>
      <c r="I73">
        <v>28</v>
      </c>
      <c r="J73">
        <v>411</v>
      </c>
      <c r="K73">
        <v>175</v>
      </c>
      <c r="L73" s="11">
        <f>IF(ISNUMBER(tblData[[#This Row],[NSW]]),tblData[[#This Row],[New South Wales]]/NSWpopscale,"")</f>
        <v>1012.3762376237623</v>
      </c>
      <c r="M73" s="25">
        <v>69176</v>
      </c>
      <c r="N73" s="20">
        <f>IF(ISNUMBER(tblData[Italy]),tblData[Italy]/ItalyPopscale,"")</f>
        <v>11436.885178143342</v>
      </c>
      <c r="O73">
        <v>53736</v>
      </c>
      <c r="P73" s="20">
        <f>IF(ISNUMBER(tblData[US]),tblData[US]/USPopscale,"")</f>
        <v>1632.1832121646273</v>
      </c>
      <c r="Q73">
        <v>9037</v>
      </c>
      <c r="R73" s="20">
        <f>IF(ISNUMBER(tblData[SKorea]),tblData[SKorea]/SKoreaPopscale,"")</f>
        <v>1758.1712062256811</v>
      </c>
      <c r="S73">
        <v>8164</v>
      </c>
      <c r="T73" s="20">
        <f>IF(ISNUMBER(tblData[United Kingdom]),tblData[United Kingdom]/UKPopscale,"")</f>
        <v>1228.7778446718844</v>
      </c>
      <c r="U73">
        <v>81591</v>
      </c>
      <c r="V73" s="20">
        <f>IF(ISNUMBER(tblData[China]),tblData[China]/ChinaPopscale,"")</f>
        <v>566.87036899194527</v>
      </c>
      <c r="W73" s="25">
        <f ca="1">IF(tblData[[#This Row],[Dates]]&lt;StartDt2China,"",tblData[[#This Row],[Dates]]-ChinaStart)</f>
        <v>62</v>
      </c>
      <c r="X73">
        <v>558</v>
      </c>
      <c r="Y73" s="20">
        <f>IF(ISNUMBER(tblData[Singapore]),tblData[Singapore]/SingaporePopscale,"")</f>
        <v>953.84615384615392</v>
      </c>
      <c r="Z73">
        <v>1329</v>
      </c>
      <c r="AA73" s="20">
        <f>IF(AND(LEN(tblData[Generic])&gt;0,ISNUMBER(tblData[Generic])),tblData[Generic]/GenericPopscale,"")</f>
        <v>2712.2448979591836</v>
      </c>
      <c r="AB73" s="25">
        <f ca="1">IF(tblData[[#This Row],[Dates]]&lt;StartDt2Italy,"",tblData[[#This Row],[Dates]]-ItalyStart)</f>
        <v>54</v>
      </c>
      <c r="AC73" s="25">
        <f ca="1">IF(tblData[[#This Row],[Dates]]&lt;=StartDt2US,"",tblData[[#This Row],[Dates]]-USStart)</f>
        <v>62</v>
      </c>
      <c r="AD73" s="25">
        <f>IF(tblData[[#This Row],[Dates]]&lt;=SKoreaStart,"",tblData[[#This Row],[Dates]]-SKoreaStart)</f>
        <v>62</v>
      </c>
      <c r="AE73" s="25">
        <f ca="1">IF(tblData[[#This Row],[Dates]]&lt;=StartDt2UK,"",tblData[[#This Row],[Dates]]-UKStart)</f>
        <v>54</v>
      </c>
      <c r="AF73" s="25">
        <f ca="1">IF(tblData[[#This Row],[Dates]]&lt;StartDt2Singapore,"",tblData[[#This Row],[Dates]]-SingaporeStart)</f>
        <v>61</v>
      </c>
      <c r="AG73" s="25">
        <f>IF(tblData[[#This Row],[Dates]]&lt;StartDt2Generic,"",tblData[[#This Row],[Dates]]-GenericStart)</f>
        <v>24</v>
      </c>
      <c r="AH73">
        <f ca="1">IF(tblData[Dates]&gt;StartDt2Au,tblData[Dates]-AuStart,"")</f>
        <v>59</v>
      </c>
      <c r="AI73" s="25">
        <f>IF(AND(COUNTBLANK(tblData[[#This Row],[Australian Capital Territory]:[Western Australia]])&lt;1,tblData[New South Wales]&gt;=0),SUM(tblData[[#This Row],[Australian Capital Territory]:[Western Australia]]),"")</f>
        <v>2044</v>
      </c>
      <c r="AJ73" s="12">
        <f>IF(ISNUMBER(tblData[Au]),tblData[Au]/AuPopScale,"")</f>
        <v>805.86658255795612</v>
      </c>
      <c r="AK73" s="11">
        <f ca="1">IF(ISNUMBER(tblData[[#This Row],[Day'# Aust]]),betaAu/(deltaAu+betaPodeltaAu*EXP(-betaAu*tblData[[#This Row],[Day'# Aust]])),"")</f>
        <v>2032.6380326542169</v>
      </c>
      <c r="AL73" s="56">
        <f ca="1">IF(ISNUMBER(tblData[Day'# Aust]),tblData[Au LogiP(t)]/AuPopScale,"")</f>
        <v>801.38701807846428</v>
      </c>
      <c r="AM73" s="11">
        <f ca="1">IF(AND(tblData[Dates]&gt;StartDt2Au,ISNUMBER(tblData[Au])),(tblData[[#This Row],[Au LogiP(t)]]-tblData[[#This Row],[Au]])^2,"")</f>
        <v>129.09430196664178</v>
      </c>
      <c r="AN73" s="11">
        <f ca="1">IF(AND(ISNUMBER(tblData[Au]),tblData[Dates]&gt;StartDt2Au),(tblData[Au]-AVERAGE(tblData[Au]))^2,"")</f>
        <v>163871.13609999995</v>
      </c>
      <c r="AO73" s="11">
        <f>tblData[[#This Row],[Dates]]-Au100dt</f>
        <v>9</v>
      </c>
      <c r="AP73">
        <f ca="1">IF(tblData[Dates]&gt;StartDt2NSW,tblData[Dates]-StartDt2NSW,"")</f>
        <v>59</v>
      </c>
      <c r="AQ73" s="25">
        <f>IF(tblData[[#This Row],[New South Wales]]&gt;0,tblData[[#This Row],[New South Wales]],"")</f>
        <v>818</v>
      </c>
      <c r="AR73" s="11">
        <f ca="1">IF(tblData[Dates]&gt;StartDt2NSW,betaNSW/(deltaNSW+betaPodeltaNSW*EXP(-betaNSW*tblData[[#This Row],[Day '# NSW]])),"")</f>
        <v>877.42672017133282</v>
      </c>
      <c r="AS73" s="12">
        <f ca="1">IF(AND(ISNUMBER(tblData[NSW]),tblData[Dates]&gt;StartDt2NSW),(tblData[[#This Row],[NSW LogiP(t)]]-tblData[[#This Row],[NSW]])^2,"")</f>
        <v>3531.5350703218946</v>
      </c>
      <c r="AT73" s="12">
        <f ca="1">IF(AND(tblData[Dates]&gt;StartDt2NSW,ISNUMBER(tblData[Day'# Aust])),tblData[NSW LogiP(t)]/NSWpopscale,"")</f>
        <v>1085.924158627887</v>
      </c>
      <c r="AU73" s="11">
        <f>tblData[[#This Row],[Dates]]-NSW100dt+1</f>
        <v>12</v>
      </c>
      <c r="AV73" s="11">
        <f ca="1">IF(AND(ISNUMBER(tblData[NSW]),tblData[Dates]&gt;StartDt2NSW),(tblData[NSW]-AVERAGE(tblData[NSW]))^2,"")</f>
        <v>76319.587599999999</v>
      </c>
      <c r="AW73" s="11">
        <f ca="1">IF(AND(tblData[Dates]&gt;StartDt2Italy,ISNUMBER(tblData[Days'# Italy])),betaItaly/(deltaItaly+betaPodeltaItaly*EXP(-betaItaly*tblData[Days'# Italy])),"")</f>
        <v>113596.20335543771</v>
      </c>
      <c r="AX73" s="11">
        <f ca="1">IF(AND(tblData[Dates]&gt;StartDt2Italy,ISNUMBER(tblData[Italy])),(tblData[[#This Row],[Italy LogiP(t)]]-tblData[[#This Row],[Italy]])^2,"")</f>
        <v>1973154466.1384399</v>
      </c>
      <c r="AY73" s="11">
        <f ca="1">IF(AND(tblData[Dates]&gt;StartDt2Italy,ISNUMBER(tblData[Days'# Italy])),tblData[[#This Row],[Italy LogiP(t)]]/ItalyPopscale,"")</f>
        <v>18780.888378182644</v>
      </c>
      <c r="AZ73" s="39">
        <f ca="1">IF(AND(ISNUMBER(tblData[Italy]),tblData[Dates]&gt;StartDt2Italy),(tblData[Italy]-AVERAGE(tblData[Italy]))^2,"")</f>
        <v>327878.06982796831</v>
      </c>
      <c r="BA73" s="11">
        <f>tblData[[#This Row],[Dates]]-Italy100dt+1</f>
        <v>27</v>
      </c>
      <c r="BB73" s="11">
        <f ca="1">IF(AND(tblData[Dates]&gt;StartDt2US,ISNUMBER(tblData[[#This Row],[Days'# US]])),betaUS/(deltaUS+betaPodeltaUS*EXP(-betaUS*tblData[Days'# US])),"")</f>
        <v>41504.516135848287</v>
      </c>
      <c r="BC73" s="11">
        <f ca="1">IF(AND(tblData[Dates]&gt;StartDt2US,ISNUMBER(tblData[US])),(tblData[[#This Row],[US LogiP(t)]]-tblData[US])^2,"")</f>
        <v>149609197.51900372</v>
      </c>
      <c r="BD73" s="20">
        <f ca="1">IF(AND(tblData[Dates]&gt;=StartDt2US,ISNUMBER(tblData[[#This Row],[Days'# US]])),tblData[[#This Row],[US LogiP(t)]]/USPopscale,"")</f>
        <v>1260.6627673430748</v>
      </c>
      <c r="BE73" s="126">
        <f ca="1">IF(AND(ISNUMBER(tblData[US]),tblData[Dates]&gt;StartDt2US),(tblData[US]-AVERAGE(tblData[US]))^2,"")</f>
        <v>28970506283.863995</v>
      </c>
      <c r="BF73" s="11">
        <f>tblData[[#This Row],[Dates]]-US100dt+1</f>
        <v>10</v>
      </c>
      <c r="BG73" s="20">
        <f ca="1">IF(tblData[Dates]&gt;StartDt2SKorea,betaSKorea/(deltaSKorea+betaPodeltaSKorea*EXP(-betaSKorea*(tblData[Dates]-StartDt2SKorea))),"")</f>
        <v>9903.7007091600681</v>
      </c>
      <c r="BH73" s="20">
        <f ca="1">IF(AND(tblData[Dates]&gt;StartDt2SKorea,ISNUMBER(tblData[SKorea])),(tblData[[#This Row],[SKorea LogiP(t)]]-tblData[[#This Row],[SKorea]])^2,"")</f>
        <v>751170.1192585649</v>
      </c>
      <c r="BI73" s="20">
        <f ca="1">IF(tblData[Dates]&gt;StartDt2SKorea,tblData[[#This Row],[SKorea LogiP(t)]]/SKoreaPopscale,"")</f>
        <v>1926.7900212373675</v>
      </c>
      <c r="BJ73" s="126">
        <f ca="1">IF(AND(ISNUMBER(tblData[SKorea]),tblData[Dates]&gt;StartDt2SKorea),(tblData[SKorea]-AVERAGE(tblData[SKorea]))^2,"")</f>
        <v>10320975.138792774</v>
      </c>
      <c r="BK73" s="11">
        <f>tblData[[#This Row],[Dates]]-SKorea100dt+1</f>
        <v>31</v>
      </c>
      <c r="BL73" s="11">
        <f ca="1">IF(AND(tblData[Dates]&gt;StartDt2UK,ISNUMBER(tblData[Days'# UK])),betaUK/(deltaUK+betaPodeltaUK*EXP(-betaUK*tblData[Days'# UK])),"")</f>
        <v>8288.0176758421167</v>
      </c>
      <c r="BM73" s="20">
        <f ca="1">IF(AND(tblData[Dates]&gt;StartDt2UK,ISNUMBER(tblData[United Kingdom])),(tblData[[#This Row],[UK LogiP(t)]]-tblData[[#This Row],[United Kingdom]])^2,"")</f>
        <v>15380.383921280327</v>
      </c>
      <c r="BN73" s="20">
        <f ca="1">IF(ISNUMBER(tblData[Days'# UK]),tblData[[#This Row],[UK LogiP(t)]]/UKPopscale,"")</f>
        <v>1247.4439608431844</v>
      </c>
      <c r="BO73" s="126">
        <f ca="1">IF(AND(ISNUMBER(tblData[United Kingdom]),tblData[Dates]&gt;StartDt2UK),(tblData[United Kingdom]-AVERAGE(tblData[United Kingdom]))^2,"")</f>
        <v>888220711.32016754</v>
      </c>
      <c r="BP73" s="11">
        <f>tblData[[#This Row],[Dates]]-UK100dt</f>
        <v>12</v>
      </c>
      <c r="BQ73" s="11">
        <f ca="1">IF(ISNUMBER(tblData[Days'# China]),betaChina/(deltaChina+betaPodeltaChina*EXP(-betaChina*tblData[Days'# China])),"")</f>
        <v>82120.38193534805</v>
      </c>
      <c r="BR73" s="11">
        <f ca="1">IF(ISNUMBER(tblData[China]),(tblData[[#This Row],[China LogiP(t)]]-tblData[[#This Row],[China]])^2,"")</f>
        <v>280245.23347284732</v>
      </c>
      <c r="BS73" s="11">
        <f ca="1">tblData[[#This Row],[China LogiP(t)]]/ChinaPopscale</f>
        <v>570.54835961625952</v>
      </c>
      <c r="BT73" s="126">
        <f ca="1">IF(AND(ISNUMBER(tblData[China]),tblData[Dates]&gt;StartDt2China),(tblData[China]-AVERAGE(tblData[China]))^2,"")</f>
        <v>206972228.51557073</v>
      </c>
      <c r="BU73" s="11">
        <f>tblData[[#This Row],[Dates]]-China100dt</f>
        <v>51</v>
      </c>
      <c r="BV73" s="95">
        <f ca="1">IF(ISNUMBER(tblData[Day'# Singapore]),betaSingapore/(deltaSingapore+betaPodeltaSingapore*EXP(-betaSingapore*tblData[Day'# Singapore])),"")</f>
        <v>257.77921837115559</v>
      </c>
      <c r="BW73" s="11">
        <f ca="1">IF(AND(ISNUMBER(tblData[Singapore]),tblData[Dates]&gt;=StartDt2Singapore),(tblData[[#This Row],[Singapore LogiP(t)]]-tblData[[#This Row],[Singapore]])^2,"")</f>
        <v>90132.517721834272</v>
      </c>
      <c r="BX73" s="20">
        <f ca="1">IF(ISNUMBER(tblData[Day'# Singapore]),tblData[Singapore LogiP(t)]/SingaporePopscale,"")</f>
        <v>440.64823653188995</v>
      </c>
      <c r="BY73" s="95">
        <f ca="1">IF(AND(ISNUMBER(tblData[Singapore]),tblData[Dates]&gt;StartDt2Singapore),(tblData[Singapore]-AVERAGE(tblData[Singapore]))^2,"")</f>
        <v>3107477.6658977321</v>
      </c>
      <c r="BZ73" s="11">
        <f>tblData[[#This Row],[Dates]]-Singapore100dt+1</f>
        <v>40</v>
      </c>
      <c r="CA73" s="44">
        <f>IF(AND(tblData[Dates]&gt;StartDt2Generic,ISNUMBER(tblData[Day'# Generic])),betaGeneric/(deltaGeneric+betaPodeltaGeneric*EXP(-betaGeneric*tblData[Day'# Generic])),"")</f>
        <v>1297.3253138514317</v>
      </c>
      <c r="CB73" s="95">
        <f>IF(AND(ISNUMBER(tblData[Generic]),tblData[Dates]&gt;StartDt2Generic),(tblData[Generic LogiP(t)]-tblData[[#This Row],[Generic]])^2,"")</f>
        <v>1003.2857426103044</v>
      </c>
      <c r="CC73" s="11">
        <f>IF(AND(ISNUMBER(tblData[Day'# Generic]),tblData[Dates]&gt;StartDt2Generic),tblData[Generic LogiP(t)]/GenericPopscale,"")</f>
        <v>2647.6026813294525</v>
      </c>
      <c r="CD73" s="95">
        <f>IF(AND(ISNUMBER(tblData[Generic]),tblData[Dates]&gt;StartDt2Generic),(tblData[Generic]-AVERAGE(tblData[Generic]))^2,"")</f>
        <v>28137801.857751478</v>
      </c>
      <c r="CE73" s="11">
        <f>tblData[[#This Row],[Dates]]-Generic100dt+1</f>
        <v>12</v>
      </c>
      <c r="CF73" s="11">
        <v>61030</v>
      </c>
      <c r="CG73" s="11"/>
      <c r="CH73" s="11">
        <f>IF(ISNUMBER(tblData[[#This Row],[Tests]]),tblData[[#This Row],[Tests]]-CF72,"")</f>
        <v>4758</v>
      </c>
      <c r="CI73" s="11" t="str">
        <f>IF(ISNUMBER(tblData[[#This Row],[NSW Under Investigation'']]),tblData[[#This Row],[NSW Under Investigation'']]-CG72,"")</f>
        <v/>
      </c>
      <c r="CJ73" s="11">
        <f t="shared" si="2"/>
        <v>19</v>
      </c>
      <c r="CK73" s="11">
        <f>IF(AND(tblData[[#This Row],[NSW Test Day Number]]&gt;0,ISNUMBER(tblData[[#This Row],[NSW Test Day Number]])),betaTests/(deltaTests+betaPodeltaTests*EXP(-betaTests*tblData[[#This Row],[NSW Test Day Number]])),"")</f>
        <v>72481.638845182082</v>
      </c>
      <c r="CL73" s="11">
        <f>IF(tblData[Tests]&gt;0,(tblData[[#This Row],[Tests]]-tblData[[#This Row],[NSW Test Logi]])^2,"")</f>
        <v>131140032.24048321</v>
      </c>
      <c r="CM73" s="95">
        <f>IF(AND(ISNUMBER(tblData[Tests]),tblData[Dates]&gt;StartDt2Tests),(tblData[Tests]-AVERAGE(tblData[Tests]))^2,"")</f>
        <v>2036432361.4639478</v>
      </c>
      <c r="CN73" s="11">
        <f>IF(ISNUMBER(tblData[Tests]),tblData[Tests]/NSWpopscale/100,"")</f>
        <v>755.32178217821786</v>
      </c>
      <c r="CO73" s="95">
        <f ca="1">IF(AND(tblData[[#This Row],[NSW Test Day Number]]&gt;0,ISNUMBER(tblData[[#This Row],[NSW Test Day Number]])),TestsLogestB*TestsLogestM^tblData[[#This Row],[NSW Test Day Number]],"")</f>
        <v>40118.216091089023</v>
      </c>
      <c r="CP73" s="95">
        <f>IF(AND(tblData[[#This Row],[NSW Test Day Number]]&gt;0,ISNUMBER(tblData[Tests])),(tblData[Tests]-tblData[[#This Row],[NSW Test Per Capita]])^2,"")</f>
        <v>3633036834.2619596</v>
      </c>
      <c r="CQ73" s="20">
        <f ca="1">IF(AND(tblData[Day '# NSW]&gt;0,ISNUMBER(tblData[[#This Row],[Day '# NSW]])),NSWLogestB*NSWLogestM^tblData[[#This Row],[Day '# NSW]]/NSWpopscale,"")</f>
        <v>412.87896064186037</v>
      </c>
      <c r="CR73" s="39">
        <f ca="1">IF(AND(ISNUMBER(tblData[NSW]),tblData[Dates]&gt;StartDt2NSW),(tblData[NSW]/NSWpopscale-tblData[[#This Row],[NSW Cases LogEst]])^2,"")</f>
        <v>359396.98510871519</v>
      </c>
      <c r="CS73" s="11">
        <v>215</v>
      </c>
      <c r="CT73" s="19">
        <f>IF(ISNUMBER(tblData[Taiwan]),tblData[Taiwan]/TaiwanPopscale,"")</f>
        <v>90.308503087416696</v>
      </c>
      <c r="CU73" s="11">
        <f ca="1">IF(tblData[[#This Row],[Dates]]&lt;StartDt2Taiwan,"",tblData[[#This Row],[Dates]]-TaiwanStart)</f>
        <v>62</v>
      </c>
      <c r="CV73" s="19">
        <f ca="1">IF(AND(tblData[Dates]&gt;StartDt2Taiwan,ISNUMBER(tblData[Days'# Taiwan])),betaTaiwan/(deltaTaiwan+betaPodeltaTaiwan*EXP(-betaTaiwan*tblData[Days'# Taiwan])),"")</f>
        <v>206.46829076689681</v>
      </c>
      <c r="CW73" s="95">
        <f ca="1">IF(AND(tblData[Dates]&gt;StartDt2Taiwan,ISNUMBER(tblData[Taiwan])),(tblData[[#This Row],[Taiwan LogiP(t)]]-tblData[[#This Row],[Taiwan]])^2,"")</f>
        <v>72.790062438218158</v>
      </c>
      <c r="CX73" s="20">
        <f ca="1">IF(AND(tblData[Dates]&gt;StartDt2Taiwan,ISNUMBER(tblData[Days'# Taiwan])),tblData[[#This Row],[Taiwan LogiP(t)]]/TaiwanPopscale,"")</f>
        <v>86.724847786864885</v>
      </c>
      <c r="CY73" s="95">
        <f ca="1">IF(AND(ISNUMBER(tblData[Taiwan]),tblData[Dates]&gt;StartDt2Taiwan),(tblData[Taiwan]-AVERAGE(tblData[Taiwan]))^2,"")</f>
        <v>2065.7916186082266</v>
      </c>
      <c r="CZ73" s="11">
        <f>tblData[[#This Row],[Dates]]-Taiwan100dt+1</f>
        <v>-1</v>
      </c>
      <c r="DA73">
        <v>155</v>
      </c>
      <c r="DB73" s="20">
        <f>IF(ISNUMBER(tblData[NZ]),tblData[NZ]/NZPopscale,"")</f>
        <v>296.36711281070745</v>
      </c>
      <c r="DC73" s="11">
        <f ca="1">IF(tblData[[#This Row],[Dates]]&lt;StartDt2NZ,"",tblData[[#This Row],[Dates]]-NZStart)</f>
        <v>25</v>
      </c>
      <c r="DD73" s="20">
        <f ca="1">IF(AND(tblData[Dates]&gt;StartDt2NZ,ISNUMBER(tblData[Days'# NZ])),betaNZ/(deltaNZ+betaPodeltaNZ*EXP(-betaNZ*tblData[Days'# NZ])),"")</f>
        <v>188.50255953792836</v>
      </c>
      <c r="DE73" s="95">
        <f ca="1">IF(AND(tblData[Dates]&gt;StartDt2NZ,ISNUMBER(tblData[NZ])),(tblData[[#This Row],[NZ LogiP(t)]]-tblData[[#This Row],[NZ]])^2,"")</f>
        <v>1122.4214955924347</v>
      </c>
      <c r="DF73" s="20">
        <f ca="1">IF(AND(tblData[Dates]&gt;StartDt2NZ,ISNUMBER(tblData[Days'# NZ])),tblData[[#This Row],[NZ LogiP(t)]]/NZPopscale,"")</f>
        <v>360.42554404957622</v>
      </c>
      <c r="DG73" s="95">
        <f ca="1">IF(AND(ISNUMBER(tblData[NZ]),tblData[Dates]&gt;StartDt2NZ),(tblData[NZ]-AVERAGE(tblData[NZ]))^2,"")</f>
        <v>285091.27640036738</v>
      </c>
      <c r="DH73" s="11">
        <f>tblData[[#This Row],[Dates]]-NZ100dt+1</f>
        <v>3</v>
      </c>
      <c r="DI73" s="39"/>
      <c r="DJ73" s="11"/>
      <c r="DM73" s="25"/>
      <c r="DP73"/>
      <c r="DV73" s="25"/>
      <c r="DW73"/>
      <c r="EA73" s="25"/>
      <c r="EH73"/>
      <c r="EI73"/>
      <c r="EJ73"/>
      <c r="EK73"/>
      <c r="EL73" s="25"/>
      <c r="EM73" s="25"/>
      <c r="EQ73" s="25"/>
      <c r="ER73" s="25"/>
      <c r="ES73" s="25"/>
      <c r="ET73" s="25"/>
      <c r="FF73"/>
      <c r="FG73"/>
      <c r="FH73"/>
      <c r="FI73"/>
      <c r="FJ73"/>
      <c r="FK73"/>
      <c r="FL73"/>
      <c r="FO73" s="265" t="s">
        <v>153</v>
      </c>
      <c r="FP73" s="250"/>
      <c r="FQ73" s="156">
        <v>43855</v>
      </c>
      <c r="FR73" s="26"/>
      <c r="FS73" s="211">
        <v>1</v>
      </c>
      <c r="FT73" s="22">
        <v>0.19065324956550231</v>
      </c>
      <c r="FU73" s="24">
        <v>1.0000000000000751E-10</v>
      </c>
      <c r="FV73" s="21">
        <v>1.0112692767979454E-2</v>
      </c>
      <c r="FW73" s="212">
        <v>1906532495.6548798</v>
      </c>
      <c r="FX73" s="212">
        <v>3.3224128526326897</v>
      </c>
      <c r="FY73" s="212"/>
      <c r="FZ73" s="213">
        <v>18.852866782245194</v>
      </c>
      <c r="GA73" s="213">
        <v>1.0000000000000751E-7</v>
      </c>
      <c r="GB73" s="156">
        <v>43907</v>
      </c>
      <c r="GC73" s="26" t="s">
        <v>546</v>
      </c>
      <c r="GD73" s="212"/>
      <c r="GE73" s="212">
        <v>210</v>
      </c>
      <c r="GF73" s="19" t="s">
        <v>547</v>
      </c>
      <c r="GG73" s="156">
        <v>43907</v>
      </c>
      <c r="GH73" s="25">
        <v>53</v>
      </c>
      <c r="GI73" s="18" t="s">
        <v>548</v>
      </c>
      <c r="GJ73" s="25"/>
      <c r="GK73" s="25" t="s">
        <v>549</v>
      </c>
      <c r="GM73" s="25"/>
      <c r="GN73" s="20"/>
      <c r="GO73" s="156"/>
      <c r="GP73" s="218"/>
      <c r="GQ73" s="156"/>
      <c r="GR73" s="25"/>
      <c r="GS73" s="25"/>
      <c r="GT73" s="11"/>
      <c r="GU73" s="12"/>
      <c r="GV73" s="26"/>
      <c r="GX73" s="219"/>
      <c r="GY73" s="25"/>
      <c r="GZ73" s="25"/>
      <c r="HK73" s="164">
        <f t="shared" ref="HK73:HK78" si="3">HK72+7</f>
        <v>43972</v>
      </c>
      <c r="HL73" s="60"/>
      <c r="HQ73" s="166" t="str">
        <f>IF(ISNUMBER(tblNSWKnown[[#This Row],[Unknown Locally]]),tblNSWKnown[[#This Row],[Known Locally]]+tblNSWKnown[[#This Row],[Unknown Locally]],"")</f>
        <v/>
      </c>
      <c r="HR73" s="25">
        <v>32</v>
      </c>
      <c r="HS73" s="166">
        <f>IF(ISNUMBER(tblNSWKnown[[#This Row],[Day '# NSW Unknown]]),betaNSWUnknown/(deltaNSWUnknown+betaPodeltaNSWUnknown*EXP(-betaNSWUnknown*tblNSWKnown[Day '# NSW Unknown])),"")</f>
        <v>1172.4674409854892</v>
      </c>
      <c r="HT73" s="166" t="str">
        <f>IF(ISNUMBER(tblNSWKnown[[#This Row],[Total Local]]),(tblNSWKnown[[#This Row],[Total Local]]-tblNSWKnown[[#This Row],[NSW Unknown Logi P(t)]])^2,"")</f>
        <v/>
      </c>
      <c r="HU73" s="166" t="str">
        <f>IF(ISNUMBER(tblNSWKnown[Total Local]),(tblNSWKnown[Total Local]-AVERAGE(tblNSWKnown[Total Local]))^2,"")</f>
        <v/>
      </c>
      <c r="HV73" s="166"/>
    </row>
    <row r="74" spans="2:237" x14ac:dyDescent="0.25">
      <c r="B74" s="26">
        <v>43915</v>
      </c>
      <c r="D74" s="25">
        <v>44</v>
      </c>
      <c r="E74">
        <v>1029</v>
      </c>
      <c r="F74">
        <v>5</v>
      </c>
      <c r="G74">
        <v>443</v>
      </c>
      <c r="H74">
        <v>197</v>
      </c>
      <c r="I74">
        <v>42</v>
      </c>
      <c r="J74">
        <v>466</v>
      </c>
      <c r="K74">
        <v>205</v>
      </c>
      <c r="L74" s="11">
        <f>IF(ISNUMBER(tblData[[#This Row],[NSW]]),tblData[[#This Row],[New South Wales]]/NSWpopscale,"")</f>
        <v>1273.5148514851485</v>
      </c>
      <c r="M74" s="25">
        <v>74386</v>
      </c>
      <c r="N74" s="20">
        <f>IF(ISNUMBER(tblData[Italy]),tblData[Italy]/ItalyPopscale,"")</f>
        <v>12298.255765892371</v>
      </c>
      <c r="O74">
        <v>65778</v>
      </c>
      <c r="P74" s="20">
        <f>IF(ISNUMBER(tblData[US]),tblData[US]/USPopscale,"")</f>
        <v>1997.9482531220199</v>
      </c>
      <c r="Q74">
        <v>9137</v>
      </c>
      <c r="R74" s="20">
        <f>IF(ISNUMBER(tblData[SKorea]),tblData[SKorea]/SKoreaPopscale,"")</f>
        <v>1777.626459143969</v>
      </c>
      <c r="S74">
        <v>9640</v>
      </c>
      <c r="T74" s="20">
        <f>IF(ISNUMBER(tblData[United Kingdom]),tblData[United Kingdom]/UKPopscale,"")</f>
        <v>1450.9331727874774</v>
      </c>
      <c r="U74">
        <v>81661</v>
      </c>
      <c r="V74" s="20">
        <f>IF(ISNUMBER(tblData[China]),tblData[China]/ChinaPopscale,"")</f>
        <v>567.35670848808377</v>
      </c>
      <c r="W74" s="25">
        <f ca="1">IF(tblData[[#This Row],[Dates]]&lt;StartDt2China,"",tblData[[#This Row],[Dates]]-ChinaStart)</f>
        <v>63</v>
      </c>
      <c r="X74">
        <v>631</v>
      </c>
      <c r="Y74" s="20">
        <f>IF(ISNUMBER(tblData[Singapore]),tblData[Singapore]/SingaporePopscale,"")</f>
        <v>1078.6324786324788</v>
      </c>
      <c r="Z74">
        <v>1564</v>
      </c>
      <c r="AA74" s="20">
        <f>IF(AND(LEN(tblData[Generic])&gt;0,ISNUMBER(tblData[Generic])),tblData[Generic]/GenericPopscale,"")</f>
        <v>3191.8367346938776</v>
      </c>
      <c r="AB74" s="25">
        <f ca="1">IF(tblData[[#This Row],[Dates]]&lt;StartDt2Italy,"",tblData[[#This Row],[Dates]]-ItalyStart)</f>
        <v>55</v>
      </c>
      <c r="AC74" s="25">
        <f ca="1">IF(tblData[[#This Row],[Dates]]&lt;=StartDt2US,"",tblData[[#This Row],[Dates]]-USStart)</f>
        <v>63</v>
      </c>
      <c r="AD74" s="25">
        <f>IF(tblData[[#This Row],[Dates]]&lt;=SKoreaStart,"",tblData[[#This Row],[Dates]]-SKoreaStart)</f>
        <v>63</v>
      </c>
      <c r="AE74" s="25">
        <f ca="1">IF(tblData[[#This Row],[Dates]]&lt;=StartDt2UK,"",tblData[[#This Row],[Dates]]-UKStart)</f>
        <v>55</v>
      </c>
      <c r="AF74" s="25">
        <f ca="1">IF(tblData[[#This Row],[Dates]]&lt;StartDt2Singapore,"",tblData[[#This Row],[Dates]]-SingaporeStart)</f>
        <v>62</v>
      </c>
      <c r="AG74" s="25">
        <f>IF(tblData[[#This Row],[Dates]]&lt;StartDt2Generic,"",tblData[[#This Row],[Dates]]-GenericStart)</f>
        <v>25</v>
      </c>
      <c r="AH74">
        <f ca="1">IF(tblData[Dates]&gt;StartDt2Au,tblData[Dates]-AuStart,"")</f>
        <v>60</v>
      </c>
      <c r="AI74" s="25">
        <f>IF(AND(COUNTBLANK(tblData[[#This Row],[Australian Capital Territory]:[Western Australia]])&lt;1,tblData[New South Wales]&gt;=0),SUM(tblData[[#This Row],[Australian Capital Territory]:[Western Australia]]),"")</f>
        <v>2431</v>
      </c>
      <c r="AJ74" s="12">
        <f>IF(ISNUMBER(tblData[Au]),tblData[Au]/AuPopScale,"")</f>
        <v>958.44504021447722</v>
      </c>
      <c r="AK74" s="11">
        <f ca="1">IF(ISNUMBER(tblData[[#This Row],[Day'# Aust]]),betaAu/(deltaAu+betaPodeltaAu*EXP(-betaAu*tblData[[#This Row],[Day'# Aust]])),"")</f>
        <v>2364.8864063206761</v>
      </c>
      <c r="AL74" s="56">
        <f ca="1">IF(ISNUMBER(tblData[Day'# Aust]),tblData[Au LogiP(t)]/AuPopScale,"")</f>
        <v>932.3791225046034</v>
      </c>
      <c r="AM74" s="11">
        <f ca="1">IF(AND(tblData[Dates]&gt;StartDt2Au,ISNUMBER(tblData[Au])),(tblData[[#This Row],[Au LogiP(t)]]-tblData[[#This Row],[Au]])^2,"")</f>
        <v>4371.0072691947389</v>
      </c>
      <c r="AN74" s="11">
        <f ca="1">IF(AND(ISNUMBER(tblData[Au]),tblData[Dates]&gt;StartDt2Au),(tblData[Au]-AVERAGE(tblData[Au]))^2,"")</f>
        <v>317.19609999999807</v>
      </c>
      <c r="AO74" s="11">
        <f>tblData[[#This Row],[Dates]]-Au100dt</f>
        <v>10</v>
      </c>
      <c r="AP74">
        <f ca="1">IF(tblData[Dates]&gt;StartDt2NSW,tblData[Dates]-StartDt2NSW,"")</f>
        <v>60</v>
      </c>
      <c r="AQ74" s="25">
        <f>IF(tblData[[#This Row],[New South Wales]]&gt;0,tblData[[#This Row],[New South Wales]],"")</f>
        <v>1029</v>
      </c>
      <c r="AR74" s="11">
        <f ca="1">IF(tblData[Dates]&gt;StartDt2NSW,betaNSW/(deltaNSW+betaPodeltaNSW*EXP(-betaNSW*tblData[[#This Row],[Day '# NSW]])),"")</f>
        <v>1028.9220613880723</v>
      </c>
      <c r="AS74" s="12">
        <f ca="1">IF(AND(ISNUMBER(tblData[NSW]),tblData[Dates]&gt;StartDt2NSW),(tblData[[#This Row],[NSW LogiP(t)]]-tblData[[#This Row],[NSW]])^2,"")</f>
        <v>6.0744272292198248E-3</v>
      </c>
      <c r="AT74" s="12">
        <f ca="1">IF(AND(tblData[Dates]&gt;StartDt2NSW,ISNUMBER(tblData[Day'# Aust])),tblData[NSW LogiP(t)]/NSWpopscale,"")</f>
        <v>1273.4183928070202</v>
      </c>
      <c r="AU74" s="11">
        <f>tblData[[#This Row],[Dates]]-NSW100dt+1</f>
        <v>13</v>
      </c>
      <c r="AV74" s="11">
        <f ca="1">IF(AND(ISNUMBER(tblData[NSW]),tblData[Dates]&gt;StartDt2NSW),(tblData[NSW]-AVERAGE(tblData[NSW]))^2,"")</f>
        <v>4258.8675999999987</v>
      </c>
      <c r="AW74" s="11">
        <f ca="1">IF(AND(tblData[Dates]&gt;StartDt2Italy,ISNUMBER(tblData[Days'# Italy])),betaItaly/(deltaItaly+betaPodeltaItaly*EXP(-betaItaly*tblData[Days'# Italy])),"")</f>
        <v>121653.76707862332</v>
      </c>
      <c r="AX74" s="11">
        <f ca="1">IF(AND(tblData[Dates]&gt;StartDt2Italy,ISNUMBER(tblData[Italy])),(tblData[[#This Row],[Italy LogiP(t)]]-tblData[[#This Row],[Italy]])^2,"")</f>
        <v>2234241804.5989866</v>
      </c>
      <c r="AY74" s="11">
        <f ca="1">IF(AND(tblData[Dates]&gt;StartDt2Italy,ISNUMBER(tblData[Days'# Italy])),tblData[[#This Row],[Italy LogiP(t)]]/ItalyPopscale,"")</f>
        <v>20113.047380114629</v>
      </c>
      <c r="AZ74" s="39">
        <f ca="1">IF(AND(ISNUMBER(tblData[Italy]),tblData[Dates]&gt;StartDt2Italy),(tblData[Italy]-AVERAGE(tblData[Italy]))^2,"")</f>
        <v>21505419.559189744</v>
      </c>
      <c r="BA74" s="11">
        <f>tblData[[#This Row],[Dates]]-Italy100dt+1</f>
        <v>28</v>
      </c>
      <c r="BB74" s="11">
        <f ca="1">IF(AND(tblData[Dates]&gt;StartDt2US,ISNUMBER(tblData[[#This Row],[Days'# US]])),betaUS/(deltaUS+betaPodeltaUS*EXP(-betaUS*tblData[Days'# US])),"")</f>
        <v>54215.510344554619</v>
      </c>
      <c r="BC74" s="11">
        <f ca="1">IF(AND(tblData[Dates]&gt;StartDt2US,ISNUMBER(tblData[US])),(tblData[[#This Row],[US LogiP(t)]]-tblData[US])^2,"")</f>
        <v>133691167.03228144</v>
      </c>
      <c r="BD74" s="20">
        <f ca="1">IF(AND(tblData[Dates]&gt;=StartDt2US,ISNUMBER(tblData[[#This Row],[Days'# US]])),tblData[[#This Row],[US LogiP(t)]]/USPopscale,"")</f>
        <v>1646.7479124482609</v>
      </c>
      <c r="BE74" s="126">
        <f ca="1">IF(AND(ISNUMBER(tblData[US]),tblData[Dates]&gt;StartDt2US),(tblData[US]-AVERAGE(tblData[US]))^2,"")</f>
        <v>25016244756.922817</v>
      </c>
      <c r="BF74" s="11">
        <f>tblData[[#This Row],[Dates]]-US100dt+1</f>
        <v>11</v>
      </c>
      <c r="BG74" s="20">
        <f ca="1">IF(tblData[Dates]&gt;StartDt2SKorea,betaSKorea/(deltaSKorea+betaPodeltaSKorea*EXP(-betaSKorea*(tblData[Dates]-StartDt2SKorea))),"")</f>
        <v>9955.9414894952697</v>
      </c>
      <c r="BH74" s="20">
        <f ca="1">IF(AND(tblData[Dates]&gt;StartDt2SKorea,ISNUMBER(tblData[SKorea])),(tblData[[#This Row],[SKorea LogiP(t)]]-tblData[[#This Row],[SKorea]])^2,"")</f>
        <v>670665.16321673093</v>
      </c>
      <c r="BI74" s="20">
        <f ca="1">IF(tblData[Dates]&gt;StartDt2SKorea,tblData[[#This Row],[SKorea LogiP(t)]]/SKoreaPopscale,"")</f>
        <v>1936.9535971780681</v>
      </c>
      <c r="BJ74" s="126">
        <f ca="1">IF(AND(ISNUMBER(tblData[SKorea]),tblData[Dates]&gt;StartDt2SKorea),(tblData[SKorea]-AVERAGE(tblData[SKorea]))^2,"")</f>
        <v>10973500.628988853</v>
      </c>
      <c r="BK74" s="11">
        <f>tblData[[#This Row],[Dates]]-SKorea100dt+1</f>
        <v>32</v>
      </c>
      <c r="BL74" s="11">
        <f ca="1">IF(AND(tblData[Dates]&gt;StartDt2UK,ISNUMBER(tblData[Days'# UK])),betaUK/(deltaUK+betaPodeltaUK*EXP(-betaUK*tblData[Days'# UK])),"")</f>
        <v>10118.071375982019</v>
      </c>
      <c r="BM74" s="20">
        <f ca="1">IF(AND(tblData[Dates]&gt;StartDt2UK,ISNUMBER(tblData[United Kingdom])),(tblData[[#This Row],[UK LogiP(t)]]-tblData[[#This Row],[United Kingdom]])^2,"")</f>
        <v>228552.24053334113</v>
      </c>
      <c r="BN74" s="20">
        <f ca="1">IF(ISNUMBER(tblData[Days'# UK]),tblData[[#This Row],[UK LogiP(t)]]/UKPopscale,"")</f>
        <v>1522.8885273904302</v>
      </c>
      <c r="BO74" s="126">
        <f ca="1">IF(AND(ISNUMBER(tblData[United Kingdom]),tblData[Dates]&gt;StartDt2UK),(tblData[United Kingdom]-AVERAGE(tblData[United Kingdom]))^2,"")</f>
        <v>802420737.10740161</v>
      </c>
      <c r="BP74" s="11">
        <f>tblData[[#This Row],[Dates]]-UK100dt</f>
        <v>13</v>
      </c>
      <c r="BQ74" s="11">
        <f ca="1">IF(ISNUMBER(tblData[Days'# China]),betaChina/(deltaChina+betaPodeltaChina*EXP(-betaChina*tblData[Days'# China])),"")</f>
        <v>82121.328872225859</v>
      </c>
      <c r="BR74" s="11">
        <f ca="1">IF(ISNUMBER(tblData[China]),(tblData[[#This Row],[China LogiP(t)]]-tblData[[#This Row],[China]])^2,"")</f>
        <v>211902.67060473075</v>
      </c>
      <c r="BS74" s="11">
        <f ca="1">tblData[[#This Row],[China LogiP(t)]]/ChinaPopscale</f>
        <v>570.55493865631706</v>
      </c>
      <c r="BT74" s="126">
        <f ca="1">IF(AND(ISNUMBER(tblData[China]),tblData[Dates]&gt;StartDt2China),(tblData[China]-AVERAGE(tblData[China]))^2,"")</f>
        <v>208991242.63321778</v>
      </c>
      <c r="BU74" s="11">
        <f>tblData[[#This Row],[Dates]]-China100dt</f>
        <v>52</v>
      </c>
      <c r="BV74" s="95">
        <f ca="1">IF(ISNUMBER(tblData[Day'# Singapore]),betaSingapore/(deltaSingapore+betaPodeltaSingapore*EXP(-betaSingapore*tblData[Day'# Singapore])),"")</f>
        <v>291.99530560683166</v>
      </c>
      <c r="BW74" s="11">
        <f ca="1">IF(AND(ISNUMBER(tblData[Singapore]),tblData[Dates]&gt;=StartDt2Singapore),(tblData[[#This Row],[Singapore LogiP(t)]]-tblData[[#This Row],[Singapore]])^2,"")</f>
        <v>114924.18282060546</v>
      </c>
      <c r="BX74" s="20">
        <f ca="1">IF(ISNUMBER(tblData[Day'# Singapore]),tblData[Singapore LogiP(t)]/SingaporePopscale,"")</f>
        <v>499.1372745415926</v>
      </c>
      <c r="BY74" s="95">
        <f ca="1">IF(AND(ISNUMBER(tblData[Singapore]),tblData[Dates]&gt;StartDt2Singapore),(tblData[Singapore]-AVERAGE(tblData[Singapore]))^2,"")</f>
        <v>2855437.2933487128</v>
      </c>
      <c r="BZ74" s="11">
        <f>tblData[[#This Row],[Dates]]-Singapore100dt+1</f>
        <v>41</v>
      </c>
      <c r="CA74" s="44">
        <f>IF(AND(tblData[Dates]&gt;StartDt2Generic,ISNUMBER(tblData[Day'# Generic])),betaGeneric/(deltaGeneric+betaPodeltaGeneric*EXP(-betaGeneric*tblData[Day'# Generic])),"")</f>
        <v>1466.0433034300609</v>
      </c>
      <c r="CB74" s="95">
        <f>IF(AND(ISNUMBER(tblData[Generic]),tblData[Dates]&gt;StartDt2Generic),(tblData[Generic LogiP(t)]-tblData[[#This Row],[Generic]])^2,"")</f>
        <v>9595.5144028951272</v>
      </c>
      <c r="CC74" s="11">
        <f>IF(AND(ISNUMBER(tblData[Day'# Generic]),tblData[Dates]&gt;StartDt2Generic),tblData[Generic LogiP(t)]/GenericPopscale,"")</f>
        <v>2991.9251090409407</v>
      </c>
      <c r="CD74" s="95">
        <f>IF(AND(ISNUMBER(tblData[Generic]),tblData[Dates]&gt;StartDt2Generic),(tblData[Generic]-AVERAGE(tblData[Generic]))^2,"")</f>
        <v>25699908.242366862</v>
      </c>
      <c r="CE74" s="11">
        <f>tblData[[#This Row],[Dates]]-Generic100dt+1</f>
        <v>13</v>
      </c>
      <c r="CF74" s="11">
        <v>67148</v>
      </c>
      <c r="CG74" s="11"/>
      <c r="CH74" s="11">
        <f>IF(ISNUMBER(tblData[[#This Row],[Tests]]),tblData[[#This Row],[Tests]]-CF73,"")</f>
        <v>6118</v>
      </c>
      <c r="CI74" s="11" t="str">
        <f>IF(ISNUMBER(tblData[[#This Row],[NSW Under Investigation'']]),tblData[[#This Row],[NSW Under Investigation'']]-CG73,"")</f>
        <v/>
      </c>
      <c r="CJ74" s="11">
        <f t="shared" si="2"/>
        <v>20</v>
      </c>
      <c r="CK74" s="11">
        <f>IF(AND(tblData[[#This Row],[NSW Test Day Number]]&gt;0,ISNUMBER(tblData[[#This Row],[NSW Test Day Number]])),betaTests/(deltaTests+betaPodeltaTests*EXP(-betaTests*tblData[[#This Row],[NSW Test Day Number]])),"")</f>
        <v>79969.244941542405</v>
      </c>
      <c r="CL74" s="11">
        <f>IF(tblData[Tests]&gt;0,(tblData[[#This Row],[Tests]]-tblData[[#This Row],[NSW Test Logi]])^2,"")</f>
        <v>164384321.85102671</v>
      </c>
      <c r="CM74" s="95">
        <f>IF(AND(ISNUMBER(tblData[Tests]),tblData[Dates]&gt;StartDt2Tests),(tblData[Tests]-AVERAGE(tblData[Tests]))^2,"")</f>
        <v>1521690179.9724224</v>
      </c>
      <c r="CN74" s="11">
        <f>IF(ISNUMBER(tblData[Tests]),tblData[Tests]/NSWpopscale/100,"")</f>
        <v>831.03960396039611</v>
      </c>
      <c r="CO74" s="95">
        <f ca="1">IF(AND(tblData[[#This Row],[NSW Test Day Number]]&gt;0,ISNUMBER(tblData[[#This Row],[NSW Test Day Number]])),TestsLogestB*TestsLogestM^tblData[[#This Row],[NSW Test Day Number]],"")</f>
        <v>42525.767796983419</v>
      </c>
      <c r="CP74" s="95">
        <f>IF(AND(tblData[[#This Row],[NSW Test Day Number]]&gt;0,ISNUMBER(tblData[Tests])),(tblData[Tests]-tblData[[#This Row],[NSW Test Per Capita]])^2,"")</f>
        <v>4397939236.1698856</v>
      </c>
      <c r="CQ74" s="20">
        <f ca="1">IF(AND(tblData[Day '# NSW]&gt;0,ISNUMBER(tblData[[#This Row],[Day '# NSW]])),NSWLogestB*NSWLogestM^tblData[[#This Row],[Day '# NSW]]/NSWpopscale,"")</f>
        <v>454.56141714617371</v>
      </c>
      <c r="CR74" s="39">
        <f ca="1">IF(AND(ISNUMBER(tblData[NSW]),tblData[Dates]&gt;StartDt2NSW),(tblData[NSW]/NSWpopscale-tblData[[#This Row],[NSW Cases LogEst]])^2,"")</f>
        <v>670684.72761560162</v>
      </c>
      <c r="CS74" s="11">
        <v>235</v>
      </c>
      <c r="CT74" s="19">
        <f>IF(ISNUMBER(tblData[Taiwan]),tblData[Taiwan]/TaiwanPopscale,"")</f>
        <v>98.709294072292664</v>
      </c>
      <c r="CU74" s="11">
        <f ca="1">IF(tblData[[#This Row],[Dates]]&lt;StartDt2Taiwan,"",tblData[[#This Row],[Dates]]-TaiwanStart)</f>
        <v>63</v>
      </c>
      <c r="CV74" s="19">
        <f ca="1">IF(AND(tblData[Dates]&gt;StartDt2Taiwan,ISNUMBER(tblData[Days'# Taiwan])),betaTaiwan/(deltaTaiwan+betaPodeltaTaiwan*EXP(-betaTaiwan*tblData[Days'# Taiwan])),"")</f>
        <v>222.18174090366912</v>
      </c>
      <c r="CW74" s="95">
        <f ca="1">IF(AND(tblData[Dates]&gt;StartDt2Taiwan,ISNUMBER(tblData[Taiwan])),(tblData[[#This Row],[Taiwan LogiP(t)]]-tblData[[#This Row],[Taiwan]])^2,"")</f>
        <v>164.30776626066927</v>
      </c>
      <c r="CX74" s="20">
        <f ca="1">IF(AND(tblData[Dates]&gt;StartDt2Taiwan,ISNUMBER(tblData[Days'# Taiwan])),tblData[[#This Row],[Taiwan LogiP(t)]]/TaiwanPopscale,"")</f>
        <v>93.325118299379625</v>
      </c>
      <c r="CY74" s="95">
        <f ca="1">IF(AND(ISNUMBER(tblData[Taiwan]),tblData[Dates]&gt;StartDt2Taiwan),(tblData[Taiwan]-AVERAGE(tblData[Taiwan]))^2,"")</f>
        <v>4283.8308342945002</v>
      </c>
      <c r="CZ74" s="11">
        <f>tblData[[#This Row],[Dates]]-Taiwan100dt+1</f>
        <v>0</v>
      </c>
      <c r="DA74">
        <v>205</v>
      </c>
      <c r="DB74" s="20">
        <f>IF(ISNUMBER(tblData[NZ]),tblData[NZ]/NZPopscale,"")</f>
        <v>391.96940726577435</v>
      </c>
      <c r="DC74" s="11">
        <f ca="1">IF(tblData[[#This Row],[Dates]]&lt;StartDt2NZ,"",tblData[[#This Row],[Dates]]-NZStart)</f>
        <v>26</v>
      </c>
      <c r="DD74" s="20">
        <f ca="1">IF(AND(tblData[Dates]&gt;StartDt2NZ,ISNUMBER(tblData[Days'# NZ])),betaNZ/(deltaNZ+betaPodeltaNZ*EXP(-betaNZ*tblData[Days'# NZ])),"")</f>
        <v>230.16827007668758</v>
      </c>
      <c r="DE74" s="95">
        <f ca="1">IF(AND(tblData[Dates]&gt;StartDt2NZ,ISNUMBER(tblData[NZ])),(tblData[[#This Row],[NZ LogiP(t)]]-tblData[[#This Row],[NZ]])^2,"")</f>
        <v>633.44181865308724</v>
      </c>
      <c r="DF74" s="20">
        <f ca="1">IF(AND(tblData[Dates]&gt;StartDt2NZ,ISNUMBER(tblData[Days'# NZ])),tblData[[#This Row],[NZ LogiP(t)]]/NZPopscale,"")</f>
        <v>440.09229460169706</v>
      </c>
      <c r="DG74" s="95">
        <f ca="1">IF(AND(ISNUMBER(tblData[NZ]),tblData[Dates]&gt;StartDt2NZ),(tblData[NZ]-AVERAGE(tblData[NZ]))^2,"")</f>
        <v>234197.33700642796</v>
      </c>
      <c r="DH74" s="11">
        <f>tblData[[#This Row],[Dates]]-NZ100dt+1</f>
        <v>4</v>
      </c>
      <c r="DI74" s="39"/>
      <c r="DJ74" s="11"/>
      <c r="DM74" s="25"/>
      <c r="DP74"/>
      <c r="DV74" s="25"/>
      <c r="DW74"/>
      <c r="EA74" s="25"/>
      <c r="EH74"/>
      <c r="EI74"/>
      <c r="EJ74"/>
      <c r="EK74"/>
      <c r="EL74" s="25"/>
      <c r="EM74" s="25"/>
      <c r="EQ74" s="25"/>
      <c r="ER74" s="25"/>
      <c r="ES74" s="25"/>
      <c r="ET74" s="25"/>
      <c r="FF74"/>
      <c r="FG74"/>
      <c r="FH74"/>
      <c r="FI74"/>
      <c r="FJ74"/>
      <c r="FK74"/>
      <c r="FL74"/>
      <c r="FO74" s="265" t="s">
        <v>153</v>
      </c>
      <c r="FP74" s="250"/>
      <c r="FQ74" s="156">
        <v>43855</v>
      </c>
      <c r="FR74" s="26"/>
      <c r="FS74" s="211">
        <v>1</v>
      </c>
      <c r="FT74" s="22">
        <v>0.20209478104227763</v>
      </c>
      <c r="FU74" s="24">
        <v>1.0000000000000751E-10</v>
      </c>
      <c r="FV74" s="21">
        <v>5.7886977342360797E-3</v>
      </c>
      <c r="FW74" s="212">
        <v>2020947810.4226243</v>
      </c>
      <c r="FX74" s="212">
        <v>3.5813561365949553</v>
      </c>
      <c r="FY74" s="212"/>
      <c r="FZ74" s="213">
        <v>34.911959532184611</v>
      </c>
      <c r="GA74" s="213">
        <v>1.0000000000000751E-7</v>
      </c>
      <c r="GB74" s="156">
        <v>43908</v>
      </c>
      <c r="GC74" s="26" t="s">
        <v>579</v>
      </c>
      <c r="GD74" s="212"/>
      <c r="GE74" s="212">
        <v>267</v>
      </c>
      <c r="GF74" s="19" t="s">
        <v>580</v>
      </c>
      <c r="GG74" s="156">
        <v>43908</v>
      </c>
      <c r="GH74" s="25">
        <v>54</v>
      </c>
      <c r="GI74" s="18" t="s">
        <v>581</v>
      </c>
      <c r="GJ74" s="25"/>
      <c r="GK74" s="25" t="s">
        <v>582</v>
      </c>
      <c r="GM74" s="25" t="s">
        <v>583</v>
      </c>
      <c r="GN74" s="20"/>
      <c r="GO74" s="156"/>
      <c r="GP74" s="218"/>
      <c r="GQ74" s="156"/>
      <c r="GR74" s="25"/>
      <c r="GS74" s="25"/>
      <c r="GT74" s="11"/>
      <c r="GU74" s="12"/>
      <c r="GV74" s="26"/>
      <c r="GX74" s="219"/>
      <c r="GY74" s="25"/>
      <c r="GZ74" s="25"/>
      <c r="HK74" s="164">
        <f t="shared" si="3"/>
        <v>43979</v>
      </c>
      <c r="HL74" s="60"/>
      <c r="HQ74" s="166" t="str">
        <f>IF(ISNUMBER(tblNSWKnown[[#This Row],[Unknown Locally]]),tblNSWKnown[[#This Row],[Known Locally]]+tblNSWKnown[[#This Row],[Unknown Locally]],"")</f>
        <v/>
      </c>
      <c r="HR74" s="25">
        <v>32</v>
      </c>
      <c r="HS74" s="166">
        <f>IF(ISNUMBER(tblNSWKnown[[#This Row],[Day '# NSW Unknown]]),betaNSWUnknown/(deltaNSWUnknown+betaPodeltaNSWUnknown*EXP(-betaNSWUnknown*tblNSWKnown[Day '# NSW Unknown])),"")</f>
        <v>1172.4674409854892</v>
      </c>
      <c r="HT74" s="166" t="str">
        <f>IF(ISNUMBER(tblNSWKnown[[#This Row],[Total Local]]),(tblNSWKnown[[#This Row],[Total Local]]-tblNSWKnown[[#This Row],[NSW Unknown Logi P(t)]])^2,"")</f>
        <v/>
      </c>
      <c r="HU74" s="166" t="str">
        <f>IF(ISNUMBER(tblNSWKnown[Total Local]),(tblNSWKnown[Total Local]-AVERAGE(tblNSWKnown[Total Local]))^2,"")</f>
        <v/>
      </c>
      <c r="HV74" s="166"/>
    </row>
    <row r="75" spans="2:237" x14ac:dyDescent="0.25">
      <c r="B75" s="26">
        <v>43916</v>
      </c>
      <c r="D75" s="25">
        <v>53</v>
      </c>
      <c r="E75">
        <v>1219</v>
      </c>
      <c r="F75">
        <v>8</v>
      </c>
      <c r="G75">
        <v>493</v>
      </c>
      <c r="H75">
        <v>235</v>
      </c>
      <c r="I75">
        <v>47</v>
      </c>
      <c r="J75">
        <v>520</v>
      </c>
      <c r="K75">
        <v>231</v>
      </c>
      <c r="L75" s="11">
        <f>IF(ISNUMBER(tblData[[#This Row],[NSW]]),tblData[[#This Row],[New South Wales]]/NSWpopscale,"")</f>
        <v>1508.6633663366335</v>
      </c>
      <c r="M75" s="25">
        <v>80589</v>
      </c>
      <c r="N75" s="20">
        <f>IF(ISNUMBER(tblData[Italy]),tblData[Italy]/ItalyPopscale,"")</f>
        <v>13323.799289079938</v>
      </c>
      <c r="O75" s="25">
        <v>83836</v>
      </c>
      <c r="P75" s="20">
        <f>IF(ISNUMBER(tblData[US]),tblData[US]/USPopscale,"")</f>
        <v>2546.4439440046467</v>
      </c>
      <c r="Q75" s="25">
        <v>9241</v>
      </c>
      <c r="R75" s="20">
        <f>IF(ISNUMBER(tblData[SKorea]),tblData[SKorea]/SKoreaPopscale,"")</f>
        <v>1797.8599221789884</v>
      </c>
      <c r="S75">
        <v>11812</v>
      </c>
      <c r="T75" s="20">
        <f>IF(ISNUMBER(tblData[United Kingdom]),tblData[United Kingdom]/UKPopscale,"")</f>
        <v>1777.844671884407</v>
      </c>
      <c r="U75">
        <v>81782</v>
      </c>
      <c r="V75" s="20">
        <f>IF(ISNUMBER(tblData[China]),tblData[China]/ChinaPopscale,"")</f>
        <v>568.19738104569467</v>
      </c>
      <c r="W75" s="25">
        <f ca="1">IF(tblData[[#This Row],[Dates]]&lt;StartDt2China,"",tblData[[#This Row],[Dates]]-ChinaStart)</f>
        <v>64</v>
      </c>
      <c r="X75" s="20">
        <v>683</v>
      </c>
      <c r="Y75" s="20">
        <f>IF(ISNUMBER(tblData[Singapore]),tblData[Singapore]/SingaporePopscale,"")</f>
        <v>1167.5213675213677</v>
      </c>
      <c r="Z75">
        <v>1819</v>
      </c>
      <c r="AA75" s="20">
        <f>IF(AND(LEN(tblData[Generic])&gt;0,ISNUMBER(tblData[Generic])),tblData[Generic]/GenericPopscale,"")</f>
        <v>3712.2448979591836</v>
      </c>
      <c r="AB75" s="25">
        <f ca="1">IF(tblData[[#This Row],[Dates]]&lt;StartDt2Italy,"",tblData[[#This Row],[Dates]]-ItalyStart)</f>
        <v>56</v>
      </c>
      <c r="AC75" s="25">
        <f ca="1">IF(tblData[[#This Row],[Dates]]&lt;=StartDt2US,"",tblData[[#This Row],[Dates]]-USStart)</f>
        <v>64</v>
      </c>
      <c r="AD75" s="25">
        <f>IF(tblData[[#This Row],[Dates]]&lt;=SKoreaStart,"",tblData[[#This Row],[Dates]]-SKoreaStart)</f>
        <v>64</v>
      </c>
      <c r="AE75" s="25">
        <f ca="1">IF(tblData[[#This Row],[Dates]]&lt;=StartDt2UK,"",tblData[[#This Row],[Dates]]-UKStart)</f>
        <v>56</v>
      </c>
      <c r="AF75" s="25">
        <f ca="1">IF(tblData[[#This Row],[Dates]]&lt;StartDt2Singapore,"",tblData[[#This Row],[Dates]]-SingaporeStart)</f>
        <v>63</v>
      </c>
      <c r="AG75" s="25">
        <f>IF(tblData[[#This Row],[Dates]]&lt;StartDt2Generic,"",tblData[[#This Row],[Dates]]-GenericStart)</f>
        <v>26</v>
      </c>
      <c r="AH75">
        <f ca="1">IF(tblData[Dates]&gt;StartDt2Au,tblData[Dates]-AuStart,"")</f>
        <v>61</v>
      </c>
      <c r="AI75" s="25">
        <f>IF(AND(COUNTBLANK(tblData[[#This Row],[Australian Capital Territory]:[Western Australia]])&lt;1,tblData[New South Wales]&gt;=0),SUM(tblData[[#This Row],[Australian Capital Territory]:[Western Australia]]),"")</f>
        <v>2806</v>
      </c>
      <c r="AJ75" s="12">
        <f>IF(ISNUMBER(tblData[Au]),tblData[Au]/AuPopScale,"")</f>
        <v>1106.2923829049046</v>
      </c>
      <c r="AK75" s="11">
        <f ca="1">IF(ISNUMBER(tblData[[#This Row],[Day'# Aust]]),betaAu/(deltaAu+betaPodeltaAu*EXP(-betaAu*tblData[[#This Row],[Day'# Aust]])),"")</f>
        <v>2719.4148058064716</v>
      </c>
      <c r="AL75" s="56">
        <f ca="1">IF(ISNUMBER(tblData[Day'# Aust]),tblData[Au LogiP(t)]/AuPopScale,"")</f>
        <v>1072.1553405639772</v>
      </c>
      <c r="AM75" s="11">
        <f ca="1">IF(AND(tblData[Dates]&gt;StartDt2Au,ISNUMBER(tblData[Au])),(tblData[[#This Row],[Au LogiP(t)]]-tblData[[#This Row],[Au]])^2,"")</f>
        <v>7496.9958535310279</v>
      </c>
      <c r="AN75" s="11">
        <f ca="1">IF(AND(ISNUMBER(tblData[Au]),tblData[Dates]&gt;StartDt2Au),(tblData[Au]-AVERAGE(tblData[Au]))^2,"")</f>
        <v>127584.69610000004</v>
      </c>
      <c r="AO75" s="11">
        <f>tblData[[#This Row],[Dates]]-Au100dt</f>
        <v>11</v>
      </c>
      <c r="AP75">
        <f ca="1">IF(tblData[Dates]&gt;StartDt2NSW,tblData[Dates]-StartDt2NSW,"")</f>
        <v>61</v>
      </c>
      <c r="AQ75" s="25">
        <f>IF(tblData[[#This Row],[New South Wales]]&gt;0,tblData[[#This Row],[New South Wales]],"")</f>
        <v>1219</v>
      </c>
      <c r="AR75" s="11">
        <f ca="1">IF(tblData[Dates]&gt;StartDt2NSW,betaNSW/(deltaNSW+betaPodeltaNSW*EXP(-betaNSW*tblData[[#This Row],[Day '# NSW]])),"")</f>
        <v>1191.7036906922976</v>
      </c>
      <c r="AS75" s="12">
        <f ca="1">IF(AND(ISNUMBER(tblData[NSW]),tblData[Dates]&gt;StartDt2NSW),(tblData[[#This Row],[NSW LogiP(t)]]-tblData[[#This Row],[NSW]])^2,"")</f>
        <v>745.08850182175843</v>
      </c>
      <c r="AT75" s="12">
        <f ca="1">IF(AND(tblData[Dates]&gt;StartDt2NSW,ISNUMBER(tblData[Day'# Aust])),tblData[NSW LogiP(t)]/NSWpopscale,"")</f>
        <v>1474.8808053122495</v>
      </c>
      <c r="AU75" s="11">
        <f>tblData[[#This Row],[Dates]]-NSW100dt+1</f>
        <v>14</v>
      </c>
      <c r="AV75" s="11">
        <f ca="1">IF(AND(ISNUMBER(tblData[NSW]),tblData[Dates]&gt;StartDt2NSW),(tblData[NSW]-AVERAGE(tblData[NSW]))^2,"")</f>
        <v>15560.067600000002</v>
      </c>
      <c r="AW75" s="11">
        <f ca="1">IF(AND(tblData[Dates]&gt;StartDt2Italy,ISNUMBER(tblData[Days'# Italy])),betaItaly/(deltaItaly+betaPodeltaItaly*EXP(-betaItaly*tblData[Days'# Italy])),"")</f>
        <v>128743.14959897858</v>
      </c>
      <c r="AX75" s="11">
        <f ca="1">IF(AND(tblData[Dates]&gt;StartDt2Italy,ISNUMBER(tblData[Italy])),(tblData[[#This Row],[Italy LogiP(t)]]-tblData[[#This Row],[Italy]])^2,"")</f>
        <v>2318822123.6008086</v>
      </c>
      <c r="AY75" s="11">
        <f ca="1">IF(AND(tblData[Dates]&gt;StartDt2Italy,ISNUMBER(tblData[Days'# Italy])),tblData[[#This Row],[Italy LogiP(t)]]/ItalyPopscale,"")</f>
        <v>21285.136744478561</v>
      </c>
      <c r="AZ75" s="39">
        <f ca="1">IF(AND(ISNUMBER(tblData[Italy]),tblData[Dates]&gt;StartDt2Italy),(tblData[Italy]-AVERAGE(tblData[Italy]))^2,"")</f>
        <v>117514133.77195579</v>
      </c>
      <c r="BA75" s="11">
        <f>tblData[[#This Row],[Dates]]-Italy100dt+1</f>
        <v>29</v>
      </c>
      <c r="BB75" s="11">
        <f ca="1">IF(AND(tblData[Dates]&gt;StartDt2US,ISNUMBER(tblData[[#This Row],[Days'# US]])),betaUS/(deltaUS+betaPodeltaUS*EXP(-betaUS*tblData[Days'# US])),"")</f>
        <v>70463.955696149293</v>
      </c>
      <c r="BC75" s="11">
        <f ca="1">IF(AND(tblData[Dates]&gt;StartDt2US,ISNUMBER(tblData[US])),(tblData[[#This Row],[US LogiP(t)]]-tblData[US])^2,"")</f>
        <v>178811568.86414614</v>
      </c>
      <c r="BD75" s="20">
        <f ca="1">IF(AND(tblData[Dates]&gt;=StartDt2US,ISNUMBER(tblData[[#This Row],[Days'# US]])),tblData[[#This Row],[US LogiP(t)]]/USPopscale,"")</f>
        <v>2140.279990136351</v>
      </c>
      <c r="BE75" s="126">
        <f ca="1">IF(AND(ISNUMBER(tblData[US]),tblData[Dates]&gt;StartDt2US),(tblData[US]-AVERAGE(tblData[US]))^2,"")</f>
        <v>19630040128.962032</v>
      </c>
      <c r="BF75" s="11">
        <f>tblData[[#This Row],[Dates]]-US100dt+1</f>
        <v>12</v>
      </c>
      <c r="BG75" s="20">
        <f ca="1">IF(tblData[Dates]&gt;StartDt2SKorea,betaSKorea/(deltaSKorea+betaPodeltaSKorea*EXP(-betaSKorea*(tblData[Dates]-StartDt2SKorea))),"")</f>
        <v>10000.119752317773</v>
      </c>
      <c r="BH75" s="20">
        <f ca="1">IF(AND(tblData[Dates]&gt;StartDt2SKorea,ISNUMBER(tblData[SKorea])),(tblData[[#This Row],[SKorea LogiP(t)]]-tblData[[#This Row],[SKorea]])^2,"")</f>
        <v>576262.79835899628</v>
      </c>
      <c r="BI75" s="20">
        <f ca="1">IF(tblData[Dates]&gt;StartDt2SKorea,tblData[[#This Row],[SKorea LogiP(t)]]/SKoreaPopscale,"")</f>
        <v>1945.5485899450921</v>
      </c>
      <c r="BJ75" s="126">
        <f ca="1">IF(AND(ISNUMBER(tblData[SKorea]),tblData[Dates]&gt;StartDt2SKorea),(tblData[SKorea]-AVERAGE(tblData[SKorea]))^2,"")</f>
        <v>11673343.138792774</v>
      </c>
      <c r="BK75" s="11">
        <f>tblData[[#This Row],[Dates]]-SKorea100dt+1</f>
        <v>33</v>
      </c>
      <c r="BL75" s="11">
        <f ca="1">IF(AND(tblData[Dates]&gt;StartDt2UK,ISNUMBER(tblData[Days'# UK])),betaUK/(deltaUK+betaPodeltaUK*EXP(-betaUK*tblData[Days'# UK])),"")</f>
        <v>12315.226131888377</v>
      </c>
      <c r="BM75" s="20">
        <f ca="1">IF(AND(tblData[Dates]&gt;StartDt2UK,ISNUMBER(tblData[United Kingdom])),(tblData[[#This Row],[UK LogiP(t)]]-tblData[[#This Row],[United Kingdom]])^2,"")</f>
        <v>253236.53981533871</v>
      </c>
      <c r="BN75" s="20">
        <f ca="1">IF(ISNUMBER(tblData[Days'# UK]),tblData[[#This Row],[UK LogiP(t)]]/UKPopscale,"")</f>
        <v>1853.586112565981</v>
      </c>
      <c r="BO75" s="126">
        <f ca="1">IF(AND(ISNUMBER(tblData[United Kingdom]),tblData[Dates]&gt;StartDt2UK),(tblData[United Kingdom]-AVERAGE(tblData[United Kingdom]))^2,"")</f>
        <v>684085694.46910369</v>
      </c>
      <c r="BP75" s="11">
        <f>tblData[[#This Row],[Dates]]-UK100dt</f>
        <v>14</v>
      </c>
      <c r="BQ75" s="11">
        <f ca="1">IF(ISNUMBER(tblData[Days'# China]),betaChina/(deltaChina+betaPodeltaChina*EXP(-betaChina*tblData[Days'# China])),"")</f>
        <v>82122.08816903262</v>
      </c>
      <c r="BR75" s="11">
        <f ca="1">IF(ISNUMBER(tblData[China]),(tblData[[#This Row],[China LogiP(t)]]-tblData[[#This Row],[China]])^2,"")</f>
        <v>115659.96271596025</v>
      </c>
      <c r="BS75" s="11">
        <f ca="1">tblData[[#This Row],[China LogiP(t)]]/ChinaPopscale</f>
        <v>570.56021402812303</v>
      </c>
      <c r="BT75" s="126">
        <f ca="1">IF(AND(ISNUMBER(tblData[China]),tblData[Dates]&gt;StartDt2China),(tblData[China]-AVERAGE(tblData[China]))^2,"")</f>
        <v>212504363.75086486</v>
      </c>
      <c r="BU75" s="11">
        <f>tblData[[#This Row],[Dates]]-China100dt</f>
        <v>53</v>
      </c>
      <c r="BV75" s="95">
        <f ca="1">IF(ISNUMBER(tblData[Day'# Singapore]),betaSingapore/(deltaSingapore+betaPodeltaSingapore*EXP(-betaSingapore*tblData[Day'# Singapore])),"")</f>
        <v>330.71043764447739</v>
      </c>
      <c r="BW75" s="11">
        <f ca="1">IF(AND(ISNUMBER(tblData[Singapore]),tblData[Dates]&gt;=StartDt2Singapore),(tblData[[#This Row],[Singapore LogiP(t)]]-tblData[[#This Row],[Singapore]])^2,"")</f>
        <v>124107.93574464566</v>
      </c>
      <c r="BX75" s="20">
        <f ca="1">IF(ISNUMBER(tblData[Day'# Singapore]),tblData[Singapore LogiP(t)]/SingaporePopscale,"")</f>
        <v>565.3169874264571</v>
      </c>
      <c r="BY75" s="95">
        <f ca="1">IF(AND(ISNUMBER(tblData[Singapore]),tblData[Dates]&gt;StartDt2Singapore),(tblData[Singapore]-AVERAGE(tblData[Singapore]))^2,"")</f>
        <v>2682401.6855055755</v>
      </c>
      <c r="BZ75" s="11">
        <f>tblData[[#This Row],[Dates]]-Singapore100dt+1</f>
        <v>42</v>
      </c>
      <c r="CA75" s="44">
        <f>IF(AND(tblData[Dates]&gt;StartDt2Generic,ISNUMBER(tblData[Day'# Generic])),betaGeneric/(deltaGeneric+betaPodeltaGeneric*EXP(-betaGeneric*tblData[Day'# Generic])),"")</f>
        <v>1655.1974528084843</v>
      </c>
      <c r="CB75" s="95">
        <f>IF(AND(ISNUMBER(tblData[Generic]),tblData[Dates]&gt;StartDt2Generic),(tblData[Generic LogiP(t)]-tblData[[#This Row],[Generic]])^2,"")</f>
        <v>26831.274466428731</v>
      </c>
      <c r="CC75" s="11">
        <f>IF(AND(ISNUMBER(tblData[Day'# Generic]),tblData[Dates]&gt;StartDt2Generic),tblData[Generic LogiP(t)]/GenericPopscale,"")</f>
        <v>3377.9539853234373</v>
      </c>
      <c r="CD75" s="95">
        <f>IF(AND(ISNUMBER(tblData[Generic]),tblData[Dates]&gt;StartDt2Generic),(tblData[Generic]-AVERAGE(tblData[Generic]))^2,"")</f>
        <v>23179484.319289941</v>
      </c>
      <c r="CE75" s="11">
        <f>tblData[[#This Row],[Dates]]-Generic100dt+1</f>
        <v>14</v>
      </c>
      <c r="CF75" s="11">
        <v>72787</v>
      </c>
      <c r="CG75" s="11"/>
      <c r="CH75" s="11">
        <f>IF(ISNUMBER(tblData[[#This Row],[Tests]]),tblData[[#This Row],[Tests]]-CF74,"")</f>
        <v>5639</v>
      </c>
      <c r="CI75" s="11" t="str">
        <f>IF(ISNUMBER(tblData[[#This Row],[NSW Under Investigation'']]),tblData[[#This Row],[NSW Under Investigation'']]-CG74,"")</f>
        <v/>
      </c>
      <c r="CJ75" s="11">
        <f t="shared" si="2"/>
        <v>21</v>
      </c>
      <c r="CK75" s="11">
        <f>IF(AND(tblData[[#This Row],[NSW Test Day Number]]&gt;0,ISNUMBER(tblData[[#This Row],[NSW Test Day Number]])),betaTests/(deltaTests+betaPodeltaTests*EXP(-betaTests*tblData[[#This Row],[NSW Test Day Number]])),"")</f>
        <v>87553.571617200243</v>
      </c>
      <c r="CL75" s="11">
        <f>IF(tblData[Tests]&gt;0,(tblData[[#This Row],[Tests]]-tblData[[#This Row],[NSW Test Logi]])^2,"")</f>
        <v>218051637.3259038</v>
      </c>
      <c r="CM75" s="95">
        <f>IF(AND(ISNUMBER(tblData[Tests]),tblData[Dates]&gt;StartDt2Tests),(tblData[Tests]-AVERAGE(tblData[Tests]))^2,"")</f>
        <v>1113546719.3453035</v>
      </c>
      <c r="CN75" s="11">
        <f>IF(ISNUMBER(tblData[Tests]),tblData[Tests]/NSWpopscale/100,"")</f>
        <v>900.82920792079199</v>
      </c>
      <c r="CO75" s="95">
        <f ca="1">IF(AND(tblData[[#This Row],[NSW Test Day Number]]&gt;0,ISNUMBER(tblData[[#This Row],[NSW Test Day Number]])),TestsLogestB*TestsLogestM^tblData[[#This Row],[NSW Test Day Number]],"")</f>
        <v>45077.800134902798</v>
      </c>
      <c r="CP75" s="95">
        <f>IF(AND(tblData[[#This Row],[NSW Test Day Number]]&gt;0,ISNUMBER(tblData[Tests])),(tblData[Tests]-tblData[[#This Row],[NSW Test Per Capita]])^2,"")</f>
        <v>5167621551.1479826</v>
      </c>
      <c r="CQ75" s="20">
        <f ca="1">IF(AND(tblData[Day '# NSW]&gt;0,ISNUMBER(tblData[[#This Row],[Day '# NSW]])),NSWLogestB*NSWLogestM^tblData[[#This Row],[Day '# NSW]]/NSWpopscale,"")</f>
        <v>500.45195239960253</v>
      </c>
      <c r="CR75" s="39">
        <f ca="1">IF(AND(ISNUMBER(tblData[NSW]),tblData[Dates]&gt;StartDt2NSW),(tblData[NSW]/NSWpopscale-tblData[[#This Row],[NSW Cases LogEst]])^2,"")</f>
        <v>1016490.2551929073</v>
      </c>
      <c r="CS75" s="11">
        <v>252</v>
      </c>
      <c r="CT75" s="19">
        <f>IF(ISNUMBER(tblData[Taiwan]),tblData[Taiwan]/TaiwanPopscale,"")</f>
        <v>105.84996640943724</v>
      </c>
      <c r="CU75" s="11">
        <f ca="1">IF(tblData[[#This Row],[Dates]]&lt;StartDt2Taiwan,"",tblData[[#This Row],[Dates]]-TaiwanStart)</f>
        <v>64</v>
      </c>
      <c r="CV75" s="19">
        <f ca="1">IF(AND(tblData[Dates]&gt;StartDt2Taiwan,ISNUMBER(tblData[Days'# Taiwan])),betaTaiwan/(deltaTaiwan+betaPodeltaTaiwan*EXP(-betaTaiwan*tblData[Days'# Taiwan])),"")</f>
        <v>237.7970278694215</v>
      </c>
      <c r="CW75" s="95">
        <f ca="1">IF(AND(tblData[Dates]&gt;StartDt2Taiwan,ISNUMBER(tblData[Taiwan])),(tblData[[#This Row],[Taiwan LogiP(t)]]-tblData[[#This Row],[Taiwan]])^2,"")</f>
        <v>201.72441734198964</v>
      </c>
      <c r="CX75" s="20">
        <f ca="1">IF(AND(tblData[Dates]&gt;StartDt2Taiwan,ISNUMBER(tblData[Days'# Taiwan])),tblData[[#This Row],[Taiwan LogiP(t)]]/TaiwanPopscale,"")</f>
        <v>99.884156397786811</v>
      </c>
      <c r="CY75" s="95">
        <f ca="1">IF(AND(ISNUMBER(tblData[Taiwan]),tblData[Dates]&gt;StartDt2Taiwan),(tblData[Taiwan]-AVERAGE(tblData[Taiwan]))^2,"")</f>
        <v>6798.1641676278332</v>
      </c>
      <c r="CZ75" s="11">
        <f>tblData[[#This Row],[Dates]]-Taiwan100dt+1</f>
        <v>1</v>
      </c>
      <c r="DA75">
        <v>283</v>
      </c>
      <c r="DB75" s="20">
        <f>IF(ISNUMBER(tblData[NZ]),tblData[NZ]/NZPopscale,"")</f>
        <v>541.10898661567876</v>
      </c>
      <c r="DC75" s="11">
        <f ca="1">IF(tblData[[#This Row],[Dates]]&lt;StartDt2NZ,"",tblData[[#This Row],[Dates]]-NZStart)</f>
        <v>27</v>
      </c>
      <c r="DD75" s="20">
        <f ca="1">IF(AND(tblData[Dates]&gt;StartDt2NZ,ISNUMBER(tblData[Days'# NZ])),betaNZ/(deltaNZ+betaPodeltaNZ*EXP(-betaNZ*tblData[Days'# NZ])),"")</f>
        <v>279.02432064541739</v>
      </c>
      <c r="DE75" s="95">
        <f ca="1">IF(AND(tblData[Dates]&gt;StartDt2NZ,ISNUMBER(tblData[NZ])),(tblData[[#This Row],[NZ LogiP(t)]]-tblData[[#This Row],[NZ]])^2,"")</f>
        <v>15.806026330454397</v>
      </c>
      <c r="DF75" s="20">
        <f ca="1">IF(AND(tblData[Dates]&gt;StartDt2NZ,ISNUMBER(tblData[Days'# NZ])),tblData[[#This Row],[NZ LogiP(t)]]/NZPopscale,"")</f>
        <v>533.50730524936398</v>
      </c>
      <c r="DG75" s="95">
        <f ca="1">IF(AND(ISNUMBER(tblData[NZ]),tblData[Dates]&gt;StartDt2NZ),(tblData[NZ]-AVERAGE(tblData[NZ]))^2,"")</f>
        <v>164786.79155188252</v>
      </c>
      <c r="DH75" s="11">
        <f>tblData[[#This Row],[Dates]]-NZ100dt+1</f>
        <v>5</v>
      </c>
      <c r="DI75" s="39"/>
      <c r="DJ75" s="11"/>
      <c r="DM75" s="25"/>
      <c r="DP75"/>
      <c r="DV75" s="25"/>
      <c r="DW75"/>
      <c r="EA75" s="25"/>
      <c r="EH75"/>
      <c r="EI75"/>
      <c r="EJ75"/>
      <c r="EK75"/>
      <c r="EL75" s="25"/>
      <c r="EM75" s="25"/>
      <c r="EQ75" s="25"/>
      <c r="ER75" s="25"/>
      <c r="ES75" s="25"/>
      <c r="ET75" s="25"/>
      <c r="FF75"/>
      <c r="FG75"/>
      <c r="FH75"/>
      <c r="FI75"/>
      <c r="FJ75"/>
      <c r="FK75"/>
      <c r="FL75"/>
      <c r="FO75" s="269" t="s">
        <v>153</v>
      </c>
      <c r="FP75" s="250"/>
      <c r="FQ75" s="156">
        <v>43855</v>
      </c>
      <c r="FR75" s="26"/>
      <c r="FS75" s="211">
        <v>1</v>
      </c>
      <c r="FT75" s="99">
        <v>0.20209478104227763</v>
      </c>
      <c r="FU75" s="101">
        <v>1.0000000000000751E-10</v>
      </c>
      <c r="FV75" s="21">
        <v>5.7886977342360797E-3</v>
      </c>
      <c r="FW75" s="212">
        <v>2020947810.4226243</v>
      </c>
      <c r="FX75" s="212">
        <v>3.8333653054478112</v>
      </c>
      <c r="FY75" s="212"/>
      <c r="FZ75" s="213">
        <v>34.911959532184611</v>
      </c>
      <c r="GA75" s="213">
        <v>1.0000000000000751E-7</v>
      </c>
      <c r="GB75" s="156">
        <v>43908</v>
      </c>
      <c r="GC75" s="100" t="s">
        <v>579</v>
      </c>
      <c r="GD75" s="212"/>
      <c r="GE75" s="212">
        <v>307</v>
      </c>
      <c r="GF75" s="51" t="s">
        <v>580</v>
      </c>
      <c r="GG75" s="156">
        <v>43908</v>
      </c>
      <c r="GH75" s="25">
        <v>55</v>
      </c>
      <c r="GI75" s="52" t="s">
        <v>581</v>
      </c>
      <c r="GJ75" s="51"/>
      <c r="GK75" s="51" t="s">
        <v>582</v>
      </c>
      <c r="GL75" s="51"/>
      <c r="GM75" s="54" t="s">
        <v>600</v>
      </c>
      <c r="GN75" s="20">
        <v>379.95049504950492</v>
      </c>
      <c r="GO75" s="156"/>
      <c r="GP75" s="218"/>
      <c r="GQ75" s="156"/>
      <c r="GR75" s="11"/>
      <c r="GS75" s="25" t="s">
        <v>601</v>
      </c>
      <c r="GT75" s="11"/>
      <c r="GU75" s="12"/>
      <c r="GV75" s="26"/>
      <c r="GX75" s="219"/>
      <c r="GY75" s="25"/>
      <c r="GZ75" s="25"/>
      <c r="HK75" s="164">
        <f t="shared" si="3"/>
        <v>43986</v>
      </c>
      <c r="HL75" s="60"/>
      <c r="HQ75" s="166" t="str">
        <f>IF(ISNUMBER(tblNSWKnown[[#This Row],[Unknown Locally]]),tblNSWKnown[[#This Row],[Known Locally]]+tblNSWKnown[[#This Row],[Unknown Locally]],"")</f>
        <v/>
      </c>
      <c r="HR75" s="25">
        <v>32</v>
      </c>
      <c r="HS75" s="166">
        <f>IF(ISNUMBER(tblNSWKnown[[#This Row],[Day '# NSW Unknown]]),betaNSWUnknown/(deltaNSWUnknown+betaPodeltaNSWUnknown*EXP(-betaNSWUnknown*tblNSWKnown[Day '# NSW Unknown])),"")</f>
        <v>1172.4674409854892</v>
      </c>
      <c r="HT75" s="166" t="str">
        <f>IF(ISNUMBER(tblNSWKnown[[#This Row],[Total Local]]),(tblNSWKnown[[#This Row],[Total Local]]-tblNSWKnown[[#This Row],[NSW Unknown Logi P(t)]])^2,"")</f>
        <v/>
      </c>
      <c r="HU75" s="166" t="str">
        <f>IF(ISNUMBER(tblNSWKnown[Total Local]),(tblNSWKnown[Total Local]-AVERAGE(tblNSWKnown[Total Local]))^2,"")</f>
        <v/>
      </c>
      <c r="HV75" s="166"/>
    </row>
    <row r="76" spans="2:237" x14ac:dyDescent="0.25">
      <c r="B76" s="26">
        <v>43917</v>
      </c>
      <c r="D76" s="25">
        <v>62</v>
      </c>
      <c r="E76">
        <v>1405</v>
      </c>
      <c r="F76">
        <v>12</v>
      </c>
      <c r="G76">
        <v>555</v>
      </c>
      <c r="H76">
        <v>257</v>
      </c>
      <c r="I76">
        <v>47</v>
      </c>
      <c r="J76">
        <v>574</v>
      </c>
      <c r="K76">
        <v>255</v>
      </c>
      <c r="L76" s="11">
        <f>IF(ISNUMBER(tblData[[#This Row],[NSW]]),tblData[[#This Row],[New South Wales]]/NSWpopscale,"")</f>
        <v>1738.8613861386139</v>
      </c>
      <c r="M76" s="25">
        <v>86498</v>
      </c>
      <c r="N76" s="20">
        <f>IF(ISNUMBER(tblData[Italy]),tblData[Italy]/ItalyPopscale,"")</f>
        <v>14300.735719599901</v>
      </c>
      <c r="O76" s="25">
        <v>101657</v>
      </c>
      <c r="P76" s="20">
        <f>IF(ISNUMBER(tblData[US]),tblData[US]/USPopscale,"")</f>
        <v>3087.7409706531844</v>
      </c>
      <c r="Q76" s="11">
        <v>9332</v>
      </c>
      <c r="R76" s="20">
        <f>IF(ISNUMBER(tblData[SKorea]),tblData[SKorea]/SKoreaPopscale,"")</f>
        <v>1815.5642023346304</v>
      </c>
      <c r="S76">
        <v>14745</v>
      </c>
      <c r="T76" s="20">
        <f>IF(ISNUMBER(tblData[United Kingdom]),tblData[United Kingdom]/UKPopscale,"")</f>
        <v>2219.2956050571943</v>
      </c>
      <c r="U76">
        <v>81897</v>
      </c>
      <c r="V76" s="20">
        <f>IF(ISNUMBER(tblData[China]),tblData[China]/ChinaPopscale,"")</f>
        <v>568.99636736077935</v>
      </c>
      <c r="W76" s="25">
        <f ca="1">IF(tblData[[#This Row],[Dates]]&lt;StartDt2China,"",tblData[[#This Row],[Dates]]-ChinaStart)</f>
        <v>65</v>
      </c>
      <c r="X76" s="20">
        <v>732</v>
      </c>
      <c r="Y76" s="20">
        <f>IF(ISNUMBER(tblData[Singapore]),tblData[Singapore]/SingaporePopscale,"")</f>
        <v>1251.2820512820513</v>
      </c>
      <c r="Z76">
        <v>2121</v>
      </c>
      <c r="AA76" s="20">
        <f>IF(AND(LEN(tblData[Generic])&gt;0,ISNUMBER(tblData[Generic])),tblData[Generic]/GenericPopscale,"")</f>
        <v>4328.5714285714284</v>
      </c>
      <c r="AB76" s="25">
        <f ca="1">IF(tblData[[#This Row],[Dates]]&lt;StartDt2Italy,"",tblData[[#This Row],[Dates]]-ItalyStart)</f>
        <v>57</v>
      </c>
      <c r="AC76" s="25">
        <f ca="1">IF(tblData[[#This Row],[Dates]]&lt;=StartDt2US,"",tblData[[#This Row],[Dates]]-USStart)</f>
        <v>65</v>
      </c>
      <c r="AD76" s="25">
        <f>IF(tblData[[#This Row],[Dates]]&lt;=SKoreaStart,"",tblData[[#This Row],[Dates]]-SKoreaStart)</f>
        <v>65</v>
      </c>
      <c r="AE76" s="25">
        <f ca="1">IF(tblData[[#This Row],[Dates]]&lt;=StartDt2UK,"",tblData[[#This Row],[Dates]]-UKStart)</f>
        <v>57</v>
      </c>
      <c r="AF76" s="25">
        <f ca="1">IF(tblData[[#This Row],[Dates]]&lt;StartDt2Singapore,"",tblData[[#This Row],[Dates]]-SingaporeStart)</f>
        <v>64</v>
      </c>
      <c r="AG76" s="25">
        <f>IF(tblData[[#This Row],[Dates]]&lt;StartDt2Generic,"",tblData[[#This Row],[Dates]]-GenericStart)</f>
        <v>27</v>
      </c>
      <c r="AH76">
        <f ca="1">IF(tblData[Dates]&gt;StartDt2Au,tblData[Dates]-AuStart,"")</f>
        <v>62</v>
      </c>
      <c r="AI76" s="25">
        <f>IF(AND(COUNTBLANK(tblData[[#This Row],[Australian Capital Territory]:[Western Australia]])&lt;1,tblData[New South Wales]&gt;=0),SUM(tblData[[#This Row],[Australian Capital Territory]:[Western Australia]]),"")</f>
        <v>3167</v>
      </c>
      <c r="AJ76" s="12">
        <f>IF(ISNUMBER(tblData[Au]),tblData[Au]/AuPopScale,"")</f>
        <v>1248.6200914682227</v>
      </c>
      <c r="AK76" s="11">
        <f ca="1">IF(ISNUMBER(tblData[[#This Row],[Day'# Aust]]),betaAu/(deltaAu+betaPodeltaAu*EXP(-betaAu*tblData[[#This Row],[Day'# Aust]])),"")</f>
        <v>3088.7263991063123</v>
      </c>
      <c r="AL76" s="56">
        <f ca="1">IF(ISNUMBER(tblData[Day'# Aust]),tblData[Au LogiP(t)]/AuPopScale,"")</f>
        <v>1217.7599744150418</v>
      </c>
      <c r="AM76" s="11">
        <f ca="1">IF(AND(tblData[Dates]&gt;StartDt2Au,ISNUMBER(tblData[Au])),(tblData[[#This Row],[Au LogiP(t)]]-tblData[[#This Row],[Au]])^2,"")</f>
        <v>6126.756596864303</v>
      </c>
      <c r="AN76" s="11">
        <f ca="1">IF(AND(ISNUMBER(tblData[Au]),tblData[Dates]&gt;StartDt2Au),(tblData[Au]-AVERAGE(tblData[Au]))^2,"")</f>
        <v>515796.87610000005</v>
      </c>
      <c r="AO76" s="11">
        <f>tblData[[#This Row],[Dates]]-Au100dt</f>
        <v>12</v>
      </c>
      <c r="AP76">
        <f ca="1">IF(tblData[Dates]&gt;StartDt2NSW,tblData[Dates]-StartDt2NSW,"")</f>
        <v>62</v>
      </c>
      <c r="AQ76" s="25">
        <f>IF(tblData[[#This Row],[New South Wales]]&gt;0,tblData[[#This Row],[New South Wales]],"")</f>
        <v>1405</v>
      </c>
      <c r="AR76" s="11">
        <f ca="1">IF(tblData[Dates]&gt;StartDt2NSW,betaNSW/(deltaNSW+betaPodeltaNSW*EXP(-betaNSW*tblData[[#This Row],[Day '# NSW]])),"")</f>
        <v>1362.1988738310376</v>
      </c>
      <c r="AS76" s="12">
        <f ca="1">IF(AND(ISNUMBER(tblData[NSW]),tblData[Dates]&gt;StartDt2NSW),(tblData[[#This Row],[NSW LogiP(t)]]-tblData[[#This Row],[NSW]])^2,"")</f>
        <v>1831.9364013314341</v>
      </c>
      <c r="AT76" s="12">
        <f ca="1">IF(AND(tblData[Dates]&gt;StartDt2NSW,ISNUMBER(tblData[Day'# Aust])),tblData[NSW LogiP(t)]/NSWpopscale,"")</f>
        <v>1685.8896953354424</v>
      </c>
      <c r="AU76" s="11">
        <f>tblData[[#This Row],[Dates]]-NSW100dt+1</f>
        <v>15</v>
      </c>
      <c r="AV76" s="11">
        <f ca="1">IF(AND(ISNUMBER(tblData[NSW]),tblData[Dates]&gt;StartDt2NSW),(tblData[NSW]-AVERAGE(tblData[NSW]))^2,"")</f>
        <v>96559.347600000008</v>
      </c>
      <c r="AW76" s="11">
        <f ca="1">IF(AND(tblData[Dates]&gt;StartDt2Italy,ISNUMBER(tblData[Days'# Italy])),betaItaly/(deltaItaly+betaPodeltaItaly*EXP(-betaItaly*tblData[Days'# Italy])),"")</f>
        <v>134843.53577800203</v>
      </c>
      <c r="AX76" s="11">
        <f ca="1">IF(AND(tblData[Dates]&gt;StartDt2Italy,ISNUMBER(tblData[Italy])),(tblData[[#This Row],[Italy LogiP(t)]]-tblData[[#This Row],[Italy]])^2,"")</f>
        <v>2337290829.6620741</v>
      </c>
      <c r="AY76" s="11">
        <f ca="1">IF(AND(tblData[Dates]&gt;StartDt2Italy,ISNUMBER(tblData[Days'# Italy])),tblData[[#This Row],[Italy LogiP(t)]]/ItalyPopscale,"")</f>
        <v>22293.715099281151</v>
      </c>
      <c r="AZ76" s="39">
        <f ca="1">IF(AND(ISNUMBER(tblData[Italy]),tblData[Dates]&gt;StartDt2Italy),(tblData[Italy]-AVERAGE(tblData[Italy]))^2,"")</f>
        <v>280542186.53791332</v>
      </c>
      <c r="BA76" s="11">
        <f>tblData[[#This Row],[Dates]]-Italy100dt+1</f>
        <v>30</v>
      </c>
      <c r="BB76" s="11">
        <f ca="1">IF(AND(tblData[Dates]&gt;StartDt2US,ISNUMBER(tblData[[#This Row],[Days'# US]])),betaUS/(deltaUS+betaPodeltaUS*EXP(-betaUS*tblData[Days'# US])),"")</f>
        <v>90998.381316932238</v>
      </c>
      <c r="BC76" s="11">
        <f ca="1">IF(AND(tblData[Dates]&gt;StartDt2US,ISNUMBER(tblData[US])),(tblData[[#This Row],[US LogiP(t)]]-tblData[US])^2,"")</f>
        <v>113606152.23104115</v>
      </c>
      <c r="BD76" s="20">
        <f ca="1">IF(AND(tblData[Dates]&gt;=StartDt2US,ISNUMBER(tblData[[#This Row],[Days'# US]])),tblData[[#This Row],[US LogiP(t)]]/USPopscale,"")</f>
        <v>2763.994906946034</v>
      </c>
      <c r="BE76" s="126">
        <f ca="1">IF(AND(ISNUMBER(tblData[US]),tblData[Dates]&gt;StartDt2US),(tblData[US]-AVERAGE(tblData[US]))^2,"")</f>
        <v>14953925740.177721</v>
      </c>
      <c r="BF76" s="11">
        <f>tblData[[#This Row],[Dates]]-US100dt+1</f>
        <v>13</v>
      </c>
      <c r="BG76" s="20">
        <f ca="1">IF(tblData[Dates]&gt;StartDt2SKorea,betaSKorea/(deltaSKorea+betaPodeltaSKorea*EXP(-betaSKorea*(tblData[Dates]-StartDt2SKorea))),"")</f>
        <v>10037.422410948233</v>
      </c>
      <c r="BH76" s="20">
        <f ca="1">IF(AND(tblData[Dates]&gt;StartDt2SKorea,ISNUMBER(tblData[SKorea])),(tblData[[#This Row],[SKorea LogiP(t)]]-tblData[[#This Row],[SKorea]])^2,"")</f>
        <v>497620.77786801761</v>
      </c>
      <c r="BI76" s="20">
        <f ca="1">IF(tblData[Dates]&gt;StartDt2SKorea,tblData[[#This Row],[SKorea LogiP(t)]]/SKoreaPopscale,"")</f>
        <v>1952.8059165268937</v>
      </c>
      <c r="BJ76" s="126">
        <f ca="1">IF(AND(ISNUMBER(tblData[SKorea]),tblData[Dates]&gt;StartDt2SKorea),(tblData[SKorea]-AVERAGE(tblData[SKorea]))^2,"")</f>
        <v>12303450.334871206</v>
      </c>
      <c r="BK76" s="11">
        <f>tblData[[#This Row],[Dates]]-SKorea100dt+1</f>
        <v>34</v>
      </c>
      <c r="BL76" s="11">
        <f ca="1">IF(AND(tblData[Dates]&gt;StartDt2UK,ISNUMBER(tblData[Days'# UK])),betaUK/(deltaUK+betaPodeltaUK*EXP(-betaUK*tblData[Days'# UK])),"")</f>
        <v>14935.800613207939</v>
      </c>
      <c r="BM76" s="20">
        <f ca="1">IF(AND(tblData[Dates]&gt;StartDt2UK,ISNUMBER(tblData[United Kingdom])),(tblData[[#This Row],[UK LogiP(t)]]-tblData[[#This Row],[United Kingdom]])^2,"")</f>
        <v>36404.874000525553</v>
      </c>
      <c r="BN76" s="20">
        <f ca="1">IF(ISNUMBER(tblData[Days'# UK]),tblData[[#This Row],[UK LogiP(t)]]/UKPopscale,"")</f>
        <v>2248.0133373281064</v>
      </c>
      <c r="BO76" s="126">
        <f ca="1">IF(AND(ISNUMBER(tblData[United Kingdom]),tblData[Dates]&gt;StartDt2UK),(tblData[United Kingdom]-AVERAGE(tblData[United Kingdom]))^2,"")</f>
        <v>539262766.25633776</v>
      </c>
      <c r="BP76" s="11">
        <f>tblData[[#This Row],[Dates]]-UK100dt</f>
        <v>15</v>
      </c>
      <c r="BQ76" s="11">
        <f ca="1">IF(ISNUMBER(tblData[Days'# China]),betaChina/(deltaChina+betaPodeltaChina*EXP(-betaChina*tblData[Days'# China])),"")</f>
        <v>82122.697005039052</v>
      </c>
      <c r="BR76" s="11">
        <f ca="1">IF(ISNUMBER(tblData[China]),(tblData[[#This Row],[China LogiP(t)]]-tblData[[#This Row],[China]])^2,"")</f>
        <v>50939.138083597805</v>
      </c>
      <c r="BS76" s="11">
        <f ca="1">tblData[[#This Row],[China LogiP(t)]]/ChinaPopscale</f>
        <v>570.56444404236015</v>
      </c>
      <c r="BT76" s="126">
        <f ca="1">IF(AND(ISNUMBER(tblData[China]),tblData[Dates]&gt;StartDt2China),(tblData[China]-AVERAGE(tblData[China]))^2,"")</f>
        <v>215870420.51557073</v>
      </c>
      <c r="BU76" s="11">
        <f>tblData[[#This Row],[Dates]]-China100dt</f>
        <v>54</v>
      </c>
      <c r="BV76" s="95">
        <f ca="1">IF(ISNUMBER(tblData[Day'# Singapore]),betaSingapore/(deltaSingapore+betaPodeltaSingapore*EXP(-betaSingapore*tblData[Day'# Singapore])),"")</f>
        <v>374.50416703930603</v>
      </c>
      <c r="BW76" s="11">
        <f ca="1">IF(AND(ISNUMBER(tblData[Singapore]),tblData[Dates]&gt;=StartDt2Singapore),(tblData[[#This Row],[Singapore LogiP(t)]]-tblData[[#This Row],[Singapore]])^2,"")</f>
        <v>127803.2705842604</v>
      </c>
      <c r="BX76" s="20">
        <f ca="1">IF(ISNUMBER(tblData[Day'# Singapore]),tblData[Singapore LogiP(t)]/SingaporePopscale,"")</f>
        <v>640.17806331505312</v>
      </c>
      <c r="BY76" s="95">
        <f ca="1">IF(AND(ISNUMBER(tblData[Singapore]),tblData[Dates]&gt;StartDt2Singapore),(tblData[Singapore]-AVERAGE(tblData[Singapore]))^2,"")</f>
        <v>2524297.9011918497</v>
      </c>
      <c r="BZ76" s="11">
        <f>tblData[[#This Row],[Dates]]-Singapore100dt+1</f>
        <v>43</v>
      </c>
      <c r="CA76" s="44">
        <f>IF(AND(tblData[Dates]&gt;StartDt2Generic,ISNUMBER(tblData[Day'# Generic])),betaGeneric/(deltaGeneric+betaPodeltaGeneric*EXP(-betaGeneric*tblData[Day'# Generic])),"")</f>
        <v>1866.8547066062804</v>
      </c>
      <c r="CB76" s="95">
        <f>IF(AND(ISNUMBER(tblData[Generic]),tblData[Dates]&gt;StartDt2Generic),(tblData[Generic LogiP(t)]-tblData[[#This Row],[Generic]])^2,"")</f>
        <v>64589.830154179821</v>
      </c>
      <c r="CC76" s="11">
        <f>IF(AND(ISNUMBER(tblData[Day'# Generic]),tblData[Dates]&gt;StartDt2Generic),tblData[Generic LogiP(t)]/GenericPopscale,"")</f>
        <v>3809.9075645026132</v>
      </c>
      <c r="CD76" s="95">
        <f>IF(AND(ISNUMBER(tblData[Generic]),tblData[Dates]&gt;StartDt2Generic),(tblData[Generic]-AVERAGE(tblData[Generic]))^2,"")</f>
        <v>20362725.673136093</v>
      </c>
      <c r="CE76" s="11">
        <f>tblData[[#This Row],[Dates]]-Generic100dt+1</f>
        <v>15</v>
      </c>
      <c r="CF76" s="11">
        <v>76284</v>
      </c>
      <c r="CG76" s="11"/>
      <c r="CH76" s="11">
        <f>IF(ISNUMBER(tblData[[#This Row],[Tests]]),tblData[[#This Row],[Tests]]-CF75,"")</f>
        <v>3497</v>
      </c>
      <c r="CI76" s="11" t="str">
        <f>IF(ISNUMBER(tblData[[#This Row],[NSW Under Investigation'']]),tblData[[#This Row],[NSW Under Investigation'']]-CG75,"")</f>
        <v/>
      </c>
      <c r="CJ76" s="11">
        <f t="shared" si="2"/>
        <v>22</v>
      </c>
      <c r="CK76" s="11">
        <f>IF(AND(tblData[[#This Row],[NSW Test Day Number]]&gt;0,ISNUMBER(tblData[[#This Row],[NSW Test Day Number]])),betaTests/(deltaTests+betaPodeltaTests*EXP(-betaTests*tblData[[#This Row],[NSW Test Day Number]])),"")</f>
        <v>95118.166686443001</v>
      </c>
      <c r="CL76" s="11">
        <f>IF(tblData[Tests]&gt;0,(tblData[[#This Row],[Tests]]-tblData[[#This Row],[NSW Test Logi]])^2,"")</f>
        <v>354725834.77271932</v>
      </c>
      <c r="CM76" s="95">
        <f>IF(AND(ISNUMBER(tblData[Tests]),tblData[Dates]&gt;StartDt2Tests),(tblData[Tests]-AVERAGE(tblData[Tests]))^2,"")</f>
        <v>892387015.22665942</v>
      </c>
      <c r="CN76" s="11">
        <f>IF(ISNUMBER(tblData[Tests]),tblData[Tests]/NSWpopscale/100,"")</f>
        <v>944.10891089108907</v>
      </c>
      <c r="CO76" s="95">
        <f ca="1">IF(AND(tblData[[#This Row],[NSW Test Day Number]]&gt;0,ISNUMBER(tblData[[#This Row],[NSW Test Day Number]])),TestsLogestB*TestsLogestM^tblData[[#This Row],[NSW Test Day Number]],"")</f>
        <v>47782.983594863719</v>
      </c>
      <c r="CP76" s="95">
        <f>IF(AND(tblData[[#This Row],[NSW Test Day Number]]&gt;0,ISNUMBER(tblData[Tests])),(tblData[Tests]-tblData[[#This Row],[NSW Test Per Capita]])^2,"")</f>
        <v>5676099189.3187933</v>
      </c>
      <c r="CQ76" s="20">
        <f ca="1">IF(AND(tblData[Day '# NSW]&gt;0,ISNUMBER(tblData[[#This Row],[Day '# NSW]])),NSWLogestB*NSWLogestM^tblData[[#This Row],[Day '# NSW]]/NSWpopscale,"")</f>
        <v>550.97539565271995</v>
      </c>
      <c r="CR76" s="39">
        <f ca="1">IF(AND(ISNUMBER(tblData[NSW]),tblData[Dates]&gt;StartDt2NSW),(tblData[NSW]/NSWpopscale-tblData[[#This Row],[NSW Cases LogEst]])^2,"")</f>
        <v>1411073.1263926532</v>
      </c>
      <c r="CS76" s="11">
        <v>267</v>
      </c>
      <c r="CT76" s="19">
        <f>IF(ISNUMBER(tblData[Taiwan]),tblData[Taiwan]/TaiwanPopscale,"")</f>
        <v>112.15055964809422</v>
      </c>
      <c r="CU76" s="11">
        <f ca="1">IF(tblData[[#This Row],[Dates]]&lt;StartDt2Taiwan,"",tblData[[#This Row],[Dates]]-TaiwanStart)</f>
        <v>65</v>
      </c>
      <c r="CV76" s="19">
        <f ca="1">IF(AND(tblData[Dates]&gt;StartDt2Taiwan,ISNUMBER(tblData[Days'# Taiwan])),betaTaiwan/(deltaTaiwan+betaPodeltaTaiwan*EXP(-betaTaiwan*tblData[Days'# Taiwan])),"")</f>
        <v>253.14820997233494</v>
      </c>
      <c r="CW76" s="95">
        <f ca="1">IF(AND(tblData[Dates]&gt;StartDt2Taiwan,ISNUMBER(tblData[Taiwan])),(tblData[[#This Row],[Taiwan LogiP(t)]]-tblData[[#This Row],[Taiwan]])^2,"")</f>
        <v>191.87208697052122</v>
      </c>
      <c r="CX76" s="20">
        <f ca="1">IF(AND(tblData[Dates]&gt;StartDt2Taiwan,ISNUMBER(tblData[Days'# Taiwan])),tblData[[#This Row],[Taiwan LogiP(t)]]/TaiwanPopscale,"")</f>
        <v>106.33226000865405</v>
      </c>
      <c r="CY76" s="95">
        <f ca="1">IF(AND(ISNUMBER(tblData[Taiwan]),tblData[Dates]&gt;StartDt2Taiwan),(tblData[Taiwan]-AVERAGE(tblData[Taiwan]))^2,"")</f>
        <v>9496.6935793925386</v>
      </c>
      <c r="CZ76" s="11">
        <f>tblData[[#This Row],[Dates]]-Taiwan100dt+1</f>
        <v>2</v>
      </c>
      <c r="DA76">
        <v>368</v>
      </c>
      <c r="DB76" s="20">
        <f>IF(ISNUMBER(tblData[NZ]),tblData[NZ]/NZPopscale,"")</f>
        <v>703.63288718929255</v>
      </c>
      <c r="DC76" s="11">
        <f ca="1">IF(tblData[[#This Row],[Dates]]&lt;StartDt2NZ,"",tblData[[#This Row],[Dates]]-NZStart)</f>
        <v>28</v>
      </c>
      <c r="DD76" s="20">
        <f ca="1">IF(AND(tblData[Dates]&gt;StartDt2NZ,ISNUMBER(tblData[Days'# NZ])),betaNZ/(deltaNZ+betaPodeltaNZ*EXP(-betaNZ*tblData[Days'# NZ])),"")</f>
        <v>335.4248052344638</v>
      </c>
      <c r="DE76" s="95">
        <f ca="1">IF(AND(tblData[Dates]&gt;StartDt2NZ,ISNUMBER(tblData[NZ])),(tblData[[#This Row],[NZ LogiP(t)]]-tblData[[#This Row],[NZ]])^2,"")</f>
        <v>1061.1433140126169</v>
      </c>
      <c r="DF76" s="20">
        <f ca="1">IF(AND(tblData[Dates]&gt;StartDt2NZ,ISNUMBER(tblData[Days'# NZ])),tblData[[#This Row],[NZ LogiP(t)]]/NZPopscale,"")</f>
        <v>641.34761995117356</v>
      </c>
      <c r="DG76" s="95">
        <f ca="1">IF(AND(ISNUMBER(tblData[NZ]),tblData[Dates]&gt;StartDt2NZ),(tblData[NZ]-AVERAGE(tblData[NZ]))^2,"")</f>
        <v>103002.09458218553</v>
      </c>
      <c r="DH76" s="11">
        <f>tblData[[#This Row],[Dates]]-NZ100dt+1</f>
        <v>6</v>
      </c>
      <c r="DI76" s="39"/>
      <c r="DJ76" s="11"/>
      <c r="DM76" s="25"/>
      <c r="DP76"/>
      <c r="DV76" s="25"/>
      <c r="DW76"/>
      <c r="EA76" s="25"/>
      <c r="EH76"/>
      <c r="EI76"/>
      <c r="EJ76"/>
      <c r="EK76"/>
      <c r="EL76" s="25"/>
      <c r="EM76" s="25"/>
      <c r="EQ76" s="25"/>
      <c r="ER76" s="25"/>
      <c r="ES76" s="25"/>
      <c r="ET76" s="25"/>
      <c r="FF76"/>
      <c r="FG76"/>
      <c r="FH76"/>
      <c r="FI76"/>
      <c r="FJ76"/>
      <c r="FK76"/>
      <c r="FL76"/>
      <c r="FO76" s="265" t="s">
        <v>153</v>
      </c>
      <c r="FP76" s="250"/>
      <c r="FQ76" s="156">
        <v>43855</v>
      </c>
      <c r="FR76" s="26"/>
      <c r="FS76" s="211">
        <v>1</v>
      </c>
      <c r="FT76" s="25">
        <v>0.19837162818971904</v>
      </c>
      <c r="FU76" s="24">
        <v>1.00000000000157E-8</v>
      </c>
      <c r="FV76" s="21">
        <v>6.9460009994493713E-3</v>
      </c>
      <c r="FW76" s="212">
        <v>19837162.818940759</v>
      </c>
      <c r="FX76" s="212">
        <v>3.6531506142049168</v>
      </c>
      <c r="FY76" s="212"/>
      <c r="FZ76" s="213">
        <v>28.559113097735587</v>
      </c>
      <c r="GA76" s="213">
        <v>1.00000000000157E-5</v>
      </c>
      <c r="GB76" s="156">
        <v>43910</v>
      </c>
      <c r="GC76" s="25" t="s">
        <v>693</v>
      </c>
      <c r="GD76" s="212"/>
      <c r="GE76" s="212">
        <v>382</v>
      </c>
      <c r="GF76" s="25" t="s">
        <v>694</v>
      </c>
      <c r="GG76" s="156">
        <v>43910</v>
      </c>
      <c r="GH76" s="25">
        <v>56</v>
      </c>
      <c r="GI76" s="25" t="s">
        <v>695</v>
      </c>
      <c r="GJ76" s="25"/>
      <c r="GK76" s="25" t="s">
        <v>696</v>
      </c>
      <c r="GM76" s="25" t="s">
        <v>697</v>
      </c>
      <c r="GN76" s="20">
        <v>472.77227722772273</v>
      </c>
      <c r="GO76" s="156"/>
      <c r="GP76" s="218"/>
      <c r="GQ76" s="156"/>
      <c r="GR76" s="25"/>
      <c r="GS76" s="25" t="s">
        <v>698</v>
      </c>
      <c r="GT76" s="11"/>
      <c r="GU76" s="12"/>
      <c r="GV76" s="26"/>
      <c r="GX76" s="219"/>
      <c r="GY76" s="25"/>
      <c r="GZ76" s="25"/>
      <c r="HK76" s="164">
        <f t="shared" si="3"/>
        <v>43993</v>
      </c>
      <c r="HL76" s="60"/>
      <c r="HQ76" s="166" t="str">
        <f>IF(ISNUMBER(tblNSWKnown[[#This Row],[Unknown Locally]]),tblNSWKnown[[#This Row],[Known Locally]]+tblNSWKnown[[#This Row],[Unknown Locally]],"")</f>
        <v/>
      </c>
      <c r="HR76" s="25">
        <v>32</v>
      </c>
      <c r="HS76" s="166">
        <f>IF(ISNUMBER(tblNSWKnown[[#This Row],[Day '# NSW Unknown]]),betaNSWUnknown/(deltaNSWUnknown+betaPodeltaNSWUnknown*EXP(-betaNSWUnknown*tblNSWKnown[Day '# NSW Unknown])),"")</f>
        <v>1172.4674409854892</v>
      </c>
      <c r="HT76" s="166" t="str">
        <f>IF(ISNUMBER(tblNSWKnown[[#This Row],[Total Local]]),(tblNSWKnown[[#This Row],[Total Local]]-tblNSWKnown[[#This Row],[NSW Unknown Logi P(t)]])^2,"")</f>
        <v/>
      </c>
      <c r="HU76" s="166" t="str">
        <f>IF(ISNUMBER(tblNSWKnown[Total Local]),(tblNSWKnown[Total Local]-AVERAGE(tblNSWKnown[Total Local]))^2,"")</f>
        <v/>
      </c>
      <c r="HV76" s="166"/>
    </row>
    <row r="77" spans="2:237" s="46" customFormat="1" x14ac:dyDescent="0.25">
      <c r="B77" s="26">
        <v>43918</v>
      </c>
      <c r="D77" s="46">
        <v>71</v>
      </c>
      <c r="E77" s="46">
        <v>1617</v>
      </c>
      <c r="F77" s="46">
        <v>15</v>
      </c>
      <c r="G77" s="46">
        <v>625</v>
      </c>
      <c r="H77" s="46">
        <v>287</v>
      </c>
      <c r="I77" s="46">
        <v>62</v>
      </c>
      <c r="J77" s="46">
        <v>685</v>
      </c>
      <c r="K77" s="46">
        <v>278</v>
      </c>
      <c r="L77" s="11">
        <f>IF(ISNUMBER(tblData[[#This Row],[NSW]]),tblData[[#This Row],[New South Wales]]/NSWpopscale,"")</f>
        <v>2001.2376237623762</v>
      </c>
      <c r="M77" s="46">
        <v>92472</v>
      </c>
      <c r="N77" s="20">
        <f>IF(ISNUMBER(tblData[Italy]),tblData[Italy]/ItalyPopscale,"")</f>
        <v>15288.418616185832</v>
      </c>
      <c r="O77" s="46">
        <v>121465</v>
      </c>
      <c r="P77" s="20">
        <f>IF(ISNUMBER(tblData[US]),tblData[US]/USPopscale,"")</f>
        <v>3689.3913552474405</v>
      </c>
      <c r="Q77" s="48">
        <v>9478</v>
      </c>
      <c r="R77" s="20">
        <f>IF(ISNUMBER(tblData[SKorea]),tblData[SKorea]/SKoreaPopscale,"")</f>
        <v>1843.9688715953309</v>
      </c>
      <c r="S77">
        <v>17312</v>
      </c>
      <c r="T77" s="20">
        <f>IF(ISNUMBER(tblData[United Kingdom]),tblData[United Kingdom]/UKPopscale,"")</f>
        <v>2605.6592414208308</v>
      </c>
      <c r="U77">
        <v>81999</v>
      </c>
      <c r="V77" s="20">
        <f>IF(ISNUMBER(tblData[China]),tblData[China]/ChinaPopscale,"")</f>
        <v>569.70503348372392</v>
      </c>
      <c r="W77" s="25">
        <f ca="1">IF(tblData[[#This Row],[Dates]]&lt;StartDt2China,"",tblData[[#This Row],[Dates]]-ChinaStart)</f>
        <v>66</v>
      </c>
      <c r="X77" s="50">
        <v>802</v>
      </c>
      <c r="Y77" s="50">
        <f>IF(ISNUMBER(tblData[Singapore]),tblData[Singapore]/SingaporePopscale,"")</f>
        <v>1370.9401709401711</v>
      </c>
      <c r="Z77">
        <v>2415</v>
      </c>
      <c r="AA77" s="50">
        <f>IF(AND(LEN(tblData[Generic])&gt;0,ISNUMBER(tblData[Generic])),tblData[Generic]/GenericPopscale,"")</f>
        <v>4928.5714285714284</v>
      </c>
      <c r="AB77" s="25">
        <f ca="1">IF(tblData[[#This Row],[Dates]]&lt;StartDt2Italy,"",tblData[[#This Row],[Dates]]-ItalyStart)</f>
        <v>58</v>
      </c>
      <c r="AC77" s="25">
        <f ca="1">IF(tblData[[#This Row],[Dates]]&lt;=StartDt2US,"",tblData[[#This Row],[Dates]]-USStart)</f>
        <v>66</v>
      </c>
      <c r="AD77" s="46">
        <f>IF(tblData[[#This Row],[Dates]]&lt;=SKoreaStart,"",tblData[[#This Row],[Dates]]-SKoreaStart)</f>
        <v>66</v>
      </c>
      <c r="AE77" s="46">
        <f ca="1">IF(tblData[[#This Row],[Dates]]&lt;=StartDt2UK,"",tblData[[#This Row],[Dates]]-UKStart)</f>
        <v>58</v>
      </c>
      <c r="AF77" s="46">
        <f ca="1">IF(tblData[[#This Row],[Dates]]&lt;StartDt2Singapore,"",tblData[[#This Row],[Dates]]-SingaporeStart)</f>
        <v>65</v>
      </c>
      <c r="AG77" s="46">
        <f>IF(tblData[[#This Row],[Dates]]&lt;StartDt2Generic,"",tblData[[#This Row],[Dates]]-GenericStart)</f>
        <v>28</v>
      </c>
      <c r="AH77" s="46">
        <f ca="1">IF(tblData[Dates]&gt;StartDt2Au,tblData[Dates]-AuStart,"")</f>
        <v>63</v>
      </c>
      <c r="AI77" s="25">
        <f>IF(AND(COUNTBLANK(tblData[[#This Row],[Australian Capital Territory]:[Western Australia]])&lt;1,tblData[New South Wales]&gt;=0),SUM(tblData[[#This Row],[Australian Capital Territory]:[Western Australia]]),"")</f>
        <v>3640</v>
      </c>
      <c r="AJ77" s="47">
        <f>IF(ISNUMBER(tblData[Au]),tblData[Au]/AuPopScale,"")</f>
        <v>1435.1048730484151</v>
      </c>
      <c r="AK77" s="48">
        <f ca="1">IF(ISNUMBER(tblData[[#This Row],[Day'# Aust]]),betaAu/(deltaAu+betaPodeltaAu*EXP(-betaAu*tblData[[#This Row],[Day'# Aust]])),"")</f>
        <v>3463.9225868254744</v>
      </c>
      <c r="AL77" s="56">
        <f ca="1">IF(ISNUMBER(tblData[Day'# Aust]),tblData[Au LogiP(t)]/AuPopScale,"")</f>
        <v>1365.6846659933269</v>
      </c>
      <c r="AM77" s="48">
        <f ca="1">IF(AND(tblData[Dates]&gt;StartDt2Au,ISNUMBER(tblData[Au])),(tblData[[#This Row],[Au LogiP(t)]]-tblData[[#This Row],[Au]])^2,"")</f>
        <v>31003.255430232617</v>
      </c>
      <c r="AN77" s="48">
        <f ca="1">IF(AND(ISNUMBER(tblData[Au]),tblData[Dates]&gt;StartDt2Au),(tblData[Au]-AVERAGE(tblData[Au]))^2,"")</f>
        <v>1418933.6161000002</v>
      </c>
      <c r="AO77" s="48">
        <f>tblData[[#This Row],[Dates]]-Au100dt</f>
        <v>13</v>
      </c>
      <c r="AP77" s="46">
        <f ca="1">IF(tblData[Dates]&gt;StartDt2NSW,tblData[Dates]-StartDt2NSW,"")</f>
        <v>63</v>
      </c>
      <c r="AQ77" s="25">
        <f>IF(tblData[[#This Row],[New South Wales]]&gt;0,tblData[[#This Row],[New South Wales]],"")</f>
        <v>1617</v>
      </c>
      <c r="AR77" s="11">
        <f ca="1">IF(tblData[Dates]&gt;StartDt2NSW,betaNSW/(deltaNSW+betaPodeltaNSW*EXP(-betaNSW*tblData[[#This Row],[Day '# NSW]])),"")</f>
        <v>1536.0591900861671</v>
      </c>
      <c r="AS77" s="12">
        <f ca="1">IF(AND(ISNUMBER(tblData[NSW]),tblData[Dates]&gt;StartDt2NSW),(tblData[[#This Row],[NSW LogiP(t)]]-tblData[[#This Row],[NSW]])^2,"")</f>
        <v>6551.4147095072358</v>
      </c>
      <c r="AT77" s="47">
        <f ca="1">IF(AND(tblData[Dates]&gt;StartDt2NSW,ISNUMBER(tblData[Day'# Aust])),tblData[NSW LogiP(t)]/NSWpopscale,"")</f>
        <v>1901.0633540670383</v>
      </c>
      <c r="AU77" s="11">
        <f>tblData[[#This Row],[Dates]]-NSW100dt+1</f>
        <v>16</v>
      </c>
      <c r="AV77" s="11">
        <f ca="1">IF(AND(ISNUMBER(tblData[NSW]),tblData[Dates]&gt;StartDt2NSW),(tblData[NSW]-AVERAGE(tblData[NSW]))^2,"")</f>
        <v>273257.10759999999</v>
      </c>
      <c r="AW77" s="11">
        <f ca="1">IF(AND(tblData[Dates]&gt;StartDt2Italy,ISNUMBER(tblData[Days'# Italy])),betaItaly/(deltaItaly+betaPodeltaItaly*EXP(-betaItaly*tblData[Days'# Italy])),"")</f>
        <v>139993.26863915435</v>
      </c>
      <c r="AX77" s="11">
        <f ca="1">IF(AND(tblData[Dates]&gt;StartDt2Italy,ISNUMBER(tblData[Italy])),(tblData[[#This Row],[Italy LogiP(t)]]-tblData[[#This Row],[Italy]])^2,"")</f>
        <v>2258270973.0746751</v>
      </c>
      <c r="AY77" s="11">
        <f ca="1">IF(AND(tblData[Dates]&gt;StartDt2Italy,ISNUMBER(tblData[Days'# Italy])),tblData[[#This Row],[Italy LogiP(t)]]/ItalyPopscale,"")</f>
        <v>23145.121706068341</v>
      </c>
      <c r="AZ77" s="49">
        <f ca="1">IF(AND(ISNUMBER(tblData[Italy]),tblData[Dates]&gt;StartDt2Italy),(tblData[Italy]-AVERAGE(tblData[Italy]))^2,"")</f>
        <v>516352617.4740836</v>
      </c>
      <c r="BA77" s="11">
        <f>tblData[[#This Row],[Dates]]-Italy100dt+1</f>
        <v>31</v>
      </c>
      <c r="BB77" s="11">
        <f ca="1">IF(AND(tblData[Dates]&gt;StartDt2US,ISNUMBER(tblData[[#This Row],[Days'# US]])),betaUS/(deltaUS+betaPodeltaUS*EXP(-betaUS*tblData[Days'# US])),"")</f>
        <v>116577.90208090159</v>
      </c>
      <c r="BC77" s="11">
        <f ca="1">IF(AND(tblData[Dates]&gt;StartDt2US,ISNUMBER(tblData[US])),(tblData[[#This Row],[US LogiP(t)]]-tblData[US])^2,"")</f>
        <v>23883726.070855983</v>
      </c>
      <c r="BD77" s="20">
        <f ca="1">IF(AND(tblData[Dates]&gt;=StartDt2US,ISNUMBER(tblData[[#This Row],[Days'# US]])),tblData[[#This Row],[US LogiP(t)]]/USPopscale,"")</f>
        <v>3540.9501020883458</v>
      </c>
      <c r="BE77" s="126">
        <f ca="1">IF(AND(ISNUMBER(tblData[US]),tblData[Dates]&gt;StartDt2US),(tblData[US]-AVERAGE(tblData[US]))^2,"")</f>
        <v>10501790718.373798</v>
      </c>
      <c r="BF77" s="11">
        <f>tblData[[#This Row],[Dates]]-US100dt+1</f>
        <v>14</v>
      </c>
      <c r="BG77" s="50">
        <f ca="1">IF(tblData[Dates]&gt;StartDt2SKorea,betaSKorea/(deltaSKorea+betaPodeltaSKorea*EXP(-betaSKorea*(tblData[Dates]-StartDt2SKorea))),"")</f>
        <v>10068.878663157901</v>
      </c>
      <c r="BH77" s="50">
        <f ca="1">IF(AND(tblData[Dates]&gt;StartDt2SKorea,ISNUMBER(tblData[SKorea])),(tblData[[#This Row],[SKorea LogiP(t)]]-tblData[[#This Row],[SKorea]])^2,"")</f>
        <v>349137.59457526769</v>
      </c>
      <c r="BI77" s="50">
        <f ca="1">IF(tblData[Dates]&gt;StartDt2SKorea,tblData[[#This Row],[SKorea LogiP(t)]]/SKoreaPopscale,"")</f>
        <v>1958.925809952899</v>
      </c>
      <c r="BJ77" s="126">
        <f ca="1">IF(AND(ISNUMBER(tblData[SKorea]),tblData[Dates]&gt;StartDt2SKorea),(tblData[SKorea]-AVERAGE(tblData[SKorea]))^2,"")</f>
        <v>13348993.550557481</v>
      </c>
      <c r="BK77" s="11">
        <f>tblData[[#This Row],[Dates]]-SKorea100dt+1</f>
        <v>35</v>
      </c>
      <c r="BL77" s="11">
        <f ca="1">IF(AND(tblData[Dates]&gt;StartDt2UK,ISNUMBER(tblData[Days'# UK])),betaUK/(deltaUK+betaPodeltaUK*EXP(-betaUK*tblData[Days'# UK])),"")</f>
        <v>18036.946745206944</v>
      </c>
      <c r="BM77" s="50">
        <f ca="1">IF(AND(tblData[Dates]&gt;StartDt2UK,ISNUMBER(tblData[United Kingdom])),(tblData[[#This Row],[UK LogiP(t)]]-tblData[[#This Row],[United Kingdom]])^2,"")</f>
        <v>525547.78338614164</v>
      </c>
      <c r="BN77" s="50">
        <f ca="1">IF(ISNUMBER(tblData[Days'# UK]),tblData[[#This Row],[UK LogiP(t)]]/UKPopscale,"")</f>
        <v>2714.7722373881611</v>
      </c>
      <c r="BO77" s="126">
        <f ca="1">IF(AND(ISNUMBER(tblData[United Kingdom]),tblData[Dates]&gt;StartDt2UK),(tblData[United Kingdom]-AVERAGE(tblData[United Kingdom]))^2,"")</f>
        <v>426630343.40527391</v>
      </c>
      <c r="BP77" s="11">
        <f>tblData[[#This Row],[Dates]]-UK100dt</f>
        <v>16</v>
      </c>
      <c r="BQ77" s="48">
        <f ca="1">IF(ISNUMBER(tblData[Days'# China]),betaChina/(deltaChina+betaPodeltaChina*EXP(-betaChina*tblData[Days'# China])),"")</f>
        <v>82123.185193657337</v>
      </c>
      <c r="BR77" s="48">
        <f ca="1">IF(ISNUMBER(tblData[China]),(tblData[[#This Row],[China LogiP(t)]]-tblData[[#This Row],[China]])^2,"")</f>
        <v>15421.962323710204</v>
      </c>
      <c r="BS77" s="48">
        <f ca="1">tblData[[#This Row],[China LogiP(t)]]/ChinaPopscale</f>
        <v>570.56783583388358</v>
      </c>
      <c r="BT77" s="126">
        <f ca="1">IF(AND(ISNUMBER(tblData[China]),tblData[Dates]&gt;StartDt2China),(tblData[China]-AVERAGE(tblData[China]))^2,"")</f>
        <v>218878100.51557073</v>
      </c>
      <c r="BU77" s="48">
        <f>tblData[[#This Row],[Dates]]-China100dt</f>
        <v>55</v>
      </c>
      <c r="BV77" s="95">
        <f ca="1">IF(ISNUMBER(tblData[Day'# Singapore]),betaSingapore/(deltaSingapore+betaPodeltaSingapore*EXP(-betaSingapore*tblData[Day'# Singapore])),"")</f>
        <v>424.02731759422164</v>
      </c>
      <c r="BW77" s="48">
        <f ca="1">IF(AND(ISNUMBER(tblData[Singapore]),tblData[Dates]&gt;=StartDt2Singapore),(tblData[[#This Row],[Singapore LogiP(t)]]-tblData[[#This Row],[Singapore]])^2,"")</f>
        <v>142863.3486450194</v>
      </c>
      <c r="BX77" s="20">
        <f ca="1">IF(ISNUMBER(tblData[Day'# Singapore]),tblData[Singapore LogiP(t)]/SingaporePopscale,"")</f>
        <v>724.83302152858403</v>
      </c>
      <c r="BY77" s="95">
        <f ca="1">IF(AND(ISNUMBER(tblData[Singapore]),tblData[Dates]&gt;StartDt2Singapore),(tblData[Singapore]-AVERAGE(tblData[Singapore]))^2,"")</f>
        <v>2306765.352172242</v>
      </c>
      <c r="BZ77" s="11">
        <f>tblData[[#This Row],[Dates]]-Singapore100dt+1</f>
        <v>44</v>
      </c>
      <c r="CA77" s="44">
        <f>IF(AND(tblData[Dates]&gt;StartDt2Generic,ISNUMBER(tblData[Day'# Generic])),betaGeneric/(deltaGeneric+betaPodeltaGeneric*EXP(-betaGeneric*tblData[Day'# Generic])),"")</f>
        <v>2103.1819304570759</v>
      </c>
      <c r="CB77" s="95">
        <f>IF(AND(ISNUMBER(tblData[Generic]),tblData[Dates]&gt;StartDt2Generic),(tblData[Generic LogiP(t)]-tblData[[#This Row],[Generic]])^2,"")</f>
        <v>97230.508493475878</v>
      </c>
      <c r="CC77" s="11">
        <f>IF(AND(ISNUMBER(tblData[Day'# Generic]),tblData[Dates]&gt;StartDt2Generic),tblData[Generic LogiP(t)]/GenericPopscale,"")</f>
        <v>4292.2080213409708</v>
      </c>
      <c r="CD77" s="95">
        <f>IF(AND(ISNUMBER(tblData[Generic]),tblData[Dates]&gt;StartDt2Generic),(tblData[Generic]-AVERAGE(tblData[Generic]))^2,"")</f>
        <v>17795807.150059171</v>
      </c>
      <c r="CE77" s="11">
        <f>tblData[[#This Row],[Dates]]-Generic100dt+1</f>
        <v>16</v>
      </c>
      <c r="CF77" s="11">
        <v>84907</v>
      </c>
      <c r="CG77" s="48"/>
      <c r="CH77" s="11">
        <f>IF(ISNUMBER(tblData[[#This Row],[Tests]]),tblData[[#This Row],[Tests]]-CF76,"")</f>
        <v>8623</v>
      </c>
      <c r="CI77" s="11" t="str">
        <f>IF(ISNUMBER(tblData[[#This Row],[NSW Under Investigation'']]),tblData[[#This Row],[NSW Under Investigation'']]-CG76,"")</f>
        <v/>
      </c>
      <c r="CJ77" s="11">
        <f t="shared" si="2"/>
        <v>23</v>
      </c>
      <c r="CK77" s="11">
        <f>IF(AND(tblData[[#This Row],[NSW Test Day Number]]&gt;0,ISNUMBER(tblData[[#This Row],[NSW Test Day Number]])),betaTests/(deltaTests+betaPodeltaTests*EXP(-betaTests*tblData[[#This Row],[NSW Test Day Number]])),"")</f>
        <v>102547.78090794529</v>
      </c>
      <c r="CL77" s="48">
        <f>IF(tblData[Tests]&gt;0,(tblData[[#This Row],[Tests]]-tblData[[#This Row],[NSW Test Logi]])^2,"")</f>
        <v>311197151.04212689</v>
      </c>
      <c r="CM77" s="95">
        <f>IF(AND(ISNUMBER(tblData[Tests]),tblData[Dates]&gt;StartDt2Tests),(tblData[Tests]-AVERAGE(tblData[Tests]))^2,"")</f>
        <v>451556016.972422</v>
      </c>
      <c r="CN77" s="48">
        <f>IF(ISNUMBER(tblData[Tests]),tblData[Tests]/NSWpopscale/100,"")</f>
        <v>1050.829207920792</v>
      </c>
      <c r="CO77" s="97">
        <f ca="1">IF(AND(tblData[[#This Row],[NSW Test Day Number]]&gt;0,ISNUMBER(tblData[[#This Row],[NSW Test Day Number]])),TestsLogestB*TestsLogestM^tblData[[#This Row],[NSW Test Day Number]],"")</f>
        <v>50650.508995428347</v>
      </c>
      <c r="CP77" s="95">
        <f>IF(AND(tblData[[#This Row],[NSW Test Day Number]]&gt;0,ISNUMBER(tblData[Tests])),(tblData[Tests]-tblData[[#This Row],[NSW Test Per Capita]])^2,"")</f>
        <v>7031857379.9103584</v>
      </c>
      <c r="CQ77" s="20">
        <f ca="1">IF(AND(tblData[Day '# NSW]&gt;0,ISNUMBER(tblData[[#This Row],[Day '# NSW]])),NSWLogestB*NSWLogestM^tblData[[#This Row],[Day '# NSW]]/NSWpopscale,"")</f>
        <v>606.59946506167796</v>
      </c>
      <c r="CR77" s="39">
        <f ca="1">IF(AND(ISNUMBER(tblData[NSW]),tblData[Dates]&gt;StartDt2NSW),(tblData[NSW]/NSWpopscale-tblData[[#This Row],[NSW Cases LogEst]])^2,"")</f>
        <v>1945015.5937040737</v>
      </c>
      <c r="CS77" s="11">
        <v>283</v>
      </c>
      <c r="CT77" s="19">
        <f>IF(ISNUMBER(tblData[Taiwan]),tblData[Taiwan]/TaiwanPopscale,"")</f>
        <v>118.871192435995</v>
      </c>
      <c r="CU77" s="11">
        <f ca="1">IF(tblData[[#This Row],[Dates]]&lt;StartDt2Taiwan,"",tblData[[#This Row],[Dates]]-TaiwanStart)</f>
        <v>66</v>
      </c>
      <c r="CV77" s="19">
        <f ca="1">IF(AND(tblData[Dates]&gt;StartDt2Taiwan,ISNUMBER(tblData[Days'# Taiwan])),betaTaiwan/(deltaTaiwan+betaPodeltaTaiwan*EXP(-betaTaiwan*tblData[Days'# Taiwan])),"")</f>
        <v>268.08048426509185</v>
      </c>
      <c r="CW77" s="95">
        <f ca="1">IF(AND(tblData[Dates]&gt;StartDt2Taiwan,ISNUMBER(tblData[Taiwan])),(tblData[[#This Row],[Taiwan LogiP(t)]]-tblData[[#This Row],[Taiwan]])^2,"")</f>
        <v>222.59194976417174</v>
      </c>
      <c r="CX77" s="20">
        <f ca="1">IF(AND(tblData[Dates]&gt;StartDt2Taiwan,ISNUMBER(tblData[Days'# Taiwan])),tblData[[#This Row],[Taiwan LogiP(t)]]/TaiwanPopscale,"")</f>
        <v>112.60440577176843</v>
      </c>
      <c r="CY77" s="95">
        <f ca="1">IF(AND(ISNUMBER(tblData[Taiwan]),tblData[Dates]&gt;StartDt2Taiwan),(tblData[Taiwan]-AVERAGE(tblData[Taiwan]))^2,"")</f>
        <v>12871.124951941558</v>
      </c>
      <c r="CZ77" s="11">
        <f>tblData[[#This Row],[Dates]]-Taiwan100dt+1</f>
        <v>3</v>
      </c>
      <c r="DA77" s="11">
        <v>451</v>
      </c>
      <c r="DB77" s="20">
        <f>IF(ISNUMBER(tblData[NZ]),tblData[NZ]/NZPopscale,"")</f>
        <v>862.33269598470361</v>
      </c>
      <c r="DC77" s="11">
        <f ca="1">IF(tblData[[#This Row],[Dates]]&lt;StartDt2NZ,"",tblData[[#This Row],[Dates]]-NZStart)</f>
        <v>29</v>
      </c>
      <c r="DD77" s="20">
        <f ca="1">IF(AND(tblData[Dates]&gt;StartDt2NZ,ISNUMBER(tblData[Days'# NZ])),betaNZ/(deltaNZ+betaPodeltaNZ*EXP(-betaNZ*tblData[Days'# NZ])),"")</f>
        <v>399.37404208337267</v>
      </c>
      <c r="DE77" s="95">
        <f ca="1">IF(AND(tblData[Dates]&gt;StartDt2NZ,ISNUMBER(tblData[NZ])),(tblData[[#This Row],[NZ LogiP(t)]]-tblData[[#This Row],[NZ]])^2,"")</f>
        <v>2665.239530809376</v>
      </c>
      <c r="DF77" s="20">
        <f ca="1">IF(AND(tblData[Dates]&gt;StartDt2NZ,ISNUMBER(tblData[Days'# NZ])),tblData[[#This Row],[NZ LogiP(t)]]/NZPopscale,"")</f>
        <v>763.62149537929758</v>
      </c>
      <c r="DG77" s="95">
        <f ca="1">IF(AND(ISNUMBER(tblData[NZ]),tblData[Dates]&gt;StartDt2NZ),(tblData[NZ]-AVERAGE(tblData[NZ]))^2,"")</f>
        <v>56615.155188246121</v>
      </c>
      <c r="DH77" s="11">
        <f>tblData[[#This Row],[Dates]]-NZ100dt+1</f>
        <v>7</v>
      </c>
      <c r="DI77" s="39"/>
      <c r="DJ77" s="48"/>
      <c r="DL77"/>
      <c r="DM77" s="25"/>
      <c r="DN77"/>
      <c r="DO77" s="25"/>
      <c r="DP77"/>
      <c r="DQ77"/>
      <c r="DR77"/>
      <c r="DS77"/>
      <c r="DT77"/>
      <c r="DU77"/>
      <c r="DV77" s="25"/>
      <c r="DW77"/>
      <c r="DX77"/>
      <c r="DY77"/>
      <c r="DZ77"/>
      <c r="EA77" s="25"/>
      <c r="EB77"/>
      <c r="EC77"/>
      <c r="ED77"/>
      <c r="EE77"/>
      <c r="EF77"/>
      <c r="EG77"/>
      <c r="EH77"/>
      <c r="EI77"/>
      <c r="EJ77"/>
      <c r="EK77"/>
      <c r="EL77" s="25"/>
      <c r="EM77" s="25"/>
      <c r="EN77"/>
      <c r="EO77"/>
      <c r="EP77"/>
      <c r="EQ77" s="25"/>
      <c r="ER77" s="25"/>
      <c r="ES77" s="25"/>
      <c r="ET77" s="25"/>
      <c r="EU77" s="25"/>
      <c r="EV77"/>
      <c r="EW77" s="25"/>
      <c r="EX77" s="25"/>
      <c r="EY77" s="25"/>
      <c r="EZ77" s="25"/>
      <c r="FA77"/>
      <c r="FB77"/>
      <c r="FC77"/>
      <c r="FD77"/>
      <c r="FE77"/>
      <c r="FF77"/>
      <c r="FG77"/>
      <c r="FI77" s="25"/>
      <c r="FJ77" s="25"/>
      <c r="FK77" s="25"/>
      <c r="FL77" s="25"/>
      <c r="FM77" s="59"/>
      <c r="FN77" s="26"/>
      <c r="FO77" s="265" t="s">
        <v>153</v>
      </c>
      <c r="FP77" s="250">
        <v>43911.866284722222</v>
      </c>
      <c r="FQ77" s="156">
        <v>43855</v>
      </c>
      <c r="FR77" s="26">
        <v>43855</v>
      </c>
      <c r="FS77" s="211">
        <v>1</v>
      </c>
      <c r="FT77" s="25">
        <v>0.20930602113130264</v>
      </c>
      <c r="FU77" s="24">
        <v>7.6817707886235747E-5</v>
      </c>
      <c r="FV77" s="21">
        <v>4.3039510033128963E-3</v>
      </c>
      <c r="FW77" s="212">
        <v>2724.7105763852951</v>
      </c>
      <c r="FX77" s="212">
        <v>4.2004617329616165</v>
      </c>
      <c r="FY77" s="212"/>
      <c r="FZ77" s="213">
        <v>48.631057916445158</v>
      </c>
      <c r="GA77" s="213">
        <v>7.681770788623575E-2</v>
      </c>
      <c r="GB77" s="156">
        <v>43911</v>
      </c>
      <c r="GC77" s="25" t="s">
        <v>760</v>
      </c>
      <c r="GD77" s="212"/>
      <c r="GE77" s="212">
        <v>436</v>
      </c>
      <c r="GF77" s="25" t="s">
        <v>761</v>
      </c>
      <c r="GG77" s="156">
        <v>43911</v>
      </c>
      <c r="GH77" s="25">
        <v>57</v>
      </c>
      <c r="GI77" s="25" t="s">
        <v>762</v>
      </c>
      <c r="GJ77" s="25"/>
      <c r="GK77" s="25" t="s">
        <v>763</v>
      </c>
      <c r="GL77" s="25"/>
      <c r="GM77" s="25" t="s">
        <v>764</v>
      </c>
      <c r="GN77" s="20">
        <v>539.60396039603961</v>
      </c>
      <c r="GO77" s="156"/>
      <c r="GP77" s="218"/>
      <c r="GQ77" s="156"/>
      <c r="GR77" s="25"/>
      <c r="GS77" s="25" t="s">
        <v>749</v>
      </c>
      <c r="GT77" s="11"/>
      <c r="GU77" s="12"/>
      <c r="GV77" s="26"/>
      <c r="GW77"/>
      <c r="GX77" s="219"/>
      <c r="GY77" s="25"/>
      <c r="GZ77" s="25"/>
      <c r="HA77"/>
      <c r="HB77"/>
      <c r="HC77"/>
      <c r="HD77"/>
      <c r="HE77"/>
      <c r="HF77"/>
      <c r="HG77"/>
      <c r="HH77"/>
      <c r="HI77"/>
      <c r="HJ77"/>
      <c r="HK77" s="164">
        <f t="shared" si="3"/>
        <v>44000</v>
      </c>
      <c r="HL77" s="60"/>
      <c r="HM77"/>
      <c r="HN77"/>
      <c r="HO77"/>
      <c r="HP77"/>
      <c r="HQ77" s="166" t="str">
        <f>IF(ISNUMBER(tblNSWKnown[[#This Row],[Unknown Locally]]),tblNSWKnown[[#This Row],[Known Locally]]+tblNSWKnown[[#This Row],[Unknown Locally]],"")</f>
        <v/>
      </c>
      <c r="HR77" s="25">
        <v>32</v>
      </c>
      <c r="HS77" s="166">
        <f>IF(ISNUMBER(tblNSWKnown[[#This Row],[Day '# NSW Unknown]]),betaNSWUnknown/(deltaNSWUnknown+betaPodeltaNSWUnknown*EXP(-betaNSWUnknown*tblNSWKnown[Day '# NSW Unknown])),"")</f>
        <v>1172.4674409854892</v>
      </c>
      <c r="HT77" s="166" t="str">
        <f>IF(ISNUMBER(tblNSWKnown[[#This Row],[Total Local]]),(tblNSWKnown[[#This Row],[Total Local]]-tblNSWKnown[[#This Row],[NSW Unknown Logi P(t)]])^2,"")</f>
        <v/>
      </c>
      <c r="HU77" s="166" t="str">
        <f>IF(ISNUMBER(tblNSWKnown[Total Local]),(tblNSWKnown[Total Local]-AVERAGE(tblNSWKnown[Total Local]))^2,"")</f>
        <v/>
      </c>
      <c r="HV77" s="166"/>
      <c r="HW77"/>
      <c r="HX77"/>
      <c r="HY77"/>
      <c r="HZ77"/>
      <c r="IA77"/>
      <c r="IB77"/>
      <c r="IC77"/>
    </row>
    <row r="78" spans="2:237" x14ac:dyDescent="0.25">
      <c r="B78" s="26">
        <v>43919</v>
      </c>
      <c r="D78" s="25">
        <v>77</v>
      </c>
      <c r="E78">
        <v>1791</v>
      </c>
      <c r="F78">
        <v>15</v>
      </c>
      <c r="G78">
        <v>656</v>
      </c>
      <c r="H78">
        <v>299</v>
      </c>
      <c r="I78">
        <v>66</v>
      </c>
      <c r="J78">
        <v>769</v>
      </c>
      <c r="K78">
        <v>311</v>
      </c>
      <c r="L78" s="11">
        <f>IF(ISNUMBER(tblData[[#This Row],[NSW]]),tblData[[#This Row],[New South Wales]]/NSWpopscale,"")</f>
        <v>2216.5841584158416</v>
      </c>
      <c r="M78" s="25">
        <v>97689</v>
      </c>
      <c r="N78" s="20">
        <f>IF(ISNUMBER(tblData[Italy]),tblData[Italy]/ItalyPopscale,"")</f>
        <v>16150.946515665042</v>
      </c>
      <c r="O78" s="25">
        <v>140909</v>
      </c>
      <c r="P78" s="20">
        <f>IF(ISNUMBER(tblData[US]),tblData[US]/USPopscale,"")</f>
        <v>4279.9855635496779</v>
      </c>
      <c r="Q78" s="11">
        <v>9583</v>
      </c>
      <c r="R78" s="20">
        <f>IF(ISNUMBER(tblData[SKorea]),tblData[SKorea]/SKoreaPopscale,"")</f>
        <v>1864.3968871595332</v>
      </c>
      <c r="S78">
        <v>19780</v>
      </c>
      <c r="T78" s="20">
        <f>IF(ISNUMBER(tblData[United Kingdom]),tblData[United Kingdom]/UKPopscale,"")</f>
        <v>2977.1222155328114</v>
      </c>
      <c r="U78">
        <v>82122</v>
      </c>
      <c r="V78" s="20">
        <f>IF(ISNUMBER(tblData[China]),tblData[China]/ChinaPopscale,"")</f>
        <v>570.55960145551023</v>
      </c>
      <c r="W78" s="25">
        <f ca="1">IF(tblData[[#This Row],[Dates]]&lt;StartDt2China,"",tblData[[#This Row],[Dates]]-ChinaStart)</f>
        <v>67</v>
      </c>
      <c r="X78" s="20">
        <v>844</v>
      </c>
      <c r="Y78" s="20">
        <f>IF(ISNUMBER(tblData[Singapore]),tblData[Singapore]/SingaporePopscale,"")</f>
        <v>1442.7350427350427</v>
      </c>
      <c r="Z78">
        <v>2615</v>
      </c>
      <c r="AA78" s="20">
        <f>IF(AND(LEN(tblData[Generic])&gt;0,ISNUMBER(tblData[Generic])),tblData[Generic]/GenericPopscale,"")</f>
        <v>5336.7346938775509</v>
      </c>
      <c r="AB78" s="25">
        <f ca="1">IF(tblData[[#This Row],[Dates]]&lt;StartDt2Italy,"",tblData[[#This Row],[Dates]]-ItalyStart)</f>
        <v>59</v>
      </c>
      <c r="AC78" s="25">
        <f ca="1">IF(tblData[[#This Row],[Dates]]&lt;=StartDt2US,"",tblData[[#This Row],[Dates]]-USStart)</f>
        <v>67</v>
      </c>
      <c r="AD78" s="25">
        <f>IF(tblData[[#This Row],[Dates]]&lt;=SKoreaStart,"",tblData[[#This Row],[Dates]]-SKoreaStart)</f>
        <v>67</v>
      </c>
      <c r="AE78" s="25">
        <f ca="1">IF(tblData[[#This Row],[Dates]]&lt;=StartDt2UK,"",tblData[[#This Row],[Dates]]-UKStart)</f>
        <v>59</v>
      </c>
      <c r="AF78" s="25">
        <f ca="1">IF(tblData[[#This Row],[Dates]]&lt;StartDt2Singapore,"",tblData[[#This Row],[Dates]]-SingaporeStart)</f>
        <v>66</v>
      </c>
      <c r="AG78" s="25">
        <f>IF(tblData[[#This Row],[Dates]]&lt;StartDt2Generic,"",tblData[[#This Row],[Dates]]-GenericStart)</f>
        <v>29</v>
      </c>
      <c r="AH78">
        <f ca="1">IF(tblData[Dates]&gt;StartDt2Au,tblData[Dates]-AuStart,"")</f>
        <v>64</v>
      </c>
      <c r="AI78" s="25">
        <f>IF(AND(COUNTBLANK(tblData[[#This Row],[Australian Capital Territory]:[Western Australia]])&lt;1,tblData[New South Wales]&gt;=0),SUM(tblData[[#This Row],[Australian Capital Territory]:[Western Australia]]),"")</f>
        <v>3984</v>
      </c>
      <c r="AJ78" s="12">
        <f>IF(ISNUMBER(tblData[Au]),tblData[Au]/AuPopScale,"")</f>
        <v>1570.7301687431004</v>
      </c>
      <c r="AK78" s="11">
        <f ca="1">IF(ISNUMBER(tblData[[#This Row],[Day'# Aust]]),betaAu/(deltaAu+betaPodeltaAu*EXP(-betaAu*tblData[[#This Row],[Day'# Aust]])),"")</f>
        <v>3835.5231289345684</v>
      </c>
      <c r="AL78" s="56">
        <f ca="1">IF(ISNUMBER(tblData[Day'# Aust]),tblData[Au LogiP(t)]/AuPopScale,"")</f>
        <v>1512.1917398417318</v>
      </c>
      <c r="AM78" s="11">
        <f ca="1">IF(AND(tblData[Dates]&gt;StartDt2Au,ISNUMBER(tblData[Au])),(tblData[[#This Row],[Au LogiP(t)]]-tblData[[#This Row],[Au]])^2,"")</f>
        <v>22045.381241380808</v>
      </c>
      <c r="AN78" s="11">
        <f ca="1">IF(AND(ISNUMBER(tblData[Au]),tblData[Dates]&gt;StartDt2Au),(tblData[Au]-AVERAGE(tblData[Au]))^2,"")</f>
        <v>2356808.3361</v>
      </c>
      <c r="AO78" s="11">
        <f>tblData[[#This Row],[Dates]]-Au100dt</f>
        <v>14</v>
      </c>
      <c r="AP78">
        <f ca="1">IF(tblData[Dates]&gt;StartDt2NSW,tblData[Dates]-StartDt2NSW,"")</f>
        <v>64</v>
      </c>
      <c r="AQ78" s="25">
        <f>IF(tblData[[#This Row],[New South Wales]]&gt;0,tblData[[#This Row],[New South Wales]],"")</f>
        <v>1791</v>
      </c>
      <c r="AR78" s="11">
        <f ca="1">IF(tblData[Dates]&gt;StartDt2NSW,betaNSW/(deltaNSW+betaPodeltaNSW*EXP(-betaNSW*tblData[[#This Row],[Day '# NSW]])),"")</f>
        <v>1708.5810884488749</v>
      </c>
      <c r="AS78" s="12">
        <f ca="1">IF(AND(ISNUMBER(tblData[NSW]),tblData[Dates]&gt;StartDt2NSW),(tblData[[#This Row],[NSW LogiP(t)]]-tblData[[#This Row],[NSW]])^2,"")</f>
        <v>6792.8769812721857</v>
      </c>
      <c r="AT78" s="12">
        <f ca="1">IF(AND(tblData[Dates]&gt;StartDt2NSW,ISNUMBER(tblData[Day'# Aust])),tblData[NSW LogiP(t)]/NSWpopscale,"")</f>
        <v>2114.5805550109835</v>
      </c>
      <c r="AU78" s="11">
        <f>tblData[[#This Row],[Dates]]-NSW100dt+1</f>
        <v>17</v>
      </c>
      <c r="AV78" s="11">
        <f ca="1">IF(AND(ISNUMBER(tblData[NSW]),tblData[Dates]&gt;StartDt2NSW),(tblData[NSW]-AVERAGE(tblData[NSW]))^2,"")</f>
        <v>485446.62760000001</v>
      </c>
      <c r="AW78" s="11">
        <f ca="1">IF(AND(tblData[Dates]&gt;StartDt2Italy,ISNUMBER(tblData[Days'# Italy])),betaItaly/(deltaItaly+betaPodeltaItaly*EXP(-betaItaly*tblData[Days'# Italy])),"")</f>
        <v>144270.63917203413</v>
      </c>
      <c r="AX78" s="11">
        <f ca="1">IF(AND(tblData[Dates]&gt;StartDt2Italy,ISNUMBER(tblData[Italy])),(tblData[[#This Row],[Italy LogiP(t)]]-tblData[[#This Row],[Italy]])^2,"")</f>
        <v>2169849107.9535851</v>
      </c>
      <c r="AY78" s="11">
        <f ca="1">IF(AND(tblData[Dates]&gt;StartDt2Italy,ISNUMBER(tblData[Days'# Italy])),tblData[[#This Row],[Italy LogiP(t)]]/ItalyPopscale,"")</f>
        <v>23852.300433501554</v>
      </c>
      <c r="AZ78" s="39">
        <f ca="1">IF(AND(ISNUMBER(tblData[Italy]),tblData[Dates]&gt;StartDt2Italy),(tblData[Italy]-AVERAGE(tblData[Italy]))^2,"")</f>
        <v>780665595.47408366</v>
      </c>
      <c r="BA78" s="11">
        <f>tblData[[#This Row],[Dates]]-Italy100dt+1</f>
        <v>32</v>
      </c>
      <c r="BB78" s="11">
        <f ca="1">IF(AND(tblData[Dates]&gt;StartDt2US,ISNUMBER(tblData[[#This Row],[Days'# US]])),betaUS/(deltaUS+betaPodeltaUS*EXP(-betaUS*tblData[Days'# US])),"")</f>
        <v>147875.91906168268</v>
      </c>
      <c r="BC78" s="11">
        <f ca="1">IF(AND(tblData[Dates]&gt;StartDt2US,ISNUMBER(tblData[US])),(tblData[[#This Row],[US LogiP(t)]]-tblData[US])^2,"")</f>
        <v>48537961.212037496</v>
      </c>
      <c r="BD78" s="20">
        <f ca="1">IF(AND(tblData[Dates]&gt;=StartDt2US,ISNUMBER(tblData[[#This Row],[Days'# US]])),tblData[[#This Row],[US LogiP(t)]]/USPopscale,"")</f>
        <v>4491.5995343139366</v>
      </c>
      <c r="BE78" s="126">
        <f ca="1">IF(AND(ISNUMBER(tblData[US]),tblData[Dates]&gt;StartDt2US),(tblData[US]-AVERAGE(tblData[US]))^2,"")</f>
        <v>6894685859.0012493</v>
      </c>
      <c r="BF78" s="11">
        <f>tblData[[#This Row],[Dates]]-US100dt+1</f>
        <v>15</v>
      </c>
      <c r="BG78" s="20">
        <f ca="1">IF(tblData[Dates]&gt;StartDt2SKorea,betaSKorea/(deltaSKorea+betaPodeltaSKorea*EXP(-betaSKorea*(tblData[Dates]-StartDt2SKorea))),"")</f>
        <v>10095.375775796947</v>
      </c>
      <c r="BH78" s="20">
        <f ca="1">IF(AND(tblData[Dates]&gt;StartDt2SKorea,ISNUMBER(tblData[SKorea])),(tblData[[#This Row],[SKorea LogiP(t)]]-tblData[[#This Row],[SKorea]])^2,"")</f>
        <v>262528.93562352326</v>
      </c>
      <c r="BI78" s="20">
        <f ca="1">IF(tblData[Dates]&gt;StartDt2SKorea,tblData[[#This Row],[SKorea LogiP(t)]]/SKoreaPopscale,"")</f>
        <v>1964.0808902328693</v>
      </c>
      <c r="BJ78" s="126">
        <f ca="1">IF(AND(ISNUMBER(tblData[SKorea]),tblData[Dates]&gt;StartDt2SKorea),(tblData[SKorea]-AVERAGE(tblData[SKorea]))^2,"")</f>
        <v>14127280.315263363</v>
      </c>
      <c r="BK78" s="11">
        <f>tblData[[#This Row],[Dates]]-SKorea100dt+1</f>
        <v>36</v>
      </c>
      <c r="BL78" s="11">
        <f ca="1">IF(AND(tblData[Dates]&gt;StartDt2UK,ISNUMBER(tblData[Days'# UK])),betaUK/(deltaUK+betaPodeltaUK*EXP(-betaUK*tblData[Days'# UK])),"")</f>
        <v>21672.875372048758</v>
      </c>
      <c r="BM78" s="20">
        <f ca="1">IF(AND(tblData[Dates]&gt;StartDt2UK,ISNUMBER(tblData[United Kingdom])),(tblData[[#This Row],[UK LogiP(t)]]-tblData[[#This Row],[United Kingdom]])^2,"")</f>
        <v>3582977.1741087255</v>
      </c>
      <c r="BN78" s="20">
        <f ca="1">IF(ISNUMBER(tblData[Days'# UK]),tblData[[#This Row],[UK LogiP(t)]]/UKPopscale,"")</f>
        <v>3262.0221812234736</v>
      </c>
      <c r="BO78" s="126">
        <f ca="1">IF(AND(ISNUMBER(tblData[United Kingdom]),tblData[Dates]&gt;StartDt2UK),(tblData[United Kingdom]-AVERAGE(tblData[United Kingdom]))^2,"")</f>
        <v>330768129.87335902</v>
      </c>
      <c r="BP78" s="11">
        <f>tblData[[#This Row],[Dates]]-UK100dt</f>
        <v>17</v>
      </c>
      <c r="BQ78" s="11">
        <f ca="1">IF(ISNUMBER(tblData[Days'# China]),betaChina/(deltaChina+betaPodeltaChina*EXP(-betaChina*tblData[Days'# China])),"")</f>
        <v>82123.576641425912</v>
      </c>
      <c r="BR78" s="11">
        <f ca="1">IF(ISNUMBER(tblData[China]),(tblData[[#This Row],[China LogiP(t)]]-tblData[[#This Row],[China]])^2,"")</f>
        <v>2.4857981859030382</v>
      </c>
      <c r="BS78" s="11">
        <f ca="1">tblData[[#This Row],[China LogiP(t)]]/ChinaPopscale</f>
        <v>570.57055549831978</v>
      </c>
      <c r="BT78" s="126">
        <f ca="1">IF(AND(ISNUMBER(tblData[China]),tblData[Dates]&gt;StartDt2China),(tblData[China]-AVERAGE(tblData[China]))^2,"")</f>
        <v>222532683.75086483</v>
      </c>
      <c r="BU78" s="11">
        <f>tblData[[#This Row],[Dates]]-China100dt</f>
        <v>56</v>
      </c>
      <c r="BV78" s="95">
        <f ca="1">IF(ISNUMBER(tblData[Day'# Singapore]),betaSingapore/(deltaSingapore+betaPodeltaSingapore*EXP(-betaSingapore*tblData[Day'# Singapore])),"")</f>
        <v>480.00979474240944</v>
      </c>
      <c r="BW78" s="11">
        <f ca="1">IF(AND(ISNUMBER(tblData[Singapore]),tblData[Dates]&gt;=StartDt2Singapore),(tblData[[#This Row],[Singapore LogiP(t)]]-tblData[[#This Row],[Singapore]])^2,"")</f>
        <v>132488.8695234629</v>
      </c>
      <c r="BX78" s="20">
        <f ca="1">IF(ISNUMBER(tblData[Day'# Singapore]),tblData[Singapore LogiP(t)]/SingaporePopscale,"")</f>
        <v>820.52956366223839</v>
      </c>
      <c r="BY78" s="95">
        <f ca="1">IF(AND(ISNUMBER(tblData[Singapore]),tblData[Dates]&gt;StartDt2Singapore),(tblData[Singapore]-AVERAGE(tblData[Singapore]))^2,"")</f>
        <v>2180949.8227604772</v>
      </c>
      <c r="BZ78" s="11">
        <f>tblData[[#This Row],[Dates]]-Singapore100dt+1</f>
        <v>45</v>
      </c>
      <c r="CA78" s="44">
        <f>IF(AND(tblData[Dates]&gt;StartDt2Generic,ISNUMBER(tblData[Day'# Generic])),betaGeneric/(deltaGeneric+betaPodeltaGeneric*EXP(-betaGeneric*tblData[Day'# Generic])),"")</f>
        <v>2366.4199508994488</v>
      </c>
      <c r="CB78" s="95">
        <f>IF(AND(ISNUMBER(tblData[Generic]),tblData[Dates]&gt;StartDt2Generic),(tblData[Generic LogiP(t)]-tblData[[#This Row],[Generic]])^2,"")</f>
        <v>61792.040810832419</v>
      </c>
      <c r="CC78" s="11">
        <f>IF(AND(ISNUMBER(tblData[Day'# Generic]),tblData[Dates]&gt;StartDt2Generic),tblData[Generic LogiP(t)]/GenericPopscale,"")</f>
        <v>4829.4284712233648</v>
      </c>
      <c r="CD78" s="95">
        <f>IF(AND(ISNUMBER(tblData[Generic]),tblData[Dates]&gt;StartDt2Generic),(tblData[Generic]-AVERAGE(tblData[Generic]))^2,"")</f>
        <v>16148404.073136093</v>
      </c>
      <c r="CE78" s="11">
        <f>tblData[[#This Row],[Dates]]-Generic100dt+1</f>
        <v>17</v>
      </c>
      <c r="CF78" s="11">
        <v>91308</v>
      </c>
      <c r="CG78" s="11"/>
      <c r="CH78" s="11">
        <f>IF(ISNUMBER(tblData[[#This Row],[Tests]]),tblData[[#This Row],[Tests]]-CF77,"")</f>
        <v>6401</v>
      </c>
      <c r="CI78" s="11" t="str">
        <f>IF(ISNUMBER(tblData[[#This Row],[NSW Under Investigation'']]),tblData[[#This Row],[NSW Under Investigation'']]-CG77,"")</f>
        <v/>
      </c>
      <c r="CJ78" s="11">
        <f t="shared" si="2"/>
        <v>24</v>
      </c>
      <c r="CK78" s="11">
        <f>IF(AND(tblData[[#This Row],[NSW Test Day Number]]&gt;0,ISNUMBER(tblData[[#This Row],[NSW Test Day Number]])),betaTests/(deltaTests+betaPodeltaTests*EXP(-betaTests*tblData[[#This Row],[NSW Test Day Number]])),"")</f>
        <v>109735.27016986665</v>
      </c>
      <c r="CL78" s="11">
        <f>IF(tblData[Tests]&gt;0,(tblData[[#This Row],[Tests]]-tblData[[#This Row],[NSW Test Logi]])^2,"")</f>
        <v>339564285.91325724</v>
      </c>
      <c r="CM78" s="95">
        <f>IF(AND(ISNUMBER(tblData[Tests]),tblData[Dates]&gt;StartDt2Tests),(tblData[Tests]-AVERAGE(tblData[Tests]))^2,"")</f>
        <v>220488270.81987956</v>
      </c>
      <c r="CN78" s="11">
        <f>IF(ISNUMBER(tblData[Tests]),tblData[Tests]/NSWpopscale/100,"")</f>
        <v>1130.049504950495</v>
      </c>
      <c r="CO78" s="95">
        <f ca="1">IF(AND(tblData[[#This Row],[NSW Test Day Number]]&gt;0,ISNUMBER(tblData[[#This Row],[NSW Test Day Number]])),TestsLogestB*TestsLogestM^tblData[[#This Row],[NSW Test Day Number]],"")</f>
        <v>53690.118709366972</v>
      </c>
      <c r="CP78" s="95">
        <f>IF(AND(tblData[[#This Row],[NSW Test Day Number]]&gt;0,ISNUMBER(tblData[Tests])),(tblData[Tests]-tblData[[#This Row],[NSW Test Per Capita]])^2,"")</f>
        <v>8132062755.4875984</v>
      </c>
      <c r="CQ78" s="20">
        <f ca="1">IF(AND(tblData[Day '# NSW]&gt;0,ISNUMBER(tblData[[#This Row],[Day '# NSW]])),NSWLogestB*NSWLogestM^tblData[[#This Row],[Day '# NSW]]/NSWpopscale,"")</f>
        <v>667.83909756478693</v>
      </c>
      <c r="CR78" s="39">
        <f ca="1">IF(AND(ISNUMBER(tblData[NSW]),tblData[Dates]&gt;StartDt2NSW),(tblData[NSW]/NSWpopscale-tblData[[#This Row],[NSW Cases LogEst]])^2,"")</f>
        <v>2398611.2635105369</v>
      </c>
      <c r="CS78" s="11">
        <v>298</v>
      </c>
      <c r="CT78" s="19">
        <f>IF(ISNUMBER(tblData[Taiwan]),tblData[Taiwan]/TaiwanPopscale,"")</f>
        <v>125.17178567465199</v>
      </c>
      <c r="CU78" s="11">
        <f ca="1">IF(tblData[[#This Row],[Dates]]&lt;StartDt2Taiwan,"",tblData[[#This Row],[Dates]]-TaiwanStart)</f>
        <v>67</v>
      </c>
      <c r="CV78" s="19">
        <f ca="1">IF(AND(tblData[Dates]&gt;StartDt2Taiwan,ISNUMBER(tblData[Days'# Taiwan])),betaTaiwan/(deltaTaiwan+betaPodeltaTaiwan*EXP(-betaTaiwan*tblData[Days'# Taiwan])),"")</f>
        <v>282.45613345783971</v>
      </c>
      <c r="CW78" s="95">
        <f ca="1">IF(AND(tblData[Dates]&gt;StartDt2Taiwan,ISNUMBER(tblData[Taiwan])),(tblData[[#This Row],[Taiwan LogiP(t)]]-tblData[[#This Row],[Taiwan]])^2,"")</f>
        <v>241.61178708049002</v>
      </c>
      <c r="CX78" s="20">
        <f ca="1">IF(AND(tblData[Dates]&gt;StartDt2Taiwan,ISNUMBER(tblData[Days'# Taiwan])),tblData[[#This Row],[Taiwan LogiP(t)]]/TaiwanPopscale,"")</f>
        <v>118.64274697877721</v>
      </c>
      <c r="CY78" s="95">
        <f ca="1">IF(AND(ISNUMBER(tblData[Taiwan]),tblData[Dates]&gt;StartDt2Taiwan),(tblData[Taiwan]-AVERAGE(tblData[Taiwan]))^2,"")</f>
        <v>16499.654363706264</v>
      </c>
      <c r="CZ78" s="11">
        <f>tblData[[#This Row],[Dates]]-Taiwan100dt+1</f>
        <v>4</v>
      </c>
      <c r="DA78" s="11">
        <v>514</v>
      </c>
      <c r="DB78" s="20">
        <f>IF(ISNUMBER(tblData[NZ]),tblData[NZ]/NZPopscale,"")</f>
        <v>982.79158699808795</v>
      </c>
      <c r="DC78" s="11">
        <f ca="1">IF(tblData[[#This Row],[Dates]]&lt;StartDt2NZ,"",tblData[[#This Row],[Dates]]-NZStart)</f>
        <v>30</v>
      </c>
      <c r="DD78" s="20">
        <f ca="1">IF(AND(tblData[Dates]&gt;StartDt2NZ,ISNUMBER(tblData[Days'# NZ])),betaNZ/(deltaNZ+betaPodeltaNZ*EXP(-betaNZ*tblData[Days'# NZ])),"")</f>
        <v>470.42026002100522</v>
      </c>
      <c r="DE78" s="95">
        <f ca="1">IF(AND(tblData[Dates]&gt;StartDt2NZ,ISNUMBER(tblData[NZ])),(tblData[[#This Row],[NZ LogiP(t)]]-tblData[[#This Row],[NZ]])^2,"")</f>
        <v>1899.1937366367961</v>
      </c>
      <c r="DF78" s="20">
        <f ca="1">IF(AND(tblData[Dates]&gt;StartDt2NZ,ISNUMBER(tblData[Days'# NZ])),tblData[[#This Row],[NZ LogiP(t)]]/NZPopscale,"")</f>
        <v>899.46512432314569</v>
      </c>
      <c r="DG78" s="95">
        <f ca="1">IF(AND(ISNUMBER(tblData[NZ]),tblData[Dates]&gt;StartDt2NZ),(tblData[NZ]-AVERAGE(tblData[NZ]))^2,"")</f>
        <v>30603.791551882481</v>
      </c>
      <c r="DH78" s="11">
        <f>tblData[[#This Row],[Dates]]-NZ100dt+1</f>
        <v>8</v>
      </c>
      <c r="DI78" s="39"/>
      <c r="DJ78" s="11"/>
      <c r="DM78" s="25"/>
      <c r="DP78"/>
      <c r="DV78" s="25"/>
      <c r="DW78"/>
      <c r="EA78" s="25"/>
      <c r="EH78"/>
      <c r="EI78"/>
      <c r="EJ78"/>
      <c r="EK78"/>
      <c r="EL78" s="25"/>
      <c r="EM78" s="25"/>
      <c r="EQ78" s="25"/>
      <c r="ER78" s="25"/>
      <c r="ES78" s="25"/>
      <c r="ET78" s="25"/>
      <c r="FF78"/>
      <c r="FG78"/>
      <c r="FH78"/>
      <c r="FI78"/>
      <c r="FJ78"/>
      <c r="FK78"/>
      <c r="FL78"/>
      <c r="FO78" s="265" t="s">
        <v>153</v>
      </c>
      <c r="FP78" s="250">
        <v>43912.588692129626</v>
      </c>
      <c r="FQ78" s="156">
        <v>43855</v>
      </c>
      <c r="FR78" s="26">
        <v>43855</v>
      </c>
      <c r="FS78" s="211">
        <v>1</v>
      </c>
      <c r="FT78" s="25">
        <v>0.20690766856988288</v>
      </c>
      <c r="FU78" s="24">
        <v>6.344938640416391E-5</v>
      </c>
      <c r="FV78" s="21">
        <v>4.7957380309846401E-3</v>
      </c>
      <c r="FW78" s="212">
        <v>3260.9876989496688</v>
      </c>
      <c r="FX78" s="212">
        <v>4.183094299453777</v>
      </c>
      <c r="FY78" s="212"/>
      <c r="FZ78" s="213">
        <v>43.144008898410604</v>
      </c>
      <c r="GA78" s="213">
        <v>6.3449386404163907E-2</v>
      </c>
      <c r="GB78" s="156">
        <v>43912</v>
      </c>
      <c r="GC78" s="25" t="s">
        <v>813</v>
      </c>
      <c r="GD78" s="212"/>
      <c r="GE78" s="212">
        <v>533</v>
      </c>
      <c r="GF78" s="25" t="s">
        <v>814</v>
      </c>
      <c r="GG78" s="156">
        <v>43912</v>
      </c>
      <c r="GH78" s="25">
        <v>58</v>
      </c>
      <c r="GI78" s="25" t="s">
        <v>815</v>
      </c>
      <c r="GJ78" s="25"/>
      <c r="GK78" s="25" t="s">
        <v>816</v>
      </c>
      <c r="GM78" s="25" t="s">
        <v>817</v>
      </c>
      <c r="GN78" s="20">
        <v>659.65346534653463</v>
      </c>
      <c r="GO78" s="156"/>
      <c r="GP78" s="218"/>
      <c r="GQ78" s="156"/>
      <c r="GR78" s="25"/>
      <c r="GS78" s="25" t="s">
        <v>812</v>
      </c>
      <c r="GT78" s="11"/>
      <c r="GU78" s="12"/>
      <c r="GV78" s="26"/>
      <c r="GX78" s="219"/>
      <c r="GY78" s="25"/>
      <c r="GZ78" s="25"/>
      <c r="HK78" s="164">
        <f t="shared" si="3"/>
        <v>44007</v>
      </c>
      <c r="HL78" s="60"/>
      <c r="HQ78" s="166" t="str">
        <f>IF(ISNUMBER(tblNSWKnown[[#This Row],[Unknown Locally]]),tblNSWKnown[[#This Row],[Known Locally]]+tblNSWKnown[[#This Row],[Unknown Locally]],"")</f>
        <v/>
      </c>
      <c r="HR78" s="25">
        <v>32</v>
      </c>
      <c r="HS78" s="166">
        <f>IF(ISNUMBER(tblNSWKnown[[#This Row],[Day '# NSW Unknown]]),betaNSWUnknown/(deltaNSWUnknown+betaPodeltaNSWUnknown*EXP(-betaNSWUnknown*tblNSWKnown[Day '# NSW Unknown])),"")</f>
        <v>1172.4674409854892</v>
      </c>
      <c r="HT78" s="166" t="str">
        <f>IF(ISNUMBER(tblNSWKnown[[#This Row],[Total Local]]),(tblNSWKnown[[#This Row],[Total Local]]-tblNSWKnown[[#This Row],[NSW Unknown Logi P(t)]])^2,"")</f>
        <v/>
      </c>
      <c r="HU78" s="166" t="str">
        <f>IF(ISNUMBER(tblNSWKnown[Total Local]),(tblNSWKnown[Total Local]-AVERAGE(tblNSWKnown[Total Local]))^2,"")</f>
        <v/>
      </c>
      <c r="HV78" s="166"/>
    </row>
    <row r="79" spans="2:237" x14ac:dyDescent="0.25">
      <c r="B79" s="26">
        <v>43920</v>
      </c>
      <c r="D79" s="25">
        <v>78</v>
      </c>
      <c r="E79">
        <v>1918</v>
      </c>
      <c r="F79">
        <v>15</v>
      </c>
      <c r="G79">
        <v>689</v>
      </c>
      <c r="H79">
        <v>305</v>
      </c>
      <c r="I79">
        <v>69</v>
      </c>
      <c r="J79">
        <v>821</v>
      </c>
      <c r="K79">
        <v>355</v>
      </c>
      <c r="L79" s="11">
        <f>IF(ISNUMBER(tblData[[#This Row],[NSW]]),tblData[[#This Row],[New South Wales]]/NSWpopscale,"")</f>
        <v>2373.7623762376238</v>
      </c>
      <c r="M79" s="25">
        <v>101739</v>
      </c>
      <c r="N79" s="20">
        <f>IF(ISNUMBER(tblData[Italy]),tblData[Italy]/ItalyPopscale,"")</f>
        <v>16820.534016698355</v>
      </c>
      <c r="O79" s="25">
        <v>161831</v>
      </c>
      <c r="P79" s="20">
        <f>IF(ISNUMBER(tblData[US]),tblData[US]/USPopscale,"")</f>
        <v>4915.472707455222</v>
      </c>
      <c r="Q79" s="11">
        <v>9661</v>
      </c>
      <c r="R79" s="20">
        <f>IF(ISNUMBER(tblData[SKorea]),tblData[SKorea]/SKoreaPopscale,"")</f>
        <v>1879.5719844357977</v>
      </c>
      <c r="S79">
        <v>22453</v>
      </c>
      <c r="T79" s="20">
        <f>IF(ISNUMBER(tblData[United Kingdom]),tblData[United Kingdom]/UKPopscale,"")</f>
        <v>3379.4400963275134</v>
      </c>
      <c r="U79">
        <v>82198</v>
      </c>
      <c r="V79" s="20">
        <f>IF(ISNUMBER(tblData[China]),tblData[China]/ChinaPopscale,"")</f>
        <v>571.08762719417484</v>
      </c>
      <c r="W79" s="25">
        <f ca="1">IF(tblData[[#This Row],[Dates]]&lt;StartDt2China,"",tblData[[#This Row],[Dates]]-ChinaStart)</f>
        <v>68</v>
      </c>
      <c r="X79" s="20">
        <v>879</v>
      </c>
      <c r="Y79" s="20">
        <f>IF(ISNUMBER(tblData[Singapore]),tblData[Singapore]/SingaporePopscale,"")</f>
        <v>1502.5641025641028</v>
      </c>
      <c r="Z79">
        <v>2910</v>
      </c>
      <c r="AA79" s="20">
        <f>IF(AND(LEN(tblData[Generic])&gt;0,ISNUMBER(tblData[Generic])),tblData[Generic]/GenericPopscale,"")</f>
        <v>5938.7755102040819</v>
      </c>
      <c r="AB79" s="25">
        <f ca="1">IF(tblData[[#This Row],[Dates]]&lt;StartDt2Italy,"",tblData[[#This Row],[Dates]]-ItalyStart)</f>
        <v>60</v>
      </c>
      <c r="AC79" s="25">
        <f ca="1">IF(tblData[[#This Row],[Dates]]&lt;=StartDt2US,"",tblData[[#This Row],[Dates]]-USStart)</f>
        <v>68</v>
      </c>
      <c r="AD79" s="25">
        <f>IF(tblData[[#This Row],[Dates]]&lt;=SKoreaStart,"",tblData[[#This Row],[Dates]]-SKoreaStart)</f>
        <v>68</v>
      </c>
      <c r="AE79" s="25">
        <f ca="1">IF(tblData[[#This Row],[Dates]]&lt;=StartDt2UK,"",tblData[[#This Row],[Dates]]-UKStart)</f>
        <v>60</v>
      </c>
      <c r="AF79" s="25">
        <f ca="1">IF(tblData[[#This Row],[Dates]]&lt;StartDt2Singapore,"",tblData[[#This Row],[Dates]]-SingaporeStart)</f>
        <v>67</v>
      </c>
      <c r="AG79" s="25">
        <f>IF(tblData[[#This Row],[Dates]]&lt;StartDt2Generic,"",tblData[[#This Row],[Dates]]-GenericStart)</f>
        <v>30</v>
      </c>
      <c r="AH79">
        <f ca="1">IF(tblData[Dates]&gt;StartDt2Au,tblData[Dates]-AuStart,"")</f>
        <v>65</v>
      </c>
      <c r="AI79" s="25">
        <f>IF(AND(COUNTBLANK(tblData[[#This Row],[Australian Capital Territory]:[Western Australia]])&lt;1,tblData[New South Wales]&gt;=0),SUM(tblData[[#This Row],[Australian Capital Territory]:[Western Australia]]),"")</f>
        <v>4250</v>
      </c>
      <c r="AJ79" s="12">
        <f>IF(ISNUMBER(tblData[Au]),tblData[Au]/AuPopScale,"")</f>
        <v>1675.6032171581769</v>
      </c>
      <c r="AK79" s="11">
        <f ca="1">IF(ISNUMBER(tblData[[#This Row],[Day'# Aust]]),betaAu/(deltaAu+betaPodeltaAu*EXP(-betaAu*tblData[[#This Row],[Day'# Aust]])),"")</f>
        <v>4194.4047823132341</v>
      </c>
      <c r="AL79" s="56">
        <f ca="1">IF(ISNUMBER(tblData[Day'# Aust]),tblData[Au LogiP(t)]/AuPopScale,"")</f>
        <v>1653.6842699547524</v>
      </c>
      <c r="AM79" s="11">
        <f ca="1">IF(AND(tblData[Dates]&gt;StartDt2Au,ISNUMBER(tblData[Au])),(tblData[[#This Row],[Au LogiP(t)]]-tblData[[#This Row],[Au]])^2,"")</f>
        <v>3090.8282296388838</v>
      </c>
      <c r="AN79" s="11">
        <f ca="1">IF(AND(ISNUMBER(tblData[Au]),tblData[Dates]&gt;StartDt2Au),(tblData[Au]-AVERAGE(tblData[Au]))^2,"")</f>
        <v>3244285.4161</v>
      </c>
      <c r="AO79" s="11">
        <f>tblData[[#This Row],[Dates]]-Au100dt</f>
        <v>15</v>
      </c>
      <c r="AP79">
        <f ca="1">IF(tblData[Dates]&gt;StartDt2NSW,tblData[Dates]-StartDt2NSW,"")</f>
        <v>65</v>
      </c>
      <c r="AQ79" s="25">
        <f>IF(tblData[[#This Row],[New South Wales]]&gt;0,tblData[[#This Row],[New South Wales]],"")</f>
        <v>1918</v>
      </c>
      <c r="AR79" s="11">
        <f ca="1">IF(tblData[Dates]&gt;StartDt2NSW,betaNSW/(deltaNSW+betaPodeltaNSW*EXP(-betaNSW*tblData[[#This Row],[Day '# NSW]])),"")</f>
        <v>1875.2034795108407</v>
      </c>
      <c r="AS79" s="12">
        <f ca="1">IF(AND(ISNUMBER(tblData[NSW]),tblData[Dates]&gt;StartDt2NSW),(tblData[[#This Row],[NSW LogiP(t)]]-tblData[[#This Row],[NSW]])^2,"")</f>
        <v>1831.5421659790336</v>
      </c>
      <c r="AT79" s="12">
        <f ca="1">IF(AND(tblData[Dates]&gt;StartDt2NSW,ISNUMBER(tblData[Day'# Aust])),tblData[NSW LogiP(t)]/NSWpopscale,"")</f>
        <v>2320.7963855332187</v>
      </c>
      <c r="AU79" s="11">
        <f>tblData[[#This Row],[Dates]]-NSW100dt+1</f>
        <v>18</v>
      </c>
      <c r="AV79" s="11">
        <f ca="1">IF(AND(ISNUMBER(tblData[NSW]),tblData[Dates]&gt;StartDt2NSW),(tblData[NSW]-AVERAGE(tblData[NSW]))^2,"")</f>
        <v>678547.58759999997</v>
      </c>
      <c r="AW79" s="11">
        <f ca="1">IF(AND(tblData[Dates]&gt;StartDt2Italy,ISNUMBER(tblData[Days'# Italy])),betaItaly/(deltaItaly+betaPodeltaItaly*EXP(-betaItaly*tblData[Days'# Italy])),"")</f>
        <v>147775.87801835008</v>
      </c>
      <c r="AX79" s="11">
        <f ca="1">IF(AND(tblData[Dates]&gt;StartDt2Italy,ISNUMBER(tblData[Italy])),(tblData[[#This Row],[Italy LogiP(t)]]-tblData[[#This Row],[Italy]])^2,"")</f>
        <v>2119394137.6764448</v>
      </c>
      <c r="AY79" s="11">
        <f ca="1">IF(AND(tblData[Dates]&gt;StartDt2Italy,ISNUMBER(tblData[Days'# Italy])),tblData[[#This Row],[Italy LogiP(t)]]/ItalyPopscale,"")</f>
        <v>24431.822438348365</v>
      </c>
      <c r="AZ79" s="39">
        <f ca="1">IF(AND(ISNUMBER(tblData[Italy]),tblData[Dates]&gt;StartDt2Italy),(tblData[Italy]-AVERAGE(tblData[Italy]))^2,"")</f>
        <v>1023385283.7719561</v>
      </c>
      <c r="BA79" s="11">
        <f>tblData[[#This Row],[Dates]]-Italy100dt+1</f>
        <v>33</v>
      </c>
      <c r="BB79" s="11">
        <f ca="1">IF(AND(tblData[Dates]&gt;StartDt2US,ISNUMBER(tblData[[#This Row],[Days'# US]])),betaUS/(deltaUS+betaPodeltaUS*EXP(-betaUS*tblData[Days'# US])),"")</f>
        <v>185341.65323356242</v>
      </c>
      <c r="BC79" s="11">
        <f ca="1">IF(AND(tblData[Dates]&gt;StartDt2US,ISNUMBER(tblData[US])),(tblData[[#This Row],[US LogiP(t)]]-tblData[US])^2,"")</f>
        <v>552750815.46881914</v>
      </c>
      <c r="BD79" s="20">
        <f ca="1">IF(AND(tblData[Dates]&gt;=StartDt2US,ISNUMBER(tblData[[#This Row],[Days'# US]])),tblData[[#This Row],[US LogiP(t)]]/USPopscale,"")</f>
        <v>5629.5878912211256</v>
      </c>
      <c r="BE79" s="126">
        <f ca="1">IF(AND(ISNUMBER(tblData[US]),tblData[Dates]&gt;StartDt2US),(tblData[US]-AVERAGE(tblData[US]))^2,"")</f>
        <v>3857930991.1188965</v>
      </c>
      <c r="BF79" s="11">
        <f>tblData[[#This Row],[Dates]]-US100dt+1</f>
        <v>16</v>
      </c>
      <c r="BG79" s="20">
        <f ca="1">IF(tblData[Dates]&gt;StartDt2SKorea,betaSKorea/(deltaSKorea+betaPodeltaSKorea*EXP(-betaSKorea*(tblData[Dates]-StartDt2SKorea))),"")</f>
        <v>10117.674984621704</v>
      </c>
      <c r="BH79" s="20">
        <f ca="1">IF(AND(tblData[Dates]&gt;StartDt2SKorea,ISNUMBER(tblData[SKorea])),(tblData[[#This Row],[SKorea LogiP(t)]]-tblData[[#This Row],[SKorea]])^2,"")</f>
        <v>208552.04157923398</v>
      </c>
      <c r="BI79" s="20">
        <f ca="1">IF(tblData[Dates]&gt;StartDt2SKorea,tblData[[#This Row],[SKorea LogiP(t)]]/SKoreaPopscale,"")</f>
        <v>1968.419257708503</v>
      </c>
      <c r="BJ79" s="126">
        <f ca="1">IF(AND(ISNUMBER(tblData[SKorea]),tblData[Dates]&gt;StartDt2SKorea),(tblData[SKorea]-AVERAGE(tblData[SKorea]))^2,"")</f>
        <v>14719710.197616303</v>
      </c>
      <c r="BK79" s="11">
        <f>tblData[[#This Row],[Dates]]-SKorea100dt+1</f>
        <v>37</v>
      </c>
      <c r="BL79" s="11">
        <f ca="1">IF(AND(tblData[Dates]&gt;StartDt2UK,ISNUMBER(tblData[Days'# UK])),betaUK/(deltaUK+betaPodeltaUK*EXP(-betaUK*tblData[Days'# UK])),"")</f>
        <v>25889.687199940399</v>
      </c>
      <c r="BM79" s="20">
        <f ca="1">IF(AND(tblData[Dates]&gt;StartDt2UK,ISNUMBER(tblData[United Kingdom])),(tblData[[#This Row],[UK LogiP(t)]]-tblData[[#This Row],[United Kingdom]])^2,"")</f>
        <v>11810818.910234181</v>
      </c>
      <c r="BN79" s="20">
        <f ca="1">IF(ISNUMBER(tblData[Days'# UK]),tblData[[#This Row],[UK LogiP(t)]]/UKPopscale,"")</f>
        <v>3896.7018663366043</v>
      </c>
      <c r="BO79" s="126">
        <f ca="1">IF(AND(ISNUMBER(tblData[United Kingdom]),tblData[Dates]&gt;StartDt2UK),(tblData[United Kingdom]-AVERAGE(tblData[United Kingdom]))^2,"")</f>
        <v>240685186.25633773</v>
      </c>
      <c r="BP79" s="11">
        <f>tblData[[#This Row],[Dates]]-UK100dt</f>
        <v>18</v>
      </c>
      <c r="BQ79" s="11">
        <f ca="1">IF(ISNUMBER(tblData[Days'# China]),betaChina/(deltaChina+betaPodeltaChina*EXP(-betaChina*tblData[Days'# China])),"")</f>
        <v>82123.890518121349</v>
      </c>
      <c r="BR79" s="11">
        <f ca="1">IF(ISNUMBER(tblData[China]),(tblData[[#This Row],[China LogiP(t)]]-tblData[[#This Row],[China]])^2,"")</f>
        <v>5492.2153043221633</v>
      </c>
      <c r="BS79" s="11">
        <f ca="1">tblData[[#This Row],[China LogiP(t)]]/ChinaPopscale</f>
        <v>570.57273622166133</v>
      </c>
      <c r="BT79" s="126">
        <f ca="1">IF(AND(ISNUMBER(tblData[China]),tblData[Dates]&gt;StartDt2China),(tblData[China]-AVERAGE(tblData[China]))^2,"")</f>
        <v>224805924.22145307</v>
      </c>
      <c r="BU79" s="11">
        <f>tblData[[#This Row],[Dates]]-China100dt</f>
        <v>57</v>
      </c>
      <c r="BV79" s="95">
        <f ca="1">IF(ISNUMBER(tblData[Day'# Singapore]),betaSingapore/(deltaSingapore+betaPodeltaSingapore*EXP(-betaSingapore*tblData[Day'# Singapore])),"")</f>
        <v>543.2689782844094</v>
      </c>
      <c r="BW79" s="11">
        <f ca="1">IF(AND(ISNUMBER(tblData[Singapore]),tblData[Dates]&gt;=StartDt2Singapore),(tblData[[#This Row],[Singapore LogiP(t)]]-tblData[[#This Row],[Singapore]])^2,"")</f>
        <v>112715.31894219437</v>
      </c>
      <c r="BX79" s="20">
        <f ca="1">IF(ISNUMBER(tblData[Day'# Singapore]),tblData[Singapore LogiP(t)]/SingaporePopscale,"")</f>
        <v>928.66492014428968</v>
      </c>
      <c r="BY79" s="95">
        <f ca="1">IF(AND(ISNUMBER(tblData[Singapore]),tblData[Dates]&gt;StartDt2Singapore),(tblData[Singapore]-AVERAGE(tblData[Singapore]))^2,"")</f>
        <v>2078798.5482506733</v>
      </c>
      <c r="BZ79" s="11">
        <f>tblData[[#This Row],[Dates]]-Singapore100dt+1</f>
        <v>46</v>
      </c>
      <c r="CA79" s="44">
        <f>IF(AND(tblData[Dates]&gt;StartDt2Generic,ISNUMBER(tblData[Day'# Generic])),betaGeneric/(deltaGeneric+betaPodeltaGeneric*EXP(-betaGeneric*tblData[Day'# Generic])),"")</f>
        <v>2658.8478651268929</v>
      </c>
      <c r="CB79" s="95">
        <f>IF(AND(ISNUMBER(tblData[Generic]),tblData[Dates]&gt;StartDt2Generic),(tblData[Generic LogiP(t)]-tblData[[#This Row],[Generic]])^2,"")</f>
        <v>63077.39485131939</v>
      </c>
      <c r="CC79" s="11">
        <f>IF(AND(ISNUMBER(tblData[Day'# Generic]),tblData[Dates]&gt;StartDt2Generic),tblData[Generic LogiP(t)]/GenericPopscale,"")</f>
        <v>5426.2201329120262</v>
      </c>
      <c r="CD79" s="95">
        <f>IF(AND(ISNUMBER(tblData[Generic]),tblData[Dates]&gt;StartDt2Generic),(tblData[Generic]-AVERAGE(tblData[Generic]))^2,"")</f>
        <v>13864509.534674555</v>
      </c>
      <c r="CE79" s="11">
        <f>tblData[[#This Row],[Dates]]-Generic100dt+1</f>
        <v>18</v>
      </c>
      <c r="CF79" s="11">
        <v>94534</v>
      </c>
      <c r="CG79" s="11"/>
      <c r="CH79" s="11">
        <f>IF(ISNUMBER(tblData[[#This Row],[Tests]]),tblData[[#This Row],[Tests]]-CF78,"")</f>
        <v>3226</v>
      </c>
      <c r="CI79" s="11" t="str">
        <f>IF(ISNUMBER(tblData[[#This Row],[NSW Under Investigation'']]),tblData[[#This Row],[NSW Under Investigation'']]-CG78,"")</f>
        <v/>
      </c>
      <c r="CJ79" s="11">
        <f t="shared" si="2"/>
        <v>25</v>
      </c>
      <c r="CK79" s="11">
        <f>IF(AND(tblData[[#This Row],[NSW Test Day Number]]&gt;0,ISNUMBER(tblData[[#This Row],[NSW Test Day Number]])),betaTests/(deltaTests+betaPodeltaTests*EXP(-betaTests*tblData[[#This Row],[NSW Test Day Number]])),"")</f>
        <v>116587.4864130475</v>
      </c>
      <c r="CL79" s="11">
        <f>IF(tblData[Tests]&gt;0,(tblData[[#This Row],[Tests]]-tblData[[#This Row],[NSW Test Logi]])^2,"")</f>
        <v>486356262.97047085</v>
      </c>
      <c r="CM79" s="95">
        <f>IF(AND(ISNUMBER(tblData[Tests]),tblData[Dates]&gt;StartDt2Tests),(tblData[Tests]-AVERAGE(tblData[Tests]))^2,"")</f>
        <v>135090583.02326933</v>
      </c>
      <c r="CN79" s="11">
        <f>IF(ISNUMBER(tblData[Tests]),tblData[Tests]/NSWpopscale/100,"")</f>
        <v>1169.9752475247524</v>
      </c>
      <c r="CO79" s="95">
        <f ca="1">IF(AND(tblData[[#This Row],[NSW Test Day Number]]&gt;0,ISNUMBER(tblData[[#This Row],[NSW Test Day Number]])),TestsLogestB*TestsLogestM^tblData[[#This Row],[NSW Test Day Number]],"")</f>
        <v>56912.13976321739</v>
      </c>
      <c r="CP79" s="95">
        <f>IF(AND(tblData[[#This Row],[NSW Test Day Number]]&gt;0,ISNUMBER(tblData[Tests])),(tblData[Tests]-tblData[[#This Row],[NSW Test Per Capita]])^2,"")</f>
        <v>8716841117.9808102</v>
      </c>
      <c r="CQ79" s="20">
        <f ca="1">IF(AND(tblData[Day '# NSW]&gt;0,ISNUMBER(tblData[[#This Row],[Day '# NSW]])),NSWLogestB*NSWLogestM^tblData[[#This Row],[Day '# NSW]]/NSWpopscale,"")</f>
        <v>735.26121588452042</v>
      </c>
      <c r="CR79" s="39">
        <f ca="1">IF(AND(ISNUMBER(tblData[NSW]),tblData[Dates]&gt;StartDt2NSW),(tblData[NSW]/NSWpopscale-tblData[[#This Row],[NSW Cases LogEst]])^2,"")</f>
        <v>2684686.0524784662</v>
      </c>
      <c r="CS79" s="11">
        <v>306</v>
      </c>
      <c r="CT79" s="19">
        <f>IF(ISNUMBER(tblData[Taiwan]),tblData[Taiwan]/TaiwanPopscale,"")</f>
        <v>128.53210206860237</v>
      </c>
      <c r="CU79" s="11">
        <f ca="1">IF(tblData[[#This Row],[Dates]]&lt;StartDt2Taiwan,"",tblData[[#This Row],[Dates]]-TaiwanStart)</f>
        <v>68</v>
      </c>
      <c r="CV79" s="19">
        <f ca="1">IF(AND(tblData[Dates]&gt;StartDt2Taiwan,ISNUMBER(tblData[Days'# Taiwan])),betaTaiwan/(deltaTaiwan+betaPodeltaTaiwan*EXP(-betaTaiwan*tblData[Days'# Taiwan])),"")</f>
        <v>296.15903745523269</v>
      </c>
      <c r="CW79" s="95">
        <f ca="1">IF(AND(tblData[Dates]&gt;StartDt2Taiwan,ISNUMBER(tblData[Taiwan])),(tblData[[#This Row],[Taiwan LogiP(t)]]-tblData[[#This Row],[Taiwan]])^2,"")</f>
        <v>96.844543807513048</v>
      </c>
      <c r="CX79" s="20">
        <f ca="1">IF(AND(tblData[Dates]&gt;StartDt2Taiwan,ISNUMBER(tblData[Days'# Taiwan])),tblData[[#This Row],[Taiwan LogiP(t)]]/TaiwanPopscale,"")</f>
        <v>124.3985085971732</v>
      </c>
      <c r="CY79" s="95">
        <f ca="1">IF(AND(ISNUMBER(tblData[Taiwan]),tblData[Dates]&gt;StartDt2Taiwan),(tblData[Taiwan]-AVERAGE(tblData[Taiwan]))^2,"")</f>
        <v>18618.870049980775</v>
      </c>
      <c r="CZ79" s="11">
        <f>tblData[[#This Row],[Dates]]-Taiwan100dt+1</f>
        <v>5</v>
      </c>
      <c r="DA79" s="11">
        <v>589</v>
      </c>
      <c r="DB79" s="20">
        <f>IF(ISNUMBER(tblData[NZ]),tblData[NZ]/NZPopscale,"")</f>
        <v>1126.1950286806882</v>
      </c>
      <c r="DC79" s="11">
        <f ca="1">IF(tblData[[#This Row],[Dates]]&lt;StartDt2NZ,"",tblData[[#This Row],[Dates]]-NZStart)</f>
        <v>31</v>
      </c>
      <c r="DD79" s="20">
        <f ca="1">IF(AND(tblData[Dates]&gt;StartDt2NZ,ISNUMBER(tblData[Days'# NZ])),betaNZ/(deltaNZ+betaPodeltaNZ*EXP(-betaNZ*tblData[Days'# NZ])),"")</f>
        <v>547.58676465296128</v>
      </c>
      <c r="DE79" s="95">
        <f ca="1">IF(AND(tblData[Dates]&gt;StartDt2NZ,ISNUMBER(tblData[NZ])),(tblData[[#This Row],[NZ LogiP(t)]]-tblData[[#This Row],[NZ]])^2,"")</f>
        <v>1715.0560619092173</v>
      </c>
      <c r="DF79" s="20">
        <f ca="1">IF(AND(tblData[Dates]&gt;StartDt2NZ,ISNUMBER(tblData[Days'# NZ])),tblData[[#This Row],[NZ LogiP(t)]]/NZPopscale,"")</f>
        <v>1047.0110222809967</v>
      </c>
      <c r="DG79" s="95">
        <f ca="1">IF(AND(ISNUMBER(tblData[NZ]),tblData[Dates]&gt;StartDt2NZ),(tblData[NZ]-AVERAGE(tblData[NZ]))^2,"")</f>
        <v>9987.882460973382</v>
      </c>
      <c r="DH79" s="11">
        <f>tblData[[#This Row],[Dates]]-NZ100dt+1</f>
        <v>9</v>
      </c>
      <c r="DI79" s="39"/>
      <c r="DJ79" s="11"/>
      <c r="DM79" s="25"/>
      <c r="DP79"/>
      <c r="DV79" s="25"/>
      <c r="DW79"/>
      <c r="EA79" s="25"/>
      <c r="EH79"/>
      <c r="EI79"/>
      <c r="EJ79"/>
      <c r="EK79"/>
      <c r="EL79" s="25"/>
      <c r="EM79" s="25"/>
      <c r="EQ79" s="25"/>
      <c r="ER79" s="25"/>
      <c r="ES79" s="25"/>
      <c r="ET79" s="25"/>
      <c r="EZ79" s="46"/>
      <c r="FA79" s="46"/>
      <c r="FB79" s="46"/>
      <c r="FC79" s="46"/>
      <c r="FD79" s="46"/>
      <c r="FE79" s="46"/>
      <c r="FF79" s="46"/>
      <c r="FG79" s="46"/>
      <c r="FH79"/>
      <c r="FI79"/>
      <c r="FJ79"/>
      <c r="FK79"/>
      <c r="FL79"/>
      <c r="FO79" s="265" t="s">
        <v>153</v>
      </c>
      <c r="FP79" s="250">
        <v>43912.787488425929</v>
      </c>
      <c r="FQ79" s="156">
        <v>43855</v>
      </c>
      <c r="FR79" s="26">
        <v>43855</v>
      </c>
      <c r="FS79" s="211">
        <v>1</v>
      </c>
      <c r="FT79" s="25">
        <v>0.20690766856988288</v>
      </c>
      <c r="FU79" s="24">
        <v>6.344938640416391E-5</v>
      </c>
      <c r="FV79" s="21">
        <v>4.7957380309846401E-3</v>
      </c>
      <c r="FW79" s="212">
        <v>3260.9876989496688</v>
      </c>
      <c r="FX79" s="212">
        <v>4.183094299453777</v>
      </c>
      <c r="FY79" s="212"/>
      <c r="FZ79" s="213">
        <v>43.144008898410604</v>
      </c>
      <c r="GA79" s="213">
        <v>6.3449386404163907E-2</v>
      </c>
      <c r="GB79" s="156">
        <v>43912</v>
      </c>
      <c r="GC79" s="25" t="s">
        <v>813</v>
      </c>
      <c r="GD79" s="212">
        <v>3260.9876989496688</v>
      </c>
      <c r="GE79" s="212">
        <v>533</v>
      </c>
      <c r="GF79" s="25" t="s">
        <v>814</v>
      </c>
      <c r="GG79" s="156">
        <v>43912</v>
      </c>
      <c r="GH79" s="25">
        <v>58</v>
      </c>
      <c r="GI79" s="25" t="s">
        <v>834</v>
      </c>
      <c r="GJ79" s="25"/>
      <c r="GK79" s="25" t="s">
        <v>816</v>
      </c>
      <c r="GM79" s="25" t="s">
        <v>835</v>
      </c>
      <c r="GN79" s="20">
        <v>659.65346534653463</v>
      </c>
      <c r="GO79" s="156"/>
      <c r="GP79" s="218"/>
      <c r="GQ79" s="156"/>
      <c r="GR79" s="25"/>
      <c r="GS79" s="25" t="s">
        <v>812</v>
      </c>
      <c r="GT79" s="11"/>
      <c r="GU79" s="12"/>
      <c r="GV79" s="26"/>
      <c r="GX79" s="219"/>
      <c r="GY79" s="25"/>
      <c r="GZ79" s="25"/>
    </row>
    <row r="80" spans="2:237" x14ac:dyDescent="0.25">
      <c r="B80" s="26">
        <v>43921</v>
      </c>
      <c r="D80" s="25">
        <v>80</v>
      </c>
      <c r="E80">
        <v>2032</v>
      </c>
      <c r="F80">
        <v>19</v>
      </c>
      <c r="G80">
        <v>743</v>
      </c>
      <c r="H80">
        <v>337</v>
      </c>
      <c r="I80">
        <v>69</v>
      </c>
      <c r="J80">
        <v>917</v>
      </c>
      <c r="K80">
        <v>364</v>
      </c>
      <c r="L80" s="11">
        <f>IF(ISNUMBER(tblData[[#This Row],[NSW]]),tblData[[#This Row],[New South Wales]]/NSWpopscale,"")</f>
        <v>2514.8514851485147</v>
      </c>
      <c r="M80" s="25">
        <v>105792</v>
      </c>
      <c r="N80" s="20">
        <f>IF(ISNUMBER(tblData[Italy]),tblData[Italy]/ItalyPopscale,"")</f>
        <v>17490.617508473177</v>
      </c>
      <c r="O80" s="25">
        <v>188172</v>
      </c>
      <c r="P80" s="20">
        <f>IF(ISNUMBER(tblData[US]),tblData[US]/USPopscale,"")</f>
        <v>5715.557157202662</v>
      </c>
      <c r="Q80" s="11">
        <v>9786</v>
      </c>
      <c r="R80" s="20">
        <f>IF(ISNUMBER(tblData[SKorea]),tblData[SKorea]/SKoreaPopscale,"")</f>
        <v>1903.8910505836577</v>
      </c>
      <c r="S80">
        <v>25481</v>
      </c>
      <c r="T80" s="20">
        <f>IF(ISNUMBER(tblData[United Kingdom]),tblData[United Kingdom]/UKPopscale,"")</f>
        <v>3835.1896447922936</v>
      </c>
      <c r="U80">
        <v>82279</v>
      </c>
      <c r="V80" s="20">
        <f>IF(ISNUMBER(tblData[China]),tblData[China]/ChinaPopscale,"")</f>
        <v>571.65039146827792</v>
      </c>
      <c r="W80" s="25">
        <f ca="1">IF(tblData[[#This Row],[Dates]]&lt;StartDt2China,"",tblData[[#This Row],[Dates]]-ChinaStart)</f>
        <v>69</v>
      </c>
      <c r="X80" s="20">
        <v>926</v>
      </c>
      <c r="Y80" s="20">
        <f>IF(ISNUMBER(tblData[Singapore]),tblData[Singapore]/SingaporePopscale,"")</f>
        <v>1582.9059829059829</v>
      </c>
      <c r="Z80">
        <v>3235</v>
      </c>
      <c r="AA80" s="20">
        <f>IF(AND(LEN(tblData[Generic])&gt;0,ISNUMBER(tblData[Generic])),tblData[Generic]/GenericPopscale,"")</f>
        <v>6602.0408163265311</v>
      </c>
      <c r="AB80" s="25">
        <f ca="1">IF(tblData[[#This Row],[Dates]]&lt;StartDt2Italy,"",tblData[[#This Row],[Dates]]-ItalyStart)</f>
        <v>61</v>
      </c>
      <c r="AC80" s="25">
        <f ca="1">IF(tblData[[#This Row],[Dates]]&lt;=StartDt2US,"",tblData[[#This Row],[Dates]]-USStart)</f>
        <v>69</v>
      </c>
      <c r="AD80" s="25">
        <f>IF(tblData[[#This Row],[Dates]]&lt;=SKoreaStart,"",tblData[[#This Row],[Dates]]-SKoreaStart)</f>
        <v>69</v>
      </c>
      <c r="AE80" s="25">
        <f ca="1">IF(tblData[[#This Row],[Dates]]&lt;=StartDt2UK,"",tblData[[#This Row],[Dates]]-UKStart)</f>
        <v>61</v>
      </c>
      <c r="AF80" s="25">
        <f ca="1">IF(tblData[[#This Row],[Dates]]&lt;StartDt2Singapore,"",tblData[[#This Row],[Dates]]-SingaporeStart)</f>
        <v>68</v>
      </c>
      <c r="AG80" s="25">
        <f>IF(tblData[[#This Row],[Dates]]&lt;StartDt2Generic,"",tblData[[#This Row],[Dates]]-GenericStart)</f>
        <v>31</v>
      </c>
      <c r="AH80">
        <f ca="1">IF(tblData[Dates]&gt;StartDt2Au,tblData[Dates]-AuStart,"")</f>
        <v>66</v>
      </c>
      <c r="AI80" s="25">
        <f>IF(AND(COUNTBLANK(tblData[[#This Row],[Australian Capital Territory]:[Western Australia]])&lt;1,tblData[New South Wales]&gt;=0),SUM(tblData[[#This Row],[Australian Capital Territory]:[Western Australia]]),"")</f>
        <v>4561</v>
      </c>
      <c r="AJ80" s="12">
        <f>IF(ISNUMBER(tblData[Au]),tblData[Au]/AuPopScale,"")</f>
        <v>1798.2179466961047</v>
      </c>
      <c r="AK80" s="11">
        <f ca="1">IF(ISNUMBER(tblData[[#This Row],[Day'# Aust]]),betaAu/(deltaAu+betaPodeltaAu*EXP(-betaAu*tblData[[#This Row],[Day'# Aust]])),"")</f>
        <v>4532.666772120082</v>
      </c>
      <c r="AL80" s="56">
        <f ca="1">IF(ISNUMBER(tblData[Day'# Aust]),tblData[Au LogiP(t)]/AuPopScale,"")</f>
        <v>1787.0473001577361</v>
      </c>
      <c r="AM80" s="11">
        <f ca="1">IF(AND(tblData[Dates]&gt;StartDt2Au,ISNUMBER(tblData[Au])),(tblData[[#This Row],[Au LogiP(t)]]-tblData[[#This Row],[Au]])^2,"")</f>
        <v>802.77180209536334</v>
      </c>
      <c r="AN80" s="11">
        <f ca="1">IF(AND(ISNUMBER(tblData[Au]),tblData[Dates]&gt;StartDt2Au),(tblData[Au]-AVERAGE(tblData[Au]))^2,"")</f>
        <v>4461346.5961000007</v>
      </c>
      <c r="AO80" s="11">
        <f>tblData[[#This Row],[Dates]]-Au100dt</f>
        <v>16</v>
      </c>
      <c r="AP80">
        <f ca="1">IF(tblData[Dates]&gt;StartDt2NSW,tblData[Dates]-StartDt2NSW,"")</f>
        <v>66</v>
      </c>
      <c r="AQ80" s="25">
        <f>IF(tblData[[#This Row],[New South Wales]]&gt;0,tblData[[#This Row],[New South Wales]],"")</f>
        <v>2032</v>
      </c>
      <c r="AR80" s="11">
        <f ca="1">IF(tblData[Dates]&gt;StartDt2NSW,betaNSW/(deltaNSW+betaPodeltaNSW*EXP(-betaNSW*tblData[[#This Row],[Day '# NSW]])),"")</f>
        <v>2031.9740777110408</v>
      </c>
      <c r="AS80" s="12">
        <f ca="1">IF(AND(ISNUMBER(tblData[NSW]),tblData[Dates]&gt;StartDt2NSW),(tblData[[#This Row],[NSW LogiP(t)]]-tblData[[#This Row],[NSW]])^2,"")</f>
        <v>6.7196506488615662E-4</v>
      </c>
      <c r="AT80" s="12">
        <f ca="1">IF(AND(tblData[Dates]&gt;StartDt2NSW,ISNUMBER(tblData[Day'# Aust])),tblData[NSW LogiP(t)]/NSWpopscale,"")</f>
        <v>2514.8194031077237</v>
      </c>
      <c r="AU80" s="11">
        <f>tblData[[#This Row],[Dates]]-NSW100dt+1</f>
        <v>19</v>
      </c>
      <c r="AV80" s="11">
        <f ca="1">IF(AND(ISNUMBER(tblData[NSW]),tblData[Dates]&gt;StartDt2NSW),(tblData[NSW]-AVERAGE(tblData[NSW]))^2,"")</f>
        <v>879356.30760000006</v>
      </c>
      <c r="AW80" s="11">
        <f ca="1">IF(AND(tblData[Dates]&gt;StartDt2Italy,ISNUMBER(tblData[Days'# Italy])),betaItaly/(deltaItaly+betaPodeltaItaly*EXP(-betaItaly*tblData[Days'# Italy])),"")</f>
        <v>150616.78744967477</v>
      </c>
      <c r="AX80" s="11">
        <f ca="1">IF(AND(tblData[Dates]&gt;StartDt2Italy,ISNUMBER(tblData[Italy])),(tblData[[#This Row],[Italy LogiP(t)]]-tblData[[#This Row],[Italy]])^2,"")</f>
        <v>2009261569.9085207</v>
      </c>
      <c r="AY80" s="11">
        <f ca="1">IF(AND(tblData[Dates]&gt;StartDt2Italy,ISNUMBER(tblData[Days'# Italy])),tblData[[#This Row],[Italy LogiP(t)]]/ItalyPopscale,"")</f>
        <v>24901.51069681322</v>
      </c>
      <c r="AZ80" s="39">
        <f ca="1">IF(AND(ISNUMBER(tblData[Italy]),tblData[Dates]&gt;StartDt2Italy),(tblData[Italy]-AVERAGE(tblData[Italy]))^2,"")</f>
        <v>1299126223.4315307</v>
      </c>
      <c r="BA80" s="11">
        <f>tblData[[#This Row],[Dates]]-Italy100dt+1</f>
        <v>34</v>
      </c>
      <c r="BB80" s="11">
        <f ca="1">IF(AND(tblData[Dates]&gt;StartDt2US,ISNUMBER(tblData[[#This Row],[Days'# US]])),betaUS/(deltaUS+betaPodeltaUS*EXP(-betaUS*tblData[Days'# US])),"")</f>
        <v>229033.00608719513</v>
      </c>
      <c r="BC80" s="11">
        <f ca="1">IF(AND(tblData[Dates]&gt;StartDt2US,ISNUMBER(tblData[US])),(tblData[[#This Row],[US LogiP(t)]]-tblData[US])^2,"")</f>
        <v>1669621818.4577973</v>
      </c>
      <c r="BD80" s="20">
        <f ca="1">IF(AND(tblData[Dates]&gt;=StartDt2US,ISNUMBER(tblData[[#This Row],[Days'# US]])),tblData[[#This Row],[US LogiP(t)]]/USPopscale,"")</f>
        <v>6956.6738790963009</v>
      </c>
      <c r="BE80" s="126">
        <f ca="1">IF(AND(ISNUMBER(tblData[US]),tblData[Dates]&gt;StartDt2US),(tblData[US]-AVERAGE(tblData[US]))^2,"")</f>
        <v>1279581975.8639946</v>
      </c>
      <c r="BF80" s="11">
        <f>tblData[[#This Row],[Dates]]-US100dt+1</f>
        <v>17</v>
      </c>
      <c r="BG80" s="20">
        <f ca="1">IF(tblData[Dates]&gt;StartDt2SKorea,betaSKorea/(deltaSKorea+betaPodeltaSKorea*EXP(-betaSKorea*(tblData[Dates]-StartDt2SKorea))),"")</f>
        <v>10136.426792264077</v>
      </c>
      <c r="BH80" s="20">
        <f ca="1">IF(AND(tblData[Dates]&gt;StartDt2SKorea,ISNUMBER(tblData[SKorea])),(tblData[[#This Row],[SKorea LogiP(t)]]-tblData[[#This Row],[SKorea]])^2,"")</f>
        <v>122798.9367364909</v>
      </c>
      <c r="BI80" s="20">
        <f ca="1">IF(tblData[Dates]&gt;StartDt2SKorea,tblData[[#This Row],[SKorea LogiP(t)]]/SKoreaPopscale,"")</f>
        <v>1972.0674693120775</v>
      </c>
      <c r="BJ80" s="126">
        <f ca="1">IF(AND(ISNUMBER(tblData[SKorea]),tblData[Dates]&gt;StartDt2SKorea),(tblData[SKorea]-AVERAGE(tblData[SKorea]))^2,"")</f>
        <v>15694492.060361402</v>
      </c>
      <c r="BK80" s="11">
        <f>tblData[[#This Row],[Dates]]-SKorea100dt+1</f>
        <v>38</v>
      </c>
      <c r="BL80" s="11">
        <f ca="1">IF(AND(tblData[Dates]&gt;StartDt2UK,ISNUMBER(tblData[Days'# UK])),betaUK/(deltaUK+betaPodeltaUK*EXP(-betaUK*tblData[Days'# UK])),"")</f>
        <v>30718.927660651367</v>
      </c>
      <c r="BM80" s="20">
        <f ca="1">IF(AND(tblData[Dates]&gt;StartDt2UK,ISNUMBER(tblData[United Kingdom])),(tblData[[#This Row],[UK LogiP(t)]]-tblData[[#This Row],[United Kingdom]])^2,"")</f>
        <v>27435886.1782167</v>
      </c>
      <c r="BN80" s="20">
        <f ca="1">IF(ISNUMBER(tblData[Days'# UK]),tblData[[#This Row],[UK LogiP(t)]]/UKPopscale,"")</f>
        <v>4623.5592505495733</v>
      </c>
      <c r="BO80" s="126">
        <f ca="1">IF(AND(ISNUMBER(tblData[United Kingdom]),tblData[Dates]&gt;StartDt2UK),(tblData[United Kingdom]-AVERAGE(tblData[United Kingdom]))^2,"")</f>
        <v>155900992.97974199</v>
      </c>
      <c r="BP80" s="11">
        <f>tblData[[#This Row],[Dates]]-UK100dt</f>
        <v>19</v>
      </c>
      <c r="BQ80" s="11">
        <f ca="1">IF(ISNUMBER(tblData[Days'# China]),betaChina/(deltaChina+betaPodeltaChina*EXP(-betaChina*tblData[Days'# China])),"")</f>
        <v>82124.142195152555</v>
      </c>
      <c r="BR80" s="11">
        <f ca="1">IF(ISNUMBER(tblData[China]),(tblData[[#This Row],[China LogiP(t)]]-tblData[[#This Row],[China]])^2,"")</f>
        <v>23980.939722169249</v>
      </c>
      <c r="BS80" s="11">
        <f ca="1">tblData[[#This Row],[China LogiP(t)]]/ChinaPopscale</f>
        <v>570.5744847999548</v>
      </c>
      <c r="BT80" s="126">
        <f ca="1">IF(AND(ISNUMBER(tblData[China]),tblData[Dates]&gt;StartDt2China),(tblData[China]-AVERAGE(tblData[China]))^2,"")</f>
        <v>227241436.98615897</v>
      </c>
      <c r="BU80" s="11">
        <f>tblData[[#This Row],[Dates]]-China100dt</f>
        <v>58</v>
      </c>
      <c r="BV80" s="95">
        <f ca="1">IF(ISNUMBER(tblData[Day'# Singapore]),betaSingapore/(deltaSingapore+betaPodeltaSingapore*EXP(-betaSingapore*tblData[Day'# Singapore])),"")</f>
        <v>614.71865659741468</v>
      </c>
      <c r="BW80" s="11">
        <f ca="1">IF(AND(ISNUMBER(tblData[Singapore]),tblData[Dates]&gt;=StartDt2Singapore),(tblData[[#This Row],[Singapore LogiP(t)]]-tblData[[#This Row],[Singapore]])^2,"")</f>
        <v>96896.074750518252</v>
      </c>
      <c r="BX80" s="20">
        <f ca="1">IF(ISNUMBER(tblData[Day'# Singapore]),tblData[Singapore LogiP(t)]/SingaporePopscale,"")</f>
        <v>1050.8011223887431</v>
      </c>
      <c r="BY80" s="95">
        <f ca="1">IF(AND(ISNUMBER(tblData[Singapore]),tblData[Dates]&gt;StartDt2Singapore),(tblData[Singapore]-AVERAGE(tblData[Singapore]))^2,"")</f>
        <v>1945477.9796232223</v>
      </c>
      <c r="BZ80" s="11">
        <f>tblData[[#This Row],[Dates]]-Singapore100dt+1</f>
        <v>47</v>
      </c>
      <c r="CA80" s="44">
        <f>IF(AND(tblData[Dates]&gt;StartDt2Generic,ISNUMBER(tblData[Day'# Generic])),betaGeneric/(deltaGeneric+betaPodeltaGeneric*EXP(-betaGeneric*tblData[Day'# Generic])),"")</f>
        <v>2982.7362925103794</v>
      </c>
      <c r="CB80" s="95">
        <f>IF(AND(ISNUMBER(tblData[Generic]),tblData[Dates]&gt;StartDt2Generic),(tblData[Generic LogiP(t)]-tblData[[#This Row],[Generic]])^2,"")</f>
        <v>63636.978116408878</v>
      </c>
      <c r="CC80" s="11">
        <f>IF(AND(ISNUMBER(tblData[Day'# Generic]),tblData[Dates]&gt;StartDt2Generic),tblData[Generic LogiP(t)]/GenericPopscale,"")</f>
        <v>6087.2169234905705</v>
      </c>
      <c r="CD80" s="95">
        <f>IF(AND(ISNUMBER(tblData[Generic]),tblData[Dates]&gt;StartDt2Generic),(tblData[Generic]-AVERAGE(tblData[Generic]))^2,"")</f>
        <v>11549854.534674555</v>
      </c>
      <c r="CE80" s="11">
        <f>tblData[[#This Row],[Dates]]-Generic100dt+1</f>
        <v>19</v>
      </c>
      <c r="CF80" s="11">
        <v>97919</v>
      </c>
      <c r="CG80" s="11"/>
      <c r="CH80" s="11">
        <f>IF(ISNUMBER(tblData[[#This Row],[Tests]]),tblData[[#This Row],[Tests]]-CF79,"")</f>
        <v>3385</v>
      </c>
      <c r="CI80" s="11" t="str">
        <f>IF(ISNUMBER(tblData[[#This Row],[NSW Under Investigation'']]),tblData[[#This Row],[NSW Under Investigation'']]-CG79,"")</f>
        <v/>
      </c>
      <c r="CJ80" s="11">
        <f t="shared" si="2"/>
        <v>26</v>
      </c>
      <c r="CK80" s="11">
        <f>IF(AND(tblData[[#This Row],[NSW Test Day Number]]&gt;0,ISNUMBER(tblData[[#This Row],[NSW Test Day Number]])),betaTests/(deltaTests+betaPodeltaTests*EXP(-betaTests*tblData[[#This Row],[NSW Test Day Number]])),"")</f>
        <v>123029.50977090825</v>
      </c>
      <c r="CL80" s="11">
        <f>IF(tblData[Tests]&gt;0,(tblData[[#This Row],[Tests]]-tblData[[#This Row],[NSW Test Logi]])^2,"")</f>
        <v>630537700.95487857</v>
      </c>
      <c r="CM80" s="95">
        <f>IF(AND(ISNUMBER(tblData[Tests]),tblData[Dates]&gt;StartDt2Tests),(tblData[Tests]-AVERAGE(tblData[Tests]))^2,"")</f>
        <v>67862130.735133693</v>
      </c>
      <c r="CN80" s="11">
        <f>IF(ISNUMBER(tblData[Tests]),tblData[Tests]/NSWpopscale/100,"")</f>
        <v>1211.8688118811881</v>
      </c>
      <c r="CO80" s="95">
        <f ca="1">IF(AND(tblData[[#This Row],[NSW Test Day Number]]&gt;0,ISNUMBER(tblData[[#This Row],[NSW Test Day Number]])),TestsLogestB*TestsLogestM^tblData[[#This Row],[NSW Test Day Number]],"")</f>
        <v>60327.518923196272</v>
      </c>
      <c r="CP80" s="95">
        <f>IF(AND(tblData[[#This Row],[NSW Test Day Number]]&gt;0,ISNUMBER(tblData[Tests])),(tblData[Tests]-tblData[[#This Row],[NSW Test Per Capita]])^2,"")</f>
        <v>9352269222.6360226</v>
      </c>
      <c r="CQ80" s="20">
        <f ca="1">IF(AND(tblData[Day '# NSW]&gt;0,ISNUMBER(tblData[[#This Row],[Day '# NSW]])),NSWLogestB*NSWLogestM^tblData[[#This Row],[Day '# NSW]]/NSWpopscale,"")</f>
        <v>809.48997678522244</v>
      </c>
      <c r="CR80" s="39">
        <f ca="1">IF(AND(ISNUMBER(tblData[NSW]),tblData[Dates]&gt;StartDt2NSW),(tblData[NSW]/NSWpopscale-tblData[[#This Row],[NSW Cases LogEst]])^2,"")</f>
        <v>2908257.8742071232</v>
      </c>
      <c r="CS80" s="11">
        <v>322</v>
      </c>
      <c r="CT80" s="19">
        <f>IF(ISNUMBER(tblData[Taiwan]),tblData[Taiwan]/TaiwanPopscale,"")</f>
        <v>135.25273485650314</v>
      </c>
      <c r="CU80" s="11">
        <f ca="1">IF(tblData[[#This Row],[Dates]]&lt;StartDt2Taiwan,"",tblData[[#This Row],[Dates]]-TaiwanStart)</f>
        <v>69</v>
      </c>
      <c r="CV80" s="19">
        <f ca="1">IF(AND(tblData[Dates]&gt;StartDt2Taiwan,ISNUMBER(tblData[Days'# Taiwan])),betaTaiwan/(deltaTaiwan+betaPodeltaTaiwan*EXP(-betaTaiwan*tblData[Days'# Taiwan])),"")</f>
        <v>309.09749325761641</v>
      </c>
      <c r="CW80" s="95">
        <f ca="1">IF(AND(tblData[Dates]&gt;StartDt2Taiwan,ISNUMBER(tblData[Taiwan])),(tblData[[#This Row],[Taiwan LogiP(t)]]-tblData[[#This Row],[Taiwan]])^2,"")</f>
        <v>166.47468023725409</v>
      </c>
      <c r="CX80" s="20">
        <f ca="1">IF(AND(tblData[Dates]&gt;StartDt2Taiwan,ISNUMBER(tblData[Days'# Taiwan])),tblData[[#This Row],[Taiwan LogiP(t)]]/TaiwanPopscale,"")</f>
        <v>129.83317174031725</v>
      </c>
      <c r="CY80" s="95">
        <f ca="1">IF(AND(ISNUMBER(tblData[Taiwan]),tblData[Dates]&gt;StartDt2Taiwan),(tblData[Taiwan]-AVERAGE(tblData[Taiwan]))^2,"")</f>
        <v>23241.301422529792</v>
      </c>
      <c r="CZ80" s="11">
        <f>tblData[[#This Row],[Dates]]-Taiwan100dt+1</f>
        <v>6</v>
      </c>
      <c r="DA80" s="11">
        <v>647</v>
      </c>
      <c r="DB80" s="20">
        <f>IF(ISNUMBER(tblData[NZ]),tblData[NZ]/NZPopscale,"")</f>
        <v>1237.093690248566</v>
      </c>
      <c r="DC80" s="11">
        <f ca="1">IF(tblData[[#This Row],[Dates]]&lt;StartDt2NZ,"",tblData[[#This Row],[Dates]]-NZStart)</f>
        <v>32</v>
      </c>
      <c r="DD80" s="20">
        <f ca="1">IF(AND(tblData[Dates]&gt;StartDt2NZ,ISNUMBER(tblData[Days'# NZ])),betaNZ/(deltaNZ+betaPodeltaNZ*EXP(-betaNZ*tblData[Days'# NZ])),"")</f>
        <v>629.36985233517112</v>
      </c>
      <c r="DE80" s="95">
        <f ca="1">IF(AND(tblData[Dates]&gt;StartDt2NZ,ISNUMBER(tblData[NZ])),(tblData[[#This Row],[NZ LogiP(t)]]-tblData[[#This Row],[NZ]])^2,"")</f>
        <v>310.82210668367128</v>
      </c>
      <c r="DF80" s="20">
        <f ca="1">IF(AND(tblData[Dates]&gt;StartDt2NZ,ISNUMBER(tblData[Days'# NZ])),tblData[[#This Row],[NZ LogiP(t)]]/NZPopscale,"")</f>
        <v>1203.3840388817803</v>
      </c>
      <c r="DG80" s="95">
        <f ca="1">IF(AND(ISNUMBER(tblData[NZ]),tblData[Dates]&gt;StartDt2NZ),(tblData[NZ]-AVERAGE(tblData[NZ]))^2,"")</f>
        <v>1758.9127640036777</v>
      </c>
      <c r="DH80" s="11">
        <f>tblData[[#This Row],[Dates]]-NZ100dt+1</f>
        <v>10</v>
      </c>
      <c r="DI80" s="39"/>
      <c r="DJ80" s="11"/>
      <c r="DM80" s="25"/>
      <c r="DP80"/>
      <c r="DV80" s="25"/>
      <c r="DW80"/>
      <c r="EA80" s="25"/>
      <c r="EH80"/>
      <c r="EI80"/>
      <c r="EJ80"/>
      <c r="EK80"/>
      <c r="EL80" s="25"/>
      <c r="EM80" s="25"/>
      <c r="EQ80" s="25"/>
      <c r="ER80" s="25"/>
      <c r="ES80" s="25"/>
      <c r="ET80" s="25"/>
      <c r="FF80"/>
      <c r="FG80"/>
      <c r="FH80"/>
      <c r="FI80"/>
      <c r="FJ80"/>
      <c r="FK80"/>
      <c r="FL80"/>
      <c r="FO80" s="265" t="s">
        <v>153</v>
      </c>
      <c r="FP80" s="250">
        <v>43913.581608796296</v>
      </c>
      <c r="FQ80" s="156">
        <v>43855</v>
      </c>
      <c r="FR80" s="26">
        <v>43855</v>
      </c>
      <c r="FS80" s="211">
        <v>1</v>
      </c>
      <c r="FT80" s="25">
        <v>0.19304193258457727</v>
      </c>
      <c r="FU80" s="71">
        <v>7.741697041153024E-7</v>
      </c>
      <c r="FV80" s="21">
        <v>9.08799853365907E-3</v>
      </c>
      <c r="FW80" s="212">
        <v>249353.50939001123</v>
      </c>
      <c r="FX80" s="212">
        <v>4.8079620372406442</v>
      </c>
      <c r="FY80" s="212"/>
      <c r="FZ80" s="213">
        <v>21.241412488564777</v>
      </c>
      <c r="GA80" s="213">
        <v>7.7416970411530242E-4</v>
      </c>
      <c r="GB80" s="156">
        <v>43913</v>
      </c>
      <c r="GC80" s="25" t="s">
        <v>964</v>
      </c>
      <c r="GD80" s="212">
        <v>249353.50939001123</v>
      </c>
      <c r="GE80" s="212">
        <v>669</v>
      </c>
      <c r="GF80" s="25" t="s">
        <v>965</v>
      </c>
      <c r="GG80" s="156">
        <v>43913</v>
      </c>
      <c r="GH80" s="25">
        <v>59</v>
      </c>
      <c r="GI80" s="25" t="s">
        <v>966</v>
      </c>
      <c r="GJ80" s="25"/>
      <c r="GK80" s="25" t="s">
        <v>967</v>
      </c>
      <c r="GM80" s="25" t="s">
        <v>968</v>
      </c>
      <c r="GN80" s="20">
        <v>827.97029702970292</v>
      </c>
      <c r="GO80" s="156"/>
      <c r="GP80" s="218"/>
      <c r="GQ80" s="156"/>
      <c r="GR80" s="25"/>
      <c r="GS80" s="25" t="s">
        <v>963</v>
      </c>
      <c r="GT80" s="11"/>
      <c r="GU80" s="12"/>
      <c r="GV80" s="26"/>
      <c r="GW80" s="25"/>
      <c r="GX80" s="219"/>
      <c r="GY80" s="25"/>
      <c r="GZ80" s="25"/>
    </row>
    <row r="81" spans="2:238" x14ac:dyDescent="0.25">
      <c r="B81" s="26">
        <v>43922</v>
      </c>
      <c r="D81" s="25">
        <v>84</v>
      </c>
      <c r="E81">
        <v>2182</v>
      </c>
      <c r="F81">
        <v>19</v>
      </c>
      <c r="G81">
        <v>781</v>
      </c>
      <c r="H81">
        <v>367</v>
      </c>
      <c r="I81">
        <v>71</v>
      </c>
      <c r="J81">
        <v>968</v>
      </c>
      <c r="K81">
        <v>392</v>
      </c>
      <c r="L81" s="11">
        <f>IF(ISNUMBER(tblData[[#This Row],[NSW]]),tblData[[#This Row],[New South Wales]]/NSWpopscale,"")</f>
        <v>2700.4950495049502</v>
      </c>
      <c r="M81" s="25">
        <v>110574</v>
      </c>
      <c r="N81" s="20">
        <f>IF(ISNUMBER(tblData[Italy]),tblData[Italy]/ItalyPopscale,"")</f>
        <v>18281.226750433994</v>
      </c>
      <c r="O81" s="25">
        <v>213242</v>
      </c>
      <c r="P81" s="20">
        <f>IF(ISNUMBER(tblData[US]),tblData[US]/USPopscale,"")</f>
        <v>6477.0361122601134</v>
      </c>
      <c r="Q81" s="11">
        <v>9887</v>
      </c>
      <c r="R81" s="20">
        <f>IF(ISNUMBER(tblData[SKorea]),tblData[SKorea]/SKoreaPopscale,"")</f>
        <v>1923.5408560311284</v>
      </c>
      <c r="S81">
        <v>29865</v>
      </c>
      <c r="T81" s="20">
        <f>IF(ISNUMBER(tblData[United Kingdom]),tblData[United Kingdom]/UKPopscale,"")</f>
        <v>4495.0331125827815</v>
      </c>
      <c r="U81">
        <v>82361</v>
      </c>
      <c r="V81" s="20">
        <f>IF(ISNUMBER(tblData[China]),tblData[China]/ChinaPopscale,"")</f>
        <v>572.22010344946875</v>
      </c>
      <c r="W81" s="25">
        <f ca="1">IF(tblData[[#This Row],[Dates]]&lt;StartDt2China,"",tblData[[#This Row],[Dates]]-ChinaStart)</f>
        <v>70</v>
      </c>
      <c r="X81" s="20">
        <v>1000</v>
      </c>
      <c r="Y81" s="20">
        <f>IF(ISNUMBER(tblData[Singapore]),tblData[Singapore]/SingaporePopscale,"")</f>
        <v>1709.4017094017095</v>
      </c>
      <c r="Z81">
        <v>3447</v>
      </c>
      <c r="AA81" s="20">
        <f>IF(AND(LEN(tblData[Generic])&gt;0,ISNUMBER(tblData[Generic])),tblData[Generic]/GenericPopscale,"")</f>
        <v>7034.6938775510207</v>
      </c>
      <c r="AB81" s="25">
        <f ca="1">IF(tblData[[#This Row],[Dates]]&lt;StartDt2Italy,"",tblData[[#This Row],[Dates]]-ItalyStart)</f>
        <v>62</v>
      </c>
      <c r="AC81" s="25">
        <f ca="1">IF(tblData[[#This Row],[Dates]]&lt;=StartDt2US,"",tblData[[#This Row],[Dates]]-USStart)</f>
        <v>70</v>
      </c>
      <c r="AD81" s="25">
        <f>IF(tblData[[#This Row],[Dates]]&lt;=SKoreaStart,"",tblData[[#This Row],[Dates]]-SKoreaStart)</f>
        <v>70</v>
      </c>
      <c r="AE81" s="25">
        <f ca="1">IF(tblData[[#This Row],[Dates]]&lt;=StartDt2UK,"",tblData[[#This Row],[Dates]]-UKStart)</f>
        <v>62</v>
      </c>
      <c r="AF81" s="25">
        <f ca="1">IF(tblData[[#This Row],[Dates]]&lt;StartDt2Singapore,"",tblData[[#This Row],[Dates]]-SingaporeStart)</f>
        <v>69</v>
      </c>
      <c r="AG81" s="25">
        <f>IF(tblData[[#This Row],[Dates]]&lt;StartDt2Generic,"",tblData[[#This Row],[Dates]]-GenericStart)</f>
        <v>32</v>
      </c>
      <c r="AH81">
        <f ca="1">IF(tblData[Dates]&gt;StartDt2Au,tblData[Dates]-AuStart,"")</f>
        <v>67</v>
      </c>
      <c r="AI81" s="25">
        <f>IF(AND(COUNTBLANK(tblData[[#This Row],[Australian Capital Territory]:[Western Australia]])&lt;1,tblData[New South Wales]&gt;=0),SUM(tblData[[#This Row],[Australian Capital Territory]:[Western Australia]]),"")</f>
        <v>4864</v>
      </c>
      <c r="AJ81" s="12">
        <f>IF(ISNUMBER(tblData[Au]),tblData[Au]/AuPopScale,"")</f>
        <v>1917.67859958997</v>
      </c>
      <c r="AK81" s="11">
        <f ca="1">IF(ISNUMBER(tblData[[#This Row],[Day'# Aust]]),betaAu/(deltaAu+betaPodeltaAu*EXP(-betaAu*tblData[[#This Row],[Day'# Aust]])),"")</f>
        <v>4844.2562040710154</v>
      </c>
      <c r="AL81" s="56">
        <f ca="1">IF(ISNUMBER(tblData[Day'# Aust]),tblData[Au LogiP(t)]/AuPopScale,"")</f>
        <v>1909.8944188893768</v>
      </c>
      <c r="AM81" s="11">
        <f ca="1">IF(AND(tblData[Dates]&gt;StartDt2Au,ISNUMBER(tblData[Au])),(tblData[[#This Row],[Au LogiP(t)]]-tblData[[#This Row],[Au]])^2,"")</f>
        <v>389.81747768538816</v>
      </c>
      <c r="AN81" s="11">
        <f ca="1">IF(AND(ISNUMBER(tblData[Au]),tblData[Dates]&gt;StartDt2Au),(tblData[Au]-AVERAGE(tblData[Au]))^2,"")</f>
        <v>5833142.7361000003</v>
      </c>
      <c r="AO81" s="11">
        <f>tblData[[#This Row],[Dates]]-Au100dt</f>
        <v>17</v>
      </c>
      <c r="AP81">
        <f ca="1">IF(tblData[Dates]&gt;StartDt2NSW,tblData[Dates]-StartDt2NSW,"")</f>
        <v>67</v>
      </c>
      <c r="AQ81" s="25">
        <f>IF(tblData[[#This Row],[New South Wales]]&gt;0,tblData[[#This Row],[New South Wales]],"")</f>
        <v>2182</v>
      </c>
      <c r="AR81" s="11">
        <f ca="1">IF(tblData[Dates]&gt;StartDt2NSW,betaNSW/(deltaNSW+betaPodeltaNSW*EXP(-betaNSW*tblData[[#This Row],[Day '# NSW]])),"")</f>
        <v>2175.8875129744474</v>
      </c>
      <c r="AS81" s="12">
        <f ca="1">IF(AND(ISNUMBER(tblData[NSW]),tblData[Dates]&gt;StartDt2NSW),(tblData[[#This Row],[NSW LogiP(t)]]-tblData[[#This Row],[NSW]])^2,"")</f>
        <v>37.36249763754865</v>
      </c>
      <c r="AT81" s="12">
        <f ca="1">IF(AND(tblData[Dates]&gt;StartDt2NSW,ISNUMBER(tblData[Day'# Aust])),tblData[NSW LogiP(t)]/NSWpopscale,"")</f>
        <v>2692.9300903149101</v>
      </c>
      <c r="AU81" s="11">
        <f>tblData[[#This Row],[Dates]]-NSW100dt+1</f>
        <v>20</v>
      </c>
      <c r="AV81" s="11">
        <f ca="1">IF(AND(ISNUMBER(tblData[NSW]),tblData[Dates]&gt;StartDt2NSW),(tblData[NSW]-AVERAGE(tblData[NSW]))^2,"")</f>
        <v>1183178.3075999999</v>
      </c>
      <c r="AW81" s="11">
        <f ca="1">IF(AND(tblData[Dates]&gt;StartDt2Italy,ISNUMBER(tblData[Days'# Italy])),betaItaly/(deltaItaly+betaPodeltaItaly*EXP(-betaItaly*tblData[Days'# Italy])),"")</f>
        <v>152898.71591815201</v>
      </c>
      <c r="AX81" s="11">
        <f ca="1">IF(AND(tblData[Dates]&gt;StartDt2Italy,ISNUMBER(tblData[Italy])),(tblData[[#This Row],[Italy LogiP(t)]]-tblData[[#This Row],[Italy]])^2,"")</f>
        <v>1791381577.5522702</v>
      </c>
      <c r="AY81" s="11">
        <f ca="1">IF(AND(tblData[Dates]&gt;StartDt2Italy,ISNUMBER(tblData[Days'# Italy])),tblData[[#This Row],[Italy LogiP(t)]]/ItalyPopscale,"")</f>
        <v>25278.782494527903</v>
      </c>
      <c r="AZ81" s="39">
        <f ca="1">IF(AND(ISNUMBER(tblData[Italy]),tblData[Dates]&gt;StartDt2Italy),(tblData[Italy]-AVERAGE(tblData[Italy]))^2,"")</f>
        <v>1666712763.9847221</v>
      </c>
      <c r="BA81" s="11">
        <f>tblData[[#This Row],[Dates]]-Italy100dt+1</f>
        <v>35</v>
      </c>
      <c r="BB81" s="11">
        <f ca="1">IF(AND(tblData[Dates]&gt;StartDt2US,ISNUMBER(tblData[[#This Row],[Days'# US]])),betaUS/(deltaUS+betaPodeltaUS*EXP(-betaUS*tblData[Days'# US])),"")</f>
        <v>278457.46914491366</v>
      </c>
      <c r="BC81" s="11">
        <f ca="1">IF(AND(tblData[Dates]&gt;StartDt2US,ISNUMBER(tblData[US])),(tblData[[#This Row],[US LogiP(t)]]-tblData[US])^2,"")</f>
        <v>4253057415.7911854</v>
      </c>
      <c r="BD81" s="20">
        <f ca="1">IF(AND(tblData[Dates]&gt;=StartDt2US,ISNUMBER(tblData[[#This Row],[Days'# US]])),tblData[[#This Row],[US LogiP(t)]]/USPopscale,"")</f>
        <v>8457.8979909218742</v>
      </c>
      <c r="BE81" s="126">
        <f ca="1">IF(AND(ISNUMBER(tblData[US]),tblData[Dates]&gt;StartDt2US),(tblData[US]-AVERAGE(tblData[US]))^2,"")</f>
        <v>114516646.64830837</v>
      </c>
      <c r="BF81" s="11">
        <f>tblData[[#This Row],[Dates]]-US100dt+1</f>
        <v>18</v>
      </c>
      <c r="BG81" s="20">
        <f ca="1">IF(tblData[Dates]&gt;StartDt2SKorea,betaSKorea/(deltaSKorea+betaPodeltaSKorea*EXP(-betaSKorea*(tblData[Dates]-StartDt2SKorea))),"")</f>
        <v>10152.185232681193</v>
      </c>
      <c r="BH81" s="20">
        <f ca="1">IF(AND(tblData[Dates]&gt;StartDt2SKorea,ISNUMBER(tblData[SKorea])),(tblData[[#This Row],[SKorea LogiP(t)]]-tblData[[#This Row],[SKorea]])^2,"")</f>
        <v>70323.207632178557</v>
      </c>
      <c r="BI81" s="20">
        <f ca="1">IF(tblData[Dates]&gt;StartDt2SKorea,tblData[[#This Row],[SKorea LogiP(t)]]/SKoreaPopscale,"")</f>
        <v>1975.1333137512049</v>
      </c>
      <c r="BJ81" s="126">
        <f ca="1">IF(AND(ISNUMBER(tblData[SKorea]),tblData[Dates]&gt;StartDt2SKorea),(tblData[SKorea]-AVERAGE(tblData[SKorea]))^2,"")</f>
        <v>16504941.805459442</v>
      </c>
      <c r="BK81" s="11">
        <f>tblData[[#This Row],[Dates]]-SKorea100dt+1</f>
        <v>39</v>
      </c>
      <c r="BL81" s="11">
        <f ca="1">IF(AND(tblData[Dates]&gt;StartDt2UK,ISNUMBER(tblData[Days'# UK])),betaUK/(deltaUK+betaPodeltaUK*EXP(-betaUK*tblData[Days'# UK])),"")</f>
        <v>36170.350009080714</v>
      </c>
      <c r="BM81" s="20">
        <f ca="1">IF(AND(tblData[Dates]&gt;StartDt2UK,ISNUMBER(tblData[United Kingdom])),(tblData[[#This Row],[UK LogiP(t)]]-tblData[[#This Row],[United Kingdom]])^2,"")</f>
        <v>39757438.73701416</v>
      </c>
      <c r="BN81" s="20">
        <f ca="1">IF(ISNUMBER(tblData[Days'# UK]),tblData[[#This Row],[UK LogiP(t)]]/UKPopscale,"")</f>
        <v>5444.0623132270794</v>
      </c>
      <c r="BO81" s="126">
        <f ca="1">IF(AND(ISNUMBER(tblData[United Kingdom]),tblData[Dates]&gt;StartDt2UK),(tblData[United Kingdom]-AVERAGE(tblData[United Kingdom]))^2,"")</f>
        <v>65642921.149954744</v>
      </c>
      <c r="BP81" s="11">
        <f>tblData[[#This Row],[Dates]]-UK100dt</f>
        <v>20</v>
      </c>
      <c r="BQ81" s="11">
        <f ca="1">IF(ISNUMBER(tblData[Days'# China]),betaChina/(deltaChina+betaPodeltaChina*EXP(-betaChina*tblData[Days'# China])),"")</f>
        <v>82124.343998097829</v>
      </c>
      <c r="BR81" s="11">
        <f ca="1">IF(ISNUMBER(tblData[China]),(tblData[[#This Row],[China LogiP(t)]]-tblData[[#This Row],[China]])^2,"")</f>
        <v>56006.063236320282</v>
      </c>
      <c r="BS81" s="11">
        <f ca="1">tblData[[#This Row],[China LogiP(t)]]/ChinaPopscale</f>
        <v>570.57588686770805</v>
      </c>
      <c r="BT81" s="126">
        <f ca="1">IF(AND(ISNUMBER(tblData[China]),tblData[Dates]&gt;StartDt2China),(tblData[China]-AVERAGE(tblData[China]))^2,"")</f>
        <v>229720383.80968836</v>
      </c>
      <c r="BU81" s="11">
        <f>tblData[[#This Row],[Dates]]-China100dt</f>
        <v>59</v>
      </c>
      <c r="BV81" s="95">
        <f ca="1">IF(ISNUMBER(tblData[Day'# Singapore]),betaSingapore/(deltaSingapore+betaPodeltaSingapore*EXP(-betaSingapore*tblData[Day'# Singapore])),"")</f>
        <v>695.37842777265155</v>
      </c>
      <c r="BW81" s="11">
        <f ca="1">IF(AND(ISNUMBER(tblData[Singapore]),tblData[Dates]&gt;=StartDt2Singapore),(tblData[[#This Row],[Singapore LogiP(t)]]-tblData[[#This Row],[Singapore]])^2,"")</f>
        <v>92794.302266261671</v>
      </c>
      <c r="BX81" s="20">
        <f ca="1">IF(ISNUMBER(tblData[Day'# Singapore]),tblData[Singapore LogiP(t)]/SingaporePopscale,"")</f>
        <v>1188.6810731156438</v>
      </c>
      <c r="BY81" s="95">
        <f ca="1">IF(AND(ISNUMBER(tblData[Singapore]),tblData[Dates]&gt;StartDt2Singapore),(tblData[Singapore]-AVERAGE(tblData[Singapore]))^2,"")</f>
        <v>1744522.9992310654</v>
      </c>
      <c r="BZ81" s="11">
        <f>tblData[[#This Row],[Dates]]-Singapore100dt+1</f>
        <v>48</v>
      </c>
      <c r="CA81" s="44">
        <f>IF(AND(tblData[Dates]&gt;StartDt2Generic,ISNUMBER(tblData[Day'# Generic])),betaGeneric/(deltaGeneric+betaPodeltaGeneric*EXP(-betaGeneric*tblData[Day'# Generic])),"")</f>
        <v>3340.2885192674753</v>
      </c>
      <c r="CB81" s="95">
        <f>IF(AND(ISNUMBER(tblData[Generic]),tblData[Dates]&gt;StartDt2Generic),(tblData[Generic LogiP(t)]-tblData[[#This Row],[Generic]])^2,"")</f>
        <v>11387.340120127992</v>
      </c>
      <c r="CC81" s="11">
        <f>IF(AND(ISNUMBER(tblData[Day'# Generic]),tblData[Dates]&gt;StartDt2Generic),tblData[Generic LogiP(t)]/GenericPopscale,"")</f>
        <v>6816.9153454438274</v>
      </c>
      <c r="CD81" s="95">
        <f>IF(AND(ISNUMBER(tblData[Generic]),tblData[Dates]&gt;StartDt2Generic),(tblData[Generic]-AVERAGE(tblData[Generic]))^2,"")</f>
        <v>10153831.273136094</v>
      </c>
      <c r="CE81" s="11">
        <f>tblData[[#This Row],[Dates]]-Generic100dt+1</f>
        <v>20</v>
      </c>
      <c r="CF81" s="11">
        <v>103361</v>
      </c>
      <c r="CG81" s="11"/>
      <c r="CH81" s="11">
        <f>IF(ISNUMBER(tblData[[#This Row],[Tests]]),tblData[[#This Row],[Tests]]-CF80,"")</f>
        <v>5442</v>
      </c>
      <c r="CI81" s="11" t="str">
        <f>IF(ISNUMBER(tblData[[#This Row],[NSW Under Investigation'']]),tblData[[#This Row],[NSW Under Investigation'']]-CG80,"")</f>
        <v/>
      </c>
      <c r="CJ81" s="11">
        <f t="shared" si="2"/>
        <v>27</v>
      </c>
      <c r="CK81" s="11">
        <f>IF(AND(tblData[[#This Row],[NSW Test Day Number]]&gt;0,ISNUMBER(tblData[[#This Row],[NSW Test Day Number]])),betaTests/(deltaTests+betaPodeltaTests*EXP(-betaTests*tblData[[#This Row],[NSW Test Day Number]])),"")</f>
        <v>129006.89805079215</v>
      </c>
      <c r="CL81" s="11">
        <f>IF(tblData[Tests]&gt;0,(tblData[[#This Row],[Tests]]-tblData[[#This Row],[NSW Test Logi]])^2,"")</f>
        <v>657712086.83162463</v>
      </c>
      <c r="CM81" s="95">
        <f>IF(AND(ISNUMBER(tblData[Tests]),tblData[Dates]&gt;StartDt2Tests),(tblData[Tests]-AVERAGE(tblData[Tests]))^2,"")</f>
        <v>7816763.0063200612</v>
      </c>
      <c r="CN81" s="11">
        <f>IF(ISNUMBER(tblData[Tests]),tblData[Tests]/NSWpopscale/100,"")</f>
        <v>1279.220297029703</v>
      </c>
      <c r="CO81" s="95">
        <f ca="1">IF(AND(tblData[[#This Row],[NSW Test Day Number]]&gt;0,ISNUMBER(tblData[[#This Row],[NSW Test Day Number]])),TestsLogestB*TestsLogestM^tblData[[#This Row],[NSW Test Day Number]],"")</f>
        <v>63947.859886666454</v>
      </c>
      <c r="CP81" s="11">
        <f>IF(AND(tblData[[#This Row],[NSW Test Day Number]]&gt;0,ISNUMBER(tblData[Tests])),(tblData[Tests]-tblData[[#This Row],[NSW Test Per Capita]])^2,"")</f>
        <v>10420689747.325758</v>
      </c>
      <c r="CQ81" s="20">
        <f ca="1">IF(AND(tblData[Day '# NSW]&gt;0,ISNUMBER(tblData[[#This Row],[Day '# NSW]])),NSWLogestB*NSWLogestM^tblData[[#This Row],[Day '# NSW]]/NSWpopscale,"")</f>
        <v>891.21254917198951</v>
      </c>
      <c r="CR81" s="39">
        <f ca="1">IF(AND(ISNUMBER(tblData[NSW]),tblData[Dates]&gt;StartDt2NSW),(tblData[NSW]/NSWpopscale-tblData[[#This Row],[NSW Cases LogEst]])^2,"")</f>
        <v>3273503.1660110904</v>
      </c>
      <c r="CS81" s="11">
        <v>329</v>
      </c>
      <c r="CT81" s="19">
        <f>IF(ISNUMBER(tblData[Taiwan]),tblData[Taiwan]/TaiwanPopscale,"")</f>
        <v>138.19301170120974</v>
      </c>
      <c r="CU81" s="11">
        <f ca="1">IF(tblData[[#This Row],[Dates]]&lt;StartDt2Taiwan,"",tblData[[#This Row],[Dates]]-TaiwanStart)</f>
        <v>70</v>
      </c>
      <c r="CV81" s="19">
        <f ca="1">IF(AND(tblData[Dates]&gt;StartDt2Taiwan,ISNUMBER(tblData[Days'# Taiwan])),betaTaiwan/(deltaTaiwan+betaPodeltaTaiwan*EXP(-betaTaiwan*tblData[Days'# Taiwan])),"")</f>
        <v>321.20530108055726</v>
      </c>
      <c r="CW81" s="95">
        <f ca="1">IF(AND(tblData[Dates]&gt;StartDt2Taiwan,ISNUMBER(tblData[Taiwan])),(tblData[[#This Row],[Taiwan LogiP(t)]]-tblData[[#This Row],[Taiwan]])^2,"")</f>
        <v>60.757331244761779</v>
      </c>
      <c r="CX81" s="20">
        <f ca="1">IF(AND(tblData[Dates]&gt;StartDt2Taiwan,ISNUMBER(tblData[Days'# Taiwan])),tblData[[#This Row],[Taiwan LogiP(t)]]/TaiwanPopscale,"")</f>
        <v>134.9189298805959</v>
      </c>
      <c r="CY81" s="95">
        <f ca="1">IF(AND(ISNUMBER(tblData[Taiwan]),tblData[Dates]&gt;StartDt2Taiwan),(tblData[Taiwan]-AVERAGE(tblData[Taiwan]))^2,"")</f>
        <v>25424.615148019988</v>
      </c>
      <c r="CZ81" s="11">
        <f>tblData[[#This Row],[Dates]]-Taiwan100dt+1</f>
        <v>7</v>
      </c>
      <c r="DA81" s="11">
        <v>708</v>
      </c>
      <c r="DB81" s="20">
        <f>IF(ISNUMBER(tblData[NZ]),tblData[NZ]/NZPopscale,"")</f>
        <v>1353.7284894837476</v>
      </c>
      <c r="DC81" s="11">
        <f ca="1">IF(tblData[[#This Row],[Dates]]&lt;StartDt2NZ,"",tblData[[#This Row],[Dates]]-NZStart)</f>
        <v>33</v>
      </c>
      <c r="DD81" s="20">
        <f ca="1">IF(AND(tblData[Dates]&gt;StartDt2NZ,ISNUMBER(tblData[Days'# NZ])),betaNZ/(deltaNZ+betaPodeltaNZ*EXP(-betaNZ*tblData[Days'# NZ])),"")</f>
        <v>713.82300290086027</v>
      </c>
      <c r="DE81" s="95">
        <f ca="1">IF(AND(tblData[Dates]&gt;StartDt2NZ,ISNUMBER(tblData[NZ])),(tblData[[#This Row],[NZ LogiP(t)]]-tblData[[#This Row],[NZ]])^2,"")</f>
        <v>33.907362783427168</v>
      </c>
      <c r="DF81" s="20">
        <f ca="1">IF(AND(tblData[Dates]&gt;StartDt2NZ,ISNUMBER(tblData[Days'# NZ])),tblData[[#This Row],[NZ LogiP(t)]]/NZPopscale,"")</f>
        <v>1364.8623382425626</v>
      </c>
      <c r="DG81" s="95">
        <f ca="1">IF(AND(ISNUMBER(tblData[NZ]),tblData[Dates]&gt;StartDt2NZ),(tblData[NZ]-AVERAGE(tblData[NZ]))^2,"")</f>
        <v>363.30670339761036</v>
      </c>
      <c r="DH81" s="11">
        <f>tblData[[#This Row],[Dates]]-NZ100dt+1</f>
        <v>11</v>
      </c>
      <c r="DI81" s="39"/>
      <c r="DJ81" s="11"/>
      <c r="DM81" s="25"/>
      <c r="DP81"/>
      <c r="DV81" s="25"/>
      <c r="DW81"/>
      <c r="EA81" s="25"/>
      <c r="EH81"/>
      <c r="EI81"/>
      <c r="EJ81"/>
      <c r="EK81"/>
      <c r="EL81" s="25"/>
      <c r="EM81" s="25"/>
      <c r="EQ81" s="25"/>
      <c r="ER81" s="25"/>
      <c r="ES81" s="25"/>
      <c r="ET81" s="25"/>
      <c r="EY81" s="46"/>
      <c r="FF81"/>
      <c r="FG81"/>
      <c r="FH81"/>
      <c r="FI81"/>
      <c r="FJ81"/>
      <c r="FK81"/>
      <c r="FL81"/>
      <c r="FO81" s="265" t="s">
        <v>153</v>
      </c>
      <c r="FP81" s="250">
        <v>43913.686701388891</v>
      </c>
      <c r="FQ81" s="156">
        <v>43855</v>
      </c>
      <c r="FR81" s="26">
        <v>43855</v>
      </c>
      <c r="FS81" s="211">
        <v>1</v>
      </c>
      <c r="FT81" s="25">
        <v>0.19304193258456839</v>
      </c>
      <c r="FU81" s="71">
        <v>7.7143821954333995E-7</v>
      </c>
      <c r="FV81" s="21">
        <v>9.0879985336590873E-3</v>
      </c>
      <c r="FW81" s="212">
        <v>250236.41257862665</v>
      </c>
      <c r="FX81" s="212">
        <v>4.8079619102153499</v>
      </c>
      <c r="FY81" s="212"/>
      <c r="FZ81" s="213">
        <v>21.241412491295243</v>
      </c>
      <c r="GA81" s="213">
        <v>7.7143821954333994E-4</v>
      </c>
      <c r="GB81" s="156">
        <v>43913</v>
      </c>
      <c r="GC81" s="25" t="s">
        <v>994</v>
      </c>
      <c r="GD81" s="212">
        <v>250236.41257862665</v>
      </c>
      <c r="GE81" s="212">
        <v>669</v>
      </c>
      <c r="GF81" s="25" t="s">
        <v>995</v>
      </c>
      <c r="GG81" s="156">
        <v>43913</v>
      </c>
      <c r="GH81" s="25">
        <v>59</v>
      </c>
      <c r="GI81" s="25" t="s">
        <v>996</v>
      </c>
      <c r="GJ81" s="25"/>
      <c r="GK81" s="25" t="s">
        <v>997</v>
      </c>
      <c r="GM81" s="25" t="s">
        <v>998</v>
      </c>
      <c r="GN81" s="20">
        <v>827.97029702970292</v>
      </c>
      <c r="GO81" s="156"/>
      <c r="GP81" s="218"/>
      <c r="GQ81" s="156"/>
      <c r="GR81" s="25"/>
      <c r="GS81" s="25" t="s">
        <v>993</v>
      </c>
      <c r="GT81" s="11"/>
      <c r="GU81" s="12"/>
      <c r="GV81" s="26"/>
      <c r="GW81" s="25"/>
      <c r="GX81" s="219"/>
      <c r="GY81" s="25"/>
      <c r="GZ81" s="25"/>
    </row>
    <row r="82" spans="2:238" x14ac:dyDescent="0.25">
      <c r="B82" s="26">
        <v>43923</v>
      </c>
      <c r="D82" s="25">
        <v>87</v>
      </c>
      <c r="E82">
        <v>2298</v>
      </c>
      <c r="F82">
        <v>21</v>
      </c>
      <c r="G82">
        <v>835</v>
      </c>
      <c r="H82">
        <v>385</v>
      </c>
      <c r="I82">
        <v>74</v>
      </c>
      <c r="J82">
        <v>1036</v>
      </c>
      <c r="K82">
        <v>400</v>
      </c>
      <c r="L82" s="11">
        <f>IF(ISNUMBER(tblData[[#This Row],[NSW]]),tblData[[#This Row],[New South Wales]]/NSWpopscale,"")</f>
        <v>2844.0594059405939</v>
      </c>
      <c r="M82" s="25">
        <v>115242</v>
      </c>
      <c r="N82" s="20">
        <f>IF(ISNUMBER(tblData[Italy]),tblData[Italy]/ItalyPopscale,"")</f>
        <v>19052.988344217574</v>
      </c>
      <c r="O82" s="25">
        <v>243622</v>
      </c>
      <c r="P82" s="20">
        <f>IF(ISNUMBER(tblData[US]),tblData[US]/USPopscale,"")</f>
        <v>7399.8015950939935</v>
      </c>
      <c r="Q82" s="11">
        <v>9976</v>
      </c>
      <c r="R82" s="20">
        <f>IF(ISNUMBER(tblData[SKorea]),tblData[SKorea]/SKoreaPopscale,"")</f>
        <v>1940.8560311284048</v>
      </c>
      <c r="S82">
        <v>34173</v>
      </c>
      <c r="T82" s="20">
        <f>IF(ISNUMBER(tblData[United Kingdom]),tblData[United Kingdom]/UKPopscale,"")</f>
        <v>5143.4376881396747</v>
      </c>
      <c r="U82">
        <v>82432</v>
      </c>
      <c r="V82" s="20">
        <f>IF(ISNUMBER(tblData[China]),tblData[China]/ChinaPopscale,"")</f>
        <v>572.71339065269501</v>
      </c>
      <c r="W82" s="25">
        <f ca="1">IF(tblData[[#This Row],[Dates]]&lt;StartDt2China,"",tblData[[#This Row],[Dates]]-ChinaStart)</f>
        <v>71</v>
      </c>
      <c r="X82" s="20">
        <v>1049</v>
      </c>
      <c r="Y82" s="20">
        <f>IF(ISNUMBER(tblData[Singapore]),tblData[Singapore]/SingaporePopscale,"")</f>
        <v>1793.1623931623933</v>
      </c>
      <c r="Z82">
        <v>3849</v>
      </c>
      <c r="AA82" s="20">
        <f>IF(AND(LEN(tblData[Generic])&gt;0,ISNUMBER(tblData[Generic])),tblData[Generic]/GenericPopscale,"")</f>
        <v>7855.1020408163267</v>
      </c>
      <c r="AB82" s="25">
        <f ca="1">IF(tblData[[#This Row],[Dates]]&lt;StartDt2Italy,"",tblData[[#This Row],[Dates]]-ItalyStart)</f>
        <v>63</v>
      </c>
      <c r="AC82" s="25">
        <f ca="1">IF(tblData[[#This Row],[Dates]]&lt;=StartDt2US,"",tblData[[#This Row],[Dates]]-USStart)</f>
        <v>71</v>
      </c>
      <c r="AD82" s="25">
        <f>IF(tblData[[#This Row],[Dates]]&lt;=SKoreaStart,"",tblData[[#This Row],[Dates]]-SKoreaStart)</f>
        <v>71</v>
      </c>
      <c r="AE82" s="25">
        <f ca="1">IF(tblData[[#This Row],[Dates]]&lt;=StartDt2UK,"",tblData[[#This Row],[Dates]]-UKStart)</f>
        <v>63</v>
      </c>
      <c r="AF82" s="25">
        <f ca="1">IF(tblData[[#This Row],[Dates]]&lt;StartDt2Singapore,"",tblData[[#This Row],[Dates]]-SingaporeStart)</f>
        <v>70</v>
      </c>
      <c r="AG82" s="25">
        <f>IF(tblData[[#This Row],[Dates]]&lt;StartDt2Generic,"",tblData[[#This Row],[Dates]]-GenericStart)</f>
        <v>33</v>
      </c>
      <c r="AH82">
        <f ca="1">IF(tblData[Dates]&gt;StartDt2Au,tblData[Dates]-AuStart,"")</f>
        <v>68</v>
      </c>
      <c r="AI82" s="25">
        <f>IF(AND(COUNTBLANK(tblData[[#This Row],[Australian Capital Territory]:[Western Australia]])&lt;1,tblData[New South Wales]&gt;=0),SUM(tblData[[#This Row],[Australian Capital Territory]:[Western Australia]]),"")</f>
        <v>5136</v>
      </c>
      <c r="AJ82" s="12">
        <f>IF(ISNUMBER(tblData[Au]),tblData[Au]/AuPopScale,"")</f>
        <v>2024.9172054880933</v>
      </c>
      <c r="AK82" s="11">
        <f ca="1">IF(ISNUMBER(tblData[[#This Row],[Day'# Aust]]),betaAu/(deltaAu+betaPodeltaAu*EXP(-betaAu*tblData[[#This Row],[Day'# Aust]])),"")</f>
        <v>5125.2636955052285</v>
      </c>
      <c r="AL82" s="56">
        <f ca="1">IF(ISNUMBER(tblData[Day'# Aust]),tblData[Au LogiP(t)]/AuPopScale,"")</f>
        <v>2020.6843145817807</v>
      </c>
      <c r="AM82" s="11">
        <f ca="1">IF(AND(tblData[Dates]&gt;StartDt2Au,ISNUMBER(tblData[Au])),(tblData[[#This Row],[Au LogiP(t)]]-tblData[[#This Row],[Au]])^2,"")</f>
        <v>115.26823420445076</v>
      </c>
      <c r="AN82" s="11">
        <f ca="1">IF(AND(ISNUMBER(tblData[Au]),tblData[Dates]&gt;StartDt2Au),(tblData[Au]-AVERAGE(tblData[Au]))^2,"")</f>
        <v>7220990.0961000007</v>
      </c>
      <c r="AO82" s="11">
        <f>tblData[[#This Row],[Dates]]-Au100dt</f>
        <v>18</v>
      </c>
      <c r="AP82">
        <f ca="1">IF(tblData[Dates]&gt;StartDt2NSW,tblData[Dates]-StartDt2NSW,"")</f>
        <v>68</v>
      </c>
      <c r="AQ82" s="25">
        <f>IF(tblData[[#This Row],[New South Wales]]&gt;0,tblData[[#This Row],[New South Wales]],"")</f>
        <v>2298</v>
      </c>
      <c r="AR82" s="11">
        <f ca="1">IF(tblData[Dates]&gt;StartDt2NSW,betaNSW/(deltaNSW+betaPodeltaNSW*EXP(-betaNSW*tblData[[#This Row],[Day '# NSW]])),"")</f>
        <v>2305.0423799122341</v>
      </c>
      <c r="AS82" s="12">
        <f ca="1">IF(AND(ISNUMBER(tblData[NSW]),tblData[Dates]&gt;StartDt2NSW),(tblData[[#This Row],[NSW LogiP(t)]]-tblData[[#This Row],[NSW]])^2,"")</f>
        <v>49.595114828238124</v>
      </c>
      <c r="AT82" s="12">
        <f ca="1">IF(AND(tblData[Dates]&gt;StartDt2NSW,ISNUMBER(tblData[Day'# Aust])),tblData[NSW LogiP(t)]/NSWpopscale,"")</f>
        <v>2852.7752226636558</v>
      </c>
      <c r="AU82" s="11">
        <f>tblData[[#This Row],[Dates]]-NSW100dt+1</f>
        <v>21</v>
      </c>
      <c r="AV82" s="11">
        <f ca="1">IF(AND(ISNUMBER(tblData[NSW]),tblData[Dates]&gt;StartDt2NSW),(tblData[NSW]-AVERAGE(tblData[NSW]))^2,"")</f>
        <v>1448989.9876000001</v>
      </c>
      <c r="AW82" s="11">
        <f ca="1">IF(AND(tblData[Dates]&gt;StartDt2Italy,ISNUMBER(tblData[Days'# Italy])),betaItaly/(deltaItaly+betaPodeltaItaly*EXP(-betaItaly*tblData[Days'# Italy])),"")</f>
        <v>154718.48040662319</v>
      </c>
      <c r="AX82" s="11">
        <f ca="1">IF(AND(tblData[Dates]&gt;StartDt2Italy,ISNUMBER(tblData[Italy])),(tblData[[#This Row],[Italy LogiP(t)]]-tblData[[#This Row],[Italy]])^2,"")</f>
        <v>1558392505.2945044</v>
      </c>
      <c r="AY82" s="11">
        <f ca="1">IF(AND(tblData[Dates]&gt;StartDt2Italy,ISNUMBER(tblData[Days'# Italy])),tblData[[#This Row],[Italy LogiP(t)]]/ItalyPopscale,"")</f>
        <v>25579.6446071957</v>
      </c>
      <c r="AZ82" s="39">
        <f ca="1">IF(AND(ISNUMBER(tblData[Italy]),tblData[Dates]&gt;StartDt2Italy),(tblData[Italy]-AVERAGE(tblData[Italy]))^2,"")</f>
        <v>2069648862.7932329</v>
      </c>
      <c r="BA82" s="11">
        <f>tblData[[#This Row],[Dates]]-Italy100dt+1</f>
        <v>36</v>
      </c>
      <c r="BB82" s="11">
        <f ca="1">IF(AND(tblData[Dates]&gt;StartDt2US,ISNUMBER(tblData[[#This Row],[Days'# US]])),betaUS/(deltaUS+betaPodeltaUS*EXP(-betaUS*tblData[Days'# US])),"")</f>
        <v>332479.27442884399</v>
      </c>
      <c r="BC82" s="11">
        <f ca="1">IF(AND(tblData[Dates]&gt;StartDt2US,ISNUMBER(tblData[US])),(tblData[[#This Row],[US LogiP(t)]]-tblData[US])^2,"")</f>
        <v>7895615218.9228916</v>
      </c>
      <c r="BD82" s="20">
        <f ca="1">IF(AND(tblData[Dates]&gt;=StartDt2US,ISNUMBER(tblData[[#This Row],[Days'# US]])),tblData[[#This Row],[US LogiP(t)]]/USPopscale,"")</f>
        <v>10098.762284417062</v>
      </c>
      <c r="BE82" s="126">
        <f ca="1">IF(AND(ISNUMBER(tblData[US]),tblData[Dates]&gt;StartDt2US),(tblData[US]-AVERAGE(tblData[US]))^2,"")</f>
        <v>387253394.49144554</v>
      </c>
      <c r="BF82" s="11">
        <f>tblData[[#This Row],[Dates]]-US100dt+1</f>
        <v>19</v>
      </c>
      <c r="BG82" s="20">
        <f ca="1">IF(tblData[Dates]&gt;StartDt2SKorea,betaSKorea/(deltaSKorea+betaPodeltaSKorea*EXP(-betaSKorea*(tblData[Dates]-StartDt2SKorea))),"")</f>
        <v>10165.42087419539</v>
      </c>
      <c r="BH82" s="20">
        <f ca="1">IF(AND(tblData[Dates]&gt;StartDt2SKorea,ISNUMBER(tblData[SKorea])),(tblData[[#This Row],[SKorea LogiP(t)]]-tblData[[#This Row],[SKorea]])^2,"")</f>
        <v>35880.267580945707</v>
      </c>
      <c r="BI82" s="20">
        <f ca="1">IF(tblData[Dates]&gt;StartDt2SKorea,tblData[[#This Row],[SKorea LogiP(t)]]/SKoreaPopscale,"")</f>
        <v>1977.7083412831498</v>
      </c>
      <c r="BJ82" s="126">
        <f ca="1">IF(AND(ISNUMBER(tblData[SKorea]),tblData[Dates]&gt;StartDt2SKorea),(tblData[SKorea]-AVERAGE(tblData[SKorea]))^2,"")</f>
        <v>17236010.49173395</v>
      </c>
      <c r="BK82" s="11">
        <f>tblData[[#This Row],[Dates]]-SKorea100dt+1</f>
        <v>40</v>
      </c>
      <c r="BL82" s="11">
        <f ca="1">IF(AND(tblData[Dates]&gt;StartDt2UK,ISNUMBER(tblData[Days'# UK])),betaUK/(deltaUK+betaPodeltaUK*EXP(-betaUK*tblData[Days'# UK])),"")</f>
        <v>42224.828895727333</v>
      </c>
      <c r="BM82" s="61">
        <f ca="1">IF(AND(tblData[Dates]&gt;StartDt2UK,ISNUMBER(tblData[United Kingdom])),(tblData[[#This Row],[UK LogiP(t)]]-tblData[[#This Row],[United Kingdom]])^2,"")</f>
        <v>64831948.566069633</v>
      </c>
      <c r="BN82" s="11">
        <f ca="1">IF(ISNUMBER(tblData[Days'# UK]),tblData[[#This Row],[UK LogiP(t)]]/UKPopscale,"")</f>
        <v>6355.3324647392128</v>
      </c>
      <c r="BO82" s="126">
        <f ca="1">IF(AND(ISNUMBER(tblData[United Kingdom]),tblData[Dates]&gt;StartDt2UK),(tblData[United Kingdom]-AVERAGE(tblData[United Kingdom]))^2,"")</f>
        <v>14394678.171231333</v>
      </c>
      <c r="BP82" s="11">
        <f>tblData[[#This Row],[Dates]]-UK100dt</f>
        <v>21</v>
      </c>
      <c r="BQ82" s="11">
        <f ca="1">IF(ISNUMBER(tblData[Days'# China]),betaChina/(deltaChina+betaPodeltaChina*EXP(-betaChina*tblData[Days'# China])),"")</f>
        <v>82124.505810178845</v>
      </c>
      <c r="BR82" s="11">
        <f ca="1">IF(ISNUMBER(tblData[China]),(tblData[[#This Row],[China LogiP(t)]]-tblData[[#This Row],[China]])^2,"")</f>
        <v>94552.676773768238</v>
      </c>
      <c r="BS82" s="11">
        <f ca="1">tblData[[#This Row],[China LogiP(t)]]/ChinaPopscale</f>
        <v>570.57701109065022</v>
      </c>
      <c r="BT82" s="126">
        <f ca="1">IF(AND(ISNUMBER(tblData[China]),tblData[Dates]&gt;StartDt2China),(tblData[China]-AVERAGE(tblData[China]))^2,"")</f>
        <v>231877651.98615897</v>
      </c>
      <c r="BU82" s="11">
        <f>tblData[[#This Row],[Dates]]-China100dt</f>
        <v>60</v>
      </c>
      <c r="BV82" s="95">
        <f ca="1">IF(ISNUMBER(tblData[Day'# Singapore]),betaSingapore/(deltaSingapore+betaPodeltaSingapore*EXP(-betaSingapore*tblData[Day'# Singapore])),"")</f>
        <v>786.38344930979986</v>
      </c>
      <c r="BW82" s="11">
        <f ca="1">IF(AND(ISNUMBER(tblData[Singapore]),tblData[Dates]&gt;=StartDt2Singapore),(tblData[[#This Row],[Singapore LogiP(t)]]-tblData[[#This Row],[Singapore]])^2,"")</f>
        <v>68967.452696418462</v>
      </c>
      <c r="BX82" s="20">
        <f ca="1">IF(ISNUMBER(tblData[Day'# Singapore]),tblData[Singapore LogiP(t)]/SingaporePopscale,"")</f>
        <v>1344.2452124953845</v>
      </c>
      <c r="BY82" s="95">
        <f ca="1">IF(AND(ISNUMBER(tblData[Singapore]),tblData[Dates]&gt;StartDt2Singapore),(tblData[Singapore]-AVERAGE(tblData[Singapore]))^2,"")</f>
        <v>1617485.2149173399</v>
      </c>
      <c r="BZ82" s="11">
        <f>tblData[[#This Row],[Dates]]-Singapore100dt+1</f>
        <v>49</v>
      </c>
      <c r="CA82" s="44">
        <f>IF(AND(tblData[Dates]&gt;StartDt2Generic,ISNUMBER(tblData[Day'# Generic])),betaGeneric/(deltaGeneric+betaPodeltaGeneric*EXP(-betaGeneric*tblData[Day'# Generic])),"")</f>
        <v>3733.5689819917693</v>
      </c>
      <c r="CB82" s="95">
        <f>IF(AND(ISNUMBER(tblData[Day'# Generic]),tblData[Dates]&gt;StartDt2Generic),(tblData[Generic LogiP(t)]-tblData[[#This Row],[Generic]])^2,"")</f>
        <v>13324.319918416479</v>
      </c>
      <c r="CC82" s="11">
        <f>IF(AND(ISNUMBER(tblData[Day'# Generic]),tblData[Dates]&gt;StartDt2Generic),tblData[Generic LogiP(t)]/GenericPopscale,"")</f>
        <v>7619.5285346770806</v>
      </c>
      <c r="CD82" s="95">
        <f>IF(AND(ISNUMBER(tblData[Generic]),tblData[Dates]&gt;StartDt2Generic),(tblData[Generic]-AVERAGE(tblData[Generic]))^2,"")</f>
        <v>7753483.0885207094</v>
      </c>
      <c r="CE82" s="11">
        <f>tblData[[#This Row],[Dates]]-Generic100dt+1</f>
        <v>21</v>
      </c>
      <c r="CF82" s="11">
        <v>108239</v>
      </c>
      <c r="CG82" s="11"/>
      <c r="CH82" s="11">
        <f>IF(ISNUMBER(tblData[[#This Row],[Tests]]),tblData[[#This Row],[Tests]]-CF81,"")</f>
        <v>4878</v>
      </c>
      <c r="CI82" s="11" t="str">
        <f>IF(ISNUMBER(tblData[[#This Row],[NSW Under Investigation'']]),tblData[[#This Row],[NSW Under Investigation'']]-CG81,"")</f>
        <v/>
      </c>
      <c r="CJ82" s="11">
        <f t="shared" si="2"/>
        <v>28</v>
      </c>
      <c r="CK82" s="11">
        <f>IF(AND(tblData[[#This Row],[NSW Test Day Number]]&gt;0,ISNUMBER(tblData[[#This Row],[NSW Test Day Number]])),betaTests/(deltaTests+betaPodeltaTests*EXP(-betaTests*tblData[[#This Row],[NSW Test Day Number]])),"")</f>
        <v>134485.97433123828</v>
      </c>
      <c r="CL82" s="11">
        <f>IF(tblData[Tests]&gt;0,(tblData[[#This Row],[Tests]]-tblData[[#This Row],[NSW Test Logi]])^2,"")</f>
        <v>688903661.54468107</v>
      </c>
      <c r="CM82" s="95">
        <f>IF(AND(ISNUMBER(tblData[Tests]),tblData[Dates]&gt;StartDt2Tests),(tblData[Tests]-AVERAGE(tblData[Tests]))^2,"")</f>
        <v>4335359.209709825</v>
      </c>
      <c r="CN82" s="11">
        <f>IF(ISNUMBER(tblData[Tests]),tblData[Tests]/NSWpopscale/100,"")</f>
        <v>1339.5915841584158</v>
      </c>
      <c r="CO82" s="95">
        <f ca="1">IF(AND(tblData[[#This Row],[NSW Test Day Number]]&gt;0,ISNUMBER(tblData[[#This Row],[NSW Test Day Number]])),TestsLogestB*TestsLogestM^tblData[[#This Row],[NSW Test Day Number]],"")</f>
        <v>67785.462705517522</v>
      </c>
      <c r="CP82" s="11">
        <f>IF(AND(tblData[[#This Row],[NSW Test Day Number]]&gt;0,ISNUMBER(tblData[Tests])),(tblData[Tests]-tblData[[#This Row],[NSW Test Per Capita]])^2,"")</f>
        <v>11427483519.656902</v>
      </c>
      <c r="CQ82" s="20">
        <f ca="1">IF(AND(tblData[Day '# NSW]&gt;0,ISNUMBER(tblData[[#This Row],[Day '# NSW]])),NSWLogestB*NSWLogestM^tblData[[#This Row],[Day '# NSW]]/NSWpopscale,"")</f>
        <v>981.1854755211782</v>
      </c>
      <c r="CR82" s="39">
        <f ca="1">IF(AND(ISNUMBER(tblData[NSW]),tblData[Dates]&gt;StartDt2NSW),(tblData[NSW]/NSWpopscale-tblData[[#This Row],[NSW Cases LogEst]])^2,"")</f>
        <v>3470299.2806362822</v>
      </c>
      <c r="CS82" s="11">
        <v>339</v>
      </c>
      <c r="CT82" s="19">
        <f>IF(ISNUMBER(tblData[Taiwan]),tblData[Taiwan]/TaiwanPopscale,"")</f>
        <v>142.39340719364773</v>
      </c>
      <c r="CU82" s="11">
        <f ca="1">IF(tblData[[#This Row],[Dates]]&lt;StartDt2Taiwan,"",tblData[[#This Row],[Dates]]-TaiwanStart)</f>
        <v>71</v>
      </c>
      <c r="CV82" s="19">
        <f ca="1">IF(AND(tblData[Dates]&gt;StartDt2Taiwan,ISNUMBER(tblData[Days'# Taiwan])),betaTaiwan/(deltaTaiwan+betaPodeltaTaiwan*EXP(-betaTaiwan*tblData[Days'# Taiwan])),"")</f>
        <v>332.44126459093059</v>
      </c>
      <c r="CW82" s="95">
        <f ca="1">IF(AND(tblData[Dates]&gt;StartDt2Taiwan,ISNUMBER(tblData[Taiwan])),(tblData[[#This Row],[Taiwan LogiP(t)]]-tblData[[#This Row],[Taiwan]])^2,"")</f>
        <v>43.017010166180924</v>
      </c>
      <c r="CX82" s="20">
        <f ca="1">IF(AND(tblData[Dates]&gt;StartDt2Taiwan,ISNUMBER(tblData[Days'# Taiwan])),tblData[[#This Row],[Taiwan LogiP(t)]]/TaiwanPopscale,"")</f>
        <v>139.63847892881287</v>
      </c>
      <c r="CY82" s="95">
        <f ca="1">IF(AND(ISNUMBER(tblData[Taiwan]),tblData[Dates]&gt;StartDt2Taiwan),(tblData[Taiwan]-AVERAGE(tblData[Taiwan]))^2,"")</f>
        <v>28713.634755863124</v>
      </c>
      <c r="CZ82" s="11">
        <f>tblData[[#This Row],[Dates]]-Taiwan100dt+1</f>
        <v>8</v>
      </c>
      <c r="DA82" s="11">
        <v>797</v>
      </c>
      <c r="DB82" s="20">
        <f>IF(ISNUMBER(tblData[NZ]),tblData[NZ]/NZPopscale,"")</f>
        <v>1523.9005736137667</v>
      </c>
      <c r="DC82" s="11">
        <f ca="1">IF(tblData[[#This Row],[Dates]]&lt;StartDt2NZ,"",tblData[[#This Row],[Dates]]-NZStart)</f>
        <v>34</v>
      </c>
      <c r="DD82" s="20">
        <f ca="1">IF(AND(tblData[Dates]&gt;StartDt2NZ,ISNUMBER(tblData[Days'# NZ])),betaNZ/(deltaNZ+betaPodeltaNZ*EXP(-betaNZ*tblData[Days'# NZ])),"")</f>
        <v>798.72588554326671</v>
      </c>
      <c r="DE82" s="95">
        <f ca="1">IF(AND(tblData[Dates]&gt;StartDt2NZ,ISNUMBER(tblData[NZ])),(tblData[[#This Row],[NZ LogiP(t)]]-tblData[[#This Row],[NZ]])^2,"")</f>
        <v>2.9786809084570383</v>
      </c>
      <c r="DF82" s="20">
        <f ca="1">IF(AND(tblData[Dates]&gt;StartDt2NZ,ISNUMBER(tblData[Days'# NZ])),tblData[[#This Row],[NZ LogiP(t)]]/NZPopscale,"")</f>
        <v>1527.2005459718291</v>
      </c>
      <c r="DG82" s="95">
        <f ca="1">IF(AND(ISNUMBER(tblData[NZ]),tblData[Dates]&gt;StartDt2NZ),(tblData[NZ]-AVERAGE(tblData[NZ]))^2,"")</f>
        <v>11677.09458218548</v>
      </c>
      <c r="DH82" s="11">
        <f>tblData[[#This Row],[Dates]]-NZ100dt+1</f>
        <v>12</v>
      </c>
      <c r="DI82" s="39"/>
      <c r="DJ82" s="11"/>
      <c r="DM82" s="25"/>
      <c r="DP82"/>
      <c r="DV82" s="25"/>
      <c r="DW82"/>
      <c r="EA82" s="25"/>
      <c r="EH82"/>
      <c r="EI82"/>
      <c r="EJ82"/>
      <c r="EK82"/>
      <c r="EL82" s="25"/>
      <c r="EM82" s="25"/>
      <c r="EQ82" s="25"/>
      <c r="ER82" s="25"/>
      <c r="ES82" s="25"/>
      <c r="ET82" s="25"/>
      <c r="EV82" s="46"/>
      <c r="EW82" s="46"/>
      <c r="EX82" s="46"/>
      <c r="FF82"/>
      <c r="FG82"/>
      <c r="FH82"/>
      <c r="FI82"/>
      <c r="FJ82"/>
      <c r="FK82"/>
      <c r="FL82"/>
      <c r="FO82" s="265" t="s">
        <v>153</v>
      </c>
      <c r="FP82" s="250">
        <v>43913.916145833333</v>
      </c>
      <c r="FQ82" s="156">
        <v>43855</v>
      </c>
      <c r="FR82" s="26">
        <v>43855</v>
      </c>
      <c r="FS82" s="211">
        <v>1</v>
      </c>
      <c r="FT82" s="25">
        <v>0.19833894448440331</v>
      </c>
      <c r="FU82" s="25">
        <v>1.0000000000276037E-12</v>
      </c>
      <c r="FV82" s="21">
        <v>6.8604805376862562E-3</v>
      </c>
      <c r="FW82" s="212">
        <v>198338944478.92844</v>
      </c>
      <c r="FX82" s="212">
        <v>6.5477230241247009</v>
      </c>
      <c r="FY82" s="212"/>
      <c r="FZ82" s="213">
        <v>28.910357429756317</v>
      </c>
      <c r="GA82" s="213">
        <v>1.0000000000276037E-9</v>
      </c>
      <c r="GB82" s="156">
        <v>43913</v>
      </c>
      <c r="GC82" s="25" t="s">
        <v>1019</v>
      </c>
      <c r="GD82" s="212">
        <v>198338944478.92786</v>
      </c>
      <c r="GE82" s="212">
        <v>704</v>
      </c>
      <c r="GF82" s="25" t="s">
        <v>1020</v>
      </c>
      <c r="GG82" s="156">
        <v>43913</v>
      </c>
      <c r="GH82" s="25">
        <v>59</v>
      </c>
      <c r="GI82" s="25" t="s">
        <v>1021</v>
      </c>
      <c r="GJ82" s="25"/>
      <c r="GK82" s="25" t="s">
        <v>1022</v>
      </c>
      <c r="GM82" s="25" t="s">
        <v>1023</v>
      </c>
      <c r="GN82" s="20">
        <v>871.28712871287121</v>
      </c>
      <c r="GO82" s="156"/>
      <c r="GP82" s="218"/>
      <c r="GQ82" s="156"/>
      <c r="GR82" s="25"/>
      <c r="GS82" s="25" t="s">
        <v>1018</v>
      </c>
      <c r="GT82" s="11"/>
      <c r="GU82" s="12"/>
      <c r="GV82" s="26"/>
      <c r="GW82" s="25"/>
      <c r="GX82" s="219"/>
      <c r="GY82" s="46"/>
      <c r="GZ82" s="46"/>
    </row>
    <row r="83" spans="2:238" x14ac:dyDescent="0.25">
      <c r="B83" s="26">
        <v>43924</v>
      </c>
      <c r="D83" s="25">
        <v>91</v>
      </c>
      <c r="E83">
        <v>2389</v>
      </c>
      <c r="F83">
        <v>26</v>
      </c>
      <c r="G83">
        <v>873</v>
      </c>
      <c r="H83">
        <v>396</v>
      </c>
      <c r="I83">
        <f>TST!O83</f>
        <v>80</v>
      </c>
      <c r="J83">
        <v>1085</v>
      </c>
      <c r="K83">
        <v>422</v>
      </c>
      <c r="L83" s="11">
        <f>IF(ISNUMBER(tblData[[#This Row],[NSW]]),tblData[[#This Row],[New South Wales]]/NSWpopscale,"")</f>
        <v>2956.6831683168316</v>
      </c>
      <c r="M83" s="25">
        <v>119827</v>
      </c>
      <c r="N83" s="20">
        <f>IF(ISNUMBER(tblData[Italy]),tblData[Italy]/ItalyPopscale,"")</f>
        <v>19811.027527486156</v>
      </c>
      <c r="O83" s="25">
        <v>275367</v>
      </c>
      <c r="P83" s="20">
        <f>IF(ISNUMBER(tblData[US]),tblData[US]/USPopscale,"")</f>
        <v>8364.0277390229439</v>
      </c>
      <c r="Q83" s="11">
        <v>10062</v>
      </c>
      <c r="R83" s="20">
        <f>IF(ISNUMBER(tblData[SKorea]),tblData[SKorea]/SKoreaPopscale,"")</f>
        <v>1957.5875486381324</v>
      </c>
      <c r="S83">
        <v>38689</v>
      </c>
      <c r="T83" s="20">
        <f>IF(ISNUMBER(tblData[United Kingdom]),tblData[United Kingdom]/UKPopscale,"")</f>
        <v>5823.1487055990365</v>
      </c>
      <c r="U83">
        <v>82511</v>
      </c>
      <c r="V83" s="20">
        <f>IF(ISNUMBER(tblData[China]),tblData[China]/ChinaPopscale,"")</f>
        <v>573.26225951262268</v>
      </c>
      <c r="W83" s="25">
        <f ca="1">IF(tblData[[#This Row],[Dates]]&lt;StartDt2China,"",tblData[[#This Row],[Dates]]-ChinaStart)</f>
        <v>72</v>
      </c>
      <c r="X83" s="20">
        <v>1114</v>
      </c>
      <c r="Y83" s="20">
        <f>IF(ISNUMBER(tblData[Singapore]),tblData[Singapore]/SingaporePopscale,"")</f>
        <v>1904.2735042735044</v>
      </c>
      <c r="Z83">
        <v>4273</v>
      </c>
      <c r="AA83" s="20">
        <f>IF(AND(LEN(tblData[Generic])&gt;0,ISNUMBER(tblData[Generic])),tblData[Generic]/GenericPopscale,"")</f>
        <v>8720.4081632653069</v>
      </c>
      <c r="AB83" s="25">
        <f ca="1">IF(tblData[[#This Row],[Dates]]&lt;StartDt2Italy,"",tblData[[#This Row],[Dates]]-ItalyStart)</f>
        <v>64</v>
      </c>
      <c r="AC83" s="25">
        <f ca="1">IF(tblData[[#This Row],[Dates]]&lt;=StartDt2US,"",tblData[[#This Row],[Dates]]-USStart)</f>
        <v>72</v>
      </c>
      <c r="AD83" s="25">
        <f>IF(tblData[[#This Row],[Dates]]&lt;=SKoreaStart,"",tblData[[#This Row],[Dates]]-SKoreaStart)</f>
        <v>72</v>
      </c>
      <c r="AE83" s="25">
        <f ca="1">IF(tblData[[#This Row],[Dates]]&lt;=StartDt2UK,"",tblData[[#This Row],[Dates]]-UKStart)</f>
        <v>64</v>
      </c>
      <c r="AF83" s="25">
        <f ca="1">IF(tblData[[#This Row],[Dates]]&lt;StartDt2Singapore,"",tblData[[#This Row],[Dates]]-SingaporeStart)</f>
        <v>71</v>
      </c>
      <c r="AG83" s="25">
        <f>IF(tblData[[#This Row],[Dates]]&lt;StartDt2Generic,"",tblData[[#This Row],[Dates]]-GenericStart)</f>
        <v>34</v>
      </c>
      <c r="AH83">
        <f ca="1">IF(tblData[Dates]&gt;StartDt2Au,tblData[Dates]-AuStart,"")</f>
        <v>69</v>
      </c>
      <c r="AI83" s="25">
        <f>IF(AND(COUNTBLANK(tblData[[#This Row],[Australian Capital Territory]:[Western Australia]])&lt;1,tblData[New South Wales]&gt;=0),SUM(tblData[[#This Row],[Australian Capital Territory]:[Western Australia]]),"")</f>
        <v>5362</v>
      </c>
      <c r="AJ83" s="12">
        <f>IF(ISNUMBER(tblData[Au]),tblData[Au]/AuPopScale,"")</f>
        <v>2114.0198706828578</v>
      </c>
      <c r="AK83" s="11">
        <f ca="1">IF(ISNUMBER(tblData[[#This Row],[Day'# Aust]]),betaAu/(deltaAu+betaPodeltaAu*EXP(-betaAu*tblData[[#This Row],[Day'# Aust]])),"")</f>
        <v>5373.8931498413467</v>
      </c>
      <c r="AL83" s="56">
        <f ca="1">IF(ISNUMBER(tblData[Day'# Aust]),tblData[Au LogiP(t)]/AuPopScale,"")</f>
        <v>2118.7088589502237</v>
      </c>
      <c r="AM83" s="11">
        <f ca="1">IF(AND(tblData[Dates]&gt;StartDt2Au,ISNUMBER(tblData[Au])),(tblData[[#This Row],[Au LogiP(t)]]-tblData[[#This Row],[Au]])^2,"")</f>
        <v>141.44701314872532</v>
      </c>
      <c r="AN83" s="11">
        <f ca="1">IF(AND(ISNUMBER(tblData[Au]),tblData[Dates]&gt;StartDt2Au),(tblData[Au]-AVERAGE(tblData[Au]))^2,"")</f>
        <v>8486675.9760999996</v>
      </c>
      <c r="AO83" s="11">
        <f>tblData[[#This Row],[Dates]]-Au100dt</f>
        <v>19</v>
      </c>
      <c r="AP83">
        <f ca="1">IF(tblData[Dates]&gt;StartDt2NSW,tblData[Dates]-StartDt2NSW,"")</f>
        <v>69</v>
      </c>
      <c r="AQ83" s="25">
        <f>IF(tblData[[#This Row],[New South Wales]]&gt;0,tblData[[#This Row],[New South Wales]],"")</f>
        <v>2389</v>
      </c>
      <c r="AR83" s="11">
        <f ca="1">IF(tblData[Dates]&gt;StartDt2NSW,betaNSW/(deltaNSW+betaPodeltaNSW*EXP(-betaNSW*tblData[[#This Row],[Day '# NSW]])),"")</f>
        <v>2418.6194229106804</v>
      </c>
      <c r="AS83" s="12">
        <f ca="1">IF(AND(ISNUMBER(tblData[NSW]),tblData[Dates]&gt;StartDt2NSW),(tblData[[#This Row],[NSW LogiP(t)]]-tblData[[#This Row],[NSW]])^2,"")</f>
        <v>877.31021356174142</v>
      </c>
      <c r="AT83" s="12">
        <f ca="1">IF(AND(tblData[Dates]&gt;StartDt2NSW,ISNUMBER(tblData[Day'# Aust])),tblData[NSW LogiP(t)]/NSWpopscale,"")</f>
        <v>2993.3408699389606</v>
      </c>
      <c r="AU83" s="11">
        <f>tblData[[#This Row],[Dates]]-NSW100dt+1</f>
        <v>22</v>
      </c>
      <c r="AV83" s="11">
        <f ca="1">IF(AND(ISNUMBER(tblData[NSW]),tblData[Dates]&gt;StartDt2NSW),(tblData[NSW]-AVERAGE(tblData[NSW]))^2,"")</f>
        <v>1676351.6676</v>
      </c>
      <c r="AW83" s="11">
        <f ca="1">IF(AND(tblData[Dates]&gt;StartDt2Italy,ISNUMBER(tblData[Days'# Italy])),betaItaly/(deltaItaly+betaPodeltaItaly*EXP(-betaItaly*tblData[Days'# Italy])),"")</f>
        <v>156161.35727459702</v>
      </c>
      <c r="AX83" s="11">
        <f ca="1">IF(AND(tblData[Dates]&gt;StartDt2Italy,ISNUMBER(tblData[Italy])),(tblData[[#This Row],[Italy LogiP(t)]]-tblData[[#This Row],[Italy]])^2,"")</f>
        <v>1320185518.5580611</v>
      </c>
      <c r="AY83" s="11">
        <f ca="1">IF(AND(tblData[Dates]&gt;StartDt2Italy,ISNUMBER(tblData[Days'# Italy])),tblData[[#This Row],[Italy LogiP(t)]]/ItalyPopscale,"")</f>
        <v>25818.195796411841</v>
      </c>
      <c r="AZ83" s="39">
        <f ca="1">IF(AND(ISNUMBER(tblData[Italy]),tblData[Dates]&gt;StartDt2Italy),(tblData[Italy]-AVERAGE(tblData[Italy]))^2,"")</f>
        <v>2507845507.2613182</v>
      </c>
      <c r="BA83" s="11">
        <f>tblData[[#This Row],[Dates]]-Italy100dt+1</f>
        <v>37</v>
      </c>
      <c r="BB83" s="11">
        <f ca="1">IF(AND(tblData[Dates]&gt;StartDt2US,ISNUMBER(tblData[[#This Row],[Days'# US]])),betaUS/(deltaUS+betaPodeltaUS*EXP(-betaUS*tblData[Days'# US])),"")</f>
        <v>389353.41366536421</v>
      </c>
      <c r="BC83" s="11">
        <f ca="1">IF(AND(tblData[Dates]&gt;StartDt2US,ISNUMBER(tblData[US])),(tblData[[#This Row],[US LogiP(t)]]-tblData[US])^2,"")</f>
        <v>12992902500.291527</v>
      </c>
      <c r="BD83" s="20">
        <f ca="1">IF(AND(tblData[Dates]&gt;=StartDt2US,ISNUMBER(tblData[[#This Row],[Days'# US]])),tblData[[#This Row],[US LogiP(t)]]/USPopscale,"")</f>
        <v>11826.263685119791</v>
      </c>
      <c r="BE83" s="126">
        <f ca="1">IF(AND(ISNUMBER(tblData[US]),tblData[Dates]&gt;StartDt2US),(tblData[US]-AVERAGE(tblData[US]))^2,"")</f>
        <v>2644402568.2169356</v>
      </c>
      <c r="BF83" s="11">
        <f>tblData[[#This Row],[Dates]]-US100dt+1</f>
        <v>20</v>
      </c>
      <c r="BG83" s="20">
        <f ca="1">IF(tblData[Dates]&gt;StartDt2SKorea,betaSKorea/(deltaSKorea+betaPodeltaSKorea*EXP(-betaSKorea*(tblData[Dates]-StartDt2SKorea))),"")</f>
        <v>10176.53247348277</v>
      </c>
      <c r="BH83" s="20">
        <f ca="1">IF(AND(tblData[Dates]&gt;StartDt2SKorea,ISNUMBER(tblData[SKorea])),(tblData[[#This Row],[SKorea LogiP(t)]]-tblData[[#This Row],[SKorea]])^2,"")</f>
        <v>13117.687482081414</v>
      </c>
      <c r="BI83" s="20">
        <f ca="1">IF(tblData[Dates]&gt;StartDt2SKorea,tblData[[#This Row],[SKorea LogiP(t)]]/SKoreaPopscale,"")</f>
        <v>1979.8701310277763</v>
      </c>
      <c r="BJ83" s="126">
        <f ca="1">IF(AND(ISNUMBER(tblData[SKorea]),tblData[Dates]&gt;StartDt2SKorea),(tblData[SKorea]-AVERAGE(tblData[SKorea]))^2,"")</f>
        <v>17957486.413302578</v>
      </c>
      <c r="BK83" s="11">
        <f>tblData[[#This Row],[Dates]]-SKorea100dt+1</f>
        <v>41</v>
      </c>
      <c r="BL83" s="11">
        <f ca="1">IF(AND(tblData[Dates]&gt;StartDt2UK,ISNUMBER(tblData[Days'# UK])),betaUK/(deltaUK+betaPodeltaUK*EXP(-betaUK*tblData[Days'# UK])),"")</f>
        <v>48828.800639646455</v>
      </c>
      <c r="BM83" s="61">
        <f ca="1">IF(AND(tblData[Dates]&gt;StartDt2UK,ISNUMBER(tblData[United Kingdom])),(tblData[[#This Row],[UK LogiP(t)]]-tblData[[#This Row],[United Kingdom]])^2,"")</f>
        <v>102815557.01177466</v>
      </c>
      <c r="BN83" s="11">
        <f ca="1">IF(ISNUMBER(tblData[Days'# UK]),tblData[[#This Row],[UK LogiP(t)]]/UKPopscale,"")</f>
        <v>7349.3077422706883</v>
      </c>
      <c r="BO83" s="126">
        <f ca="1">IF(AND(ISNUMBER(tblData[United Kingdom]),tblData[Dates]&gt;StartDt2UK),(tblData[United Kingdom]-AVERAGE(tblData[United Kingdom]))^2,"")</f>
        <v>521237.91591217637</v>
      </c>
      <c r="BP83" s="11">
        <f>tblData[[#This Row],[Dates]]-UK100dt</f>
        <v>22</v>
      </c>
      <c r="BQ83" s="11">
        <f ca="1">IF(ISNUMBER(tblData[Days'# China]),betaChina/(deltaChina+betaPodeltaChina*EXP(-betaChina*tblData[Days'# China])),"")</f>
        <v>82124.635556187</v>
      </c>
      <c r="BR83" s="11">
        <f ca="1">IF(ISNUMBER(tblData[China]),(tblData[[#This Row],[China LogiP(t)]]-tblData[[#This Row],[China]])^2,"")</f>
        <v>149277.48344292847</v>
      </c>
      <c r="BS83" s="11">
        <f ca="1">tblData[[#This Row],[China LogiP(t)]]/ChinaPopscale</f>
        <v>570.5779125279106</v>
      </c>
      <c r="BT83" s="126">
        <f ca="1">IF(AND(ISNUMBER(tblData[China]),tblData[Dates]&gt;StartDt2China),(tblData[China]-AVERAGE(tblData[China]))^2,"")</f>
        <v>234289842.63321778</v>
      </c>
      <c r="BU83" s="11">
        <f>tblData[[#This Row],[Dates]]-China100dt</f>
        <v>61</v>
      </c>
      <c r="BV83" s="95">
        <f ca="1">IF(ISNUMBER(tblData[Day'# Singapore]),betaSingapore/(deltaSingapore+betaPodeltaSingapore*EXP(-betaSingapore*tblData[Day'# Singapore])),"")</f>
        <v>888.99436197831051</v>
      </c>
      <c r="BW83" s="11">
        <f ca="1">IF(AND(ISNUMBER(tblData[Singapore]),tblData[Dates]&gt;=StartDt2Singapore),(tblData[[#This Row],[Singapore LogiP(t)]]-tblData[[#This Row],[Singapore]])^2,"")</f>
        <v>50627.53714154756</v>
      </c>
      <c r="BX83" s="20">
        <f ca="1">IF(ISNUMBER(tblData[Day'# Singapore]),tblData[Singapore LogiP(t)]/SingaporePopscale,"")</f>
        <v>1519.6484820142061</v>
      </c>
      <c r="BY83" s="95">
        <f ca="1">IF(AND(ISNUMBER(tblData[Singapore]),tblData[Dates]&gt;StartDt2Singapore),(tblData[Singapore]-AVERAGE(tblData[Singapore]))^2,"")</f>
        <v>1456375.7051134184</v>
      </c>
      <c r="BZ83" s="11">
        <f>tblData[[#This Row],[Dates]]-Singapore100dt+1</f>
        <v>50</v>
      </c>
      <c r="CA83" s="44">
        <f>IF(AND(tblData[Dates]&gt;StartDt2Generic,ISNUMBER(tblData[Day'# Generic])),betaGeneric/(deltaGeneric+betaPodeltaGeneric*EXP(-betaGeneric*tblData[Day'# Generic])),"")</f>
        <v>4164.419286566952</v>
      </c>
      <c r="CB83" s="95">
        <f>IF(AND(ISNUMBER(tblData[Generic]),tblData[Dates]&gt;StartDt2Generic),(tblData[Generic LogiP(t)]-tblData[[#This Row],[Generic]])^2,"")</f>
        <v>11789.771329629692</v>
      </c>
      <c r="CC83" s="11">
        <f>IF(AND(ISNUMBER(tblData[Day'# Generic]),tblData[Dates]&gt;StartDt2Generic),tblData[Generic LogiP(t)]/GenericPopscale,"")</f>
        <v>8498.8148705448002</v>
      </c>
      <c r="CD83" s="95">
        <f>IF(AND(ISNUMBER(tblData[Generic]),tblData[Dates]&gt;StartDt2Generic),(tblData[Generic]-AVERAGE(tblData[Generic]))^2,"")</f>
        <v>5571996.5654437868</v>
      </c>
      <c r="CE83" s="11">
        <f>tblData[[#This Row],[Dates]]-Generic100dt+1</f>
        <v>22</v>
      </c>
      <c r="CF83" s="11">
        <v>112066</v>
      </c>
      <c r="CG83" s="11"/>
      <c r="CH83" s="11">
        <f>IF(ISNUMBER(tblData[[#This Row],[Tests]]),tblData[[#This Row],[Tests]]-CF82,"")</f>
        <v>3827</v>
      </c>
      <c r="CI83" s="11" t="str">
        <f>IF(ISNUMBER(tblData[[#This Row],[NSW Under Investigation'']]),tblData[[#This Row],[NSW Under Investigation'']]-CG82,"")</f>
        <v/>
      </c>
      <c r="CJ83" s="11">
        <f t="shared" si="2"/>
        <v>29</v>
      </c>
      <c r="CK83" s="11">
        <f>IF(AND(tblData[[#This Row],[NSW Test Day Number]]&gt;0,ISNUMBER(tblData[[#This Row],[NSW Test Day Number]])),betaTests/(deltaTests+betaPodeltaTests*EXP(-betaTests*tblData[[#This Row],[NSW Test Day Number]])),"")</f>
        <v>139452.45509097862</v>
      </c>
      <c r="CL83" s="11">
        <f>IF(tblData[Tests]&gt;0,(tblData[[#This Row],[Tests]]-tblData[[#This Row],[NSW Test Logi]])^2,"")</f>
        <v>750017922.45018876</v>
      </c>
      <c r="CM83" s="95">
        <f>IF(AND(ISNUMBER(tblData[Tests]),tblData[Dates]&gt;StartDt2Tests),(tblData[Tests]-AVERAGE(tblData[Tests]))^2,"")</f>
        <v>34918083.769031808</v>
      </c>
      <c r="CN83" s="11">
        <f>IF(ISNUMBER(tblData[Tests]),tblData[Tests]/NSWpopscale/100,"")</f>
        <v>1386.9554455445543</v>
      </c>
      <c r="CO83" s="95">
        <f ca="1">IF(AND(tblData[[#This Row],[NSW Test Day Number]]&gt;0,ISNUMBER(tblData[[#This Row],[NSW Test Day Number]])),TestsLogestB*TestsLogestM^tblData[[#This Row],[NSW Test Day Number]],"")</f>
        <v>71853.365575400094</v>
      </c>
      <c r="CP83" s="11">
        <f>IF(AND(tblData[[#This Row],[NSW Test Day Number]]&gt;0,ISNUMBER(tblData[Tests])),(tblData[Tests]-tblData[[#This Row],[NSW Test Per Capita]])^2,"")</f>
        <v>12249850903.487133</v>
      </c>
      <c r="CQ83" s="20">
        <f ca="1">IF(AND(tblData[Day '# NSW]&gt;0,ISNUMBER(tblData[[#This Row],[Day '# NSW]])),NSWLogestB*NSWLogestM^tblData[[#This Row],[Day '# NSW]]/NSWpopscale,"")</f>
        <v>1080.2416755331508</v>
      </c>
      <c r="CR83" s="39">
        <f ca="1">IF(AND(ISNUMBER(tblData[NSW]),tblData[Dates]&gt;StartDt2NSW),(tblData[NSW]/NSWpopscale-tblData[[#This Row],[NSW Cases LogEst]])^2,"")</f>
        <v>3521032.6758402484</v>
      </c>
      <c r="CS83" s="11">
        <v>348</v>
      </c>
      <c r="CT83" s="19">
        <f>IF(ISNUMBER(tblData[Taiwan]),tblData[Taiwan]/TaiwanPopscale,"")</f>
        <v>146.1737631368419</v>
      </c>
      <c r="CU83" s="11">
        <f ca="1">IF(tblData[[#This Row],[Dates]]&lt;StartDt2Taiwan,"",tblData[[#This Row],[Dates]]-TaiwanStart)</f>
        <v>72</v>
      </c>
      <c r="CV83" s="19">
        <f ca="1">IF(AND(tblData[Dates]&gt;StartDt2Taiwan,ISNUMBER(tblData[Days'# Taiwan])),betaTaiwan/(deltaTaiwan+betaPodeltaTaiwan*EXP(-betaTaiwan*tblData[Days'# Taiwan])),"")</f>
        <v>342.78739179955539</v>
      </c>
      <c r="CW83" s="95">
        <f ca="1">IF(AND(tblData[Dates]&gt;StartDt2Taiwan,ISNUMBER(tblData[Taiwan])),(tblData[[#This Row],[Taiwan LogiP(t)]]-tblData[[#This Row],[Taiwan]])^2,"")</f>
        <v>27.171284251342357</v>
      </c>
      <c r="CX83" s="20">
        <f ca="1">IF(AND(tblData[Dates]&gt;StartDt2Taiwan,ISNUMBER(tblData[Days'# Taiwan])),tblData[[#This Row],[Taiwan LogiP(t)]]/TaiwanPopscale,"")</f>
        <v>143.98426153794261</v>
      </c>
      <c r="CY83" s="95">
        <f ca="1">IF(AND(ISNUMBER(tblData[Taiwan]),tblData[Dates]&gt;StartDt2Taiwan),(tblData[Taiwan]-AVERAGE(tblData[Taiwan]))^2,"")</f>
        <v>31844.752402921949</v>
      </c>
      <c r="CZ83" s="11">
        <f>tblData[[#This Row],[Dates]]-Taiwan100dt+1</f>
        <v>9</v>
      </c>
      <c r="DA83" s="11">
        <v>868</v>
      </c>
      <c r="DB83" s="20">
        <f>IF(ISNUMBER(tblData[NZ]),tblData[NZ]/NZPopscale,"")</f>
        <v>1659.6558317399617</v>
      </c>
      <c r="DC83" s="11">
        <f ca="1">IF(tblData[[#This Row],[Dates]]&lt;StartDt2NZ,"",tblData[[#This Row],[Dates]]-NZStart)</f>
        <v>35</v>
      </c>
      <c r="DD83" s="20">
        <f ca="1">IF(AND(tblData[Dates]&gt;StartDt2NZ,ISNUMBER(tblData[Days'# NZ])),betaNZ/(deltaNZ+betaPodeltaNZ*EXP(-betaNZ*tblData[Days'# NZ])),"")</f>
        <v>881.81077667379532</v>
      </c>
      <c r="DE83" s="95">
        <f ca="1">IF(AND(tblData[Dates]&gt;StartDt2NZ,ISNUMBER(tblData[NZ])),(tblData[[#This Row],[NZ LogiP(t)]]-tblData[[#This Row],[NZ]])^2,"")</f>
        <v>190.73755233344883</v>
      </c>
      <c r="DF83" s="20">
        <f ca="1">IF(AND(tblData[Dates]&gt;StartDt2NZ,ISNUMBER(tblData[Days'# NZ])),tblData[[#This Row],[NZ LogiP(t)]]/NZPopscale,"")</f>
        <v>1686.0626705043887</v>
      </c>
      <c r="DG83" s="95">
        <f ca="1">IF(AND(ISNUMBER(tblData[NZ]),tblData[Dates]&gt;StartDt2NZ),(tblData[NZ]-AVERAGE(tblData[NZ]))^2,"")</f>
        <v>32062.700642791533</v>
      </c>
      <c r="DH83" s="11">
        <f>tblData[[#This Row],[Dates]]-NZ100dt+1</f>
        <v>13</v>
      </c>
      <c r="DI83" s="39"/>
      <c r="DJ83" s="11"/>
      <c r="DM83" s="25"/>
      <c r="DP83"/>
      <c r="DV83" s="25"/>
      <c r="DW83"/>
      <c r="EA83" s="25"/>
      <c r="EH83"/>
      <c r="EI83"/>
      <c r="EJ83"/>
      <c r="EK83"/>
      <c r="EL83" s="25"/>
      <c r="EM83" s="25"/>
      <c r="EP83" s="46"/>
      <c r="EQ83" s="46"/>
      <c r="ER83" s="46"/>
      <c r="ES83" s="46"/>
      <c r="ET83" s="46"/>
      <c r="EU83" s="46"/>
      <c r="FF83"/>
      <c r="FG83"/>
      <c r="FH83"/>
      <c r="FI83"/>
      <c r="FJ83"/>
      <c r="FK83"/>
      <c r="FL83"/>
      <c r="FO83" s="265" t="s">
        <v>153</v>
      </c>
      <c r="FP83" s="250">
        <v>43914.307824074072</v>
      </c>
      <c r="FQ83" s="156">
        <v>43855</v>
      </c>
      <c r="FR83" s="26">
        <v>43855</v>
      </c>
      <c r="FS83" s="211">
        <v>1</v>
      </c>
      <c r="FT83" s="25">
        <v>0.1983387068698996</v>
      </c>
      <c r="FU83" s="25">
        <v>1.0000000000276037E-12</v>
      </c>
      <c r="FV83" s="21">
        <v>6.8604801032473477E-3</v>
      </c>
      <c r="FW83" s="212">
        <v>198338706864.42471</v>
      </c>
      <c r="FX83" s="212">
        <v>6.5477226922036946</v>
      </c>
      <c r="FY83" s="212"/>
      <c r="FZ83" s="213">
        <v>28.910324625241735</v>
      </c>
      <c r="GA83" s="213">
        <v>1.0000000000276037E-9</v>
      </c>
      <c r="GB83" s="156">
        <v>43913</v>
      </c>
      <c r="GC83" s="25" t="s">
        <v>1019</v>
      </c>
      <c r="GD83" s="212">
        <v>198338706864.42416</v>
      </c>
      <c r="GE83" s="212">
        <v>704</v>
      </c>
      <c r="GF83" s="25" t="s">
        <v>1020</v>
      </c>
      <c r="GG83" s="156">
        <v>43913</v>
      </c>
      <c r="GH83" s="25">
        <v>59</v>
      </c>
      <c r="GI83" s="25" t="s">
        <v>1021</v>
      </c>
      <c r="GJ83" s="25"/>
      <c r="GK83" s="25" t="s">
        <v>1022</v>
      </c>
      <c r="GM83" s="25" t="s">
        <v>1023</v>
      </c>
      <c r="GN83" s="20">
        <v>871.28712871287121</v>
      </c>
      <c r="GO83" s="156"/>
      <c r="GP83" s="218"/>
      <c r="GQ83" s="156"/>
      <c r="GR83" s="25"/>
      <c r="GS83" s="25" t="s">
        <v>1018</v>
      </c>
      <c r="GT83" s="11"/>
      <c r="GU83" s="12"/>
      <c r="GV83" s="26"/>
      <c r="GX83" s="219"/>
    </row>
    <row r="84" spans="2:238" x14ac:dyDescent="0.25">
      <c r="B84" s="26">
        <v>43925</v>
      </c>
      <c r="D84" s="25">
        <v>93</v>
      </c>
      <c r="E84">
        <v>2493</v>
      </c>
      <c r="F84">
        <v>26</v>
      </c>
      <c r="G84">
        <v>900</v>
      </c>
      <c r="H84">
        <v>407</v>
      </c>
      <c r="I84" s="25">
        <f>TST!O84</f>
        <v>82</v>
      </c>
      <c r="J84">
        <v>1115</v>
      </c>
      <c r="K84">
        <v>436</v>
      </c>
      <c r="L84" s="11">
        <f>IF(ISNUMBER(tblData[[#This Row],[NSW]]),tblData[[#This Row],[New South Wales]]/NSWpopscale,"")</f>
        <v>3085.3960396039602</v>
      </c>
      <c r="M84" s="25">
        <v>124632</v>
      </c>
      <c r="N84" s="20">
        <f>IF(ISNUMBER(tblData[Italy]),tblData[Italy]/ItalyPopscale,"")</f>
        <v>20605.439365131853</v>
      </c>
      <c r="O84" s="25">
        <v>308650</v>
      </c>
      <c r="P84" s="20">
        <f>IF(ISNUMBER(tblData[US]),tblData[US]/USPopscale,"")</f>
        <v>9374.9692651967434</v>
      </c>
      <c r="Q84" s="11">
        <v>10156</v>
      </c>
      <c r="R84" s="20">
        <f>IF(ISNUMBER(tblData[SKorea]),tblData[SKorea]/SKoreaPopscale,"")</f>
        <v>1975.8754863813231</v>
      </c>
      <c r="S84">
        <v>42477</v>
      </c>
      <c r="T84" s="20">
        <f>IF(ISNUMBER(tblData[United Kingdom]),tblData[United Kingdom]/UKPopscale,"")</f>
        <v>6393.2871763997591</v>
      </c>
      <c r="U84">
        <v>82543</v>
      </c>
      <c r="V84" s="20">
        <f>IF(ISNUMBER(tblData[China]),tblData[China]/ChinaPopscale,"")</f>
        <v>573.48458613942887</v>
      </c>
      <c r="W84" s="25">
        <f ca="1">IF(tblData[[#This Row],[Dates]]&lt;StartDt2China,"",tblData[[#This Row],[Dates]]-ChinaStart)</f>
        <v>73</v>
      </c>
      <c r="X84" s="20">
        <v>1189</v>
      </c>
      <c r="Y84" s="20">
        <f>IF(ISNUMBER(tblData[Singapore]),tblData[Singapore]/SingaporePopscale,"")</f>
        <v>2032.4786324786326</v>
      </c>
      <c r="Z84">
        <v>4604</v>
      </c>
      <c r="AA84" s="20">
        <f>IF(AND(LEN(tblData[Generic])&gt;0,ISNUMBER(tblData[Generic])),tblData[Generic]/GenericPopscale,"")</f>
        <v>9395.9183673469397</v>
      </c>
      <c r="AB84" s="25">
        <f ca="1">IF(tblData[[#This Row],[Dates]]&lt;StartDt2Italy,"",tblData[[#This Row],[Dates]]-ItalyStart)</f>
        <v>65</v>
      </c>
      <c r="AC84" s="25">
        <f ca="1">IF(tblData[[#This Row],[Dates]]&lt;=StartDt2US,"",tblData[[#This Row],[Dates]]-USStart)</f>
        <v>73</v>
      </c>
      <c r="AD84" s="25">
        <f>IF(tblData[[#This Row],[Dates]]&lt;=SKoreaStart,"",tblData[[#This Row],[Dates]]-SKoreaStart)</f>
        <v>73</v>
      </c>
      <c r="AE84" s="25">
        <f ca="1">IF(tblData[[#This Row],[Dates]]&lt;=StartDt2UK,"",tblData[[#This Row],[Dates]]-UKStart)</f>
        <v>65</v>
      </c>
      <c r="AF84" s="25">
        <f ca="1">IF(tblData[[#This Row],[Dates]]&lt;StartDt2Singapore,"",tblData[[#This Row],[Dates]]-SingaporeStart)</f>
        <v>72</v>
      </c>
      <c r="AG84" s="25">
        <f>IF(tblData[[#This Row],[Dates]]&lt;StartDt2Generic,"",tblData[[#This Row],[Dates]]-GenericStart)</f>
        <v>35</v>
      </c>
      <c r="AH84">
        <f ca="1">IF(tblData[Dates]&gt;StartDt2Au,tblData[Dates]-AuStart,"")</f>
        <v>70</v>
      </c>
      <c r="AI84" s="25">
        <f>IF(AND(COUNTBLANK(tblData[[#This Row],[Australian Capital Territory]:[Western Australia]])&lt;1,tblData[New South Wales]&gt;=0),SUM(tblData[[#This Row],[Australian Capital Territory]:[Western Australia]]),"")</f>
        <v>5552</v>
      </c>
      <c r="AJ84" s="12">
        <f>IF(ISNUMBER(tblData[Au]),tblData[Au]/AuPopScale,"")</f>
        <v>2188.929190979341</v>
      </c>
      <c r="AK84" s="11">
        <f ca="1">IF(ISNUMBER(tblData[[#This Row],[Day'# Aust]]),betaAu/(deltaAu+betaPodeltaAu*EXP(-betaAu*tblData[[#This Row],[Day'# Aust]])),"")</f>
        <v>5590.1824836744163</v>
      </c>
      <c r="AL84" s="56">
        <f ca="1">IF(ISNUMBER(tblData[Day'# Aust]),tblData[Au LogiP(t)]/AuPopScale,"")</f>
        <v>2203.9830009755624</v>
      </c>
      <c r="AM84" s="11">
        <f ca="1">IF(AND(tblData[Dates]&gt;StartDt2Au,ISNUMBER(tblData[Au])),(tblData[[#This Row],[Au LogiP(t)]]-tblData[[#This Row],[Au]])^2,"")</f>
        <v>1457.9020595470665</v>
      </c>
      <c r="AN84" s="11">
        <f ca="1">IF(AND(ISNUMBER(tblData[Au]),tblData[Dates]&gt;StartDt2Au),(tblData[Au]-AVERAGE(tblData[Au]))^2,"")</f>
        <v>9629788.1761000007</v>
      </c>
      <c r="AO84" s="11">
        <f>tblData[[#This Row],[Dates]]-Au100dt</f>
        <v>20</v>
      </c>
      <c r="AP84">
        <f ca="1">IF(tblData[Dates]&gt;StartDt2NSW,tblData[Dates]-StartDt2NSW,"")</f>
        <v>70</v>
      </c>
      <c r="AQ84" s="25">
        <f>IF(tblData[[#This Row],[New South Wales]]&gt;0,tblData[[#This Row],[New South Wales]],"")</f>
        <v>2493</v>
      </c>
      <c r="AR84" s="11">
        <f ca="1">IF(tblData[Dates]&gt;StartDt2NSW,betaNSW/(deltaNSW+betaPodeltaNSW*EXP(-betaNSW*tblData[[#This Row],[Day '# NSW]])),"")</f>
        <v>2516.7255627945206</v>
      </c>
      <c r="AS84" s="12">
        <f ca="1">IF(AND(ISNUMBER(tblData[NSW]),tblData[Dates]&gt;StartDt2NSW),(tblData[[#This Row],[NSW LogiP(t)]]-tblData[[#This Row],[NSW]])^2,"")</f>
        <v>562.90232991673804</v>
      </c>
      <c r="AT84" s="39">
        <f ca="1">IF(AND(tblData[Dates]&gt;StartDt2NSW,ISNUMBER(tblData[Day'# Aust])),tblData[NSW LogiP(t)]/NSWpopscale,"")</f>
        <v>3114.7593598942085</v>
      </c>
      <c r="AU84" s="11">
        <f>tblData[[#This Row],[Dates]]-NSW100dt+1</f>
        <v>23</v>
      </c>
      <c r="AV84" s="11">
        <f ca="1">IF(AND(ISNUMBER(tblData[NSW]),tblData[Dates]&gt;StartDt2NSW),(tblData[NSW]-AVERAGE(tblData[NSW]))^2,"")</f>
        <v>1956473.5876</v>
      </c>
      <c r="AW84" s="11">
        <f ca="1">IF(AND(tblData[Dates]&gt;StartDt2Italy,ISNUMBER(tblData[Days'# Italy])),betaItaly/(deltaItaly+betaPodeltaItaly*EXP(-betaItaly*tblData[Days'# Italy])),"")</f>
        <v>157300.19194555053</v>
      </c>
      <c r="AX84" s="11">
        <f ca="1">IF(AND(tblData[Dates]&gt;StartDt2Italy,ISNUMBER(tblData[Italy])),(tblData[[#This Row],[Italy LogiP(t)]]-tblData[[#This Row],[Italy]])^2,"")</f>
        <v>1067210764.9913323</v>
      </c>
      <c r="AY84" s="11">
        <f ca="1">IF(AND(tblData[Dates]&gt;StartDt2Italy,ISNUMBER(tblData[Days'# Italy])),tblData[[#This Row],[Italy LogiP(t)]]/ItalyPopscale,"")</f>
        <v>26006.479614044893</v>
      </c>
      <c r="AZ84" s="39">
        <f ca="1">IF(AND(ISNUMBER(tblData[Italy]),tblData[Dates]&gt;StartDt2Italy),(tblData[Italy]-AVERAGE(tblData[Italy]))^2,"")</f>
        <v>3012186894.9208927</v>
      </c>
      <c r="BA84" s="11">
        <f>tblData[[#This Row],[Dates]]-Italy100dt+1</f>
        <v>38</v>
      </c>
      <c r="BB84" s="11">
        <f ca="1">IF(AND(tblData[Dates]&gt;StartDt2US,ISNUMBER(tblData[[#This Row],[Days'# US]])),betaUS/(deltaUS+betaPodeltaUS*EXP(-betaUS*tblData[Days'# US])),"")</f>
        <v>446915.46621577919</v>
      </c>
      <c r="BC84" s="11">
        <f ca="1">IF(AND(tblData[Dates]&gt;StartDt2US,ISNUMBER(tblData[US])),(tblData[[#This Row],[US LogiP(t)]]-tblData[US])^2,"")</f>
        <v>19117339147.866776</v>
      </c>
      <c r="BD84" s="20">
        <f ca="1">IF(AND(tblData[Dates]&gt;=StartDt2US,ISNUMBER(tblData[[#This Row],[Days'# US]])),tblData[[#This Row],[US LogiP(t)]]/USPopscale,"")</f>
        <v>13574.659840965507</v>
      </c>
      <c r="BE84" s="126">
        <f ca="1">IF(AND(ISNUMBER(tblData[US]),tblData[Dates]&gt;StartDt2US),(tblData[US]-AVERAGE(tblData[US]))^2,"")</f>
        <v>7175234326.0208569</v>
      </c>
      <c r="BF84" s="11">
        <f>tblData[[#This Row],[Dates]]-US100dt+1</f>
        <v>21</v>
      </c>
      <c r="BG84" s="20">
        <f ca="1">IF(tblData[Dates]&gt;StartDt2SKorea,betaSKorea/(deltaSKorea+betaPodeltaSKorea*EXP(-betaSKorea*(tblData[Dates]-StartDt2SKorea))),"")</f>
        <v>10185.857285377075</v>
      </c>
      <c r="BH84" s="20">
        <f ca="1">IF(AND(tblData[Dates]&gt;StartDt2SKorea,ISNUMBER(tblData[SKorea])),(tblData[[#This Row],[SKorea LogiP(t)]]-tblData[[#This Row],[SKorea]])^2,"")</f>
        <v>891.45749008808059</v>
      </c>
      <c r="BI84" s="20">
        <f ca="1">IF(tblData[Dates]&gt;StartDt2SKorea,tblData[[#This Row],[SKorea LogiP(t)]]/SKoreaPopscale,"")</f>
        <v>1981.6842967659679</v>
      </c>
      <c r="BJ84" s="126">
        <f ca="1">IF(AND(ISNUMBER(tblData[SKorea]),tblData[Dates]&gt;StartDt2SKorea),(tblData[SKorea]-AVERAGE(tblData[SKorea]))^2,"")</f>
        <v>18762996.374086894</v>
      </c>
      <c r="BK84" s="11">
        <f>tblData[[#This Row],[Dates]]-SKorea100dt+1</f>
        <v>42</v>
      </c>
      <c r="BL84" s="11">
        <f ca="1">IF(AND(tblData[Dates]&gt;StartDt2UK,ISNUMBER(tblData[Days'# UK])),betaUK/(deltaUK+betaPodeltaUK*EXP(-betaUK*tblData[Days'# UK])),"")</f>
        <v>55891.824741193763</v>
      </c>
      <c r="BM84" s="61">
        <f ca="1">IF(AND(tblData[Dates]&gt;StartDt2UK,ISNUMBER(tblData[United Kingdom])),(tblData[[#This Row],[UK LogiP(t)]]-tblData[[#This Row],[United Kingdom]])^2,"")</f>
        <v>179957522.83694431</v>
      </c>
      <c r="BN84" s="11">
        <f ca="1">IF(ISNUMBER(tblData[Days'# UK]),tblData[[#This Row],[UK LogiP(t)]]/UKPopscale,"")</f>
        <v>8412.3757888611926</v>
      </c>
      <c r="BO84" s="126">
        <f ca="1">IF(AND(ISNUMBER(tblData[United Kingdom]),tblData[Dates]&gt;StartDt2UK),(tblData[United Kingdom]-AVERAGE(tblData[United Kingdom]))^2,"")</f>
        <v>20339812.128678128</v>
      </c>
      <c r="BP84" s="11">
        <f>tblData[[#This Row],[Dates]]-UK100dt</f>
        <v>23</v>
      </c>
      <c r="BQ84" s="11">
        <f ca="1">IF(ISNUMBER(tblData[Days'# China]),betaChina/(deltaChina+betaPodeltaChina*EXP(-betaChina*tblData[Days'# China])),"")</f>
        <v>82124.739590537734</v>
      </c>
      <c r="BR84" s="11">
        <f ca="1">IF(ISNUMBER(tblData[China]),(tblData[[#This Row],[China LogiP(t)]]-tblData[[#This Row],[China]])^2,"")</f>
        <v>174941.77012354214</v>
      </c>
      <c r="BS84" s="11">
        <f ca="1">tblData[[#This Row],[China LogiP(t)]]/ChinaPopscale</f>
        <v>570.57863532810654</v>
      </c>
      <c r="BT84" s="126">
        <f ca="1">IF(AND(ISNUMBER(tblData[China]),tblData[Dates]&gt;StartDt2China),(tblData[China]-AVERAGE(tblData[China]))^2,"")</f>
        <v>235270484.51557073</v>
      </c>
      <c r="BU84" s="11">
        <f>tblData[[#This Row],[Dates]]-China100dt</f>
        <v>62</v>
      </c>
      <c r="BV84" s="95">
        <f ca="1">IF(ISNUMBER(tblData[Day'# Singapore]),betaSingapore/(deltaSingapore+betaPodeltaSingapore*EXP(-betaSingapore*tblData[Day'# Singapore])),"")</f>
        <v>1004.6071431048547</v>
      </c>
      <c r="BW84" s="11">
        <f ca="1">IF(AND(ISNUMBER(tblData[Singapore]),tblData[Dates]&gt;=StartDt2Singapore),(tblData[[#This Row],[Singapore LogiP(t)]]-tblData[[#This Row],[Singapore]])^2,"")</f>
        <v>34000.725673953537</v>
      </c>
      <c r="BX84" s="20">
        <f ca="1">IF(ISNUMBER(tblData[Day'# Singapore]),tblData[Singapore LogiP(t)]/SingaporePopscale,"")</f>
        <v>1717.2771677006065</v>
      </c>
      <c r="BY84" s="95">
        <f ca="1">IF(AND(ISNUMBER(tblData[Singapore]),tblData[Dates]&gt;StartDt2Singapore),(tblData[Singapore]-AVERAGE(tblData[Singapore]))^2,"")</f>
        <v>1280980.1168781242</v>
      </c>
      <c r="BZ84" s="11">
        <f>tblData[[#This Row],[Dates]]-Singapore100dt+1</f>
        <v>51</v>
      </c>
      <c r="CA84" s="44">
        <f>IF(AND(tblData[Dates]&gt;StartDt2Generic,ISNUMBER(tblData[Day'# Generic])),betaGeneric/(deltaGeneric+betaPodeltaGeneric*EXP(-betaGeneric*tblData[Day'# Generic])),"")</f>
        <v>4634.3629905434627</v>
      </c>
      <c r="CB84" s="95">
        <f>IF(AND(ISNUMBER(tblData[Generic]),tblData[Dates]&gt;StartDt2Generic),(tblData[Generic LogiP(t)]-tblData[[#This Row],[Generic]])^2,"")</f>
        <v>921.91119474240713</v>
      </c>
      <c r="CC84" s="11">
        <f>IF(AND(ISNUMBER(tblData[Day'# Generic]),tblData[Dates]&gt;StartDt2Generic),tblData[Generic LogiP(t)]/GenericPopscale,"")</f>
        <v>9457.8836541703331</v>
      </c>
      <c r="CD84" s="95">
        <f>IF(AND(ISNUMBER(tblData[Generic]),tblData[Dates]&gt;StartDt2Generic),(tblData[Generic]-AVERAGE(tblData[Generic]))^2,"")</f>
        <v>4118901.4731360944</v>
      </c>
      <c r="CE84" s="11">
        <f>tblData[[#This Row],[Dates]]-Generic100dt+1</f>
        <v>23</v>
      </c>
      <c r="CF84" s="11">
        <v>115140</v>
      </c>
      <c r="CG84" s="11"/>
      <c r="CH84" s="11">
        <f>IF(ISNUMBER(tblData[[#This Row],[Tests]]),tblData[[#This Row],[Tests]]-CF83,"")</f>
        <v>3074</v>
      </c>
      <c r="CI84" s="11" t="str">
        <f>IF(ISNUMBER(tblData[[#This Row],[NSW Under Investigation'']]),tblData[[#This Row],[NSW Under Investigation'']]-CG83,"")</f>
        <v/>
      </c>
      <c r="CJ84" s="11">
        <f t="shared" si="2"/>
        <v>30</v>
      </c>
      <c r="CK84" s="11">
        <f>IF(AND(tblData[[#This Row],[NSW Test Day Number]]&gt;0,ISNUMBER(tblData[[#This Row],[NSW Test Day Number]])),betaTests/(deltaTests+betaPodeltaTests*EXP(-betaTests*tblData[[#This Row],[NSW Test Day Number]])),"")</f>
        <v>143908.88998207488</v>
      </c>
      <c r="CL84" s="11">
        <f>IF(tblData[Tests]&gt;0,(tblData[[#This Row],[Tests]]-tblData[[#This Row],[NSW Test Logi]])^2,"")</f>
        <v>827649030.8007282</v>
      </c>
      <c r="CM84" s="95">
        <f>IF(AND(ISNUMBER(tblData[Tests]),tblData[Dates]&gt;StartDt2Tests),(tblData[Tests]-AVERAGE(tblData[Tests]))^2,"")</f>
        <v>80697029.599540234</v>
      </c>
      <c r="CN84" s="11">
        <f>IF(ISNUMBER(tblData[Tests]),tblData[Tests]/NSWpopscale/100,"")</f>
        <v>1425</v>
      </c>
      <c r="CO84" s="95">
        <f ca="1">IF(AND(tblData[[#This Row],[NSW Test Day Number]]&gt;0,ISNUMBER(tblData[[#This Row],[NSW Test Day Number]])),TestsLogestB*TestsLogestM^tblData[[#This Row],[NSW Test Day Number]],"")</f>
        <v>76165.389132791854</v>
      </c>
      <c r="CP84" s="11">
        <f>IF(AND(tblData[[#This Row],[NSW Test Day Number]]&gt;0,ISNUMBER(tblData[Tests])),(tblData[Tests]-tblData[[#This Row],[NSW Test Per Capita]])^2,"")</f>
        <v>12931101225</v>
      </c>
      <c r="CQ84" s="20">
        <f ca="1">IF(AND(tblData[Day '# NSW]&gt;0,ISNUMBER(tblData[[#This Row],[Day '# NSW]])),NSWLogestB*NSWLogestM^tblData[[#This Row],[Day '# NSW]]/NSWpopscale,"")</f>
        <v>1189.2981568432133</v>
      </c>
      <c r="CR84" s="39">
        <f ca="1">IF(AND(ISNUMBER(tblData[NSW]),tblData[Dates]&gt;StartDt2NSW),(tblData[NSW]/NSWpopscale-tblData[[#This Row],[NSW Cases LogEst]])^2,"")</f>
        <v>3595187.1810097871</v>
      </c>
      <c r="CS84" s="11">
        <v>355</v>
      </c>
      <c r="CT84" s="19">
        <f>IF(ISNUMBER(tblData[Taiwan]),tblData[Taiwan]/TaiwanPopscale,"")</f>
        <v>149.1140399815485</v>
      </c>
      <c r="CU84" s="11">
        <f ca="1">IF(tblData[[#This Row],[Dates]]&lt;StartDt2Taiwan,"",tblData[[#This Row],[Dates]]-TaiwanStart)</f>
        <v>73</v>
      </c>
      <c r="CV84" s="19">
        <f ca="1">IF(AND(tblData[Dates]&gt;StartDt2Taiwan,ISNUMBER(tblData[Days'# Taiwan])),betaTaiwan/(deltaTaiwan+betaPodeltaTaiwan*EXP(-betaTaiwan*tblData[Days'# Taiwan])),"")</f>
        <v>352.2461584609016</v>
      </c>
      <c r="CW84" s="95">
        <f ca="1">IF(AND(tblData[Dates]&gt;StartDt2Taiwan,ISNUMBER(tblData[Taiwan])),(tblData[[#This Row],[Taiwan LogiP(t)]]-tblData[[#This Row],[Taiwan]])^2,"")</f>
        <v>7.5836432224638601</v>
      </c>
      <c r="CX84" s="20">
        <f ca="1">IF(AND(tblData[Dates]&gt;StartDt2Taiwan,ISNUMBER(tblData[Days'# Taiwan])),tblData[[#This Row],[Taiwan LogiP(t)]]/TaiwanPopscale,"")</f>
        <v>147.95731762277677</v>
      </c>
      <c r="CY84" s="95">
        <f ca="1">IF(AND(ISNUMBER(tblData[Taiwan]),tblData[Dates]&gt;StartDt2Taiwan),(tblData[Taiwan]-AVERAGE(tblData[Taiwan]))^2,"")</f>
        <v>34392.066128412145</v>
      </c>
      <c r="CZ84" s="11">
        <f>tblData[[#This Row],[Dates]]-Taiwan100dt+1</f>
        <v>10</v>
      </c>
      <c r="DA84" s="11">
        <v>950</v>
      </c>
      <c r="DB84" s="20">
        <f>IF(ISNUMBER(tblData[NZ]),tblData[NZ]/NZPopscale,"")</f>
        <v>1816.4435946462715</v>
      </c>
      <c r="DC84" s="11">
        <f ca="1">IF(tblData[[#This Row],[Dates]]&lt;StartDt2NZ,"",tblData[[#This Row],[Dates]]-NZStart)</f>
        <v>36</v>
      </c>
      <c r="DD84" s="20">
        <f ca="1">IF(AND(tblData[Dates]&gt;StartDt2NZ,ISNUMBER(tblData[Days'# NZ])),betaNZ/(deltaNZ+betaPodeltaNZ*EXP(-betaNZ*tblData[Days'# NZ])),"")</f>
        <v>960.99927589544836</v>
      </c>
      <c r="DE84" s="95">
        <f ca="1">IF(AND(tblData[Dates]&gt;StartDt2NZ,ISNUMBER(tblData[NZ])),(tblData[[#This Row],[NZ LogiP(t)]]-tblData[[#This Row],[NZ]])^2,"")</f>
        <v>120.9840702241914</v>
      </c>
      <c r="DF84" s="20">
        <f ca="1">IF(AND(tblData[Dates]&gt;StartDt2NZ,ISNUMBER(tblData[Days'# NZ])),tblData[[#This Row],[NZ LogiP(t)]]/NZPopscale,"")</f>
        <v>1837.4747149052548</v>
      </c>
      <c r="DG84" s="95">
        <f ca="1">IF(AND(ISNUMBER(tblData[NZ]),tblData[Dates]&gt;StartDt2NZ),(tblData[NZ]-AVERAGE(tblData[NZ]))^2,"")</f>
        <v>68152.640036730911</v>
      </c>
      <c r="DH84" s="11">
        <f>tblData[[#This Row],[Dates]]-NZ100dt+1</f>
        <v>14</v>
      </c>
      <c r="DI84" s="39"/>
      <c r="DJ84" s="11"/>
      <c r="DL84" s="46"/>
      <c r="DM84" s="46"/>
      <c r="DN84" s="46"/>
      <c r="DO84" s="46"/>
      <c r="DP84" s="46"/>
      <c r="DQ84" s="46"/>
      <c r="DR84" s="46"/>
      <c r="DS84" s="46"/>
      <c r="DT84" s="46"/>
      <c r="DU84" s="46"/>
      <c r="DV84" s="46"/>
      <c r="DW84" s="46"/>
      <c r="DX84" s="46"/>
      <c r="DY84" s="46"/>
      <c r="DZ84" s="46"/>
      <c r="EA84" s="46"/>
      <c r="EB84" s="46"/>
      <c r="EC84" s="46"/>
      <c r="ED84" s="46"/>
      <c r="EE84" s="46"/>
      <c r="EF84" s="46"/>
      <c r="EG84" s="46"/>
      <c r="EH84" s="46"/>
      <c r="EI84" s="46"/>
      <c r="EJ84" s="46"/>
      <c r="EK84" s="46"/>
      <c r="EL84" s="46"/>
      <c r="EM84" s="46"/>
      <c r="EN84" s="46"/>
      <c r="EO84" s="46"/>
      <c r="EQ84" s="25"/>
      <c r="ER84" s="25"/>
      <c r="ES84" s="25"/>
      <c r="ET84" s="25"/>
      <c r="FF84"/>
      <c r="FG84"/>
      <c r="FH84"/>
      <c r="FI84"/>
      <c r="FJ84"/>
      <c r="FK84"/>
      <c r="FL84"/>
      <c r="FO84" s="263" t="s">
        <v>153</v>
      </c>
      <c r="FP84" s="250">
        <v>43914.450960648152</v>
      </c>
      <c r="FQ84" s="156">
        <v>43855</v>
      </c>
      <c r="FR84" s="26">
        <v>43855</v>
      </c>
      <c r="FS84" s="211">
        <v>1</v>
      </c>
      <c r="FT84" s="25">
        <v>0.19833870533418094</v>
      </c>
      <c r="FU84" s="25">
        <v>1.448335037648097E-6</v>
      </c>
      <c r="FV84" s="21">
        <v>6.8604800987280834E-3</v>
      </c>
      <c r="FW84" s="212">
        <v>136942.55830215677</v>
      </c>
      <c r="FX84" s="212">
        <v>6.5849197221904419</v>
      </c>
      <c r="FY84" s="212"/>
      <c r="FZ84" s="213">
        <v>28.910322972102019</v>
      </c>
      <c r="GA84" s="213">
        <v>1.4483350376480969E-3</v>
      </c>
      <c r="GB84" s="156">
        <v>43914</v>
      </c>
      <c r="GC84" s="25" t="s">
        <v>1044</v>
      </c>
      <c r="GD84" s="212">
        <v>136942.55830215677</v>
      </c>
      <c r="GE84" s="212">
        <v>818</v>
      </c>
      <c r="GF84" s="25" t="s">
        <v>1045</v>
      </c>
      <c r="GG84" s="156">
        <v>43914</v>
      </c>
      <c r="GH84" s="25">
        <v>60</v>
      </c>
      <c r="GI84" s="25" t="s">
        <v>1046</v>
      </c>
      <c r="GJ84" s="25"/>
      <c r="GK84" s="25" t="s">
        <v>1047</v>
      </c>
      <c r="GM84" s="62" t="s">
        <v>1048</v>
      </c>
      <c r="GN84" s="20">
        <v>1012.3762376237623</v>
      </c>
      <c r="GO84" s="156"/>
      <c r="GP84" s="218"/>
      <c r="GQ84" s="156"/>
      <c r="GR84" s="25"/>
      <c r="GS84" s="25" t="s">
        <v>1043</v>
      </c>
      <c r="GT84" s="11"/>
      <c r="GU84" s="12"/>
      <c r="GV84" s="26"/>
      <c r="GX84" s="219"/>
    </row>
    <row r="85" spans="2:238" x14ac:dyDescent="0.25">
      <c r="B85" s="26">
        <v>43926</v>
      </c>
      <c r="D85" s="25">
        <v>96</v>
      </c>
      <c r="E85">
        <v>2580</v>
      </c>
      <c r="F85">
        <v>27</v>
      </c>
      <c r="G85">
        <v>907</v>
      </c>
      <c r="H85">
        <v>409</v>
      </c>
      <c r="I85" s="25">
        <f>TST!O85</f>
        <v>86</v>
      </c>
      <c r="J85">
        <v>1135</v>
      </c>
      <c r="K85">
        <v>453</v>
      </c>
      <c r="L85" s="11">
        <f>IF(ISNUMBER(tblData[[#This Row],[NSW]]),tblData[[#This Row],[New South Wales]]/NSWpopscale,"")</f>
        <v>3193.0693069306931</v>
      </c>
      <c r="M85" s="25">
        <v>128948</v>
      </c>
      <c r="N85" s="20">
        <f>IF(ISNUMBER(tblData[Italy]),tblData[Italy]/ItalyPopscale,"")</f>
        <v>21319.004711912046</v>
      </c>
      <c r="O85" s="25">
        <v>336802</v>
      </c>
      <c r="P85" s="20">
        <f>IF(ISNUMBER(tblData[US]),tblData[US]/USPopscale,"")</f>
        <v>10230.061229408047</v>
      </c>
      <c r="Q85" s="11">
        <v>10237</v>
      </c>
      <c r="R85" s="20">
        <f>IF(ISNUMBER(tblData[SKorea]),tblData[SKorea]/SKoreaPopscale,"")</f>
        <v>1991.6342412451363</v>
      </c>
      <c r="S85">
        <v>48436</v>
      </c>
      <c r="T85" s="20">
        <f>IF(ISNUMBER(tblData[United Kingdom]),tblData[United Kingdom]/UKPopscale,"")</f>
        <v>7290.1866345574954</v>
      </c>
      <c r="U85">
        <v>82602</v>
      </c>
      <c r="V85" s="20">
        <f>IF(ISNUMBER(tblData[China]),tblData[China]/ChinaPopscale,"")</f>
        <v>573.89450085760279</v>
      </c>
      <c r="W85" s="25">
        <f ca="1">IF(tblData[[#This Row],[Dates]]&lt;StartDt2China,"",tblData[[#This Row],[Dates]]-ChinaStart)</f>
        <v>74</v>
      </c>
      <c r="X85" s="20">
        <v>1309</v>
      </c>
      <c r="Y85" s="20">
        <f>IF(ISNUMBER(tblData[Singapore]),tblData[Singapore]/SingaporePopscale,"")</f>
        <v>2237.6068376068379</v>
      </c>
      <c r="Z85">
        <v>4994</v>
      </c>
      <c r="AA85" s="20">
        <f>IF(AND(LEN(tblData[Generic])&gt;0,ISNUMBER(tblData[Generic])),tblData[Generic]/GenericPopscale,"")</f>
        <v>10191.836734693878</v>
      </c>
      <c r="AB85" s="25">
        <f ca="1">IF(tblData[[#This Row],[Dates]]&lt;StartDt2Italy,"",tblData[[#This Row],[Dates]]-ItalyStart)</f>
        <v>66</v>
      </c>
      <c r="AC85" s="25">
        <f ca="1">IF(tblData[[#This Row],[Dates]]&lt;=StartDt2US,"",tblData[[#This Row],[Dates]]-USStart)</f>
        <v>74</v>
      </c>
      <c r="AD85" s="25">
        <f>IF(tblData[[#This Row],[Dates]]&lt;=SKoreaStart,"",tblData[[#This Row],[Dates]]-SKoreaStart)</f>
        <v>74</v>
      </c>
      <c r="AE85" s="25">
        <f ca="1">IF(tblData[[#This Row],[Dates]]&lt;=StartDt2UK,"",tblData[[#This Row],[Dates]]-UKStart)</f>
        <v>66</v>
      </c>
      <c r="AF85" s="25">
        <f ca="1">IF(tblData[[#This Row],[Dates]]&lt;StartDt2Singapore,"",tblData[[#This Row],[Dates]]-SingaporeStart)</f>
        <v>73</v>
      </c>
      <c r="AG85" s="25">
        <f>IF(tblData[[#This Row],[Dates]]&lt;StartDt2Generic,"",tblData[[#This Row],[Dates]]-GenericStart)</f>
        <v>36</v>
      </c>
      <c r="AH85">
        <f ca="1">IF(tblData[Dates]&gt;StartDt2Au,tblData[Dates]-AuStart,"")</f>
        <v>71</v>
      </c>
      <c r="AI85" s="25">
        <f>IF(AND(COUNTBLANK(tblData[[#This Row],[Australian Capital Territory]:[Western Australia]])&lt;1,tblData[New South Wales]&gt;=0),SUM(tblData[[#This Row],[Australian Capital Territory]:[Western Australia]]),"")</f>
        <v>5693</v>
      </c>
      <c r="AJ85" s="12">
        <f>IF(ISNUMBER(tblData[Au]),tblData[Au]/AuPopScale,"")</f>
        <v>2244.5197918309414</v>
      </c>
      <c r="AK85" s="11">
        <f ca="1">IF(ISNUMBER(tblData[[#This Row],[Day'# Aust]]),betaAu/(deltaAu+betaPodeltaAu*EXP(-betaAu*tblData[[#This Row],[Day'# Aust]])),"")</f>
        <v>5775.584641660098</v>
      </c>
      <c r="AL85" s="56">
        <f ca="1">IF(ISNUMBER(tblData[Day'# Aust]),tblData[Au LogiP(t)]/AuPopScale,"")</f>
        <v>2277.0795780082394</v>
      </c>
      <c r="AM85" s="11">
        <f ca="1">IF(AND(tblData[Dates]&gt;StartDt2Au,ISNUMBER(tblData[Au])),(tblData[[#This Row],[Au LogiP(t)]]-tblData[[#This Row],[Au]])^2,"")</f>
        <v>6820.2230381267918</v>
      </c>
      <c r="AN85" s="11">
        <f ca="1">IF(AND(ISNUMBER(tblData[Au]),tblData[Dates]&gt;StartDt2Au),(tblData[Au]-AVERAGE(tblData[Au]))^2,"")</f>
        <v>10524768.756100001</v>
      </c>
      <c r="AO85" s="11">
        <f>tblData[[#This Row],[Dates]]-Au100dt</f>
        <v>21</v>
      </c>
      <c r="AP85">
        <f ca="1">IF(tblData[Dates]&gt;StartDt2NSW,tblData[Dates]-StartDt2NSW,"")</f>
        <v>71</v>
      </c>
      <c r="AQ85" s="25">
        <f>IF(tblData[[#This Row],[New South Wales]]&gt;0,tblData[[#This Row],[New South Wales]],"")</f>
        <v>2580</v>
      </c>
      <c r="AR85" s="11">
        <f ca="1">IF(tblData[Dates]&gt;StartDt2NSW,betaNSW/(deltaNSW+betaPodeltaNSW*EXP(-betaNSW*tblData[[#This Row],[Day '# NSW]])),"")</f>
        <v>2600.1663654312124</v>
      </c>
      <c r="AS85" s="12">
        <f ca="1">IF(AND(ISNUMBER(tblData[NSW]),tblData[Dates]&gt;StartDt2NSW),(tblData[[#This Row],[NSW LogiP(t)]]-tblData[[#This Row],[NSW]])^2,"")</f>
        <v>406.68229470519839</v>
      </c>
      <c r="AT85" s="39">
        <f ca="1">IF(AND(tblData[Dates]&gt;StartDt2NSW,ISNUMBER(tblData[Day'# Aust])),tblData[NSW LogiP(t)]/NSWpopscale,"")</f>
        <v>3218.027679989124</v>
      </c>
      <c r="AU85" s="11">
        <f>tblData[[#This Row],[Dates]]-NSW100dt+1</f>
        <v>24</v>
      </c>
      <c r="AV85" s="11">
        <f ca="1">IF(AND(ISNUMBER(tblData[NSW]),tblData[Dates]&gt;StartDt2NSW),(tblData[NSW]-AVERAGE(tblData[NSW]))^2,"")</f>
        <v>2207423.3476</v>
      </c>
      <c r="AW85" s="11">
        <f ca="1">IF(AND(tblData[Dates]&gt;StartDt2Italy,ISNUMBER(tblData[Days'# Italy])),betaItaly/(deltaItaly+betaPodeltaItaly*EXP(-betaItaly*tblData[Days'# Italy])),"")</f>
        <v>158195.81744642634</v>
      </c>
      <c r="AX85" s="11">
        <f ca="1">IF(AND(tblData[Dates]&gt;StartDt2Italy,ISNUMBER(tblData[Italy])),(tblData[[#This Row],[Italy LogiP(t)]]-tblData[[#This Row],[Italy]])^2,"")</f>
        <v>855434825.3794812</v>
      </c>
      <c r="AY85" s="11">
        <f ca="1">IF(AND(tblData[Dates]&gt;StartDt2Italy,ISNUMBER(tblData[Days'# Italy])),tblData[[#This Row],[Italy LogiP(t)]]/ItalyPopscale,"")</f>
        <v>26154.553599475301</v>
      </c>
      <c r="AZ85" s="39">
        <f ca="1">IF(AND(ISNUMBER(tblData[Italy]),tblData[Dates]&gt;StartDt2Italy),(tblData[Italy]-AVERAGE(tblData[Italy]))^2,"")</f>
        <v>3504568204.6230202</v>
      </c>
      <c r="BA85" s="11">
        <f>tblData[[#This Row],[Dates]]-Italy100dt+1</f>
        <v>39</v>
      </c>
      <c r="BB85" s="11">
        <f ca="1">IF(AND(tblData[Dates]&gt;StartDt2US,ISNUMBER(tblData[[#This Row],[Days'# US]])),betaUS/(deltaUS+betaPodeltaUS*EXP(-betaUS*tblData[Days'# US])),"")</f>
        <v>502895.13835788681</v>
      </c>
      <c r="BC85" s="11">
        <f ca="1">IF(AND(tblData[Dates]&gt;StartDt2US,ISNUMBER(tblData[US])),(tblData[[#This Row],[US LogiP(t)]]-tblData[US])^2,"")</f>
        <v>27586930609.572132</v>
      </c>
      <c r="BD85" s="20">
        <f ca="1">IF(AND(tblData[Dates]&gt;=StartDt2US,ISNUMBER(tblData[[#This Row],[Days'# US]])),tblData[[#This Row],[US LogiP(t)]]/USPopscale,"")</f>
        <v>15274.992599131874</v>
      </c>
      <c r="BE85" s="126">
        <f ca="1">IF(AND(ISNUMBER(tblData[US]),tblData[Dates]&gt;StartDt2US),(tblData[US]-AVERAGE(tblData[US]))^2,"")</f>
        <v>12737098558.020857</v>
      </c>
      <c r="BF85" s="11">
        <f>tblData[[#This Row],[Dates]]-US100dt+1</f>
        <v>22</v>
      </c>
      <c r="BG85" s="20">
        <f ca="1">IF(tblData[Dates]&gt;StartDt2SKorea,betaSKorea/(deltaSKorea+betaPodeltaSKorea*EXP(-betaSKorea*(tblData[Dates]-StartDt2SKorea))),"")</f>
        <v>10193.680091061595</v>
      </c>
      <c r="BH85" s="20">
        <f ca="1">IF(AND(tblData[Dates]&gt;StartDt2SKorea,ISNUMBER(tblData[SKorea])),(tblData[[#This Row],[SKorea LogiP(t)]]-tblData[[#This Row],[SKorea]])^2,"")</f>
        <v>1876.6145104317193</v>
      </c>
      <c r="BI85" s="20">
        <f ca="1">IF(tblData[Dates]&gt;StartDt2SKorea,tblData[[#This Row],[SKorea LogiP(t)]]/SKoreaPopscale,"")</f>
        <v>1983.2062433971976</v>
      </c>
      <c r="BJ85" s="126">
        <f ca="1">IF(AND(ISNUMBER(tblData[SKorea]),tblData[Dates]&gt;StartDt2SKorea),(tblData[SKorea]-AVERAGE(tblData[SKorea]))^2,"")</f>
        <v>19471281.021145716</v>
      </c>
      <c r="BK85" s="11">
        <f>tblData[[#This Row],[Dates]]-SKorea100dt+1</f>
        <v>43</v>
      </c>
      <c r="BL85" s="11">
        <f ca="1">IF(AND(tblData[Dates]&gt;StartDt2UK,ISNUMBER(tblData[Days'# UK])),betaUK/(deltaUK+betaPodeltaUK*EXP(-betaUK*tblData[Days'# UK])),"")</f>
        <v>63288.653772283877</v>
      </c>
      <c r="BM85" s="61">
        <f ca="1">IF(AND(tblData[Dates]&gt;StartDt2UK,ISNUMBER(tblData[United Kingdom])),(tblData[[#This Row],[UK LogiP(t)]]-tblData[[#This Row],[United Kingdom]])^2,"")</f>
        <v>220601324.07933846</v>
      </c>
      <c r="BN85" s="11">
        <f ca="1">IF(ISNUMBER(tblData[Days'# UK]),tblData[[#This Row],[UK LogiP(t)]]/UKPopscale,"")</f>
        <v>9525.6853961896268</v>
      </c>
      <c r="BO85" s="126">
        <f ca="1">IF(AND(ISNUMBER(tblData[United Kingdom]),tblData[Dates]&gt;StartDt2UK),(tblData[United Kingdom]-AVERAGE(tblData[United Kingdom]))^2,"")</f>
        <v>109599292.76697598</v>
      </c>
      <c r="BP85" s="11">
        <f>tblData[[#This Row],[Dates]]-UK100dt</f>
        <v>24</v>
      </c>
      <c r="BQ85" s="11">
        <f ca="1">IF(ISNUMBER(tblData[Days'# China]),betaChina/(deltaChina+betaPodeltaChina*EXP(-betaChina*tblData[Days'# China])),"")</f>
        <v>82124.823008441555</v>
      </c>
      <c r="BR85" s="11">
        <f ca="1">IF(ISNUMBER(tblData[China]),(tblData[[#This Row],[China LogiP(t)]]-tblData[[#This Row],[China]])^2,"")</f>
        <v>227697.88127276787</v>
      </c>
      <c r="BS85" s="11">
        <f ca="1">tblData[[#This Row],[China LogiP(t)]]/ChinaPopscale</f>
        <v>570.57921489126818</v>
      </c>
      <c r="BT85" s="126">
        <f ca="1">IF(AND(ISNUMBER(tblData[China]),tblData[Dates]&gt;StartDt2China),(tblData[China]-AVERAGE(tblData[China]))^2,"")</f>
        <v>237083911.98615897</v>
      </c>
      <c r="BU85" s="11">
        <f>tblData[[#This Row],[Dates]]-China100dt</f>
        <v>63</v>
      </c>
      <c r="BV85" s="95">
        <f ca="1">IF(ISNUMBER(tblData[Day'# Singapore]),betaSingapore/(deltaSingapore+betaPodeltaSingapore*EXP(-betaSingapore*tblData[Day'# Singapore])),"")</f>
        <v>1134.762557753518</v>
      </c>
      <c r="BW85" s="11">
        <f ca="1">IF(AND(ISNUMBER(tblData[Singapore]),tblData[Dates]&gt;=StartDt2Singapore),(tblData[[#This Row],[Singapore LogiP(t)]]-tblData[[#This Row],[Singapore]])^2,"")</f>
        <v>30358.686280596161</v>
      </c>
      <c r="BX85" s="20">
        <f ca="1">IF(ISNUMBER(tblData[Day'# Singapore]),tblData[Singapore LogiP(t)]/SingaporePopscale,"")</f>
        <v>1939.7650559889198</v>
      </c>
      <c r="BY85" s="95">
        <f ca="1">IF(AND(ISNUMBER(tblData[Singapore]),tblData[Dates]&gt;StartDt2Singapore),(tblData[Singapore]-AVERAGE(tblData[Singapore]))^2,"")</f>
        <v>1023747.1757016536</v>
      </c>
      <c r="BZ85" s="11">
        <f>tblData[[#This Row],[Dates]]-Singapore100dt+1</f>
        <v>52</v>
      </c>
      <c r="CA85" s="44">
        <f>IF(AND(tblData[Dates]&gt;StartDt2Generic,ISNUMBER(tblData[Day'# Generic])),betaGeneric/(deltaGeneric+betaPodeltaGeneric*EXP(-betaGeneric*tblData[Day'# Generic])),"")</f>
        <v>5144.5016819289913</v>
      </c>
      <c r="CB85" s="95">
        <f>IF(AND(ISNUMBER(tblData[Generic]),tblData[Dates]&gt;StartDt2Generic),(tblData[Generic LogiP(t)]-tblData[[#This Row],[Generic]])^2,"")</f>
        <v>22650.75626345526</v>
      </c>
      <c r="CC85" s="11">
        <f>IF(AND(ISNUMBER(tblData[Day'# Generic]),tblData[Dates]&gt;StartDt2Generic),tblData[Generic LogiP(t)]/GenericPopscale,"")</f>
        <v>10498.98302434488</v>
      </c>
      <c r="CD85" s="95">
        <f>IF(AND(ISNUMBER(tblData[Generic]),tblData[Dates]&gt;StartDt2Generic),(tblData[Generic]-AVERAGE(tblData[Generic]))^2,"")</f>
        <v>2687985.4731360944</v>
      </c>
      <c r="CE85" s="11">
        <f>tblData[[#This Row],[Dates]]-Generic100dt+1</f>
        <v>24</v>
      </c>
      <c r="CF85" s="11">
        <v>118863</v>
      </c>
      <c r="CG85" s="11"/>
      <c r="CH85" s="11">
        <f>IF(ISNUMBER(tblData[[#This Row],[Tests]]),tblData[[#This Row],[Tests]]-CF84,"")</f>
        <v>3723</v>
      </c>
      <c r="CI85" s="11" t="str">
        <f>IF(ISNUMBER(tblData[[#This Row],[NSW Under Investigation'']]),tblData[[#This Row],[NSW Under Investigation'']]-CG84,"")</f>
        <v/>
      </c>
      <c r="CJ85" s="11">
        <f t="shared" si="2"/>
        <v>31</v>
      </c>
      <c r="CK85" s="11">
        <f>IF(AND(tblData[[#This Row],[NSW Test Day Number]]&gt;0,ISNUMBER(tblData[[#This Row],[NSW Test Day Number]])),betaTests/(deltaTests+betaPodeltaTests*EXP(-betaTests*tblData[[#This Row],[NSW Test Day Number]])),"")</f>
        <v>147871.43179746225</v>
      </c>
      <c r="CL85" s="11">
        <f>IF(tblData[Tests]&gt;0,(tblData[[#This Row],[Tests]]-tblData[[#This Row],[NSW Test Logi]])^2,"")</f>
        <v>841489115.34801912</v>
      </c>
      <c r="CM85" s="95">
        <f>IF(AND(ISNUMBER(tblData[Tests]),tblData[Dates]&gt;StartDt2Tests),(tblData[Tests]-AVERAGE(tblData[Tests]))^2,"")</f>
        <v>161446312.43004867</v>
      </c>
      <c r="CN85" s="11">
        <f>IF(ISNUMBER(tblData[Tests]),tblData[Tests]/NSWpopscale/100,"")</f>
        <v>1471.0767326732673</v>
      </c>
      <c r="CO85" s="95">
        <f ca="1">IF(AND(tblData[[#This Row],[NSW Test Day Number]]&gt;0,ISNUMBER(tblData[[#This Row],[NSW Test Day Number]])),TestsLogestB*TestsLogestM^tblData[[#This Row],[NSW Test Day Number]],"")</f>
        <v>80736.18341039418</v>
      </c>
      <c r="CP85" s="11">
        <f>IF(AND(tblData[[#This Row],[NSW Test Day Number]]&gt;0,ISNUMBER(tblData[Tests])),(tblData[Tests]-tblData[[#This Row],[NSW Test Per Capita]])^2,"")</f>
        <v>13780863648.40193</v>
      </c>
      <c r="CQ85" s="20">
        <f ca="1">IF(AND(tblData[Day '# NSW]&gt;0,ISNUMBER(tblData[[#This Row],[Day '# NSW]])),NSWLogestB*NSWLogestM^tblData[[#This Row],[Day '# NSW]]/NSWpopscale,"")</f>
        <v>1309.3645041722498</v>
      </c>
      <c r="CR85" s="39">
        <f ca="1">IF(AND(ISNUMBER(tblData[NSW]),tblData[Dates]&gt;StartDt2NSW),(tblData[NSW]/NSWpopscale-tblData[[#This Row],[NSW Cases LogEst]])^2,"")</f>
        <v>3548343.7839352256</v>
      </c>
      <c r="CS85" s="11">
        <v>363</v>
      </c>
      <c r="CT85" s="19">
        <f>IF(ISNUMBER(tblData[Taiwan]),tblData[Taiwan]/TaiwanPopscale,"")</f>
        <v>152.4743563754989</v>
      </c>
      <c r="CU85" s="11">
        <f ca="1">IF(tblData[[#This Row],[Dates]]&lt;StartDt2Taiwan,"",tblData[[#This Row],[Dates]]-TaiwanStart)</f>
        <v>74</v>
      </c>
      <c r="CV85" s="19">
        <f ca="1">IF(AND(tblData[Dates]&gt;StartDt2Taiwan,ISNUMBER(tblData[Days'# Taiwan])),betaTaiwan/(deltaTaiwan+betaPodeltaTaiwan*EXP(-betaTaiwan*tblData[Days'# Taiwan])),"")</f>
        <v>360.8372104546595</v>
      </c>
      <c r="CW85" s="95">
        <f ca="1">IF(AND(tblData[Dates]&gt;StartDt2Taiwan,ISNUMBER(tblData[Taiwan])),(tblData[[#This Row],[Taiwan LogiP(t)]]-tblData[[#This Row],[Taiwan]])^2,"")</f>
        <v>4.6776586174341741</v>
      </c>
      <c r="CX85" s="20">
        <f ca="1">IF(AND(tblData[Dates]&gt;StartDt2Taiwan,ISNUMBER(tblData[Days'# Taiwan])),tblData[[#This Row],[Taiwan LogiP(t)]]/TaiwanPopscale,"")</f>
        <v>151.56589922976485</v>
      </c>
      <c r="CY85" s="95">
        <f ca="1">IF(AND(ISNUMBER(tblData[Taiwan]),tblData[Dates]&gt;StartDt2Taiwan),(tblData[Taiwan]-AVERAGE(tblData[Taiwan]))^2,"")</f>
        <v>37423.281814686656</v>
      </c>
      <c r="CZ85" s="11">
        <f>tblData[[#This Row],[Dates]]-Taiwan100dt+1</f>
        <v>11</v>
      </c>
      <c r="DA85" s="11">
        <v>1039</v>
      </c>
      <c r="DB85" s="20">
        <f>IF(ISNUMBER(tblData[NZ]),tblData[NZ]/NZPopscale,"")</f>
        <v>1986.6156787762905</v>
      </c>
      <c r="DC85" s="11">
        <f ca="1">IF(tblData[[#This Row],[Dates]]&lt;StartDt2NZ,"",tblData[[#This Row],[Dates]]-NZStart)</f>
        <v>37</v>
      </c>
      <c r="DD85" s="20">
        <f ca="1">IF(AND(tblData[Dates]&gt;StartDt2NZ,ISNUMBER(tblData[Days'# NZ])),betaNZ/(deltaNZ+betaPodeltaNZ*EXP(-betaNZ*tblData[Days'# NZ])),"")</f>
        <v>1034.5985136757999</v>
      </c>
      <c r="DE85" s="95">
        <f ca="1">IF(AND(tblData[Dates]&gt;StartDt2NZ,ISNUMBER(tblData[NZ])),(tblData[[#This Row],[NZ LogiP(t)]]-tblData[[#This Row],[NZ]])^2,"")</f>
        <v>19.37308186212007</v>
      </c>
      <c r="DF85" s="20">
        <f ca="1">IF(AND(tblData[Dates]&gt;StartDt2NZ,ISNUMBER(tblData[Days'# NZ])),tblData[[#This Row],[NZ LogiP(t)]]/NZPopscale,"")</f>
        <v>1978.1998349441681</v>
      </c>
      <c r="DG85" s="95">
        <f ca="1">IF(AND(ISNUMBER(tblData[NZ]),tblData[Dates]&gt;StartDt2NZ),(tblData[NZ]-AVERAGE(tblData[NZ]))^2,"")</f>
        <v>122542.42791551878</v>
      </c>
      <c r="DH85" s="11">
        <f>tblData[[#This Row],[Dates]]-NZ100dt+1</f>
        <v>15</v>
      </c>
      <c r="DI85" s="39"/>
      <c r="DJ85" s="11"/>
      <c r="DM85" s="25"/>
      <c r="DP85"/>
      <c r="DV85" s="25"/>
      <c r="DW85"/>
      <c r="EA85" s="25"/>
      <c r="EH85"/>
      <c r="EI85"/>
      <c r="EJ85"/>
      <c r="EK85"/>
      <c r="EL85" s="25"/>
      <c r="EM85" s="25"/>
      <c r="EQ85" s="25"/>
      <c r="ER85" s="25"/>
      <c r="ES85" s="25"/>
      <c r="ET85" s="25"/>
      <c r="FF85"/>
      <c r="FG85"/>
      <c r="FH85"/>
      <c r="FI85"/>
      <c r="FJ85"/>
      <c r="FK85"/>
      <c r="FL85"/>
      <c r="FO85" s="263" t="s">
        <v>153</v>
      </c>
      <c r="FP85" s="250">
        <v>43915.900972222225</v>
      </c>
      <c r="FQ85" s="156">
        <v>43855</v>
      </c>
      <c r="FR85" s="26">
        <v>43855</v>
      </c>
      <c r="FS85" s="211">
        <v>1</v>
      </c>
      <c r="FT85" s="25">
        <v>0.19974190539273551</v>
      </c>
      <c r="FU85" s="25">
        <v>9.9999999981584546E-13</v>
      </c>
      <c r="FV85" s="21">
        <v>6.3441791267384584E-3</v>
      </c>
      <c r="FW85" s="212">
        <v>199741905429.51889</v>
      </c>
      <c r="FX85" s="212">
        <v>6.9145473337675369</v>
      </c>
      <c r="FY85" s="212"/>
      <c r="FZ85" s="213">
        <v>31.484278959099388</v>
      </c>
      <c r="GA85" s="213">
        <v>9.9999999981584546E-10</v>
      </c>
      <c r="GB85" s="156">
        <v>43915</v>
      </c>
      <c r="GC85" s="25" t="s">
        <v>1167</v>
      </c>
      <c r="GD85" s="212">
        <v>199741905429.51849</v>
      </c>
      <c r="GE85" s="212">
        <v>1029</v>
      </c>
      <c r="GF85" s="25" t="s">
        <v>1168</v>
      </c>
      <c r="GG85" s="156">
        <v>43915</v>
      </c>
      <c r="GH85" s="25">
        <v>61</v>
      </c>
      <c r="GI85" s="25" t="s">
        <v>1169</v>
      </c>
      <c r="GJ85" s="25"/>
      <c r="GK85" s="25" t="s">
        <v>1170</v>
      </c>
      <c r="GM85" s="62" t="s">
        <v>1171</v>
      </c>
      <c r="GN85" s="20">
        <v>1273.5148514851485</v>
      </c>
      <c r="GO85" s="156"/>
      <c r="GP85" s="218"/>
      <c r="GQ85" s="156"/>
      <c r="GR85" s="25"/>
      <c r="GS85" s="25" t="s">
        <v>1139</v>
      </c>
      <c r="GT85" s="11"/>
      <c r="GU85" s="12"/>
      <c r="GV85" s="26"/>
      <c r="GX85" s="219"/>
    </row>
    <row r="86" spans="2:238" x14ac:dyDescent="0.25">
      <c r="B86" s="26">
        <v>43927</v>
      </c>
      <c r="D86" s="25">
        <v>96</v>
      </c>
      <c r="E86">
        <v>2637</v>
      </c>
      <c r="F86">
        <v>28</v>
      </c>
      <c r="G86">
        <v>921</v>
      </c>
      <c r="H86">
        <v>411</v>
      </c>
      <c r="I86" s="25">
        <f>TST!O86</f>
        <v>89</v>
      </c>
      <c r="J86">
        <v>1158</v>
      </c>
      <c r="K86">
        <v>460</v>
      </c>
      <c r="L86" s="11">
        <f>IF(ISNUMBER(tblData[[#This Row],[NSW]]),tblData[[#This Row],[New South Wales]]/NSWpopscale,"")</f>
        <v>3263.6138613861385</v>
      </c>
      <c r="M86" s="25">
        <v>132547</v>
      </c>
      <c r="N86" s="20">
        <f>IF(ISNUMBER(tblData[Italy]),tblData[Italy]/ItalyPopscale,"")</f>
        <v>21914.028271472267</v>
      </c>
      <c r="O86" s="25">
        <v>366317</v>
      </c>
      <c r="P86" s="20">
        <f>IF(ISNUMBER(tblData[US]),tblData[US]/USPopscale,"")</f>
        <v>11126.553106493036</v>
      </c>
      <c r="Q86" s="11">
        <v>10284</v>
      </c>
      <c r="R86" s="20">
        <f>IF(ISNUMBER(tblData[SKorea]),tblData[SKorea]/SKoreaPopscale,"")</f>
        <v>2000.7782101167315</v>
      </c>
      <c r="S86">
        <v>52279</v>
      </c>
      <c r="T86" s="20">
        <f>IF(ISNUMBER(tblData[United Kingdom]),tblData[United Kingdom]/UKPopscale,"")</f>
        <v>7868.6032510535824</v>
      </c>
      <c r="U86">
        <v>82665</v>
      </c>
      <c r="V86" s="20">
        <f>IF(ISNUMBER(tblData[China]),tblData[China]/ChinaPopscale,"")</f>
        <v>574.33220640412742</v>
      </c>
      <c r="W86" s="25">
        <f ca="1">IF(tblData[[#This Row],[Dates]]&lt;StartDt2China,"",tblData[[#This Row],[Dates]]-ChinaStart)</f>
        <v>75</v>
      </c>
      <c r="X86" s="20">
        <v>1375</v>
      </c>
      <c r="Y86" s="20">
        <f>IF(ISNUMBER(tblData[Singapore]),tblData[Singapore]/SingaporePopscale,"")</f>
        <v>2350.4273504273506</v>
      </c>
      <c r="Z86">
        <v>5364</v>
      </c>
      <c r="AA86" s="20">
        <f>IF(AND(LEN(tblData[Generic])&gt;0,ISNUMBER(tblData[Generic])),tblData[Generic]/GenericPopscale,"")</f>
        <v>10946.938775510203</v>
      </c>
      <c r="AB86" s="25">
        <f ca="1">IF(tblData[[#This Row],[Dates]]&lt;StartDt2Italy,"",tblData[[#This Row],[Dates]]-ItalyStart)</f>
        <v>67</v>
      </c>
      <c r="AC86" s="25">
        <f ca="1">IF(tblData[[#This Row],[Dates]]&lt;=StartDt2US,"",tblData[[#This Row],[Dates]]-USStart)</f>
        <v>75</v>
      </c>
      <c r="AD86" s="25">
        <f>IF(tblData[[#This Row],[Dates]]&lt;=SKoreaStart,"",tblData[[#This Row],[Dates]]-SKoreaStart)</f>
        <v>75</v>
      </c>
      <c r="AE86" s="25">
        <f ca="1">IF(tblData[[#This Row],[Dates]]&lt;=StartDt2UK,"",tblData[[#This Row],[Dates]]-UKStart)</f>
        <v>67</v>
      </c>
      <c r="AF86" s="25">
        <f ca="1">IF(tblData[[#This Row],[Dates]]&lt;StartDt2Singapore,"",tblData[[#This Row],[Dates]]-SingaporeStart)</f>
        <v>74</v>
      </c>
      <c r="AG86" s="25">
        <f>IF(tblData[[#This Row],[Dates]]&lt;StartDt2Generic,"",tblData[[#This Row],[Dates]]-GenericStart)</f>
        <v>37</v>
      </c>
      <c r="AH86">
        <f ca="1">IF(tblData[Dates]&gt;StartDt2Au,tblData[Dates]-AuStart,"")</f>
        <v>72</v>
      </c>
      <c r="AI86" s="25">
        <f>IF(AND(COUNTBLANK(tblData[[#This Row],[Australian Capital Territory]:[Western Australia]])&lt;1,tblData[New South Wales]&gt;=0),SUM(tblData[[#This Row],[Australian Capital Territory]:[Western Australia]]),"")</f>
        <v>5800</v>
      </c>
      <c r="AJ86" s="12">
        <f>IF(ISNUMBER(tblData[Au]),tblData[Au]/AuPopScale,"")</f>
        <v>2286.7055669452766</v>
      </c>
      <c r="AK86" s="11">
        <f ca="1">IF(ISNUMBER(tblData[[#This Row],[Day'# Aust]]),betaAu/(deltaAu+betaPodeltaAu*EXP(-betaAu*tblData[[#This Row],[Day'# Aust]])),"")</f>
        <v>5932.5125630487319</v>
      </c>
      <c r="AL86" s="56">
        <f ca="1">IF(ISNUMBER(tblData[Day'# Aust]),tblData[Au LogiP(t)]/AuPopScale,"")</f>
        <v>2338.9499144648839</v>
      </c>
      <c r="AM86" s="11">
        <f ca="1">IF(AND(tblData[Dates]&gt;StartDt2Au,ISNUMBER(tblData[Au])),(tblData[[#This Row],[Au LogiP(t)]]-tblData[[#This Row],[Au]])^2,"")</f>
        <v>17559.579365744135</v>
      </c>
      <c r="AN86" s="11">
        <f ca="1">IF(AND(ISNUMBER(tblData[Au]),tblData[Dates]&gt;StartDt2Au),(tblData[Au]-AVERAGE(tblData[Au]))^2,"")</f>
        <v>11230474.416100001</v>
      </c>
      <c r="AO86" s="11">
        <f>tblData[[#This Row],[Dates]]-Au100dt</f>
        <v>22</v>
      </c>
      <c r="AP86">
        <f ca="1">IF(tblData[Dates]&gt;StartDt2NSW,tblData[Dates]-StartDt2NSW,"")</f>
        <v>72</v>
      </c>
      <c r="AQ86" s="25">
        <f>IF(tblData[[#This Row],[New South Wales]]&gt;0,tblData[[#This Row],[New South Wales]],"")</f>
        <v>2637</v>
      </c>
      <c r="AR86" s="11">
        <f ca="1">IF(tblData[Dates]&gt;StartDt2NSW,betaNSW/(deltaNSW+betaPodeltaNSW*EXP(-betaNSW*tblData[[#This Row],[Day '# NSW]])),"")</f>
        <v>2670.204707131817</v>
      </c>
      <c r="AS86" s="12">
        <f ca="1">IF(AND(ISNUMBER(tblData[NSW]),tblData[Dates]&gt;StartDt2NSW),(tblData[[#This Row],[NSW LogiP(t)]]-tblData[[#This Row],[NSW]])^2,"")</f>
        <v>1102.5525757097407</v>
      </c>
      <c r="AT86" s="39">
        <f ca="1">IF(AND(tblData[Dates]&gt;StartDt2NSW,ISNUMBER(tblData[Day'# Aust])),tblData[NSW LogiP(t)]/NSWpopscale,"")</f>
        <v>3304.7087959552191</v>
      </c>
      <c r="AU86" s="11">
        <f>tblData[[#This Row],[Dates]]-NSW100dt+1</f>
        <v>25</v>
      </c>
      <c r="AV86" s="11">
        <f ca="1">IF(AND(ISNUMBER(tblData[NSW]),tblData[Dates]&gt;StartDt2NSW),(tblData[NSW]-AVERAGE(tblData[NSW]))^2,"")</f>
        <v>2380046.7075999998</v>
      </c>
      <c r="AW86" s="11">
        <f ca="1">IF(AND(tblData[Dates]&gt;StartDt2Italy,ISNUMBER(tblData[Days'# Italy])),betaItaly/(deltaItaly+betaPodeltaItaly*EXP(-betaItaly*tblData[Days'# Italy])),"")</f>
        <v>158898.17857054248</v>
      </c>
      <c r="AX86" s="11">
        <f ca="1">IF(AND(tblData[Dates]&gt;StartDt2Italy,ISNUMBER(tblData[Italy])),(tblData[[#This Row],[Italy LogiP(t)]]-tblData[[#This Row],[Italy]])^2,"")</f>
        <v>694384612.0566175</v>
      </c>
      <c r="AY86" s="11">
        <f ca="1">IF(AND(tblData[Dates]&gt;StartDt2Italy,ISNUMBER(tblData[Days'# Italy])),tblData[[#This Row],[Italy LogiP(t)]]/ItalyPopscale,"")</f>
        <v>26270.675137727121</v>
      </c>
      <c r="AZ86" s="39">
        <f ca="1">IF(AND(ISNUMBER(tblData[Italy]),tblData[Dates]&gt;StartDt2Italy),(tblData[Italy]-AVERAGE(tblData[Italy]))^2,"")</f>
        <v>3943638240.8783393</v>
      </c>
      <c r="BA86" s="11">
        <f>tblData[[#This Row],[Dates]]-Italy100dt+1</f>
        <v>40</v>
      </c>
      <c r="BB86" s="11">
        <f ca="1">IF(AND(tblData[Dates]&gt;StartDt2US,ISNUMBER(tblData[[#This Row],[Days'# US]])),betaUS/(deltaUS+betaPodeltaUS*EXP(-betaUS*tblData[Days'# US])),"")</f>
        <v>555262.93201678921</v>
      </c>
      <c r="BC86" s="11">
        <f ca="1">IF(AND(tblData[Dates]&gt;StartDt2US,ISNUMBER(tblData[US])),(tblData[[#This Row],[US LogiP(t)]]-tblData[US])^2,"")</f>
        <v>35700565225.69313</v>
      </c>
      <c r="BD86" s="20">
        <f ca="1">IF(AND(tblData[Dates]&gt;=StartDt2US,ISNUMBER(tblData[[#This Row],[Days'# US]])),tblData[[#This Row],[US LogiP(t)]]/USPopscale,"")</f>
        <v>16865.617760442015</v>
      </c>
      <c r="BE86" s="126">
        <f ca="1">IF(AND(ISNUMBER(tblData[US]),tblData[Dates]&gt;StartDt2US),(tblData[US]-AVERAGE(tblData[US]))^2,"")</f>
        <v>20270286084.883602</v>
      </c>
      <c r="BF86" s="11">
        <f>tblData[[#This Row],[Dates]]-US100dt+1</f>
        <v>23</v>
      </c>
      <c r="BG86" s="20">
        <f ca="1">IF(tblData[Dates]&gt;StartDt2SKorea,betaSKorea/(deltaSKorea+betaPodeltaSKorea*EXP(-betaSKorea*(tblData[Dates]-StartDt2SKorea))),"")</f>
        <v>10200.241040276318</v>
      </c>
      <c r="BH86" s="20">
        <f ca="1">IF(AND(tblData[Dates]&gt;StartDt2SKorea,ISNUMBER(tblData[SKorea])),(tblData[[#This Row],[SKorea LogiP(t)]]-tblData[[#This Row],[SKorea]])^2,"")</f>
        <v>7015.5633339933802</v>
      </c>
      <c r="BI86" s="20">
        <f ca="1">IF(tblData[Dates]&gt;StartDt2SKorea,tblData[[#This Row],[SKorea LogiP(t)]]/SKoreaPopscale,"")</f>
        <v>1984.4826926607625</v>
      </c>
      <c r="BJ86" s="126">
        <f ca="1">IF(AND(ISNUMBER(tblData[SKorea]),tblData[Dates]&gt;StartDt2SKorea),(tblData[SKorea]-AVERAGE(tblData[SKorea]))^2,"")</f>
        <v>19888277.001537874</v>
      </c>
      <c r="BK86" s="11">
        <f>tblData[[#This Row],[Dates]]-SKorea100dt+1</f>
        <v>44</v>
      </c>
      <c r="BL86" s="11">
        <f ca="1">IF(AND(tblData[Dates]&gt;StartDt2UK,ISNUMBER(tblData[Days'# UK])),betaUK/(deltaUK+betaPodeltaUK*EXP(-betaUK*tblData[Days'# UK])),"")</f>
        <v>70866.452710344369</v>
      </c>
      <c r="BM86" s="61">
        <f ca="1">IF(AND(tblData[Dates]&gt;StartDt2UK,ISNUMBER(tblData[United Kingdom])),(tblData[[#This Row],[UK LogiP(t)]]-tblData[[#This Row],[United Kingdom]])^2,"")</f>
        <v>345493398.25928825</v>
      </c>
      <c r="BN86" s="11">
        <f ca="1">IF(ISNUMBER(tblData[Days'# UK]),tblData[[#This Row],[UK LogiP(t)]]/UKPopscale,"")</f>
        <v>10666.233099088557</v>
      </c>
      <c r="BO86" s="126">
        <f ca="1">IF(AND(ISNUMBER(tblData[United Kingdom]),tblData[Dates]&gt;StartDt2UK),(tblData[United Kingdom]-AVERAGE(tblData[United Kingdom]))^2,"")</f>
        <v>204832430.46910363</v>
      </c>
      <c r="BP86" s="11">
        <f>tblData[[#This Row],[Dates]]-UK100dt</f>
        <v>25</v>
      </c>
      <c r="BQ86" s="11">
        <f ca="1">IF(ISNUMBER(tblData[Days'# China]),betaChina/(deltaChina+betaPodeltaChina*EXP(-betaChina*tblData[Days'# China])),"")</f>
        <v>82124.889895421467</v>
      </c>
      <c r="BR86" s="11">
        <f ca="1">IF(ISNUMBER(tblData[China]),(tblData[[#This Row],[China LogiP(t)]]-tblData[[#This Row],[China]])^2,"")</f>
        <v>291718.92506783345</v>
      </c>
      <c r="BS86" s="11">
        <f ca="1">tblData[[#This Row],[China LogiP(t)]]/ChinaPopscale</f>
        <v>570.57967960241263</v>
      </c>
      <c r="BT86" s="126">
        <f ca="1">IF(AND(ISNUMBER(tblData[China]),tblData[Dates]&gt;StartDt2China),(tblData[China]-AVERAGE(tblData[China]))^2,"")</f>
        <v>239027969.69204131</v>
      </c>
      <c r="BU86" s="11">
        <f>tblData[[#This Row],[Dates]]-China100dt</f>
        <v>64</v>
      </c>
      <c r="BV86" s="95">
        <f ca="1">IF(ISNUMBER(tblData[Day'# Singapore]),betaSingapore/(deltaSingapore+betaPodeltaSingapore*EXP(-betaSingapore*tblData[Day'# Singapore])),"")</f>
        <v>1281.1547711789085</v>
      </c>
      <c r="BW86" s="11">
        <f ca="1">IF(AND(ISNUMBER(tblData[Singapore]),tblData[Dates]&gt;=StartDt2Singapore),(tblData[[#This Row],[Singapore LogiP(t)]]-tblData[[#This Row],[Singapore]])^2,"")</f>
        <v>8806.9269724830228</v>
      </c>
      <c r="BX86" s="20">
        <f ca="1">IF(ISNUMBER(tblData[Day'# Singapore]),tblData[Singapore LogiP(t)]/SingaporePopscale,"")</f>
        <v>2190.008155861382</v>
      </c>
      <c r="BY86" s="95">
        <f ca="1">IF(AND(ISNUMBER(tblData[Singapore]),tblData[Dates]&gt;StartDt2Singapore),(tblData[Singapore]-AVERAGE(tblData[Singapore]))^2,"")</f>
        <v>894545.05805459467</v>
      </c>
      <c r="BZ86" s="11">
        <f>tblData[[#This Row],[Dates]]-Singapore100dt+1</f>
        <v>53</v>
      </c>
      <c r="CA86" s="44">
        <f>IF(AND(tblData[Dates]&gt;StartDt2Generic,ISNUMBER(tblData[Day'# Generic])),betaGeneric/(deltaGeneric+betaPodeltaGeneric*EXP(-betaGeneric*tblData[Day'# Generic])),"")</f>
        <v>5695.4064104668341</v>
      </c>
      <c r="CB86" s="95">
        <f>IF(AND(ISNUMBER(tblData[Generic]),tblData[Dates]&gt;StartDt2Generic),(tblData[Generic LogiP(t)]-tblData[[#This Row],[Generic]])^2,"")</f>
        <v>109830.20889851174</v>
      </c>
      <c r="CC86" s="11">
        <f>IF(AND(ISNUMBER(tblData[Day'# Generic]),tblData[Dates]&gt;StartDt2Generic),tblData[Generic LogiP(t)]/GenericPopscale,"")</f>
        <v>11623.278388707826</v>
      </c>
      <c r="CD86" s="95">
        <f>IF(AND(ISNUMBER(tblData[Generic]),tblData[Dates]&gt;StartDt2Generic),(tblData[Generic]-AVERAGE(tblData[Generic]))^2,"")</f>
        <v>1611649.7808284021</v>
      </c>
      <c r="CE86" s="11">
        <f>tblData[[#This Row],[Dates]]-Generic100dt+1</f>
        <v>25</v>
      </c>
      <c r="CF86" s="11">
        <v>123460</v>
      </c>
      <c r="CG86" s="11"/>
      <c r="CH86" s="11">
        <f>IF(ISNUMBER(tblData[[#This Row],[Tests]]),tblData[[#This Row],[Tests]]-CF85,"")</f>
        <v>4597</v>
      </c>
      <c r="CI86" s="11" t="str">
        <f>IF(ISNUMBER(tblData[[#This Row],[NSW Under Investigation'']]),tblData[[#This Row],[NSW Under Investigation'']]-CG85,"")</f>
        <v/>
      </c>
      <c r="CJ86" s="11">
        <f t="shared" si="2"/>
        <v>32</v>
      </c>
      <c r="CK86" s="11">
        <f>IF(AND(tblData[[#This Row],[NSW Test Day Number]]&gt;0,ISNUMBER(tblData[[#This Row],[NSW Test Day Number]])),betaTests/(deltaTests+betaPodeltaTests*EXP(-betaTests*tblData[[#This Row],[NSW Test Day Number]])),"")</f>
        <v>151366.40549414748</v>
      </c>
      <c r="CL86" s="11">
        <f>IF(tblData[Tests]&gt;0,(tblData[[#This Row],[Tests]]-tblData[[#This Row],[NSW Test Logi]])^2,"")</f>
        <v>778767467.60378444</v>
      </c>
      <c r="CM86" s="95">
        <f>IF(AND(ISNUMBER(tblData[Tests]),tblData[Dates]&gt;StartDt2Tests),(tblData[Tests]-AVERAGE(tblData[Tests]))^2,"")</f>
        <v>299399087.90462488</v>
      </c>
      <c r="CN86" s="11">
        <f>IF(ISNUMBER(tblData[Tests]),tblData[Tests]/NSWpopscale/100,"")</f>
        <v>1527.970297029703</v>
      </c>
      <c r="CO86" s="95">
        <f ca="1">IF(AND(tblData[[#This Row],[NSW Test Day Number]]&gt;0,ISNUMBER(tblData[[#This Row],[NSW Test Day Number]])),TestsLogestB*TestsLogestM^tblData[[#This Row],[NSW Test Day Number]],"")</f>
        <v>85581.277610389589</v>
      </c>
      <c r="CP86" s="11">
        <f>IF(AND(tblData[[#This Row],[NSW Test Day Number]]&gt;0,ISNUMBER(tblData[Tests])),(tblData[Tests]-tblData[[#This Row],[NSW Test Per Capita]])^2,"")</f>
        <v>14867419867.486031</v>
      </c>
      <c r="CQ86" s="20">
        <f ca="1">IF(AND(tblData[Day '# NSW]&gt;0,ISNUMBER(tblData[[#This Row],[Day '# NSW]])),NSWLogestB*NSWLogestM^tblData[[#This Row],[Day '# NSW]]/NSWpopscale,"")</f>
        <v>1441.552225504927</v>
      </c>
      <c r="CR86" s="39">
        <f ca="1">IF(AND(ISNUMBER(tblData[NSW]),tblData[Dates]&gt;StartDt2NSW),(tblData[NSW]/NSWpopscale-tblData[[#This Row],[NSW Cases LogEst]])^2,"")</f>
        <v>3319908.6049501165</v>
      </c>
      <c r="CS86" s="11">
        <v>373</v>
      </c>
      <c r="CT86" s="19">
        <f>IF(ISNUMBER(tblData[Taiwan]),tblData[Taiwan]/TaiwanPopscale,"")</f>
        <v>156.67475186793686</v>
      </c>
      <c r="CU86" s="11">
        <f ca="1">IF(tblData[[#This Row],[Dates]]&lt;StartDt2Taiwan,"",tblData[[#This Row],[Dates]]-TaiwanStart)</f>
        <v>75</v>
      </c>
      <c r="CV86" s="19">
        <f ca="1">IF(AND(tblData[Dates]&gt;StartDt2Taiwan,ISNUMBER(tblData[Days'# Taiwan])),betaTaiwan/(deltaTaiwan+betaPodeltaTaiwan*EXP(-betaTaiwan*tblData[Days'# Taiwan])),"")</f>
        <v>368.59384844839775</v>
      </c>
      <c r="CW86" s="95">
        <f ca="1">IF(AND(tblData[Dates]&gt;StartDt2Taiwan,ISNUMBER(tblData[Taiwan])),(tblData[[#This Row],[Taiwan LogiP(t)]]-tblData[[#This Row],[Taiwan]])^2,"")</f>
        <v>19.414171495686912</v>
      </c>
      <c r="CX86" s="20">
        <f ca="1">IF(AND(tblData[Dates]&gt;StartDt2Taiwan,ISNUMBER(tblData[Days'# Taiwan])),tblData[[#This Row],[Taiwan LogiP(t)]]/TaiwanPopscale,"")</f>
        <v>154.82399395630199</v>
      </c>
      <c r="CY86" s="95">
        <f ca="1">IF(AND(ISNUMBER(tblData[Taiwan]),tblData[Dates]&gt;StartDt2Taiwan),(tblData[Taiwan]-AVERAGE(tblData[Taiwan]))^2,"")</f>
        <v>41392.301422529788</v>
      </c>
      <c r="CZ86" s="11">
        <f>tblData[[#This Row],[Dates]]-Taiwan100dt+1</f>
        <v>12</v>
      </c>
      <c r="DA86" s="11">
        <v>1106</v>
      </c>
      <c r="DB86" s="20">
        <f>IF(ISNUMBER(tblData[NZ]),tblData[NZ]/NZPopscale,"")</f>
        <v>2114.72275334608</v>
      </c>
      <c r="DC86" s="11">
        <f ca="1">IF(tblData[[#This Row],[Dates]]&lt;StartDt2NZ,"",tblData[[#This Row],[Dates]]-NZStart)</f>
        <v>38</v>
      </c>
      <c r="DD86" s="20">
        <f ca="1">IF(AND(tblData[Dates]&gt;StartDt2NZ,ISNUMBER(tblData[Days'# NZ])),betaNZ/(deltaNZ+betaPodeltaNZ*EXP(-betaNZ*tblData[Days'# NZ])),"")</f>
        <v>1101.4203012721794</v>
      </c>
      <c r="DE86" s="95">
        <f ca="1">IF(AND(tblData[Dates]&gt;StartDt2NZ,ISNUMBER(tblData[NZ])),(tblData[[#This Row],[NZ LogiP(t)]]-tblData[[#This Row],[NZ]])^2,"")</f>
        <v>20.973640437602004</v>
      </c>
      <c r="DF86" s="20">
        <f ca="1">IF(AND(tblData[Dates]&gt;StartDt2NZ,ISNUMBER(tblData[Days'# NZ])),tblData[[#This Row],[NZ LogiP(t)]]/NZPopscale,"")</f>
        <v>2105.9661592202283</v>
      </c>
      <c r="DG86" s="95">
        <f ca="1">IF(AND(ISNUMBER(tblData[NZ]),tblData[Dates]&gt;StartDt2NZ),(tblData[NZ]-AVERAGE(tblData[NZ]))^2,"")</f>
        <v>173939.54912764</v>
      </c>
      <c r="DH86" s="11">
        <f>tblData[[#This Row],[Dates]]-NZ100dt+1</f>
        <v>16</v>
      </c>
      <c r="DI86" s="39"/>
      <c r="DJ86" s="11"/>
      <c r="DM86" s="25"/>
      <c r="DP86"/>
      <c r="DV86" s="25"/>
      <c r="DW86"/>
      <c r="EA86" s="25"/>
      <c r="EH86"/>
      <c r="EI86"/>
      <c r="EJ86"/>
      <c r="EK86"/>
      <c r="EL86" s="25"/>
      <c r="EM86" s="25"/>
      <c r="EQ86" s="25"/>
      <c r="ER86" s="25"/>
      <c r="ES86" s="25"/>
      <c r="ET86" s="25"/>
      <c r="FF86"/>
      <c r="FG86"/>
      <c r="FH86"/>
      <c r="FI86"/>
      <c r="FJ86"/>
      <c r="FK86"/>
      <c r="FL86"/>
      <c r="FO86" s="263" t="s">
        <v>153</v>
      </c>
      <c r="FP86" s="250">
        <v>43916.899039351854</v>
      </c>
      <c r="FQ86" s="156">
        <v>43855</v>
      </c>
      <c r="FR86" s="26">
        <v>43855</v>
      </c>
      <c r="FS86" s="211">
        <v>1</v>
      </c>
      <c r="FT86" s="25">
        <v>0.20855545594562394</v>
      </c>
      <c r="FU86" s="71">
        <v>2.1724930507479493E-5</v>
      </c>
      <c r="FV86" s="21">
        <v>4.178927841893056E-3</v>
      </c>
      <c r="FW86" s="212">
        <v>9599.8215448294359</v>
      </c>
      <c r="FX86" s="212">
        <v>15.099122382386785</v>
      </c>
      <c r="FY86" s="212"/>
      <c r="FZ86" s="213">
        <v>49.906428885412708</v>
      </c>
      <c r="GA86" s="213">
        <v>2.1724930507479492E-2</v>
      </c>
      <c r="GB86" s="156">
        <v>43916</v>
      </c>
      <c r="GC86" s="74" t="s">
        <v>1217</v>
      </c>
      <c r="GD86" s="212">
        <v>9599.8215448294359</v>
      </c>
      <c r="GE86" s="212">
        <v>1219</v>
      </c>
      <c r="GF86" s="25" t="s">
        <v>1147</v>
      </c>
      <c r="GG86" s="156">
        <v>43916</v>
      </c>
      <c r="GH86" s="25">
        <v>62</v>
      </c>
      <c r="GI86" s="25" t="s">
        <v>1218</v>
      </c>
      <c r="GJ86" s="25"/>
      <c r="GK86" s="62" t="s">
        <v>1219</v>
      </c>
      <c r="GM86" s="62" t="s">
        <v>1220</v>
      </c>
      <c r="GN86" s="20">
        <v>1508.6633663366335</v>
      </c>
      <c r="GO86" s="156"/>
      <c r="GP86" s="218"/>
      <c r="GQ86" s="156"/>
      <c r="GR86" s="25"/>
      <c r="GS86" s="25" t="s">
        <v>1201</v>
      </c>
      <c r="GT86" s="11"/>
      <c r="GU86" s="12"/>
      <c r="GV86" s="26"/>
      <c r="GX86" s="219"/>
    </row>
    <row r="87" spans="2:238" x14ac:dyDescent="0.25">
      <c r="B87" s="26">
        <v>43928</v>
      </c>
      <c r="D87" s="25">
        <v>97</v>
      </c>
      <c r="E87">
        <v>2686</v>
      </c>
      <c r="F87">
        <v>28</v>
      </c>
      <c r="G87">
        <v>934</v>
      </c>
      <c r="H87">
        <v>415</v>
      </c>
      <c r="I87" s="25">
        <f>TST!O87</f>
        <v>98</v>
      </c>
      <c r="J87">
        <v>1191</v>
      </c>
      <c r="K87">
        <v>470</v>
      </c>
      <c r="L87" s="11">
        <f>IF(ISNUMBER(tblData[[#This Row],[NSW]]),tblData[[#This Row],[New South Wales]]/NSWpopscale,"")</f>
        <v>3324.257425742574</v>
      </c>
      <c r="M87" s="25">
        <v>135586</v>
      </c>
      <c r="N87" s="20">
        <f>IF(ISNUMBER(tblData[Italy]),tblData[Italy]/ItalyPopscale,"")</f>
        <v>22416.466892618006</v>
      </c>
      <c r="O87" s="25">
        <v>397121</v>
      </c>
      <c r="P87" s="20">
        <f>IF(ISNUMBER(tblData[US]),tblData[US]/USPopscale,"")</f>
        <v>12062.197212260477</v>
      </c>
      <c r="Q87" s="11">
        <v>10331</v>
      </c>
      <c r="R87" s="20">
        <f>IF(ISNUMBER(tblData[SKorea]),tblData[SKorea]/SKoreaPopscale,"")</f>
        <v>2009.922178988327</v>
      </c>
      <c r="S87">
        <v>55949</v>
      </c>
      <c r="T87" s="20">
        <f>IF(ISNUMBER(tblData[United Kingdom]),tblData[United Kingdom]/UKPopscale,"")</f>
        <v>8420.9813365442496</v>
      </c>
      <c r="U87">
        <v>82718</v>
      </c>
      <c r="V87" s="20">
        <f>IF(ISNUMBER(tblData[China]),tblData[China]/ChinaPopscale,"")</f>
        <v>574.70043487977512</v>
      </c>
      <c r="W87" s="25">
        <f ca="1">IF(tblData[[#This Row],[Dates]]&lt;StartDt2China,"",tblData[[#This Row],[Dates]]-ChinaStart)</f>
        <v>76</v>
      </c>
      <c r="X87" s="20">
        <v>1481</v>
      </c>
      <c r="Y87" s="20">
        <f>IF(ISNUMBER(tblData[Singapore]),tblData[Singapore]/SingaporePopscale,"")</f>
        <v>2531.6239316239316</v>
      </c>
      <c r="Z87">
        <v>5709</v>
      </c>
      <c r="AA87" s="20">
        <f>IF(AND(LEN(tblData[Generic])&gt;0,ISNUMBER(tblData[Generic])),tblData[Generic]/GenericPopscale,"")</f>
        <v>11651.020408163266</v>
      </c>
      <c r="AB87" s="25">
        <f ca="1">IF(tblData[[#This Row],[Dates]]&lt;StartDt2Italy,"",tblData[[#This Row],[Dates]]-ItalyStart)</f>
        <v>68</v>
      </c>
      <c r="AC87" s="25">
        <f ca="1">IF(tblData[[#This Row],[Dates]]&lt;=StartDt2US,"",tblData[[#This Row],[Dates]]-USStart)</f>
        <v>76</v>
      </c>
      <c r="AD87" s="25">
        <f>IF(tblData[[#This Row],[Dates]]&lt;=SKoreaStart,"",tblData[[#This Row],[Dates]]-SKoreaStart)</f>
        <v>76</v>
      </c>
      <c r="AE87" s="25">
        <f ca="1">IF(tblData[[#This Row],[Dates]]&lt;=StartDt2UK,"",tblData[[#This Row],[Dates]]-UKStart)</f>
        <v>68</v>
      </c>
      <c r="AF87" s="25">
        <f ca="1">IF(tblData[[#This Row],[Dates]]&lt;StartDt2Singapore,"",tblData[[#This Row],[Dates]]-SingaporeStart)</f>
        <v>75</v>
      </c>
      <c r="AG87" s="25">
        <f>IF(tblData[[#This Row],[Dates]]&lt;StartDt2Generic,"",tblData[[#This Row],[Dates]]-GenericStart)</f>
        <v>38</v>
      </c>
      <c r="AH87">
        <f ca="1">IF(tblData[Dates]&gt;StartDt2Au,tblData[Dates]-AuStart,"")</f>
        <v>73</v>
      </c>
      <c r="AI87" s="25">
        <f>IF(AND(COUNTBLANK(tblData[[#This Row],[Australian Capital Territory]:[Western Australia]])&lt;1,tblData[New South Wales]&gt;=0),SUM(tblData[[#This Row],[Australian Capital Territory]:[Western Australia]]),"")</f>
        <v>5919</v>
      </c>
      <c r="AJ87" s="12">
        <f>IF(ISNUMBER(tblData[Au]),tblData[Au]/AuPopScale,"")</f>
        <v>2333.6224570257059</v>
      </c>
      <c r="AK87" s="11">
        <f ca="1">IF(ISNUMBER(tblData[[#This Row],[Day'# Aust]]),betaAu/(deltaAu+betaPodeltaAu*EXP(-betaAu*tblData[[#This Row],[Day'# Aust]])),"")</f>
        <v>6063.9232610266245</v>
      </c>
      <c r="AL87" s="56">
        <f ca="1">IF(ISNUMBER(tblData[Day'# Aust]),tblData[Au LogiP(t)]/AuPopScale,"")</f>
        <v>2390.759841123886</v>
      </c>
      <c r="AM87" s="11">
        <f ca="1">IF(AND(tblData[Dates]&gt;StartDt2Au,ISNUMBER(tblData[Au])),(tblData[[#This Row],[Au LogiP(t)]]-tblData[[#This Row],[Au]])^2,"")</f>
        <v>21002.751586591126</v>
      </c>
      <c r="AN87" s="11">
        <f ca="1">IF(AND(ISNUMBER(tblData[Au]),tblData[Dates]&gt;StartDt2Au),(tblData[Au]-AVERAGE(tblData[Au]))^2,"")</f>
        <v>12042218.6361</v>
      </c>
      <c r="AO87" s="11">
        <f>tblData[[#This Row],[Dates]]-Au100dt</f>
        <v>23</v>
      </c>
      <c r="AP87">
        <f ca="1">IF(tblData[Dates]&gt;StartDt2NSW,tblData[Dates]-StartDt2NSW,"")</f>
        <v>73</v>
      </c>
      <c r="AQ87" s="25">
        <f>IF(tblData[[#This Row],[New South Wales]]&gt;0,tblData[[#This Row],[New South Wales]],"")</f>
        <v>2686</v>
      </c>
      <c r="AR87" s="11">
        <f ca="1">IF(tblData[Dates]&gt;StartDt2NSW,betaNSW/(deltaNSW+betaPodeltaNSW*EXP(-betaNSW*tblData[[#This Row],[Day '# NSW]])),"")</f>
        <v>2728.3457488492099</v>
      </c>
      <c r="AS87" s="12">
        <f ca="1">IF(AND(ISNUMBER(tblData[NSW]),tblData[Dates]&gt;StartDt2NSW),(tblData[[#This Row],[NSW LogiP(t)]]-tblData[[#This Row],[NSW]])^2,"")</f>
        <v>1793.1624456003649</v>
      </c>
      <c r="AT87" s="39">
        <f ca="1">IF(AND(tblData[Dates]&gt;StartDt2NSW,ISNUMBER(tblData[Day'# Aust])),tblData[NSW LogiP(t)]/NSWpopscale,"")</f>
        <v>3376.6655307539727</v>
      </c>
      <c r="AU87" s="11">
        <f>tblData[[#This Row],[Dates]]-NSW100dt+1</f>
        <v>26</v>
      </c>
      <c r="AV87" s="11">
        <f ca="1">IF(AND(ISNUMBER(tblData[NSW]),tblData[Dates]&gt;StartDt2NSW),(tblData[NSW]-AVERAGE(tblData[NSW]))^2,"")</f>
        <v>2533636.2275999999</v>
      </c>
      <c r="AW87" s="11">
        <f ca="1">IF(AND(tblData[Dates]&gt;StartDt2Italy,ISNUMBER(tblData[Days'# Italy])),betaItaly/(deltaItaly+betaPodeltaItaly*EXP(-betaItaly*tblData[Days'# Italy])),"")</f>
        <v>159447.75516144306</v>
      </c>
      <c r="AX87" s="11">
        <f ca="1">IF(AND(tblData[Dates]&gt;StartDt2Italy,ISNUMBER(tblData[Italy])),(tblData[[#This Row],[Italy LogiP(t)]]-tblData[[#This Row],[Italy]])^2,"")</f>
        <v>569383359.38465428</v>
      </c>
      <c r="AY87" s="11">
        <f ca="1">IF(AND(tblData[Dates]&gt;StartDt2Italy,ISNUMBER(tblData[Days'# Italy])),tblData[[#This Row],[Italy LogiP(t)]]/ItalyPopscale,"")</f>
        <v>26361.536771338855</v>
      </c>
      <c r="AZ87" s="39">
        <f ca="1">IF(AND(ISNUMBER(tblData[Italy]),tblData[Dates]&gt;StartDt2Italy),(tblData[Italy]-AVERAGE(tblData[Italy]))^2,"")</f>
        <v>4334562398.2825947</v>
      </c>
      <c r="BA87" s="11">
        <f>tblData[[#This Row],[Dates]]-Italy100dt+1</f>
        <v>41</v>
      </c>
      <c r="BB87" s="11">
        <f ca="1">IF(AND(tblData[Dates]&gt;StartDt2US,ISNUMBER(tblData[[#This Row],[Days'# US]])),betaUS/(deltaUS+betaPodeltaUS*EXP(-betaUS*tblData[Days'# US])),"")</f>
        <v>602502.54769887018</v>
      </c>
      <c r="BC87" s="11">
        <f ca="1">IF(AND(tblData[Dates]&gt;StartDt2US,ISNUMBER(tblData[US])),(tblData[[#This Row],[US LogiP(t)]]-tblData[US])^2,"")</f>
        <v>42181580135.183289</v>
      </c>
      <c r="BD87" s="20">
        <f ca="1">IF(AND(tblData[Dates]&gt;=StartDt2US,ISNUMBER(tblData[[#This Row],[Days'# US]])),tblData[[#This Row],[US LogiP(t)]]/USPopscale,"")</f>
        <v>18300.479076234064</v>
      </c>
      <c r="BE87" s="126">
        <f ca="1">IF(AND(ISNUMBER(tblData[US]),tblData[Dates]&gt;StartDt2US),(tblData[US]-AVERAGE(tblData[US]))^2,"")</f>
        <v>29990534792.883602</v>
      </c>
      <c r="BF87" s="11">
        <f>tblData[[#This Row],[Dates]]-US100dt+1</f>
        <v>24</v>
      </c>
      <c r="BG87" s="20">
        <f ca="1">IF(tblData[Dates]&gt;StartDt2SKorea,betaSKorea/(deltaSKorea+betaPodeltaSKorea*EXP(-betaSKorea*(tblData[Dates]-StartDt2SKorea))),"")</f>
        <v>10205.742419271559</v>
      </c>
      <c r="BH87" s="20">
        <f ca="1">IF(AND(tblData[Dates]&gt;StartDt2SKorea,ISNUMBER(tblData[SKorea])),(tblData[[#This Row],[SKorea LogiP(t)]]-tblData[[#This Row],[SKorea]])^2,"")</f>
        <v>15689.461529941938</v>
      </c>
      <c r="BI87" s="20">
        <f ca="1">IF(tblData[Dates]&gt;StartDt2SKorea,tblData[[#This Row],[SKorea LogiP(t)]]/SKoreaPopscale,"")</f>
        <v>1985.5529998582801</v>
      </c>
      <c r="BJ87" s="126">
        <f ca="1">IF(AND(ISNUMBER(tblData[SKorea]),tblData[Dates]&gt;StartDt2SKorea),(tblData[SKorea]-AVERAGE(tblData[SKorea]))^2,"")</f>
        <v>20309690.981930029</v>
      </c>
      <c r="BK87" s="11">
        <f>tblData[[#This Row],[Dates]]-SKorea100dt+1</f>
        <v>45</v>
      </c>
      <c r="BL87" s="11">
        <f ca="1">IF(AND(tblData[Dates]&gt;StartDt2UK,ISNUMBER(tblData[Days'# UK])),betaUK/(deltaUK+betaPodeltaUK*EXP(-betaUK*tblData[Days'# UK])),"")</f>
        <v>78456.630798558734</v>
      </c>
      <c r="BM87" s="61">
        <f ca="1">IF(AND(tblData[Dates]&gt;StartDt2UK,ISNUMBER(tblData[United Kingdom])),(tblData[[#This Row],[UK LogiP(t)]]-tblData[[#This Row],[United Kingdom]])^2,"")</f>
        <v>506593444.16422963</v>
      </c>
      <c r="BN87" s="11">
        <f ca="1">IF(ISNUMBER(tblData[Days'# UK]),tblData[[#This Row],[UK LogiP(t)]]/UKPopscale,"")</f>
        <v>11808.644009415824</v>
      </c>
      <c r="BO87" s="126">
        <f ca="1">IF(AND(ISNUMBER(tblData[United Kingdom]),tblData[Dates]&gt;StartDt2UK),(tblData[United Kingdom]-AVERAGE(tblData[United Kingdom]))^2,"")</f>
        <v>323351176.21378452</v>
      </c>
      <c r="BP87" s="11">
        <f>tblData[[#This Row],[Dates]]-UK100dt</f>
        <v>26</v>
      </c>
      <c r="BQ87" s="11">
        <f ca="1">IF(ISNUMBER(tblData[Days'# China]),betaChina/(deltaChina+betaPodeltaChina*EXP(-betaChina*tblData[Days'# China])),"")</f>
        <v>82124.943527390817</v>
      </c>
      <c r="BR87" s="11">
        <f ca="1">IF(ISNUMBER(tblData[China]),(tblData[[#This Row],[China LogiP(t)]]-tblData[[#This Row],[China]])^2,"")</f>
        <v>351715.97970364708</v>
      </c>
      <c r="BS87" s="11">
        <f ca="1">tblData[[#This Row],[China LogiP(t)]]/ChinaPopscale</f>
        <v>570.58005222162615</v>
      </c>
      <c r="BT87" s="126">
        <f ca="1">IF(AND(ISNUMBER(tblData[China]),tblData[Dates]&gt;StartDt2China),(tblData[China]-AVERAGE(tblData[China]))^2,"")</f>
        <v>240669594.80968836</v>
      </c>
      <c r="BU87" s="11">
        <f>tblData[[#This Row],[Dates]]-China100dt</f>
        <v>65</v>
      </c>
      <c r="BV87" s="95">
        <f ca="1">IF(ISNUMBER(tblData[Day'# Singapore]),betaSingapore/(deltaSingapore+betaPodeltaSingapore*EXP(-betaSingapore*tblData[Day'# Singapore])),"")</f>
        <v>1445.6385613071106</v>
      </c>
      <c r="BW87" s="11">
        <f ca="1">IF(AND(ISNUMBER(tblData[Singapore]),tblData[Dates]&gt;=StartDt2Singapore),(tblData[[#This Row],[Singapore LogiP(t)]]-tblData[[#This Row],[Singapore]])^2,"")</f>
        <v>1250.4313464309721</v>
      </c>
      <c r="BX87" s="20">
        <f ca="1">IF(ISNUMBER(tblData[Day'# Singapore]),tblData[Singapore LogiP(t)]/SingaporePopscale,"")</f>
        <v>2471.1770278754029</v>
      </c>
      <c r="BY87" s="95">
        <f ca="1">IF(AND(ISNUMBER(tblData[Singapore]),tblData[Dates]&gt;StartDt2Singapore),(tblData[Singapore]-AVERAGE(tblData[Singapore]))^2,"")</f>
        <v>705270.62668204564</v>
      </c>
      <c r="BZ87" s="11">
        <f>tblData[[#This Row],[Dates]]-Singapore100dt+1</f>
        <v>54</v>
      </c>
      <c r="CA87" s="44">
        <f>IF(AND(tblData[Dates]&gt;StartDt2Generic,ISNUMBER(tblData[Day'# Generic])),betaGeneric/(deltaGeneric+betaPodeltaGeneric*EXP(-betaGeneric*tblData[Day'# Generic])),"")</f>
        <v>6287.0101519327618</v>
      </c>
      <c r="CB87" s="95">
        <f>IF(AND(ISNUMBER(tblData[Generic]),tblData[Dates]&gt;StartDt2Generic),(tblData[Generic LogiP(t)]-tblData[[#This Row],[Generic]])^2,"")</f>
        <v>334095.73573733435</v>
      </c>
      <c r="CC87" s="11">
        <f>IF(AND(ISNUMBER(tblData[Day'# Generic]),tblData[Dates]&gt;StartDt2Generic),tblData[Generic LogiP(t)]/GenericPopscale,"")</f>
        <v>12830.632963128086</v>
      </c>
      <c r="CD87" s="95">
        <f>IF(AND(ISNUMBER(tblData[Generic]),tblData[Dates]&gt;StartDt2Generic),(tblData[Generic]-AVERAGE(tblData[Generic]))^2,"")</f>
        <v>854714.47313609452</v>
      </c>
      <c r="CE87" s="11">
        <f>tblData[[#This Row],[Dates]]-Generic100dt+1</f>
        <v>26</v>
      </c>
      <c r="CF87" s="11">
        <v>126357</v>
      </c>
      <c r="CG87" s="11"/>
      <c r="CH87" s="11">
        <f>IF(ISNUMBER(tblData[[#This Row],[Tests]]),tblData[[#This Row],[Tests]]-CF86,"")</f>
        <v>2897</v>
      </c>
      <c r="CI87" s="11" t="str">
        <f>IF(ISNUMBER(tblData[[#This Row],[NSW Under Investigation'']]),tblData[[#This Row],[NSW Under Investigation'']]-CG86,"")</f>
        <v/>
      </c>
      <c r="CJ87" s="11">
        <f t="shared" si="2"/>
        <v>33</v>
      </c>
      <c r="CK87" s="11">
        <f>IF(AND(tblData[[#This Row],[NSW Test Day Number]]&gt;0,ISNUMBER(tblData[[#This Row],[NSW Test Day Number]])),betaTests/(deltaTests+betaPodeltaTests*EXP(-betaTests*tblData[[#This Row],[NSW Test Day Number]])),"")</f>
        <v>154427.03776616737</v>
      </c>
      <c r="CL87" s="11">
        <f>IF(tblData[Tests]&gt;0,(tblData[[#This Row],[Tests]]-tblData[[#This Row],[NSW Test Logi]])^2,"")</f>
        <v>787927020.19406247</v>
      </c>
      <c r="CM87" s="95">
        <f>IF(AND(ISNUMBER(tblData[Tests]),tblData[Dates]&gt;StartDt2Tests),(tblData[Tests]-AVERAGE(tblData[Tests]))^2,"")</f>
        <v>408046162.73513329</v>
      </c>
      <c r="CN87" s="11">
        <f>IF(ISNUMBER(tblData[Tests]),tblData[Tests]/NSWpopscale/100,"")</f>
        <v>1563.8242574257424</v>
      </c>
      <c r="CO87" s="95">
        <f ca="1">IF(AND(tblData[[#This Row],[NSW Test Day Number]]&gt;0,ISNUMBER(tblData[[#This Row],[NSW Test Day Number]])),TestsLogestB*TestsLogestM^tblData[[#This Row],[NSW Test Day Number]],"")</f>
        <v>90717.132864663508</v>
      </c>
      <c r="CP87" s="11">
        <f>IF(AND(tblData[[#This Row],[NSW Test Day Number]]&gt;0,ISNUMBER(tblData[Tests])),(tblData[Tests]-tblData[[#This Row],[NSW Test Per Capita]])^2,"")</f>
        <v>15573336711.917023</v>
      </c>
      <c r="CQ87" s="20">
        <f ca="1">IF(AND(tblData[Day '# NSW]&gt;0,ISNUMBER(tblData[[#This Row],[Day '# NSW]])),NSWLogestB*NSWLogestM^tblData[[#This Row],[Day '# NSW]]/NSWpopscale,"")</f>
        <v>1587.0850418172267</v>
      </c>
      <c r="CR87" s="39">
        <f ca="1">IF(AND(ISNUMBER(tblData[NSW]),tblData[Dates]&gt;StartDt2NSW),(tblData[NSW]/NSWpopscale-tblData[[#This Row],[NSW Cases LogEst]])^2,"")</f>
        <v>3017767.8914728742</v>
      </c>
      <c r="CS87" s="11">
        <v>376</v>
      </c>
      <c r="CT87" s="19">
        <f>IF(ISNUMBER(tblData[Taiwan]),tblData[Taiwan]/TaiwanPopscale,"")</f>
        <v>157.93487051566828</v>
      </c>
      <c r="CU87" s="11">
        <f ca="1">IF(tblData[[#This Row],[Dates]]&lt;StartDt2Taiwan,"",tblData[[#This Row],[Dates]]-TaiwanStart)</f>
        <v>76</v>
      </c>
      <c r="CV87" s="19">
        <f ca="1">IF(AND(tblData[Dates]&gt;StartDt2Taiwan,ISNUMBER(tblData[Days'# Taiwan])),betaTaiwan/(deltaTaiwan+betaPodeltaTaiwan*EXP(-betaTaiwan*tblData[Days'# Taiwan])),"")</f>
        <v>375.55957470559548</v>
      </c>
      <c r="CW87" s="95">
        <f ca="1">IF(AND(tblData[Dates]&gt;StartDt2Taiwan,ISNUMBER(tblData[Taiwan])),(tblData[[#This Row],[Taiwan LogiP(t)]]-tblData[[#This Row],[Taiwan]])^2,"")</f>
        <v>0.19397443995130786</v>
      </c>
      <c r="CX87" s="20">
        <f ca="1">IF(AND(tblData[Dates]&gt;StartDt2Taiwan,ISNUMBER(tblData[Days'# Taiwan])),tblData[[#This Row],[Taiwan LogiP(t)]]/TaiwanPopscale,"")</f>
        <v>157.74987447353104</v>
      </c>
      <c r="CY87" s="95">
        <f ca="1">IF(AND(ISNUMBER(tblData[Taiwan]),tblData[Dates]&gt;StartDt2Taiwan),(tblData[Taiwan]-AVERAGE(tblData[Taiwan]))^2,"")</f>
        <v>42622.007304882733</v>
      </c>
      <c r="CZ87" s="11">
        <f>tblData[[#This Row],[Dates]]-Taiwan100dt+1</f>
        <v>13</v>
      </c>
      <c r="DA87" s="11">
        <v>1160</v>
      </c>
      <c r="DB87" s="20">
        <f>IF(ISNUMBER(tblData[NZ]),tblData[NZ]/NZPopscale,"")</f>
        <v>2217.9732313575523</v>
      </c>
      <c r="DC87" s="11">
        <f ca="1">IF(tblData[[#This Row],[Dates]]&lt;StartDt2NZ,"",tblData[[#This Row],[Dates]]-NZStart)</f>
        <v>39</v>
      </c>
      <c r="DD87" s="20">
        <f ca="1">IF(AND(tblData[Dates]&gt;StartDt2NZ,ISNUMBER(tblData[Days'# NZ])),betaNZ/(deltaNZ+betaPodeltaNZ*EXP(-betaNZ*tblData[Days'# NZ])),"")</f>
        <v>1160.8115874321722</v>
      </c>
      <c r="DE87" s="95">
        <f ca="1">IF(AND(tblData[Dates]&gt;StartDt2NZ,ISNUMBER(tblData[NZ])),(tblData[[#This Row],[NZ LogiP(t)]]-tblData[[#This Row],[NZ]])^2,"")</f>
        <v>0.65867416005993973</v>
      </c>
      <c r="DF87" s="20">
        <f ca="1">IF(AND(tblData[Dates]&gt;StartDt2NZ,ISNUMBER(tblData[Days'# NZ])),tblData[[#This Row],[NZ LogiP(t)]]/NZPopscale,"")</f>
        <v>2219.5250237708838</v>
      </c>
      <c r="DG87" s="95">
        <f ca="1">IF(AND(ISNUMBER(tblData[NZ]),tblData[Dates]&gt;StartDt2NZ),(tblData[NZ]-AVERAGE(tblData[NZ]))^2,"")</f>
        <v>221898.09458218544</v>
      </c>
      <c r="DH87" s="11">
        <f>tblData[[#This Row],[Dates]]-NZ100dt+1</f>
        <v>17</v>
      </c>
      <c r="DI87" s="39"/>
      <c r="DJ87" s="11"/>
      <c r="DM87" s="25"/>
      <c r="DP87"/>
      <c r="DV87" s="25"/>
      <c r="DW87"/>
      <c r="EA87" s="25"/>
      <c r="EH87"/>
      <c r="EI87"/>
      <c r="EJ87"/>
      <c r="EK87"/>
      <c r="EL87" s="25"/>
      <c r="EM87" s="25"/>
      <c r="EQ87" s="25"/>
      <c r="ER87" s="25"/>
      <c r="ES87" s="25"/>
      <c r="ET87" s="25"/>
      <c r="FF87"/>
      <c r="FG87"/>
      <c r="FH87"/>
      <c r="FI87"/>
      <c r="FJ87"/>
      <c r="FK87"/>
      <c r="FL87"/>
      <c r="FO87" s="263" t="s">
        <v>153</v>
      </c>
      <c r="FP87" s="250">
        <v>43918.900648148148</v>
      </c>
      <c r="FQ87" s="156">
        <v>43855</v>
      </c>
      <c r="FR87" s="26">
        <v>43855</v>
      </c>
      <c r="FS87" s="211">
        <v>1</v>
      </c>
      <c r="FT87" s="25">
        <v>0.22354413382130045</v>
      </c>
      <c r="FU87" s="71">
        <v>4.9579043392420022E-5</v>
      </c>
      <c r="FV87" s="21">
        <v>1.9499490006300471E-3</v>
      </c>
      <c r="FW87" s="212">
        <v>4508.8432233744425</v>
      </c>
      <c r="FX87" s="212">
        <v>15.455339831983526</v>
      </c>
      <c r="FY87" s="212"/>
      <c r="FZ87" s="213">
        <v>114.64096603165781</v>
      </c>
      <c r="GA87" s="213">
        <v>4.9579043392420023E-2</v>
      </c>
      <c r="GB87" s="156">
        <v>43918</v>
      </c>
      <c r="GC87" s="74" t="s">
        <v>1359</v>
      </c>
      <c r="GD87" s="212">
        <v>4508.8432233744425</v>
      </c>
      <c r="GE87" s="212">
        <v>1617</v>
      </c>
      <c r="GF87" s="25" t="s">
        <v>1360</v>
      </c>
      <c r="GG87" s="156">
        <v>43918</v>
      </c>
      <c r="GH87" s="25">
        <v>64</v>
      </c>
      <c r="GI87" s="25" t="s">
        <v>1361</v>
      </c>
      <c r="GJ87" s="25"/>
      <c r="GK87" s="62" t="s">
        <v>1362</v>
      </c>
      <c r="GM87" s="62" t="s">
        <v>1363</v>
      </c>
      <c r="GN87" s="20">
        <v>2001.2376237623762</v>
      </c>
      <c r="GO87" s="156"/>
      <c r="GP87" s="218"/>
      <c r="GQ87" s="156"/>
      <c r="GR87" s="25"/>
      <c r="GS87" s="25" t="s">
        <v>1336</v>
      </c>
      <c r="GT87" s="11"/>
      <c r="GU87" s="12"/>
      <c r="GV87" s="26"/>
      <c r="GX87" s="219"/>
    </row>
    <row r="88" spans="2:238" x14ac:dyDescent="0.25">
      <c r="B88" s="26">
        <v>43929</v>
      </c>
      <c r="D88" s="25">
        <v>99</v>
      </c>
      <c r="E88">
        <v>2734</v>
      </c>
      <c r="F88">
        <v>28</v>
      </c>
      <c r="G88">
        <v>943</v>
      </c>
      <c r="H88">
        <v>420</v>
      </c>
      <c r="I88" s="25">
        <v>111</v>
      </c>
      <c r="J88">
        <v>1212</v>
      </c>
      <c r="K88">
        <v>481</v>
      </c>
      <c r="L88" s="11">
        <f>IF(ISNUMBER(tblData[[#This Row],[NSW]]),tblData[[#This Row],[New South Wales]]/NSWpopscale,"")</f>
        <v>3383.6633663366333</v>
      </c>
      <c r="M88" s="25">
        <v>139422</v>
      </c>
      <c r="N88" s="20">
        <f>IF(ISNUMBER(tblData[Italy]),tblData[Italy]/ItalyPopscale,"")</f>
        <v>23050.673720757215</v>
      </c>
      <c r="O88" s="25">
        <v>428654</v>
      </c>
      <c r="P88" s="20">
        <f>IF(ISNUMBER(tblData[US]),tblData[US]/USPopscale,"")</f>
        <v>13019.984044722647</v>
      </c>
      <c r="Q88" s="11">
        <v>10384</v>
      </c>
      <c r="R88" s="20">
        <f>IF(ISNUMBER(tblData[SKorea]),tblData[SKorea]/SKoreaPopscale,"")</f>
        <v>2020.2334630350197</v>
      </c>
      <c r="S88">
        <v>61474</v>
      </c>
      <c r="T88" s="20">
        <f>IF(ISNUMBER(tblData[United Kingdom]),tblData[United Kingdom]/UKPopscale,"")</f>
        <v>9252.558699578567</v>
      </c>
      <c r="U88">
        <v>82809</v>
      </c>
      <c r="V88" s="20">
        <f>IF(ISNUMBER(tblData[China]),tblData[China]/ChinaPopscale,"")</f>
        <v>575.33267622475512</v>
      </c>
      <c r="W88" s="25">
        <f ca="1">IF(tblData[[#This Row],[Dates]]&lt;StartDt2China,"",tblData[[#This Row],[Dates]]-ChinaStart)</f>
        <v>77</v>
      </c>
      <c r="X88" s="20">
        <v>1623</v>
      </c>
      <c r="Y88" s="20">
        <f>IF(ISNUMBER(tblData[Singapore]),tblData[Singapore]/SingaporePopscale,"")</f>
        <v>2774.3589743589746</v>
      </c>
      <c r="Z88">
        <v>6074</v>
      </c>
      <c r="AA88" s="20">
        <f>IF(AND(LEN(tblData[Generic])&gt;0,ISNUMBER(tblData[Generic])),tblData[Generic]/GenericPopscale,"")</f>
        <v>12395.91836734694</v>
      </c>
      <c r="AB88" s="25">
        <f ca="1">IF(tblData[[#This Row],[Dates]]&lt;StartDt2Italy,"",tblData[[#This Row],[Dates]]-ItalyStart)</f>
        <v>69</v>
      </c>
      <c r="AC88" s="25">
        <f ca="1">IF(tblData[[#This Row],[Dates]]&lt;=StartDt2US,"",tblData[[#This Row],[Dates]]-USStart)</f>
        <v>77</v>
      </c>
      <c r="AD88" s="25">
        <f>IF(tblData[[#This Row],[Dates]]&lt;=SKoreaStart,"",tblData[[#This Row],[Dates]]-SKoreaStart)</f>
        <v>77</v>
      </c>
      <c r="AE88" s="25">
        <f ca="1">IF(tblData[[#This Row],[Dates]]&lt;=StartDt2UK,"",tblData[[#This Row],[Dates]]-UKStart)</f>
        <v>69</v>
      </c>
      <c r="AF88" s="25">
        <f ca="1">IF(tblData[[#This Row],[Dates]]&lt;StartDt2Singapore,"",tblData[[#This Row],[Dates]]-SingaporeStart)</f>
        <v>76</v>
      </c>
      <c r="AG88" s="25">
        <f>IF(tblData[[#This Row],[Dates]]&lt;StartDt2Generic,"",tblData[[#This Row],[Dates]]-GenericStart)</f>
        <v>39</v>
      </c>
      <c r="AH88">
        <f ca="1">IF(tblData[Dates]&gt;StartDt2Au,tblData[Dates]-AuStart,"")</f>
        <v>74</v>
      </c>
      <c r="AI88" s="25">
        <f>IF(AND(COUNTBLANK(tblData[[#This Row],[Australian Capital Territory]:[Western Australia]])&lt;1,tblData[New South Wales]&gt;=0),SUM(tblData[[#This Row],[Australian Capital Territory]:[Western Australia]]),"")</f>
        <v>6028</v>
      </c>
      <c r="AJ88" s="12">
        <f>IF(ISNUMBER(tblData[Au]),tblData[Au]/AuPopScale,"")</f>
        <v>2376.5967513010564</v>
      </c>
      <c r="AK88" s="11">
        <f ca="1">IF(ISNUMBER(tblData[[#This Row],[Day'# Aust]]),betaAu/(deltaAu+betaPodeltaAu*EXP(-betaAu*tblData[[#This Row],[Day'# Aust]])),"")</f>
        <v>6172.9818339094772</v>
      </c>
      <c r="AL88" s="56">
        <f ca="1">IF(ISNUMBER(tblData[Day'# Aust]),tblData[Au LogiP(t)]/AuPopScale,"")</f>
        <v>2433.7572283194595</v>
      </c>
      <c r="AM88" s="11">
        <f ca="1">IF(AND(tblData[Dates]&gt;StartDt2Au,ISNUMBER(tblData[Au])),(tblData[[#This Row],[Au LogiP(t)]]-tblData[[#This Row],[Au]])^2,"")</f>
        <v>21019.732163755245</v>
      </c>
      <c r="AN88" s="11">
        <f ca="1">IF(AND(ISNUMBER(tblData[Au]),tblData[Dates]&gt;StartDt2Au),(tblData[Au]-AVERAGE(tblData[Au]))^2,"")</f>
        <v>12810601.0561</v>
      </c>
      <c r="AO88" s="11">
        <f>tblData[[#This Row],[Dates]]-Au100dt</f>
        <v>24</v>
      </c>
      <c r="AP88">
        <f ca="1">IF(tblData[Dates]&gt;StartDt2NSW,tblData[Dates]-StartDt2NSW,"")</f>
        <v>74</v>
      </c>
      <c r="AQ88" s="25">
        <f>IF(tblData[[#This Row],[New South Wales]]&gt;0,tblData[[#This Row],[New South Wales]],"")</f>
        <v>2734</v>
      </c>
      <c r="AR88" s="11">
        <f ca="1">IF(tblData[Dates]&gt;StartDt2NSW,betaNSW/(deltaNSW+betaPodeltaNSW*EXP(-betaNSW*tblData[[#This Row],[Day '# NSW]])),"")</f>
        <v>2776.1682985482903</v>
      </c>
      <c r="AS88" s="12">
        <f ca="1">IF(AND(ISNUMBER(tblData[NSW]),tblData[Dates]&gt;StartDt2NSW),(tblData[[#This Row],[NSW LogiP(t)]]-tblData[[#This Row],[NSW]])^2,"")</f>
        <v>1778.1654024577415</v>
      </c>
      <c r="AT88" s="39">
        <f ca="1">IF(AND(tblData[Dates]&gt;StartDt2NSW,ISNUMBER(tblData[Day'# Aust])),tblData[NSW LogiP(t)]/NSWpopscale,"")</f>
        <v>3435.8518546389728</v>
      </c>
      <c r="AU88" s="11">
        <f>tblData[[#This Row],[Dates]]-NSW100dt+1</f>
        <v>27</v>
      </c>
      <c r="AV88" s="11">
        <f ca="1">IF(AND(ISNUMBER(tblData[NSW]),tblData[Dates]&gt;StartDt2NSW),(tblData[NSW]-AVERAGE(tblData[NSW]))^2,"")</f>
        <v>2688747.2675999999</v>
      </c>
      <c r="AW88" s="11">
        <f ca="1">IF(AND(tblData[Dates]&gt;StartDt2Italy,ISNUMBER(tblData[Days'# Italy])),betaItaly/(deltaItaly+betaPodeltaItaly*EXP(-betaItaly*tblData[Days'# Italy])),"")</f>
        <v>159877.03425514288</v>
      </c>
      <c r="AX88" s="11">
        <f ca="1">IF(AND(tblData[Dates]&gt;StartDt2Italy,ISNUMBER(tblData[Italy])),(tblData[[#This Row],[Italy LogiP(t)]]-tblData[[#This Row],[Italy]])^2,"")</f>
        <v>418408426.37906849</v>
      </c>
      <c r="AY88" s="11">
        <f ca="1">IF(AND(tblData[Dates]&gt;StartDt2Italy,ISNUMBER(tblData[Days'# Italy])),tblData[[#This Row],[Italy LogiP(t)]]/ItalyPopscale,"")</f>
        <v>26432.509590004611</v>
      </c>
      <c r="AZ88" s="39">
        <f ca="1">IF(AND(ISNUMBER(tblData[Italy]),tblData[Dates]&gt;StartDt2Italy),(tblData[Italy]-AVERAGE(tblData[Italy]))^2,"")</f>
        <v>4854381778.1123819</v>
      </c>
      <c r="BA88" s="11">
        <f>tblData[[#This Row],[Dates]]-Italy100dt+1</f>
        <v>42</v>
      </c>
      <c r="BB88" s="11">
        <f ca="1">IF(AND(tblData[Dates]&gt;StartDt2US,ISNUMBER(tblData[[#This Row],[Days'# US]])),betaUS/(deltaUS+betaPodeltaUS*EXP(-betaUS*tblData[Days'# US])),"")</f>
        <v>643738.6782815872</v>
      </c>
      <c r="BC88" s="11">
        <f ca="1">IF(AND(tblData[Dates]&gt;StartDt2US,ISNUMBER(tblData[US])),(tblData[[#This Row],[US LogiP(t)]]-tblData[US])^2,"")</f>
        <v>46261418831.493866</v>
      </c>
      <c r="BD88" s="20">
        <f ca="1">IF(AND(tblData[Dates]&gt;=StartDt2US,ISNUMBER(tblData[[#This Row],[Days'# US]])),tblData[[#This Row],[US LogiP(t)]]/USPopscale,"")</f>
        <v>19552.989871078098</v>
      </c>
      <c r="BE88" s="126">
        <f ca="1">IF(AND(ISNUMBER(tblData[US]),tblData[Dates]&gt;StartDt2US),(tblData[US]-AVERAGE(tblData[US]))^2,"")</f>
        <v>41906493172.530663</v>
      </c>
      <c r="BF88" s="11">
        <f>tblData[[#This Row],[Dates]]-US100dt+1</f>
        <v>25</v>
      </c>
      <c r="BG88" s="20">
        <f ca="1">IF(tblData[Dates]&gt;StartDt2SKorea,betaSKorea/(deltaSKorea+betaPodeltaSKorea*EXP(-betaSKorea*(tblData[Dates]-StartDt2SKorea))),"")</f>
        <v>10210.354461077575</v>
      </c>
      <c r="BH88" s="20">
        <f ca="1">IF(AND(tblData[Dates]&gt;StartDt2SKorea,ISNUMBER(tblData[SKorea])),(tblData[[#This Row],[SKorea LogiP(t)]]-tblData[[#This Row],[SKorea]])^2,"")</f>
        <v>30152.773187659328</v>
      </c>
      <c r="BI88" s="20">
        <f ca="1">IF(tblData[Dates]&gt;StartDt2SKorea,tblData[[#This Row],[SKorea LogiP(t)]]/SKoreaPopscale,"")</f>
        <v>1986.4502842563377</v>
      </c>
      <c r="BJ88" s="126">
        <f ca="1">IF(AND(ISNUMBER(tblData[SKorea]),tblData[Dates]&gt;StartDt2SKorea),(tblData[SKorea]-AVERAGE(tblData[SKorea]))^2,"")</f>
        <v>20790202.491733953</v>
      </c>
      <c r="BK88" s="11">
        <f>tblData[[#This Row],[Dates]]-SKorea100dt+1</f>
        <v>46</v>
      </c>
      <c r="BL88" s="11">
        <f ca="1">IF(AND(tblData[Dates]&gt;StartDt2UK,ISNUMBER(tblData[Days'# UK])),betaUK/(deltaUK+betaPodeltaUK*EXP(-betaUK*tblData[Days'# UK])),"")</f>
        <v>85889.499012640983</v>
      </c>
      <c r="BM88" s="61">
        <f ca="1">IF(AND(tblData[Dates]&gt;StartDt2UK,ISNUMBER(tblData[United Kingdom])),(tblData[[#This Row],[UK LogiP(t)]]-tblData[[#This Row],[United Kingdom]])^2,"")</f>
        <v>596116592.03627276</v>
      </c>
      <c r="BN88" s="11">
        <f ca="1">IF(ISNUMBER(tblData[Days'# UK]),tblData[[#This Row],[UK LogiP(t)]]/UKPopscale,"")</f>
        <v>12927.377936881545</v>
      </c>
      <c r="BO88" s="126">
        <f ca="1">IF(AND(ISNUMBER(tblData[United Kingdom]),tblData[Dates]&gt;StartDt2UK),(tblData[United Kingdom]-AVERAGE(tblData[United Kingdom]))^2,"")</f>
        <v>552577548.55421007</v>
      </c>
      <c r="BP88" s="11">
        <f>tblData[[#This Row],[Dates]]-UK100dt</f>
        <v>27</v>
      </c>
      <c r="BQ88" s="11">
        <f ca="1">IF(ISNUMBER(tblData[Days'# China]),betaChina/(deltaChina+betaPodeltaChina*EXP(-betaChina*tblData[Days'# China])),"")</f>
        <v>82124.986531086062</v>
      </c>
      <c r="BR88" s="11">
        <f ca="1">IF(ISNUMBER(tblData[China]),(tblData[[#This Row],[China LogiP(t)]]-tblData[[#This Row],[China]])^2,"")</f>
        <v>467874.42565567838</v>
      </c>
      <c r="BS88" s="11">
        <f ca="1">tblData[[#This Row],[China LogiP(t)]]/ChinaPopscale</f>
        <v>570.58035099870449</v>
      </c>
      <c r="BT88" s="126">
        <f ca="1">IF(AND(ISNUMBER(tblData[China]),tblData[Dates]&gt;StartDt2China),(tblData[China]-AVERAGE(tblData[China]))^2,"")</f>
        <v>243501338.16262954</v>
      </c>
      <c r="BU88" s="11">
        <f>tblData[[#This Row],[Dates]]-China100dt</f>
        <v>66</v>
      </c>
      <c r="BV88" s="95">
        <f ca="1">IF(ISNUMBER(tblData[Day'# Singapore]),betaSingapore/(deltaSingapore+betaPodeltaSingapore*EXP(-betaSingapore*tblData[Day'# Singapore])),"")</f>
        <v>1630.2344256950587</v>
      </c>
      <c r="BW88" s="11">
        <f ca="1">IF(AND(ISNUMBER(tblData[Singapore]),tblData[Dates]&gt;=StartDt2Singapore),(tblData[[#This Row],[Singapore LogiP(t)]]-tblData[[#This Row],[Singapore]])^2,"")</f>
        <v>52.336915137325406</v>
      </c>
      <c r="BX88" s="20">
        <f ca="1">IF(ISNUMBER(tblData[Day'# Singapore]),tblData[Singapore LogiP(t)]/SingaporePopscale,"")</f>
        <v>2786.7255140086477</v>
      </c>
      <c r="BY88" s="95">
        <f ca="1">IF(AND(ISNUMBER(tblData[Singapore]),tblData[Dates]&gt;StartDt2Singapore),(tblData[Singapore]-AVERAGE(tblData[Singapore]))^2,"")</f>
        <v>486930.3129565554</v>
      </c>
      <c r="BZ88" s="11">
        <f>tblData[[#This Row],[Dates]]-Singapore100dt+1</f>
        <v>55</v>
      </c>
      <c r="CA88" s="44">
        <f>IF(AND(tblData[Dates]&gt;StartDt2Generic,ISNUMBER(tblData[Day'# Generic])),betaGeneric/(deltaGeneric+betaPodeltaGeneric*EXP(-betaGeneric*tblData[Day'# Generic])),"")</f>
        <v>6918.5085256662887</v>
      </c>
      <c r="CB88" s="95">
        <f>IF(AND(ISNUMBER(tblData[Generic]),tblData[Dates]&gt;StartDt2Generic),(tblData[Generic LogiP(t)]-tblData[[#This Row],[Generic]])^2,"")</f>
        <v>713194.64992304868</v>
      </c>
      <c r="CC88" s="11">
        <f>IF(AND(ISNUMBER(tblData[Day'# Generic]),tblData[Dates]&gt;StartDt2Generic),tblData[Generic LogiP(t)]/GenericPopscale,"")</f>
        <v>14119.405154420998</v>
      </c>
      <c r="CD88" s="95">
        <f>IF(AND(ISNUMBER(tblData[Generic]),tblData[Dates]&gt;StartDt2Generic),(tblData[Generic]-AVERAGE(tblData[Generic]))^2,"")</f>
        <v>313048.85775147914</v>
      </c>
      <c r="CE88" s="11">
        <f>tblData[[#This Row],[Dates]]-Generic100dt+1</f>
        <v>27</v>
      </c>
      <c r="CF88" s="11">
        <v>130224</v>
      </c>
      <c r="CG88" s="11"/>
      <c r="CH88" s="11">
        <f>IF(ISNUMBER(tblData[[#This Row],[Tests]]),tblData[[#This Row],[Tests]]-CF87,"")</f>
        <v>3867</v>
      </c>
      <c r="CI88" s="11" t="str">
        <f>IF(ISNUMBER(tblData[[#This Row],[NSW Under Investigation'']]),tblData[[#This Row],[NSW Under Investigation'']]-CG87,"")</f>
        <v/>
      </c>
      <c r="CJ88" s="11">
        <f t="shared" si="2"/>
        <v>34</v>
      </c>
      <c r="CK88" s="11">
        <f>IF(AND(tblData[[#This Row],[NSW Test Day Number]]&gt;0,ISNUMBER(tblData[[#This Row],[NSW Test Day Number]])),betaTests/(deltaTests+betaPodeltaTests*EXP(-betaTests*tblData[[#This Row],[NSW Test Day Number]])),"")</f>
        <v>157090.58243301907</v>
      </c>
      <c r="CL88" s="11">
        <f>IF(tblData[Tests]&gt;0,(tblData[[#This Row],[Tests]]-tblData[[#This Row],[NSW Test Logi]])^2,"")</f>
        <v>721813251.63020873</v>
      </c>
      <c r="CM88" s="95">
        <f>IF(AND(ISNUMBER(tblData[Tests]),tblData[Dates]&gt;StartDt2Tests),(tblData[Tests]-AVERAGE(tblData[Tests]))^2,"")</f>
        <v>579227831.49784517</v>
      </c>
      <c r="CN88" s="11">
        <f>IF(ISNUMBER(tblData[Tests]),tblData[Tests]/NSWpopscale/100,"")</f>
        <v>1611.6831683168316</v>
      </c>
      <c r="CO88" s="95">
        <f ca="1">IF(AND(tblData[[#This Row],[NSW Test Day Number]]&gt;0,ISNUMBER(tblData[[#This Row],[NSW Test Day Number]])),TestsLogestB*TestsLogestM^tblData[[#This Row],[NSW Test Day Number]],"")</f>
        <v>96161.198161242864</v>
      </c>
      <c r="CP88" s="11">
        <f>IF(AND(tblData[[#This Row],[NSW Test Day Number]]&gt;0,ISNUMBER(tblData[Tests])),(tblData[Tests]-tblData[[#This Row],[NSW Test Per Capita]])^2,"")</f>
        <v>16541128040.813255</v>
      </c>
      <c r="CQ88" s="20">
        <f ca="1">IF(AND(tblData[Day '# NSW]&gt;0,ISNUMBER(tblData[[#This Row],[Day '# NSW]])),NSWLogestB*NSWLogestM^tblData[[#This Row],[Day '# NSW]]/NSWpopscale,"")</f>
        <v>1747.3102156099301</v>
      </c>
      <c r="CR88" s="39">
        <f ca="1">IF(AND(ISNUMBER(tblData[NSW]),tblData[Dates]&gt;StartDt2NSW),(tblData[NSW]/NSWpopscale-tblData[[#This Row],[NSW Cases LogEst]])^2,"")</f>
        <v>2677651.6338932086</v>
      </c>
      <c r="CS88" s="11">
        <v>379</v>
      </c>
      <c r="CT88" s="19">
        <f>IF(ISNUMBER(tblData[Taiwan]),tblData[Taiwan]/TaiwanPopscale,"")</f>
        <v>159.19498916339967</v>
      </c>
      <c r="CU88" s="11">
        <f ca="1">IF(tblData[[#This Row],[Dates]]&lt;StartDt2Taiwan,"",tblData[[#This Row],[Dates]]-TaiwanStart)</f>
        <v>77</v>
      </c>
      <c r="CV88" s="19">
        <f ca="1">IF(AND(tblData[Dates]&gt;StartDt2Taiwan,ISNUMBER(tblData[Days'# Taiwan])),betaTaiwan/(deltaTaiwan+betaPodeltaTaiwan*EXP(-betaTaiwan*tblData[Days'# Taiwan])),"")</f>
        <v>381.7849054877226</v>
      </c>
      <c r="CW88" s="95">
        <f ca="1">IF(AND(tblData[Dates]&gt;StartDt2Taiwan,ISNUMBER(tblData[Taiwan])),(tblData[[#This Row],[Taiwan LogiP(t)]]-tblData[[#This Row],[Taiwan]])^2,"")</f>
        <v>7.7556985755474344</v>
      </c>
      <c r="CX88" s="20">
        <f ca="1">IF(AND(tblData[Dates]&gt;StartDt2Taiwan,ISNUMBER(tblData[Days'# Taiwan])),tblData[[#This Row],[Taiwan LogiP(t)]]/TaiwanPopscale,"")</f>
        <v>160.36475960914925</v>
      </c>
      <c r="CY88" s="95">
        <f ca="1">IF(AND(ISNUMBER(tblData[Taiwan]),tblData[Dates]&gt;StartDt2Taiwan),(tblData[Taiwan]-AVERAGE(tblData[Taiwan]))^2,"")</f>
        <v>43869.713187235677</v>
      </c>
      <c r="CZ88" s="11">
        <f>tblData[[#This Row],[Dates]]-Taiwan100dt+1</f>
        <v>14</v>
      </c>
      <c r="DA88" s="11">
        <v>1210</v>
      </c>
      <c r="DB88" s="20">
        <f>IF(ISNUMBER(tblData[NZ]),tblData[NZ]/NZPopscale,"")</f>
        <v>2313.5755258126196</v>
      </c>
      <c r="DC88" s="11">
        <f ca="1">IF(tblData[[#This Row],[Dates]]&lt;StartDt2NZ,"",tblData[[#This Row],[Dates]]-NZStart)</f>
        <v>40</v>
      </c>
      <c r="DD88" s="20">
        <f ca="1">IF(AND(tblData[Dates]&gt;StartDt2NZ,ISNUMBER(tblData[Days'# NZ])),betaNZ/(deltaNZ+betaPodeltaNZ*EXP(-betaNZ*tblData[Days'# NZ])),"")</f>
        <v>1212.6086425202113</v>
      </c>
      <c r="DE88" s="95">
        <f ca="1">IF(AND(tblData[Dates]&gt;StartDt2NZ,ISNUMBER(tblData[NZ])),(tblData[[#This Row],[NZ LogiP(t)]]-tblData[[#This Row],[NZ]])^2,"")</f>
        <v>6.8050157982545363</v>
      </c>
      <c r="DF88" s="20">
        <f ca="1">IF(AND(tblData[Dates]&gt;StartDt2NZ,ISNUMBER(tblData[Days'# NZ])),tblData[[#This Row],[NZ LogiP(t)]]/NZPopscale,"")</f>
        <v>2318.5633700195244</v>
      </c>
      <c r="DG88" s="95">
        <f ca="1">IF(AND(ISNUMBER(tblData[NZ]),tblData[Dates]&gt;StartDt2NZ),(tblData[NZ]-AVERAGE(tblData[NZ]))^2,"")</f>
        <v>271504.15518824605</v>
      </c>
      <c r="DH88" s="11">
        <f>tblData[[#This Row],[Dates]]-NZ100dt+1</f>
        <v>18</v>
      </c>
      <c r="DI88" s="39"/>
      <c r="DJ88" s="11"/>
      <c r="DM88" s="25"/>
      <c r="DP88"/>
      <c r="DV88" s="25"/>
      <c r="DW88"/>
      <c r="EA88" s="25"/>
      <c r="EH88"/>
      <c r="EI88"/>
      <c r="EJ88"/>
      <c r="EK88"/>
      <c r="EL88" s="25"/>
      <c r="EM88" s="25"/>
      <c r="EQ88" s="25"/>
      <c r="ER88" s="25"/>
      <c r="ES88" s="25"/>
      <c r="ET88" s="25"/>
      <c r="FF88"/>
      <c r="FG88"/>
      <c r="FH88"/>
      <c r="FI88"/>
      <c r="FJ88"/>
      <c r="FK88"/>
      <c r="FL88"/>
      <c r="FO88" s="265" t="s">
        <v>153</v>
      </c>
      <c r="FP88" s="250">
        <v>43919.67596064815</v>
      </c>
      <c r="FQ88" s="156">
        <v>43855</v>
      </c>
      <c r="FR88" s="26">
        <v>43855</v>
      </c>
      <c r="FS88" s="211">
        <v>1</v>
      </c>
      <c r="FT88" s="25">
        <v>0.23289604944977338</v>
      </c>
      <c r="FU88" s="25">
        <v>6.2779705411046311E-5</v>
      </c>
      <c r="FV88" s="21">
        <v>1.1946117720384288E-3</v>
      </c>
      <c r="FW88" s="212">
        <v>3709.7346654448384</v>
      </c>
      <c r="FX88" s="212">
        <v>16.185448655674062</v>
      </c>
      <c r="FY88" s="212"/>
      <c r="FZ88" s="213">
        <v>194.95536533596652</v>
      </c>
      <c r="GA88" s="213">
        <v>6.2779705411046313E-2</v>
      </c>
      <c r="GB88" s="156">
        <v>43919</v>
      </c>
      <c r="GC88" s="26" t="s">
        <v>1400</v>
      </c>
      <c r="GD88" s="212">
        <v>3709.7346654448384</v>
      </c>
      <c r="GE88" s="212">
        <v>1791</v>
      </c>
      <c r="GF88" s="75" t="s">
        <v>1401</v>
      </c>
      <c r="GG88" s="156">
        <v>43919</v>
      </c>
      <c r="GH88" s="25">
        <v>65</v>
      </c>
      <c r="GI88" s="25" t="s">
        <v>1402</v>
      </c>
      <c r="GJ88" s="25"/>
      <c r="GK88" s="25" t="s">
        <v>1403</v>
      </c>
      <c r="GM88" s="25" t="s">
        <v>1404</v>
      </c>
      <c r="GN88" s="20">
        <v>2216.5841584158416</v>
      </c>
      <c r="GO88" s="156"/>
      <c r="GP88" s="218"/>
      <c r="GQ88" s="156"/>
      <c r="GR88" s="62"/>
      <c r="GS88" s="25" t="s">
        <v>1399</v>
      </c>
      <c r="GT88" s="11" t="s">
        <v>1015</v>
      </c>
      <c r="GU88" s="12"/>
      <c r="GV88" s="26"/>
      <c r="GW88" s="25"/>
      <c r="GX88" s="219"/>
      <c r="GY88" s="25"/>
      <c r="GZ88" s="25"/>
    </row>
    <row r="89" spans="2:238" x14ac:dyDescent="0.25">
      <c r="B89" s="26">
        <v>43930</v>
      </c>
      <c r="D89" s="25">
        <v>100</v>
      </c>
      <c r="E89">
        <v>2773</v>
      </c>
      <c r="F89">
        <v>28</v>
      </c>
      <c r="G89">
        <v>953</v>
      </c>
      <c r="H89">
        <v>420</v>
      </c>
      <c r="I89" s="25">
        <v>122</v>
      </c>
      <c r="J89">
        <v>1228</v>
      </c>
      <c r="K89">
        <v>495</v>
      </c>
      <c r="L89" s="11">
        <f>IF(ISNUMBER(tblData[[#This Row],[NSW]]),tblData[[#This Row],[New South Wales]]/NSWpopscale,"")</f>
        <v>3431.9306930693069</v>
      </c>
      <c r="M89" s="25">
        <v>143626</v>
      </c>
      <c r="N89" s="20">
        <f>IF(ISNUMBER(tblData[Italy]),tblData[Italy]/ItalyPopscale,"")</f>
        <v>23745.72207985451</v>
      </c>
      <c r="O89" s="25">
        <v>462780</v>
      </c>
      <c r="P89" s="20">
        <f>IF(ISNUMBER(tblData[US]),tblData[US]/USPopscale,"")</f>
        <v>14056.530946210107</v>
      </c>
      <c r="Q89" s="11">
        <v>10423</v>
      </c>
      <c r="R89" s="20">
        <f>IF(ISNUMBER(tblData[SKorea]),tblData[SKorea]/SKoreaPopscale,"")</f>
        <v>2027.8210116731518</v>
      </c>
      <c r="S89">
        <v>65872</v>
      </c>
      <c r="T89" s="20">
        <f>IF(ISNUMBER(tblData[United Kingdom]),tblData[United Kingdom]/UKPopscale,"")</f>
        <v>9914.5093317278752</v>
      </c>
      <c r="U89">
        <v>82883</v>
      </c>
      <c r="V89" s="20">
        <f>IF(ISNUMBER(tblData[China]),tblData[China]/ChinaPopscale,"")</f>
        <v>575.84680654924443</v>
      </c>
      <c r="W89" s="25">
        <f ca="1">IF(tblData[[#This Row],[Dates]]&lt;StartDt2China,"",tblData[[#This Row],[Dates]]-ChinaStart)</f>
        <v>78</v>
      </c>
      <c r="X89" s="20">
        <v>1910</v>
      </c>
      <c r="Y89" s="20">
        <f>IF(ISNUMBER(tblData[Singapore]),tblData[Singapore]/SingaporePopscale,"")</f>
        <v>3264.9572649572651</v>
      </c>
      <c r="Z89">
        <v>6574</v>
      </c>
      <c r="AA89" s="20">
        <f>IF(AND(LEN(tblData[Generic])&gt;0,ISNUMBER(tblData[Generic])),tblData[Generic]/GenericPopscale,"")</f>
        <v>13416.326530612245</v>
      </c>
      <c r="AB89" s="25">
        <f ca="1">IF(tblData[[#This Row],[Dates]]&lt;StartDt2Italy,"",tblData[[#This Row],[Dates]]-ItalyStart)</f>
        <v>70</v>
      </c>
      <c r="AC89" s="25">
        <f ca="1">IF(tblData[[#This Row],[Dates]]&lt;=StartDt2US,"",tblData[[#This Row],[Dates]]-USStart)</f>
        <v>78</v>
      </c>
      <c r="AD89" s="25">
        <f>IF(tblData[[#This Row],[Dates]]&lt;=SKoreaStart,"",tblData[[#This Row],[Dates]]-SKoreaStart)</f>
        <v>78</v>
      </c>
      <c r="AE89" s="25">
        <f ca="1">IF(tblData[[#This Row],[Dates]]&lt;=StartDt2UK,"",tblData[[#This Row],[Dates]]-UKStart)</f>
        <v>70</v>
      </c>
      <c r="AF89" s="25">
        <f ca="1">IF(tblData[[#This Row],[Dates]]&lt;StartDt2Singapore,"",tblData[[#This Row],[Dates]]-SingaporeStart)</f>
        <v>77</v>
      </c>
      <c r="AG89" s="25">
        <f>IF(tblData[[#This Row],[Dates]]&lt;StartDt2Generic,"",tblData[[#This Row],[Dates]]-GenericStart)</f>
        <v>40</v>
      </c>
      <c r="AH89">
        <f ca="1">IF(tblData[Dates]&gt;StartDt2Au,tblData[Dates]-AuStart,"")</f>
        <v>75</v>
      </c>
      <c r="AI89" s="25">
        <f>IF(AND(COUNTBLANK(tblData[[#This Row],[Australian Capital Territory]:[Western Australia]])&lt;1,tblData[New South Wales]&gt;=0),SUM(tblData[[#This Row],[Australian Capital Territory]:[Western Australia]]),"")</f>
        <v>6119</v>
      </c>
      <c r="AJ89" s="12">
        <f>IF(ISNUMBER(tblData[Au]),tblData[Au]/AuPopScale,"")</f>
        <v>2412.474373127267</v>
      </c>
      <c r="AK89" s="11">
        <f ca="1">IF(ISNUMBER(tblData[[#This Row],[Day'# Aust]]),betaAu/(deltaAu+betaPodeltaAu*EXP(-betaAu*tblData[[#This Row],[Day'# Aust]])),"")</f>
        <v>6262.8174651169575</v>
      </c>
      <c r="AL89" s="56">
        <f ca="1">IF(ISNUMBER(tblData[Day'# Aust]),tblData[Au LogiP(t)]/AuPopScale,"")</f>
        <v>2469.1757865939749</v>
      </c>
      <c r="AM89" s="11">
        <f ca="1">IF(AND(tblData[Dates]&gt;StartDt2Au,ISNUMBER(tblData[Au])),(tblData[[#This Row],[Au LogiP(t)]]-tblData[[#This Row],[Au]])^2,"")</f>
        <v>20683.463272667279</v>
      </c>
      <c r="AN89" s="11">
        <f ca="1">IF(AND(ISNUMBER(tblData[Au]),tblData[Dates]&gt;StartDt2Au),(tblData[Au]-AVERAGE(tblData[Au]))^2,"")</f>
        <v>13470294.6361</v>
      </c>
      <c r="AO89" s="11">
        <f>tblData[[#This Row],[Dates]]-Au100dt</f>
        <v>25</v>
      </c>
      <c r="AP89">
        <f ca="1">IF(tblData[Dates]&gt;StartDt2NSW,tblData[Dates]-StartDt2NSW,"")</f>
        <v>75</v>
      </c>
      <c r="AQ89" s="25">
        <f>IF(tblData[[#This Row],[New South Wales]]&gt;0,tblData[[#This Row],[New South Wales]],"")</f>
        <v>2773</v>
      </c>
      <c r="AR89" s="11">
        <f ca="1">IF(tblData[Dates]&gt;StartDt2NSW,betaNSW/(deltaNSW+betaPodeltaNSW*EXP(-betaNSW*tblData[[#This Row],[Day '# NSW]])),"")</f>
        <v>2815.2067244599707</v>
      </c>
      <c r="AS89" s="12">
        <f ca="1">IF(AND(ISNUMBER(tblData[NSW]),tblData[Dates]&gt;StartDt2NSW),(tblData[[#This Row],[NSW LogiP(t)]]-tblData[[#This Row],[NSW]])^2,"")</f>
        <v>1781.407589639889</v>
      </c>
      <c r="AT89" s="39">
        <f ca="1">IF(AND(tblData[Dates]&gt;StartDt2NSW,ISNUMBER(tblData[Day'# Aust])),tblData[NSW LogiP(t)]/NSWpopscale,"")</f>
        <v>3484.1667381930329</v>
      </c>
      <c r="AU89" s="11">
        <f>tblData[[#This Row],[Dates]]-NSW100dt+1</f>
        <v>28</v>
      </c>
      <c r="AV89" s="11">
        <f ca="1">IF(AND(ISNUMBER(tblData[NSW]),tblData[Dates]&gt;StartDt2NSW),(tblData[NSW]-AVERAGE(tblData[NSW]))^2,"")</f>
        <v>2818167.9876000001</v>
      </c>
      <c r="AW89" s="11">
        <f ca="1">IF(AND(tblData[Dates]&gt;StartDt2Italy,ISNUMBER(tblData[Days'# Italy])),betaItaly/(deltaItaly+betaPodeltaItaly*EXP(-betaItaly*tblData[Days'# Italy])),"")</f>
        <v>160211.89206064722</v>
      </c>
      <c r="AX89" s="11">
        <f ca="1">IF(AND(tblData[Dates]&gt;StartDt2Italy,ISNUMBER(tblData[Italy])),(tblData[[#This Row],[Italy LogiP(t)]]-tblData[[#This Row],[Italy]])^2,"")</f>
        <v>275091815.44744062</v>
      </c>
      <c r="AY89" s="11">
        <f ca="1">IF(AND(tblData[Dates]&gt;StartDt2Italy,ISNUMBER(tblData[Days'# Italy])),tblData[[#This Row],[Italy LogiP(t)]]/ItalyPopscale,"")</f>
        <v>26487.871713755019</v>
      </c>
      <c r="AZ89" s="39">
        <f ca="1">IF(AND(ISNUMBER(tblData[Italy]),tblData[Dates]&gt;StartDt2Italy),(tblData[Italy]-AVERAGE(tblData[Italy]))^2,"")</f>
        <v>5457869287.6442966</v>
      </c>
      <c r="BA89" s="11">
        <f>tblData[[#This Row],[Dates]]-Italy100dt+1</f>
        <v>43</v>
      </c>
      <c r="BB89" s="11">
        <f ca="1">IF(AND(tblData[Dates]&gt;StartDt2US,ISNUMBER(tblData[[#This Row],[Days'# US]])),betaUS/(deltaUS+betaPodeltaUS*EXP(-betaUS*tblData[Days'# US])),"")</f>
        <v>678714.40218660014</v>
      </c>
      <c r="BC89" s="11">
        <f ca="1">IF(AND(tblData[Dates]&gt;StartDt2US,ISNUMBER(tblData[US])),(tblData[[#This Row],[US LogiP(t)]]-tblData[US])^2,"")</f>
        <v>46627666047.684387</v>
      </c>
      <c r="BD89" s="20">
        <f ca="1">IF(AND(tblData[Dates]&gt;=StartDt2US,ISNUMBER(tblData[[#This Row],[Days'# US]])),tblData[[#This Row],[US LogiP(t)]]/USPopscale,"")</f>
        <v>20615.346380514362</v>
      </c>
      <c r="BE89" s="126">
        <f ca="1">IF(AND(ISNUMBER(tblData[US]),tblData[Dates]&gt;StartDt2US),(tblData[US]-AVERAGE(tblData[US]))^2,"")</f>
        <v>57042995492.099289</v>
      </c>
      <c r="BF89" s="11">
        <f>tblData[[#This Row],[Dates]]-US100dt+1</f>
        <v>26</v>
      </c>
      <c r="BG89" s="20">
        <f ca="1">IF(tblData[Dates]&gt;StartDt2SKorea,betaSKorea/(deltaSKorea+betaPodeltaSKorea*EXP(-betaSKorea*(tblData[Dates]-StartDt2SKorea))),"")</f>
        <v>10214.220312325364</v>
      </c>
      <c r="BH89" s="20">
        <f ca="1">IF(AND(tblData[Dates]&gt;StartDt2SKorea,ISNUMBER(tblData[SKorea])),(tblData[[#This Row],[SKorea LogiP(t)]]-tblData[[#This Row],[SKorea]])^2,"")</f>
        <v>43588.957985518588</v>
      </c>
      <c r="BI89" s="20">
        <f ca="1">IF(tblData[Dates]&gt;StartDt2SKorea,tblData[[#This Row],[SKorea LogiP(t)]]/SKoreaPopscale,"")</f>
        <v>1987.2023953940397</v>
      </c>
      <c r="BJ89" s="126">
        <f ca="1">IF(AND(ISNUMBER(tblData[SKorea]),tblData[Dates]&gt;StartDt2SKorea),(tblData[SKorea]-AVERAGE(tblData[SKorea]))^2,"")</f>
        <v>21147374.432910424</v>
      </c>
      <c r="BK89" s="11">
        <f>tblData[[#This Row],[Dates]]-SKorea100dt+1</f>
        <v>47</v>
      </c>
      <c r="BL89" s="11">
        <f ca="1">IF(AND(tblData[Dates]&gt;StartDt2UK,ISNUMBER(tblData[Days'# UK])),betaUK/(deltaUK+betaPodeltaUK*EXP(-betaUK*tblData[Days'# UK])),"")</f>
        <v>93009.129427567939</v>
      </c>
      <c r="BM89" s="61">
        <f ca="1">IF(AND(tblData[Dates]&gt;StartDt2UK,ISNUMBER(tblData[United Kingdom])),(tblData[[#This Row],[UK LogiP(t)]]-tblData[[#This Row],[United Kingdom]])^2,"")</f>
        <v>736423793.56857383</v>
      </c>
      <c r="BN89" s="11">
        <f ca="1">IF(ISNUMBER(tblData[Days'# UK]),tblData[[#This Row],[UK LogiP(t)]]/UKPopscale,"")</f>
        <v>13998.965898189033</v>
      </c>
      <c r="BO89" s="126">
        <f ca="1">IF(AND(ISNUMBER(tblData[United Kingdom]),tblData[Dates]&gt;StartDt2UK),(tblData[United Kingdom]-AVERAGE(tblData[United Kingdom]))^2,"")</f>
        <v>778687243.83080578</v>
      </c>
      <c r="BP89" s="11">
        <f>tblData[[#This Row],[Dates]]-UK100dt</f>
        <v>28</v>
      </c>
      <c r="BQ89" s="11">
        <f ca="1">IF(ISNUMBER(tblData[Days'# China]),betaChina/(deltaChina+betaPodeltaChina*EXP(-betaChina*tblData[Days'# China])),"")</f>
        <v>82125.02101270952</v>
      </c>
      <c r="BR89" s="11">
        <f ca="1">IF(ISNUMBER(tblData[China]),(tblData[[#This Row],[China LogiP(t)]]-tblData[[#This Row],[China]])^2,"")</f>
        <v>574532.14517390204</v>
      </c>
      <c r="BS89" s="11">
        <f ca="1">tblData[[#This Row],[China LogiP(t)]]/ChinaPopscale</f>
        <v>570.58059056692412</v>
      </c>
      <c r="BT89" s="126">
        <f ca="1">IF(AND(ISNUMBER(tblData[China]),tblData[Dates]&gt;StartDt2China),(tblData[China]-AVERAGE(tblData[China]))^2,"")</f>
        <v>245816284.51557073</v>
      </c>
      <c r="BU89" s="11">
        <f>tblData[[#This Row],[Dates]]-China100dt</f>
        <v>67</v>
      </c>
      <c r="BV89" s="95">
        <f ca="1">IF(ISNUMBER(tblData[Day'# Singapore]),betaSingapore/(deltaSingapore+betaPodeltaSingapore*EXP(-betaSingapore*tblData[Day'# Singapore])),"")</f>
        <v>1837.1307150825132</v>
      </c>
      <c r="BW89" s="11">
        <f ca="1">IF(AND(ISNUMBER(tblData[Singapore]),tblData[Dates]&gt;=StartDt2Singapore),(tblData[[#This Row],[Singapore LogiP(t)]]-tblData[[#This Row],[Singapore]])^2,"")</f>
        <v>5309.9326843858644</v>
      </c>
      <c r="BX89" s="20">
        <f ca="1">IF(ISNUMBER(tblData[Day'# Singapore]),tblData[Singapore LogiP(t)]/SingaporePopscale,"")</f>
        <v>3140.3943847564333</v>
      </c>
      <c r="BY89" s="95">
        <f ca="1">IF(AND(ISNUMBER(tblData[Singapore]),tblData[Dates]&gt;StartDt2Singapore),(tblData[Singapore]-AVERAGE(tblData[Singapore]))^2,"")</f>
        <v>168759.86197616317</v>
      </c>
      <c r="BZ89" s="11">
        <f>tblData[[#This Row],[Dates]]-Singapore100dt+1</f>
        <v>56</v>
      </c>
      <c r="CA89" s="44">
        <f>IF(AND(tblData[Dates]&gt;StartDt2Generic,ISNUMBER(tblData[Day'# Generic])),betaGeneric/(deltaGeneric+betaPodeltaGeneric*EXP(-betaGeneric*tblData[Day'# Generic])),"")</f>
        <v>7588.2771908923205</v>
      </c>
      <c r="CB89" s="95">
        <f>IF(AND(ISNUMBER(tblData[Generic]),tblData[Dates]&gt;StartDt2Generic),(tblData[Generic LogiP(t)]-tblData[[#This Row],[Generic]])^2,"")</f>
        <v>1028758.2199644168</v>
      </c>
      <c r="CC89" s="11">
        <f>IF(AND(ISNUMBER(tblData[Day'# Generic]),tblData[Dates]&gt;StartDt2Generic),tblData[Generic LogiP(t)]/GenericPopscale,"")</f>
        <v>15486.279981412899</v>
      </c>
      <c r="CD89" s="95">
        <f>IF(AND(ISNUMBER(tblData[Generic]),tblData[Dates]&gt;StartDt2Generic),(tblData[Generic]-AVERAGE(tblData[Generic]))^2,"")</f>
        <v>3541.1654437869688</v>
      </c>
      <c r="CE89" s="11">
        <f>tblData[[#This Row],[Dates]]-Generic100dt+1</f>
        <v>28</v>
      </c>
      <c r="CF89" s="11">
        <v>134619</v>
      </c>
      <c r="CG89" s="11"/>
      <c r="CH89" s="11">
        <f>IF(ISNUMBER(tblData[[#This Row],[Tests]]),tblData[[#This Row],[Tests]]-CF88,"")</f>
        <v>4395</v>
      </c>
      <c r="CI89" s="11" t="str">
        <f>IF(ISNUMBER(tblData[[#This Row],[NSW Under Investigation'']]),tblData[[#This Row],[NSW Under Investigation'']]-CG88,"")</f>
        <v/>
      </c>
      <c r="CJ89" s="11">
        <f t="shared" si="2"/>
        <v>35</v>
      </c>
      <c r="CK89" s="11">
        <f>IF(AND(tblData[[#This Row],[NSW Test Day Number]]&gt;0,ISNUMBER(tblData[[#This Row],[NSW Test Day Number]])),betaTests/(deltaTests+betaPodeltaTests*EXP(-betaTests*tblData[[#This Row],[NSW Test Day Number]])),"")</f>
        <v>159395.96037193915</v>
      </c>
      <c r="CL89" s="11">
        <f>IF(tblData[Tests]&gt;0,(tblData[[#This Row],[Tests]]-tblData[[#This Row],[NSW Test Logi]])^2,"")</f>
        <v>613897765.27264273</v>
      </c>
      <c r="CM89" s="95">
        <f>IF(AND(ISNUMBER(tblData[Tests]),tblData[Dates]&gt;StartDt2Tests),(tblData[Tests]-AVERAGE(tblData[Tests]))^2,"")</f>
        <v>810094127.3453027</v>
      </c>
      <c r="CN89" s="11">
        <f>IF(ISNUMBER(tblData[Tests]),tblData[Tests]/NSWpopscale/100,"")</f>
        <v>1666.0767326732673</v>
      </c>
      <c r="CO89" s="95">
        <f ca="1">IF(AND(tblData[[#This Row],[NSW Test Day Number]]&gt;0,ISNUMBER(tblData[[#This Row],[NSW Test Day Number]])),TestsLogestB*TestsLogestM^tblData[[#This Row],[NSW Test Day Number]],"")</f>
        <v>101931.96962696049</v>
      </c>
      <c r="CP89" s="11">
        <f>IF(AND(tblData[[#This Row],[NSW Test Day Number]]&gt;0,ISNUMBER(tblData[Tests])),(tblData[Tests]-tblData[[#This Row],[NSW Test Per Capita]])^2,"")</f>
        <v>17676479805.327667</v>
      </c>
      <c r="CQ89" s="20">
        <f ca="1">IF(AND(tblData[Day '# NSW]&gt;0,ISNUMBER(tblData[[#This Row],[Day '# NSW]])),NSWLogestB*NSWLogestM^tblData[[#This Row],[Day '# NSW]]/NSWpopscale,"")</f>
        <v>1923.7110231213578</v>
      </c>
      <c r="CR89" s="39">
        <f ca="1">IF(AND(ISNUMBER(tblData[NSW]),tblData[Dates]&gt;StartDt2NSW),(tblData[NSW]/NSWpopscale-tblData[[#This Row],[NSW Cases LogEst]])^2,"")</f>
        <v>2274726.5728179007</v>
      </c>
      <c r="CS89" s="11">
        <v>380</v>
      </c>
      <c r="CT89" s="19">
        <f>IF(ISNUMBER(tblData[Taiwan]),tblData[Taiwan]/TaiwanPopscale,"")</f>
        <v>159.61502871264346</v>
      </c>
      <c r="CU89" s="11">
        <f ca="1">IF(tblData[[#This Row],[Dates]]&lt;StartDt2Taiwan,"",tblData[[#This Row],[Dates]]-TaiwanStart)</f>
        <v>78</v>
      </c>
      <c r="CV89" s="19">
        <f ca="1">IF(AND(tblData[Dates]&gt;StartDt2Taiwan,ISNUMBER(tblData[Days'# Taiwan])),betaTaiwan/(deltaTaiwan+betaPodeltaTaiwan*EXP(-betaTaiwan*tblData[Days'# Taiwan])),"")</f>
        <v>387.32457692947889</v>
      </c>
      <c r="CW89" s="95">
        <f ca="1">IF(AND(tblData[Dates]&gt;StartDt2Taiwan,ISNUMBER(tblData[Taiwan])),(tblData[[#This Row],[Taiwan LogiP(t)]]-tblData[[#This Row],[Taiwan]])^2,"")</f>
        <v>53.649427195854464</v>
      </c>
      <c r="CX89" s="20">
        <f ca="1">IF(AND(tblData[Dates]&gt;StartDt2Taiwan,ISNUMBER(tblData[Days'# Taiwan])),tblData[[#This Row],[Taiwan LogiP(t)]]/TaiwanPopscale,"")</f>
        <v>162.6916407045033</v>
      </c>
      <c r="CY89" s="95">
        <f ca="1">IF(AND(ISNUMBER(tblData[Taiwan]),tblData[Dates]&gt;StartDt2Taiwan),(tblData[Taiwan]-AVERAGE(tblData[Taiwan]))^2,"")</f>
        <v>44289.615148019984</v>
      </c>
      <c r="CZ89" s="11">
        <f>tblData[[#This Row],[Dates]]-Taiwan100dt+1</f>
        <v>15</v>
      </c>
      <c r="DA89" s="11">
        <v>1239</v>
      </c>
      <c r="DB89" s="20">
        <f>IF(ISNUMBER(tblData[NZ]),tblData[NZ]/NZPopscale,"")</f>
        <v>2369.024856596558</v>
      </c>
      <c r="DC89" s="11">
        <f ca="1">IF(tblData[[#This Row],[Dates]]&lt;StartDt2NZ,"",tblData[[#This Row],[Dates]]-NZStart)</f>
        <v>41</v>
      </c>
      <c r="DD89" s="20">
        <f ca="1">IF(AND(tblData[Dates]&gt;StartDt2NZ,ISNUMBER(tblData[Days'# NZ])),betaNZ/(deltaNZ+betaPodeltaNZ*EXP(-betaNZ*tblData[Days'# NZ])),"")</f>
        <v>1257.0418672216992</v>
      </c>
      <c r="DE89" s="95">
        <f ca="1">IF(AND(tblData[Dates]&gt;StartDt2NZ,ISNUMBER(tblData[NZ])),(tblData[[#This Row],[NZ LogiP(t)]]-tblData[[#This Row],[NZ]])^2,"")</f>
        <v>325.50897284542577</v>
      </c>
      <c r="DF89" s="20">
        <f ca="1">IF(AND(tblData[Dates]&gt;StartDt2NZ,ISNUMBER(tblData[Days'# NZ])),tblData[[#This Row],[NZ LogiP(t)]]/NZPopscale,"")</f>
        <v>2403.5217346495206</v>
      </c>
      <c r="DG89" s="95">
        <f ca="1">IF(AND(ISNUMBER(tblData[NZ]),tblData[Dates]&gt;StartDt2NZ),(tblData[NZ]-AVERAGE(tblData[NZ]))^2,"")</f>
        <v>302566.67033976119</v>
      </c>
      <c r="DH89" s="11">
        <f>tblData[[#This Row],[Dates]]-NZ100dt+1</f>
        <v>19</v>
      </c>
      <c r="DI89" s="39"/>
      <c r="DJ89" s="11"/>
      <c r="DM89" s="25"/>
      <c r="DP89"/>
      <c r="DV89" s="25"/>
      <c r="DW89"/>
      <c r="EA89" s="25"/>
      <c r="EH89"/>
      <c r="EI89"/>
      <c r="EJ89"/>
      <c r="EK89"/>
      <c r="EL89" s="25"/>
      <c r="EM89" s="25"/>
      <c r="EQ89" s="25"/>
      <c r="ER89" s="25"/>
      <c r="ES89" s="25"/>
      <c r="ET89" s="25"/>
      <c r="FF89"/>
      <c r="FG89"/>
      <c r="FH89"/>
      <c r="FI89"/>
      <c r="FJ89"/>
      <c r="FK89"/>
      <c r="FL89"/>
      <c r="FO89" s="266" t="s">
        <v>153</v>
      </c>
      <c r="FP89" s="250">
        <v>43919.682430555556</v>
      </c>
      <c r="FQ89" s="156">
        <v>43855</v>
      </c>
      <c r="FR89" s="26">
        <v>43855</v>
      </c>
      <c r="FS89" s="211">
        <v>1</v>
      </c>
      <c r="FT89" s="25">
        <v>0.23289664030152243</v>
      </c>
      <c r="FU89" s="25">
        <v>6.2779699551844596E-5</v>
      </c>
      <c r="FV89" s="21">
        <v>1.194611984570372E-3</v>
      </c>
      <c r="FW89" s="212">
        <v>3709.7444231824052</v>
      </c>
      <c r="FX89" s="212">
        <v>16.185445138631913</v>
      </c>
      <c r="FY89" s="212"/>
      <c r="FZ89" s="213">
        <v>194.95582524889824</v>
      </c>
      <c r="GA89" s="213">
        <v>6.2779699551844592E-2</v>
      </c>
      <c r="GB89" s="156">
        <v>43919</v>
      </c>
      <c r="GC89" s="26" t="s">
        <v>1400</v>
      </c>
      <c r="GD89" s="212">
        <v>3709.7444231824052</v>
      </c>
      <c r="GE89" s="212">
        <v>1791</v>
      </c>
      <c r="GF89" s="26" t="s">
        <v>1401</v>
      </c>
      <c r="GG89" s="156">
        <v>43919</v>
      </c>
      <c r="GH89" s="25">
        <v>65</v>
      </c>
      <c r="GI89" s="25" t="s">
        <v>1402</v>
      </c>
      <c r="GJ89" s="25"/>
      <c r="GK89" s="25" t="s">
        <v>1403</v>
      </c>
      <c r="GL89" s="62"/>
      <c r="GM89" s="25" t="s">
        <v>1404</v>
      </c>
      <c r="GN89" s="20">
        <v>2216.5841584158416</v>
      </c>
      <c r="GO89" s="156"/>
      <c r="GP89" s="218"/>
      <c r="GQ89" s="156"/>
      <c r="GR89" s="25"/>
      <c r="GS89" s="25" t="s">
        <v>1399</v>
      </c>
      <c r="GT89" s="11"/>
      <c r="GU89" s="12"/>
      <c r="GV89" s="26"/>
      <c r="GW89" s="25"/>
      <c r="GX89" s="219"/>
      <c r="GY89" s="25"/>
      <c r="GZ89" s="25"/>
    </row>
    <row r="90" spans="2:238" x14ac:dyDescent="0.25">
      <c r="B90" s="26">
        <v>43931</v>
      </c>
      <c r="D90" s="25">
        <v>103</v>
      </c>
      <c r="E90">
        <v>2822</v>
      </c>
      <c r="F90">
        <v>28</v>
      </c>
      <c r="G90">
        <v>965</v>
      </c>
      <c r="H90">
        <v>428</v>
      </c>
      <c r="I90" s="25">
        <v>133</v>
      </c>
      <c r="J90">
        <v>1241</v>
      </c>
      <c r="K90">
        <v>506</v>
      </c>
      <c r="L90" s="11">
        <f>IF(ISNUMBER(tblData[[#This Row],[NSW]]),tblData[[#This Row],[New South Wales]]/NSWpopscale,"")</f>
        <v>3492.5742574257424</v>
      </c>
      <c r="M90" s="25">
        <v>147577</v>
      </c>
      <c r="N90" s="20">
        <f>IF(ISNUMBER(tblData[Italy]),tblData[Italy]/ItalyPopscale,"")</f>
        <v>24398.941886418121</v>
      </c>
      <c r="O90" s="25">
        <v>496535</v>
      </c>
      <c r="P90" s="20">
        <f>IF(ISNUMBER(tblData[US]),tblData[US]/USPopscale,"")</f>
        <v>15081.809052630699</v>
      </c>
      <c r="Q90" s="11">
        <v>10450</v>
      </c>
      <c r="R90" s="20">
        <f>IF(ISNUMBER(tblData[SKorea]),tblData[SKorea]/SKoreaPopscale,"")</f>
        <v>2033.0739299610896</v>
      </c>
      <c r="S90">
        <v>74605</v>
      </c>
      <c r="T90" s="20">
        <f>IF(ISNUMBER(tblData[United Kingdom]),tblData[United Kingdom]/UKPopscale,"")</f>
        <v>11228.9283564118</v>
      </c>
      <c r="U90">
        <v>82941</v>
      </c>
      <c r="V90" s="20">
        <f>IF(ISNUMBER(tblData[China]),tblData[China]/ChinaPopscale,"")</f>
        <v>576.2497735603306</v>
      </c>
      <c r="W90" s="25">
        <f ca="1">IF(tblData[[#This Row],[Dates]]&lt;StartDt2China,"",tblData[[#This Row],[Dates]]-ChinaStart)</f>
        <v>79</v>
      </c>
      <c r="X90" s="20">
        <v>2108</v>
      </c>
      <c r="Y90" s="20">
        <f>IF(ISNUMBER(tblData[Singapore]),tblData[Singapore]/SingaporePopscale,"")</f>
        <v>3603.4188034188037</v>
      </c>
      <c r="Z90">
        <v>8089</v>
      </c>
      <c r="AA90" s="20">
        <f>IF(AND(LEN(tblData[Generic])&gt;0,ISNUMBER(tblData[Generic])),tblData[Generic]/GenericPopscale,"")</f>
        <v>16508.163265306124</v>
      </c>
      <c r="AB90" s="25">
        <f ca="1">IF(tblData[[#This Row],[Dates]]&lt;StartDt2Italy,"",tblData[[#This Row],[Dates]]-ItalyStart)</f>
        <v>71</v>
      </c>
      <c r="AC90" s="25">
        <f ca="1">IF(tblData[[#This Row],[Dates]]&lt;=StartDt2US,"",tblData[[#This Row],[Dates]]-USStart)</f>
        <v>79</v>
      </c>
      <c r="AD90" s="25">
        <f>IF(tblData[[#This Row],[Dates]]&lt;=SKoreaStart,"",tblData[[#This Row],[Dates]]-SKoreaStart)</f>
        <v>79</v>
      </c>
      <c r="AE90" s="25">
        <f ca="1">IF(tblData[[#This Row],[Dates]]&lt;=StartDt2UK,"",tblData[[#This Row],[Dates]]-UKStart)</f>
        <v>71</v>
      </c>
      <c r="AF90" s="25">
        <f ca="1">IF(tblData[[#This Row],[Dates]]&lt;StartDt2Singapore,"",tblData[[#This Row],[Dates]]-SingaporeStart)</f>
        <v>78</v>
      </c>
      <c r="AG90" s="25">
        <f>IF(tblData[[#This Row],[Dates]]&lt;StartDt2Generic,"",tblData[[#This Row],[Dates]]-GenericStart)</f>
        <v>41</v>
      </c>
      <c r="AH90">
        <f ca="1">IF(tblData[Dates]&gt;StartDt2Au,tblData[Dates]-AuStart,"")</f>
        <v>76</v>
      </c>
      <c r="AI90" s="25">
        <f>IF(AND(COUNTBLANK(tblData[[#This Row],[Australian Capital Territory]:[Western Australia]])&lt;1,tblData[New South Wales]&gt;=0),SUM(tblData[[#This Row],[Australian Capital Territory]:[Western Australia]]),"")</f>
        <v>6226</v>
      </c>
      <c r="AJ90" s="12">
        <f>IF(ISNUMBER(tblData[Au]),tblData[Au]/AuPopScale,"")</f>
        <v>2454.6601482416022</v>
      </c>
      <c r="AK90" s="11">
        <f ca="1">IF(ISNUMBER(tblData[[#This Row],[Day'# Aust]]),betaAu/(deltaAu+betaPodeltaAu*EXP(-betaAu*tblData[[#This Row],[Day'# Aust]])),"")</f>
        <v>6336.3647337641059</v>
      </c>
      <c r="AL90" s="56">
        <f ca="1">IF(ISNUMBER(tblData[Day'# Aust]),tblData[Au LogiP(t)]/AuPopScale,"")</f>
        <v>2498.1725018782945</v>
      </c>
      <c r="AM90" s="11">
        <f ca="1">IF(AND(tblData[Dates]&gt;StartDt2Au,ISNUMBER(tblData[Au])),(tblData[[#This Row],[Au LogiP(t)]]-tblData[[#This Row],[Au]])^2,"")</f>
        <v>12180.374458821987</v>
      </c>
      <c r="AN90" s="11">
        <f ca="1">IF(AND(ISNUMBER(tblData[Au]),tblData[Dates]&gt;StartDt2Au),(tblData[Au]-AVERAGE(tblData[Au]))^2,"")</f>
        <v>14267164.2961</v>
      </c>
      <c r="AO90" s="11">
        <f>tblData[[#This Row],[Dates]]-Au100dt</f>
        <v>26</v>
      </c>
      <c r="AP90">
        <f ca="1">IF(tblData[Dates]&gt;StartDt2NSW,tblData[Dates]-StartDt2NSW,"")</f>
        <v>76</v>
      </c>
      <c r="AQ90" s="25">
        <f>IF(tblData[[#This Row],[New South Wales]]&gt;0,tblData[[#This Row],[New South Wales]],"")</f>
        <v>2822</v>
      </c>
      <c r="AR90" s="11">
        <f ca="1">IF(tblData[Dates]&gt;StartDt2NSW,betaNSW/(deltaNSW+betaPodeltaNSW*EXP(-betaNSW*tblData[[#This Row],[Day '# NSW]])),"")</f>
        <v>2846.8778889268715</v>
      </c>
      <c r="AS90" s="12">
        <f ca="1">IF(AND(ISNUMBER(tblData[NSW]),tblData[Dates]&gt;StartDt2NSW),(tblData[[#This Row],[NSW LogiP(t)]]-tblData[[#This Row],[NSW]])^2,"")</f>
        <v>618.90935745775516</v>
      </c>
      <c r="AT90" s="39">
        <f ca="1">IF(AND(tblData[Dates]&gt;StartDt2NSW,ISNUMBER(tblData[Day'# Aust])),tblData[NSW LogiP(t)]/NSWpopscale,"")</f>
        <v>3523.3637239193954</v>
      </c>
      <c r="AU90" s="11">
        <f>tblData[[#This Row],[Dates]]-NSW100dt+1</f>
        <v>29</v>
      </c>
      <c r="AV90" s="11">
        <f ca="1">IF(AND(ISNUMBER(tblData[NSW]),tblData[Dates]&gt;StartDt2NSW),(tblData[NSW]-AVERAGE(tblData[NSW]))^2,"")</f>
        <v>2985085.5076000001</v>
      </c>
      <c r="AW90" s="11">
        <f ca="1">IF(AND(tblData[Dates]&gt;StartDt2Italy,ISNUMBER(tblData[Days'# Italy])),betaItaly/(deltaItaly+betaPodeltaItaly*EXP(-betaItaly*tblData[Days'# Italy])),"")</f>
        <v>160472.81975424261</v>
      </c>
      <c r="AX90" s="11">
        <f ca="1">IF(AND(tblData[Dates]&gt;StartDt2Italy,ISNUMBER(tblData[Italy])),(tblData[[#This Row],[Italy LogiP(t)]]-tblData[[#This Row],[Italy]])^2,"")</f>
        <v>166302167.13391382</v>
      </c>
      <c r="AY90" s="11">
        <f ca="1">IF(AND(tblData[Dates]&gt;StartDt2Italy,ISNUMBER(tblData[Days'# Italy])),tblData[[#This Row],[Italy LogiP(t)]]/ItalyPopscale,"")</f>
        <v>26531.010953830308</v>
      </c>
      <c r="AZ90" s="39">
        <f ca="1">IF(AND(ISNUMBER(tblData[Italy]),tblData[Dates]&gt;StartDt2Italy),(tblData[Italy]-AVERAGE(tblData[Italy]))^2,"")</f>
        <v>6057258853.0059996</v>
      </c>
      <c r="BA90" s="11">
        <f>tblData[[#This Row],[Dates]]-Italy100dt+1</f>
        <v>44</v>
      </c>
      <c r="BB90" s="11">
        <f ca="1">IF(AND(tblData[Dates]&gt;StartDt2US,ISNUMBER(tblData[[#This Row],[Days'# US]])),betaUS/(deltaUS+betaPodeltaUS*EXP(-betaUS*tblData[Days'# US])),"")</f>
        <v>707664.16019156179</v>
      </c>
      <c r="BC90" s="11">
        <f ca="1">IF(AND(tblData[Dates]&gt;StartDt2US,ISNUMBER(tblData[US])),(tblData[[#This Row],[US LogiP(t)]]-tblData[US])^2,"")</f>
        <v>44575522283.19416</v>
      </c>
      <c r="BD90" s="20">
        <f ca="1">IF(AND(tblData[Dates]&gt;=StartDt2US,ISNUMBER(tblData[[#This Row],[Days'# US]])),tblData[[#This Row],[US LogiP(t)]]/USPopscale,"")</f>
        <v>21494.669534674089</v>
      </c>
      <c r="BE90" s="126">
        <f ca="1">IF(AND(ISNUMBER(tblData[US]),tblData[Dates]&gt;StartDt2US),(tblData[US]-AVERAGE(tblData[US]))^2,"")</f>
        <v>74306264840.530655</v>
      </c>
      <c r="BF90" s="11">
        <f>tblData[[#This Row],[Dates]]-US100dt+1</f>
        <v>27</v>
      </c>
      <c r="BG90" s="20">
        <f ca="1">IF(tblData[Dates]&gt;StartDt2SKorea,betaSKorea/(deltaSKorea+betaPodeltaSKorea*EXP(-betaSKorea*(tblData[Dates]-StartDt2SKorea))),"")</f>
        <v>10217.460264226604</v>
      </c>
      <c r="BH90" s="20">
        <f ca="1">IF(AND(tblData[Dates]&gt;StartDt2SKorea,ISNUMBER(tblData[SKorea])),(tblData[[#This Row],[SKorea LogiP(t)]]-tblData[[#This Row],[SKorea]])^2,"")</f>
        <v>54074.728713561009</v>
      </c>
      <c r="BI90" s="20">
        <f ca="1">IF(tblData[Dates]&gt;StartDt2SKorea,tblData[[#This Row],[SKorea LogiP(t)]]/SKoreaPopscale,"")</f>
        <v>1987.8327362308569</v>
      </c>
      <c r="BJ90" s="126">
        <f ca="1">IF(AND(ISNUMBER(tblData[SKorea]),tblData[Dates]&gt;StartDt2SKorea),(tblData[SKorea]-AVERAGE(tblData[SKorea]))^2,"")</f>
        <v>21396429.315263364</v>
      </c>
      <c r="BK90" s="11">
        <f>tblData[[#This Row],[Dates]]-SKorea100dt+1</f>
        <v>48</v>
      </c>
      <c r="BL90" s="11">
        <f ca="1">IF(AND(tblData[Dates]&gt;StartDt2UK,ISNUMBER(tblData[Days'# UK])),betaUK/(deltaUK+betaPodeltaUK*EXP(-betaUK*tblData[Days'# UK])),"")</f>
        <v>99685.731153274159</v>
      </c>
      <c r="BM90" s="61">
        <f ca="1">IF(AND(tblData[Dates]&gt;StartDt2UK,ISNUMBER(tblData[United Kingdom])),(tblData[[#This Row],[UK LogiP(t)]]-tblData[[#This Row],[United Kingdom]])^2,"")</f>
        <v>629043075.18281686</v>
      </c>
      <c r="BN90" s="11">
        <f ca="1">IF(ISNUMBER(tblData[Days'# UK]),tblData[[#This Row],[UK LogiP(t)]]/UKPopscale,"")</f>
        <v>15003.872840649332</v>
      </c>
      <c r="BO90" s="126">
        <f ca="1">IF(AND(ISNUMBER(tblData[United Kingdom]),tblData[Dates]&gt;StartDt2UK),(tblData[United Kingdom]-AVERAGE(tblData[United Kingdom]))^2,"")</f>
        <v>1342340705.4052739</v>
      </c>
      <c r="BP90" s="11">
        <f>tblData[[#This Row],[Dates]]-UK100dt</f>
        <v>29</v>
      </c>
      <c r="BQ90" s="11">
        <f ca="1">IF(ISNUMBER(tblData[Days'# China]),betaChina/(deltaChina+betaPodeltaChina*EXP(-betaChina*tblData[Days'# China])),"")</f>
        <v>82125.048661080844</v>
      </c>
      <c r="BR90" s="11">
        <f ca="1">IF(ISNUMBER(tblData[China]),(tblData[[#This Row],[China LogiP(t)]]-tblData[[#This Row],[China]])^2,"")</f>
        <v>665776.58748396358</v>
      </c>
      <c r="BS90" s="11">
        <f ca="1">tblData[[#This Row],[China LogiP(t)]]/ChinaPopscale</f>
        <v>570.5807826597096</v>
      </c>
      <c r="BT90" s="126">
        <f ca="1">IF(AND(ISNUMBER(tblData[China]),tblData[Dates]&gt;StartDt2China),(tblData[China]-AVERAGE(tblData[China]))^2,"")</f>
        <v>247638357.92733541</v>
      </c>
      <c r="BU90" s="11">
        <f>tblData[[#This Row],[Dates]]-China100dt</f>
        <v>68</v>
      </c>
      <c r="BV90" s="95">
        <f ca="1">IF(ISNUMBER(tblData[Day'# Singapore]),betaSingapore/(deltaSingapore+betaPodeltaSingapore*EXP(-betaSingapore*tblData[Day'# Singapore])),"")</f>
        <v>2068.6817496021877</v>
      </c>
      <c r="BW90" s="11">
        <f ca="1">IF(AND(ISNUMBER(tblData[Singapore]),tblData[Dates]&gt;=StartDt2Singapore),(tblData[[#This Row],[Singapore LogiP(t)]]-tblData[[#This Row],[Singapore]])^2,"")</f>
        <v>1545.9248143450698</v>
      </c>
      <c r="BX90" s="20">
        <f ca="1">IF(ISNUMBER(tblData[Day'# Singapore]),tblData[Singapore LogiP(t)]/SingaporePopscale,"")</f>
        <v>3536.2081189780988</v>
      </c>
      <c r="BY90" s="95">
        <f ca="1">IF(AND(ISNUMBER(tblData[Singapore]),tblData[Dates]&gt;StartDt2Singapore),(tblData[Singapore]-AVERAGE(tblData[Singapore]))^2,"")</f>
        <v>45285.509034986622</v>
      </c>
      <c r="BZ90" s="11">
        <f>tblData[[#This Row],[Dates]]-Singapore100dt+1</f>
        <v>57</v>
      </c>
      <c r="CA90" s="44">
        <f>IF(AND(tblData[Dates]&gt;StartDt2Generic,ISNUMBER(tblData[Day'# Generic])),betaGeneric/(deltaGeneric+betaPodeltaGeneric*EXP(-betaGeneric*tblData[Day'# Generic])),"")</f>
        <v>8293.8149298870339</v>
      </c>
      <c r="CB90" s="95">
        <f>IF(AND(ISNUMBER(tblData[Generic]),tblData[Dates]&gt;StartDt2Generic),(tblData[Generic LogiP(t)]-tblData[[#This Row],[Generic]])^2,"")</f>
        <v>41949.155504630631</v>
      </c>
      <c r="CC90" s="11">
        <f>IF(AND(ISNUMBER(tblData[Day'# Generic]),tblData[Dates]&gt;StartDt2Generic),tblData[Generic LogiP(t)]/GenericPopscale,"")</f>
        <v>16926.152918136806</v>
      </c>
      <c r="CD90" s="95">
        <f>IF(AND(ISNUMBER(tblData[Generic]),tblData[Dates]&gt;StartDt2Generic),(tblData[Generic]-AVERAGE(tblData[Generic]))^2,"")</f>
        <v>2118457.8577514798</v>
      </c>
      <c r="CE90" s="11">
        <f>tblData[[#This Row],[Dates]]-Generic100dt+1</f>
        <v>29</v>
      </c>
      <c r="CF90" s="11">
        <v>138090</v>
      </c>
      <c r="CG90" s="11"/>
      <c r="CH90" s="11">
        <f>IF(ISNUMBER(tblData[[#This Row],[Tests]]),tblData[[#This Row],[Tests]]-CF89,"")</f>
        <v>3471</v>
      </c>
      <c r="CI90" s="11" t="str">
        <f>IF(ISNUMBER(tblData[[#This Row],[NSW Under Investigation'']]),tblData[[#This Row],[NSW Under Investigation'']]-CG89,"")</f>
        <v/>
      </c>
      <c r="CJ90" s="11">
        <f t="shared" si="2"/>
        <v>36</v>
      </c>
      <c r="CK90" s="11">
        <f>IF(AND(tblData[[#This Row],[NSW Test Day Number]]&gt;0,ISNUMBER(tblData[[#This Row],[NSW Test Day Number]])),betaTests/(deltaTests+betaPodeltaTests*EXP(-betaTests*tblData[[#This Row],[NSW Test Day Number]])),"")</f>
        <v>161381.94140986248</v>
      </c>
      <c r="CL90" s="11">
        <f>IF(tblData[Tests]&gt;0,(tblData[[#This Row],[Tests]]-tblData[[#This Row],[NSW Test Logi]])^2,"")</f>
        <v>542514534.64046681</v>
      </c>
      <c r="CM90" s="95">
        <f>IF(AND(ISNUMBER(tblData[Tests]),tblData[Dates]&gt;StartDt2Tests),(tblData[Tests]-AVERAGE(tblData[Tests]))^2,"")</f>
        <v>1019726231.2944552</v>
      </c>
      <c r="CN90" s="11">
        <f>IF(ISNUMBER(tblData[Tests]),tblData[Tests]/NSWpopscale/100,"")</f>
        <v>1709.0346534653465</v>
      </c>
      <c r="CO90" s="95">
        <f ca="1">IF(AND(tblData[[#This Row],[NSW Test Day Number]]&gt;0,ISNUMBER(tblData[[#This Row],[NSW Test Day Number]])),TestsLogestB*TestsLogestM^tblData[[#This Row],[NSW Test Day Number]],"")</f>
        <v>108049.05336775709</v>
      </c>
      <c r="CP90" s="11">
        <f>IF(AND(tblData[[#This Row],[NSW Test Day Number]]&gt;0,ISNUMBER(tblData[Tests])),(tblData[Tests]-tblData[[#This Row],[NSW Test Per Capita]])^2,"")</f>
        <v>18599767708.852684</v>
      </c>
      <c r="CQ90" s="20">
        <f ca="1">IF(AND(tblData[Day '# NSW]&gt;0,ISNUMBER(tblData[[#This Row],[Day '# NSW]])),NSWLogestB*NSWLogestM^tblData[[#This Row],[Day '# NSW]]/NSWpopscale,"")</f>
        <v>2117.9204856802362</v>
      </c>
      <c r="CR90" s="39">
        <f ca="1">IF(AND(ISNUMBER(tblData[NSW]),tblData[Dates]&gt;StartDt2NSW),(tblData[NSW]/NSWpopscale-tblData[[#This Row],[NSW Cases LogEst]])^2,"")</f>
        <v>1889672.9921741462</v>
      </c>
      <c r="CS90" s="11">
        <v>382</v>
      </c>
      <c r="CT90" s="19">
        <f>IF(ISNUMBER(tblData[Taiwan]),tblData[Taiwan]/TaiwanPopscale,"")</f>
        <v>160.45510781113106</v>
      </c>
      <c r="CU90" s="11">
        <f ca="1">IF(tblData[[#This Row],[Dates]]&lt;StartDt2Taiwan,"",tblData[[#This Row],[Dates]]-TaiwanStart)</f>
        <v>79</v>
      </c>
      <c r="CV90" s="19">
        <f ca="1">IF(AND(tblData[Dates]&gt;StartDt2Taiwan,ISNUMBER(tblData[Days'# Taiwan])),betaTaiwan/(deltaTaiwan+betaPodeltaTaiwan*EXP(-betaTaiwan*tblData[Days'# Taiwan])),"")</f>
        <v>392.23520661447407</v>
      </c>
      <c r="CW90" s="95">
        <f ca="1">IF(AND(tblData[Dates]&gt;StartDt2Taiwan,ISNUMBER(tblData[Taiwan])),(tblData[[#This Row],[Taiwan LogiP(t)]]-tblData[[#This Row],[Taiwan]])^2,"")</f>
        <v>104.75945444097367</v>
      </c>
      <c r="CX90" s="20">
        <f ca="1">IF(AND(tblData[Dates]&gt;StartDt2Taiwan,ISNUMBER(tblData[Days'# Taiwan])),tblData[[#This Row],[Taiwan LogiP(t)]]/TaiwanPopscale,"")</f>
        <v>164.75429938389189</v>
      </c>
      <c r="CY90" s="95">
        <f ca="1">IF(AND(ISNUMBER(tblData[Taiwan]),tblData[Dates]&gt;StartDt2Taiwan),(tblData[Taiwan]-AVERAGE(tblData[Taiwan]))^2,"")</f>
        <v>45135.419069588614</v>
      </c>
      <c r="CZ90" s="11">
        <f>tblData[[#This Row],[Dates]]-Taiwan100dt+1</f>
        <v>16</v>
      </c>
      <c r="DA90" s="11">
        <v>1283</v>
      </c>
      <c r="DB90" s="20">
        <f>IF(ISNUMBER(tblData[NZ]),tblData[NZ]/NZPopscale,"")</f>
        <v>2453.1548757170171</v>
      </c>
      <c r="DC90" s="11">
        <f ca="1">IF(tblData[[#This Row],[Dates]]&lt;StartDt2NZ,"",tblData[[#This Row],[Dates]]-NZStart)</f>
        <v>42</v>
      </c>
      <c r="DD90" s="20">
        <f ca="1">IF(AND(tblData[Dates]&gt;StartDt2NZ,ISNUMBER(tblData[Days'# NZ])),betaNZ/(deltaNZ+betaPodeltaNZ*EXP(-betaNZ*tblData[Days'# NZ])),"")</f>
        <v>1294.6208060661365</v>
      </c>
      <c r="DE90" s="95">
        <f ca="1">IF(AND(tblData[Dates]&gt;StartDt2NZ,ISNUMBER(tblData[NZ])),(tblData[[#This Row],[NZ LogiP(t)]]-tblData[[#This Row],[NZ]])^2,"")</f>
        <v>135.04313362675575</v>
      </c>
      <c r="DF90" s="20">
        <f ca="1">IF(AND(tblData[Dates]&gt;StartDt2NZ,ISNUMBER(tblData[Days'# NZ])),tblData[[#This Row],[NZ LogiP(t)]]/NZPopscale,"")</f>
        <v>2475.3743901838175</v>
      </c>
      <c r="DG90" s="95">
        <f ca="1">IF(AND(ISNUMBER(tblData[NZ]),tblData[Dates]&gt;StartDt2NZ),(tblData[NZ]-AVERAGE(tblData[NZ]))^2,"")</f>
        <v>352908.0036730945</v>
      </c>
      <c r="DH90" s="11">
        <f>tblData[[#This Row],[Dates]]-NZ100dt+1</f>
        <v>20</v>
      </c>
      <c r="DI90" s="39"/>
      <c r="DJ90" s="11"/>
      <c r="DM90" s="25"/>
      <c r="DP90"/>
      <c r="DV90" s="25"/>
      <c r="DW90"/>
      <c r="EA90" s="25"/>
      <c r="EH90"/>
      <c r="EI90"/>
      <c r="EJ90"/>
      <c r="EK90"/>
      <c r="EL90" s="25"/>
      <c r="EM90" s="25"/>
      <c r="EQ90" s="25"/>
      <c r="ER90" s="25"/>
      <c r="ES90" s="25"/>
      <c r="ET90" s="25"/>
      <c r="FF90"/>
      <c r="FG90"/>
      <c r="FH90"/>
      <c r="FI90"/>
      <c r="FJ90"/>
      <c r="FK90"/>
      <c r="FL90"/>
      <c r="FO90" s="265" t="s">
        <v>153</v>
      </c>
      <c r="FP90" s="250">
        <v>43921.87636574074</v>
      </c>
      <c r="FQ90" s="156">
        <v>43855</v>
      </c>
      <c r="FR90" s="26">
        <v>43855</v>
      </c>
      <c r="FS90" s="211">
        <v>1</v>
      </c>
      <c r="FT90" s="25">
        <v>0.23304044484915318</v>
      </c>
      <c r="FU90" s="73">
        <v>6.2803412880147458E-5</v>
      </c>
      <c r="FV90" s="21">
        <v>1.184003502391788E-3</v>
      </c>
      <c r="FW90" s="212">
        <v>3710.633453851975</v>
      </c>
      <c r="FX90" s="212">
        <v>16.061120489058151</v>
      </c>
      <c r="FY90" s="212"/>
      <c r="FZ90" s="213">
        <v>196.82405501244799</v>
      </c>
      <c r="GA90" s="213">
        <v>6.2803412880147458E-2</v>
      </c>
      <c r="GB90" s="156">
        <v>43920</v>
      </c>
      <c r="GC90" s="25" t="s">
        <v>1400</v>
      </c>
      <c r="GD90" s="212">
        <v>3710.633453851975</v>
      </c>
      <c r="GE90" s="212"/>
      <c r="GF90" s="25" t="s">
        <v>1401</v>
      </c>
      <c r="GG90" s="156">
        <v>43920</v>
      </c>
      <c r="GH90" s="25">
        <v>66</v>
      </c>
      <c r="GI90" s="25" t="s">
        <v>1530</v>
      </c>
      <c r="GJ90" s="62"/>
      <c r="GK90" s="25" t="s">
        <v>1403</v>
      </c>
      <c r="GM90" s="25" t="s">
        <v>1531</v>
      </c>
      <c r="GN90" s="20">
        <v>2373.7623762376238</v>
      </c>
      <c r="GO90" s="156"/>
      <c r="GP90" s="218"/>
      <c r="GQ90" s="156"/>
      <c r="GR90" s="25"/>
      <c r="GS90" s="25" t="s">
        <v>1529</v>
      </c>
      <c r="GT90" s="11"/>
      <c r="GU90" s="12"/>
      <c r="GV90" s="26"/>
      <c r="GW90" s="25"/>
      <c r="GX90" s="219"/>
      <c r="GY90" s="25"/>
      <c r="GZ90" s="25"/>
    </row>
    <row r="91" spans="2:238" x14ac:dyDescent="0.25">
      <c r="B91" s="26">
        <v>43932</v>
      </c>
      <c r="D91" s="25">
        <v>103</v>
      </c>
      <c r="E91">
        <v>2857</v>
      </c>
      <c r="F91">
        <v>28</v>
      </c>
      <c r="G91">
        <v>974</v>
      </c>
      <c r="H91">
        <v>429</v>
      </c>
      <c r="I91" s="25">
        <v>140</v>
      </c>
      <c r="J91">
        <v>1265</v>
      </c>
      <c r="K91">
        <v>514</v>
      </c>
      <c r="L91" s="11">
        <f>IF(ISNUMBER(tblData[[#This Row],[NSW]]),tblData[[#This Row],[New South Wales]]/NSWpopscale,"")</f>
        <v>3535.8910891089108</v>
      </c>
      <c r="M91" s="25">
        <v>152271</v>
      </c>
      <c r="N91" s="20">
        <f>IF(ISNUMBER(tblData[Italy]),tblData[Italy]/ItalyPopscale,"")</f>
        <v>25175.002066628091</v>
      </c>
      <c r="O91" s="25">
        <v>526396</v>
      </c>
      <c r="P91" s="20">
        <f>IF(ISNUMBER(tblData[US]),tblData[US]/USPopscale,"")</f>
        <v>15988.810372015245</v>
      </c>
      <c r="Q91" s="11">
        <v>10480</v>
      </c>
      <c r="R91" s="20">
        <f>IF(ISNUMBER(tblData[SKorea]),tblData[SKorea]/SKoreaPopscale,"")</f>
        <v>2038.910505836576</v>
      </c>
      <c r="S91">
        <v>79874</v>
      </c>
      <c r="T91" s="20">
        <f>IF(ISNUMBER(tblData[United Kingdom]),tblData[United Kingdom]/UKPopscale,"")</f>
        <v>12021.974714027694</v>
      </c>
      <c r="U91">
        <v>83014</v>
      </c>
      <c r="V91" s="20">
        <f>IF(ISNUMBER(tblData[China]),tblData[China]/ChinaPopscale,"")</f>
        <v>576.75695617773215</v>
      </c>
      <c r="W91" s="25">
        <f ca="1">IF(tblData[[#This Row],[Dates]]&lt;StartDt2China,"",tblData[[#This Row],[Dates]]-ChinaStart)</f>
        <v>80</v>
      </c>
      <c r="X91" s="20">
        <v>2299</v>
      </c>
      <c r="Y91" s="20">
        <f>IF(ISNUMBER(tblData[Singapore]),tblData[Singapore]/SingaporePopscale,"")</f>
        <v>3929.9145299145302</v>
      </c>
      <c r="Z91">
        <v>8928</v>
      </c>
      <c r="AA91" s="20">
        <f>IF(AND(LEN(tblData[Generic])&gt;0,ISNUMBER(tblData[Generic])),tblData[Generic]/GenericPopscale,"")</f>
        <v>18220.408163265307</v>
      </c>
      <c r="AB91" s="25">
        <f ca="1">IF(tblData[[#This Row],[Dates]]&lt;StartDt2Italy,"",tblData[[#This Row],[Dates]]-ItalyStart)</f>
        <v>72</v>
      </c>
      <c r="AC91" s="25">
        <f ca="1">IF(tblData[[#This Row],[Dates]]&lt;=StartDt2US,"",tblData[[#This Row],[Dates]]-USStart)</f>
        <v>80</v>
      </c>
      <c r="AD91" s="25">
        <f>IF(tblData[[#This Row],[Dates]]&lt;=SKoreaStart,"",tblData[[#This Row],[Dates]]-SKoreaStart)</f>
        <v>80</v>
      </c>
      <c r="AE91" s="25">
        <f ca="1">IF(tblData[[#This Row],[Dates]]&lt;=StartDt2UK,"",tblData[[#This Row],[Dates]]-UKStart)</f>
        <v>72</v>
      </c>
      <c r="AF91" s="25">
        <f ca="1">IF(tblData[[#This Row],[Dates]]&lt;StartDt2Singapore,"",tblData[[#This Row],[Dates]]-SingaporeStart)</f>
        <v>79</v>
      </c>
      <c r="AG91" s="25">
        <f>IF(tblData[[#This Row],[Dates]]&lt;StartDt2Generic,"",tblData[[#This Row],[Dates]]-GenericStart)</f>
        <v>42</v>
      </c>
      <c r="AH91">
        <f ca="1">IF(tblData[Dates]&gt;StartDt2Au,tblData[Dates]-AuStart,"")</f>
        <v>77</v>
      </c>
      <c r="AI91" s="25">
        <f>IF(AND(COUNTBLANK(tblData[[#This Row],[Australian Capital Territory]:[Western Australia]])&lt;1,tblData[New South Wales]&gt;=0),SUM(tblData[[#This Row],[Australian Capital Territory]:[Western Australia]]),"")</f>
        <v>6310</v>
      </c>
      <c r="AJ91" s="12">
        <f>IF(ISNUMBER(tblData[Au]),tblData[Au]/AuPopScale,"")</f>
        <v>2487.7779530042581</v>
      </c>
      <c r="AK91" s="11">
        <f ca="1">IF(ISNUMBER(tblData[[#This Row],[Day'# Aust]]),betaAu/(deltaAu+betaPodeltaAu*EXP(-betaAu*tblData[[#This Row],[Day'# Aust]])),"")</f>
        <v>6396.2743634236131</v>
      </c>
      <c r="AL91" s="56">
        <f ca="1">IF(ISNUMBER(tblData[Day'# Aust]),tblData[Au LogiP(t)]/AuPopScale,"")</f>
        <v>2521.7924473362295</v>
      </c>
      <c r="AM91" s="11">
        <f ca="1">IF(AND(tblData[Dates]&gt;StartDt2Au,ISNUMBER(tblData[Au])),(tblData[[#This Row],[Au LogiP(t)]]-tblData[[#This Row],[Au]])^2,"")</f>
        <v>7443.2657841496639</v>
      </c>
      <c r="AN91" s="11">
        <f ca="1">IF(AND(ISNUMBER(tblData[Au]),tblData[Dates]&gt;StartDt2Au),(tblData[Au]-AVERAGE(tblData[Au]))^2,"")</f>
        <v>14908788.2161</v>
      </c>
      <c r="AO91" s="11">
        <f>tblData[[#This Row],[Dates]]-Au100dt</f>
        <v>27</v>
      </c>
      <c r="AP91">
        <f ca="1">IF(tblData[Dates]&gt;StartDt2NSW,tblData[Dates]-StartDt2NSW,"")</f>
        <v>77</v>
      </c>
      <c r="AQ91" s="25">
        <f>IF(tblData[[#This Row],[New South Wales]]&gt;0,tblData[[#This Row],[New South Wales]],"")</f>
        <v>2857</v>
      </c>
      <c r="AR91" s="11">
        <f ca="1">IF(tblData[Dates]&gt;StartDt2NSW,betaNSW/(deltaNSW+betaPodeltaNSW*EXP(-betaNSW*tblData[[#This Row],[Day '# NSW]])),"")</f>
        <v>2872.4433659153551</v>
      </c>
      <c r="AS91" s="12">
        <f ca="1">IF(AND(ISNUMBER(tblData[NSW]),tblData[Dates]&gt;StartDt2NSW),(tblData[[#This Row],[NSW LogiP(t)]]-tblData[[#This Row],[NSW]])^2,"")</f>
        <v>238.49755079555217</v>
      </c>
      <c r="AT91" s="39">
        <f ca="1">IF(AND(tblData[Dates]&gt;StartDt2NSW,ISNUMBER(tblData[Day'# Aust])),tblData[NSW LogiP(t)]/NSWpopscale,"")</f>
        <v>3555.0041657368256</v>
      </c>
      <c r="AU91" s="11">
        <f>tblData[[#This Row],[Dates]]-NSW100dt+1</f>
        <v>30</v>
      </c>
      <c r="AV91" s="11">
        <f ca="1">IF(AND(ISNUMBER(tblData[NSW]),tblData[Dates]&gt;StartDt2NSW),(tblData[NSW]-AVERAGE(tblData[NSW]))^2,"")</f>
        <v>3107252.3075999999</v>
      </c>
      <c r="AW91" s="11">
        <f ca="1">IF(AND(tblData[Dates]&gt;StartDt2Italy,ISNUMBER(tblData[Days'# Italy])),betaItaly/(deltaItaly+betaPodeltaItaly*EXP(-betaItaly*tblData[Days'# Italy])),"")</f>
        <v>160675.9715702844</v>
      </c>
      <c r="AX91" s="11">
        <f ca="1">IF(AND(tblData[Dates]&gt;StartDt2Italy,ISNUMBER(tblData[Italy])),(tblData[[#This Row],[Italy LogiP(t)]]-tblData[[#This Row],[Italy]])^2,"")</f>
        <v>70643547.097288966</v>
      </c>
      <c r="AY91" s="11">
        <f ca="1">IF(AND(tblData[Dates]&gt;StartDt2Italy,ISNUMBER(tblData[Days'# Italy])),tblData[[#This Row],[Italy LogiP(t)]]/ItalyPopscale,"")</f>
        <v>26564.598093789271</v>
      </c>
      <c r="AZ91" s="39">
        <f ca="1">IF(AND(ISNUMBER(tblData[Italy]),tblData[Dates]&gt;StartDt2Italy),(tblData[Italy]-AVERAGE(tblData[Italy]))^2,"")</f>
        <v>6809945448.2825947</v>
      </c>
      <c r="BA91" s="11">
        <f>tblData[[#This Row],[Dates]]-Italy100dt+1</f>
        <v>45</v>
      </c>
      <c r="BB91" s="11">
        <f ca="1">IF(AND(tblData[Dates]&gt;StartDt2US,ISNUMBER(tblData[[#This Row],[Days'# US]])),betaUS/(deltaUS+betaPodeltaUS*EXP(-betaUS*tblData[Days'# US])),"")</f>
        <v>731145.4686760162</v>
      </c>
      <c r="BC91" s="11">
        <f ca="1">IF(AND(tblData[Dates]&gt;StartDt2US,ISNUMBER(tblData[US])),(tblData[[#This Row],[US LogiP(t)]]-tblData[US])^2,"")</f>
        <v>41922344923.110939</v>
      </c>
      <c r="BD91" s="20">
        <f ca="1">IF(AND(tblData[Dates]&gt;=StartDt2US,ISNUMBER(tblData[[#This Row],[Days'# US]])),tblData[[#This Row],[US LogiP(t)]]/USPopscale,"")</f>
        <v>22207.893397782344</v>
      </c>
      <c r="BE91" s="126">
        <f ca="1">IF(AND(ISNUMBER(tblData[US]),tblData[Dates]&gt;StartDt2US),(tblData[US]-AVERAGE(tblData[US]))^2,"")</f>
        <v>91477668947.785568</v>
      </c>
      <c r="BF91" s="11">
        <f>tblData[[#This Row],[Dates]]-US100dt+1</f>
        <v>28</v>
      </c>
      <c r="BG91" s="20">
        <f ca="1">IF(tblData[Dates]&gt;StartDt2SKorea,betaSKorea/(deltaSKorea+betaPodeltaSKorea*EXP(-betaSKorea*(tblData[Dates]-StartDt2SKorea))),"")</f>
        <v>10220.1753463776</v>
      </c>
      <c r="BH91" s="20">
        <f ca="1">IF(AND(tblData[Dates]&gt;StartDt2SKorea,ISNUMBER(tblData[SKorea])),(tblData[[#This Row],[SKorea LogiP(t)]]-tblData[[#This Row],[SKorea]])^2,"")</f>
        <v>67508.850629999943</v>
      </c>
      <c r="BI91" s="20">
        <f ca="1">IF(tblData[Dates]&gt;StartDt2SKorea,tblData[[#This Row],[SKorea LogiP(t)]]/SKoreaPopscale,"")</f>
        <v>1988.3609623302725</v>
      </c>
      <c r="BJ91" s="126">
        <f ca="1">IF(AND(ISNUMBER(tblData[SKorea]),tblData[Dates]&gt;StartDt2SKorea),(tblData[SKorea]-AVERAGE(tblData[SKorea]))^2,"")</f>
        <v>21674866.962322187</v>
      </c>
      <c r="BK91" s="11">
        <f>tblData[[#This Row],[Dates]]-SKorea100dt+1</f>
        <v>49</v>
      </c>
      <c r="BL91" s="11">
        <f ca="1">IF(AND(tblData[Dates]&gt;StartDt2UK,ISNUMBER(tblData[Days'# UK])),betaUK/(deltaUK+betaPodeltaUK*EXP(-betaUK*tblData[Days'# UK])),"")</f>
        <v>105823.59865047454</v>
      </c>
      <c r="BM91" s="61">
        <f ca="1">IF(AND(tblData[Dates]&gt;StartDt2UK,ISNUMBER(tblData[United Kingdom])),(tblData[[#This Row],[UK LogiP(t)]]-tblData[[#This Row],[United Kingdom]])^2,"")</f>
        <v>673381670.12071002</v>
      </c>
      <c r="BN91" s="11">
        <f ca="1">IF(ISNUMBER(tblData[Days'# UK]),tblData[[#This Row],[UK LogiP(t)]]/UKPopscale,"")</f>
        <v>15927.693957025065</v>
      </c>
      <c r="BO91" s="126">
        <f ca="1">IF(AND(ISNUMBER(tblData[United Kingdom]),tblData[Dates]&gt;StartDt2UK),(tblData[United Kingdom]-AVERAGE(tblData[United Kingdom]))^2,"")</f>
        <v>1756193974.0861249</v>
      </c>
      <c r="BP91" s="11">
        <f>tblData[[#This Row],[Dates]]-UK100dt</f>
        <v>30</v>
      </c>
      <c r="BQ91" s="11">
        <f ca="1">IF(ISNUMBER(tblData[Days'# China]),betaChina/(deltaChina+betaPodeltaChina*EXP(-betaChina*tblData[Days'# China])),"")</f>
        <v>82125.070830348006</v>
      </c>
      <c r="BR91" s="11">
        <f ca="1">IF(ISNUMBER(tblData[China]),(tblData[[#This Row],[China LogiP(t)]]-tblData[[#This Row],[China]])^2,"")</f>
        <v>790195.06865818356</v>
      </c>
      <c r="BS91" s="11">
        <f ca="1">tblData[[#This Row],[China LogiP(t)]]/ChinaPopscale</f>
        <v>570.58093668528409</v>
      </c>
      <c r="BT91" s="126">
        <f ca="1">IF(AND(ISNUMBER(tblData[China]),tblData[Dates]&gt;StartDt2China),(tblData[China]-AVERAGE(tblData[China]))^2,"")</f>
        <v>249941220.22145307</v>
      </c>
      <c r="BU91" s="11">
        <f>tblData[[#This Row],[Dates]]-China100dt</f>
        <v>69</v>
      </c>
      <c r="BV91" s="95">
        <f ca="1">IF(ISNUMBER(tblData[Day'# Singapore]),betaSingapore/(deltaSingapore+betaPodeltaSingapore*EXP(-betaSingapore*tblData[Day'# Singapore])),"")</f>
        <v>2327.4006920375937</v>
      </c>
      <c r="BW91" s="11">
        <f ca="1">IF(AND(ISNUMBER(tblData[Singapore]),tblData[Dates]&gt;=StartDt2Singapore),(tblData[[#This Row],[Singapore LogiP(t)]]-tblData[[#This Row],[Singapore]])^2,"")</f>
        <v>806.59930821423654</v>
      </c>
      <c r="BX91" s="20">
        <f ca="1">IF(ISNUMBER(tblData[Day'# Singapore]),tblData[Singapore LogiP(t)]/SingaporePopscale,"")</f>
        <v>3978.4627214317843</v>
      </c>
      <c r="BY91" s="95">
        <f ca="1">IF(AND(ISNUMBER(tblData[Singapore]),tblData[Dates]&gt;StartDt2Singapore),(tblData[Singapore]-AVERAGE(tblData[Singapore]))^2,"")</f>
        <v>475.41099577086516</v>
      </c>
      <c r="BZ91" s="11">
        <f>tblData[[#This Row],[Dates]]-Singapore100dt+1</f>
        <v>58</v>
      </c>
      <c r="CA91" s="11">
        <f>IF(AND(tblData[Dates]&gt;StartDt2Generic,ISNUMBER(tblData[Day'# Generic])),betaGeneric/(deltaGeneric+betaPodeltaGeneric*EXP(-betaGeneric*tblData[Day'# Generic])),"")</f>
        <v>9031.721104326889</v>
      </c>
      <c r="CB91" s="95">
        <f>IF(AND(ISNUMBER(tblData[Generic]),tblData[Dates]&gt;StartDt2Generic),(tblData[Generic LogiP(t)]-tblData[[#This Row],[Generic]])^2,"")</f>
        <v>10758.067482789384</v>
      </c>
      <c r="CC91" s="11">
        <f>IF(AND(ISNUMBER(tblData[Day'# Generic]),tblData[Dates]&gt;StartDt2Generic),tblData[Generic LogiP(t)]/GenericPopscale,"")</f>
        <v>18432.083886381406</v>
      </c>
      <c r="CD91" s="95">
        <f>IF(AND(ISNUMBER(tblData[Generic]),tblData[Dates]&gt;StartDt2Generic),(tblData[Generic]-AVERAGE(tblData[Generic]))^2,"")</f>
        <v>5264694.9500591718</v>
      </c>
      <c r="CE91" s="11">
        <f>tblData[[#This Row],[Dates]]-Generic100dt+1</f>
        <v>30</v>
      </c>
      <c r="CF91" s="11">
        <v>138923</v>
      </c>
      <c r="CG91" s="11"/>
      <c r="CH91" s="11">
        <f>IF(ISNUMBER(tblData[[#This Row],[Tests]]),tblData[[#This Row],[Tests]]-CF90,"")</f>
        <v>833</v>
      </c>
      <c r="CI91" s="11" t="str">
        <f>IF(ISNUMBER(tblData[[#This Row],[NSW Under Investigation'']]),tblData[[#This Row],[NSW Under Investigation'']]-CG90,"")</f>
        <v/>
      </c>
      <c r="CJ91" s="11">
        <f t="shared" si="2"/>
        <v>37</v>
      </c>
      <c r="CK91" s="11">
        <f>IF(AND(tblData[[#This Row],[NSW Test Day Number]]&gt;0,ISNUMBER(tblData[[#This Row],[NSW Test Day Number]])),betaTests/(deltaTests+betaPodeltaTests*EXP(-betaTests*tblData[[#This Row],[NSW Test Day Number]])),"")</f>
        <v>163085.83396159485</v>
      </c>
      <c r="CL91" s="11">
        <f>IF(tblData[Tests]&gt;0,(tblData[[#This Row],[Tests]]-tblData[[#This Row],[NSW Test Logi]])^2,"")</f>
        <v>583842545.05560148</v>
      </c>
      <c r="CM91" s="95">
        <f>IF(AND(ISNUMBER(tblData[Tests]),tblData[Dates]&gt;StartDt2Tests),(tblData[Tests]-AVERAGE(tblData[Tests]))^2,"")</f>
        <v>1073620752.4300483</v>
      </c>
      <c r="CN91" s="11">
        <f>IF(ISNUMBER(tblData[Tests]),tblData[Tests]/NSWpopscale/100,"")</f>
        <v>1719.3440594059402</v>
      </c>
      <c r="CO91" s="95">
        <f ca="1">IF(AND(tblData[[#This Row],[NSW Test Day Number]]&gt;0,ISNUMBER(tblData[[#This Row],[NSW Test Day Number]])),TestsLogestB*TestsLogestM^tblData[[#This Row],[NSW Test Day Number]],"")</f>
        <v>114533.23208012011</v>
      </c>
      <c r="CP91" s="11">
        <f>IF(AND(tblData[[#This Row],[NSW Test Day Number]]&gt;0,ISNUMBER(tblData[Tests])),(tblData[Tests]-tblData[[#This Row],[NSW Test Per Capita]])^2,"")</f>
        <v>18824843203.464912</v>
      </c>
      <c r="CQ91" s="20">
        <f ca="1">IF(AND(tblData[Day '# NSW]&gt;0,ISNUMBER(tblData[[#This Row],[Day '# NSW]])),NSWLogestB*NSWLogestM^tblData[[#This Row],[Day '# NSW]]/NSWpopscale,"")</f>
        <v>2331.7364873159713</v>
      </c>
      <c r="CR91" s="39">
        <f ca="1">IF(AND(ISNUMBER(tblData[NSW]),tblData[Dates]&gt;StartDt2NSW),(tblData[NSW]/NSWpopscale-tblData[[#This Row],[NSW Cases LogEst]])^2,"")</f>
        <v>1449988.3050191128</v>
      </c>
      <c r="CS91" s="11">
        <v>385</v>
      </c>
      <c r="CT91" s="19">
        <f>IF(ISNUMBER(tblData[Taiwan]),tblData[Taiwan]/TaiwanPopscale,"")</f>
        <v>161.71522645886245</v>
      </c>
      <c r="CU91" s="11">
        <f ca="1">IF(tblData[[#This Row],[Dates]]&lt;StartDt2Taiwan,"",tblData[[#This Row],[Dates]]-TaiwanStart)</f>
        <v>80</v>
      </c>
      <c r="CV91" s="19">
        <f ca="1">IF(AND(tblData[Dates]&gt;StartDt2Taiwan,ISNUMBER(tblData[Days'# Taiwan])),betaTaiwan/(deltaTaiwan+betaPodeltaTaiwan*EXP(-betaTaiwan*tblData[Days'# Taiwan])),"")</f>
        <v>396.57342182352306</v>
      </c>
      <c r="CW91" s="95">
        <f ca="1">IF(AND(tblData[Dates]&gt;StartDt2Taiwan,ISNUMBER(tblData[Taiwan])),(tblData[[#This Row],[Taiwan LogiP(t)]]-tblData[[#This Row],[Taiwan]])^2,"")</f>
        <v>133.94409270519989</v>
      </c>
      <c r="CX91" s="20">
        <f ca="1">IF(AND(tblData[Dates]&gt;StartDt2Taiwan,ISNUMBER(tblData[Days'# Taiwan])),tblData[[#This Row],[Taiwan LogiP(t)]]/TaiwanPopscale,"")</f>
        <v>166.57652134482342</v>
      </c>
      <c r="CY91" s="95">
        <f ca="1">IF(AND(ISNUMBER(tblData[Taiwan]),tblData[Dates]&gt;StartDt2Taiwan),(tblData[Taiwan]-AVERAGE(tblData[Taiwan]))^2,"")</f>
        <v>46419.124951941558</v>
      </c>
      <c r="CZ91" s="11">
        <f>tblData[[#This Row],[Dates]]-Taiwan100dt+1</f>
        <v>17</v>
      </c>
      <c r="DA91" s="11">
        <v>1312</v>
      </c>
      <c r="DB91" s="20">
        <f>IF(ISNUMBER(tblData[NZ]),tblData[NZ]/NZPopscale,"")</f>
        <v>2508.604206500956</v>
      </c>
      <c r="DC91" s="11">
        <f ca="1">IF(tblData[[#This Row],[Dates]]&lt;StartDt2NZ,"",tblData[[#This Row],[Dates]]-NZStart)</f>
        <v>43</v>
      </c>
      <c r="DD91" s="20">
        <f ca="1">IF(AND(tblData[Dates]&gt;StartDt2NZ,ISNUMBER(tblData[Days'# NZ])),betaNZ/(deltaNZ+betaPodeltaNZ*EXP(-betaNZ*tblData[Days'# NZ])),"")</f>
        <v>1326.0230438135625</v>
      </c>
      <c r="DE91" s="95">
        <f ca="1">IF(AND(tblData[Dates]&gt;StartDt2NZ,ISNUMBER(tblData[NZ])),(tblData[[#This Row],[NZ LogiP(t)]]-tblData[[#This Row],[NZ]])^2,"")</f>
        <v>196.64575779709295</v>
      </c>
      <c r="DF91" s="20">
        <f ca="1">IF(AND(tblData[Dates]&gt;StartDt2NZ,ISNUMBER(tblData[Days'# NZ])),tblData[[#This Row],[NZ LogiP(t)]]/NZPopscale,"")</f>
        <v>2535.4169097773661</v>
      </c>
      <c r="DG91" s="95">
        <f ca="1">IF(AND(ISNUMBER(tblData[NZ]),tblData[Dates]&gt;StartDt2NZ),(tblData[NZ]-AVERAGE(tblData[NZ]))^2,"")</f>
        <v>388204.51882460964</v>
      </c>
      <c r="DH91" s="11">
        <f>tblData[[#This Row],[Dates]]-NZ100dt+1</f>
        <v>21</v>
      </c>
      <c r="DI91" s="39"/>
      <c r="DJ91" s="11"/>
      <c r="DM91" s="25"/>
      <c r="DP91"/>
      <c r="DV91" s="25"/>
      <c r="DW91"/>
      <c r="EA91" s="25"/>
      <c r="EH91"/>
      <c r="EI91"/>
      <c r="EJ91"/>
      <c r="EK91"/>
      <c r="EL91" s="25"/>
      <c r="EM91" s="25"/>
      <c r="EQ91" s="25"/>
      <c r="ER91" s="25"/>
      <c r="ES91" s="25"/>
      <c r="ET91" s="25"/>
      <c r="FF91"/>
      <c r="FG91"/>
      <c r="FH91"/>
      <c r="FI91" s="59"/>
      <c r="FJ91" s="26"/>
      <c r="FK91" s="59"/>
      <c r="FL91" s="26"/>
      <c r="FO91" s="265" t="s">
        <v>153</v>
      </c>
      <c r="FP91" s="250">
        <v>43922.352233796293</v>
      </c>
      <c r="FQ91" s="156">
        <v>43855</v>
      </c>
      <c r="FR91" s="26">
        <v>43855</v>
      </c>
      <c r="FS91" s="211">
        <v>1</v>
      </c>
      <c r="FT91" s="25">
        <v>0.23304249981528199</v>
      </c>
      <c r="FU91" s="73">
        <v>6.2814695234776377E-5</v>
      </c>
      <c r="FV91" s="21">
        <v>1.1842555135500956E-3</v>
      </c>
      <c r="FW91" s="212">
        <v>3709.9996894717342</v>
      </c>
      <c r="FX91" s="212">
        <v>16.060954961900638</v>
      </c>
      <c r="FY91" s="212"/>
      <c r="FZ91" s="213">
        <v>196.78390580427288</v>
      </c>
      <c r="GA91" s="213">
        <v>6.2814695234776383E-2</v>
      </c>
      <c r="GB91" s="156">
        <v>43920</v>
      </c>
      <c r="GC91" s="25" t="s">
        <v>1400</v>
      </c>
      <c r="GD91" s="212">
        <v>3709.9996894717342</v>
      </c>
      <c r="GE91" s="212"/>
      <c r="GF91" s="25" t="s">
        <v>1401</v>
      </c>
      <c r="GG91" s="156">
        <v>43920</v>
      </c>
      <c r="GH91" s="25">
        <v>66</v>
      </c>
      <c r="GI91" s="25" t="s">
        <v>1530</v>
      </c>
      <c r="GJ91" s="62"/>
      <c r="GK91" s="25" t="s">
        <v>1403</v>
      </c>
      <c r="GM91" s="25" t="s">
        <v>1531</v>
      </c>
      <c r="GN91" s="20">
        <v>2373.7623762376238</v>
      </c>
      <c r="GO91" s="156"/>
      <c r="GP91" s="218"/>
      <c r="GQ91" s="156"/>
      <c r="GR91" s="25"/>
      <c r="GS91" s="25" t="s">
        <v>1529</v>
      </c>
      <c r="GT91" s="11"/>
      <c r="GU91" s="12"/>
      <c r="GV91" s="26"/>
      <c r="GW91" s="25"/>
      <c r="GX91" s="219"/>
      <c r="GY91" s="25"/>
      <c r="GZ91" s="25"/>
      <c r="HA91" s="25"/>
      <c r="HB91" s="25"/>
      <c r="HC91" s="25"/>
      <c r="HD91" s="25"/>
      <c r="HE91" s="25"/>
    </row>
    <row r="92" spans="2:238" x14ac:dyDescent="0.25">
      <c r="B92" s="26">
        <v>43933</v>
      </c>
      <c r="D92" s="25">
        <v>102</v>
      </c>
      <c r="E92">
        <v>2854</v>
      </c>
      <c r="F92">
        <v>28</v>
      </c>
      <c r="G92">
        <v>983</v>
      </c>
      <c r="H92">
        <v>429</v>
      </c>
      <c r="I92" s="25">
        <v>150</v>
      </c>
      <c r="J92">
        <v>1268</v>
      </c>
      <c r="K92">
        <v>517</v>
      </c>
      <c r="L92" s="11">
        <f>IF(ISNUMBER(tblData[[#This Row],[NSW]]),tblData[[#This Row],[New South Wales]]/NSWpopscale,"")</f>
        <v>3532.1782178217818</v>
      </c>
      <c r="M92" s="25">
        <v>156363</v>
      </c>
      <c r="N92" s="20">
        <f>IF(ISNUMBER(tblData[Italy]),tblData[Italy]/ItalyPopscale,"")</f>
        <v>25851.53343804249</v>
      </c>
      <c r="O92" s="25">
        <v>555313</v>
      </c>
      <c r="P92" s="20">
        <f>IF(ISNUMBER(tblData[US]),tblData[US]/USPopscale,"")</f>
        <v>16867.138530906203</v>
      </c>
      <c r="Q92" s="11">
        <v>10512</v>
      </c>
      <c r="R92" s="20">
        <f>IF(ISNUMBER(tblData[SKorea]),tblData[SKorea]/SKoreaPopscale,"")</f>
        <v>2045.1361867704281</v>
      </c>
      <c r="S92">
        <v>85206</v>
      </c>
      <c r="T92" s="20">
        <f>IF(ISNUMBER(tblData[United Kingdom]),tblData[United Kingdom]/UKPopscale,"")</f>
        <v>12824.503311258279</v>
      </c>
      <c r="U92">
        <v>83134</v>
      </c>
      <c r="V92" s="20">
        <f>IF(ISNUMBER(tblData[China]),tblData[China]/ChinaPopscale,"")</f>
        <v>577.59068102825529</v>
      </c>
      <c r="W92" s="25">
        <f ca="1">IF(tblData[[#This Row],[Dates]]&lt;StartDt2China,"",tblData[[#This Row],[Dates]]-ChinaStart)</f>
        <v>81</v>
      </c>
      <c r="X92" s="20">
        <v>2532</v>
      </c>
      <c r="Y92" s="11">
        <f>IF(ISNUMBER(tblData[Singapore]),tblData[Singapore]/SingaporePopscale,"")</f>
        <v>4328.2051282051289</v>
      </c>
      <c r="Z92">
        <v>9655</v>
      </c>
      <c r="AA92" s="20">
        <f>IF(AND(LEN(tblData[Generic])&gt;0,ISNUMBER(tblData[Generic])),tblData[Generic]/GenericPopscale,"")</f>
        <v>19704.081632653062</v>
      </c>
      <c r="AB92" s="25">
        <f ca="1">IF(tblData[[#This Row],[Dates]]&lt;StartDt2Italy,"",tblData[[#This Row],[Dates]]-ItalyStart)</f>
        <v>73</v>
      </c>
      <c r="AC92" s="25">
        <f ca="1">IF(tblData[[#This Row],[Dates]]&lt;=StartDt2US,"",tblData[[#This Row],[Dates]]-USStart)</f>
        <v>81</v>
      </c>
      <c r="AD92" s="25">
        <f>IF(tblData[[#This Row],[Dates]]&lt;=SKoreaStart,"",tblData[[#This Row],[Dates]]-SKoreaStart)</f>
        <v>81</v>
      </c>
      <c r="AE92" s="25">
        <f ca="1">IF(tblData[[#This Row],[Dates]]&lt;=StartDt2UK,"",tblData[[#This Row],[Dates]]-UKStart)</f>
        <v>73</v>
      </c>
      <c r="AF92" s="25">
        <f ca="1">IF(tblData[[#This Row],[Dates]]&lt;StartDt2Singapore,"",tblData[[#This Row],[Dates]]-SingaporeStart)</f>
        <v>80</v>
      </c>
      <c r="AG92" s="25">
        <f>IF(tblData[[#This Row],[Dates]]&lt;StartDt2Generic,"",tblData[[#This Row],[Dates]]-GenericStart)</f>
        <v>43</v>
      </c>
      <c r="AH92">
        <f ca="1">IF(tblData[Dates]&gt;StartDt2Au,tblData[Dates]-AuStart,"")</f>
        <v>78</v>
      </c>
      <c r="AI92" s="25">
        <f>IF(AND(COUNTBLANK(tblData[[#This Row],[Australian Capital Territory]:[Western Australia]])&lt;1,tblData[New South Wales]&gt;=0),SUM(tblData[[#This Row],[Australian Capital Territory]:[Western Australia]]),"")</f>
        <v>6331</v>
      </c>
      <c r="AJ92" s="12">
        <f>IF(ISNUMBER(tblData[Au]),tblData[Au]/AuPopScale,"")</f>
        <v>2496.0574041949221</v>
      </c>
      <c r="AK92" s="11">
        <f ca="1">IF(ISNUMBER(tblData[[#This Row],[Day'# Aust]]),betaAu/(deltaAu+betaPodeltaAu*EXP(-betaAu*tblData[[#This Row],[Day'# Aust]])),"")</f>
        <v>6444.8751988498361</v>
      </c>
      <c r="AL92" s="56">
        <f ca="1">IF(ISNUMBER(tblData[Day'# Aust]),tblData[Au LogiP(t)]/AuPopScale,"")</f>
        <v>2540.9537923237012</v>
      </c>
      <c r="AM92" s="11">
        <f ca="1">IF(AND(tblData[Dates]&gt;StartDt2Au,ISNUMBER(tblData[Au])),(tblData[[#This Row],[Au LogiP(t)]]-tblData[[#This Row],[Au]])^2,"")</f>
        <v>12967.560913089719</v>
      </c>
      <c r="AN92" s="11">
        <f ca="1">IF(AND(ISNUMBER(tblData[Au]),tblData[Dates]&gt;StartDt2Au),(tblData[Au]-AVERAGE(tblData[Au]))^2,"")</f>
        <v>15071399.1961</v>
      </c>
      <c r="AO92" s="11">
        <f>tblData[[#This Row],[Dates]]-Au100dt</f>
        <v>28</v>
      </c>
      <c r="AP92">
        <f ca="1">IF(tblData[Dates]&gt;StartDt2NSW,tblData[Dates]-StartDt2NSW,"")</f>
        <v>78</v>
      </c>
      <c r="AQ92" s="25">
        <f>IF(tblData[[#This Row],[New South Wales]]&gt;0,tblData[[#This Row],[New South Wales]],"")</f>
        <v>2854</v>
      </c>
      <c r="AR92" s="11">
        <f ca="1">IF(tblData[Dates]&gt;StartDt2NSW,betaNSW/(deltaNSW+betaPodeltaNSW*EXP(-betaNSW*tblData[[#This Row],[Day '# NSW]])),"")</f>
        <v>2892.996671508025</v>
      </c>
      <c r="AS92" s="12">
        <f ca="1">IF(AND(ISNUMBER(tblData[NSW]),tblData[Dates]&gt;StartDt2NSW),(tblData[[#This Row],[NSW LogiP(t)]]-tblData[[#This Row],[NSW]])^2,"")</f>
        <v>1520.7403887048067</v>
      </c>
      <c r="AT92" s="39">
        <f ca="1">IF(AND(tblData[Dates]&gt;StartDt2NSW,ISNUMBER(tblData[Day'# Aust])),tblData[NSW LogiP(t)]/NSWpopscale,"")</f>
        <v>3580.4414251336939</v>
      </c>
      <c r="AU92" s="11">
        <f>tblData[[#This Row],[Dates]]-NSW100dt+1</f>
        <v>31</v>
      </c>
      <c r="AV92" s="11">
        <f ca="1">IF(AND(ISNUMBER(tblData[NSW]),tblData[Dates]&gt;StartDt2NSW),(tblData[NSW]-AVERAGE(tblData[NSW]))^2,"")</f>
        <v>3096684.8676</v>
      </c>
      <c r="AW92" s="11">
        <f ca="1">IF(AND(tblData[Dates]&gt;StartDt2Italy,ISNUMBER(tblData[Days'# Italy])),betaItaly/(deltaItaly+betaPodeltaItaly*EXP(-betaItaly*tblData[Days'# Italy])),"")</f>
        <v>160834.03869044568</v>
      </c>
      <c r="AX92" s="11">
        <f ca="1">IF(AND(tblData[Dates]&gt;StartDt2Italy,ISNUMBER(tblData[Italy])),(tblData[[#This Row],[Italy LogiP(t)]]-tblData[[#This Row],[Italy]])^2,"")</f>
        <v>19990186.971462246</v>
      </c>
      <c r="AY92" s="11">
        <f ca="1">IF(AND(tblData[Dates]&gt;StartDt2Italy,ISNUMBER(tblData[Days'# Italy])),tblData[[#This Row],[Italy LogiP(t)]]/ItalyPopscale,"")</f>
        <v>26590.731369834783</v>
      </c>
      <c r="AZ92" s="39">
        <f ca="1">IF(AND(ISNUMBER(tblData[Italy]),tblData[Dates]&gt;StartDt2Italy),(tblData[Italy]-AVERAGE(tblData[Italy]))^2,"")</f>
        <v>7502053181.6442976</v>
      </c>
      <c r="BA92" s="11">
        <f>tblData[[#This Row],[Dates]]-Italy100dt+1</f>
        <v>46</v>
      </c>
      <c r="BB92" s="11">
        <f ca="1">IF(AND(tblData[Dates]&gt;StartDt2US,ISNUMBER(tblData[[#This Row],[Days'# US]])),betaUS/(deltaUS+betaPodeltaUS*EXP(-betaUS*tblData[Days'# US])),"")</f>
        <v>749880.20613676426</v>
      </c>
      <c r="BC92" s="11">
        <f ca="1">IF(AND(tblData[Dates]&gt;StartDt2US,ISNUMBER(tblData[US])),(tblData[[#This Row],[US LogiP(t)]]-tblData[US])^2,"")</f>
        <v>37856397703.866119</v>
      </c>
      <c r="BD92" s="20">
        <f ca="1">IF(AND(tblData[Dates]&gt;=StartDt2US,ISNUMBER(tblData[[#This Row],[Days'# US]])),tblData[[#This Row],[US LogiP(t)]]/USPopscale,"")</f>
        <v>22776.944387207401</v>
      </c>
      <c r="BE92" s="126">
        <f ca="1">IF(AND(ISNUMBER(tblData[US]),tblData[Dates]&gt;StartDt2US),(tblData[US]-AVERAGE(tblData[US]))^2,"")</f>
        <v>109805914463.78557</v>
      </c>
      <c r="BF92" s="11">
        <f>tblData[[#This Row],[Dates]]-US100dt+1</f>
        <v>29</v>
      </c>
      <c r="BG92" s="20">
        <f ca="1">IF(tblData[Dates]&gt;StartDt2SKorea,betaSKorea/(deltaSKorea+betaPodeltaSKorea*EXP(-betaSKorea*(tblData[Dates]-StartDt2SKorea))),"")</f>
        <v>10222.450372113202</v>
      </c>
      <c r="BH92" s="20">
        <f ca="1">IF(AND(tblData[Dates]&gt;StartDt2SKorea,ISNUMBER(tblData[SKorea])),(tblData[[#This Row],[SKorea LogiP(t)]]-tblData[[#This Row],[SKorea]])^2,"")</f>
        <v>83838.98700938301</v>
      </c>
      <c r="BI92" s="20">
        <f ca="1">IF(tblData[Dates]&gt;StartDt2SKorea,tblData[[#This Row],[SKorea LogiP(t)]]/SKoreaPopscale,"")</f>
        <v>1988.8035743410901</v>
      </c>
      <c r="BJ92" s="126">
        <f ca="1">IF(AND(ISNUMBER(tblData[SKorea]),tblData[Dates]&gt;StartDt2SKorea),(tblData[SKorea]-AVERAGE(tblData[SKorea]))^2,"")</f>
        <v>21973851.119184934</v>
      </c>
      <c r="BK92" s="11">
        <f>tblData[[#This Row],[Dates]]-SKorea100dt+1</f>
        <v>50</v>
      </c>
      <c r="BL92" s="11">
        <f ca="1">IF(AND(tblData[Dates]&gt;StartDt2UK,ISNUMBER(tblData[Days'# UK])),betaUK/(deltaUK+betaPodeltaUK*EXP(-betaUK*tblData[Days'# UK])),"")</f>
        <v>111363.90867033266</v>
      </c>
      <c r="BM92" s="61">
        <f ca="1">IF(AND(tblData[Dates]&gt;StartDt2UK,ISNUMBER(tblData[United Kingdom])),(tblData[[#This Row],[UK LogiP(t)]]-tblData[[#This Row],[United Kingdom]])^2,"")</f>
        <v>684236186.00546455</v>
      </c>
      <c r="BN92" s="11">
        <f ca="1">IF(ISNUMBER(tblData[Days'# UK]),tblData[[#This Row],[UK LogiP(t)]]/UKPopscale,"")</f>
        <v>16761.575657786372</v>
      </c>
      <c r="BO92" s="126">
        <f ca="1">IF(AND(ISNUMBER(tblData[United Kingdom]),tblData[Dates]&gt;StartDt2UK),(tblData[United Kingdom]-AVERAGE(tblData[United Kingdom]))^2,"")</f>
        <v>2231520105.7456994</v>
      </c>
      <c r="BP92" s="11">
        <f>tblData[[#This Row],[Dates]]-UK100dt</f>
        <v>31</v>
      </c>
      <c r="BQ92" s="11">
        <f ca="1">IF(ISNUMBER(tblData[Days'# China]),betaChina/(deltaChina+betaPodeltaChina*EXP(-betaChina*tblData[Days'# China])),"")</f>
        <v>82125.088606308156</v>
      </c>
      <c r="BR92" s="11">
        <f ca="1">IF(ISNUMBER(tblData[China]),(tblData[[#This Row],[China LogiP(t)]]-tblData[[#This Row],[China]])^2,"")</f>
        <v>1017902.2003212187</v>
      </c>
      <c r="BS92" s="11">
        <f ca="1">tblData[[#This Row],[China LogiP(t)]]/ChinaPopscale</f>
        <v>570.58106018744843</v>
      </c>
      <c r="BT92" s="126">
        <f ca="1">IF(AND(ISNUMBER(tblData[China]),tblData[Dates]&gt;StartDt2China),(tblData[China]-AVERAGE(tblData[China]))^2,"")</f>
        <v>253749907.2802766</v>
      </c>
      <c r="BU92" s="11">
        <f>tblData[[#This Row],[Dates]]-China100dt</f>
        <v>70</v>
      </c>
      <c r="BV92" s="95">
        <f ca="1">IF(ISNUMBER(tblData[Day'# Singapore]),betaSingapore/(deltaSingapore+betaPodeltaSingapore*EXP(-betaSingapore*tblData[Day'# Singapore])),"")</f>
        <v>2615.9457783214689</v>
      </c>
      <c r="BW92" s="11">
        <f ca="1">IF(AND(ISNUMBER(tblData[Singapore]),tblData[Dates]&gt;=StartDt2Singapore),(tblData[[#This Row],[Singapore LogiP(t)]]-tblData[[#This Row],[Singapore]])^2,"")</f>
        <v>7046.8936979971941</v>
      </c>
      <c r="BX92" s="20">
        <f ca="1">IF(ISNUMBER(tblData[Day'# Singapore]),tblData[Singapore LogiP(t)]/SingaporePopscale,"")</f>
        <v>4471.7021851649042</v>
      </c>
      <c r="BY92" s="95">
        <f ca="1">IF(AND(ISNUMBER(tblData[Singapore]),tblData[Dates]&gt;StartDt2Singapore),(tblData[Singapore]-AVERAGE(tblData[Singapore]))^2,"")</f>
        <v>44603.783544790393</v>
      </c>
      <c r="BZ92" s="11">
        <f>tblData[[#This Row],[Dates]]-Singapore100dt+1</f>
        <v>59</v>
      </c>
      <c r="CA92" s="11">
        <f>IF(AND(tblData[Dates]&gt;StartDt2Generic,ISNUMBER(tblData[Day'# Generic])),betaGeneric/(deltaGeneric+betaPodeltaGeneric*EXP(-betaGeneric*tblData[Day'# Generic])),"")</f>
        <v>9797.7147352563497</v>
      </c>
      <c r="CB92" s="95">
        <f>IF(AND(ISNUMBER(tblData[Generic]),tblData[Dates]&gt;StartDt2Generic),(tblData[Generic LogiP(t)]-tblData[[#This Row],[Generic]])^2,"")</f>
        <v>20367.495659289994</v>
      </c>
      <c r="CC92" s="11">
        <f>IF(AND(ISNUMBER(tblData[Day'# Generic]),tblData[Dates]&gt;StartDt2Generic),tblData[Generic LogiP(t)]/GenericPopscale,"")</f>
        <v>19995.336194400716</v>
      </c>
      <c r="CD92" s="95">
        <f>IF(AND(ISNUMBER(tblData[Generic]),tblData[Dates]&gt;StartDt2Generic),(tblData[Generic]-AVERAGE(tblData[Generic]))^2,"")</f>
        <v>9129415.765443787</v>
      </c>
      <c r="CE92" s="11">
        <f>tblData[[#This Row],[Dates]]-Generic100dt+1</f>
        <v>31</v>
      </c>
      <c r="CF92" s="11">
        <v>141517</v>
      </c>
      <c r="CG92" s="11"/>
      <c r="CH92" s="11">
        <f>IF(ISNUMBER(tblData[[#This Row],[Tests]]),tblData[[#This Row],[Tests]]-CF91,"")</f>
        <v>2594</v>
      </c>
      <c r="CI92" s="11" t="str">
        <f>IF(ISNUMBER(tblData[[#This Row],[NSW Under Investigation'']]),tblData[[#This Row],[NSW Under Investigation'']]-CG91,"")</f>
        <v/>
      </c>
      <c r="CJ92" s="11">
        <f t="shared" si="2"/>
        <v>38</v>
      </c>
      <c r="CK92" s="11">
        <f>IF(AND(tblData[[#This Row],[NSW Test Day Number]]&gt;0,ISNUMBER(tblData[[#This Row],[NSW Test Day Number]])),betaTests/(deltaTests+betaPodeltaTests*EXP(-betaTests*tblData[[#This Row],[NSW Test Day Number]])),"")</f>
        <v>164542.61352009553</v>
      </c>
      <c r="CL92" s="11">
        <f>IF(tblData[Tests]&gt;0,(tblData[[#This Row],[Tests]]-tblData[[#This Row],[NSW Test Logi]])^2,"")</f>
        <v>530178877.97680616</v>
      </c>
      <c r="CM92" s="95">
        <f>IF(AND(ISNUMBER(tblData[Tests]),tblData[Dates]&gt;StartDt2Tests),(tblData[Tests]-AVERAGE(tblData[Tests]))^2,"")</f>
        <v>1250340387.8198788</v>
      </c>
      <c r="CN92" s="11">
        <f>IF(ISNUMBER(tblData[Tests]),tblData[Tests]/NSWpopscale/100,"")</f>
        <v>1751.4480198019801</v>
      </c>
      <c r="CO92" s="95">
        <f ca="1">IF(AND(tblData[[#This Row],[NSW Test Day Number]]&gt;0,ISNUMBER(tblData[[#This Row],[NSW Test Day Number]])),TestsLogestB*TestsLogestM^tblData[[#This Row],[NSW Test Day Number]],"")</f>
        <v>121406.53565997047</v>
      </c>
      <c r="CP92" s="11">
        <f>IF(AND(tblData[[#This Row],[NSW Test Day Number]]&gt;0,ISNUMBER(tblData[Tests])),(tblData[Tests]-tblData[[#This Row],[NSW Test Per Capita]])^2,"")</f>
        <v>19534409520.329433</v>
      </c>
      <c r="CQ92" s="20">
        <f ca="1">IF(AND(tblData[Day '# NSW]&gt;0,ISNUMBER(tblData[[#This Row],[Day '# NSW]])),NSWLogestB*NSWLogestM^tblData[[#This Row],[Day '# NSW]]/NSWpopscale,"")</f>
        <v>2567.1384185768256</v>
      </c>
      <c r="CR92" s="39">
        <f ca="1">IF(AND(ISNUMBER(tblData[NSW]),tblData[Dates]&gt;StartDt2NSW),(tblData[NSW]/NSWpopscale-tblData[[#This Row],[NSW Cases LogEst]])^2,"")</f>
        <v>931301.81412674533</v>
      </c>
      <c r="CS92" s="11">
        <v>388</v>
      </c>
      <c r="CT92" s="19">
        <f>IF(ISNUMBER(tblData[Taiwan]),tblData[Taiwan]/TaiwanPopscale,"")</f>
        <v>162.97534510659386</v>
      </c>
      <c r="CU92" s="11">
        <f ca="1">IF(tblData[[#This Row],[Dates]]&lt;StartDt2Taiwan,"",tblData[[#This Row],[Dates]]-TaiwanStart)</f>
        <v>81</v>
      </c>
      <c r="CV92" s="19">
        <f ca="1">IF(AND(tblData[Dates]&gt;StartDt2Taiwan,ISNUMBER(tblData[Days'# Taiwan])),betaTaiwan/(deltaTaiwan+betaPodeltaTaiwan*EXP(-betaTaiwan*tblData[Days'# Taiwan])),"")</f>
        <v>400.39442945126154</v>
      </c>
      <c r="CW92" s="95">
        <f ca="1">IF(AND(tblData[Dates]&gt;StartDt2Taiwan,ISNUMBER(tblData[Taiwan])),(tblData[[#This Row],[Taiwan LogiP(t)]]-tblData[[#This Row],[Taiwan]])^2,"")</f>
        <v>153.62188142229954</v>
      </c>
      <c r="CX92" s="20">
        <f ca="1">IF(AND(tblData[Dates]&gt;StartDt2Taiwan,ISNUMBER(tblData[Days'# Taiwan])),tblData[[#This Row],[Taiwan LogiP(t)]]/TaiwanPopscale,"")</f>
        <v>168.18149566643581</v>
      </c>
      <c r="CY92" s="95">
        <f ca="1">IF(AND(ISNUMBER(tblData[Taiwan]),tblData[Dates]&gt;StartDt2Taiwan),(tblData[Taiwan]-AVERAGE(tblData[Taiwan]))^2,"")</f>
        <v>47720.830834294495</v>
      </c>
      <c r="CZ92" s="11">
        <f>tblData[[#This Row],[Dates]]-Taiwan100dt+1</f>
        <v>18</v>
      </c>
      <c r="DA92" s="11">
        <v>1330</v>
      </c>
      <c r="DB92" s="20">
        <f>IF(ISNUMBER(tblData[NZ]),tblData[NZ]/NZPopscale,"")</f>
        <v>2543.0210325047801</v>
      </c>
      <c r="DC92" s="11">
        <f ca="1">IF(tblData[[#This Row],[Dates]]&lt;StartDt2NZ,"",tblData[[#This Row],[Dates]]-NZStart)</f>
        <v>44</v>
      </c>
      <c r="DD92" s="20">
        <f ca="1">IF(AND(tblData[Dates]&gt;StartDt2NZ,ISNUMBER(tblData[Days'# NZ])),betaNZ/(deltaNZ+betaPodeltaNZ*EXP(-betaNZ*tblData[Days'# NZ])),"")</f>
        <v>1352.0012929934257</v>
      </c>
      <c r="DE92" s="95">
        <f ca="1">IF(AND(tblData[Dates]&gt;StartDt2NZ,ISNUMBER(tblData[NZ])),(tblData[[#This Row],[NZ LogiP(t)]]-tblData[[#This Row],[NZ]])^2,"")</f>
        <v>484.05689338256502</v>
      </c>
      <c r="DF92" s="20">
        <f ca="1">IF(AND(tblData[Dates]&gt;StartDt2NZ,ISNUMBER(tblData[Days'# NZ])),tblData[[#This Row],[NZ LogiP(t)]]/NZPopscale,"")</f>
        <v>2585.0885143277737</v>
      </c>
      <c r="DG92" s="95">
        <f ca="1">IF(AND(ISNUMBER(tblData[NZ]),tblData[Dates]&gt;StartDt2NZ),(tblData[NZ]-AVERAGE(tblData[NZ]))^2,"")</f>
        <v>410958.70064279146</v>
      </c>
      <c r="DH92" s="11">
        <f>tblData[[#This Row],[Dates]]-NZ100dt+1</f>
        <v>22</v>
      </c>
      <c r="DI92" s="39"/>
      <c r="DJ92" s="11"/>
      <c r="DM92" s="25"/>
      <c r="DP92"/>
      <c r="DV92" s="25"/>
      <c r="DW92"/>
      <c r="EA92" s="25"/>
      <c r="EH92"/>
      <c r="EI92"/>
      <c r="EJ92"/>
      <c r="EK92"/>
      <c r="EL92" s="25"/>
      <c r="EM92" s="25"/>
      <c r="EQ92" s="25"/>
      <c r="ER92" s="25"/>
      <c r="ES92" s="25"/>
      <c r="ET92" s="25"/>
      <c r="FF92"/>
      <c r="FG92"/>
      <c r="FH92"/>
      <c r="FI92"/>
      <c r="FJ92"/>
      <c r="FK92"/>
      <c r="FL92"/>
      <c r="FO92" s="265" t="s">
        <v>153</v>
      </c>
      <c r="FP92" s="250">
        <v>43922.647719907407</v>
      </c>
      <c r="FQ92" s="156">
        <v>43855</v>
      </c>
      <c r="FR92" s="26">
        <v>43855</v>
      </c>
      <c r="FS92" s="211">
        <v>1</v>
      </c>
      <c r="FT92" s="25">
        <v>0.19784166572026515</v>
      </c>
      <c r="FU92" s="74">
        <v>4.518394616573327E-5</v>
      </c>
      <c r="FV92" s="21">
        <v>9.0142306205120912E-3</v>
      </c>
      <c r="FW92" s="212">
        <v>4378.5831585977076</v>
      </c>
      <c r="FX92" s="212">
        <v>32.49919830565441</v>
      </c>
      <c r="FY92" s="212"/>
      <c r="FZ92" s="213">
        <v>21.947658846398014</v>
      </c>
      <c r="GA92" s="213">
        <v>4.518394616573327E-2</v>
      </c>
      <c r="GB92" s="156">
        <v>43921</v>
      </c>
      <c r="GC92" s="26" t="s">
        <v>1539</v>
      </c>
      <c r="GD92" s="212">
        <v>4378.5831585977076</v>
      </c>
      <c r="GE92" s="214">
        <v>2032</v>
      </c>
      <c r="GF92" s="62" t="s">
        <v>1540</v>
      </c>
      <c r="GG92" s="156">
        <v>43921</v>
      </c>
      <c r="GH92" s="25">
        <v>67</v>
      </c>
      <c r="GI92" s="25" t="s">
        <v>1541</v>
      </c>
      <c r="GK92" s="62" t="s">
        <v>1542</v>
      </c>
      <c r="GM92" s="25" t="s">
        <v>1543</v>
      </c>
      <c r="GN92" s="20">
        <v>2514.8514851485147</v>
      </c>
      <c r="GO92" s="156"/>
      <c r="GP92" s="218"/>
      <c r="GQ92" s="156"/>
      <c r="GR92" s="25"/>
      <c r="GS92" s="25" t="s">
        <v>1486</v>
      </c>
      <c r="GT92" s="11"/>
      <c r="GU92" s="12"/>
      <c r="GV92" s="26"/>
      <c r="GW92" s="25"/>
      <c r="GX92" s="219"/>
      <c r="GY92" s="25"/>
      <c r="GZ92" s="25"/>
      <c r="HA92" s="25"/>
      <c r="HB92" s="25"/>
      <c r="HC92" s="25"/>
      <c r="HD92" s="25"/>
      <c r="HE92" s="25"/>
      <c r="HF92" s="25"/>
      <c r="HG92" s="25"/>
      <c r="HH92" s="25"/>
      <c r="HI92" s="25"/>
      <c r="HJ92" s="25"/>
      <c r="HW92" s="25"/>
      <c r="HX92" s="25"/>
      <c r="HY92" s="25"/>
      <c r="HZ92" s="25"/>
      <c r="IA92" s="25"/>
      <c r="IB92" s="25"/>
      <c r="IC92" s="25"/>
    </row>
    <row r="93" spans="2:238" x14ac:dyDescent="0.25">
      <c r="B93" s="26">
        <v>43934</v>
      </c>
      <c r="D93" s="25">
        <v>103</v>
      </c>
      <c r="E93">
        <v>2863</v>
      </c>
      <c r="F93">
        <v>28</v>
      </c>
      <c r="G93">
        <v>987</v>
      </c>
      <c r="H93">
        <v>431</v>
      </c>
      <c r="I93" s="25">
        <v>165</v>
      </c>
      <c r="J93">
        <v>1281</v>
      </c>
      <c r="K93">
        <v>523</v>
      </c>
      <c r="L93" s="11">
        <f>IF(ISNUMBER(tblData[[#This Row],[NSW]]),tblData[[#This Row],[New South Wales]]/NSWpopscale,"")</f>
        <v>3543.3168316831679</v>
      </c>
      <c r="M93" s="25">
        <v>159516</v>
      </c>
      <c r="N93" s="20">
        <f>IF(ISNUMBER(tblData[Italy]),tblData[Italy]/ItalyPopscale,"")</f>
        <v>26372.819707365463</v>
      </c>
      <c r="O93" s="25">
        <v>580619</v>
      </c>
      <c r="P93" s="20">
        <f>IF(ISNUMBER(tblData[US]),tblData[US]/USPopscale,"")</f>
        <v>17635.78577608705</v>
      </c>
      <c r="Q93" s="11">
        <v>10537</v>
      </c>
      <c r="R93" s="20">
        <f>IF(ISNUMBER(tblData[SKorea]),tblData[SKorea]/SKoreaPopscale,"")</f>
        <v>2050</v>
      </c>
      <c r="S93">
        <v>89570</v>
      </c>
      <c r="T93" s="20">
        <f>IF(ISNUMBER(tblData[United Kingdom]),tblData[United Kingdom]/UKPopscale,"")</f>
        <v>13481.336544250451</v>
      </c>
      <c r="U93">
        <v>83213</v>
      </c>
      <c r="V93" s="20">
        <f>IF(ISNUMBER(tblData[China]),tblData[China]/ChinaPopscale,"")</f>
        <v>578.13954988818307</v>
      </c>
      <c r="W93" s="25">
        <f ca="1">IF(tblData[[#This Row],[Dates]]&lt;StartDt2China,"",tblData[[#This Row],[Dates]]-ChinaStart)</f>
        <v>82</v>
      </c>
      <c r="X93" s="20">
        <v>2918</v>
      </c>
      <c r="Y93" s="11">
        <f>IF(ISNUMBER(tblData[Singapore]),tblData[Singapore]/SingaporePopscale,"")</f>
        <v>4988.0341880341884</v>
      </c>
      <c r="Z93">
        <v>10647</v>
      </c>
      <c r="AA93" s="11">
        <f>IF(AND(LEN(tblData[Generic])&gt;0,ISNUMBER(tblData[Generic])),tblData[Generic]/GenericPopscale,"")</f>
        <v>21728.571428571428</v>
      </c>
      <c r="AB93" s="25">
        <f ca="1">IF(tblData[[#This Row],[Dates]]&lt;StartDt2Italy,"",tblData[[#This Row],[Dates]]-ItalyStart)</f>
        <v>74</v>
      </c>
      <c r="AC93" s="25">
        <f ca="1">IF(tblData[[#This Row],[Dates]]&lt;=StartDt2US,"",tblData[[#This Row],[Dates]]-USStart)</f>
        <v>82</v>
      </c>
      <c r="AD93" s="25">
        <f>IF(tblData[[#This Row],[Dates]]&lt;=SKoreaStart,"",tblData[[#This Row],[Dates]]-SKoreaStart)</f>
        <v>82</v>
      </c>
      <c r="AE93" s="25">
        <f ca="1">IF(tblData[[#This Row],[Dates]]&lt;=StartDt2UK,"",tblData[[#This Row],[Dates]]-UKStart)</f>
        <v>74</v>
      </c>
      <c r="AF93" s="25">
        <f ca="1">IF(tblData[[#This Row],[Dates]]&lt;StartDt2Singapore,"",tblData[[#This Row],[Dates]]-SingaporeStart)</f>
        <v>81</v>
      </c>
      <c r="AG93" s="25">
        <f>IF(tblData[[#This Row],[Dates]]&lt;StartDt2Generic,"",tblData[[#This Row],[Dates]]-GenericStart)</f>
        <v>44</v>
      </c>
      <c r="AH93">
        <f ca="1">IF(tblData[Dates]&gt;StartDt2Au,tblData[Dates]-AuStart,"")</f>
        <v>79</v>
      </c>
      <c r="AI93" s="25">
        <f>IF(AND(COUNTBLANK(tblData[[#This Row],[Australian Capital Territory]:[Western Australia]])&lt;1,tblData[New South Wales]&gt;=0),SUM(tblData[[#This Row],[Australian Capital Territory]:[Western Australia]]),"")</f>
        <v>6381</v>
      </c>
      <c r="AJ93" s="12">
        <f>IF(ISNUMBER(tblData[Au]),tblData[Au]/AuPopScale,"")</f>
        <v>2515.7703832203124</v>
      </c>
      <c r="AK93" s="11">
        <f ca="1">IF(ISNUMBER(tblData[[#This Row],[Day'# Aust]]),betaAu/(deltaAu+betaPodeltaAu*EXP(-betaAu*tblData[[#This Row],[Day'# Aust]])),"")</f>
        <v>6484.1707923013582</v>
      </c>
      <c r="AL93" s="56">
        <f ca="1">IF(ISNUMBER(tblData[Day'# Aust]),tblData[Au LogiP(t)]/AuPopScale,"")</f>
        <v>2556.4464565137037</v>
      </c>
      <c r="AM93" s="11">
        <f ca="1">IF(AND(tblData[Dates]&gt;StartDt2Au,ISNUMBER(tblData[Au])),(tblData[[#This Row],[Au LogiP(t)]]-tblData[[#This Row],[Au]])^2,"")</f>
        <v>10644.212384089999</v>
      </c>
      <c r="AN93" s="11">
        <f ca="1">IF(AND(ISNUMBER(tblData[Au]),tblData[Dates]&gt;StartDt2Au),(tblData[Au]-AVERAGE(tblData[Au]))^2,"")</f>
        <v>15462118.1961</v>
      </c>
      <c r="AO93" s="11">
        <f>tblData[[#This Row],[Dates]]-Au100dt</f>
        <v>29</v>
      </c>
      <c r="AP93">
        <f ca="1">IF(tblData[Dates]&gt;StartDt2NSW,tblData[Dates]-StartDt2NSW,"")</f>
        <v>79</v>
      </c>
      <c r="AQ93" s="25">
        <f>IF(tblData[[#This Row],[New South Wales]]&gt;0,tblData[[#This Row],[New South Wales]],"")</f>
        <v>2863</v>
      </c>
      <c r="AR93" s="11">
        <f ca="1">IF(tblData[Dates]&gt;StartDt2NSW,betaNSW/(deltaNSW+betaPodeltaNSW*EXP(-betaNSW*tblData[[#This Row],[Day '# NSW]])),"")</f>
        <v>2909.4666210540968</v>
      </c>
      <c r="AS93" s="12">
        <f ca="1">IF(AND(ISNUMBER(tblData[NSW]),tblData[Dates]&gt;StartDt2NSW),(tblData[[#This Row],[NSW LogiP(t)]]-tblData[[#This Row],[NSW]])^2,"")</f>
        <v>2159.1468721850297</v>
      </c>
      <c r="AT93" s="39">
        <f ca="1">IF(AND(tblData[Dates]&gt;StartDt2NSW,ISNUMBER(tblData[Day'# Aust])),tblData[NSW LogiP(t)]/NSWpopscale,"")</f>
        <v>3600.8250260570503</v>
      </c>
      <c r="AU93" s="11">
        <f>tblData[[#This Row],[Dates]]-NSW100dt+1</f>
        <v>32</v>
      </c>
      <c r="AV93" s="11">
        <f ca="1">IF(AND(ISNUMBER(tblData[NSW]),tblData[Dates]&gt;StartDt2NSW),(tblData[NSW]-AVERAGE(tblData[NSW]))^2,"")</f>
        <v>3128441.1875999998</v>
      </c>
      <c r="AW93" s="11">
        <f ca="1">IF(AND(tblData[Dates]&gt;StartDt2Italy,ISNUMBER(tblData[Days'# Italy])),betaItaly/(deltaItaly+betaPodeltaItaly*EXP(-betaItaly*tblData[Days'# Italy])),"")</f>
        <v>160956.96496750347</v>
      </c>
      <c r="AX93" s="11">
        <f ca="1">IF(AND(tblData[Dates]&gt;StartDt2Italy,ISNUMBER(tblData[Italy])),(tblData[[#This Row],[Italy LogiP(t)]]-tblData[[#This Row],[Italy]])^2,"")</f>
        <v>2076380.0375722889</v>
      </c>
      <c r="AY93" s="11">
        <f ca="1">IF(AND(tblData[Dates]&gt;StartDt2Italy,ISNUMBER(tblData[Days'# Italy])),tblData[[#This Row],[Italy LogiP(t)]]/ItalyPopscale,"")</f>
        <v>26611.054801604278</v>
      </c>
      <c r="AZ93" s="39">
        <f ca="1">IF(AND(ISNUMBER(tblData[Italy]),tblData[Dates]&gt;StartDt2Italy),(tblData[Italy]-AVERAGE(tblData[Italy]))^2,"")</f>
        <v>8058184956.7932339</v>
      </c>
      <c r="BA93" s="11">
        <f>tblData[[#This Row],[Dates]]-Italy100dt+1</f>
        <v>47</v>
      </c>
      <c r="BB93" s="11">
        <f ca="1">IF(AND(tblData[Dates]&gt;StartDt2US,ISNUMBER(tblData[[#This Row],[Days'# US]])),betaUS/(deltaUS+betaPodeltaUS*EXP(-betaUS*tblData[Days'# US])),"")</f>
        <v>764632.41845584766</v>
      </c>
      <c r="BC93" s="11">
        <f ca="1">IF(AND(tblData[Dates]&gt;StartDt2US,ISNUMBER(tblData[US])),(tblData[[#This Row],[US LogiP(t)]]-tblData[US])^2,"")</f>
        <v>33860938171.806896</v>
      </c>
      <c r="BD93" s="20">
        <f ca="1">IF(AND(tblData[Dates]&gt;=StartDt2US,ISNUMBER(tblData[[#This Row],[Days'# US]])),tblData[[#This Row],[US LogiP(t)]]/USPopscale,"")</f>
        <v>23225.029717144425</v>
      </c>
      <c r="BE93" s="126">
        <f ca="1">IF(AND(ISNUMBER(tblData[US]),tblData[Dates]&gt;StartDt2US),(tblData[US]-AVERAGE(tblData[US]))^2,"")</f>
        <v>127217594134.88361</v>
      </c>
      <c r="BF93" s="11">
        <f>tblData[[#This Row],[Dates]]-US100dt+1</f>
        <v>30</v>
      </c>
      <c r="BG93" s="20">
        <f ca="1">IF(tblData[Dates]&gt;StartDt2SKorea,betaSKorea/(deltaSKorea+betaPodeltaSKorea*EXP(-betaSKorea*(tblData[Dates]-StartDt2SKorea))),"")</f>
        <v>10224.356514053619</v>
      </c>
      <c r="BH93" s="20">
        <f ca="1">IF(AND(tblData[Dates]&gt;StartDt2SKorea,ISNUMBER(tblData[SKorea])),(tblData[[#This Row],[SKorea LogiP(t)]]-tblData[[#This Row],[SKorea]])^2,"")</f>
        <v>97745.949304704729</v>
      </c>
      <c r="BI93" s="20">
        <f ca="1">IF(tblData[Dates]&gt;StartDt2SKorea,tblData[[#This Row],[SKorea LogiP(t)]]/SKoreaPopscale,"")</f>
        <v>1989.1744190765799</v>
      </c>
      <c r="BJ93" s="126">
        <f ca="1">IF(AND(ISNUMBER(tblData[SKorea]),tblData[Dates]&gt;StartDt2SKorea),(tblData[SKorea]-AVERAGE(tblData[SKorea]))^2,"")</f>
        <v>22208857.491733953</v>
      </c>
      <c r="BK93" s="11">
        <f>tblData[[#This Row],[Dates]]-SKorea100dt+1</f>
        <v>51</v>
      </c>
      <c r="BL93" s="11">
        <f ca="1">IF(AND(tblData[Dates]&gt;StartDt2UK,ISNUMBER(tblData[Days'# UK])),betaUK/(deltaUK+betaPodeltaUK*EXP(-betaUK*tblData[Days'# UK])),"")</f>
        <v>116282.85777791092</v>
      </c>
      <c r="BM93" s="61">
        <f ca="1">IF(AND(tblData[Dates]&gt;StartDt2UK,ISNUMBER(tblData[United Kingdom])),(tblData[[#This Row],[UK LogiP(t)]]-tblData[[#This Row],[United Kingdom]])^2,"")</f>
        <v>713576770.6628958</v>
      </c>
      <c r="BN93" s="11">
        <f ca="1">IF(ISNUMBER(tblData[Days'# UK]),tblData[[#This Row],[UK LogiP(t)]]/UKPopscale,"")</f>
        <v>17501.935246524823</v>
      </c>
      <c r="BO93" s="126">
        <f ca="1">IF(AND(ISNUMBER(tblData[United Kingdom]),tblData[Dates]&gt;StartDt2UK),(tblData[United Kingdom]-AVERAGE(tblData[United Kingdom]))^2,"")</f>
        <v>2662866315.1925077</v>
      </c>
      <c r="BP93" s="11">
        <f>tblData[[#This Row],[Dates]]-UK100dt</f>
        <v>32</v>
      </c>
      <c r="BQ93" s="11">
        <f ca="1">IF(ISNUMBER(tblData[Days'# China]),betaChina/(deltaChina+betaPodeltaChina*EXP(-betaChina*tblData[Days'# China])),"")</f>
        <v>82125.102859586201</v>
      </c>
      <c r="BR93" s="11">
        <f ca="1">IF(ISNUMBER(tblData[China]),(tblData[[#This Row],[China LogiP(t)]]-tblData[[#This Row],[China]])^2,"")</f>
        <v>1183520.1881205216</v>
      </c>
      <c r="BS93" s="11">
        <f ca="1">tblData[[#This Row],[China LogiP(t)]]/ChinaPopscale</f>
        <v>570.58115921504941</v>
      </c>
      <c r="BT93" s="126">
        <f ca="1">IF(AND(ISNUMBER(tblData[China]),tblData[Dates]&gt;StartDt2China),(tblData[China]-AVERAGE(tblData[China]))^2,"")</f>
        <v>256273013.92733541</v>
      </c>
      <c r="BU93" s="11">
        <f>tblData[[#This Row],[Dates]]-China100dt</f>
        <v>71</v>
      </c>
      <c r="BV93" s="95">
        <f ca="1">IF(ISNUMBER(tblData[Day'# Singapore]),betaSingapore/(deltaSingapore+betaPodeltaSingapore*EXP(-betaSingapore*tblData[Day'# Singapore])),"")</f>
        <v>2937.0983581885894</v>
      </c>
      <c r="BW93" s="11">
        <f ca="1">IF(AND(ISNUMBER(tblData[Singapore]),tblData[Dates]&gt;=StartDt2Singapore),(tblData[[#This Row],[Singapore LogiP(t)]]-tblData[[#This Row],[Singapore]])^2,"")</f>
        <v>364.74728549965874</v>
      </c>
      <c r="BX93" s="20">
        <f ca="1">IF(ISNUMBER(tblData[Day'# Singapore]),tblData[Singapore LogiP(t)]/SingaporePopscale,"")</f>
        <v>5020.6809541685288</v>
      </c>
      <c r="BY93" s="95">
        <f ca="1">IF(AND(ISNUMBER(tblData[Singapore]),tblData[Dates]&gt;StartDt2Singapore),(tblData[Singapore]-AVERAGE(tblData[Singapore]))^2,"")</f>
        <v>356643.15609380987</v>
      </c>
      <c r="BZ93" s="11">
        <f>tblData[[#This Row],[Dates]]-Singapore100dt+1</f>
        <v>60</v>
      </c>
      <c r="CA93" s="11">
        <f>IF(AND(tblData[Dates]&gt;StartDt2Generic,ISNUMBER(tblData[Day'# Generic])),betaGeneric/(deltaGeneric+betaPodeltaGeneric*EXP(-betaGeneric*tblData[Day'# Generic])),"")</f>
        <v>10586.699839529341</v>
      </c>
      <c r="CB93" s="95">
        <f>IF(AND(ISNUMBER(tblData[Generic]),tblData[Dates]&gt;StartDt2Generic),(tblData[Generic LogiP(t)]-tblData[[#This Row],[Generic]])^2,"")</f>
        <v>3636.1093527871949</v>
      </c>
      <c r="CC93" s="11">
        <f>IF(AND(ISNUMBER(tblData[Day'# Generic]),tblData[Dates]&gt;StartDt2Generic),tblData[Generic LogiP(t)]/GenericPopscale,"")</f>
        <v>21605.509876590491</v>
      </c>
      <c r="CD93" s="95">
        <f>IF(AND(ISNUMBER(tblData[Generic]),tblData[Dates]&gt;StartDt2Generic),(tblData[Generic]-AVERAGE(tblData[Generic]))^2,"")</f>
        <v>16108120.503905326</v>
      </c>
      <c r="CE93" s="11">
        <f>tblData[[#This Row],[Dates]]-Generic100dt+1</f>
        <v>32</v>
      </c>
      <c r="CF93" s="11">
        <v>142939</v>
      </c>
      <c r="CG93" s="11"/>
      <c r="CH93" s="11">
        <f>IF(ISNUMBER(tblData[[#This Row],[Tests]]),tblData[[#This Row],[Tests]]-CF92,"")</f>
        <v>1422</v>
      </c>
      <c r="CI93" s="11" t="str">
        <f>IF(ISNUMBER(tblData[[#This Row],[NSW Under Investigation'']]),tblData[[#This Row],[NSW Under Investigation'']]-CG92,"")</f>
        <v/>
      </c>
      <c r="CJ93" s="11">
        <f t="shared" si="2"/>
        <v>39</v>
      </c>
      <c r="CK93" s="11">
        <f>IF(AND(tblData[[#This Row],[NSW Test Day Number]]&gt;0,ISNUMBER(tblData[[#This Row],[NSW Test Day Number]])),betaTests/(deltaTests+betaPodeltaTests*EXP(-betaTests*tblData[[#This Row],[NSW Test Day Number]])),"")</f>
        <v>165784.40724154553</v>
      </c>
      <c r="CL93" s="11">
        <f>IF(tblData[Tests]&gt;0,(tblData[[#This Row],[Tests]]-tblData[[#This Row],[NSW Test Logi]])^2,"")</f>
        <v>521912632.03206098</v>
      </c>
      <c r="CM93" s="95">
        <f>IF(AND(ISNUMBER(tblData[Tests]),tblData[Dates]&gt;StartDt2Tests),(tblData[Tests]-AVERAGE(tblData[Tests]))^2,"")</f>
        <v>1352926745.6503873</v>
      </c>
      <c r="CN93" s="11">
        <f>IF(ISNUMBER(tblData[Tests]),tblData[Tests]/NSWpopscale/100,"")</f>
        <v>1769.0470297029701</v>
      </c>
      <c r="CO93" s="95">
        <f ca="1">IF(AND(tblData[[#This Row],[NSW Test Day Number]]&gt;0,ISNUMBER(tblData[[#This Row],[NSW Test Day Number]])),TestsLogestB*TestsLogestM^tblData[[#This Row],[NSW Test Day Number]],"")</f>
        <v>128692.31604888996</v>
      </c>
      <c r="CP93" s="11">
        <f>IF(AND(tblData[[#This Row],[NSW Test Day Number]]&gt;0,ISNUMBER(tblData[Tests])),(tblData[Tests]-tblData[[#This Row],[NSW Test Per Capita]])^2,"")</f>
        <v>19928955621.635872</v>
      </c>
      <c r="CQ93" s="20">
        <f ca="1">IF(AND(tblData[Day '# NSW]&gt;0,ISNUMBER(tblData[[#This Row],[Day '# NSW]])),NSWLogestB*NSWLogestM^tblData[[#This Row],[Day '# NSW]]/NSWpopscale,"")</f>
        <v>2826.3055006352843</v>
      </c>
      <c r="CR93" s="39">
        <f ca="1">IF(AND(ISNUMBER(tblData[NSW]),tblData[Dates]&gt;StartDt2NSW),(tblData[NSW]/NSWpopscale-tblData[[#This Row],[NSW Cases LogEst]])^2,"")</f>
        <v>514105.24885105784</v>
      </c>
      <c r="CS93" s="11">
        <v>393</v>
      </c>
      <c r="CT93" s="19">
        <f>IF(ISNUMBER(tblData[Taiwan]),tblData[Taiwan]/TaiwanPopscale,"")</f>
        <v>165.07554285281284</v>
      </c>
      <c r="CU93" s="11">
        <f ca="1">IF(tblData[[#This Row],[Dates]]&lt;StartDt2Taiwan,"",tblData[[#This Row],[Dates]]-TaiwanStart)</f>
        <v>82</v>
      </c>
      <c r="CV93" s="19">
        <f ca="1">IF(AND(tblData[Dates]&gt;StartDt2Taiwan,ISNUMBER(tblData[Days'# Taiwan])),betaTaiwan/(deltaTaiwan+betaPodeltaTaiwan*EXP(-betaTaiwan*tblData[Days'# Taiwan])),"")</f>
        <v>403.75098043559916</v>
      </c>
      <c r="CW93" s="95">
        <f ca="1">IF(AND(tblData[Dates]&gt;StartDt2Taiwan,ISNUMBER(tblData[Taiwan])),(tblData[[#This Row],[Taiwan LogiP(t)]]-tblData[[#This Row],[Taiwan]])^2,"")</f>
        <v>115.58358032663591</v>
      </c>
      <c r="CX93" s="20">
        <f ca="1">IF(AND(tblData[Dates]&gt;StartDt2Taiwan,ISNUMBER(tblData[Days'# Taiwan])),tblData[[#This Row],[Taiwan LogiP(t)]]/TaiwanPopscale,"")</f>
        <v>169.59137982891082</v>
      </c>
      <c r="CY93" s="95">
        <f ca="1">IF(AND(ISNUMBER(tblData[Taiwan]),tblData[Dates]&gt;StartDt2Taiwan),(tblData[Taiwan]-AVERAGE(tblData[Taiwan]))^2,"")</f>
        <v>49930.340638216068</v>
      </c>
      <c r="CZ93" s="11">
        <f>tblData[[#This Row],[Dates]]-Taiwan100dt+1</f>
        <v>19</v>
      </c>
      <c r="DA93" s="11">
        <v>1349</v>
      </c>
      <c r="DB93" s="20">
        <f>IF(ISNUMBER(tblData[NZ]),tblData[NZ]/NZPopscale,"")</f>
        <v>2579.3499043977054</v>
      </c>
      <c r="DC93" s="11">
        <f ca="1">IF(tblData[[#This Row],[Dates]]&lt;StartDt2NZ,"",tblData[[#This Row],[Dates]]-NZStart)</f>
        <v>45</v>
      </c>
      <c r="DD93" s="20">
        <f ca="1">IF(AND(tblData[Dates]&gt;StartDt2NZ,ISNUMBER(tblData[Days'# NZ])),betaNZ/(deltaNZ+betaPodeltaNZ*EXP(-betaNZ*tblData[Days'# NZ])),"")</f>
        <v>1373.3142390672504</v>
      </c>
      <c r="DE93" s="95">
        <f ca="1">IF(AND(tblData[Dates]&gt;StartDt2NZ,ISNUMBER(tblData[NZ])),(tblData[[#This Row],[NZ LogiP(t)]]-tblData[[#This Row],[NZ]])^2,"")</f>
        <v>591.18222141940339</v>
      </c>
      <c r="DF93" s="20">
        <f ca="1">IF(AND(tblData[Dates]&gt;StartDt2NZ,ISNUMBER(tblData[Days'# NZ])),tblData[[#This Row],[NZ LogiP(t)]]/NZPopscale,"")</f>
        <v>2625.8398452528686</v>
      </c>
      <c r="DG93" s="95">
        <f ca="1">IF(AND(ISNUMBER(tblData[NZ]),tblData[Dates]&gt;StartDt2NZ),(tblData[NZ]-AVERAGE(tblData[NZ]))^2,"")</f>
        <v>435680.0036730945</v>
      </c>
      <c r="DH93" s="11">
        <f>tblData[[#This Row],[Dates]]-NZ100dt+1</f>
        <v>23</v>
      </c>
      <c r="DI93" s="39"/>
      <c r="DJ93" s="11"/>
      <c r="DM93" s="25"/>
      <c r="DP93"/>
      <c r="DV93" s="25"/>
      <c r="DW93"/>
      <c r="EA93" s="25"/>
      <c r="EH93"/>
      <c r="EI93"/>
      <c r="EJ93"/>
      <c r="EK93"/>
      <c r="EL93" s="25"/>
      <c r="EM93" s="25"/>
      <c r="EQ93" s="25"/>
      <c r="ER93" s="25"/>
      <c r="ES93" s="25"/>
      <c r="ET93" s="25"/>
      <c r="FF93"/>
      <c r="FG93"/>
      <c r="FH93"/>
      <c r="FI93"/>
      <c r="FJ93"/>
      <c r="FK93"/>
      <c r="FL93"/>
      <c r="FO93" s="265" t="s">
        <v>153</v>
      </c>
      <c r="FP93" s="250">
        <v>43922.849293981482</v>
      </c>
      <c r="FQ93" s="156">
        <v>43855</v>
      </c>
      <c r="FR93" s="26">
        <v>43855</v>
      </c>
      <c r="FS93" s="211">
        <v>1</v>
      </c>
      <c r="FT93" s="25">
        <v>0.23757628314936624</v>
      </c>
      <c r="FU93" s="74">
        <v>7.7841049575560063E-5</v>
      </c>
      <c r="FV93" s="21">
        <v>1E-3</v>
      </c>
      <c r="FW93" s="212">
        <v>3052.0693701432133</v>
      </c>
      <c r="FX93" s="214">
        <v>22.06135165419742</v>
      </c>
      <c r="FY93" s="214"/>
      <c r="FZ93" s="213">
        <v>237.57620530831667</v>
      </c>
      <c r="GA93" s="213">
        <v>7.7841049575560067E-2</v>
      </c>
      <c r="GB93" s="156">
        <v>43922</v>
      </c>
      <c r="GC93" s="26" t="s">
        <v>1550</v>
      </c>
      <c r="GD93" s="214">
        <v>3052.0693701432133</v>
      </c>
      <c r="GE93" s="214">
        <v>2182</v>
      </c>
      <c r="GF93" s="62" t="s">
        <v>1551</v>
      </c>
      <c r="GG93" s="156">
        <v>43922</v>
      </c>
      <c r="GH93" s="25">
        <v>68</v>
      </c>
      <c r="GI93" s="25" t="s">
        <v>1552</v>
      </c>
      <c r="GJ93" s="62"/>
      <c r="GK93" s="62" t="s">
        <v>1553</v>
      </c>
      <c r="GM93" s="25" t="s">
        <v>1554</v>
      </c>
      <c r="GN93" s="20">
        <v>2700.4950495049502</v>
      </c>
      <c r="GO93" s="156"/>
      <c r="GP93" s="218"/>
      <c r="GQ93" s="156"/>
      <c r="GR93" s="25"/>
      <c r="GS93" s="25" t="s">
        <v>1549</v>
      </c>
      <c r="GT93" s="11"/>
      <c r="GU93" s="12"/>
      <c r="GV93" s="26"/>
      <c r="GW93" s="25"/>
      <c r="GX93" s="219"/>
      <c r="GY93" s="25"/>
      <c r="GZ93" s="25"/>
      <c r="HA93" s="25"/>
      <c r="HB93" s="25"/>
      <c r="HC93" s="25"/>
      <c r="HD93" s="25"/>
      <c r="HE93" s="25"/>
      <c r="HF93" s="25"/>
      <c r="HG93" s="25"/>
      <c r="HH93" s="25"/>
      <c r="HI93" s="25"/>
      <c r="HJ93" s="25"/>
      <c r="HW93" s="25"/>
      <c r="HX93" s="25"/>
      <c r="HY93" s="25"/>
      <c r="HZ93" s="25"/>
      <c r="IA93" s="25"/>
      <c r="IB93" s="25"/>
      <c r="IC93" s="25"/>
    </row>
    <row r="94" spans="2:238" x14ac:dyDescent="0.25">
      <c r="B94" s="26">
        <v>43935</v>
      </c>
      <c r="D94" s="25">
        <v>103</v>
      </c>
      <c r="E94">
        <v>2870</v>
      </c>
      <c r="F94">
        <v>28</v>
      </c>
      <c r="G94">
        <v>998</v>
      </c>
      <c r="H94">
        <v>433</v>
      </c>
      <c r="I94" s="25">
        <v>169</v>
      </c>
      <c r="J94">
        <v>1291</v>
      </c>
      <c r="K94">
        <v>527</v>
      </c>
      <c r="L94" s="11">
        <f>IF(ISNUMBER(tblData[[#This Row],[NSW]]),tblData[[#This Row],[New South Wales]]/NSWpopscale,"")</f>
        <v>3551.9801980198017</v>
      </c>
      <c r="M94" s="25">
        <v>162488</v>
      </c>
      <c r="N94" s="20">
        <f>IF(ISNUMBER(tblData[Italy]),tblData[Italy]/ItalyPopscale,"")</f>
        <v>26864.181201950898</v>
      </c>
      <c r="O94" s="25">
        <v>607670</v>
      </c>
      <c r="P94" s="20">
        <f>IF(ISNUMBER(tblData[US]),tblData[US]/USPopscale,"")</f>
        <v>18457.435844426065</v>
      </c>
      <c r="Q94" s="11">
        <v>10564</v>
      </c>
      <c r="R94" s="20">
        <f>IF(ISNUMBER(tblData[SKorea]),tblData[SKorea]/SKoreaPopscale,"")</f>
        <v>2055.252918287938</v>
      </c>
      <c r="S94">
        <v>94845</v>
      </c>
      <c r="T94" s="20">
        <f>IF(ISNUMBER(tblData[United Kingdom]),tblData[United Kingdom]/UKPopscale,"")</f>
        <v>14275.285972305839</v>
      </c>
      <c r="U94">
        <v>83306</v>
      </c>
      <c r="V94" s="20">
        <f>IF(ISNUMBER(tblData[China]),tblData[China]/ChinaPopscale,"")</f>
        <v>578.78568664733848</v>
      </c>
      <c r="W94" s="25">
        <f ca="1">IF(tblData[[#This Row],[Dates]]&lt;StartDt2China,"",tblData[[#This Row],[Dates]]-ChinaStart)</f>
        <v>83</v>
      </c>
      <c r="X94" s="20">
        <v>3252</v>
      </c>
      <c r="Y94" s="11">
        <f>IF(ISNUMBER(tblData[Singapore]),tblData[Singapore]/SingaporePopscale,"")</f>
        <v>5558.9743589743593</v>
      </c>
      <c r="Z94">
        <v>11479</v>
      </c>
      <c r="AA94" s="11">
        <f>IF(AND(LEN(tblData[Generic])&gt;0,ISNUMBER(tblData[Generic])),tblData[Generic]/GenericPopscale,"")</f>
        <v>23426.5306122449</v>
      </c>
      <c r="AB94" s="25">
        <f ca="1">IF(tblData[[#This Row],[Dates]]&lt;StartDt2Italy,"",tblData[[#This Row],[Dates]]-ItalyStart)</f>
        <v>75</v>
      </c>
      <c r="AC94" s="25">
        <f ca="1">IF(tblData[[#This Row],[Dates]]&lt;=StartDt2US,"",tblData[[#This Row],[Dates]]-USStart)</f>
        <v>83</v>
      </c>
      <c r="AD94" s="25">
        <f>IF(tblData[[#This Row],[Dates]]&lt;=SKoreaStart,"",tblData[[#This Row],[Dates]]-SKoreaStart)</f>
        <v>83</v>
      </c>
      <c r="AE94" s="25">
        <f ca="1">IF(tblData[[#This Row],[Dates]]&lt;=StartDt2UK,"",tblData[[#This Row],[Dates]]-UKStart)</f>
        <v>75</v>
      </c>
      <c r="AF94" s="25">
        <f ca="1">IF(tblData[[#This Row],[Dates]]&lt;StartDt2Singapore,"",tblData[[#This Row],[Dates]]-SingaporeStart)</f>
        <v>82</v>
      </c>
      <c r="AG94" s="25">
        <f>IF(tblData[[#This Row],[Dates]]&lt;StartDt2Generic,"",tblData[[#This Row],[Dates]]-GenericStart)</f>
        <v>45</v>
      </c>
      <c r="AH94">
        <f ca="1">IF(tblData[Dates]&gt;StartDt2Au,tblData[Dates]-AuStart,"")</f>
        <v>80</v>
      </c>
      <c r="AI94" s="25">
        <f>IF(AND(COUNTBLANK(tblData[[#This Row],[Australian Capital Territory]:[Western Australia]])&lt;1,tblData[New South Wales]&gt;=0),SUM(tblData[[#This Row],[Australian Capital Territory]:[Western Australia]]),"")</f>
        <v>6419</v>
      </c>
      <c r="AJ94" s="12">
        <f>IF(ISNUMBER(tblData[Au]),tblData[Au]/AuPopScale,"")</f>
        <v>2530.752247279609</v>
      </c>
      <c r="AK94" s="11">
        <f ca="1">IF(ISNUMBER(tblData[[#This Row],[Day'# Aust]]),betaAu/(deltaAu+betaPodeltaAu*EXP(-betaAu*tblData[[#This Row],[Day'# Aust]])),"")</f>
        <v>6515.8572475109786</v>
      </c>
      <c r="AL94" s="56">
        <f ca="1">IF(ISNUMBER(tblData[Day'# Aust]),tblData[Au LogiP(t)]/AuPopScale,"")</f>
        <v>2568.9391450524281</v>
      </c>
      <c r="AM94" s="11">
        <f ca="1">IF(AND(tblData[Dates]&gt;StartDt2Au,ISNUMBER(tblData[Au])),(tblData[[#This Row],[Au LogiP(t)]]-tblData[[#This Row],[Au]])^2,"")</f>
        <v>9381.3263954029699</v>
      </c>
      <c r="AN94" s="11">
        <f ca="1">IF(AND(ISNUMBER(tblData[Au]),tblData[Dates]&gt;StartDt2Au),(tblData[Au]-AVERAGE(tblData[Au]))^2,"")</f>
        <v>15762408.6361</v>
      </c>
      <c r="AO94" s="11">
        <f>tblData[[#This Row],[Dates]]-Au100dt</f>
        <v>30</v>
      </c>
      <c r="AP94">
        <f ca="1">IF(tblData[Dates]&gt;StartDt2NSW,tblData[Dates]-StartDt2NSW,"")</f>
        <v>80</v>
      </c>
      <c r="AQ94" s="25">
        <f>IF(tblData[[#This Row],[New South Wales]]&gt;0,tblData[[#This Row],[New South Wales]],"")</f>
        <v>2870</v>
      </c>
      <c r="AR94" s="11">
        <f ca="1">IF(tblData[Dates]&gt;StartDt2NSW,betaNSW/(deltaNSW+betaPodeltaNSW*EXP(-betaNSW*tblData[[#This Row],[Day '# NSW]])),"")</f>
        <v>2922.6299839748222</v>
      </c>
      <c r="AS94" s="12">
        <f ca="1">IF(AND(ISNUMBER(tblData[NSW]),tblData[Dates]&gt;StartDt2NSW),(tblData[[#This Row],[NSW LogiP(t)]]-tblData[[#This Row],[NSW]])^2,"")</f>
        <v>2769.9152131900364</v>
      </c>
      <c r="AT94" s="39">
        <f ca="1">IF(AND(tblData[Dates]&gt;StartDt2NSW,ISNUMBER(tblData[Day'# Aust])),tblData[NSW LogiP(t)]/NSWpopscale,"")</f>
        <v>3617.1163168005223</v>
      </c>
      <c r="AU94" s="11">
        <f>tblData[[#This Row],[Dates]]-NSW100dt+1</f>
        <v>33</v>
      </c>
      <c r="AV94" s="11">
        <f ca="1">IF(AND(ISNUMBER(tblData[NSW]),tblData[Dates]&gt;StartDt2NSW),(tblData[NSW]-AVERAGE(tblData[NSW]))^2,"")</f>
        <v>3153252.5476000002</v>
      </c>
      <c r="AW94" s="11">
        <f ca="1">IF(AND(tblData[Dates]&gt;StartDt2Italy,ISNUMBER(tblData[Days'# Italy])),betaItaly/(deltaItaly+betaPodeltaItaly*EXP(-betaItaly*tblData[Days'# Italy])),"")</f>
        <v>161052.52551931879</v>
      </c>
      <c r="AX94" s="11">
        <f ca="1">IF(AND(tblData[Dates]&gt;StartDt2Italy,ISNUMBER(tblData[Italy])),(tblData[[#This Row],[Italy LogiP(t)]]-tblData[[#This Row],[Italy]])^2,"")</f>
        <v>2060586.9846869856</v>
      </c>
      <c r="AY94" s="11">
        <f ca="1">IF(AND(tblData[Dates]&gt;StartDt2Italy,ISNUMBER(tblData[Days'# Italy])),tblData[[#This Row],[Italy LogiP(t)]]/ItalyPopscale,"")</f>
        <v>26626.853851255484</v>
      </c>
      <c r="AZ94" s="39">
        <f ca="1">IF(AND(ISNUMBER(tblData[Italy]),tblData[Dates]&gt;StartDt2Italy),(tblData[Italy]-AVERAGE(tblData[Italy]))^2,"")</f>
        <v>8600595128.4528084</v>
      </c>
      <c r="BA94" s="11">
        <f>tblData[[#This Row],[Dates]]-Italy100dt+1</f>
        <v>48</v>
      </c>
      <c r="BB94" s="11">
        <f ca="1">IF(AND(tblData[Dates]&gt;StartDt2US,ISNUMBER(tblData[[#This Row],[Days'# US]])),betaUS/(deltaUS+betaPodeltaUS*EXP(-betaUS*tblData[Days'# US])),"")</f>
        <v>776128.76031604258</v>
      </c>
      <c r="BC94" s="11">
        <f ca="1">IF(AND(tblData[Dates]&gt;StartDt2US,ISNUMBER(tblData[US])),(tblData[[#This Row],[US LogiP(t)]]-tblData[US])^2,"")</f>
        <v>28378353927.21788</v>
      </c>
      <c r="BD94" s="20">
        <f ca="1">IF(AND(tblData[Dates]&gt;=StartDt2US,ISNUMBER(tblData[[#This Row],[Days'# US]])),tblData[[#This Row],[US LogiP(t)]]/USPopscale,"")</f>
        <v>23574.220877363194</v>
      </c>
      <c r="BE94" s="126">
        <f ca="1">IF(AND(ISNUMBER(tblData[US]),tblData[Dates]&gt;StartDt2US),(tblData[US]-AVERAGE(tblData[US]))^2,"")</f>
        <v>147246222427.58948</v>
      </c>
      <c r="BF94" s="11">
        <f>tblData[[#This Row],[Dates]]-US100dt+1</f>
        <v>31</v>
      </c>
      <c r="BG94" s="20">
        <f ca="1">IF(tblData[Dates]&gt;StartDt2SKorea,betaSKorea/(deltaSKorea+betaPodeltaSKorea*EXP(-betaSKorea*(tblData[Dates]-StartDt2SKorea))),"")</f>
        <v>10225.953478784193</v>
      </c>
      <c r="BH94" s="20">
        <f ca="1">IF(AND(tblData[Dates]&gt;StartDt2SKorea,ISNUMBER(tblData[SKorea])),(tblData[[#This Row],[SKorea LogiP(t)]]-tblData[[#This Row],[SKorea]])^2,"")</f>
        <v>114275.450506109</v>
      </c>
      <c r="BI94" s="20">
        <f ca="1">IF(tblData[Dates]&gt;StartDt2SKorea,tblData[[#This Row],[SKorea LogiP(t)]]/SKoreaPopscale,"")</f>
        <v>1989.4851126039287</v>
      </c>
      <c r="BJ94" s="126">
        <f ca="1">IF(AND(ISNUMBER(tblData[SKorea]),tblData[Dates]&gt;StartDt2SKorea),(tblData[SKorea]-AVERAGE(tblData[SKorea]))^2,"")</f>
        <v>22464068.374086894</v>
      </c>
      <c r="BK94" s="11">
        <f>tblData[[#This Row],[Dates]]-SKorea100dt+1</f>
        <v>52</v>
      </c>
      <c r="BL94" s="11">
        <f ca="1">IF(AND(tblData[Dates]&gt;StartDt2UK,ISNUMBER(tblData[Days'# UK])),betaUK/(deltaUK+betaPodeltaUK*EXP(-betaUK*tblData[Days'# UK])),"")</f>
        <v>120586.45361158928</v>
      </c>
      <c r="BM94" s="61">
        <f ca="1">IF(AND(tblData[Dates]&gt;StartDt2UK,ISNUMBER(tblData[United Kingdom])),(tblData[[#This Row],[UK LogiP(t)]]-tblData[[#This Row],[United Kingdom]])^2,"")</f>
        <v>662622434.03760302</v>
      </c>
      <c r="BN94" s="11">
        <f ca="1">IF(ISNUMBER(tblData[Days'# UK]),tblData[[#This Row],[UK LogiP(t)]]/UKPopscale,"")</f>
        <v>18149.676943345767</v>
      </c>
      <c r="BO94" s="126">
        <f ca="1">IF(AND(ISNUMBER(tblData[United Kingdom]),tblData[Dates]&gt;StartDt2UK),(tblData[United Kingdom]-AVERAGE(tblData[United Kingdom]))^2,"")</f>
        <v>3235103253.4903803</v>
      </c>
      <c r="BP94" s="11">
        <f>tblData[[#This Row],[Dates]]-UK100dt</f>
        <v>33</v>
      </c>
      <c r="BQ94" s="11">
        <f ca="1">IF(ISNUMBER(tblData[Days'# China]),betaChina/(deltaChina+betaPodeltaChina*EXP(-betaChina*tblData[Days'# China])),"")</f>
        <v>82125.114288275159</v>
      </c>
      <c r="BR94" s="11">
        <f ca="1">IF(ISNUMBER(tblData[China]),(tblData[[#This Row],[China LogiP(t)]]-tblData[[#This Row],[China]])^2,"")</f>
        <v>1394491.0641558839</v>
      </c>
      <c r="BS94" s="11">
        <f ca="1">tblData[[#This Row],[China LogiP(t)]]/ChinaPopscale</f>
        <v>570.58123861823265</v>
      </c>
      <c r="BT94" s="126">
        <f ca="1">IF(AND(ISNUMBER(tblData[China]),tblData[Dates]&gt;StartDt2China),(tblData[China]-AVERAGE(tblData[China]))^2,"")</f>
        <v>259259249.39792365</v>
      </c>
      <c r="BU94" s="11">
        <f>tblData[[#This Row],[Dates]]-China100dt</f>
        <v>72</v>
      </c>
      <c r="BV94" s="95">
        <f ca="1">IF(ISNUMBER(tblData[Day'# Singapore]),betaSingapore/(deltaSingapore+betaPodeltaSingapore*EXP(-betaSingapore*tblData[Day'# Singapore])),"")</f>
        <v>3293.731105463406</v>
      </c>
      <c r="BW94" s="11">
        <f ca="1">IF(AND(ISNUMBER(tblData[Singapore]),tblData[Dates]&gt;=StartDt2Singapore),(tblData[[#This Row],[Singapore LogiP(t)]]-tblData[[#This Row],[Singapore]])^2,"")</f>
        <v>1741.4851631979172</v>
      </c>
      <c r="BX94" s="20">
        <f ca="1">IF(ISNUMBER(tblData[Day'# Singapore]),tblData[Singapore LogiP(t)]/SingaporePopscale,"")</f>
        <v>5630.3095819887285</v>
      </c>
      <c r="BY94" s="95">
        <f ca="1">IF(AND(ISNUMBER(tblData[Singapore]),tblData[Dates]&gt;StartDt2Singapore),(tblData[Singapore]-AVERAGE(tblData[Singapore]))^2,"")</f>
        <v>867126.13648596662</v>
      </c>
      <c r="BZ94" s="11">
        <f>tblData[[#This Row],[Dates]]-Singapore100dt+1</f>
        <v>61</v>
      </c>
      <c r="CA94" s="11">
        <f>IF(AND(tblData[Dates]&gt;StartDt2Generic,ISNUMBER(tblData[Day'# Generic])),betaGeneric/(deltaGeneric+betaPodeltaGeneric*EXP(-betaGeneric*tblData[Day'# Generic])),"")</f>
        <v>11392.877990208601</v>
      </c>
      <c r="CB94" s="95">
        <f>IF(AND(ISNUMBER(tblData[Generic]),tblData[Dates]&gt;StartDt2Generic),(tblData[Generic LogiP(t)]-tblData[[#This Row],[Generic]])^2,"")</f>
        <v>7417.0005705098683</v>
      </c>
      <c r="CC94" s="11">
        <f>IF(AND(ISNUMBER(tblData[Day'# Generic]),tblData[Dates]&gt;StartDt2Generic),tblData[Generic LogiP(t)]/GenericPopscale,"")</f>
        <v>23250.771408588982</v>
      </c>
      <c r="CD94" s="95">
        <f>IF(AND(ISNUMBER(tblData[Generic]),tblData[Dates]&gt;StartDt2Generic),(tblData[Generic]-AVERAGE(tblData[Generic]))^2,"")</f>
        <v>23478795.703905325</v>
      </c>
      <c r="CE94" s="11">
        <f>tblData[[#This Row],[Dates]]-Generic100dt+1</f>
        <v>33</v>
      </c>
      <c r="CF94" s="11">
        <v>144228</v>
      </c>
      <c r="CG94" s="11"/>
      <c r="CH94" s="11">
        <f>IF(ISNUMBER(tblData[[#This Row],[Tests]]),tblData[[#This Row],[Tests]]-CF93,"")</f>
        <v>1289</v>
      </c>
      <c r="CI94" s="11" t="str">
        <f>IF(ISNUMBER(tblData[[#This Row],[NSW Under Investigation'']]),tblData[[#This Row],[NSW Under Investigation'']]-CG93,"")</f>
        <v/>
      </c>
      <c r="CJ94" s="11">
        <f t="shared" si="2"/>
        <v>40</v>
      </c>
      <c r="CK94" s="11">
        <f>IF(AND(tblData[[#This Row],[NSW Test Day Number]]&gt;0,ISNUMBER(tblData[[#This Row],[NSW Test Day Number]])),betaTests/(deltaTests+betaPodeltaTests*EXP(-betaTests*tblData[[#This Row],[NSW Test Day Number]])),"")</f>
        <v>166840.25203979347</v>
      </c>
      <c r="CL94" s="11">
        <f>IF(tblData[Tests]&gt;0,(tblData[[#This Row],[Tests]]-tblData[[#This Row],[NSW Test Logi]])^2,"")</f>
        <v>511313942.31114399</v>
      </c>
      <c r="CM94" s="95">
        <f>IF(AND(ISNUMBER(tblData[Tests]),tblData[Dates]&gt;StartDt2Tests),(tblData[Tests]-AVERAGE(tblData[Tests]))^2,"")</f>
        <v>1449412655.9046247</v>
      </c>
      <c r="CN94" s="11">
        <f>IF(ISNUMBER(tblData[Tests]),tblData[Tests]/NSWpopscale/100,"")</f>
        <v>1785</v>
      </c>
      <c r="CO94" s="95">
        <f ca="1">IF(AND(tblData[[#This Row],[NSW Test Day Number]]&gt;0,ISNUMBER(tblData[[#This Row],[NSW Test Day Number]])),TestsLogestB*TestsLogestM^tblData[[#This Row],[NSW Test Day Number]],"")</f>
        <v>136415.32657197813</v>
      </c>
      <c r="CP94" s="11">
        <f>IF(AND(tblData[[#This Row],[NSW Test Day Number]]&gt;0,ISNUMBER(tblData[Tests])),(tblData[Tests]-tblData[[#This Row],[NSW Test Per Capita]])^2,"")</f>
        <v>20290008249</v>
      </c>
      <c r="CQ94" s="20">
        <f ca="1">IF(AND(tblData[Day '# NSW]&gt;0,ISNUMBER(tblData[[#This Row],[Day '# NSW]])),NSWLogestB*NSWLogestM^tblData[[#This Row],[Day '# NSW]]/NSWpopscale,"")</f>
        <v>3111.6369593150598</v>
      </c>
      <c r="CR94" s="39">
        <f ca="1">IF(AND(ISNUMBER(tblData[NSW]),tblData[Dates]&gt;StartDt2NSW),(tblData[NSW]/NSWpopscale-tblData[[#This Row],[NSW Cases LogEst]])^2,"")</f>
        <v>193902.16787298131</v>
      </c>
      <c r="CS94" s="11">
        <v>393</v>
      </c>
      <c r="CT94" s="19">
        <f>IF(ISNUMBER(tblData[Taiwan]),tblData[Taiwan]/TaiwanPopscale,"")</f>
        <v>165.07554285281284</v>
      </c>
      <c r="CU94" s="11">
        <f ca="1">IF(tblData[[#This Row],[Dates]]&lt;StartDt2Taiwan,"",tblData[[#This Row],[Dates]]-TaiwanStart)</f>
        <v>83</v>
      </c>
      <c r="CV94" s="19">
        <f ca="1">IF(AND(tblData[Dates]&gt;StartDt2Taiwan,ISNUMBER(tblData[Days'# Taiwan])),betaTaiwan/(deltaTaiwan+betaPodeltaTaiwan*EXP(-betaTaiwan*tblData[Days'# Taiwan])),"")</f>
        <v>406.69267058050741</v>
      </c>
      <c r="CW94" s="95">
        <f ca="1">IF(AND(tblData[Dates]&gt;StartDt2Taiwan,ISNUMBER(tblData[Taiwan])),(tblData[[#This Row],[Taiwan LogiP(t)]]-tblData[[#This Row],[Taiwan]])^2,"")</f>
        <v>187.48922762629314</v>
      </c>
      <c r="CX94" s="20">
        <f ca="1">IF(AND(tblData[Dates]&gt;StartDt2Taiwan,ISNUMBER(tblData[Days'# Taiwan])),tblData[[#This Row],[Taiwan LogiP(t)]]/TaiwanPopscale,"")</f>
        <v>170.82700603139301</v>
      </c>
      <c r="CY94" s="95">
        <f ca="1">IF(AND(ISNUMBER(tblData[Taiwan]),tblData[Dates]&gt;StartDt2Taiwan),(tblData[Taiwan]-AVERAGE(tblData[Taiwan]))^2,"")</f>
        <v>49930.340638216068</v>
      </c>
      <c r="CZ94" s="11">
        <f>tblData[[#This Row],[Dates]]-Taiwan100dt+1</f>
        <v>20</v>
      </c>
      <c r="DA94" s="11">
        <v>1366</v>
      </c>
      <c r="DB94" s="20">
        <f>IF(ISNUMBER(tblData[NZ]),tblData[NZ]/NZPopscale,"")</f>
        <v>2611.8546845124283</v>
      </c>
      <c r="DC94" s="11">
        <f ca="1">IF(tblData[[#This Row],[Dates]]&lt;StartDt2NZ,"",tblData[[#This Row],[Dates]]-NZStart)</f>
        <v>46</v>
      </c>
      <c r="DD94" s="20">
        <f ca="1">IF(AND(tblData[Dates]&gt;StartDt2NZ,ISNUMBER(tblData[Days'# NZ])),betaNZ/(deltaNZ+betaPodeltaNZ*EXP(-betaNZ*tblData[Days'# NZ])),"")</f>
        <v>1390.6805882073099</v>
      </c>
      <c r="DE94" s="95">
        <f ca="1">IF(AND(tblData[Dates]&gt;StartDt2NZ,ISNUMBER(tblData[NZ])),(tblData[[#This Row],[NZ LogiP(t)]]-tblData[[#This Row],[NZ]])^2,"")</f>
        <v>609.13143425880639</v>
      </c>
      <c r="DF94" s="20">
        <f ca="1">IF(AND(tblData[Dates]&gt;StartDt2NZ,ISNUMBER(tblData[Days'# NZ])),tblData[[#This Row],[NZ LogiP(t)]]/NZPopscale,"")</f>
        <v>2659.0451017348182</v>
      </c>
      <c r="DG94" s="95">
        <f ca="1">IF(AND(ISNUMBER(tblData[NZ]),tblData[Dates]&gt;StartDt2NZ),(tblData[NZ]-AVERAGE(tblData[NZ]))^2,"")</f>
        <v>458411.06427915511</v>
      </c>
      <c r="DH94" s="11">
        <f>tblData[[#This Row],[Dates]]-NZ100dt+1</f>
        <v>24</v>
      </c>
      <c r="DI94" s="39"/>
      <c r="DJ94" s="11"/>
      <c r="DM94" s="25"/>
      <c r="DP94"/>
      <c r="DV94" s="25"/>
      <c r="DW94"/>
      <c r="EA94" s="25"/>
      <c r="EH94"/>
      <c r="EI94"/>
      <c r="EJ94"/>
      <c r="EK94"/>
      <c r="EL94" s="25"/>
      <c r="EM94" s="25"/>
      <c r="EQ94" s="25"/>
      <c r="ER94" s="25"/>
      <c r="ES94" s="25"/>
      <c r="ET94" s="25"/>
      <c r="FF94"/>
      <c r="FG94"/>
      <c r="FH94"/>
      <c r="FI94"/>
      <c r="FJ94"/>
      <c r="FK94"/>
      <c r="FL94"/>
      <c r="FO94" s="265" t="s">
        <v>153</v>
      </c>
      <c r="FP94" s="250">
        <v>43923.543275462966</v>
      </c>
      <c r="FQ94" s="156">
        <v>43855</v>
      </c>
      <c r="FR94" s="26">
        <v>43855</v>
      </c>
      <c r="FS94" s="211">
        <v>1</v>
      </c>
      <c r="FT94" s="72">
        <v>0.23780005535110346</v>
      </c>
      <c r="FU94" s="74">
        <v>7.9259816751663258E-5</v>
      </c>
      <c r="FV94" s="21">
        <v>1E-3</v>
      </c>
      <c r="FW94" s="212">
        <v>3000.259969010252</v>
      </c>
      <c r="FX94" s="214">
        <v>22.641288157537449</v>
      </c>
      <c r="FY94" s="214"/>
      <c r="FZ94" s="213">
        <v>237.79997609128671</v>
      </c>
      <c r="GA94" s="213">
        <v>7.9259816751663256E-2</v>
      </c>
      <c r="GB94" s="156">
        <v>43923</v>
      </c>
      <c r="GC94" s="26" t="s">
        <v>1583</v>
      </c>
      <c r="GD94" s="214">
        <v>3000.259969010252</v>
      </c>
      <c r="GE94" s="214">
        <v>2298</v>
      </c>
      <c r="GF94" s="62" t="s">
        <v>1400</v>
      </c>
      <c r="GG94" s="156">
        <v>43923</v>
      </c>
      <c r="GH94" s="25">
        <v>69</v>
      </c>
      <c r="GI94" s="25" t="s">
        <v>1584</v>
      </c>
      <c r="GJ94" s="62"/>
      <c r="GK94" s="62" t="s">
        <v>1585</v>
      </c>
      <c r="GM94" s="25" t="s">
        <v>1586</v>
      </c>
      <c r="GN94" s="20">
        <v>2844.0594059405939</v>
      </c>
      <c r="GO94" s="156"/>
      <c r="GP94" s="218"/>
      <c r="GQ94" s="156"/>
      <c r="GR94" s="25"/>
      <c r="GS94" s="25" t="s">
        <v>1582</v>
      </c>
      <c r="GT94" s="11"/>
      <c r="GU94" s="12"/>
      <c r="GV94" s="26"/>
      <c r="GW94" s="25"/>
      <c r="GX94" s="219"/>
      <c r="GY94" s="25"/>
      <c r="GZ94" s="25"/>
      <c r="HA94" s="25"/>
      <c r="HB94" s="25"/>
      <c r="HC94" s="25"/>
      <c r="HD94" s="25"/>
      <c r="HE94" s="25"/>
      <c r="HF94" s="25"/>
      <c r="HG94" s="25"/>
      <c r="HH94" s="25"/>
      <c r="HI94" s="25"/>
      <c r="HJ94" s="25"/>
      <c r="HW94" s="25"/>
      <c r="HX94" s="25"/>
      <c r="HY94" s="25"/>
      <c r="HZ94" s="25"/>
      <c r="IA94" s="25"/>
      <c r="IB94" s="25"/>
      <c r="IC94" s="25"/>
      <c r="ID94" s="25"/>
    </row>
    <row r="95" spans="2:238" x14ac:dyDescent="0.25">
      <c r="B95" s="26">
        <v>43936</v>
      </c>
      <c r="D95" s="25">
        <v>103</v>
      </c>
      <c r="E95">
        <v>2886</v>
      </c>
      <c r="F95">
        <v>28</v>
      </c>
      <c r="G95">
        <v>999</v>
      </c>
      <c r="H95">
        <v>433</v>
      </c>
      <c r="I95" s="25">
        <v>180</v>
      </c>
      <c r="J95">
        <v>1299</v>
      </c>
      <c r="K95">
        <v>527</v>
      </c>
      <c r="L95" s="11">
        <f>IF(ISNUMBER(tblData[[#This Row],[NSW]]),tblData[[#This Row],[New South Wales]]/NSWpopscale,"")</f>
        <v>3571.7821782178216</v>
      </c>
      <c r="M95" s="25">
        <v>165155</v>
      </c>
      <c r="N95" s="20">
        <f>IF(ISNUMBER(tblData[Italy]),tblData[Italy]/ItalyPopscale,"")</f>
        <v>27305.116971149873</v>
      </c>
      <c r="O95" s="25">
        <v>636350</v>
      </c>
      <c r="P95" s="20">
        <f>IF(ISNUMBER(tblData[US]),tblData[US]/USPopscale,"")</f>
        <v>19328.565339082936</v>
      </c>
      <c r="Q95" s="11">
        <v>10591</v>
      </c>
      <c r="R95" s="20">
        <f>IF(ISNUMBER(tblData[SKorea]),tblData[SKorea]/SKoreaPopscale,"")</f>
        <v>2060.5058365758755</v>
      </c>
      <c r="S95">
        <v>99483</v>
      </c>
      <c r="T95" s="20">
        <f>IF(ISNUMBER(tblData[United Kingdom]),tblData[United Kingdom]/UKPopscale,"")</f>
        <v>14973.359422034919</v>
      </c>
      <c r="U95">
        <v>83356</v>
      </c>
      <c r="V95" s="20">
        <f>IF(ISNUMBER(tblData[China]),tblData[China]/ChinaPopscale,"")</f>
        <v>579.13307200172312</v>
      </c>
      <c r="W95" s="25">
        <f ca="1">IF(tblData[[#This Row],[Dates]]&lt;StartDt2China,"",tblData[[#This Row],[Dates]]-ChinaStart)</f>
        <v>84</v>
      </c>
      <c r="X95" s="20">
        <v>3699</v>
      </c>
      <c r="Y95" s="11">
        <f>IF(ISNUMBER(tblData[Singapore]),tblData[Singapore]/SingaporePopscale,"")</f>
        <v>6323.0769230769238</v>
      </c>
      <c r="Z95">
        <v>12547</v>
      </c>
      <c r="AA95" s="11">
        <f>IF(AND(LEN(tblData[Generic])&gt;0,ISNUMBER(tblData[Generic])),tblData[Generic]/GenericPopscale,"")</f>
        <v>25606.122448979593</v>
      </c>
      <c r="AB95" s="25">
        <f ca="1">IF(tblData[[#This Row],[Dates]]&lt;StartDt2Italy,"",tblData[[#This Row],[Dates]]-ItalyStart)</f>
        <v>76</v>
      </c>
      <c r="AC95" s="25">
        <f ca="1">IF(tblData[[#This Row],[Dates]]&lt;=StartDt2US,"",tblData[[#This Row],[Dates]]-USStart)</f>
        <v>84</v>
      </c>
      <c r="AD95" s="25">
        <f>IF(tblData[[#This Row],[Dates]]&lt;=SKoreaStart,"",tblData[[#This Row],[Dates]]-SKoreaStart)</f>
        <v>84</v>
      </c>
      <c r="AE95" s="25">
        <f ca="1">IF(tblData[[#This Row],[Dates]]&lt;=StartDt2UK,"",tblData[[#This Row],[Dates]]-UKStart)</f>
        <v>76</v>
      </c>
      <c r="AF95" s="25">
        <f ca="1">IF(tblData[[#This Row],[Dates]]&lt;StartDt2Singapore,"",tblData[[#This Row],[Dates]]-SingaporeStart)</f>
        <v>83</v>
      </c>
      <c r="AG95" s="25">
        <f>IF(tblData[[#This Row],[Dates]]&lt;StartDt2Generic,"",tblData[[#This Row],[Dates]]-GenericStart)</f>
        <v>46</v>
      </c>
      <c r="AH95">
        <f ca="1">IF(tblData[Dates]&gt;StartDt2Au,tblData[Dates]-AuStart,"")</f>
        <v>81</v>
      </c>
      <c r="AI95" s="25">
        <f>IF(AND(COUNTBLANK(tblData[[#This Row],[Australian Capital Territory]:[Western Australia]])&lt;1,tblData[New South Wales]&gt;=0),SUM(tblData[[#This Row],[Australian Capital Territory]:[Western Australia]]),"")</f>
        <v>6455</v>
      </c>
      <c r="AJ95" s="12">
        <f>IF(ISNUMBER(tblData[Au]),tblData[Au]/AuPopScale,"")</f>
        <v>2544.9455921778899</v>
      </c>
      <c r="AK95" s="11">
        <f ca="1">IF(ISNUMBER(tblData[[#This Row],[Day'# Aust]]),betaAu/(deltaAu+betaPodeltaAu*EXP(-betaAu*tblData[[#This Row],[Day'# Aust]])),"")</f>
        <v>6541.3525119675296</v>
      </c>
      <c r="AL95" s="56">
        <f ca="1">IF(ISNUMBER(tblData[Day'# Aust]),tblData[Au LogiP(t)]/AuPopScale,"")</f>
        <v>2578.9908973220035</v>
      </c>
      <c r="AM95" s="11">
        <f ca="1">IF(AND(tblData[Dates]&gt;StartDt2Au,ISNUMBER(tblData[Au])),(tblData[[#This Row],[Au LogiP(t)]]-tblData[[#This Row],[Au]])^2,"")</f>
        <v>7456.7563231023441</v>
      </c>
      <c r="AN95" s="11">
        <f ca="1">IF(AND(ISNUMBER(tblData[Au]),tblData[Dates]&gt;StartDt2Au),(tblData[Au]-AVERAGE(tblData[Au]))^2,"")</f>
        <v>16049558.316100001</v>
      </c>
      <c r="AO95" s="11">
        <f>tblData[[#This Row],[Dates]]-Au100dt</f>
        <v>31</v>
      </c>
      <c r="AP95">
        <f ca="1">IF(tblData[Dates]&gt;StartDt2NSW,tblData[Dates]-StartDt2NSW,"")</f>
        <v>81</v>
      </c>
      <c r="AQ95" s="25">
        <f>IF(tblData[[#This Row],[New South Wales]]&gt;0,tblData[[#This Row],[New South Wales]],"")</f>
        <v>2886</v>
      </c>
      <c r="AR95" s="11">
        <f ca="1">IF(tblData[Dates]&gt;StartDt2NSW,betaNSW/(deltaNSW+betaPodeltaNSW*EXP(-betaNSW*tblData[[#This Row],[Day '# NSW]])),"")</f>
        <v>2933.1286294376091</v>
      </c>
      <c r="AS95" s="12">
        <f ca="1">IF(AND(ISNUMBER(tblData[NSW]),tblData[Dates]&gt;StartDt2NSW),(tblData[[#This Row],[NSW LogiP(t)]]-tblData[[#This Row],[NSW]])^2,"")</f>
        <v>2221.1077126674754</v>
      </c>
      <c r="AT95" s="39">
        <f ca="1">IF(AND(tblData[Dates]&gt;StartDt2NSW,ISNUMBER(tblData[Day'# Aust])),tblData[NSW LogiP(t)]/NSWpopscale,"")</f>
        <v>3630.1096898980309</v>
      </c>
      <c r="AU95" s="11">
        <f>tblData[[#This Row],[Dates]]-NSW100dt+1</f>
        <v>34</v>
      </c>
      <c r="AV95" s="11">
        <f ca="1">IF(AND(ISNUMBER(tblData[NSW]),tblData[Dates]&gt;StartDt2NSW),(tblData[NSW]-AVERAGE(tblData[NSW]))^2,"")</f>
        <v>3210332.2275999999</v>
      </c>
      <c r="AW95" s="11">
        <f ca="1">IF(AND(tblData[Dates]&gt;StartDt2Italy,ISNUMBER(tblData[Days'# Italy])),betaItaly/(deltaItaly+betaPodeltaItaly*EXP(-betaItaly*tblData[Days'# Italy])),"")</f>
        <v>161126.78997082281</v>
      </c>
      <c r="AX95" s="11">
        <f ca="1">IF(AND(tblData[Dates]&gt;StartDt2Italy,ISNUMBER(tblData[Italy])),(tblData[[#This Row],[Italy LogiP(t)]]-tblData[[#This Row],[Italy]])^2,"")</f>
        <v>16226476.039163722</v>
      </c>
      <c r="AY95" s="11">
        <f ca="1">IF(AND(tblData[Dates]&gt;StartDt2Italy,ISNUMBER(tblData[Days'# Italy])),tblData[[#This Row],[Italy LogiP(t)]]/ItalyPopscale,"")</f>
        <v>26639.132011378493</v>
      </c>
      <c r="AZ95" s="39">
        <f ca="1">IF(AND(ISNUMBER(tblData[Italy]),tblData[Dates]&gt;StartDt2Italy),(tblData[Italy]-AVERAGE(tblData[Italy]))^2,"")</f>
        <v>9102379943.0059986</v>
      </c>
      <c r="BA95" s="11">
        <f>tblData[[#This Row],[Dates]]-Italy100dt+1</f>
        <v>49</v>
      </c>
      <c r="BB95" s="11">
        <f ca="1">IF(AND(tblData[Dates]&gt;StartDt2US,ISNUMBER(tblData[[#This Row],[Days'# US]])),betaUS/(deltaUS+betaPodeltaUS*EXP(-betaUS*tblData[Days'# US])),"")</f>
        <v>785015.5696310217</v>
      </c>
      <c r="BC95" s="11">
        <f ca="1">IF(AND(tblData[Dates]&gt;StartDt2US,ISNUMBER(tblData[US])),(tblData[[#This Row],[US LogiP(t)]]-tblData[US])^2,"")</f>
        <v>22101451593.716164</v>
      </c>
      <c r="BD95" s="20">
        <f ca="1">IF(AND(tblData[Dates]&gt;=StartDt2US,ISNUMBER(tblData[[#This Row],[Days'# US]])),tblData[[#This Row],[US LogiP(t)]]/USPopscale,"")</f>
        <v>23844.149807198261</v>
      </c>
      <c r="BE95" s="126">
        <f ca="1">IF(AND(ISNUMBER(tblData[US]),tblData[Dates]&gt;StartDt2US),(tblData[US]-AVERAGE(tblData[US]))^2,"")</f>
        <v>170079331488.76596</v>
      </c>
      <c r="BF95" s="11">
        <f>tblData[[#This Row],[Dates]]-US100dt+1</f>
        <v>32</v>
      </c>
      <c r="BG95" s="20">
        <f ca="1">IF(tblData[Dates]&gt;StartDt2SKorea,betaSKorea/(deltaSKorea+betaPodeltaSKorea*EXP(-betaSKorea*(tblData[Dates]-StartDt2SKorea))),"")</f>
        <v>10227.291340584641</v>
      </c>
      <c r="BH95" s="20">
        <f ca="1">IF(AND(tblData[Dates]&gt;StartDt2SKorea,ISNUMBER(tblData[SKorea])),(tblData[[#This Row],[SKorea LogiP(t)]]-tblData[[#This Row],[SKorea]])^2,"")</f>
        <v>132283.98893371751</v>
      </c>
      <c r="BI95" s="20">
        <f ca="1">IF(tblData[Dates]&gt;StartDt2SKorea,tblData[[#This Row],[SKorea LogiP(t)]]/SKoreaPopscale,"")</f>
        <v>1989.745397000903</v>
      </c>
      <c r="BJ95" s="126">
        <f ca="1">IF(AND(ISNUMBER(tblData[SKorea]),tblData[Dates]&gt;StartDt2SKorea),(tblData[SKorea]-AVERAGE(tblData[SKorea]))^2,"")</f>
        <v>22720737.256439835</v>
      </c>
      <c r="BK95" s="11">
        <f>tblData[[#This Row],[Dates]]-SKorea100dt+1</f>
        <v>53</v>
      </c>
      <c r="BL95" s="11">
        <f ca="1">IF(AND(tblData[Dates]&gt;StartDt2UK,ISNUMBER(tblData[Days'# UK])),betaUK/(deltaUK+betaPodeltaUK*EXP(-betaUK*tblData[Days'# UK])),"")</f>
        <v>124303.55513886397</v>
      </c>
      <c r="BM95" s="61">
        <f ca="1">IF(AND(tblData[Dates]&gt;StartDt2UK,ISNUMBER(tblData[United Kingdom])),(tblData[[#This Row],[UK LogiP(t)]]-tblData[[#This Row],[United Kingdom]])^2,"")</f>
        <v>616059957.40138674</v>
      </c>
      <c r="BN95" s="11">
        <f ca="1">IF(ISNUMBER(tblData[Days'# UK]),tblData[[#This Row],[UK LogiP(t)]]/UKPopscale,"")</f>
        <v>18709.144361659237</v>
      </c>
      <c r="BO95" s="126">
        <f ca="1">IF(AND(ISNUMBER(tblData[United Kingdom]),tblData[Dates]&gt;StartDt2UK),(tblData[United Kingdom]-AVERAGE(tblData[United Kingdom]))^2,"")</f>
        <v>3784214329.4478269</v>
      </c>
      <c r="BP95" s="11">
        <f>tblData[[#This Row],[Dates]]-UK100dt</f>
        <v>34</v>
      </c>
      <c r="BQ95" s="11">
        <f ca="1">IF(ISNUMBER(tblData[Days'# China]),betaChina/(deltaChina+betaPodeltaChina*EXP(-betaChina*tblData[Days'# China])),"")</f>
        <v>82125.123452126631</v>
      </c>
      <c r="BR95" s="11">
        <f ca="1">IF(ISNUMBER(tblData[China]),(tblData[[#This Row],[China LogiP(t)]]-tblData[[#This Row],[China]])^2,"")</f>
        <v>1515057.0761046631</v>
      </c>
      <c r="BS95" s="11">
        <f ca="1">tblData[[#This Row],[China LogiP(t)]]/ChinaPopscale</f>
        <v>570.5813022859885</v>
      </c>
      <c r="BT95" s="126">
        <f ca="1">IF(AND(ISNUMBER(tblData[China]),tblData[Dates]&gt;StartDt2China),(tblData[China]-AVERAGE(tblData[China]))^2,"")</f>
        <v>260871902.33910012</v>
      </c>
      <c r="BU95" s="11">
        <f>tblData[[#This Row],[Dates]]-China100dt</f>
        <v>73</v>
      </c>
      <c r="BV95" s="95">
        <f ca="1">IF(ISNUMBER(tblData[Day'# Singapore]),betaSingapore/(deltaSingapore+betaPodeltaSingapore*EXP(-betaSingapore*tblData[Day'# Singapore])),"")</f>
        <v>3688.7647529540313</v>
      </c>
      <c r="BW95" s="11">
        <f ca="1">IF(AND(ISNUMBER(tblData[Singapore]),tblData[Dates]&gt;=StartDt2Singapore),(tblData[[#This Row],[Singapore LogiP(t)]]-tblData[[#This Row],[Singapore]])^2,"")</f>
        <v>104.76028209201024</v>
      </c>
      <c r="BX95" s="20">
        <f ca="1">IF(ISNUMBER(tblData[Day'# Singapore]),tblData[Singapore LogiP(t)]/SingaporePopscale,"")</f>
        <v>6305.5807742803954</v>
      </c>
      <c r="BY95" s="95">
        <f ca="1">IF(AND(ISNUMBER(tblData[Singapore]),tblData[Dates]&gt;StartDt2Singapore),(tblData[Singapore]-AVERAGE(tblData[Singapore]))^2,"")</f>
        <v>1899424.4306036136</v>
      </c>
      <c r="BZ95" s="11">
        <f>tblData[[#This Row],[Dates]]-Singapore100dt+1</f>
        <v>62</v>
      </c>
      <c r="CA95" s="11">
        <f>IF(AND(tblData[Dates]&gt;StartDt2Generic,ISNUMBER(tblData[Day'# Generic])),betaGeneric/(deltaGeneric+betaPodeltaGeneric*EXP(-betaGeneric*tblData[Day'# Generic])),"")</f>
        <v>12209.904714642436</v>
      </c>
      <c r="CB95" s="95">
        <f>IF(AND(ISNUMBER(tblData[Generic]),tblData[Dates]&gt;StartDt2Generic),(tblData[Generic LogiP(t)]-tblData[[#This Row],[Generic]])^2,"")</f>
        <v>113633.23141029725</v>
      </c>
      <c r="CC95" s="11">
        <f>IF(AND(ISNUMBER(tblData[Day'# Generic]),tblData[Dates]&gt;StartDt2Generic),tblData[Generic LogiP(t)]/GenericPopscale,"")</f>
        <v>24918.172887025379</v>
      </c>
      <c r="CD95" s="95">
        <f>IF(AND(ISNUMBER(tblData[Generic]),tblData[Dates]&gt;StartDt2Generic),(tblData[Generic]-AVERAGE(tblData[Generic]))^2,"")</f>
        <v>34969391.273136094</v>
      </c>
      <c r="CE95" s="11">
        <f>tblData[[#This Row],[Dates]]-Generic100dt+1</f>
        <v>34</v>
      </c>
      <c r="CF95" s="11">
        <v>147417</v>
      </c>
      <c r="CG95" s="11"/>
      <c r="CH95" s="11">
        <f>IF(ISNUMBER(tblData[[#This Row],[Tests]]),tblData[[#This Row],[Tests]]-CF94,"")</f>
        <v>3189</v>
      </c>
      <c r="CI95" s="11" t="str">
        <f>IF(ISNUMBER(tblData[[#This Row],[NSW Under Investigation'']]),tblData[[#This Row],[NSW Under Investigation'']]-CG94,"")</f>
        <v/>
      </c>
      <c r="CJ95" s="11">
        <f t="shared" si="2"/>
        <v>41</v>
      </c>
      <c r="CK95" s="11">
        <f>IF(AND(tblData[[#This Row],[NSW Test Day Number]]&gt;0,ISNUMBER(tblData[[#This Row],[NSW Test Day Number]])),betaTests/(deltaTests+betaPodeltaTests*EXP(-betaTests*tblData[[#This Row],[NSW Test Day Number]])),"")</f>
        <v>167736.05191852746</v>
      </c>
      <c r="CL95" s="11">
        <f>IF(tblData[Tests]&gt;0,(tblData[[#This Row],[Tests]]-tblData[[#This Row],[NSW Test Logi]])^2,"")</f>
        <v>412863870.86781448</v>
      </c>
      <c r="CM95" s="95">
        <f>IF(AND(ISNUMBER(tblData[Tests]),tblData[Dates]&gt;StartDt2Tests),(tblData[Tests]-AVERAGE(tblData[Tests]))^2,"")</f>
        <v>1702400187.8198788</v>
      </c>
      <c r="CN95" s="11">
        <f>IF(ISNUMBER(tblData[Tests]),tblData[Tests]/NSWpopscale/100,"")</f>
        <v>1824.4678217821781</v>
      </c>
      <c r="CO95" s="95">
        <f ca="1">IF(AND(tblData[[#This Row],[NSW Test Day Number]]&gt;0,ISNUMBER(tblData[[#This Row],[NSW Test Day Number]])),TestsLogestB*TestsLogestM^tblData[[#This Row],[NSW Test Day Number]],"")</f>
        <v>144601.80603688781</v>
      </c>
      <c r="CP95" s="11">
        <f>IF(AND(tblData[[#This Row],[NSW Test Day Number]]&gt;0,ISNUMBER(tblData[Tests])),(tblData[Tests]-tblData[[#This Row],[NSW Test Per Capita]])^2,"")</f>
        <v>21197185426.065395</v>
      </c>
      <c r="CQ95" s="20">
        <f ca="1">IF(AND(tblData[Day '# NSW]&gt;0,ISNUMBER(tblData[[#This Row],[Day '# NSW]])),NSWLogestB*NSWLogestM^tblData[[#This Row],[Day '# NSW]]/NSWpopscale,"")</f>
        <v>3425.7742357997504</v>
      </c>
      <c r="CR95" s="39">
        <f ca="1">IF(AND(ISNUMBER(tblData[NSW]),tblData[Dates]&gt;StartDt2NSW),(tblData[NSW]/NSWpopscale-tblData[[#This Row],[NSW Cases LogEst]])^2,"")</f>
        <v>21318.319249158809</v>
      </c>
      <c r="CS95" s="11">
        <v>395</v>
      </c>
      <c r="CT95" s="19">
        <f>IF(ISNUMBER(tblData[Taiwan]),tblData[Taiwan]/TaiwanPopscale,"")</f>
        <v>165.91562195130044</v>
      </c>
      <c r="CU95" s="11">
        <f ca="1">IF(tblData[[#This Row],[Dates]]&lt;StartDt2Taiwan,"",tblData[[#This Row],[Dates]]-TaiwanStart)</f>
        <v>84</v>
      </c>
      <c r="CV95" s="19">
        <f ca="1">IF(AND(tblData[Dates]&gt;StartDt2Taiwan,ISNUMBER(tblData[Days'# Taiwan])),betaTaiwan/(deltaTaiwan+betaPodeltaTaiwan*EXP(-betaTaiwan*tblData[Days'# Taiwan])),"")</f>
        <v>409.26551691383611</v>
      </c>
      <c r="CW95" s="95">
        <f ca="1">IF(AND(tblData[Dates]&gt;StartDt2Taiwan,ISNUMBER(tblData[Taiwan])),(tblData[[#This Row],[Taiwan LogiP(t)]]-tblData[[#This Row],[Taiwan]])^2,"")</f>
        <v>203.50497281894411</v>
      </c>
      <c r="CX95" s="20">
        <f ca="1">IF(AND(tblData[Dates]&gt;StartDt2Taiwan,ISNUMBER(tblData[Days'# Taiwan])),tblData[[#This Row],[Taiwan LogiP(t)]]/TaiwanPopscale,"")</f>
        <v>171.90770324551795</v>
      </c>
      <c r="CY95" s="95">
        <f ca="1">IF(AND(ISNUMBER(tblData[Taiwan]),tblData[Dates]&gt;StartDt2Taiwan),(tblData[Taiwan]-AVERAGE(tblData[Taiwan]))^2,"")</f>
        <v>50828.144559784691</v>
      </c>
      <c r="CZ95" s="11">
        <f>tblData[[#This Row],[Dates]]-Taiwan100dt+1</f>
        <v>21</v>
      </c>
      <c r="DA95" s="11">
        <v>1386</v>
      </c>
      <c r="DB95" s="20">
        <f>IF(ISNUMBER(tblData[NZ]),tblData[NZ]/NZPopscale,"")</f>
        <v>2650.0956022944551</v>
      </c>
      <c r="DC95" s="11">
        <f ca="1">IF(tblData[[#This Row],[Dates]]&lt;StartDt2NZ,"",tblData[[#This Row],[Dates]]-NZStart)</f>
        <v>47</v>
      </c>
      <c r="DD95" s="20">
        <f ca="1">IF(AND(tblData[Dates]&gt;StartDt2NZ,ISNUMBER(tblData[Days'# NZ])),betaNZ/(deltaNZ+betaPodeltaNZ*EXP(-betaNZ*tblData[Days'# NZ])),"")</f>
        <v>1404.7525023157898</v>
      </c>
      <c r="DE95" s="95">
        <f ca="1">IF(AND(tblData[Dates]&gt;StartDt2NZ,ISNUMBER(tblData[NZ])),(tblData[[#This Row],[NZ LogiP(t)]]-tblData[[#This Row],[NZ]])^2,"")</f>
        <v>351.65634310370172</v>
      </c>
      <c r="DF95" s="20">
        <f ca="1">IF(AND(tblData[Dates]&gt;StartDt2NZ,ISNUMBER(tblData[Days'# NZ])),tblData[[#This Row],[NZ LogiP(t)]]/NZPopscale,"")</f>
        <v>2685.9512472577244</v>
      </c>
      <c r="DG95" s="95">
        <f ca="1">IF(AND(ISNUMBER(tblData[NZ]),tblData[Dates]&gt;StartDt2NZ),(tblData[NZ]-AVERAGE(tblData[NZ]))^2,"")</f>
        <v>485893.48852157936</v>
      </c>
      <c r="DH95" s="11">
        <f>tblData[[#This Row],[Dates]]-NZ100dt+1</f>
        <v>25</v>
      </c>
      <c r="DI95" s="39"/>
      <c r="DJ95" s="11"/>
      <c r="DM95" s="25"/>
      <c r="DP95"/>
      <c r="DV95" s="25"/>
      <c r="DW95"/>
      <c r="EA95" s="25"/>
      <c r="EH95"/>
      <c r="EI95"/>
      <c r="EJ95"/>
      <c r="EK95"/>
      <c r="EL95" s="25"/>
      <c r="EM95" s="25"/>
      <c r="EQ95" s="25"/>
      <c r="ER95" s="25"/>
      <c r="ES95" s="25"/>
      <c r="ET95" s="25"/>
      <c r="FF95"/>
      <c r="FG95"/>
      <c r="FH95"/>
      <c r="FI95"/>
      <c r="FJ95"/>
      <c r="FK95"/>
      <c r="FL95"/>
      <c r="FO95" s="265" t="s">
        <v>153</v>
      </c>
      <c r="FP95" s="250">
        <v>43923.637233796297</v>
      </c>
      <c r="FQ95" s="156">
        <v>43855</v>
      </c>
      <c r="FR95" s="26">
        <v>43855</v>
      </c>
      <c r="FS95" s="211">
        <v>1</v>
      </c>
      <c r="FT95" s="72">
        <v>0.23780005535110346</v>
      </c>
      <c r="FU95" s="74">
        <v>7.9259816751663258E-5</v>
      </c>
      <c r="FV95" s="21">
        <v>1E-3</v>
      </c>
      <c r="FW95" s="212">
        <v>3000.259969010252</v>
      </c>
      <c r="FX95" s="214">
        <v>22.641288157537449</v>
      </c>
      <c r="FY95" s="212">
        <v>0.99856695378234495</v>
      </c>
      <c r="FZ95" s="213">
        <v>237.79997609128671</v>
      </c>
      <c r="GA95" s="213">
        <v>7.9259816751663256E-2</v>
      </c>
      <c r="GB95" s="245">
        <v>43923</v>
      </c>
      <c r="GC95" s="25" t="s">
        <v>1583</v>
      </c>
      <c r="GD95" s="214">
        <v>3000.259969010252</v>
      </c>
      <c r="GE95" s="214">
        <v>2298</v>
      </c>
      <c r="GF95" s="25" t="s">
        <v>1400</v>
      </c>
      <c r="GG95" s="156">
        <v>43923</v>
      </c>
      <c r="GH95" s="25">
        <v>69</v>
      </c>
      <c r="GI95" s="62" t="s">
        <v>1604</v>
      </c>
      <c r="GJ95" s="62"/>
      <c r="GK95" s="25" t="s">
        <v>1585</v>
      </c>
      <c r="GM95" s="25" t="s">
        <v>1605</v>
      </c>
      <c r="GN95" s="20">
        <v>2844.0594059405939</v>
      </c>
      <c r="GO95" s="156"/>
      <c r="GP95" s="218"/>
      <c r="GQ95" s="156"/>
      <c r="GR95" s="25"/>
      <c r="GS95" s="25" t="s">
        <v>1582</v>
      </c>
      <c r="GT95" s="11"/>
      <c r="GU95" s="12"/>
      <c r="GV95" s="26"/>
      <c r="GW95" s="25"/>
      <c r="GX95" s="219"/>
      <c r="GY95" s="25"/>
      <c r="GZ95" s="25"/>
      <c r="HF95" s="25"/>
      <c r="HG95" s="25"/>
      <c r="HH95" s="25"/>
      <c r="HI95" s="25"/>
      <c r="HJ95" s="25"/>
      <c r="HQ95" s="25"/>
      <c r="HR95" s="25"/>
      <c r="HS95" s="25"/>
      <c r="HT95" s="25"/>
      <c r="HU95" s="25"/>
      <c r="HV95" s="25"/>
      <c r="HW95" s="25"/>
      <c r="HX95" s="25"/>
      <c r="HY95" s="25"/>
      <c r="HZ95" s="25"/>
      <c r="IA95" s="25"/>
      <c r="IB95" s="25"/>
      <c r="IC95" s="25"/>
    </row>
    <row r="96" spans="2:238" x14ac:dyDescent="0.25">
      <c r="B96" s="26">
        <v>43937</v>
      </c>
      <c r="D96" s="25">
        <v>103</v>
      </c>
      <c r="E96">
        <v>2897</v>
      </c>
      <c r="F96">
        <v>28</v>
      </c>
      <c r="G96">
        <v>1001</v>
      </c>
      <c r="H96">
        <v>434</v>
      </c>
      <c r="I96" s="25">
        <v>184</v>
      </c>
      <c r="J96">
        <v>1301</v>
      </c>
      <c r="K96">
        <v>535</v>
      </c>
      <c r="L96" s="11">
        <f>IF(ISNUMBER(tblData[[#This Row],[NSW]]),tblData[[#This Row],[New South Wales]]/NSWpopscale,"")</f>
        <v>3585.3960396039602</v>
      </c>
      <c r="M96" s="25">
        <v>168941</v>
      </c>
      <c r="N96" s="20">
        <f>IF(ISNUMBER(tblData[Italy]),tblData[Italy]/ItalyPopscale,"")</f>
        <v>27931.057286930645</v>
      </c>
      <c r="O96" s="25">
        <v>667592</v>
      </c>
      <c r="P96" s="20">
        <f>IF(ISNUMBER(tblData[US]),tblData[US]/USPopscale,"")</f>
        <v>20277.513305333629</v>
      </c>
      <c r="Q96" s="11">
        <v>10613</v>
      </c>
      <c r="R96" s="20">
        <f>IF(ISNUMBER(tblData[SKorea]),tblData[SKorea]/SKoreaPopscale,"")</f>
        <v>2064.7859922178991</v>
      </c>
      <c r="S96">
        <v>104145</v>
      </c>
      <c r="T96" s="20">
        <f>IF(ISNUMBER(tblData[United Kingdom]),tblData[United Kingdom]/UKPopscale,"")</f>
        <v>15675.045153521974</v>
      </c>
      <c r="U96">
        <v>83403</v>
      </c>
      <c r="V96" s="20">
        <f>IF(ISNUMBER(tblData[China]),tblData[China]/ChinaPopscale,"")</f>
        <v>579.45961423484471</v>
      </c>
      <c r="W96" s="25">
        <f ca="1">IF(tblData[[#This Row],[Dates]]&lt;StartDt2China,"",tblData[[#This Row],[Dates]]-ChinaStart)</f>
        <v>85</v>
      </c>
      <c r="X96" s="20">
        <v>4427</v>
      </c>
      <c r="Y96" s="11">
        <f>IF(ISNUMBER(tblData[Singapore]),tblData[Singapore]/SingaporePopscale,"")</f>
        <v>7567.5213675213681</v>
      </c>
      <c r="Z96">
        <v>13271</v>
      </c>
      <c r="AA96" s="11">
        <f>IF(AND(LEN(tblData[Generic])&gt;0,ISNUMBER(tblData[Generic])),tblData[Generic]/GenericPopscale,"")</f>
        <v>27083.673469387755</v>
      </c>
      <c r="AB96" s="25">
        <f ca="1">IF(tblData[[#This Row],[Dates]]&lt;StartDt2Italy,"",tblData[[#This Row],[Dates]]-ItalyStart)</f>
        <v>77</v>
      </c>
      <c r="AC96" s="25">
        <f ca="1">IF(tblData[[#This Row],[Dates]]&lt;=StartDt2US,"",tblData[[#This Row],[Dates]]-USStart)</f>
        <v>85</v>
      </c>
      <c r="AD96" s="25">
        <f>IF(tblData[[#This Row],[Dates]]&lt;=SKoreaStart,"",tblData[[#This Row],[Dates]]-SKoreaStart)</f>
        <v>85</v>
      </c>
      <c r="AE96" s="25">
        <f ca="1">IF(tblData[[#This Row],[Dates]]&lt;=StartDt2UK,"",tblData[[#This Row],[Dates]]-UKStart)</f>
        <v>77</v>
      </c>
      <c r="AF96" s="25">
        <f ca="1">IF(tblData[[#This Row],[Dates]]&lt;StartDt2Singapore,"",tblData[[#This Row],[Dates]]-SingaporeStart)</f>
        <v>84</v>
      </c>
      <c r="AG96" s="25">
        <f>IF(tblData[[#This Row],[Dates]]&lt;StartDt2Generic,"",tblData[[#This Row],[Dates]]-GenericStart)</f>
        <v>47</v>
      </c>
      <c r="AH96">
        <f ca="1">IF(tblData[Dates]&gt;StartDt2Au,tblData[Dates]-AuStart,"")</f>
        <v>82</v>
      </c>
      <c r="AI96" s="25">
        <f>IF(AND(COUNTBLANK(tblData[[#This Row],[Australian Capital Territory]:[Western Australia]])&lt;1,tblData[New South Wales]&gt;=0),SUM(tblData[[#This Row],[Australian Capital Territory]:[Western Australia]]),"")</f>
        <v>6483</v>
      </c>
      <c r="AJ96" s="12">
        <f>IF(ISNUMBER(tblData[Au]),tblData[Au]/AuPopScale,"")</f>
        <v>2555.9848604321087</v>
      </c>
      <c r="AK96" s="11">
        <f ca="1">IF(ISNUMBER(tblData[[#This Row],[Day'# Aust]]),betaAu/(deltaAu+betaPodeltaAu*EXP(-betaAu*tblData[[#This Row],[Day'# Aust]])),"")</f>
        <v>6561.8304261691046</v>
      </c>
      <c r="AL96" s="56">
        <f ca="1">IF(ISNUMBER(tblData[Day'# Aust]),tblData[Au LogiP(t)]/AuPopScale,"")</f>
        <v>2587.0645111847912</v>
      </c>
      <c r="AM96" s="11">
        <f ca="1">IF(AND(tblData[Dates]&gt;StartDt2Au,ISNUMBER(tblData[Au])),(tblData[[#This Row],[Au LogiP(t)]]-tblData[[#This Row],[Au]])^2,"")</f>
        <v>6214.2360900026533</v>
      </c>
      <c r="AN96" s="11">
        <f ca="1">IF(AND(ISNUMBER(tblData[Au]),tblData[Dates]&gt;StartDt2Au),(tblData[Au]-AVERAGE(tblData[Au]))^2,"")</f>
        <v>16274688.9561</v>
      </c>
      <c r="AO96" s="11">
        <f>tblData[[#This Row],[Dates]]-Au100dt</f>
        <v>32</v>
      </c>
      <c r="AP96">
        <f ca="1">IF(tblData[Dates]&gt;StartDt2NSW,tblData[Dates]-StartDt2NSW,"")</f>
        <v>82</v>
      </c>
      <c r="AQ96" s="25">
        <f>IF(tblData[[#This Row],[New South Wales]]&gt;0,tblData[[#This Row],[New South Wales]],"")</f>
        <v>2897</v>
      </c>
      <c r="AR96" s="11">
        <f ca="1">IF(tblData[Dates]&gt;StartDt2NSW,betaNSW/(deltaNSW+betaPodeltaNSW*EXP(-betaNSW*tblData[[#This Row],[Day '# NSW]])),"")</f>
        <v>2941.488031325272</v>
      </c>
      <c r="AS96" s="12">
        <f ca="1">IF(AND(ISNUMBER(tblData[NSW]),tblData[Dates]&gt;StartDt2NSW),(tblData[[#This Row],[NSW LogiP(t)]]-tblData[[#This Row],[NSW]])^2,"")</f>
        <v>1979.1849311983831</v>
      </c>
      <c r="AT96" s="39">
        <f ca="1">IF(AND(tblData[Dates]&gt;StartDt2NSW,ISNUMBER(tblData[Day'# Aust])),tblData[NSW LogiP(t)]/NSWpopscale,"")</f>
        <v>3640.4554843134551</v>
      </c>
      <c r="AU96" s="11">
        <f>tblData[[#This Row],[Dates]]-NSW100dt+1</f>
        <v>35</v>
      </c>
      <c r="AV96" s="11">
        <f ca="1">IF(AND(ISNUMBER(tblData[NSW]),tblData[Dates]&gt;StartDt2NSW),(tblData[NSW]-AVERAGE(tblData[NSW]))^2,"")</f>
        <v>3249871.5076000001</v>
      </c>
      <c r="AW96" s="11">
        <f ca="1">IF(AND(tblData[Dates]&gt;StartDt2Italy,ISNUMBER(tblData[Days'# Italy])),betaItaly/(deltaItaly+betaPodeltaItaly*EXP(-betaItaly*tblData[Days'# Italy])),"")</f>
        <v>161184.49066496099</v>
      </c>
      <c r="AX96" s="11">
        <f ca="1">IF(AND(tblData[Dates]&gt;StartDt2Italy,ISNUMBER(tblData[Italy])),(tblData[[#This Row],[Italy LogiP(t)]]-tblData[[#This Row],[Italy]])^2,"")</f>
        <v>60163437.064547285</v>
      </c>
      <c r="AY96" s="11">
        <f ca="1">IF(AND(tblData[Dates]&gt;StartDt2Italy,ISNUMBER(tblData[Days'# Italy])),tblData[[#This Row],[Italy LogiP(t)]]/ItalyPopscale,"")</f>
        <v>26648.671681402164</v>
      </c>
      <c r="AZ96" s="39">
        <f ca="1">IF(AND(ISNUMBER(tblData[Italy]),tblData[Dates]&gt;StartDt2Italy),(tblData[Italy]-AVERAGE(tblData[Italy]))^2,"")</f>
        <v>9839130951.4740849</v>
      </c>
      <c r="BA96" s="11">
        <f>tblData[[#This Row],[Dates]]-Italy100dt+1</f>
        <v>50</v>
      </c>
      <c r="BB96" s="11">
        <f ca="1">IF(AND(tblData[Dates]&gt;StartDt2US,ISNUMBER(tblData[[#This Row],[Days'# US]])),betaUS/(deltaUS+betaPodeltaUS*EXP(-betaUS*tblData[Days'# US])),"")</f>
        <v>791842.27876711986</v>
      </c>
      <c r="BC96" s="11">
        <f ca="1">IF(AND(tblData[Dates]&gt;StartDt2US,ISNUMBER(tblData[US])),(tblData[[#This Row],[US LogiP(t)]]-tblData[US])^2,"")</f>
        <v>15438131773.706997</v>
      </c>
      <c r="BD96" s="20">
        <f ca="1">IF(AND(tblData[Dates]&gt;=StartDt2US,ISNUMBER(tblData[[#This Row],[Days'# US]])),tblData[[#This Row],[US LogiP(t)]]/USPopscale,"")</f>
        <v>24051.505026162646</v>
      </c>
      <c r="BE96" s="126">
        <f ca="1">IF(AND(ISNUMBER(tblData[US]),tblData[Dates]&gt;StartDt2US),(tblData[US]-AVERAGE(tblData[US]))^2,"")</f>
        <v>196824217726.06006</v>
      </c>
      <c r="BF96" s="11">
        <f>tblData[[#This Row],[Dates]]-US100dt+1</f>
        <v>33</v>
      </c>
      <c r="BG96" s="20">
        <f ca="1">IF(tblData[Dates]&gt;StartDt2SKorea,betaSKorea/(deltaSKorea+betaPodeltaSKorea*EXP(-betaSKorea*(tblData[Dates]-StartDt2SKorea))),"")</f>
        <v>10228.412085929023</v>
      </c>
      <c r="BH96" s="20">
        <f ca="1">IF(AND(tblData[Dates]&gt;StartDt2SKorea,ISNUMBER(tblData[SKorea])),(tblData[[#This Row],[SKorea LogiP(t)]]-tblData[[#This Row],[SKorea]])^2,"")</f>
        <v>147907.86364946494</v>
      </c>
      <c r="BI96" s="20">
        <f ca="1">IF(tblData[Dates]&gt;StartDt2SKorea,tblData[[#This Row],[SKorea LogiP(t)]]/SKoreaPopscale,"")</f>
        <v>1989.9634408422226</v>
      </c>
      <c r="BJ96" s="126">
        <f ca="1">IF(AND(ISNUMBER(tblData[SKorea]),tblData[Dates]&gt;StartDt2SKorea),(tblData[SKorea]-AVERAGE(tblData[SKorea]))^2,"")</f>
        <v>22930952.864282973</v>
      </c>
      <c r="BK96" s="11">
        <f>tblData[[#This Row],[Dates]]-SKorea100dt+1</f>
        <v>54</v>
      </c>
      <c r="BL96" s="11">
        <f ca="1">IF(AND(tblData[Dates]&gt;StartDt2UK,ISNUMBER(tblData[Days'# UK])),betaUK/(deltaUK+betaPodeltaUK*EXP(-betaUK*tblData[Days'# UK])),"")</f>
        <v>127478.58808955365</v>
      </c>
      <c r="BM96" s="61">
        <f ca="1">IF(AND(tblData[Dates]&gt;StartDt2UK,ISNUMBER(tblData[United Kingdom])),(tblData[[#This Row],[UK LogiP(t)]]-tblData[[#This Row],[United Kingdom]])^2,"")</f>
        <v>544456333.13296008</v>
      </c>
      <c r="BN96" s="11">
        <f ca="1">IF(ISNUMBER(tblData[Days'# UK]),tblData[[#This Row],[UK LogiP(t)]]/UKPopscale,"")</f>
        <v>19187.024095357261</v>
      </c>
      <c r="BO96" s="126">
        <f ca="1">IF(AND(ISNUMBER(tblData[United Kingdom]),tblData[Dates]&gt;StartDt2UK),(tblData[United Kingdom]-AVERAGE(tblData[United Kingdom]))^2,"")</f>
        <v>4379523459.8733578</v>
      </c>
      <c r="BP96" s="11">
        <f>tblData[[#This Row],[Dates]]-UK100dt</f>
        <v>35</v>
      </c>
      <c r="BQ96" s="11">
        <f ca="1">IF(ISNUMBER(tblData[Days'# China]),betaChina/(deltaChina+betaPodeltaChina*EXP(-betaChina*tblData[Days'# China])),"")</f>
        <v>82125.130799965918</v>
      </c>
      <c r="BR96" s="11">
        <f ca="1">IF(ISNUMBER(tblData[China]),(tblData[[#This Row],[China LogiP(t)]]-tblData[[#This Row],[China]])^2,"")</f>
        <v>1632949.6923957437</v>
      </c>
      <c r="BS96" s="11">
        <f ca="1">tblData[[#This Row],[China LogiP(t)]]/ChinaPopscale</f>
        <v>570.58135333662358</v>
      </c>
      <c r="BT96" s="126">
        <f ca="1">IF(AND(ISNUMBER(tblData[China]),tblData[Dates]&gt;StartDt2China),(tblData[China]-AVERAGE(tblData[China]))^2,"")</f>
        <v>262392355.10380602</v>
      </c>
      <c r="BU96" s="11">
        <f>tblData[[#This Row],[Dates]]-China100dt</f>
        <v>74</v>
      </c>
      <c r="BV96" s="95">
        <f ca="1">IF(ISNUMBER(tblData[Day'# Singapore]),betaSingapore/(deltaSingapore+betaPodeltaSingapore*EXP(-betaSingapore*tblData[Day'# Singapore])),"")</f>
        <v>4125.1118342329355</v>
      </c>
      <c r="BW96" s="11">
        <f ca="1">IF(AND(ISNUMBER(tblData[Singapore]),tblData[Dates]&gt;=StartDt2Singapore),(tblData[[#This Row],[Singapore LogiP(t)]]-tblData[[#This Row],[Singapore]])^2,"")</f>
        <v>91136.464630202609</v>
      </c>
      <c r="BX96" s="20">
        <f ca="1">IF(ISNUMBER(tblData[Day'# Singapore]),tblData[Singapore LogiP(t)]/SingaporePopscale,"")</f>
        <v>7051.4732209110016</v>
      </c>
      <c r="BY96" s="95">
        <f ca="1">IF(AND(ISNUMBER(tblData[Singapore]),tblData[Dates]&gt;StartDt2Singapore),(tblData[Singapore]-AVERAGE(tblData[Singapore]))^2,"")</f>
        <v>4436061.9207996912</v>
      </c>
      <c r="BZ96" s="11">
        <f>tblData[[#This Row],[Dates]]-Singapore100dt+1</f>
        <v>63</v>
      </c>
      <c r="CA96" s="11">
        <f>IF(AND(tblData[Dates]&gt;StartDt2Generic,ISNUMBER(tblData[Day'# Generic])),betaGeneric/(deltaGeneric+betaPodeltaGeneric*EXP(-betaGeneric*tblData[Day'# Generic])),"")</f>
        <v>13031.081857750889</v>
      </c>
      <c r="CB96" s="95">
        <f>IF(AND(ISNUMBER(tblData[Generic]),tblData[Dates]&gt;StartDt2Generic),(tblData[Generic LogiP(t)]-tblData[[#This Row],[Generic]])^2,"")</f>
        <v>57560.714980264682</v>
      </c>
      <c r="CC96" s="11">
        <f>IF(AND(ISNUMBER(tblData[Day'# Generic]),tblData[Dates]&gt;StartDt2Generic),tblData[Generic LogiP(t)]/GenericPopscale,"")</f>
        <v>26594.044607654876</v>
      </c>
      <c r="CD96" s="95">
        <f>IF(AND(ISNUMBER(tblData[Generic]),tblData[Dates]&gt;StartDt2Generic),(tblData[Generic]-AVERAGE(tblData[Generic]))^2,"")</f>
        <v>44056304.134674557</v>
      </c>
      <c r="CE96" s="11">
        <f>tblData[[#This Row],[Dates]]-Generic100dt+1</f>
        <v>35</v>
      </c>
      <c r="CF96" s="11">
        <v>152376</v>
      </c>
      <c r="CG96" s="11"/>
      <c r="CH96" s="11">
        <f>IF(ISNUMBER(tblData[[#This Row],[Tests]]),tblData[[#This Row],[Tests]]-CF95,"")</f>
        <v>4959</v>
      </c>
      <c r="CI96" s="11" t="str">
        <f>IF(ISNUMBER(tblData[[#This Row],[NSW Under Investigation'']]),tblData[[#This Row],[NSW Under Investigation'']]-CG95,"")</f>
        <v/>
      </c>
      <c r="CJ96" s="11">
        <f t="shared" si="2"/>
        <v>42</v>
      </c>
      <c r="CK96" s="11">
        <f>IF(AND(tblData[[#This Row],[NSW Test Day Number]]&gt;0,ISNUMBER(tblData[[#This Row],[NSW Test Day Number]])),betaTests/(deltaTests+betaPodeltaTests*EXP(-betaTests*tblData[[#This Row],[NSW Test Day Number]])),"")</f>
        <v>168494.67231356699</v>
      </c>
      <c r="CL96" s="11">
        <f>IF(tblData[Tests]&gt;0,(tblData[[#This Row],[Tests]]-tblData[[#This Row],[NSW Test Logi]])^2,"")</f>
        <v>259811597.15215099</v>
      </c>
      <c r="CM96" s="95">
        <f>IF(AND(ISNUMBER(tblData[Tests]),tblData[Dates]&gt;StartDt2Tests),(tblData[Tests]-AVERAGE(tblData[Tests]))^2,"")</f>
        <v>2136210061.7351329</v>
      </c>
      <c r="CN96" s="11">
        <f>IF(ISNUMBER(tblData[Tests]),tblData[Tests]/NSWpopscale/100,"")</f>
        <v>1885.8415841584158</v>
      </c>
      <c r="CO96" s="95">
        <f ca="1">IF(AND(tblData[[#This Row],[NSW Test Day Number]]&gt;0,ISNUMBER(tblData[[#This Row],[NSW Test Day Number]])),TestsLogestB*TestsLogestM^tblData[[#This Row],[NSW Test Day Number]],"")</f>
        <v>153279.56787976416</v>
      </c>
      <c r="CP96" s="11">
        <f>IF(AND(tblData[[#This Row],[NSW Test Day Number]]&gt;0,ISNUMBER(tblData[Tests])),(tblData[Tests]-tblData[[#This Row],[NSW Test Per Capita]])^2,"")</f>
        <v>22647287780.025093</v>
      </c>
      <c r="CQ96" s="20">
        <f ca="1">IF(AND(tblData[Day '# NSW]&gt;0,ISNUMBER(tblData[[#This Row],[Day '# NSW]])),NSWLogestB*NSWLogestM^tblData[[#This Row],[Day '# NSW]]/NSWpopscale,"")</f>
        <v>3771.6254396376303</v>
      </c>
      <c r="CR96" s="39">
        <f ca="1">IF(AND(ISNUMBER(tblData[NSW]),tblData[Dates]&gt;StartDt2NSW),(tblData[NSW]/NSWpopscale-tblData[[#This Row],[NSW Cases LogEst]])^2,"")</f>
        <v>34681.389436900732</v>
      </c>
      <c r="CS96" s="39">
        <v>395</v>
      </c>
      <c r="CT96" s="19">
        <f>IF(ISNUMBER(tblData[Taiwan]),tblData[Taiwan]/TaiwanPopscale,"")</f>
        <v>165.91562195130044</v>
      </c>
      <c r="CU96" s="11">
        <f ca="1">IF(tblData[[#This Row],[Dates]]&lt;StartDt2Taiwan,"",tblData[[#This Row],[Dates]]-TaiwanStart)</f>
        <v>85</v>
      </c>
      <c r="CV96" s="19">
        <f ca="1">IF(AND(tblData[Dates]&gt;StartDt2Taiwan,ISNUMBER(tblData[Days'# Taiwan])),betaTaiwan/(deltaTaiwan+betaPodeltaTaiwan*EXP(-betaTaiwan*tblData[Days'# Taiwan])),"")</f>
        <v>411.51175146216349</v>
      </c>
      <c r="CW96" s="95">
        <f ca="1">IF(AND(tblData[Dates]&gt;StartDt2Taiwan,ISNUMBER(tblData[Taiwan])),(tblData[[#This Row],[Taiwan LogiP(t)]]-tblData[[#This Row],[Taiwan]])^2,"")</f>
        <v>272.63793634825811</v>
      </c>
      <c r="CX96" s="20">
        <f ca="1">IF(AND(tblData[Dates]&gt;StartDt2Taiwan,ISNUMBER(tblData[Days'# Taiwan])),tblData[[#This Row],[Taiwan LogiP(t)]]/TaiwanPopscale,"")</f>
        <v>172.85121059269323</v>
      </c>
      <c r="CY96" s="95">
        <f ca="1">IF(AND(ISNUMBER(tblData[Taiwan]),tblData[Dates]&gt;StartDt2Taiwan),(tblData[Taiwan]-AVERAGE(tblData[Taiwan]))^2,"")</f>
        <v>50828.144559784691</v>
      </c>
      <c r="CZ96" s="11">
        <f>tblData[[#This Row],[Dates]]-Taiwan100dt+1</f>
        <v>22</v>
      </c>
      <c r="DA96" s="11">
        <v>1401</v>
      </c>
      <c r="DB96" s="20">
        <f>IF(ISNUMBER(tblData[NZ]),tblData[NZ]/NZPopscale,"")</f>
        <v>2678.7762906309749</v>
      </c>
      <c r="DC96" s="11">
        <f ca="1">IF(tblData[[#This Row],[Dates]]&lt;StartDt2NZ,"",tblData[[#This Row],[Dates]]-NZStart)</f>
        <v>48</v>
      </c>
      <c r="DD96" s="20">
        <f ca="1">IF(AND(tblData[Dates]&gt;StartDt2NZ,ISNUMBER(tblData[Days'# NZ])),betaNZ/(deltaNZ+betaPodeltaNZ*EXP(-betaNZ*tblData[Days'# NZ])),"")</f>
        <v>1416.1035395320828</v>
      </c>
      <c r="DE96" s="95">
        <f ca="1">IF(AND(tblData[Dates]&gt;StartDt2NZ,ISNUMBER(tblData[NZ])),(tblData[[#This Row],[NZ LogiP(t)]]-tblData[[#This Row],[NZ]])^2,"")</f>
        <v>228.11690639718725</v>
      </c>
      <c r="DF96" s="20">
        <f ca="1">IF(AND(tblData[Dates]&gt;StartDt2NZ,ISNUMBER(tblData[Days'# NZ])),tblData[[#This Row],[NZ LogiP(t)]]/NZPopscale,"")</f>
        <v>2707.6549513041737</v>
      </c>
      <c r="DG96" s="95">
        <f ca="1">IF(AND(ISNUMBER(tblData[NZ]),tblData[Dates]&gt;StartDt2NZ),(tblData[NZ]-AVERAGE(tblData[NZ]))^2,"")</f>
        <v>507030.30670339754</v>
      </c>
      <c r="DH96" s="11">
        <f>tblData[[#This Row],[Dates]]-NZ100dt+1</f>
        <v>26</v>
      </c>
      <c r="DI96" s="39"/>
      <c r="DJ96" s="11"/>
      <c r="DM96" s="25"/>
      <c r="DP96"/>
      <c r="DV96" s="25"/>
      <c r="DW96"/>
      <c r="EA96" s="25"/>
      <c r="EH96"/>
      <c r="EI96"/>
      <c r="EJ96"/>
      <c r="EK96"/>
      <c r="EL96" s="25"/>
      <c r="EM96" s="25"/>
      <c r="EQ96" s="25"/>
      <c r="ER96" s="25"/>
      <c r="ES96" s="25"/>
      <c r="ET96" s="25"/>
      <c r="FF96"/>
      <c r="FG96"/>
      <c r="FH96"/>
      <c r="FI96"/>
      <c r="FJ96"/>
      <c r="FK96"/>
      <c r="FL96"/>
      <c r="FN96"/>
      <c r="FO96" s="268" t="s">
        <v>153</v>
      </c>
      <c r="FP96" s="250">
        <v>43925.468935185185</v>
      </c>
      <c r="FQ96" s="243">
        <v>43855</v>
      </c>
      <c r="FR96" s="160">
        <v>43855</v>
      </c>
      <c r="FS96" s="211">
        <v>1</v>
      </c>
      <c r="FT96" s="72">
        <v>0.23800350561328265</v>
      </c>
      <c r="FU96" s="74">
        <v>8.0418951753934373E-5</v>
      </c>
      <c r="FV96" s="160">
        <v>1E-3</v>
      </c>
      <c r="FW96" s="212">
        <v>2959.5449881207719</v>
      </c>
      <c r="FX96" s="212">
        <v>23.254145962920461</v>
      </c>
      <c r="FY96" s="212">
        <v>0.99869690754357865</v>
      </c>
      <c r="FZ96" s="213">
        <v>238.00342519433087</v>
      </c>
      <c r="GA96" s="213">
        <v>8.0418951753934376E-2</v>
      </c>
      <c r="GB96" s="243">
        <v>43924</v>
      </c>
      <c r="GC96" s="23" t="s">
        <v>1658</v>
      </c>
      <c r="GD96" s="212">
        <v>2959.5449881207719</v>
      </c>
      <c r="GE96" s="212">
        <v>2389</v>
      </c>
      <c r="GF96" s="23" t="s">
        <v>1659</v>
      </c>
      <c r="GG96" s="156">
        <v>43924</v>
      </c>
      <c r="GH96" s="25">
        <v>70</v>
      </c>
      <c r="GI96" s="21" t="s">
        <v>1660</v>
      </c>
      <c r="GJ96" s="161"/>
      <c r="GK96" s="23" t="s">
        <v>1661</v>
      </c>
      <c r="GL96" s="23"/>
      <c r="GM96" s="23" t="s">
        <v>1662</v>
      </c>
      <c r="GN96" s="20">
        <v>2956.6831683168316</v>
      </c>
      <c r="GO96" s="243"/>
      <c r="GP96" s="218"/>
      <c r="GQ96" s="156"/>
      <c r="GR96" s="23"/>
      <c r="GS96" s="23" t="s">
        <v>1657</v>
      </c>
      <c r="GT96" s="11"/>
      <c r="GU96" s="12"/>
      <c r="GV96" s="26"/>
      <c r="GW96" s="25"/>
      <c r="GX96" s="219"/>
      <c r="GY96" s="25"/>
      <c r="GZ96" s="25"/>
      <c r="HQ96" s="25"/>
      <c r="HR96" s="25"/>
      <c r="HS96" s="25"/>
      <c r="HT96" s="25"/>
      <c r="HU96" s="25"/>
      <c r="HV96" s="25"/>
    </row>
    <row r="97" spans="2:238" x14ac:dyDescent="0.25">
      <c r="B97" s="26">
        <v>43938</v>
      </c>
      <c r="D97" s="25">
        <v>103</v>
      </c>
      <c r="E97">
        <v>2926</v>
      </c>
      <c r="F97">
        <v>28</v>
      </c>
      <c r="G97">
        <v>1007</v>
      </c>
      <c r="H97">
        <v>435</v>
      </c>
      <c r="I97" s="25">
        <v>188</v>
      </c>
      <c r="J97">
        <v>1302</v>
      </c>
      <c r="K97">
        <v>541</v>
      </c>
      <c r="L97" s="11">
        <f>IF(ISNUMBER(tblData[[#This Row],[NSW]]),tblData[[#This Row],[New South Wales]]/NSWpopscale,"")</f>
        <v>3621.287128712871</v>
      </c>
      <c r="M97" s="25">
        <v>172434</v>
      </c>
      <c r="N97" s="20">
        <f>IF(ISNUMBER(tblData[Italy]),tblData[Italy]/ItalyPopscale,"")</f>
        <v>28508.555840290981</v>
      </c>
      <c r="O97" s="25">
        <v>699706</v>
      </c>
      <c r="P97" s="20">
        <f>IF(ISNUMBER(tblData[US]),tblData[US]/USPopscale,"")</f>
        <v>21252.94749610806</v>
      </c>
      <c r="Q97" s="11">
        <v>10635</v>
      </c>
      <c r="R97" s="20">
        <f>IF(ISNUMBER(tblData[SKorea]),tblData[SKorea]/SKoreaPopscale,"")</f>
        <v>2069.0661478599222</v>
      </c>
      <c r="S97">
        <v>109769</v>
      </c>
      <c r="T97" s="20">
        <f>IF(ISNUMBER(tblData[United Kingdom]),tblData[United Kingdom]/UKPopscale,"")</f>
        <v>16521.523178807947</v>
      </c>
      <c r="U97">
        <v>83760</v>
      </c>
      <c r="V97" s="20">
        <f>IF(ISNUMBER(tblData[China]),tblData[China]/ChinaPopscale,"")</f>
        <v>581.93994566515107</v>
      </c>
      <c r="W97" s="25">
        <f ca="1">IF(tblData[[#This Row],[Dates]]&lt;StartDt2China,"",tblData[[#This Row],[Dates]]-ChinaStart)</f>
        <v>86</v>
      </c>
      <c r="X97" s="20">
        <v>5050</v>
      </c>
      <c r="Y97" s="11">
        <f>IF(ISNUMBER(tblData[Singapore]),tblData[Singapore]/SingaporePopscale,"")</f>
        <v>8632.4786324786328</v>
      </c>
      <c r="Z97">
        <v>13980</v>
      </c>
      <c r="AA97" s="11">
        <f>IF(AND(LEN(tblData[Generic])&gt;0,ISNUMBER(tblData[Generic])),tblData[Generic]/GenericPopscale,"")</f>
        <v>28530.612244897959</v>
      </c>
      <c r="AB97" s="25">
        <f ca="1">IF(tblData[[#This Row],[Dates]]&lt;StartDt2Italy,"",tblData[[#This Row],[Dates]]-ItalyStart)</f>
        <v>78</v>
      </c>
      <c r="AC97" s="25">
        <f ca="1">IF(tblData[[#This Row],[Dates]]&lt;=StartDt2US,"",tblData[[#This Row],[Dates]]-USStart)</f>
        <v>86</v>
      </c>
      <c r="AD97" s="25">
        <f>IF(tblData[[#This Row],[Dates]]&lt;=SKoreaStart,"",tblData[[#This Row],[Dates]]-SKoreaStart)</f>
        <v>86</v>
      </c>
      <c r="AE97" s="25">
        <f ca="1">IF(tblData[[#This Row],[Dates]]&lt;=StartDt2UK,"",tblData[[#This Row],[Dates]]-UKStart)</f>
        <v>78</v>
      </c>
      <c r="AF97" s="25">
        <f ca="1">IF(tblData[[#This Row],[Dates]]&lt;StartDt2Singapore,"",tblData[[#This Row],[Dates]]-SingaporeStart)</f>
        <v>85</v>
      </c>
      <c r="AG97" s="25">
        <f>IF(tblData[[#This Row],[Dates]]&lt;StartDt2Generic,"",tblData[[#This Row],[Dates]]-GenericStart)</f>
        <v>48</v>
      </c>
      <c r="AH97">
        <f ca="1">IF(tblData[Dates]&gt;StartDt2Au,tblData[Dates]-AuStart,"")</f>
        <v>83</v>
      </c>
      <c r="AI97" s="25">
        <f>IF(AND(COUNTBLANK(tblData[[#This Row],[Australian Capital Territory]:[Western Australia]])&lt;1,tblData[New South Wales]&gt;=0),SUM(tblData[[#This Row],[Australian Capital Territory]:[Western Australia]]),"")</f>
        <v>6530</v>
      </c>
      <c r="AJ97" s="12">
        <f>IF(ISNUMBER(tblData[Au]),tblData[Au]/AuPopScale,"")</f>
        <v>2574.5150607159753</v>
      </c>
      <c r="AK97" s="11">
        <f ca="1">IF(ISNUMBER(tblData[[#This Row],[Day'# Aust]]),betaAu/(deltaAu+betaPodeltaAu*EXP(-betaAu*tblData[[#This Row],[Day'# Aust]])),"")</f>
        <v>6578.2552849610793</v>
      </c>
      <c r="AL97" s="56">
        <f ca="1">IF(ISNUMBER(tblData[Day'# Aust]),tblData[Au LogiP(t)]/AuPopScale,"")</f>
        <v>2593.540169122015</v>
      </c>
      <c r="AM97" s="11">
        <f ca="1">IF(AND(tblData[Dates]&gt;StartDt2Au,ISNUMBER(tblData[Au])),(tblData[[#This Row],[Au LogiP(t)]]-tblData[[#This Row],[Au]])^2,"")</f>
        <v>2328.5725266749632</v>
      </c>
      <c r="AN97" s="11">
        <f ca="1">IF(AND(ISNUMBER(tblData[Au]),tblData[Dates]&gt;StartDt2Au),(tblData[Au]-AVERAGE(tblData[Au]))^2,"")</f>
        <v>16656111.816100001</v>
      </c>
      <c r="AO97" s="11">
        <f>tblData[[#This Row],[Dates]]-Au100dt</f>
        <v>33</v>
      </c>
      <c r="AP97">
        <f ca="1">IF(tblData[Dates]&gt;StartDt2NSW,tblData[Dates]-StartDt2NSW,"")</f>
        <v>83</v>
      </c>
      <c r="AQ97" s="25">
        <f>IF(tblData[[#This Row],[New South Wales]]&gt;0,tblData[[#This Row],[New South Wales]],"")</f>
        <v>2926</v>
      </c>
      <c r="AR97" s="11">
        <f ca="1">IF(tblData[Dates]&gt;StartDt2NSW,betaNSW/(deltaNSW+betaPodeltaNSW*EXP(-betaNSW*tblData[[#This Row],[Day '# NSW]])),"")</f>
        <v>2948.1352533493809</v>
      </c>
      <c r="AS97" s="12">
        <f ca="1">IF(AND(ISNUMBER(tblData[NSW]),tblData[Dates]&gt;StartDt2NSW),(tblData[[#This Row],[NSW LogiP(t)]]-tblData[[#This Row],[NSW]])^2,"")</f>
        <v>489.9694408412804</v>
      </c>
      <c r="AT97" s="39">
        <f ca="1">IF(AND(tblData[Dates]&gt;StartDt2NSW,ISNUMBER(tblData[Day'# Aust])),tblData[NSW LogiP(t)]/NSWpopscale,"")</f>
        <v>3648.6822442442831</v>
      </c>
      <c r="AU97" s="11">
        <f>tblData[[#This Row],[Dates]]-NSW100dt+1</f>
        <v>36</v>
      </c>
      <c r="AV97" s="11">
        <f ca="1">IF(AND(ISNUMBER(tblData[NSW]),tblData[Dates]&gt;StartDt2NSW),(tblData[NSW]-AVERAGE(tblData[NSW]))^2,"")</f>
        <v>3355271.4276000001</v>
      </c>
      <c r="AW97" s="11">
        <f ca="1">IF(AND(tblData[Dates]&gt;StartDt2Italy,ISNUMBER(tblData[Days'# Italy])),betaItaly/(deltaItaly+betaPodeltaItaly*EXP(-betaItaly*tblData[Days'# Italy])),"")</f>
        <v>161229.31373885195</v>
      </c>
      <c r="AX97" s="11">
        <f ca="1">IF(AND(tblData[Dates]&gt;StartDt2Italy,ISNUMBER(tblData[Italy])),(tblData[[#This Row],[Italy LogiP(t)]]-tblData[[#This Row],[Italy]])^2,"")</f>
        <v>125544994.21075979</v>
      </c>
      <c r="AY97" s="11">
        <f ca="1">IF(AND(tblData[Dates]&gt;StartDt2Italy,ISNUMBER(tblData[Days'# Italy])),tblData[[#This Row],[Italy LogiP(t)]]/ItalyPopscale,"")</f>
        <v>26656.082291287421</v>
      </c>
      <c r="AZ97" s="39">
        <f ca="1">IF(AND(ISNUMBER(tblData[Italy]),tblData[Dates]&gt;StartDt2Italy),(tblData[Italy]-AVERAGE(tblData[Italy]))^2,"")</f>
        <v>10544290062.282595</v>
      </c>
      <c r="BA97" s="11">
        <f>tblData[[#This Row],[Dates]]-Italy100dt+1</f>
        <v>51</v>
      </c>
      <c r="BB97" s="11">
        <f ca="1">IF(AND(tblData[Dates]&gt;StartDt2US,ISNUMBER(tblData[[#This Row],[Days'# US]])),betaUS/(deltaUS+betaPodeltaUS*EXP(-betaUS*tblData[Days'# US])),"")</f>
        <v>797061.25665760075</v>
      </c>
      <c r="BC97" s="11">
        <f ca="1">IF(AND(tblData[Dates]&gt;StartDt2US,ISNUMBER(tblData[US])),(tblData[[#This Row],[US LogiP(t)]]-tblData[US])^2,"")</f>
        <v>9478045998.8673153</v>
      </c>
      <c r="BD97" s="20">
        <f ca="1">IF(AND(tblData[Dates]&gt;=StartDt2US,ISNUMBER(tblData[[#This Row],[Days'# US]])),tblData[[#This Row],[US LogiP(t)]]/USPopscale,"")</f>
        <v>24210.026838309092</v>
      </c>
      <c r="BE97" s="126">
        <f ca="1">IF(AND(ISNUMBER(tblData[US]),tblData[Dates]&gt;StartDt2US),(tblData[US]-AVERAGE(tblData[US]))^2,"")</f>
        <v>226350198951.9032</v>
      </c>
      <c r="BF97" s="11">
        <f>tblData[[#This Row],[Dates]]-US100dt+1</f>
        <v>34</v>
      </c>
      <c r="BG97" s="20">
        <f ca="1">IF(tblData[Dates]&gt;StartDt2SKorea,betaSKorea/(deltaSKorea+betaPodeltaSKorea*EXP(-betaSKorea*(tblData[Dates]-StartDt2SKorea))),"")</f>
        <v>10229.350913161537</v>
      </c>
      <c r="BH97" s="20">
        <f ca="1">IF(AND(tblData[Dates]&gt;StartDt2SKorea,ISNUMBER(tblData[SKorea])),(tblData[[#This Row],[SKorea LogiP(t)]]-tblData[[#This Row],[SKorea]])^2,"")</f>
        <v>164551.18165287859</v>
      </c>
      <c r="BI97" s="20">
        <f ca="1">IF(tblData[Dates]&gt;StartDt2SKorea,tblData[[#This Row],[SKorea LogiP(t)]]/SKoreaPopscale,"")</f>
        <v>1990.146092054774</v>
      </c>
      <c r="BJ97" s="126">
        <f ca="1">IF(AND(ISNUMBER(tblData[SKorea]),tblData[Dates]&gt;StartDt2SKorea),(tblData[SKorea]-AVERAGE(tblData[SKorea]))^2,"")</f>
        <v>23142136.472126108</v>
      </c>
      <c r="BK97" s="11">
        <f>tblData[[#This Row],[Dates]]-SKorea100dt+1</f>
        <v>55</v>
      </c>
      <c r="BL97" s="11">
        <f ca="1">IF(AND(tblData[Dates]&gt;StartDt2UK,ISNUMBER(tblData[Days'# UK])),betaUK/(deltaUK+betaPodeltaUK*EXP(-betaUK*tblData[Days'# UK])),"")</f>
        <v>130164.94566366161</v>
      </c>
      <c r="BM97" s="61">
        <f ca="1">IF(AND(tblData[Dates]&gt;StartDt2UK,ISNUMBER(tblData[United Kingdom])),(tblData[[#This Row],[UK LogiP(t)]]-tblData[[#This Row],[United Kingdom]])^2,"")</f>
        <v>415994599.51503676</v>
      </c>
      <c r="BN97" s="11">
        <f ca="1">IF(ISNUMBER(tblData[Days'# UK]),tblData[[#This Row],[UK LogiP(t)]]/UKPopscale,"")</f>
        <v>19591.352447872006</v>
      </c>
      <c r="BO97" s="126">
        <f ca="1">IF(AND(ISNUMBER(tblData[United Kingdom]),tblData[Dates]&gt;StartDt2UK),(tblData[United Kingdom]-AVERAGE(tblData[United Kingdom]))^2,"")</f>
        <v>5155522620.8946342</v>
      </c>
      <c r="BP97" s="11">
        <f>tblData[[#This Row],[Dates]]-UK100dt</f>
        <v>36</v>
      </c>
      <c r="BQ97" s="11">
        <f ca="1">IF(ISNUMBER(tblData[Days'# China]),betaChina/(deltaChina+betaPodeltaChina*EXP(-betaChina*tblData[Days'# China])),"")</f>
        <v>82125.136691674255</v>
      </c>
      <c r="BR97" s="11">
        <f ca="1">IF(ISNUMBER(tblData[China]),(tblData[[#This Row],[China LogiP(t)]]-tblData[[#This Row],[China]])^2,"")</f>
        <v>2672778.0369097986</v>
      </c>
      <c r="BS97" s="11">
        <f ca="1">tblData[[#This Row],[China LogiP(t)]]/ChinaPopscale</f>
        <v>570.58139427048729</v>
      </c>
      <c r="BT97" s="126">
        <f ca="1">IF(AND(ISNUMBER(tblData[China]),tblData[Dates]&gt;StartDt2China),(tblData[China]-AVERAGE(tblData[China]))^2,"")</f>
        <v>274085554.10380602</v>
      </c>
      <c r="BU97" s="11">
        <f>tblData[[#This Row],[Dates]]-China100dt</f>
        <v>75</v>
      </c>
      <c r="BV97" s="95">
        <f ca="1">IF(ISNUMBER(tblData[Day'# Singapore]),betaSingapore/(deltaSingapore+betaPodeltaSingapore*EXP(-betaSingapore*tblData[Day'# Singapore])),"")</f>
        <v>4605.6062224424631</v>
      </c>
      <c r="BW97" s="11">
        <f ca="1">IF(AND(ISNUMBER(tblData[Singapore]),tblData[Dates]&gt;=StartDt2Singapore),(tblData[[#This Row],[Singapore LogiP(t)]]-tblData[[#This Row],[Singapore]])^2,"")</f>
        <v>197485.82953185754</v>
      </c>
      <c r="BX97" s="20">
        <f ca="1">IF(ISNUMBER(tblData[Day'# Singapore]),tblData[Singapore LogiP(t)]/SingaporePopscale,"")</f>
        <v>7872.8311494742966</v>
      </c>
      <c r="BY97" s="95">
        <f ca="1">IF(AND(ISNUMBER(tblData[Singapore]),tblData[Dates]&gt;StartDt2Singapore),(tblData[Singapore]-AVERAGE(tblData[Singapore]))^2,"")</f>
        <v>7448511.2345251814</v>
      </c>
      <c r="BZ97" s="11">
        <f>tblData[[#This Row],[Dates]]-Singapore100dt+1</f>
        <v>64</v>
      </c>
      <c r="CA97" s="11">
        <f>IF(AND(tblData[Dates]&gt;StartDt2Generic,ISNUMBER(tblData[Day'# Generic])),betaGeneric/(deltaGeneric+betaPodeltaGeneric*EXP(-betaGeneric*tblData[Day'# Generic])),"")</f>
        <v>13849.574084808306</v>
      </c>
      <c r="CB97" s="95">
        <f>IF(AND(ISNUMBER(tblData[Generic]),tblData[Dates]&gt;StartDt2Generic),(tblData[Generic LogiP(t)]-tblData[[#This Row],[Generic]])^2,"")</f>
        <v>17010.919353590958</v>
      </c>
      <c r="CC97" s="11">
        <f>IF(AND(ISNUMBER(tblData[Day'# Generic]),tblData[Dates]&gt;StartDt2Generic),tblData[Generic LogiP(t)]/GenericPopscale,"")</f>
        <v>28264.436907772055</v>
      </c>
      <c r="CD97" s="95">
        <f>IF(AND(ISNUMBER(tblData[Generic]),tblData[Dates]&gt;StartDt2Generic),(tblData[Generic]-AVERAGE(tblData[Generic]))^2,"")</f>
        <v>53970949.226982251</v>
      </c>
      <c r="CE97" s="11">
        <f>tblData[[#This Row],[Dates]]-Generic100dt+1</f>
        <v>36</v>
      </c>
      <c r="CF97">
        <v>157518</v>
      </c>
      <c r="CG97" s="11"/>
      <c r="CH97" s="11">
        <f>IF(ISNUMBER(tblData[[#This Row],[Tests]]),tblData[[#This Row],[Tests]]-CF96,"")</f>
        <v>5142</v>
      </c>
      <c r="CI97" s="11" t="str">
        <f>IF(ISNUMBER(tblData[[#This Row],[NSW Under Investigation'']]),tblData[[#This Row],[NSW Under Investigation'']]-CG96,"")</f>
        <v/>
      </c>
      <c r="CJ97" s="11">
        <f t="shared" si="2"/>
        <v>43</v>
      </c>
      <c r="CK97" s="11">
        <f>IF(AND(tblData[[#This Row],[NSW Test Day Number]]&gt;0,ISNUMBER(tblData[[#This Row],[NSW Test Day Number]])),betaTests/(deltaTests+betaPodeltaTests*EXP(-betaTests*tblData[[#This Row],[NSW Test Day Number]])),"")</f>
        <v>169136.12207129743</v>
      </c>
      <c r="CL97" s="11">
        <f>IF(tblData[Tests]&gt;0,(tblData[[#This Row],[Tests]]-tblData[[#This Row],[NSW Test Logi]])^2,"")</f>
        <v>134980760.46356854</v>
      </c>
      <c r="CM97" s="95">
        <f>IF(AND(ISNUMBER(tblData[Tests]),tblData[Dates]&gt;StartDt2Tests),(tblData[Tests]-AVERAGE(tblData[Tests]))^2,"")</f>
        <v>2637967990.4808955</v>
      </c>
      <c r="CN97" s="11">
        <f>IF(ISNUMBER(tblData[Tests]),tblData[Tests]/NSWpopscale/100,"")</f>
        <v>1949.4801980198017</v>
      </c>
      <c r="CO97" s="95">
        <f ca="1">IF(AND(tblData[[#This Row],[NSW Test Day Number]]&gt;0,ISNUMBER(tblData[[#This Row],[NSW Test Day Number]])),TestsLogestB*TestsLogestM^tblData[[#This Row],[NSW Test Day Number]],"")</f>
        <v>162478.09466095996</v>
      </c>
      <c r="CP97" s="11">
        <f>IF(AND(tblData[[#This Row],[NSW Test Day Number]]&gt;0,ISNUMBER(tblData[Tests])),(tblData[Tests]-tblData[[#This Row],[NSW Test Per Capita]])^2,"")</f>
        <v>24201564353.379108</v>
      </c>
      <c r="CQ97" s="20">
        <f ca="1">IF(AND(tblData[Day '# NSW]&gt;0,ISNUMBER(tblData[[#This Row],[Day '# NSW]])),NSWLogestB*NSWLogestM^tblData[[#This Row],[Day '# NSW]]/NSWpopscale,"")</f>
        <v>4152.3922704150036</v>
      </c>
      <c r="CR97" s="39">
        <f ca="1">IF(AND(ISNUMBER(tblData[NSW]),tblData[Dates]&gt;StartDt2NSW),(tblData[NSW]/NSWpopscale-tblData[[#This Row],[NSW Cases LogEst]])^2,"")</f>
        <v>282072.6715424424</v>
      </c>
      <c r="CS97" s="39">
        <v>395</v>
      </c>
      <c r="CT97" s="19">
        <f>IF(ISNUMBER(tblData[Taiwan]),tblData[Taiwan]/TaiwanPopscale,"")</f>
        <v>165.91562195130044</v>
      </c>
      <c r="CU97" s="11">
        <f ca="1">IF(tblData[[#This Row],[Dates]]&lt;StartDt2Taiwan,"",tblData[[#This Row],[Dates]]-TaiwanStart)</f>
        <v>86</v>
      </c>
      <c r="CV97" s="19">
        <f ca="1">IF(AND(tblData[Dates]&gt;StartDt2Taiwan,ISNUMBER(tblData[Days'# Taiwan])),betaTaiwan/(deltaTaiwan+betaPodeltaTaiwan*EXP(-betaTaiwan*tblData[Days'# Taiwan])),"")</f>
        <v>413.46978028281859</v>
      </c>
      <c r="CW97" s="95">
        <f ca="1">IF(AND(tblData[Dates]&gt;StartDt2Taiwan,ISNUMBER(tblData[Taiwan])),(tblData[[#This Row],[Taiwan LogiP(t)]]-tblData[[#This Row],[Taiwan]])^2,"")</f>
        <v>341.13278369559436</v>
      </c>
      <c r="CX97" s="20">
        <f ca="1">IF(AND(tblData[Dates]&gt;StartDt2Taiwan,ISNUMBER(tblData[Days'# Taiwan])),tblData[[#This Row],[Taiwan LogiP(t)]]/TaiwanPopscale,"")</f>
        <v>173.67366013592755</v>
      </c>
      <c r="CY97" s="95">
        <f ca="1">IF(AND(ISNUMBER(tblData[Taiwan]),tblData[Dates]&gt;StartDt2Taiwan),(tblData[Taiwan]-AVERAGE(tblData[Taiwan]))^2,"")</f>
        <v>50828.144559784691</v>
      </c>
      <c r="CZ97" s="11">
        <f>tblData[[#This Row],[Dates]]-Taiwan100dt+1</f>
        <v>23</v>
      </c>
      <c r="DA97" s="11">
        <v>1409</v>
      </c>
      <c r="DB97" s="20">
        <f>IF(ISNUMBER(tblData[NZ]),tblData[NZ]/NZPopscale,"")</f>
        <v>2694.0726577437858</v>
      </c>
      <c r="DC97" s="11">
        <f ca="1">IF(tblData[[#This Row],[Dates]]&lt;StartDt2NZ,"",tblData[[#This Row],[Dates]]-NZStart)</f>
        <v>49</v>
      </c>
      <c r="DD97" s="20">
        <f ca="1">IF(AND(tblData[Dates]&gt;StartDt2NZ,ISNUMBER(tblData[Days'# NZ])),betaNZ/(deltaNZ+betaPodeltaNZ*EXP(-betaNZ*tblData[Days'# NZ])),"")</f>
        <v>1425.2264700912815</v>
      </c>
      <c r="DE97" s="95">
        <f ca="1">IF(AND(tblData[Dates]&gt;StartDt2NZ,ISNUMBER(tblData[NZ])),(tblData[[#This Row],[NZ LogiP(t)]]-tblData[[#This Row],[NZ]])^2,"")</f>
        <v>263.29833162325303</v>
      </c>
      <c r="DF97" s="20">
        <f ca="1">IF(AND(tblData[Dates]&gt;StartDt2NZ,ISNUMBER(tblData[Days'# NZ])),tblData[[#This Row],[NZ LogiP(t)]]/NZPopscale,"")</f>
        <v>2725.0984131764462</v>
      </c>
      <c r="DG97" s="95">
        <f ca="1">IF(AND(ISNUMBER(tblData[NZ]),tblData[Dates]&gt;StartDt2NZ),(tblData[NZ]-AVERAGE(tblData[NZ]))^2,"")</f>
        <v>518487.27640036721</v>
      </c>
      <c r="DH97" s="11">
        <f>tblData[[#This Row],[Dates]]-NZ100dt+1</f>
        <v>27</v>
      </c>
      <c r="DI97" s="39"/>
      <c r="DJ97" s="11"/>
      <c r="DM97" s="25"/>
      <c r="DP97"/>
      <c r="DV97" s="25"/>
      <c r="DW97"/>
      <c r="EA97" s="25"/>
      <c r="EH97"/>
      <c r="EI97"/>
      <c r="EJ97"/>
      <c r="EK97"/>
      <c r="EL97" s="25"/>
      <c r="EM97" s="25"/>
      <c r="EQ97" s="25"/>
      <c r="ER97" s="25"/>
      <c r="ES97" s="25"/>
      <c r="ET97" s="25"/>
      <c r="FF97"/>
      <c r="FG97"/>
      <c r="FH97"/>
      <c r="FI97"/>
      <c r="FJ97"/>
      <c r="FK97"/>
      <c r="FL97"/>
      <c r="FN97"/>
      <c r="FO97" s="268" t="s">
        <v>153</v>
      </c>
      <c r="FP97" s="250">
        <v>43925.481956018521</v>
      </c>
      <c r="FQ97" s="243">
        <v>43855</v>
      </c>
      <c r="FR97" s="160">
        <v>43855</v>
      </c>
      <c r="FS97" s="211">
        <v>1</v>
      </c>
      <c r="FT97" s="72">
        <v>0.23800340090287611</v>
      </c>
      <c r="FU97" s="74">
        <v>8.0418953354452119E-5</v>
      </c>
      <c r="FV97" s="160">
        <v>1E-3</v>
      </c>
      <c r="FW97" s="212">
        <v>2959.5436271578865</v>
      </c>
      <c r="FX97" s="212">
        <v>23.254145872350147</v>
      </c>
      <c r="FY97" s="212">
        <v>0.9986969075537292</v>
      </c>
      <c r="FZ97" s="213">
        <v>238.00332048392275</v>
      </c>
      <c r="GA97" s="213">
        <v>8.0418953354452122E-2</v>
      </c>
      <c r="GB97" s="243">
        <v>43924</v>
      </c>
      <c r="GC97" s="23" t="s">
        <v>1658</v>
      </c>
      <c r="GD97" s="212">
        <v>2959.5436271578865</v>
      </c>
      <c r="GE97" s="212">
        <v>2389</v>
      </c>
      <c r="GF97" s="23" t="s">
        <v>1659</v>
      </c>
      <c r="GG97" s="156">
        <v>43924</v>
      </c>
      <c r="GH97" s="25">
        <v>70</v>
      </c>
      <c r="GI97" s="21" t="s">
        <v>1660</v>
      </c>
      <c r="GJ97" s="161"/>
      <c r="GK97" s="23" t="s">
        <v>1661</v>
      </c>
      <c r="GL97" s="23"/>
      <c r="GM97" s="23" t="s">
        <v>1662</v>
      </c>
      <c r="GN97" s="20">
        <v>2956.6831683168316</v>
      </c>
      <c r="GO97" s="243"/>
      <c r="GP97" s="218"/>
      <c r="GQ97" s="156"/>
      <c r="GR97" s="23"/>
      <c r="GS97" s="23" t="s">
        <v>1657</v>
      </c>
      <c r="GT97" s="11"/>
      <c r="GU97" s="12"/>
      <c r="GV97" s="26"/>
      <c r="GW97" s="25"/>
      <c r="GX97" s="219"/>
      <c r="GY97" s="25"/>
      <c r="GZ97" s="25"/>
      <c r="HQ97" s="25"/>
      <c r="HR97" s="25"/>
      <c r="HS97" s="25"/>
      <c r="HT97" s="25"/>
      <c r="HU97" s="25"/>
      <c r="HV97" s="25"/>
    </row>
    <row r="98" spans="2:238" x14ac:dyDescent="0.25">
      <c r="B98" s="26">
        <v>43939</v>
      </c>
      <c r="D98" s="25">
        <v>103</v>
      </c>
      <c r="E98">
        <v>2936</v>
      </c>
      <c r="F98">
        <v>28</v>
      </c>
      <c r="G98">
        <v>1014</v>
      </c>
      <c r="H98">
        <v>435</v>
      </c>
      <c r="I98" s="25">
        <v>191</v>
      </c>
      <c r="J98">
        <v>1319</v>
      </c>
      <c r="K98">
        <v>544</v>
      </c>
      <c r="L98" s="11">
        <f>IF(ISNUMBER(tblData[[#This Row],[NSW]]),tblData[[#This Row],[New South Wales]]/NSWpopscale,"")</f>
        <v>3633.6633663366333</v>
      </c>
      <c r="M98" s="25">
        <v>175925</v>
      </c>
      <c r="N98" s="20">
        <f>IF(ISNUMBER(tblData[Italy]),tblData[Italy]/ItalyPopscale,"")</f>
        <v>29085.723733156981</v>
      </c>
      <c r="O98" s="25">
        <v>732197</v>
      </c>
      <c r="P98" s="20">
        <f>IF(ISNUMBER(tblData[US]),tblData[US]/USPopscale,"")</f>
        <v>22239.832726613513</v>
      </c>
      <c r="Q98" s="11">
        <v>10653</v>
      </c>
      <c r="R98" s="20">
        <f>IF(ISNUMBER(tblData[SKorea]),tblData[SKorea]/SKoreaPopscale,"")</f>
        <v>2072.5680933852141</v>
      </c>
      <c r="S98">
        <v>115314</v>
      </c>
      <c r="T98" s="20">
        <f>IF(ISNUMBER(tblData[United Kingdom]),tblData[United Kingdom]/UKPopscale,"")</f>
        <v>17356.110776640577</v>
      </c>
      <c r="U98">
        <v>83787</v>
      </c>
      <c r="V98" s="20">
        <f>IF(ISNUMBER(tblData[China]),tblData[China]/ChinaPopscale,"")</f>
        <v>582.1275337565188</v>
      </c>
      <c r="W98" s="25">
        <f ca="1">IF(tblData[[#This Row],[Dates]]&lt;StartDt2China,"",tblData[[#This Row],[Dates]]-ChinaStart)</f>
        <v>87</v>
      </c>
      <c r="X98" s="20">
        <v>5992</v>
      </c>
      <c r="Y98" s="11">
        <f>IF(ISNUMBER(tblData[Singapore]),tblData[Singapore]/SingaporePopscale,"")</f>
        <v>10242.735042735043</v>
      </c>
      <c r="Z98">
        <v>14758</v>
      </c>
      <c r="AA98" s="11">
        <f>IF(AND(LEN(tblData[Generic])&gt;0,ISNUMBER(tblData[Generic])),tblData[Generic]/GenericPopscale,"")</f>
        <v>30118.367346938776</v>
      </c>
      <c r="AB98" s="25">
        <f ca="1">IF(tblData[[#This Row],[Dates]]&lt;StartDt2Italy,"",tblData[[#This Row],[Dates]]-ItalyStart)</f>
        <v>79</v>
      </c>
      <c r="AC98" s="25">
        <f ca="1">IF(tblData[[#This Row],[Dates]]&lt;=StartDt2US,"",tblData[[#This Row],[Dates]]-USStart)</f>
        <v>87</v>
      </c>
      <c r="AD98" s="25">
        <f>IF(tblData[[#This Row],[Dates]]&lt;=SKoreaStart,"",tblData[[#This Row],[Dates]]-SKoreaStart)</f>
        <v>87</v>
      </c>
      <c r="AE98" s="25">
        <f ca="1">IF(tblData[[#This Row],[Dates]]&lt;=StartDt2UK,"",tblData[[#This Row],[Dates]]-UKStart)</f>
        <v>79</v>
      </c>
      <c r="AF98" s="25">
        <f ca="1">IF(tblData[[#This Row],[Dates]]&lt;StartDt2Singapore,"",tblData[[#This Row],[Dates]]-SingaporeStart)</f>
        <v>86</v>
      </c>
      <c r="AG98" s="25">
        <f>IF(tblData[[#This Row],[Dates]]&lt;StartDt2Generic,"",tblData[[#This Row],[Dates]]-GenericStart)</f>
        <v>49</v>
      </c>
      <c r="AH98">
        <f ca="1">IF(tblData[Dates]&gt;StartDt2Au,tblData[Dates]-AuStart,"")</f>
        <v>84</v>
      </c>
      <c r="AI98" s="25">
        <f>IF(AND(COUNTBLANK(tblData[[#This Row],[Australian Capital Territory]:[Western Australia]])&lt;1,tblData[New South Wales]&gt;=0),SUM(tblData[[#This Row],[Australian Capital Territory]:[Western Australia]]),"")</f>
        <v>6570</v>
      </c>
      <c r="AJ98" s="12">
        <f>IF(ISNUMBER(tblData[Au]),tblData[Au]/AuPopScale,"")</f>
        <v>2590.2854439362877</v>
      </c>
      <c r="AK98" s="11">
        <f ca="1">IF(ISNUMBER(tblData[[#This Row],[Day'# Aust]]),betaAu/(deltaAu+betaPodeltaAu*EXP(-betaAu*tblData[[#This Row],[Day'# Aust]])),"")</f>
        <v>6591.4144403903974</v>
      </c>
      <c r="AL98" s="56">
        <f ca="1">IF(ISNUMBER(tblData[Day'# Aust]),tblData[Au LogiP(t)]/AuPopScale,"")</f>
        <v>2598.7282922214154</v>
      </c>
      <c r="AM98" s="11">
        <f ca="1">IF(AND(tblData[Dates]&gt;StartDt2Au,ISNUMBER(tblData[Au])),(tblData[[#This Row],[Au LogiP(t)]]-tblData[[#This Row],[Au]])^2,"")</f>
        <v>458.57825723388487</v>
      </c>
      <c r="AN98" s="11">
        <f ca="1">IF(AND(ISNUMBER(tblData[Au]),tblData[Dates]&gt;StartDt2Au),(tblData[Au]-AVERAGE(tblData[Au]))^2,"")</f>
        <v>16984207.016100004</v>
      </c>
      <c r="AO98" s="11">
        <f>tblData[[#This Row],[Dates]]-Au100dt</f>
        <v>34</v>
      </c>
      <c r="AP98">
        <f ca="1">IF(tblData[Dates]&gt;StartDt2NSW,tblData[Dates]-StartDt2NSW,"")</f>
        <v>84</v>
      </c>
      <c r="AQ98" s="25">
        <f>IF(tblData[[#This Row],[New South Wales]]&gt;0,tblData[[#This Row],[New South Wales]],"")</f>
        <v>2936</v>
      </c>
      <c r="AR98" s="11">
        <f ca="1">IF(tblData[Dates]&gt;StartDt2NSW,betaNSW/(deltaNSW+betaPodeltaNSW*EXP(-betaNSW*tblData[[#This Row],[Day '# NSW]])),"")</f>
        <v>2953.4154040739954</v>
      </c>
      <c r="AS98" s="12">
        <f ca="1">IF(AND(ISNUMBER(tblData[NSW]),tblData[Dates]&gt;StartDt2NSW),(tblData[[#This Row],[NSW LogiP(t)]]-tblData[[#This Row],[NSW]])^2,"")</f>
        <v>303.29629906053668</v>
      </c>
      <c r="AT98" s="39">
        <f ca="1">IF(AND(tblData[Dates]&gt;StartDt2NSW,ISNUMBER(tblData[Day'# Aust])),tblData[NSW LogiP(t)]/NSWpopscale,"")</f>
        <v>3655.2170842499941</v>
      </c>
      <c r="AU98" s="11">
        <f>tblData[[#This Row],[Dates]]-NSW100dt+1</f>
        <v>37</v>
      </c>
      <c r="AV98" s="11">
        <f ca="1">IF(AND(ISNUMBER(tblData[NSW]),tblData[Dates]&gt;StartDt2NSW),(tblData[NSW]-AVERAGE(tblData[NSW]))^2,"")</f>
        <v>3392006.2275999999</v>
      </c>
      <c r="AW98" s="11">
        <f ca="1">IF(AND(tblData[Dates]&gt;StartDt2Italy,ISNUMBER(tblData[Days'# Italy])),betaItaly/(deltaItaly+betaPodeltaItaly*EXP(-betaItaly*tblData[Days'# Italy])),"")</f>
        <v>161264.12826646003</v>
      </c>
      <c r="AX98" s="11">
        <f ca="1">IF(AND(tblData[Dates]&gt;StartDt2Italy,ISNUMBER(tblData[Italy])),(tblData[[#This Row],[Italy LogiP(t)]]-tblData[[#This Row],[Italy]])^2,"")</f>
        <v>214941159.9873113</v>
      </c>
      <c r="AY98" s="11">
        <f ca="1">IF(AND(tblData[Dates]&gt;StartDt2Italy,ISNUMBER(tblData[Days'# Italy])),tblData[[#This Row],[Italy LogiP(t)]]/ItalyPopscale,"")</f>
        <v>26661.838185741926</v>
      </c>
      <c r="AZ98" s="39">
        <f ca="1">IF(AND(ISNUMBER(tblData[Italy]),tblData[Dates]&gt;StartDt2Italy),(tblData[Italy]-AVERAGE(tblData[Italy]))^2,"")</f>
        <v>11273426561.516638</v>
      </c>
      <c r="BA98" s="11">
        <f>tblData[[#This Row],[Dates]]-Italy100dt+1</f>
        <v>52</v>
      </c>
      <c r="BB98" s="11">
        <f ca="1">IF(AND(tblData[Dates]&gt;StartDt2US,ISNUMBER(tblData[[#This Row],[Days'# US]])),betaUS/(deltaUS+betaPodeltaUS*EXP(-betaUS*tblData[Days'# US])),"")</f>
        <v>801036.46307475213</v>
      </c>
      <c r="BC98" s="11">
        <f ca="1">IF(AND(tblData[Dates]&gt;StartDt2US,ISNUMBER(tblData[US])),(tblData[[#This Row],[US LogiP(t)]]-tblData[US])^2,"")</f>
        <v>4738871676.4201622</v>
      </c>
      <c r="BD98" s="20">
        <f ca="1">IF(AND(tblData[Dates]&gt;=StartDt2US,ISNUMBER(tblData[[#This Row],[Days'# US]])),tblData[[#This Row],[US LogiP(t)]]/USPopscale,"")</f>
        <v>24330.770198048624</v>
      </c>
      <c r="BE98" s="126">
        <f ca="1">IF(AND(ISNUMBER(tblData[US]),tblData[Dates]&gt;StartDt2US),(tblData[US]-AVERAGE(tblData[US]))^2,"")</f>
        <v>258321879371.94241</v>
      </c>
      <c r="BF98" s="11">
        <f>tblData[[#This Row],[Dates]]-US100dt+1</f>
        <v>35</v>
      </c>
      <c r="BG98" s="20">
        <f ca="1">IF(tblData[Dates]&gt;StartDt2SKorea,betaSKorea/(deltaSKorea+betaPodeltaSKorea*EXP(-betaSKorea*(tblData[Dates]-StartDt2SKorea))),"")</f>
        <v>10230.137325305319</v>
      </c>
      <c r="BH98" s="20">
        <f ca="1">IF(AND(tblData[Dates]&gt;StartDt2SKorea,ISNUMBER(tblData[SKorea])),(tblData[[#This Row],[SKorea LogiP(t)]]-tblData[[#This Row],[SKorea]])^2,"")</f>
        <v>178812.84164993971</v>
      </c>
      <c r="BI98" s="20">
        <f ca="1">IF(tblData[Dates]&gt;StartDt2SKorea,tblData[[#This Row],[SKorea LogiP(t)]]/SKoreaPopscale,"")</f>
        <v>1990.2990905263268</v>
      </c>
      <c r="BJ98" s="126">
        <f ca="1">IF(AND(ISNUMBER(tblData[SKorea]),tblData[Dates]&gt;StartDt2SKorea),(tblData[SKorea]-AVERAGE(tblData[SKorea]))^2,"")</f>
        <v>23315643.060361404</v>
      </c>
      <c r="BK98" s="11">
        <f>tblData[[#This Row],[Dates]]-SKorea100dt+1</f>
        <v>56</v>
      </c>
      <c r="BL98" s="11">
        <f ca="1">IF(AND(tblData[Dates]&gt;StartDt2UK,ISNUMBER(tblData[Days'# UK])),betaUK/(deltaUK+betaPodeltaUK*EXP(-betaUK*tblData[Days'# UK])),"")</f>
        <v>132419.62096457035</v>
      </c>
      <c r="BM98" s="61">
        <f ca="1">IF(AND(tblData[Dates]&gt;StartDt2UK,ISNUMBER(tblData[United Kingdom])),(tblData[[#This Row],[UK LogiP(t)]]-tblData[[#This Row],[United Kingdom]])^2,"")</f>
        <v>292602268.58354867</v>
      </c>
      <c r="BN98" s="11">
        <f ca="1">IF(ISNUMBER(tblData[Days'# UK]),tblData[[#This Row],[UK LogiP(t)]]/UKPopscale,"")</f>
        <v>19930.707550356765</v>
      </c>
      <c r="BO98" s="126">
        <f ca="1">IF(AND(ISNUMBER(tblData[United Kingdom]),tblData[Dates]&gt;StartDt2UK),(tblData[United Kingdom]-AVERAGE(tblData[United Kingdom]))^2,"")</f>
        <v>5982553471.9584637</v>
      </c>
      <c r="BP98" s="11">
        <f>tblData[[#This Row],[Dates]]-UK100dt</f>
        <v>37</v>
      </c>
      <c r="BQ98" s="11">
        <f ca="1">IF(ISNUMBER(tblData[Days'# China]),betaChina/(deltaChina+betaPodeltaChina*EXP(-betaChina*tblData[Days'# China])),"")</f>
        <v>82125.141415814855</v>
      </c>
      <c r="BR98" s="11">
        <f ca="1">IF(ISNUMBER(tblData[China]),(tblData[[#This Row],[China LogiP(t)]]-tblData[[#This Row],[China]])^2,"")</f>
        <v>2761773.9538298561</v>
      </c>
      <c r="BS98" s="11">
        <f ca="1">tblData[[#This Row],[China LogiP(t)]]/ChinaPopscale</f>
        <v>570.58142709243248</v>
      </c>
      <c r="BT98" s="126">
        <f ca="1">IF(AND(ISNUMBER(tblData[China]),tblData[Dates]&gt;StartDt2China),(tblData[China]-AVERAGE(tblData[China]))^2,"")</f>
        <v>274980281.69204128</v>
      </c>
      <c r="BU98" s="11">
        <f>tblData[[#This Row],[Dates]]-China100dt</f>
        <v>76</v>
      </c>
      <c r="BV98" s="95">
        <f ca="1">IF(ISNUMBER(tblData[Day'# Singapore]),betaSingapore/(deltaSingapore+betaPodeltaSingapore*EXP(-betaSingapore*tblData[Day'# Singapore])),"")</f>
        <v>5132.9177948667575</v>
      </c>
      <c r="BW98" s="11">
        <f ca="1">IF(AND(ISNUMBER(tblData[Singapore]),tblData[Dates]&gt;=StartDt2Singapore),(tblData[[#This Row],[Singapore LogiP(t)]]-tblData[[#This Row],[Singapore]])^2,"")</f>
        <v>738022.23517659458</v>
      </c>
      <c r="BX98" s="20">
        <f ca="1">IF(ISNUMBER(tblData[Day'# Singapore]),tblData[Singapore LogiP(t)]/SingaporePopscale,"")</f>
        <v>8774.2184527636891</v>
      </c>
      <c r="BY98" s="95">
        <f ca="1">IF(AND(ISNUMBER(tblData[Singapore]),tblData[Dates]&gt;StartDt2Singapore),(tblData[Singapore]-AVERAGE(tblData[Singapore]))^2,"")</f>
        <v>13477680.646289887</v>
      </c>
      <c r="BZ98" s="11">
        <f>tblData[[#This Row],[Dates]]-Singapore100dt+1</f>
        <v>65</v>
      </c>
      <c r="CA98" s="11">
        <f>IF(AND(tblData[Dates]&gt;StartDt2Generic,ISNUMBER(tblData[Day'# Generic])),betaGeneric/(deltaGeneric+betaPodeltaGeneric*EXP(-betaGeneric*tblData[Day'# Generic])),"")</f>
        <v>14658.634921042625</v>
      </c>
      <c r="CB98" s="95">
        <f>IF(AND(ISNUMBER(tblData[Generic]),tblData[Dates]&gt;StartDt2Generic),(tblData[Generic LogiP(t)]-tblData[[#This Row],[Generic]])^2,"")</f>
        <v>9873.4189162053408</v>
      </c>
      <c r="CC98" s="11">
        <f>IF(AND(ISNUMBER(tblData[Day'# Generic]),tblData[Dates]&gt;StartDt2Generic),tblData[Generic LogiP(t)]/GenericPopscale,"")</f>
        <v>29915.581471515561</v>
      </c>
      <c r="CD98" s="95">
        <f>IF(AND(ISNUMBER(tblData[Generic]),tblData[Dates]&gt;StartDt2Generic),(tblData[Generic]-AVERAGE(tblData[Generic]))^2,"")</f>
        <v>66007375.25775148</v>
      </c>
      <c r="CE98" s="11">
        <f>tblData[[#This Row],[Dates]]-Generic100dt+1</f>
        <v>37</v>
      </c>
      <c r="CF98" s="11">
        <v>162180</v>
      </c>
      <c r="CG98" s="11"/>
      <c r="CH98" s="11">
        <f>IF(ISNUMBER(tblData[[#This Row],[Tests]]),tblData[[#This Row],[Tests]]-CF97,"")</f>
        <v>4662</v>
      </c>
      <c r="CI98" s="11" t="str">
        <f>IF(ISNUMBER(tblData[[#This Row],[NSW Under Investigation'']]),tblData[[#This Row],[NSW Under Investigation'']]-CG97,"")</f>
        <v/>
      </c>
      <c r="CJ98" s="11">
        <f t="shared" si="2"/>
        <v>44</v>
      </c>
      <c r="CK98" s="11">
        <f>IF(AND(tblData[[#This Row],[NSW Test Day Number]]&gt;0,ISNUMBER(tblData[[#This Row],[NSW Test Day Number]])),betaTests/(deltaTests+betaPodeltaTests*EXP(-betaTests*tblData[[#This Row],[NSW Test Day Number]])),"")</f>
        <v>169677.78565512973</v>
      </c>
      <c r="CL98" s="11">
        <f>IF(tblData[Tests]&gt;0,(tblData[[#This Row],[Tests]]-tblData[[#This Row],[NSW Test Logi]])^2,"")</f>
        <v>56216789.730269156</v>
      </c>
      <c r="CM98" s="95">
        <f>IF(tblData[Tests]&gt;=1,(tblData[Tests]-AVERAGE(tblData[Tests]))^2,"")</f>
        <v>3138593620.7859802</v>
      </c>
      <c r="CN98" s="11">
        <f>IF(ISNUMBER(tblData[Tests]),tblData[Tests]/NSWpopscale/100,"")</f>
        <v>2007.1782178217823</v>
      </c>
      <c r="CO98" s="95">
        <f ca="1">IF(AND(tblData[[#This Row],[NSW Test Day Number]]&gt;0,ISNUMBER(tblData[[#This Row],[NSW Test Day Number]])),TestsLogestB*TestsLogestM^tblData[[#This Row],[NSW Test Day Number]],"")</f>
        <v>172228.6382315738</v>
      </c>
      <c r="CP98" s="11">
        <f>IF(AND(tblData[[#This Row],[NSW Test Day Number]]&gt;0,ISNUMBER(tblData[Tests])),(tblData[Tests]-tblData[[#This Row],[NSW Test Per Capita]])^2,"")</f>
        <v>25655332837.665424</v>
      </c>
      <c r="CQ98" s="20">
        <f ca="1">IF(AND(tblData[Day '# NSW]&gt;0,ISNUMBER(tblData[[#This Row],[Day '# NSW]])),NSWLogestB*NSWLogestM^tblData[[#This Row],[Day '# NSW]]/NSWpopscale,"")</f>
        <v>4571.5996573241055</v>
      </c>
      <c r="CR98" s="39">
        <f ca="1">IF(AND(ISNUMBER(tblData[NSW]),tblData[Dates]&gt;StartDt2NSW),(tblData[NSW]/NSWpopscale-tblData[[#This Row],[NSW Cases LogEst]])^2,"")</f>
        <v>879724.48595133598</v>
      </c>
      <c r="CS98" s="39">
        <v>398</v>
      </c>
      <c r="CT98" s="19">
        <f>IF(ISNUMBER(tblData[Taiwan]),tblData[Taiwan]/TaiwanPopscale,"")</f>
        <v>167.17574059903183</v>
      </c>
      <c r="CU98" s="11">
        <f ca="1">IF(tblData[[#This Row],[Dates]]&lt;StartDt2Taiwan,"",tblData[[#This Row],[Dates]]-TaiwanStart)</f>
        <v>87</v>
      </c>
      <c r="CV98" s="19">
        <f ca="1">IF(AND(tblData[Dates]&gt;StartDt2Taiwan,ISNUMBER(tblData[Days'# Taiwan])),betaTaiwan/(deltaTaiwan+betaPodeltaTaiwan*EXP(-betaTaiwan*tblData[Days'# Taiwan])),"")</f>
        <v>415.17426307054035</v>
      </c>
      <c r="CW98" s="95">
        <f ca="1">IF(AND(tblData[Dates]&gt;StartDt2Taiwan,ISNUMBER(tblData[Taiwan])),(tblData[[#This Row],[Taiwan LogiP(t)]]-tblData[[#This Row],[Taiwan]])^2,"")</f>
        <v>294.95531201612602</v>
      </c>
      <c r="CX98" s="20">
        <f ca="1">IF(AND(tblData[Dates]&gt;StartDt2Taiwan,ISNUMBER(tblData[Days'# Taiwan])),tblData[[#This Row],[Taiwan LogiP(t)]]/TaiwanPopscale,"")</f>
        <v>174.38961031777603</v>
      </c>
      <c r="CY98" s="95">
        <f ca="1">IF(AND(ISNUMBER(tblData[Taiwan]),tblData[Dates]&gt;StartDt2Taiwan),(tblData[Taiwan]-AVERAGE(tblData[Taiwan]))^2,"")</f>
        <v>52189.850442137635</v>
      </c>
      <c r="CZ98" s="11">
        <f>tblData[[#This Row],[Dates]]-Taiwan100dt+1</f>
        <v>24</v>
      </c>
      <c r="DA98" s="11">
        <v>1422</v>
      </c>
      <c r="DB98" s="20">
        <f>IF(ISNUMBER(tblData[NZ]),tblData[NZ]/NZPopscale,"")</f>
        <v>2718.9292543021033</v>
      </c>
      <c r="DC98" s="11">
        <f ca="1">IF(tblData[[#This Row],[Dates]]&lt;StartDt2NZ,"",tblData[[#This Row],[Dates]]-NZStart)</f>
        <v>50</v>
      </c>
      <c r="DD98" s="20">
        <f ca="1">IF(AND(tblData[Dates]&gt;StartDt2NZ,ISNUMBER(tblData[Days'# NZ])),betaNZ/(deltaNZ+betaPodeltaNZ*EXP(-betaNZ*tblData[Days'# NZ])),"")</f>
        <v>1432.537187922984</v>
      </c>
      <c r="DE98" s="95">
        <f ca="1">IF(AND(tblData[Dates]&gt;StartDt2NZ,ISNUMBER(tblData[NZ])),(tblData[[#This Row],[NZ LogiP(t)]]-tblData[[#This Row],[NZ]])^2,"")</f>
        <v>111.03232932427993</v>
      </c>
      <c r="DF98" s="20">
        <f ca="1">IF(AND(tblData[Dates]&gt;StartDt2NZ,ISNUMBER(tblData[Days'# NZ])),tblData[[#This Row],[NZ LogiP(t)]]/NZPopscale,"")</f>
        <v>2739.076841152933</v>
      </c>
      <c r="DG98" s="95">
        <f ca="1">IF(AND(ISNUMBER(tblData[NZ]),tblData[Dates]&gt;StartDt2NZ),(tblData[NZ]-AVERAGE(tblData[NZ]))^2,"")</f>
        <v>537377.85215794295</v>
      </c>
      <c r="DH98" s="11">
        <f>tblData[[#This Row],[Dates]]-NZ100dt+1</f>
        <v>28</v>
      </c>
      <c r="DI98" s="39"/>
      <c r="DJ98" s="11"/>
      <c r="DM98" s="25"/>
      <c r="DP98"/>
      <c r="DV98" s="25"/>
      <c r="DW98"/>
      <c r="EA98" s="25"/>
      <c r="EH98"/>
      <c r="EI98"/>
      <c r="EJ98"/>
      <c r="EK98"/>
      <c r="EL98" s="25"/>
      <c r="EM98" s="25"/>
      <c r="EQ98" s="25"/>
      <c r="ER98" s="25"/>
      <c r="ES98" s="25"/>
      <c r="ET98" s="25"/>
      <c r="FF98"/>
      <c r="FG98"/>
      <c r="FH98"/>
      <c r="FI98"/>
      <c r="FJ98"/>
      <c r="FK98"/>
      <c r="FL98"/>
      <c r="FN98"/>
      <c r="FO98" s="265" t="s">
        <v>153</v>
      </c>
      <c r="FP98" s="250">
        <v>43925.970034722224</v>
      </c>
      <c r="FQ98" s="243">
        <v>43855</v>
      </c>
      <c r="FR98" s="26">
        <v>43855</v>
      </c>
      <c r="FS98" s="211">
        <v>1</v>
      </c>
      <c r="FT98" s="25">
        <v>0.23809866192610823</v>
      </c>
      <c r="FU98" s="72">
        <v>8.0914088793686533E-5</v>
      </c>
      <c r="FV98" s="74">
        <v>1E-3</v>
      </c>
      <c r="FW98" s="212">
        <v>2942.6106809805206</v>
      </c>
      <c r="FX98" s="214">
        <v>23.304938338560344</v>
      </c>
      <c r="FY98" s="214">
        <v>0.99885666471202728</v>
      </c>
      <c r="FZ98" s="213">
        <v>238.09858101201945</v>
      </c>
      <c r="GA98" s="213">
        <v>8.0914088793686528E-2</v>
      </c>
      <c r="GB98" s="243">
        <v>43925</v>
      </c>
      <c r="GC98" s="26" t="s">
        <v>1704</v>
      </c>
      <c r="GD98" s="214">
        <v>2942.6106809805206</v>
      </c>
      <c r="GE98" s="214">
        <v>2493</v>
      </c>
      <c r="GF98" s="73" t="s">
        <v>1705</v>
      </c>
      <c r="GG98" s="156">
        <v>43925</v>
      </c>
      <c r="GH98" s="25">
        <v>71</v>
      </c>
      <c r="GI98" s="25" t="s">
        <v>1706</v>
      </c>
      <c r="GJ98" s="25"/>
      <c r="GK98" s="62" t="s">
        <v>1707</v>
      </c>
      <c r="GL98" s="62"/>
      <c r="GM98" s="25" t="s">
        <v>1708</v>
      </c>
      <c r="GN98" s="20">
        <v>3085.3960396039602</v>
      </c>
      <c r="GO98" s="156"/>
      <c r="GP98" s="218"/>
      <c r="GQ98" s="156"/>
      <c r="GR98" s="25"/>
      <c r="GS98" s="25" t="s">
        <v>1703</v>
      </c>
      <c r="GT98" s="11"/>
      <c r="GU98" s="12"/>
      <c r="GV98" s="26"/>
      <c r="GW98" s="25"/>
      <c r="GX98" s="219"/>
      <c r="GY98" s="25"/>
      <c r="GZ98" s="25"/>
      <c r="HQ98" s="25"/>
      <c r="HR98" s="25"/>
      <c r="HS98" s="25"/>
      <c r="HT98" s="25"/>
      <c r="HU98" s="25"/>
      <c r="HV98" s="25"/>
    </row>
    <row r="99" spans="2:238" x14ac:dyDescent="0.25">
      <c r="B99" s="26">
        <v>43940</v>
      </c>
      <c r="D99" s="25">
        <v>103</v>
      </c>
      <c r="E99">
        <v>2957</v>
      </c>
      <c r="F99">
        <v>28</v>
      </c>
      <c r="G99">
        <v>1019</v>
      </c>
      <c r="H99">
        <v>435</v>
      </c>
      <c r="I99" s="25">
        <v>197</v>
      </c>
      <c r="J99">
        <v>1328</v>
      </c>
      <c r="K99">
        <v>545</v>
      </c>
      <c r="L99" s="11">
        <f>IF(ISNUMBER(tblData[[#This Row],[NSW]]),tblData[[#This Row],[New South Wales]]/NSWpopscale,"")</f>
        <v>3659.6534653465346</v>
      </c>
      <c r="M99" s="25">
        <v>178972</v>
      </c>
      <c r="N99" s="20">
        <f>IF(ISNUMBER(tblData[Italy]),tblData[Italy]/ItalyPopscale,"")</f>
        <v>29589.484996280069</v>
      </c>
      <c r="O99" s="25">
        <v>758809</v>
      </c>
      <c r="P99" s="20">
        <f>IF(ISNUMBER(tblData[US]),tblData[US]/USPopscale,"")</f>
        <v>23048.148560358582</v>
      </c>
      <c r="Q99" s="11">
        <v>10661</v>
      </c>
      <c r="R99" s="20">
        <f>IF(ISNUMBER(tblData[SKorea]),tblData[SKorea]/SKoreaPopscale,"")</f>
        <v>2074.1245136186772</v>
      </c>
      <c r="S99">
        <v>121172</v>
      </c>
      <c r="T99" s="20">
        <f>IF(ISNUMBER(tblData[United Kingdom]),tblData[United Kingdom]/UKPopscale,"")</f>
        <v>18237.808549066827</v>
      </c>
      <c r="U99">
        <v>83805</v>
      </c>
      <c r="V99" s="20">
        <f>IF(ISNUMBER(tblData[China]),tblData[China]/ChinaPopscale,"")</f>
        <v>582.25259248409725</v>
      </c>
      <c r="W99" s="25">
        <f ca="1">IF(tblData[[#This Row],[Dates]]&lt;StartDt2China,"",tblData[[#This Row],[Dates]]-ChinaStart)</f>
        <v>88</v>
      </c>
      <c r="X99" s="20">
        <v>6588</v>
      </c>
      <c r="Y99" s="11">
        <f>IF(ISNUMBER(tblData[Singapore]),tblData[Singapore]/SingaporePopscale,"")</f>
        <v>11261.538461538463</v>
      </c>
      <c r="Z99">
        <v>15251</v>
      </c>
      <c r="AA99" s="11">
        <f>IF(AND(LEN(tblData[Generic])&gt;0,ISNUMBER(tblData[Generic])),tblData[Generic]/GenericPopscale,"")</f>
        <v>31124.489795918369</v>
      </c>
      <c r="AB99" s="25">
        <f ca="1">IF(tblData[[#This Row],[Dates]]&lt;StartDt2Italy,"",tblData[[#This Row],[Dates]]-ItalyStart)</f>
        <v>80</v>
      </c>
      <c r="AC99" s="25">
        <f ca="1">IF(tblData[[#This Row],[Dates]]&lt;=StartDt2US,"",tblData[[#This Row],[Dates]]-USStart)</f>
        <v>88</v>
      </c>
      <c r="AD99" s="25">
        <f>IF(tblData[[#This Row],[Dates]]&lt;=SKoreaStart,"",tblData[[#This Row],[Dates]]-SKoreaStart)</f>
        <v>88</v>
      </c>
      <c r="AE99" s="25">
        <f ca="1">IF(tblData[[#This Row],[Dates]]&lt;=StartDt2UK,"",tblData[[#This Row],[Dates]]-UKStart)</f>
        <v>80</v>
      </c>
      <c r="AF99" s="25">
        <f ca="1">IF(tblData[[#This Row],[Dates]]&lt;StartDt2Singapore,"",tblData[[#This Row],[Dates]]-SingaporeStart)</f>
        <v>87</v>
      </c>
      <c r="AG99" s="25">
        <f>IF(tblData[[#This Row],[Dates]]&lt;StartDt2Generic,"",tblData[[#This Row],[Dates]]-GenericStart)</f>
        <v>50</v>
      </c>
      <c r="AH99">
        <f ca="1">IF(tblData[Dates]&gt;StartDt2Au,tblData[Dates]-AuStart,"")</f>
        <v>85</v>
      </c>
      <c r="AI99" s="25">
        <f>IF(AND(COUNTBLANK(tblData[[#This Row],[Australian Capital Territory]:[Western Australia]])&lt;1,tblData[New South Wales]&gt;=0),SUM(tblData[[#This Row],[Australian Capital Territory]:[Western Australia]]),"")</f>
        <v>6612</v>
      </c>
      <c r="AJ99" s="12">
        <f>IF(ISNUMBER(tblData[Au]),tblData[Au]/AuPopScale,"")</f>
        <v>2606.8443463176154</v>
      </c>
      <c r="AK99" s="11">
        <f ca="1">IF(ISNUMBER(tblData[[#This Row],[Day'# Aust]]),betaAu/(deltaAu+betaPodeltaAu*EXP(-betaAu*tblData[[#This Row],[Day'# Aust]])),"")</f>
        <v>6601.9476839816125</v>
      </c>
      <c r="AL99" s="56">
        <f ca="1">IF(ISNUMBER(tblData[Day'# Aust]),tblData[Au LogiP(t)]/AuPopScale,"")</f>
        <v>2602.8811244210742</v>
      </c>
      <c r="AM99" s="11">
        <f ca="1">IF(AND(tblData[Dates]&gt;StartDt2Au,ISNUMBER(tblData[Au])),(tblData[[#This Row],[Au LogiP(t)]]-tblData[[#This Row],[Au]])^2,"")</f>
        <v>101.04905733352993</v>
      </c>
      <c r="AN99" s="11">
        <f ca="1">IF(AND(ISNUMBER(tblData[Au]),tblData[Dates]&gt;StartDt2Au),(tblData[Au]-AVERAGE(tblData[Au]))^2,"")</f>
        <v>17332150.976100005</v>
      </c>
      <c r="AO99" s="11">
        <f>tblData[[#This Row],[Dates]]-Au100dt</f>
        <v>35</v>
      </c>
      <c r="AP99">
        <f ca="1">IF(tblData[Dates]&gt;StartDt2NSW,tblData[Dates]-StartDt2NSW,"")</f>
        <v>85</v>
      </c>
      <c r="AQ99" s="25">
        <f>IF(tblData[[#This Row],[New South Wales]]&gt;0,tblData[[#This Row],[New South Wales]],"")</f>
        <v>2957</v>
      </c>
      <c r="AR99" s="11">
        <f ca="1">IF(tblData[Dates]&gt;StartDt2NSW,betaNSW/(deltaNSW+betaPodeltaNSW*EXP(-betaNSW*tblData[[#This Row],[Day '# NSW]])),"")</f>
        <v>2957.6061172405348</v>
      </c>
      <c r="AS99" s="12">
        <f ca="1">IF(AND(ISNUMBER(tblData[NSW]),tblData[Dates]&gt;StartDt2NSW),(tblData[[#This Row],[NSW LogiP(t)]]-tblData[[#This Row],[NSW]])^2,"")</f>
        <v>0.36737810927350378</v>
      </c>
      <c r="AT99" s="39">
        <f ca="1">IF(AND(tblData[Dates]&gt;StartDt2NSW,ISNUMBER(tblData[Day'# Aust])),tblData[NSW LogiP(t)]/NSWpopscale,"")</f>
        <v>3660.4036104462061</v>
      </c>
      <c r="AU99" s="11">
        <f>tblData[[#This Row],[Dates]]-NSW100dt+1</f>
        <v>38</v>
      </c>
      <c r="AV99" s="11">
        <f ca="1">IF(AND(ISNUMBER(tblData[NSW]),tblData[Dates]&gt;StartDt2NSW),(tblData[NSW]-AVERAGE(tblData[NSW]))^2,"")</f>
        <v>3469800.3075999999</v>
      </c>
      <c r="AW99" s="11">
        <f ca="1">IF(AND(tblData[Dates]&gt;StartDt2Italy,ISNUMBER(tblData[Days'# Italy])),betaItaly/(deltaItaly+betaPodeltaItaly*EXP(-betaItaly*tblData[Days'# Italy])),"")</f>
        <v>161291.16607143715</v>
      </c>
      <c r="AX99" s="11">
        <f ca="1">IF(AND(tblData[Dates]&gt;StartDt2Italy,ISNUMBER(tblData[Italy])),(tblData[[#This Row],[Italy LogiP(t)]]-tblData[[#This Row],[Italy]])^2,"")</f>
        <v>312611888.40941912</v>
      </c>
      <c r="AY99" s="11">
        <f ca="1">IF(AND(tblData[Dates]&gt;StartDt2Italy,ISNUMBER(tblData[Days'# Italy])),tblData[[#This Row],[Italy LogiP(t)]]/ItalyPopscale,"")</f>
        <v>26666.308352721691</v>
      </c>
      <c r="AZ99" s="39">
        <f ca="1">IF(AND(ISNUMBER(tblData[Italy]),tblData[Dates]&gt;StartDt2Italy),(tblData[Italy]-AVERAGE(tblData[Italy]))^2,"")</f>
        <v>11929749713.218765</v>
      </c>
      <c r="BA99" s="11">
        <f>tblData[[#This Row],[Dates]]-Italy100dt+1</f>
        <v>53</v>
      </c>
      <c r="BB99" s="11">
        <f ca="1">IF(AND(tblData[Dates]&gt;StartDt2US,ISNUMBER(tblData[[#This Row],[Days'# US]])),betaUS/(deltaUS+betaPodeltaUS*EXP(-betaUS*tblData[Days'# US])),"")</f>
        <v>804055.82250229141</v>
      </c>
      <c r="BC99" s="11">
        <f ca="1">IF(AND(tblData[Dates]&gt;StartDt2US,ISNUMBER(tblData[US])),(tblData[[#This Row],[US LogiP(t)]]-tblData[US])^2,"")</f>
        <v>2047274946.5538645</v>
      </c>
      <c r="BD99" s="20">
        <f ca="1">IF(AND(tblData[Dates]&gt;=StartDt2US,ISNUMBER(tblData[[#This Row],[Days'# US]])),tblData[[#This Row],[US LogiP(t)]]/USPopscale,"")</f>
        <v>24422.48055552072</v>
      </c>
      <c r="BE99" s="126">
        <f ca="1">IF(AND(ISNUMBER(tblData[US]),tblData[Dates]&gt;StartDt2US),(tblData[US]-AVERAGE(tblData[US]))^2,"")</f>
        <v>286081375766.8443</v>
      </c>
      <c r="BF99" s="11">
        <f>tblData[[#This Row],[Dates]]-US100dt+1</f>
        <v>36</v>
      </c>
      <c r="BG99" s="20">
        <f ca="1">IF(tblData[Dates]&gt;StartDt2SKorea,betaSKorea/(deltaSKorea+betaPodeltaSKorea*EXP(-betaSKorea*(tblData[Dates]-StartDt2SKorea))),"")</f>
        <v>10230.796048334716</v>
      </c>
      <c r="BH99" s="20">
        <f ca="1">IF(AND(tblData[Dates]&gt;StartDt2SKorea,ISNUMBER(tblData[SKorea])),(tblData[[#This Row],[SKorea LogiP(t)]]-tblData[[#This Row],[SKorea]])^2,"")</f>
        <v>185075.44002842598</v>
      </c>
      <c r="BI99" s="20">
        <f ca="1">IF(tblData[Dates]&gt;StartDt2SKorea,tblData[[#This Row],[SKorea LogiP(t)]]/SKoreaPopscale,"")</f>
        <v>1990.4272467577271</v>
      </c>
      <c r="BJ99" s="126">
        <f ca="1">IF(AND(ISNUMBER(tblData[SKorea]),tblData[Dates]&gt;StartDt2SKorea),(tblData[SKorea]-AVERAGE(tblData[SKorea]))^2,"")</f>
        <v>23392965.099577088</v>
      </c>
      <c r="BK99" s="11">
        <f>tblData[[#This Row],[Dates]]-SKorea100dt+1</f>
        <v>57</v>
      </c>
      <c r="BL99" s="11">
        <f ca="1">IF(AND(tblData[Dates]&gt;StartDt2UK,ISNUMBER(tblData[Days'# UK])),betaUK/(deltaUK+betaPodeltaUK*EXP(-betaUK*tblData[Days'# UK])),"")</f>
        <v>134299.23463594841</v>
      </c>
      <c r="BM99" s="61">
        <f ca="1">IF(AND(tblData[Dates]&gt;StartDt2UK,ISNUMBER(tblData[United Kingdom])),(tblData[[#This Row],[UK LogiP(t)]]-tblData[[#This Row],[United Kingdom]])^2,"")</f>
        <v>172324289.18724352</v>
      </c>
      <c r="BN99" s="11">
        <f ca="1">IF(ISNUMBER(tblData[Days'# UK]),tblData[[#This Row],[UK LogiP(t)]]/UKPopscale,"")</f>
        <v>20213.611474405239</v>
      </c>
      <c r="BO99" s="126">
        <f ca="1">IF(AND(ISNUMBER(tblData[United Kingdom]),tblData[Dates]&gt;StartDt2UK),(tblData[United Kingdom]-AVERAGE(tblData[United Kingdom]))^2,"")</f>
        <v>6923066714.0435705</v>
      </c>
      <c r="BP99" s="11">
        <f>tblData[[#This Row],[Dates]]-UK100dt</f>
        <v>38</v>
      </c>
      <c r="BQ99" s="11">
        <f ca="1">IF(ISNUMBER(tblData[Days'# China]),betaChina/(deltaChina+betaPodeltaChina*EXP(-betaChina*tblData[Days'# China])),"")</f>
        <v>82125.145203766107</v>
      </c>
      <c r="BR99" s="11">
        <f ca="1">IF(ISNUMBER(tblData[China]),(tblData[[#This Row],[China LogiP(t)]]-tblData[[#This Row],[China]])^2,"")</f>
        <v>2821912.1364300125</v>
      </c>
      <c r="BS99" s="11">
        <f ca="1">tblData[[#This Row],[China LogiP(t)]]/ChinaPopscale</f>
        <v>570.58145341000818</v>
      </c>
      <c r="BT99" s="126">
        <f ca="1">IF(AND(ISNUMBER(tblData[China]),tblData[Dates]&gt;StartDt2China),(tblData[China]-AVERAGE(tblData[China]))^2,"")</f>
        <v>275577576.7508648</v>
      </c>
      <c r="BU99" s="11">
        <f>tblData[[#This Row],[Dates]]-China100dt</f>
        <v>77</v>
      </c>
      <c r="BV99" s="95">
        <f ca="1">IF(ISNUMBER(tblData[Day'# Singapore]),betaSingapore/(deltaSingapore+betaPodeltaSingapore*EXP(-betaSingapore*tblData[Day'# Singapore])),"")</f>
        <v>5709.4523655736157</v>
      </c>
      <c r="BW99" s="11">
        <f ca="1">IF(AND(ISNUMBER(tblData[Singapore]),tblData[Dates]&gt;=StartDt2Singapore),(tblData[[#This Row],[Singapore LogiP(t)]]-tblData[[#This Row],[Singapore]])^2,"")</f>
        <v>771845.94595619582</v>
      </c>
      <c r="BX99" s="20">
        <f ca="1">IF(ISNUMBER(tblData[Day'# Singapore]),tblData[Singapore LogiP(t)]/SingaporePopscale,"")</f>
        <v>9759.747633459172</v>
      </c>
      <c r="BY99" s="95">
        <f ca="1">IF(AND(ISNUMBER(tblData[Singapore]),tblData[Dates]&gt;StartDt2Singapore),(tblData[Singapore]-AVERAGE(tblData[Singapore]))^2,"")</f>
        <v>18208962.371780083</v>
      </c>
      <c r="BZ99" s="11">
        <f>tblData[[#This Row],[Dates]]-Singapore100dt+1</f>
        <v>66</v>
      </c>
      <c r="CA99" s="11">
        <f>IF(AND(tblData[Dates]&gt;StartDt2Generic,ISNUMBER(tblData[Day'# Generic])),betaGeneric/(deltaGeneric+betaPodeltaGeneric*EXP(-betaGeneric*tblData[Day'# Generic])),"")</f>
        <v>15451.826602644105</v>
      </c>
      <c r="CB99" s="95">
        <f>IF(AND(ISNUMBER(tblData[Generic]),tblData[Dates]&gt;StartDt2Generic),(tblData[Generic LogiP(t)]-tblData[[#This Row],[Generic]])^2,"")</f>
        <v>40331.324329573305</v>
      </c>
      <c r="CC99" s="11">
        <f>IF(AND(ISNUMBER(tblData[Day'# Generic]),tblData[Dates]&gt;StartDt2Generic),tblData[Generic LogiP(t)]/GenericPopscale,"")</f>
        <v>31534.340005396134</v>
      </c>
      <c r="CD99" s="95">
        <f>IF(AND(ISNUMBER(tblData[Generic]),tblData[Dates]&gt;StartDt2Generic),(tblData[Generic]-AVERAGE(tblData[Generic]))^2,"")</f>
        <v>74261173.6731361</v>
      </c>
      <c r="CE99" s="11">
        <f>tblData[[#This Row],[Dates]]-Generic100dt+1</f>
        <v>38</v>
      </c>
      <c r="CF99" s="11">
        <v>165663</v>
      </c>
      <c r="CG99" s="11"/>
      <c r="CH99" s="11">
        <f>IF(ISNUMBER(tblData[[#This Row],[Tests]]),tblData[[#This Row],[Tests]]-CF98,"")</f>
        <v>3483</v>
      </c>
      <c r="CI99" s="11" t="str">
        <f>IF(ISNUMBER(tblData[[#This Row],[NSW Under Investigation'']]),tblData[[#This Row],[NSW Under Investigation'']]-CG97,"")</f>
        <v/>
      </c>
      <c r="CJ99" s="11">
        <f t="shared" si="2"/>
        <v>45</v>
      </c>
      <c r="CK99" s="11">
        <f>IF(AND(tblData[[#This Row],[NSW Test Day Number]]&gt;0,ISNUMBER(tblData[[#This Row],[NSW Test Day Number]])),betaTests/(deltaTests+betaPodeltaTests*EXP(-betaTests*tblData[[#This Row],[NSW Test Day Number]])),"")</f>
        <v>170134.6784331791</v>
      </c>
      <c r="CL99" s="11">
        <f>IF(tblData[Tests]&gt;0,(tblData[[#This Row],[Tests]]-tblData[[#This Row],[NSW Test Logi]])^2,"")</f>
        <v>19995908.00975908</v>
      </c>
      <c r="CM99" s="95"/>
      <c r="CN99" s="11">
        <f>IF(ISNUMBER(tblData[Tests]),tblData[Tests]/NSWpopscale/100,"")</f>
        <v>2050.2846534653463</v>
      </c>
      <c r="CO99" s="95">
        <f ca="1">IF(AND(tblData[[#This Row],[NSW Test Day Number]]&gt;0,ISNUMBER(tblData[[#This Row],[NSW Test Day Number]])),TestsLogestB*TestsLogestM^tblData[[#This Row],[NSW Test Day Number]],"")</f>
        <v>182564.32591112639</v>
      </c>
      <c r="CP99" s="11">
        <f>IF(AND(tblData[[#This Row],[NSW Test Day Number]]&gt;0,ISNUMBER(tblData[Tests])),(tblData[Tests]-tblData[[#This Row],[NSW Test Per Capita]])^2,"")</f>
        <v>26769120623.066174</v>
      </c>
      <c r="CQ99" s="20">
        <f ca="1">IF(AND(tblData[Day '# NSW]&gt;0,ISNUMBER(tblData[[#This Row],[Day '# NSW]])),NSWLogestB*NSWLogestM^tblData[[#This Row],[Day '# NSW]]/NSWpopscale,"")</f>
        <v>5033.1283910123238</v>
      </c>
      <c r="CR99" s="39">
        <f ca="1">IF(AND(ISNUMBER(tblData[NSW]),tblData[Dates]&gt;StartDt2NSW),(tblData[NSW]/NSWpopscale-tblData[[#This Row],[NSW Cases LogEst]])^2,"")</f>
        <v>1886433.3714326452</v>
      </c>
      <c r="CS99" s="39">
        <v>420</v>
      </c>
      <c r="CT99" s="19">
        <f>IF(ISNUMBER(tblData[Taiwan]),tblData[Taiwan]/TaiwanPopscale,"")</f>
        <v>176.4166106823954</v>
      </c>
      <c r="CU99" s="11">
        <f ca="1">IF(tblData[[#This Row],[Dates]]&lt;StartDt2Taiwan,"",tblData[[#This Row],[Dates]]-TaiwanStart)</f>
        <v>88</v>
      </c>
      <c r="CV99" s="19">
        <f ca="1">IF(AND(tblData[Dates]&gt;StartDt2Taiwan,ISNUMBER(tblData[Days'# Taiwan])),betaTaiwan/(deltaTaiwan+betaPodeltaTaiwan*EXP(-betaTaiwan*tblData[Days'# Taiwan])),"")</f>
        <v>416.65627648056176</v>
      </c>
      <c r="CW99" s="95">
        <f ca="1">IF(AND(tblData[Dates]&gt;StartDt2Taiwan,ISNUMBER(tblData[Taiwan])),(tblData[[#This Row],[Taiwan LogiP(t)]]-tblData[[#This Row],[Taiwan]])^2,"")</f>
        <v>11.180486974444467</v>
      </c>
      <c r="CX99" s="20">
        <f ca="1">IF(AND(tblData[Dates]&gt;StartDt2Taiwan,ISNUMBER(tblData[Days'# Taiwan])),tblData[[#This Row],[Taiwan LogiP(t)]]/TaiwanPopscale,"")</f>
        <v>175.01211456249467</v>
      </c>
      <c r="CY99" s="95">
        <f ca="1">IF(AND(ISNUMBER(tblData[Taiwan]),tblData[Dates]&gt;StartDt2Taiwan),(tblData[Taiwan]-AVERAGE(tblData[Taiwan]))^2,"")</f>
        <v>62725.693579392537</v>
      </c>
      <c r="CZ99" s="11">
        <f>tblData[[#This Row],[Dates]]-Taiwan100dt+1</f>
        <v>25</v>
      </c>
      <c r="DA99" s="11">
        <v>1431</v>
      </c>
      <c r="DB99" s="20">
        <f>IF(ISNUMBER(tblData[NZ]),tblData[NZ]/NZPopscale,"")</f>
        <v>2736.1376673040154</v>
      </c>
      <c r="DC99" s="11">
        <f ca="1">IF(tblData[[#This Row],[Dates]]&lt;StartDt2NZ,"",tblData[[#This Row],[Dates]]-NZStart)</f>
        <v>51</v>
      </c>
      <c r="DD99" s="20">
        <f ca="1">IF(AND(tblData[Dates]&gt;StartDt2NZ,ISNUMBER(tblData[Days'# NZ])),betaNZ/(deltaNZ+betaPodeltaNZ*EXP(-betaNZ*tblData[Days'# NZ])),"")</f>
        <v>1438.3819268394004</v>
      </c>
      <c r="DE99" s="95">
        <f ca="1">IF(AND(tblData[Dates]&gt;StartDt2NZ,ISNUMBER(tblData[NZ])),(tblData[[#This Row],[NZ LogiP(t)]]-tblData[[#This Row],[NZ]])^2,"")</f>
        <v>54.492843862260294</v>
      </c>
      <c r="DF99" s="20">
        <f ca="1">IF(AND(tblData[Dates]&gt;StartDt2NZ,ISNUMBER(tblData[Days'# NZ])),tblData[[#This Row],[NZ LogiP(t)]]/NZPopscale,"")</f>
        <v>2750.2522501709377</v>
      </c>
      <c r="DG99" s="95">
        <f ca="1">IF(AND(ISNUMBER(tblData[NZ]),tblData[Dates]&gt;StartDt2NZ),(tblData[NZ]-AVERAGE(tblData[NZ]))^2,"")</f>
        <v>550653.94306703389</v>
      </c>
      <c r="DH99" s="11">
        <f>tblData[[#This Row],[Dates]]-NZ100dt+1</f>
        <v>29</v>
      </c>
      <c r="DI99" s="39"/>
      <c r="DJ99" s="11"/>
      <c r="DM99" s="25"/>
      <c r="DP99"/>
      <c r="DV99" s="25"/>
      <c r="DW99"/>
      <c r="EA99" s="25"/>
      <c r="EH99"/>
      <c r="EI99"/>
      <c r="EJ99"/>
      <c r="EK99"/>
      <c r="EL99" s="25"/>
      <c r="EM99" s="25"/>
      <c r="EQ99" s="25"/>
      <c r="ER99" s="25"/>
      <c r="ES99" s="25"/>
      <c r="ET99" s="25"/>
      <c r="FF99"/>
      <c r="FG99"/>
      <c r="FH99"/>
      <c r="FI99"/>
      <c r="FJ99"/>
      <c r="FK99"/>
      <c r="FL99"/>
      <c r="FN99"/>
      <c r="FO99" s="267" t="s">
        <v>153</v>
      </c>
      <c r="FP99" s="250">
        <v>43926.549479166664</v>
      </c>
      <c r="FQ99" s="243">
        <v>43855</v>
      </c>
      <c r="FR99" s="160">
        <v>43855</v>
      </c>
      <c r="FS99" s="211">
        <v>1</v>
      </c>
      <c r="FT99" s="72">
        <v>0.23813887977045664</v>
      </c>
      <c r="FU99" s="72">
        <v>8.1106576851499909E-5</v>
      </c>
      <c r="FV99" s="74">
        <v>1E-3</v>
      </c>
      <c r="FW99" s="212">
        <v>2936.1229263376649</v>
      </c>
      <c r="FX99" s="212">
        <v>23.189418164492057</v>
      </c>
      <c r="FY99" s="212">
        <v>0.99899827118047368</v>
      </c>
      <c r="FZ99" s="213">
        <v>238.13879866387978</v>
      </c>
      <c r="GA99" s="213">
        <v>8.1106576851499912E-2</v>
      </c>
      <c r="GB99" s="243">
        <v>43926</v>
      </c>
      <c r="GC99" s="160" t="s">
        <v>1704</v>
      </c>
      <c r="GD99" s="212">
        <v>2936.1229263376649</v>
      </c>
      <c r="GE99" s="212">
        <v>2580</v>
      </c>
      <c r="GF99" s="74" t="s">
        <v>1882</v>
      </c>
      <c r="GG99" s="156">
        <v>43926</v>
      </c>
      <c r="GH99" s="25">
        <v>72</v>
      </c>
      <c r="GI99" s="23" t="s">
        <v>1883</v>
      </c>
      <c r="GJ99" s="21"/>
      <c r="GK99" s="161" t="s">
        <v>1884</v>
      </c>
      <c r="GL99" s="23"/>
      <c r="GM99" s="23" t="s">
        <v>1885</v>
      </c>
      <c r="GN99" s="20">
        <v>3193.0693069306931</v>
      </c>
      <c r="GO99" s="156"/>
      <c r="GP99" s="218"/>
      <c r="GQ99" s="156"/>
      <c r="GR99" s="23"/>
      <c r="GS99" s="23" t="s">
        <v>1881</v>
      </c>
      <c r="GT99" s="11"/>
      <c r="GU99" s="34"/>
      <c r="GV99" s="26"/>
      <c r="GW99" s="25"/>
      <c r="GX99" s="219"/>
      <c r="GY99" s="25"/>
      <c r="GZ99" s="25"/>
    </row>
    <row r="100" spans="2:238" x14ac:dyDescent="0.25">
      <c r="B100" s="26">
        <v>43941</v>
      </c>
      <c r="D100" s="25">
        <v>104</v>
      </c>
      <c r="E100">
        <v>2963</v>
      </c>
      <c r="F100">
        <v>28</v>
      </c>
      <c r="G100">
        <v>1019</v>
      </c>
      <c r="H100">
        <v>435</v>
      </c>
      <c r="I100">
        <v>200</v>
      </c>
      <c r="J100">
        <v>1329</v>
      </c>
      <c r="K100">
        <v>545</v>
      </c>
      <c r="L100" s="11">
        <f>IF(ISNUMBER(tblData[[#This Row],[NSW]]),tblData[[#This Row],[New South Wales]]/NSWpopscale,"")</f>
        <v>3667.0792079207918</v>
      </c>
      <c r="M100" s="25">
        <v>181228</v>
      </c>
      <c r="N100" s="20">
        <f>IF(ISNUMBER(tblData[Italy]),tblData[Italy]/ItalyPopscale,"")</f>
        <v>29962.470033892703</v>
      </c>
      <c r="O100" s="25">
        <v>784326</v>
      </c>
      <c r="P100" s="20">
        <f>IF(ISNUMBER(tblData[US]),tblData[US]/USPopscale,"")</f>
        <v>23823.204742895519</v>
      </c>
      <c r="Q100" s="11">
        <v>10674</v>
      </c>
      <c r="R100" s="20">
        <f>IF(ISNUMBER(tblData[SKorea]),tblData[SKorea]/SKoreaPopscale,"")</f>
        <v>2076.6536964980546</v>
      </c>
      <c r="S100">
        <v>125856</v>
      </c>
      <c r="T100" s="20">
        <f>IF(ISNUMBER(tblData[United Kingdom]),tblData[United Kingdom]/UKPopscale,"")</f>
        <v>18942.805538832028</v>
      </c>
      <c r="U100">
        <v>83817</v>
      </c>
      <c r="V100" s="20">
        <f>IF(ISNUMBER(tblData[China]),tblData[China]/ChinaPopscale,"")</f>
        <v>582.33596496914959</v>
      </c>
      <c r="W100" s="25">
        <f ca="1">IF(tblData[[#This Row],[Dates]]&lt;StartDt2China,"",tblData[[#This Row],[Dates]]-ChinaStart)</f>
        <v>89</v>
      </c>
      <c r="X100" s="20">
        <v>8014</v>
      </c>
      <c r="Y100" s="11">
        <f>IF(ISNUMBER(tblData[Singapore]),tblData[Singapore]/SingaporePopscale,"")</f>
        <v>13699.145299145301</v>
      </c>
      <c r="Z100">
        <v>15652</v>
      </c>
      <c r="AA100" s="11">
        <f>IF(AND(LEN(tblData[Generic])&gt;0,ISNUMBER(tblData[Generic])),tblData[Generic]/GenericPopscale,"")</f>
        <v>31942.857142857145</v>
      </c>
      <c r="AB100" s="25">
        <f ca="1">IF(tblData[[#This Row],[Dates]]&lt;StartDt2Italy,"",tblData[[#This Row],[Dates]]-ItalyStart)</f>
        <v>81</v>
      </c>
      <c r="AC100" s="25">
        <f ca="1">IF(tblData[[#This Row],[Dates]]&lt;=StartDt2US,"",tblData[[#This Row],[Dates]]-USStart)</f>
        <v>89</v>
      </c>
      <c r="AD100" s="25">
        <f>IF(tblData[[#This Row],[Dates]]&lt;=SKoreaStart,"",tblData[[#This Row],[Dates]]-SKoreaStart)</f>
        <v>89</v>
      </c>
      <c r="AE100" s="25">
        <f ca="1">IF(tblData[[#This Row],[Dates]]&lt;=StartDt2UK,"",tblData[[#This Row],[Dates]]-UKStart)</f>
        <v>81</v>
      </c>
      <c r="AF100" s="25">
        <f ca="1">IF(tblData[[#This Row],[Dates]]&lt;StartDt2Singapore,"",tblData[[#This Row],[Dates]]-SingaporeStart)</f>
        <v>88</v>
      </c>
      <c r="AG100" s="25">
        <f>IF(tblData[[#This Row],[Dates]]&lt;StartDt2Generic,"",tblData[[#This Row],[Dates]]-GenericStart)</f>
        <v>51</v>
      </c>
      <c r="AH100">
        <f ca="1">IF(tblData[Dates]&gt;StartDt2Au,tblData[Dates]-AuStart,"")</f>
        <v>86</v>
      </c>
      <c r="AI100" s="25">
        <f>IF(AND(COUNTBLANK(tblData[[#This Row],[Australian Capital Territory]:[Western Australia]])&lt;1,tblData[New South Wales]&gt;=0),SUM(tblData[[#This Row],[Australian Capital Territory]:[Western Australia]]),"")</f>
        <v>6623</v>
      </c>
      <c r="AJ100" s="12">
        <f>IF(ISNUMBER(tblData[Au]),tblData[Au]/AuPopScale,"")</f>
        <v>2611.1812017032016</v>
      </c>
      <c r="AK100" s="11">
        <f ca="1">IF(ISNUMBER(tblData[[#This Row],[Day'# Aust]]),betaAu/(deltaAu+betaPodeltaAu*EXP(-betaAu*tblData[[#This Row],[Day'# Aust]])),"")</f>
        <v>6610.3729229042638</v>
      </c>
      <c r="AL100" s="56">
        <f ca="1">IF(ISNUMBER(tblData[Day'# Aust]),tblData[Au LogiP(t)]/AuPopScale,"")</f>
        <v>2606.2028555843967</v>
      </c>
      <c r="AM100" s="11">
        <f ca="1">IF(AND(tblData[Dates]&gt;StartDt2Au,ISNUMBER(tblData[Au])),(tblData[[#This Row],[Au LogiP(t)]]-tblData[[#This Row],[Au]])^2,"")</f>
        <v>159.44307598166677</v>
      </c>
      <c r="AN100" s="11">
        <f ca="1">IF(AND(ISNUMBER(tblData[Au]),tblData[Dates]&gt;StartDt2Au),(tblData[Au]-AVERAGE(tblData[Au]))^2,"")</f>
        <v>17423862.156100005</v>
      </c>
      <c r="AO100" s="11">
        <f>tblData[[#This Row],[Dates]]-Au100dt</f>
        <v>36</v>
      </c>
      <c r="AP100">
        <f ca="1">IF(tblData[Dates]&gt;StartDt2NSW,tblData[Dates]-StartDt2NSW,"")</f>
        <v>86</v>
      </c>
      <c r="AQ100" s="25">
        <f>IF(tblData[[#This Row],[New South Wales]]&gt;0,tblData[[#This Row],[New South Wales]],"")</f>
        <v>2963</v>
      </c>
      <c r="AR100" s="11">
        <f ca="1">IF(tblData[Dates]&gt;StartDt2NSW,betaNSW/(deltaNSW+betaPodeltaNSW*EXP(-betaNSW*tblData[[#This Row],[Day '# NSW]])),"")</f>
        <v>2960.9299580818556</v>
      </c>
      <c r="AS100" s="12">
        <f ca="1">IF(AND(ISNUMBER(tblData[NSW]),tblData[Dates]&gt;StartDt2NSW),(tblData[[#This Row],[NSW LogiP(t)]]-tblData[[#This Row],[NSW]])^2,"")</f>
        <v>4.2850735428749367</v>
      </c>
      <c r="AT100" s="39">
        <f ca="1">IF(AND(tblData[Dates]&gt;StartDt2NSW,ISNUMBER(tblData[Day'# Aust])),tblData[NSW LogiP(t)]/NSWpopscale,"")</f>
        <v>3664.5172748537816</v>
      </c>
      <c r="AU100" s="11">
        <f>tblData[[#This Row],[Dates]]-NSW100dt+1</f>
        <v>39</v>
      </c>
      <c r="AV100" s="11">
        <f ca="1">IF(AND(ISNUMBER(tblData[NSW]),tblData[Dates]&gt;StartDt2NSW),(tblData[NSW]-AVERAGE(tblData[NSW]))^2,"")</f>
        <v>3492189.1875999998</v>
      </c>
      <c r="AW100" s="11">
        <f ca="1">IF(AND(tblData[Dates]&gt;StartDt2Italy,ISNUMBER(tblData[Days'# Italy])),betaItaly/(deltaItaly+betaPodeltaItaly*EXP(-betaItaly*tblData[Days'# Italy])),"")</f>
        <v>161312.16248504372</v>
      </c>
      <c r="AX100" s="11">
        <f ca="1">IF(AND(tblData[Dates]&gt;StartDt2Italy,ISNUMBER(tblData[Italy])),(tblData[[#This Row],[Italy LogiP(t)]]-tblData[[#This Row],[Italy]])^2,"")</f>
        <v>396640583.92213988</v>
      </c>
      <c r="AY100" s="11">
        <f ca="1">IF(AND(tblData[Dates]&gt;StartDt2Italy,ISNUMBER(tblData[Days'# Italy])),tblData[[#This Row],[Italy LogiP(t)]]/ItalyPopscale,"")</f>
        <v>26669.779694972924</v>
      </c>
      <c r="AZ100" s="39">
        <f ca="1">IF(AND(ISNUMBER(tblData[Italy]),tblData[Dates]&gt;StartDt2Italy),(tblData[Italy]-AVERAGE(tblData[Italy]))^2,"")</f>
        <v>12427655201.218765</v>
      </c>
      <c r="BA100" s="11">
        <f>tblData[[#This Row],[Dates]]-Italy100dt+1</f>
        <v>54</v>
      </c>
      <c r="BB100" s="11">
        <f ca="1">IF(AND(tblData[Dates]&gt;StartDt2US,ISNUMBER(tblData[[#This Row],[Days'# US]])),betaUS/(deltaUS+betaPodeltaUS*EXP(-betaUS*tblData[Days'# US])),"")</f>
        <v>806344.28431467328</v>
      </c>
      <c r="BC100" s="11">
        <f ca="1">IF(AND(tblData[Dates]&gt;StartDt2US,ISNUMBER(tblData[US])),(tblData[[#This Row],[US LogiP(t)]]-tblData[US])^2,"")</f>
        <v>484804844.16178727</v>
      </c>
      <c r="BD100" s="20">
        <f ca="1">IF(AND(tblData[Dates]&gt;=StartDt2US,ISNUMBER(tblData[[#This Row],[Days'# US]])),tblData[[#This Row],[US LogiP(t)]]/USPopscale,"")</f>
        <v>24491.990547925245</v>
      </c>
      <c r="BE100" s="126">
        <f ca="1">IF(AND(ISNUMBER(tblData[US]),tblData[Dates]&gt;StartDt2US),(tblData[US]-AVERAGE(tblData[US]))^2,"")</f>
        <v>314028831991.51099</v>
      </c>
      <c r="BF100" s="11">
        <f>tblData[[#This Row],[Dates]]-US100dt+1</f>
        <v>37</v>
      </c>
      <c r="BG100" s="20">
        <f ca="1">IF(tblData[Dates]&gt;StartDt2SKorea,betaSKorea/(deltaSKorea+betaPodeltaSKorea*EXP(-betaSKorea*(tblData[Dates]-StartDt2SKorea))),"")</f>
        <v>10231.347802369106</v>
      </c>
      <c r="BH100" s="20">
        <f ca="1">IF(AND(tblData[Dates]&gt;StartDt2SKorea,ISNUMBER(tblData[SKorea])),(tblData[[#This Row],[SKorea LogiP(t)]]-tblData[[#This Row],[SKorea]])^2,"")</f>
        <v>195940.96806746011</v>
      </c>
      <c r="BI100" s="20">
        <f ca="1">IF(tblData[Dates]&gt;StartDt2SKorea,tblData[[#This Row],[SKorea LogiP(t)]]/SKoreaPopscale,"")</f>
        <v>1990.5345919006045</v>
      </c>
      <c r="BJ100" s="126">
        <f ca="1">IF(AND(ISNUMBER(tblData[SKorea]),tblData[Dates]&gt;StartDt2SKorea),(tblData[SKorea]-AVERAGE(tblData[SKorea]))^2,"")</f>
        <v>23518886.413302578</v>
      </c>
      <c r="BK100" s="11">
        <f>tblData[[#This Row],[Dates]]-SKorea100dt+1</f>
        <v>58</v>
      </c>
      <c r="BL100" s="11">
        <f ca="1">IF(AND(tblData[Dates]&gt;StartDt2UK,ISNUMBER(tblData[Days'# UK])),betaUK/(deltaUK+betaPodeltaUK*EXP(-betaUK*tblData[Days'# UK])),"")</f>
        <v>135857.3676947717</v>
      </c>
      <c r="BM100" s="61">
        <f ca="1">IF(AND(tblData[Dates]&gt;StartDt2UK,ISNUMBER(tblData[United Kingdom])),(tblData[[#This Row],[UK LogiP(t)]]-tblData[[#This Row],[United Kingdom]])^2,"")</f>
        <v>100027355.76602305</v>
      </c>
      <c r="BN100" s="11">
        <f ca="1">IF(ISNUMBER(tblData[Days'# UK]),tblData[[#This Row],[UK LogiP(t)]]/UKPopscale,"")</f>
        <v>20448.128792108924</v>
      </c>
      <c r="BO100" s="126">
        <f ca="1">IF(AND(ISNUMBER(tblData[United Kingdom]),tblData[Dates]&gt;StartDt2UK),(tblData[United Kingdom]-AVERAGE(tblData[United Kingdom]))^2,"")</f>
        <v>7724470711.064847</v>
      </c>
      <c r="BP100" s="11">
        <f>tblData[[#This Row],[Dates]]-UK100dt</f>
        <v>39</v>
      </c>
      <c r="BQ100" s="11">
        <f ca="1">IF(ISNUMBER(tblData[Days'# China]),betaChina/(deltaChina+betaPodeltaChina*EXP(-betaChina*tblData[Days'# China])),"")</f>
        <v>82125.14824105383</v>
      </c>
      <c r="BR100" s="11">
        <f ca="1">IF(ISNUMBER(tblData[China]),(tblData[[#This Row],[China LogiP(t)]]-tblData[[#This Row],[China]])^2,"")</f>
        <v>2862362.3742492488</v>
      </c>
      <c r="BS100" s="11">
        <f ca="1">tblData[[#This Row],[China LogiP(t)]]/ChinaPopscale</f>
        <v>570.58147451219361</v>
      </c>
      <c r="BT100" s="126">
        <f ca="1">IF(AND(ISNUMBER(tblData[China]),tblData[Dates]&gt;StartDt2China),(tblData[China]-AVERAGE(tblData[China]))^2,"")</f>
        <v>275976133.45674717</v>
      </c>
      <c r="BU100" s="11">
        <f>tblData[[#This Row],[Dates]]-China100dt</f>
        <v>78</v>
      </c>
      <c r="BV100" s="95">
        <f ca="1">IF(ISNUMBER(tblData[Day'# Singapore]),betaSingapore/(deltaSingapore+betaPodeltaSingapore*EXP(-betaSingapore*tblData[Day'# Singapore])),"")</f>
        <v>6337.2381442614114</v>
      </c>
      <c r="BW100" s="11">
        <f ca="1">IF(AND(ISNUMBER(tblData[Singapore]),tblData[Dates]&gt;=StartDt2Singapore),(tblData[[#This Row],[Singapore LogiP(t)]]-tblData[[#This Row],[Singapore]])^2,"")</f>
        <v>2811530.3208599151</v>
      </c>
      <c r="BX100" s="20">
        <f ca="1">IF(ISNUMBER(tblData[Day'# Singapore]),tblData[Singapore LogiP(t)]/SingaporePopscale,"")</f>
        <v>10832.885716686174</v>
      </c>
      <c r="BY100" s="95">
        <f ca="1">IF(AND(ISNUMBER(tblData[Singapore]),tblData[Dates]&gt;StartDt2Singapore),(tblData[Singapore]-AVERAGE(tblData[Singapore]))^2,"")</f>
        <v>32412481.587466355</v>
      </c>
      <c r="BZ100" s="11">
        <f>tblData[[#This Row],[Dates]]-Singapore100dt+1</f>
        <v>67</v>
      </c>
      <c r="CA100" s="11">
        <f>IF(AND(tblData[Dates]&gt;StartDt2Generic,ISNUMBER(tblData[Day'# Generic])),betaGeneric/(deltaGeneric+betaPodeltaGeneric*EXP(-betaGeneric*tblData[Day'# Generic])),"")</f>
        <v>16223.218743945778</v>
      </c>
      <c r="CB100" s="95">
        <f>IF(AND(ISNUMBER(tblData[Generic]),tblData[Dates]&gt;StartDt2Generic),(tblData[Generic LogiP(t)]-tblData[[#This Row],[Generic]])^2,"")</f>
        <v>326290.85343499173</v>
      </c>
      <c r="CC100" s="11">
        <f>IF(AND(ISNUMBER(tblData[Day'# Generic]),tblData[Dates]&gt;StartDt2Generic),tblData[Generic LogiP(t)]/GenericPopscale,"")</f>
        <v>33108.609681521993</v>
      </c>
      <c r="CD100" s="95">
        <f>IF(AND(ISNUMBER(tblData[Generic]),tblData[Dates]&gt;StartDt2Generic),(tblData[Generic]-AVERAGE(tblData[Generic]))^2,"")</f>
        <v>81333203.503905326</v>
      </c>
      <c r="CE100" s="11">
        <f>tblData[[#This Row],[Dates]]-Generic100dt+1</f>
        <v>39</v>
      </c>
      <c r="CF100" s="11">
        <v>168159</v>
      </c>
      <c r="CG100" s="11"/>
      <c r="CH100" s="11">
        <f>IF(ISNUMBER(tblData[[#This Row],[Tests]]),tblData[[#This Row],[Tests]]-CF99,"")</f>
        <v>2496</v>
      </c>
      <c r="CI100" s="11" t="str">
        <f>IF(ISNUMBER(tblData[[#This Row],[NSW Under Investigation'']]),tblData[[#This Row],[NSW Under Investigation'']]-CG99,"")</f>
        <v/>
      </c>
      <c r="CJ100" s="11">
        <f t="shared" si="2"/>
        <v>46</v>
      </c>
      <c r="CK100" s="11">
        <f>IF(AND(tblData[[#This Row],[NSW Test Day Number]]&gt;0,ISNUMBER(tblData[[#This Row],[NSW Test Day Number]])),betaTests/(deltaTests+betaPodeltaTests*EXP(-betaTests*tblData[[#This Row],[NSW Test Day Number]])),"")</f>
        <v>170519.70620857764</v>
      </c>
      <c r="CL100" s="11">
        <f>IF(tblData[Tests]&gt;0,(tblData[[#This Row],[Tests]]-tblData[[#This Row],[NSW Test Logi]])^2,"")</f>
        <v>5572933.8032170227</v>
      </c>
      <c r="CM100" s="95">
        <f>IF(AND(ISNUMBER(tblData[Tests]),tblData[Dates]&gt;StartDt2Tests),(tblData[Tests]-AVERAGE(tblData[Tests]))^2,"")</f>
        <v>3844266919.8876753</v>
      </c>
      <c r="CN100" s="11">
        <f>IF(ISNUMBER(tblData[Tests]),tblData[Tests]/NSWpopscale/100,"")</f>
        <v>2081.1757425742571</v>
      </c>
      <c r="CO100" s="95">
        <f ca="1">IF(AND(tblData[[#This Row],[NSW Test Day Number]]&gt;0,ISNUMBER(tblData[[#This Row],[NSW Test Day Number]])),TestsLogestB*TestsLogestM^tblData[[#This Row],[NSW Test Day Number]],"")</f>
        <v>193520.27303711092</v>
      </c>
      <c r="CP100" s="11">
        <f>IF(AND(tblData[[#This Row],[NSW Test Day Number]]&gt;0,ISNUMBER(tblData[Tests])),(tblData[Tests]-tblData[[#This Row],[NSW Test Per Capita]])^2,"")</f>
        <v>27581843710.080387</v>
      </c>
      <c r="CQ100" s="20">
        <f ca="1">IF(AND(tblData[Day '# NSW]&gt;0,ISNUMBER(tblData[[#This Row],[Day '# NSW]])),NSWLogestB*NSWLogestM^tblData[[#This Row],[Day '# NSW]]/NSWpopscale,"")</f>
        <v>5541.2510498003903</v>
      </c>
      <c r="CR100" s="39">
        <f ca="1">IF(AND(ISNUMBER(tblData[NSW]),tblData[Dates]&gt;StartDt2NSW),(tblData[NSW]/NSWpopscale-tblData[[#This Row],[NSW Cases LogEst]])^2,"")</f>
        <v>3512520.0928943669</v>
      </c>
      <c r="CS100" s="39">
        <v>422</v>
      </c>
      <c r="CT100" s="19">
        <f>IF(ISNUMBER(tblData[Taiwan]),tblData[Taiwan]/TaiwanPopscale,"")</f>
        <v>177.25668978088299</v>
      </c>
      <c r="CU100" s="11">
        <f ca="1">IF(tblData[[#This Row],[Dates]]&lt;StartDt2Taiwan,"",tblData[[#This Row],[Dates]]-TaiwanStart)</f>
        <v>89</v>
      </c>
      <c r="CV100" s="19">
        <f ca="1">IF(AND(tblData[Dates]&gt;StartDt2Taiwan,ISNUMBER(tblData[Days'# Taiwan])),betaTaiwan/(deltaTaiwan+betaPodeltaTaiwan*EXP(-betaTaiwan*tblData[Days'# Taiwan])),"")</f>
        <v>417.94353174472536</v>
      </c>
      <c r="CW100" s="95">
        <f ca="1">IF(AND(tblData[Dates]&gt;StartDt2Taiwan,ISNUMBER(tblData[Taiwan])),(tblData[[#This Row],[Taiwan LogiP(t)]]-tblData[[#This Row],[Taiwan]])^2,"")</f>
        <v>16.454934706050864</v>
      </c>
      <c r="CX100" s="20">
        <f ca="1">IF(AND(tblData[Dates]&gt;StartDt2Taiwan,ISNUMBER(tblData[Days'# Taiwan])),tblData[[#This Row],[Taiwan LogiP(t)]]/TaiwanPopscale,"")</f>
        <v>175.55281268341565</v>
      </c>
      <c r="CY100" s="95">
        <f ca="1">IF(AND(ISNUMBER(tblData[Taiwan]),tblData[Dates]&gt;StartDt2Taiwan),(tblData[Taiwan]-AVERAGE(tblData[Taiwan]))^2,"")</f>
        <v>63731.497500961166</v>
      </c>
      <c r="CZ100" s="11">
        <f>tblData[[#This Row],[Dates]]-Taiwan100dt+1</f>
        <v>26</v>
      </c>
      <c r="DA100" s="11">
        <v>1440</v>
      </c>
      <c r="DB100" s="20">
        <f>IF(ISNUMBER(tblData[NZ]),tblData[NZ]/NZPopscale,"")</f>
        <v>2753.3460803059274</v>
      </c>
      <c r="DC100" s="11">
        <f ca="1">IF(tblData[[#This Row],[Dates]]&lt;StartDt2NZ,"",tblData[[#This Row],[Dates]]-NZStart)</f>
        <v>52</v>
      </c>
      <c r="DD100" s="20">
        <f ca="1">IF(AND(tblData[Dates]&gt;StartDt2NZ,ISNUMBER(tblData[Days'# NZ])),betaNZ/(deltaNZ+betaPodeltaNZ*EXP(-betaNZ*tblData[Days'# NZ])),"")</f>
        <v>1443.0458792077961</v>
      </c>
      <c r="DE100" s="95">
        <f ca="1">IF(AND(tblData[Dates]&gt;StartDt2NZ,ISNUMBER(tblData[NZ])),(tblData[[#This Row],[NZ LogiP(t)]]-tblData[[#This Row],[NZ]])^2,"")</f>
        <v>9.2773801484848004</v>
      </c>
      <c r="DF100" s="20">
        <f ca="1">IF(AND(tblData[Dates]&gt;StartDt2NZ,ISNUMBER(tblData[Days'# NZ])),tblData[[#This Row],[NZ LogiP(t)]]/NZPopscale,"")</f>
        <v>2759.1699411238933</v>
      </c>
      <c r="DG100" s="95">
        <f ca="1">IF(AND(ISNUMBER(tblData[NZ]),tblData[Dates]&gt;StartDt2NZ),(tblData[NZ]-AVERAGE(tblData[NZ]))^2,"")</f>
        <v>564092.03397612483</v>
      </c>
      <c r="DH100" s="11">
        <f>tblData[[#This Row],[Dates]]-NZ100dt+1</f>
        <v>30</v>
      </c>
      <c r="DI100" s="39"/>
      <c r="DJ100" s="11"/>
      <c r="DM100" s="25"/>
      <c r="DP100"/>
      <c r="DV100" s="25"/>
      <c r="DW100"/>
      <c r="EA100" s="25"/>
      <c r="EH100"/>
      <c r="EI100"/>
      <c r="EJ100"/>
      <c r="EK100"/>
      <c r="EL100" s="25"/>
      <c r="EM100" s="25"/>
      <c r="EQ100" s="25"/>
      <c r="ER100" s="25"/>
      <c r="ES100" s="25"/>
      <c r="ET100" s="25"/>
      <c r="FF100"/>
      <c r="FG100"/>
      <c r="FH100"/>
      <c r="FI100"/>
      <c r="FJ100"/>
      <c r="FK100"/>
      <c r="FL100"/>
      <c r="FN100"/>
      <c r="FO100" s="267" t="s">
        <v>153</v>
      </c>
      <c r="FP100" s="250">
        <v>43927.804224537038</v>
      </c>
      <c r="FQ100" s="243">
        <v>43855</v>
      </c>
      <c r="FR100" s="160">
        <v>43855</v>
      </c>
      <c r="FS100" s="211">
        <v>1</v>
      </c>
      <c r="FT100" s="72">
        <v>0.23818760230762054</v>
      </c>
      <c r="FU100" s="72">
        <v>8.1322623084994602E-5</v>
      </c>
      <c r="FV100" s="74">
        <v>1E-3</v>
      </c>
      <c r="FW100" s="212">
        <v>2928.9217842700177</v>
      </c>
      <c r="FX100" s="212">
        <v>23.118252711343441</v>
      </c>
      <c r="FY100" s="212">
        <v>0.99910698424657041</v>
      </c>
      <c r="FZ100" s="213">
        <v>238.18752098499743</v>
      </c>
      <c r="GA100" s="213">
        <v>8.1322623084994605E-2</v>
      </c>
      <c r="GB100" s="243">
        <v>43927</v>
      </c>
      <c r="GC100" s="160" t="s">
        <v>1918</v>
      </c>
      <c r="GD100" s="212">
        <v>2928.9217842700177</v>
      </c>
      <c r="GE100" s="212">
        <v>2637</v>
      </c>
      <c r="GF100" s="74" t="s">
        <v>1919</v>
      </c>
      <c r="GG100" s="156">
        <v>43927</v>
      </c>
      <c r="GH100" s="25">
        <v>73</v>
      </c>
      <c r="GI100" s="23" t="s">
        <v>1920</v>
      </c>
      <c r="GJ100" s="21"/>
      <c r="GK100" s="161" t="s">
        <v>1921</v>
      </c>
      <c r="GL100" s="23"/>
      <c r="GM100" s="23" t="s">
        <v>1922</v>
      </c>
      <c r="GN100" s="20">
        <v>3263.6138613861385</v>
      </c>
      <c r="GO100" s="243"/>
      <c r="GP100" s="218"/>
      <c r="GQ100" s="243"/>
      <c r="GR100" s="23"/>
      <c r="GS100" s="23" t="s">
        <v>1917</v>
      </c>
      <c r="GT100" s="11"/>
      <c r="GU100" s="34"/>
      <c r="GV100" s="26"/>
      <c r="GW100" s="25"/>
      <c r="GX100" s="219"/>
      <c r="GY100" s="25"/>
      <c r="GZ100" s="25"/>
    </row>
    <row r="101" spans="2:238" x14ac:dyDescent="0.25">
      <c r="B101" s="26">
        <f t="shared" ref="B101:B116" si="4">B100+1</f>
        <v>43942</v>
      </c>
      <c r="D101" s="25">
        <v>104</v>
      </c>
      <c r="E101">
        <v>2969</v>
      </c>
      <c r="F101">
        <v>28</v>
      </c>
      <c r="G101">
        <v>1024</v>
      </c>
      <c r="H101">
        <v>437</v>
      </c>
      <c r="I101">
        <v>201</v>
      </c>
      <c r="J101">
        <v>1336</v>
      </c>
      <c r="K101">
        <v>546</v>
      </c>
      <c r="L101" s="11">
        <f>IF(ISNUMBER(tblData[[#This Row],[NSW]]),tblData[[#This Row],[New South Wales]]/NSWpopscale,"")</f>
        <v>3674.5049504950493</v>
      </c>
      <c r="M101" s="25">
        <v>183957</v>
      </c>
      <c r="N101" s="20">
        <f>IF(ISNUMBER(tblData[Italy]),tblData[Italy]/ItalyPopscale,"")</f>
        <v>30413.656278416136</v>
      </c>
      <c r="O101" s="25">
        <v>811865</v>
      </c>
      <c r="P101" s="20">
        <f>IF(ISNUMBER(tblData[US]),tblData[US]/USPopscale,"")</f>
        <v>24659.677377252403</v>
      </c>
      <c r="Q101" s="11">
        <v>10683</v>
      </c>
      <c r="R101" s="20">
        <f>IF(ISNUMBER(tblData[SKorea]),tblData[SKorea]/SKoreaPopscale,"")</f>
        <v>2078.4046692607003</v>
      </c>
      <c r="S101">
        <v>130172</v>
      </c>
      <c r="T101" s="20">
        <f>IF(ISNUMBER(tblData[United Kingdom]),tblData[United Kingdom]/UKPopscale,"")</f>
        <v>19592.414208308248</v>
      </c>
      <c r="U101">
        <v>83853</v>
      </c>
      <c r="V101" s="20">
        <f>IF(ISNUMBER(tblData[China]),tblData[China]/ChinaPopscale,"")</f>
        <v>582.58608242430648</v>
      </c>
      <c r="W101" s="25">
        <f ca="1">IF(tblData[[#This Row],[Dates]]&lt;StartDt2China,"",tblData[[#This Row],[Dates]]-ChinaStart)</f>
        <v>90</v>
      </c>
      <c r="X101" s="20">
        <v>9125</v>
      </c>
      <c r="Y101" s="11">
        <f>IF(ISNUMBER(tblData[Singapore]),tblData[Singapore]/SingaporePopscale,"")</f>
        <v>15598.2905982906</v>
      </c>
      <c r="Z101">
        <v>16040</v>
      </c>
      <c r="AA101" s="11">
        <f>IF(AND(LEN(tblData[Generic])&gt;0,ISNUMBER(tblData[Generic])),tblData[Generic]/GenericPopscale,"")</f>
        <v>32734.693877551021</v>
      </c>
      <c r="AB101" s="25">
        <f ca="1">IF(tblData[[#This Row],[Dates]]&lt;StartDt2Italy,"",tblData[[#This Row],[Dates]]-ItalyStart)</f>
        <v>82</v>
      </c>
      <c r="AC101" s="25">
        <f ca="1">IF(tblData[[#This Row],[Dates]]&lt;=StartDt2US,"",tblData[[#This Row],[Dates]]-USStart)</f>
        <v>90</v>
      </c>
      <c r="AD101" s="25">
        <f>IF(tblData[[#This Row],[Dates]]&lt;=SKoreaStart,"",tblData[[#This Row],[Dates]]-SKoreaStart)</f>
        <v>90</v>
      </c>
      <c r="AE101" s="25">
        <f ca="1">IF(tblData[[#This Row],[Dates]]&lt;=StartDt2UK,"",tblData[[#This Row],[Dates]]-UKStart)</f>
        <v>82</v>
      </c>
      <c r="AF101" s="25">
        <f ca="1">IF(tblData[[#This Row],[Dates]]&lt;StartDt2Singapore,"",tblData[[#This Row],[Dates]]-SingaporeStart)</f>
        <v>89</v>
      </c>
      <c r="AG101" s="25">
        <f>IF(tblData[[#This Row],[Dates]]&lt;StartDt2Generic,"",tblData[[#This Row],[Dates]]-GenericStart)</f>
        <v>52</v>
      </c>
      <c r="AH101">
        <f ca="1">IF(tblData[Dates]&gt;StartDt2Au,tblData[Dates]-AuStart,"")</f>
        <v>87</v>
      </c>
      <c r="AI101" s="25">
        <f>IF(AND(COUNTBLANK(tblData[[#This Row],[Australian Capital Territory]:[Western Australia]])&lt;1,tblData[New South Wales]&gt;=0),SUM(tblData[[#This Row],[Australian Capital Territory]:[Western Australia]]),"")</f>
        <v>6645</v>
      </c>
      <c r="AJ101" s="12">
        <f>IF(ISNUMBER(tblData[Au]),tblData[Au]/AuPopScale,"")</f>
        <v>2619.8549124743731</v>
      </c>
      <c r="AK101" s="11">
        <f ca="1">IF(ISNUMBER(tblData[[#This Row],[Day'# Aust]]),betaAu/(deltaAu+betaPodeltaAu*EXP(-betaAu*tblData[[#This Row],[Day'# Aust]])),"")</f>
        <v>6617.1081327990514</v>
      </c>
      <c r="AL101" s="56">
        <f ca="1">IF(ISNUMBER(tblData[Day'# Aust]),tblData[Au LogiP(t)]/AuPopScale,"")</f>
        <v>2608.8582766121476</v>
      </c>
      <c r="AM101" s="11">
        <f ca="1">IF(AND(tblData[Dates]&gt;StartDt2Au,ISNUMBER(tblData[Au])),(tblData[[#This Row],[Au LogiP(t)]]-tblData[[#This Row],[Au]])^2,"")</f>
        <v>777.95625595535125</v>
      </c>
      <c r="AN101" s="11">
        <f ca="1">IF(AND(ISNUMBER(tblData[Au]),tblData[Dates]&gt;StartDt2Au),(tblData[Au]-AVERAGE(tblData[Au]))^2,"")</f>
        <v>17608010.516100004</v>
      </c>
      <c r="AO101" s="11">
        <f>tblData[[#This Row],[Dates]]-Au100dt</f>
        <v>37</v>
      </c>
      <c r="AP101">
        <f ca="1">IF(tblData[Dates]&gt;StartDt2NSW,tblData[Dates]-StartDt2NSW,"")</f>
        <v>87</v>
      </c>
      <c r="AQ101" s="25">
        <f>IF(tblData[[#This Row],[New South Wales]]&gt;0,tblData[[#This Row],[New South Wales]],"")</f>
        <v>2969</v>
      </c>
      <c r="AR101" s="11">
        <f ca="1">IF(tblData[Dates]&gt;StartDt2NSW,betaNSW/(deltaNSW+betaPodeltaNSW*EXP(-betaNSW*tblData[[#This Row],[Day '# NSW]])),"")</f>
        <v>2963.564851206309</v>
      </c>
      <c r="AS101" s="12">
        <f ca="1">IF(AND(ISNUMBER(tblData[NSW]),tblData[Dates]&gt;StartDt2NSW),(tblData[[#This Row],[NSW LogiP(t)]]-tblData[[#This Row],[NSW]])^2,"")</f>
        <v>29.540842409561186</v>
      </c>
      <c r="AT101" s="39">
        <f ca="1">IF(AND(tblData[Dates]&gt;StartDt2NSW,ISNUMBER(tblData[Day'# Aust])),tblData[NSW LogiP(t)]/NSWpopscale,"")</f>
        <v>3667.7782811959269</v>
      </c>
      <c r="AU101" s="11">
        <f>tblData[[#This Row],[Dates]]-NSW100dt+1</f>
        <v>40</v>
      </c>
      <c r="AV101" s="11">
        <f ca="1">IF(AND(ISNUMBER(tblData[NSW]),tblData[Dates]&gt;StartDt2NSW),(tblData[NSW]-AVERAGE(tblData[NSW]))^2,"")</f>
        <v>3514650.0676000002</v>
      </c>
      <c r="AW101" s="11">
        <f ca="1">IF(AND(tblData[Dates]&gt;StartDt2Italy,ISNUMBER(tblData[Days'# Italy])),betaItaly/(deltaItaly+betaPodeltaItaly*EXP(-betaItaly*tblData[Days'# Italy])),"")</f>
        <v>161328.46632453101</v>
      </c>
      <c r="AX101" s="11">
        <f ca="1">IF(AND(tblData[Dates]&gt;StartDt2Italy,ISNUMBER(tblData[Italy])),(tblData[[#This Row],[Italy LogiP(t)]]-tblData[[#This Row],[Italy]])^2,"")</f>
        <v>512050536.30183423</v>
      </c>
      <c r="AY101" s="11">
        <f ca="1">IF(AND(tblData[Dates]&gt;StartDt2Italy,ISNUMBER(tblData[Days'# Italy])),tblData[[#This Row],[Italy LogiP(t)]]/ItalyPopscale,"")</f>
        <v>26672.475212785157</v>
      </c>
      <c r="AZ101" s="39">
        <f ca="1">IF(AND(ISNUMBER(tblData[Italy]),tblData[Dates]&gt;StartDt2Italy),(tblData[Italy]-AVERAGE(tblData[Italy]))^2,"")</f>
        <v>13043557172.580467</v>
      </c>
      <c r="BA101" s="11">
        <f>tblData[[#This Row],[Dates]]-Italy100dt+1</f>
        <v>55</v>
      </c>
      <c r="BB101" s="11">
        <f ca="1">IF(AND(tblData[Dates]&gt;StartDt2US,ISNUMBER(tblData[[#This Row],[Days'# US]])),betaUS/(deltaUS+betaPodeltaUS*EXP(-betaUS*tblData[Days'# US])),"")</f>
        <v>808075.97488432936</v>
      </c>
      <c r="BC101" s="11">
        <f ca="1">IF(AND(tblData[Dates]&gt;StartDt2US,ISNUMBER(tblData[US])),(tblData[[#This Row],[US LogiP(t)]]-tblData[US])^2,"")</f>
        <v>14356711.32718288</v>
      </c>
      <c r="BD101" s="20">
        <f ca="1">IF(AND(tblData[Dates]&gt;=StartDt2US,ISNUMBER(tblData[[#This Row],[Days'# US]])),tblData[[#This Row],[US LogiP(t)]]/USPopscale,"")</f>
        <v>24544.589108972894</v>
      </c>
      <c r="BE101" s="126">
        <f ca="1">IF(AND(ISNUMBER(tblData[US]),tblData[Dates]&gt;StartDt2US),(tblData[US]-AVERAGE(tblData[US]))^2,"")</f>
        <v>345651989887.00116</v>
      </c>
      <c r="BF101" s="11">
        <f>tblData[[#This Row],[Dates]]-US100dt+1</f>
        <v>38</v>
      </c>
      <c r="BG101" s="20">
        <f ca="1">IF(tblData[Dates]&gt;StartDt2SKorea,betaSKorea/(deltaSKorea+betaPodeltaSKorea*EXP(-betaSKorea*(tblData[Dates]-StartDt2SKorea))),"")</f>
        <v>10231.809949052658</v>
      </c>
      <c r="BH101" s="20">
        <f ca="1">IF(AND(tblData[Dates]&gt;StartDt2SKorea,ISNUMBER(tblData[SKorea])),(tblData[[#This Row],[SKorea LogiP(t)]]-tblData[[#This Row],[SKorea]])^2,"")</f>
        <v>203572.46207386476</v>
      </c>
      <c r="BI101" s="20">
        <f ca="1">IF(tblData[Dates]&gt;StartDt2SKorea,tblData[[#This Row],[SKorea LogiP(t)]]/SKoreaPopscale,"")</f>
        <v>1990.6245037067431</v>
      </c>
      <c r="BJ101" s="126">
        <f ca="1">IF(AND(ISNUMBER(tblData[SKorea]),tblData[Dates]&gt;StartDt2SKorea),(tblData[SKorea]-AVERAGE(tblData[SKorea]))^2,"")</f>
        <v>23606260.707420226</v>
      </c>
      <c r="BK101" s="11">
        <f>tblData[[#This Row],[Dates]]-SKorea100dt+1</f>
        <v>59</v>
      </c>
      <c r="BL101" s="11">
        <f ca="1">IF(AND(tblData[Dates]&gt;StartDt2UK,ISNUMBER(tblData[Days'# UK])),betaUK/(deltaUK+betaPodeltaUK*EXP(-betaUK*tblData[Days'# UK])),"")</f>
        <v>137142.97897654722</v>
      </c>
      <c r="BM101" s="61">
        <f ca="1">IF(AND(tblData[Dates]&gt;StartDt2UK,ISNUMBER(tblData[United Kingdom])),(tblData[[#This Row],[UK LogiP(t)]]-tblData[[#This Row],[United Kingdom]])^2,"")</f>
        <v>48594547.891463369</v>
      </c>
      <c r="BN101" s="11">
        <f ca="1">IF(ISNUMBER(tblData[Days'# UK]),tblData[[#This Row],[UK LogiP(t)]]/UKPopscale,"")</f>
        <v>20641.628382984229</v>
      </c>
      <c r="BO101" s="126">
        <f ca="1">IF(AND(ISNUMBER(tblData[United Kingdom]),tblData[Dates]&gt;StartDt2UK),(tblData[United Kingdom]-AVERAGE(tblData[United Kingdom]))^2,"")</f>
        <v>8501756139.5754852</v>
      </c>
      <c r="BP101" s="11">
        <f>tblData[[#This Row],[Dates]]-UK100dt</f>
        <v>40</v>
      </c>
      <c r="BQ101" s="11">
        <f ca="1">IF(ISNUMBER(tblData[Days'# China]),betaChina/(deltaChina+betaPodeltaChina*EXP(-betaChina*tblData[Days'# China])),"")</f>
        <v>82125.150676438047</v>
      </c>
      <c r="BR101" s="11">
        <f ca="1">IF(ISNUMBER(tblData[China]),(tblData[[#This Row],[China LogiP(t)]]-tblData[[#This Row],[China]])^2,"")</f>
        <v>2985463.2849335005</v>
      </c>
      <c r="BS101" s="11">
        <f ca="1">tblData[[#This Row],[China LogiP(t)]]/ChinaPopscale</f>
        <v>570.58149143252979</v>
      </c>
      <c r="BT101" s="126">
        <f ca="1">IF(AND(ISNUMBER(tblData[China]),tblData[Dates]&gt;StartDt2China),(tblData[China]-AVERAGE(tblData[China]))^2,"")</f>
        <v>277173531.57439423</v>
      </c>
      <c r="BU101" s="11">
        <f>tblData[[#This Row],[Dates]]-China100dt</f>
        <v>79</v>
      </c>
      <c r="BV101" s="95">
        <f ca="1">IF(ISNUMBER(tblData[Day'# Singapore]),betaSingapore/(deltaSingapore+betaPodeltaSingapore*EXP(-betaSingapore*tblData[Day'# Singapore])),"")</f>
        <v>7017.8013938687582</v>
      </c>
      <c r="BW101" s="11">
        <f ca="1">IF(AND(ISNUMBER(tblData[Singapore]),tblData[Dates]&gt;=StartDt2Singapore),(tblData[[#This Row],[Singapore LogiP(t)]]-tblData[[#This Row],[Singapore]])^2,"")</f>
        <v>4440285.9656814486</v>
      </c>
      <c r="BX101" s="20">
        <f ca="1">IF(ISNUMBER(tblData[Day'# Singapore]),tblData[Singapore LogiP(t)]/SingaporePopscale,"")</f>
        <v>11996.241698920954</v>
      </c>
      <c r="BY101" s="95">
        <f ca="1">IF(AND(ISNUMBER(tblData[Singapore]),tblData[Dates]&gt;StartDt2Singapore),(tblData[Singapore]-AVERAGE(tblData[Singapore]))^2,"")</f>
        <v>46297084.273740865</v>
      </c>
      <c r="BZ101" s="11">
        <f>tblData[[#This Row],[Dates]]-Singapore100dt+1</f>
        <v>68</v>
      </c>
      <c r="CA101" s="11">
        <f>IF(AND(tblData[Dates]&gt;StartDt2Generic,ISNUMBER(tblData[Day'# Generic])),betaGeneric/(deltaGeneric+betaPodeltaGeneric*EXP(-betaGeneric*tblData[Day'# Generic])),"")</f>
        <v>16967.553279066698</v>
      </c>
      <c r="CB101" s="95">
        <f>IF(AND(ISNUMBER(tblData[Generic]),tblData[Dates]&gt;StartDt2Generic),(tblData[Generic LogiP(t)]-tblData[[#This Row],[Generic]])^2,"")</f>
        <v>860355.08550738462</v>
      </c>
      <c r="CC101" s="11">
        <f>IF(AND(ISNUMBER(tblData[Day'# Generic]),tblData[Dates]&gt;StartDt2Generic),tblData[Generic LogiP(t)]/GenericPopscale,"")</f>
        <v>34627.659753197346</v>
      </c>
      <c r="CD101" s="95">
        <f>IF(AND(ISNUMBER(tblData[Generic]),tblData[Dates]&gt;StartDt2Generic),(tblData[Generic]-AVERAGE(tblData[Generic]))^2,"")</f>
        <v>88482097.534674555</v>
      </c>
      <c r="CE101" s="11">
        <f>tblData[[#This Row],[Dates]]-Generic100dt+1</f>
        <v>40</v>
      </c>
      <c r="CF101" s="11">
        <v>172448</v>
      </c>
      <c r="CG101" s="11"/>
      <c r="CH101" s="11">
        <f>IF(ISNUMBER(tblData[[#This Row],[Tests]]),tblData[[#This Row],[Tests]]-CF100,"")</f>
        <v>4289</v>
      </c>
      <c r="CI101" s="11" t="str">
        <f>IF(ISNUMBER(tblData[[#This Row],[NSW Under Investigation'']]),tblData[[#This Row],[NSW Under Investigation'']]-CG100,"")</f>
        <v/>
      </c>
      <c r="CJ101" s="11">
        <f t="shared" si="2"/>
        <v>47</v>
      </c>
      <c r="CK101" s="11">
        <f>IF(AND(tblData[[#This Row],[NSW Test Day Number]]&gt;0,ISNUMBER(tblData[[#This Row],[NSW Test Day Number]])),betaTests/(deltaTests+betaPodeltaTests*EXP(-betaTests*tblData[[#This Row],[NSW Test Day Number]])),"")</f>
        <v>170843.91658722528</v>
      </c>
      <c r="CL101" s="11">
        <f>IF(tblData[Tests]&gt;0,(tblData[[#This Row],[Tests]]-tblData[[#This Row],[NSW Test Logi]])^2,"")</f>
        <v>2573083.5951389996</v>
      </c>
      <c r="CM101" s="95">
        <f>IF(AND(ISNUMBER(tblData[Tests]),tblData[Dates]&gt;StartDt2Tests),(tblData[Tests]-AVERAGE(tblData[Tests]))^2,"")</f>
        <v>4394516905.3961496</v>
      </c>
      <c r="CN101" s="11">
        <f>IF(ISNUMBER(tblData[Tests]),tblData[Tests]/NSWpopscale/100,"")</f>
        <v>2134.257425742574</v>
      </c>
      <c r="CO101" s="95">
        <f ca="1">IF(AND(tblData[[#This Row],[NSW Test Day Number]]&gt;0,ISNUMBER(tblData[[#This Row],[NSW Test Day Number]])),TestsLogestB*TestsLogestM^tblData[[#This Row],[NSW Test Day Number]],"")</f>
        <v>205133.70226880434</v>
      </c>
      <c r="CP101" s="11">
        <f>IF(AND(tblData[[#This Row],[NSW Test Day Number]]&gt;0,ISNUMBER(tblData[Tests])),(tblData[Tests]-tblData[[#This Row],[NSW Test Per Capita]])^2,"")</f>
        <v>29006770909.650425</v>
      </c>
      <c r="CQ101" s="20">
        <f ca="1">IF(AND(tblData[Day '# NSW]&gt;0,ISNUMBER(tblData[[#This Row],[Day '# NSW]])),NSWLogestB*NSWLogestM^tblData[[#This Row],[Day '# NSW]]/NSWpopscale,"")</f>
        <v>6100.6715528546401</v>
      </c>
      <c r="CR101" s="39">
        <f ca="1">IF(AND(ISNUMBER(tblData[NSW]),tblData[Dates]&gt;StartDt2NSW),(tblData[NSW]/NSWpopscale-tblData[[#This Row],[NSW Cases LogEst]])^2,"")</f>
        <v>5886284.3824050808</v>
      </c>
      <c r="CS101" s="39">
        <v>425</v>
      </c>
      <c r="CT101" s="19">
        <f>IF(ISNUMBER(tblData[Taiwan]),tblData[Taiwan]/TaiwanPopscale,"")</f>
        <v>178.51680842861441</v>
      </c>
      <c r="CU101" s="11">
        <f ca="1">IF(tblData[[#This Row],[Dates]]&lt;StartDt2Taiwan,"",tblData[[#This Row],[Dates]]-TaiwanStart)</f>
        <v>90</v>
      </c>
      <c r="CV101" s="19">
        <f ca="1">IF(AND(tblData[Dates]&gt;StartDt2Taiwan,ISNUMBER(tblData[Days'# Taiwan])),betaTaiwan/(deltaTaiwan+betaPodeltaTaiwan*EXP(-betaTaiwan*tblData[Days'# Taiwan])),"")</f>
        <v>419.06062379597512</v>
      </c>
      <c r="CW101" s="95">
        <f ca="1">IF(AND(tblData[Dates]&gt;StartDt2Taiwan,ISNUMBER(tblData[Taiwan])),(tblData[[#This Row],[Taiwan LogiP(t)]]-tblData[[#This Row],[Taiwan]])^2,"")</f>
        <v>35.27618969293701</v>
      </c>
      <c r="CX101" s="20">
        <f ca="1">IF(AND(tblData[Dates]&gt;StartDt2Taiwan,ISNUMBER(tblData[Days'# Taiwan])),tblData[[#This Row],[Taiwan LogiP(t)]]/TaiwanPopscale,"")</f>
        <v>176.02203552508644</v>
      </c>
      <c r="CY101" s="95">
        <f ca="1">IF(AND(ISNUMBER(tblData[Taiwan]),tblData[Dates]&gt;StartDt2Taiwan),(tblData[Taiwan]-AVERAGE(tblData[Taiwan]))^2,"")</f>
        <v>65255.203383314103</v>
      </c>
      <c r="CZ101" s="11">
        <f>tblData[[#This Row],[Dates]]-Taiwan100dt+1</f>
        <v>27</v>
      </c>
      <c r="DA101" s="11">
        <v>1445</v>
      </c>
      <c r="DB101" s="20">
        <f>IF(ISNUMBER(tblData[NZ]),tblData[NZ]/NZPopscale,"")</f>
        <v>2762.906309751434</v>
      </c>
      <c r="DC101" s="11">
        <f ca="1">IF(tblData[[#This Row],[Dates]]&lt;StartDt2NZ,"",tblData[[#This Row],[Dates]]-NZStart)</f>
        <v>53</v>
      </c>
      <c r="DD101" s="20">
        <f ca="1">IF(AND(tblData[Dates]&gt;StartDt2NZ,ISNUMBER(tblData[Days'# NZ])),betaNZ/(deltaNZ+betaPodeltaNZ*EXP(-betaNZ*tblData[Days'# NZ])),"")</f>
        <v>1446.762016438224</v>
      </c>
      <c r="DE101" s="95">
        <f ca="1">IF(AND(tblData[Dates]&gt;StartDt2NZ,ISNUMBER(tblData[NZ])),(tblData[[#This Row],[NZ LogiP(t)]]-tblData[[#This Row],[NZ]])^2,"")</f>
        <v>3.1047019285716231</v>
      </c>
      <c r="DF101" s="20">
        <f ca="1">IF(AND(tblData[Dates]&gt;StartDt2NZ,ISNUMBER(tblData[Days'# NZ])),tblData[[#This Row],[NZ LogiP(t)]]/NZPopscale,"")</f>
        <v>2766.2753660386693</v>
      </c>
      <c r="DG101" s="95">
        <f ca="1">IF(AND(ISNUMBER(tblData[NZ]),tblData[Dates]&gt;StartDt2NZ),(tblData[NZ]-AVERAGE(tblData[NZ]))^2,"")</f>
        <v>571627.64003673091</v>
      </c>
      <c r="DH101" s="11">
        <f>tblData[[#This Row],[Dates]]-NZ100dt+1</f>
        <v>31</v>
      </c>
      <c r="DI101" s="39"/>
      <c r="DJ101" s="11"/>
      <c r="DM101" s="25"/>
      <c r="DP101"/>
      <c r="DV101" s="25"/>
      <c r="DW101"/>
      <c r="EA101" s="25"/>
      <c r="EH101"/>
      <c r="EI101"/>
      <c r="EJ101"/>
      <c r="EK101"/>
      <c r="EL101" s="25"/>
      <c r="EM101" s="25"/>
      <c r="EQ101" s="25"/>
      <c r="ER101" s="25"/>
      <c r="ES101" s="25"/>
      <c r="ET101" s="25"/>
      <c r="FF101"/>
      <c r="FG101"/>
      <c r="FH101"/>
      <c r="FI101"/>
      <c r="FJ101"/>
      <c r="FK101"/>
      <c r="FL101"/>
      <c r="FN101"/>
      <c r="FO101" s="263" t="s">
        <v>153</v>
      </c>
      <c r="FP101" s="250">
        <v>43928.749016203707</v>
      </c>
      <c r="FQ101" s="243">
        <v>43855</v>
      </c>
      <c r="FR101" s="26">
        <v>43855</v>
      </c>
      <c r="FS101" s="211">
        <v>1</v>
      </c>
      <c r="FT101" s="72">
        <v>0.23823232623295787</v>
      </c>
      <c r="FU101" s="72">
        <v>8.1508306044549613E-5</v>
      </c>
      <c r="FV101" s="74">
        <v>1E-3</v>
      </c>
      <c r="FW101" s="212">
        <v>2922.7981514270255</v>
      </c>
      <c r="FX101" s="214">
        <v>23.053784990432341</v>
      </c>
      <c r="FY101" s="214">
        <v>0.99919418388541981</v>
      </c>
      <c r="FZ101" s="213">
        <v>238.23224472465182</v>
      </c>
      <c r="GA101" s="213">
        <v>8.1508306044549617E-2</v>
      </c>
      <c r="GB101" s="243">
        <v>43928</v>
      </c>
      <c r="GC101" s="26" t="s">
        <v>1968</v>
      </c>
      <c r="GD101" s="214">
        <v>2922.7981514270255</v>
      </c>
      <c r="GE101" s="214">
        <v>2686</v>
      </c>
      <c r="GF101" s="73" t="s">
        <v>1919</v>
      </c>
      <c r="GG101" s="156">
        <v>43928</v>
      </c>
      <c r="GH101" s="25">
        <v>74</v>
      </c>
      <c r="GI101" s="25" t="s">
        <v>1969</v>
      </c>
      <c r="GK101" s="62" t="s">
        <v>1966</v>
      </c>
      <c r="GM101" s="25" t="s">
        <v>1970</v>
      </c>
      <c r="GN101" s="165">
        <v>3324.257425742574</v>
      </c>
      <c r="GO101" s="156"/>
      <c r="GP101" s="218"/>
      <c r="GQ101" s="156"/>
      <c r="GR101" s="25"/>
      <c r="GS101" s="25" t="s">
        <v>1967</v>
      </c>
      <c r="GT101" s="11">
        <v>2810.245407927302</v>
      </c>
      <c r="GU101" s="12">
        <v>6.9350179718054104E-3</v>
      </c>
      <c r="GV101" s="26">
        <v>43901</v>
      </c>
      <c r="GW101" s="25" t="s">
        <v>1646</v>
      </c>
      <c r="GX101" s="219">
        <v>59.708862704000239</v>
      </c>
      <c r="GY101" s="25" t="s">
        <v>153</v>
      </c>
      <c r="GZ101" s="25"/>
      <c r="HA101" s="25"/>
      <c r="HB101" s="25"/>
      <c r="HC101" s="25"/>
      <c r="HD101" s="25"/>
      <c r="HE101" s="25"/>
    </row>
    <row r="102" spans="2:238" x14ac:dyDescent="0.25">
      <c r="B102" s="26">
        <f t="shared" si="4"/>
        <v>43943</v>
      </c>
      <c r="D102" s="25">
        <v>104</v>
      </c>
      <c r="E102">
        <v>2971</v>
      </c>
      <c r="F102">
        <v>28</v>
      </c>
      <c r="G102">
        <v>1024</v>
      </c>
      <c r="H102">
        <v>438</v>
      </c>
      <c r="I102">
        <v>205</v>
      </c>
      <c r="J102">
        <v>1336</v>
      </c>
      <c r="K102">
        <v>546</v>
      </c>
      <c r="L102" s="11">
        <f>IF(ISNUMBER(tblData[[#This Row],[NSW]]),tblData[[#This Row],[New South Wales]]/NSWpopscale,"")</f>
        <v>3676.9801980198017</v>
      </c>
      <c r="M102" s="25">
        <v>187327</v>
      </c>
      <c r="N102" s="20">
        <f>IF(ISNUMBER(tblData[Italy]),tblData[Italy]/ItalyPopscale,"")</f>
        <v>30970.819211374721</v>
      </c>
      <c r="O102" s="25">
        <v>840351</v>
      </c>
      <c r="P102" s="20">
        <f>IF(ISNUMBER(tblData[US]),tblData[US]/USPopscale,"")</f>
        <v>25524.914294434955</v>
      </c>
      <c r="Q102" s="11">
        <v>10694</v>
      </c>
      <c r="R102" s="20">
        <f>IF(ISNUMBER(tblData[SKorea]),tblData[SKorea]/SKoreaPopscale,"")</f>
        <v>2080.5447470817121</v>
      </c>
      <c r="S102">
        <v>134638</v>
      </c>
      <c r="T102" s="20">
        <f>IF(ISNUMBER(tblData[United Kingdom]),tblData[United Kingdom]/UKPopscale,"")</f>
        <v>20264.599638771822</v>
      </c>
      <c r="U102">
        <v>83868</v>
      </c>
      <c r="V102" s="20">
        <f>IF(ISNUMBER(tblData[China]),tblData[China]/ChinaPopscale,"")</f>
        <v>582.69029803062188</v>
      </c>
      <c r="W102" s="25">
        <f ca="1">IF(tblData[[#This Row],[Dates]]&lt;StartDt2China,"",tblData[[#This Row],[Dates]]-ChinaStart)</f>
        <v>91</v>
      </c>
      <c r="X102" s="20">
        <v>10141</v>
      </c>
      <c r="Y102" s="20">
        <f>IF(ISNUMBER(tblData[Singapore]),tblData[Singapore]/SingaporePopscale,"")</f>
        <v>17335.042735042734</v>
      </c>
      <c r="Z102">
        <v>16671</v>
      </c>
      <c r="AA102" s="20">
        <f>IF(AND(LEN(tblData[Generic])&gt;0,ISNUMBER(tblData[Generic])),tblData[Generic]/GenericPopscale,"")</f>
        <v>34022.448979591834</v>
      </c>
      <c r="AB102" s="25">
        <f ca="1">IF(tblData[[#This Row],[Dates]]&lt;StartDt2Italy,"",tblData[[#This Row],[Dates]]-ItalyStart)</f>
        <v>83</v>
      </c>
      <c r="AC102" s="25">
        <f ca="1">IF(tblData[[#This Row],[Dates]]&lt;=StartDt2US,"",tblData[[#This Row],[Dates]]-USStart)</f>
        <v>91</v>
      </c>
      <c r="AD102" s="25">
        <f>IF(tblData[[#This Row],[Dates]]&lt;=SKoreaStart,"",tblData[[#This Row],[Dates]]-SKoreaStart)</f>
        <v>91</v>
      </c>
      <c r="AE102" s="25">
        <f ca="1">IF(tblData[[#This Row],[Dates]]&lt;=StartDt2UK,"",tblData[[#This Row],[Dates]]-UKStart)</f>
        <v>83</v>
      </c>
      <c r="AF102" s="25">
        <f ca="1">IF(tblData[[#This Row],[Dates]]&lt;StartDt2Singapore,"",tblData[[#This Row],[Dates]]-SingaporeStart)</f>
        <v>90</v>
      </c>
      <c r="AG102" s="25">
        <f>IF(tblData[[#This Row],[Dates]]&lt;StartDt2Generic,"",tblData[[#This Row],[Dates]]-GenericStart)</f>
        <v>53</v>
      </c>
      <c r="AH102">
        <f ca="1">IF(tblData[Dates]&gt;StartDt2Au,tblData[Dates]-AuStart,"")</f>
        <v>88</v>
      </c>
      <c r="AI102" s="25">
        <f>IF(AND(COUNTBLANK(tblData[[#This Row],[Australian Capital Territory]:[Western Australia]])&lt;1,tblData[New South Wales]&gt;=0),SUM(tblData[[#This Row],[Australian Capital Territory]:[Western Australia]]),"")</f>
        <v>6652</v>
      </c>
      <c r="AJ102" s="12">
        <f>IF(ISNUMBER(tblData[Au]),tblData[Au]/AuPopScale,"")</f>
        <v>2622.6147295379278</v>
      </c>
      <c r="AK102" s="11">
        <f ca="1">IF(ISNUMBER(tblData[[#This Row],[Day'# Aust]]),betaAu/(deltaAu+betaPodeltaAu*EXP(-betaAu*tblData[[#This Row],[Day'# Aust]])),"")</f>
        <v>6622.4898296402989</v>
      </c>
      <c r="AL102" s="56">
        <f ca="1">IF(ISNUMBER(tblData[Day'# Aust]),tblData[Au LogiP(t)]/AuPopScale,"")</f>
        <v>2610.9800621511981</v>
      </c>
      <c r="AM102" s="11">
        <f ca="1">IF(AND(tblData[Dates]&gt;StartDt2Au,ISNUMBER(tblData[Au])),(tblData[[#This Row],[Au LogiP(t)]]-tblData[[#This Row],[Au]])^2,"")</f>
        <v>870.8501546585801</v>
      </c>
      <c r="AN102" s="11">
        <f ca="1">IF(AND(ISNUMBER(tblData[Au]),tblData[Dates]&gt;StartDt2Au),(tblData[Au]-AVERAGE(tblData[Au]))^2,"")</f>
        <v>17666806.176100004</v>
      </c>
      <c r="AO102" s="11">
        <f>tblData[[#This Row],[Dates]]-Au100dt</f>
        <v>38</v>
      </c>
      <c r="AP102">
        <f ca="1">IF(tblData[Dates]&gt;StartDt2NSW,tblData[Dates]-StartDt2NSW,"")</f>
        <v>88</v>
      </c>
      <c r="AQ102" s="25">
        <f>IF(tblData[[#This Row],[New South Wales]]&gt;0,tblData[[#This Row],[New South Wales]],"")</f>
        <v>2971</v>
      </c>
      <c r="AR102" s="11">
        <f ca="1">IF(tblData[Dates]&gt;StartDt2NSW,betaNSW/(deltaNSW+betaPodeltaNSW*EXP(-betaNSW*tblData[[#This Row],[Day '# NSW]])),"")</f>
        <v>2965.6527231045798</v>
      </c>
      <c r="AS102" s="12">
        <f ca="1">IF(AND(ISNUMBER(tblData[NSW]),tblData[Dates]&gt;StartDt2NSW),(tblData[[#This Row],[NSW LogiP(t)]]-tblData[[#This Row],[NSW]])^2,"")</f>
        <v>28.593370196295083</v>
      </c>
      <c r="AT102" s="39">
        <f ca="1">IF(AND(tblData[Dates]&gt;StartDt2NSW,ISNUMBER(tblData[Day'# Aust])),tblData[NSW LogiP(t)]/NSWpopscale,"")</f>
        <v>3670.3622810700244</v>
      </c>
      <c r="AU102" s="11">
        <f>tblData[[#This Row],[Dates]]-NSW100dt+1</f>
        <v>41</v>
      </c>
      <c r="AV102" s="11">
        <f ca="1">IF(AND(ISNUMBER(tblData[NSW]),tblData[Dates]&gt;StartDt2NSW),(tblData[NSW]-AVERAGE(tblData[NSW]))^2,"")</f>
        <v>3522153.0276000001</v>
      </c>
      <c r="AW102" s="11">
        <f ca="1">IF(AND(tblData[Dates]&gt;StartDt2Italy,ISNUMBER(tblData[Days'# Italy])),betaItaly/(deltaItaly+betaPodeltaItaly*EXP(-betaItaly*tblData[Days'# Italy])),"")</f>
        <v>161341.12569789606</v>
      </c>
      <c r="AX102" s="11">
        <f ca="1">IF(AND(tblData[Dates]&gt;StartDt2Italy,ISNUMBER(tblData[Italy])),(tblData[[#This Row],[Italy LogiP(t)]]-tblData[[#This Row],[Italy]])^2,"")</f>
        <v>675265663.24474597</v>
      </c>
      <c r="AY102" s="11">
        <f ca="1">IF(AND(tblData[Dates]&gt;StartDt2Italy,ISNUMBER(tblData[Days'# Italy])),tblData[[#This Row],[Italy LogiP(t)]]/ItalyPopscale,"")</f>
        <v>26674.568190112601</v>
      </c>
      <c r="AZ102" s="39">
        <f ca="1">IF(AND(ISNUMBER(tblData[Italy]),tblData[Dates]&gt;StartDt2Italy),(tblData[Italy]-AVERAGE(tblData[Italy]))^2,"")</f>
        <v>13824678645.559191</v>
      </c>
      <c r="BA102" s="11">
        <f>tblData[[#This Row],[Dates]]-Italy100dt+1</f>
        <v>56</v>
      </c>
      <c r="BB102" s="11">
        <f ca="1">IF(AND(tblData[Dates]&gt;StartDt2US,ISNUMBER(tblData[[#This Row],[Days'# US]])),betaUS/(deltaUS+betaPodeltaUS*EXP(-betaUS*tblData[Days'# US])),"")</f>
        <v>809384.75119825942</v>
      </c>
      <c r="BC102" s="11">
        <f ca="1">IF(AND(tblData[Dates]&gt;StartDt2US,ISNUMBER(tblData[US])),(tblData[[#This Row],[US LogiP(t)]]-tblData[US])^2,"")</f>
        <v>958908564.85130024</v>
      </c>
      <c r="BD102" s="20">
        <f ca="1">IF(AND(tblData[Dates]&gt;=StartDt2US,ISNUMBER(tblData[[#This Row],[Days'# US]])),tblData[[#This Row],[US LogiP(t)]]/USPopscale,"")</f>
        <v>24584.342025603743</v>
      </c>
      <c r="BE102" s="126">
        <f ca="1">IF(AND(ISNUMBER(tblData[US]),tblData[Dates]&gt;StartDt2US),(tblData[US]-AVERAGE(tblData[US]))^2,"")</f>
        <v>379958520303.2757</v>
      </c>
      <c r="BF102" s="11">
        <f>tblData[[#This Row],[Dates]]-US100dt+1</f>
        <v>39</v>
      </c>
      <c r="BG102" s="20">
        <f ca="1">IF(tblData[Dates]&gt;StartDt2SKorea,betaSKorea/(deltaSKorea+betaPodeltaSKorea*EXP(-betaSKorea*(tblData[Dates]-StartDt2SKorea))),"")</f>
        <v>10232.197034792956</v>
      </c>
      <c r="BH102" s="20">
        <f ca="1">IF(AND(tblData[Dates]&gt;StartDt2SKorea,ISNUMBER(tblData[SKorea])),(tblData[[#This Row],[SKorea LogiP(t)]]-tblData[[#This Row],[SKorea]])^2,"")</f>
        <v>213261.97867401791</v>
      </c>
      <c r="BI102" s="20">
        <f ca="1">IF(tblData[Dates]&gt;StartDt2SKorea,tblData[[#This Row],[SKorea LogiP(t)]]/SKoreaPopscale,"")</f>
        <v>1990.6998122165287</v>
      </c>
      <c r="BJ102" s="126">
        <f ca="1">IF(AND(ISNUMBER(tblData[SKorea]),tblData[Dates]&gt;StartDt2SKorea),(tblData[SKorea]-AVERAGE(tblData[SKorea]))^2,"")</f>
        <v>23713271.511341795</v>
      </c>
      <c r="BK102" s="11">
        <f>tblData[[#This Row],[Dates]]-SKorea100dt+1</f>
        <v>60</v>
      </c>
      <c r="BL102" s="11">
        <f ca="1">IF(AND(tblData[Dates]&gt;StartDt2UK,ISNUMBER(tblData[Days'# UK])),betaUK/(deltaUK+betaPodeltaUK*EXP(-betaUK*tblData[Days'# UK])),"")</f>
        <v>138199.64685154086</v>
      </c>
      <c r="BM102" s="61">
        <f ca="1">IF(AND(tblData[Dates]&gt;StartDt2UK,ISNUMBER(tblData[United Kingdom])),(tblData[[#This Row],[UK LogiP(t)]]-tblData[[#This Row],[United Kingdom]])^2,"")</f>
        <v>12685328.295090944</v>
      </c>
      <c r="BN102" s="11">
        <f ca="1">IF(ISNUMBER(tblData[Days'# UK]),tblData[[#This Row],[UK LogiP(t)]]/UKPopscale,"")</f>
        <v>20800.669303362563</v>
      </c>
      <c r="BO102" s="126">
        <f ca="1">IF(AND(ISNUMBER(tblData[United Kingdom]),tblData[Dates]&gt;StartDt2UK),(tblData[United Kingdom]-AVERAGE(tblData[United Kingdom]))^2,"")</f>
        <v>9345276070.5116558</v>
      </c>
      <c r="BP102" s="11">
        <f>tblData[[#This Row],[Dates]]-UK100dt</f>
        <v>41</v>
      </c>
      <c r="BQ102" s="11">
        <f ca="1">IF(ISNUMBER(tblData[Days'# China]),betaChina/(deltaChina+betaPodeltaChina*EXP(-betaChina*tblData[Days'# China])),"")</f>
        <v>82125.152629198754</v>
      </c>
      <c r="BR102" s="11">
        <f ca="1">IF(ISNUMBER(tblData[China]),(tblData[[#This Row],[China LogiP(t)]]-tblData[[#This Row],[China]])^2,"")</f>
        <v>3037516.9579088162</v>
      </c>
      <c r="BS102" s="11">
        <f ca="1">tblData[[#This Row],[China LogiP(t)]]/ChinaPopscale</f>
        <v>570.5815049997392</v>
      </c>
      <c r="BT102" s="126">
        <f ca="1">IF(AND(ISNUMBER(tblData[China]),tblData[Dates]&gt;StartDt2China),(tblData[China]-AVERAGE(tblData[China]))^2,"")</f>
        <v>277673212.45674717</v>
      </c>
      <c r="BU102" s="11">
        <f>tblData[[#This Row],[Dates]]-China100dt</f>
        <v>80</v>
      </c>
      <c r="BV102" s="95">
        <f ca="1">IF(ISNUMBER(tblData[Day'# Singapore]),betaSingapore/(deltaSingapore+betaPodeltaSingapore*EXP(-betaSingapore*tblData[Day'# Singapore])),"")</f>
        <v>7752.0356220310196</v>
      </c>
      <c r="BW102" s="11">
        <f ca="1">IF(AND(ISNUMBER(tblData[Singapore]),tblData[Dates]&gt;=StartDt2Singapore),(tblData[[#This Row],[Singapore LogiP(t)]]-tblData[[#This Row],[Singapore]])^2,"")</f>
        <v>5707150.7992047174</v>
      </c>
      <c r="BX102" s="20">
        <f ca="1">IF(ISNUMBER(tblData[Day'# Singapore]),tblData[Singapore LogiP(t)]/SingaporePopscale,"")</f>
        <v>13251.342943642769</v>
      </c>
      <c r="BY102" s="95">
        <f ca="1">IF(AND(ISNUMBER(tblData[Singapore]),tblData[Dates]&gt;StartDt2Singapore),(tblData[Singapore]-AVERAGE(tblData[Singapore]))^2,"")</f>
        <v>61155466.705113418</v>
      </c>
      <c r="BZ102" s="11">
        <f>tblData[[#This Row],[Dates]]-Singapore100dt+1</f>
        <v>69</v>
      </c>
      <c r="CA102" s="11">
        <f>IF(AND(tblData[Dates]&gt;StartDt2Generic,ISNUMBER(tblData[Day'# Generic])),betaGeneric/(deltaGeneric+betaPodeltaGeneric*EXP(-betaGeneric*tblData[Day'# Generic])),"")</f>
        <v>17680.366887442011</v>
      </c>
      <c r="CB102" s="95">
        <f>IF(AND(ISNUMBER(tblData[Generic]),tblData[Dates]&gt;StartDt2Generic),(tblData[Generic LogiP(t)]-tblData[[#This Row],[Generic]])^2,"")</f>
        <v>1018821.5134643732</v>
      </c>
      <c r="CC102" s="11">
        <f>IF(AND(ISNUMBER(tblData[Day'# Generic]),tblData[Dates]&gt;StartDt2Generic),tblData[Generic LogiP(t)]/GenericPopscale,"")</f>
        <v>36082.381402942883</v>
      </c>
      <c r="CD102" s="95">
        <f>IF(AND(ISNUMBER(tblData[Generic]),tblData[Dates]&gt;StartDt2Generic),(tblData[Generic]-AVERAGE(tblData[Generic]))^2,"")</f>
        <v>100751251.82698224</v>
      </c>
      <c r="CE102" s="11">
        <f>tblData[[#This Row],[Dates]]-Generic100dt+1</f>
        <v>41</v>
      </c>
      <c r="CF102" s="11">
        <v>178088</v>
      </c>
      <c r="CG102" s="11"/>
      <c r="CH102" s="11">
        <f>IF(ISNUMBER(tblData[[#This Row],[Tests]]),tblData[[#This Row],[Tests]]-CF101,"")</f>
        <v>5640</v>
      </c>
      <c r="CI102" s="11" t="str">
        <f>IF(ISNUMBER(tblData[[#This Row],[NSW Under Investigation'']]),tblData[[#This Row],[NSW Under Investigation'']]-CG101,"")</f>
        <v/>
      </c>
      <c r="CJ102" s="11">
        <f t="shared" si="2"/>
        <v>48</v>
      </c>
      <c r="CK102" s="11">
        <f>IF(AND(tblData[[#This Row],[NSW Test Day Number]]&gt;0,ISNUMBER(tblData[[#This Row],[NSW Test Day Number]])),betaTests/(deltaTests+betaPodeltaTests*EXP(-betaTests*tblData[[#This Row],[NSW Test Day Number]])),"")</f>
        <v>171116.73457447268</v>
      </c>
      <c r="CL102" s="11">
        <f>IF(tblData[Tests]&gt;0,(tblData[[#This Row],[Tests]]-tblData[[#This Row],[NSW Test Logi]])^2,"")</f>
        <v>48598541.633152649</v>
      </c>
      <c r="CM102" s="95">
        <f>IF(AND(ISNUMBER(tblData[Tests]),tblData[Dates]&gt;StartDt2Tests),(tblData[Tests]-AVERAGE(tblData[Tests]))^2,"")</f>
        <v>5174090706.0741158</v>
      </c>
      <c r="CN102" s="11">
        <f>IF(ISNUMBER(tblData[Tests]),tblData[Tests]/NSWpopscale/100,"")</f>
        <v>2204.0594059405939</v>
      </c>
      <c r="CO102" s="95">
        <f ca="1">IF(AND(tblData[[#This Row],[NSW Test Day Number]]&gt;0,ISNUMBER(tblData[[#This Row],[NSW Test Day Number]])),TestsLogestB*TestsLogestM^tblData[[#This Row],[NSW Test Day Number]],"")</f>
        <v>217444.07005067071</v>
      </c>
      <c r="CP102" s="11">
        <f>IF(AND(tblData[[#This Row],[NSW Test Day Number]]&gt;0,ISNUMBER(tblData[Tests])),(tblData[Tests]-tblData[[#This Row],[NSW Test Per Capita]])^2,"")</f>
        <v>30935160558.894623</v>
      </c>
      <c r="CQ102" s="20">
        <f ca="1">IF(AND(tblData[Day '# NSW]&gt;0,ISNUMBER(tblData[[#This Row],[Day '# NSW]])),NSWLogestB*NSWLogestM^tblData[[#This Row],[Day '# NSW]]/NSWpopscale,"")</f>
        <v>6716.5687064747844</v>
      </c>
      <c r="CR102" s="39">
        <f ca="1">IF(AND(ISNUMBER(tblData[NSW]),tblData[Dates]&gt;StartDt2NSW),(tblData[NSW]/NSWpopscale-tblData[[#This Row],[NSW Cases LogEst]])^2,"")</f>
        <v>9239098.3007315863</v>
      </c>
      <c r="CS102" s="39">
        <v>426</v>
      </c>
      <c r="CT102" s="19">
        <f>IF(ISNUMBER(tblData[Taiwan]),tblData[Taiwan]/TaiwanPopscale,"")</f>
        <v>178.93684797785821</v>
      </c>
      <c r="CU102" s="11">
        <f ca="1">IF(tblData[[#This Row],[Dates]]&lt;StartDt2Taiwan,"",tblData[[#This Row],[Dates]]-TaiwanStart)</f>
        <v>91</v>
      </c>
      <c r="CV102" s="19">
        <f ca="1">IF(AND(tblData[Dates]&gt;StartDt2Taiwan,ISNUMBER(tblData[Days'# Taiwan])),betaTaiwan/(deltaTaiwan+betaPodeltaTaiwan*EXP(-betaTaiwan*tblData[Days'# Taiwan])),"")</f>
        <v>420.0292947840822</v>
      </c>
      <c r="CW102" s="95">
        <f ca="1">IF(AND(tblData[Dates]&gt;StartDt2Taiwan,ISNUMBER(tblData[Taiwan])),(tblData[[#This Row],[Taiwan LogiP(t)]]-tblData[[#This Row],[Taiwan]])^2,"")</f>
        <v>35.649320775388063</v>
      </c>
      <c r="CX102" s="20">
        <f ca="1">IF(AND(tblData[Dates]&gt;StartDt2Taiwan,ISNUMBER(tblData[Days'# Taiwan])),tblData[[#This Row],[Taiwan LogiP(t)]]/TaiwanPopscale,"")</f>
        <v>176.42891565029649</v>
      </c>
      <c r="CY102" s="95">
        <f ca="1">IF(AND(ISNUMBER(tblData[Taiwan]),tblData[Dates]&gt;StartDt2Taiwan),(tblData[Taiwan]-AVERAGE(tblData[Taiwan]))^2,"")</f>
        <v>65767.105344098411</v>
      </c>
      <c r="CZ102" s="11">
        <f>tblData[[#This Row],[Dates]]-Taiwan100dt+1</f>
        <v>28</v>
      </c>
      <c r="DA102" s="11">
        <v>1451</v>
      </c>
      <c r="DB102" s="20">
        <f>IF(ISNUMBER(tblData[NZ]),tblData[NZ]/NZPopscale,"")</f>
        <v>2774.3785850860418</v>
      </c>
      <c r="DC102" s="11">
        <f ca="1">IF(tblData[[#This Row],[Dates]]&lt;StartDt2NZ,"",tblData[[#This Row],[Dates]]-NZStart)</f>
        <v>54</v>
      </c>
      <c r="DD102" s="20">
        <f ca="1">IF(AND(tblData[Dates]&gt;StartDt2NZ,ISNUMBER(tblData[Days'# NZ])),betaNZ/(deltaNZ+betaPodeltaNZ*EXP(-betaNZ*tblData[Days'# NZ])),"")</f>
        <v>1449.7194181281109</v>
      </c>
      <c r="DE102" s="95">
        <f ca="1">IF(AND(tblData[Dates]&gt;StartDt2NZ,ISNUMBER(tblData[NZ])),(tblData[[#This Row],[NZ LogiP(t)]]-tblData[[#This Row],[NZ]])^2,"")</f>
        <v>1.6398899306110579</v>
      </c>
      <c r="DF102" s="20">
        <f ca="1">IF(AND(tblData[Dates]&gt;StartDt2NZ,ISNUMBER(tblData[Days'# NZ])),tblData[[#This Row],[NZ LogiP(t)]]/NZPopscale,"")</f>
        <v>2771.9300537822387</v>
      </c>
      <c r="DG102" s="95">
        <f ca="1">IF(AND(ISNUMBER(tblData[NZ]),tblData[Dates]&gt;StartDt2NZ),(tblData[NZ]-AVERAGE(tblData[NZ]))^2,"")</f>
        <v>580736.36730945809</v>
      </c>
      <c r="DH102" s="11">
        <f>tblData[[#This Row],[Dates]]-NZ100dt+1</f>
        <v>32</v>
      </c>
      <c r="DI102" s="39"/>
      <c r="DJ102" s="11"/>
      <c r="DM102" s="25"/>
      <c r="DP102"/>
      <c r="DV102" s="25"/>
      <c r="DW102"/>
      <c r="EA102" s="25"/>
      <c r="EH102"/>
      <c r="EI102"/>
      <c r="EJ102"/>
      <c r="EK102"/>
      <c r="EL102" s="25"/>
      <c r="EM102" s="25"/>
      <c r="EQ102" s="25"/>
      <c r="ER102" s="25"/>
      <c r="ES102" s="25"/>
      <c r="ET102" s="25"/>
      <c r="FF102"/>
      <c r="FG102"/>
      <c r="FH102"/>
      <c r="FI102"/>
      <c r="FJ102"/>
      <c r="FK102"/>
      <c r="FL102"/>
      <c r="FN102"/>
      <c r="FO102" s="267" t="s">
        <v>153</v>
      </c>
      <c r="FP102" s="251">
        <v>43930.809444444443</v>
      </c>
      <c r="FQ102" s="243">
        <v>43855</v>
      </c>
      <c r="FR102" s="160">
        <v>43855</v>
      </c>
      <c r="FS102" s="211">
        <v>1</v>
      </c>
      <c r="FT102" s="72">
        <v>0.23826684437176873</v>
      </c>
      <c r="FU102" s="72">
        <v>8.1641458342735415E-5</v>
      </c>
      <c r="FV102" s="74">
        <v>1E-3</v>
      </c>
      <c r="FW102" s="212">
        <v>2918.4540453884492</v>
      </c>
      <c r="FX102" s="212">
        <v>22.784746892520833</v>
      </c>
      <c r="FY102" s="212">
        <v>0.99933388780690069</v>
      </c>
      <c r="FZ102" s="213">
        <v>238.2667627303104</v>
      </c>
      <c r="GA102" s="213">
        <v>8.164145834273541E-2</v>
      </c>
      <c r="GB102" s="243">
        <v>43930</v>
      </c>
      <c r="GC102" s="160" t="s">
        <v>1968</v>
      </c>
      <c r="GD102" s="212">
        <v>2918.4540453884492</v>
      </c>
      <c r="GE102" s="212">
        <v>2773</v>
      </c>
      <c r="GF102" s="74" t="s">
        <v>2018</v>
      </c>
      <c r="GG102" s="156">
        <v>43930</v>
      </c>
      <c r="GH102" s="25">
        <v>76</v>
      </c>
      <c r="GI102" s="23" t="s">
        <v>2019</v>
      </c>
      <c r="GJ102" s="21"/>
      <c r="GK102" s="161" t="s">
        <v>2020</v>
      </c>
      <c r="GL102" s="23"/>
      <c r="GM102" s="23" t="s">
        <v>2021</v>
      </c>
      <c r="GN102" s="23">
        <v>3431.9306930693069</v>
      </c>
      <c r="GO102" s="243"/>
      <c r="GP102" s="218"/>
      <c r="GQ102" s="243"/>
      <c r="GR102" s="23"/>
      <c r="GS102" s="23" t="s">
        <v>2017</v>
      </c>
      <c r="GT102" s="11">
        <v>2806.5119453888437</v>
      </c>
      <c r="GU102" s="34">
        <v>6.6390463357940254E-3</v>
      </c>
      <c r="GV102" s="160">
        <v>43901</v>
      </c>
      <c r="GW102" s="23" t="s">
        <v>1646</v>
      </c>
      <c r="GX102" s="220">
        <v>33.511945388843742</v>
      </c>
      <c r="GY102" s="23" t="s">
        <v>153</v>
      </c>
      <c r="GZ102" s="23"/>
      <c r="HA102" s="25"/>
      <c r="HB102" s="25"/>
      <c r="HC102" s="25"/>
      <c r="HD102" s="25"/>
      <c r="HE102" s="25"/>
      <c r="HF102" s="25"/>
      <c r="HG102" s="25"/>
      <c r="HH102" s="25"/>
      <c r="HI102" s="25"/>
      <c r="HJ102" s="25"/>
      <c r="HW102" s="25"/>
      <c r="HX102" s="25"/>
      <c r="HY102" s="25"/>
      <c r="HZ102" s="25"/>
      <c r="IA102" s="25"/>
      <c r="IB102" s="25"/>
      <c r="IC102" s="25"/>
    </row>
    <row r="103" spans="2:238" x14ac:dyDescent="0.25">
      <c r="B103" s="26">
        <f t="shared" si="4"/>
        <v>43944</v>
      </c>
      <c r="D103" s="25">
        <v>104</v>
      </c>
      <c r="E103">
        <v>2976</v>
      </c>
      <c r="F103">
        <v>28</v>
      </c>
      <c r="G103">
        <v>1026</v>
      </c>
      <c r="H103">
        <v>438</v>
      </c>
      <c r="I103">
        <v>205</v>
      </c>
      <c r="J103">
        <v>1337</v>
      </c>
      <c r="K103">
        <v>546</v>
      </c>
      <c r="L103" s="11">
        <f>IF(ISNUMBER(tblData[[#This Row],[NSW]]),tblData[[#This Row],[New South Wales]]/NSWpopscale,"")</f>
        <v>3683.1683168316831</v>
      </c>
      <c r="M103" s="25">
        <v>189973</v>
      </c>
      <c r="N103" s="20">
        <f>IF(ISNUMBER(tblData[Italy]),tblData[Italy]/ItalyPopscale,"")</f>
        <v>31408.283045383156</v>
      </c>
      <c r="O103" s="25">
        <v>869170</v>
      </c>
      <c r="P103" s="20">
        <f>IF(ISNUMBER(tblData[US]),tblData[US]/USPopscale,"")</f>
        <v>26400.265790478064</v>
      </c>
      <c r="Q103" s="11">
        <v>10708</v>
      </c>
      <c r="R103" s="20">
        <f>IF(ISNUMBER(tblData[SKorea]),tblData[SKorea]/SKoreaPopscale,"")</f>
        <v>2083.2684824902726</v>
      </c>
      <c r="S103">
        <v>139246</v>
      </c>
      <c r="T103" s="20">
        <f>IF(ISNUMBER(tblData[United Kingdom]),tblData[United Kingdom]/UKPopscale,"")</f>
        <v>20958.15773630343</v>
      </c>
      <c r="U103">
        <v>83884</v>
      </c>
      <c r="V103" s="20">
        <f>IF(ISNUMBER(tblData[China]),tblData[China]/ChinaPopscale,"")</f>
        <v>582.80146134402491</v>
      </c>
      <c r="W103" s="25">
        <f ca="1">IF(tblData[[#This Row],[Dates]]&lt;StartDt2China,"",tblData[[#This Row],[Dates]]-ChinaStart)</f>
        <v>92</v>
      </c>
      <c r="X103" s="20">
        <v>11178</v>
      </c>
      <c r="Y103" s="20">
        <f>IF(ISNUMBER(tblData[Singapore]),tblData[Singapore]/SingaporePopscale,"")</f>
        <v>19107.692307692309</v>
      </c>
      <c r="Z103">
        <v>17607</v>
      </c>
      <c r="AA103" s="20">
        <f>IF(AND(LEN(tblData[Generic])&gt;0,ISNUMBER(tblData[Generic])),tblData[Generic]/GenericPopscale,"")</f>
        <v>35932.65306122449</v>
      </c>
      <c r="AB103" s="25">
        <f ca="1">IF(tblData[[#This Row],[Dates]]&lt;StartDt2Italy,"",tblData[[#This Row],[Dates]]-ItalyStart)</f>
        <v>84</v>
      </c>
      <c r="AC103" s="25">
        <f ca="1">IF(tblData[[#This Row],[Dates]]&lt;=StartDt2US,"",tblData[[#This Row],[Dates]]-USStart)</f>
        <v>92</v>
      </c>
      <c r="AD103" s="25">
        <f>IF(tblData[[#This Row],[Dates]]&lt;=SKoreaStart,"",tblData[[#This Row],[Dates]]-SKoreaStart)</f>
        <v>92</v>
      </c>
      <c r="AE103" s="25">
        <f ca="1">IF(tblData[[#This Row],[Dates]]&lt;=StartDt2UK,"",tblData[[#This Row],[Dates]]-UKStart)</f>
        <v>84</v>
      </c>
      <c r="AF103" s="25">
        <f ca="1">IF(tblData[[#This Row],[Dates]]&lt;StartDt2Singapore,"",tblData[[#This Row],[Dates]]-SingaporeStart)</f>
        <v>91</v>
      </c>
      <c r="AG103" s="25">
        <f>IF(tblData[[#This Row],[Dates]]&lt;StartDt2Generic,"",tblData[[#This Row],[Dates]]-GenericStart)</f>
        <v>54</v>
      </c>
      <c r="AH103">
        <f ca="1">IF(tblData[Dates]&gt;StartDt2Au,tblData[Dates]-AuStart,"")</f>
        <v>89</v>
      </c>
      <c r="AI103" s="25">
        <f>IF(AND(COUNTBLANK(tblData[[#This Row],[Australian Capital Territory]:[Western Australia]])&lt;1,tblData[New South Wales]&gt;=0),SUM(tblData[[#This Row],[Australian Capital Territory]:[Western Australia]]),"")</f>
        <v>6660</v>
      </c>
      <c r="AJ103" s="12">
        <f>IF(ISNUMBER(tblData[Au]),tblData[Au]/AuPopScale,"")</f>
        <v>2625.7688061819904</v>
      </c>
      <c r="AK103" s="11">
        <f ca="1">IF(ISNUMBER(tblData[[#This Row],[Day'# Aust]]),betaAu/(deltaAu+betaPodeltaAu*EXP(-betaAu*tblData[[#This Row],[Day'# Aust]])),"")</f>
        <v>6626.7884279059708</v>
      </c>
      <c r="AL103" s="56">
        <f ca="1">IF(ISNUMBER(tblData[Day'# Aust]),tblData[Au LogiP(t)]/AuPopScale,"")</f>
        <v>2612.6748257001937</v>
      </c>
      <c r="AM103" s="11">
        <f ca="1">IF(AND(tblData[Dates]&gt;StartDt2Au,ISNUMBER(tblData[Au])),(tblData[[#This Row],[Au LogiP(t)]]-tblData[[#This Row],[Au]])^2,"")</f>
        <v>1103.0085209568977</v>
      </c>
      <c r="AN103" s="11">
        <f ca="1">IF(AND(ISNUMBER(tblData[Au]),tblData[Dates]&gt;StartDt2Au),(tblData[Au]-AVERAGE(tblData[Au]))^2,"")</f>
        <v>17734121.216100004</v>
      </c>
      <c r="AO103" s="11">
        <f>tblData[[#This Row],[Dates]]-Au100dt</f>
        <v>39</v>
      </c>
      <c r="AP103">
        <f ca="1">IF(tblData[Dates]&gt;StartDt2NSW,tblData[Dates]-StartDt2NSW,"")</f>
        <v>89</v>
      </c>
      <c r="AQ103" s="25">
        <f>IF(tblData[[#This Row],[New South Wales]]&gt;0,tblData[[#This Row],[New South Wales]],"")</f>
        <v>2976</v>
      </c>
      <c r="AR103" s="11">
        <f ca="1">IF(tblData[Dates]&gt;StartDt2NSW,betaNSW/(deltaNSW+betaPodeltaNSW*EXP(-betaNSW*tblData[[#This Row],[Day '# NSW]])),"")</f>
        <v>2967.3065898681989</v>
      </c>
      <c r="AS103" s="12">
        <f ca="1">IF(AND(ISNUMBER(tblData[NSW]),tblData[Dates]&gt;StartDt2NSW),(tblData[[#This Row],[NSW LogiP(t)]]-tblData[[#This Row],[NSW]])^2,"")</f>
        <v>75.575379719702042</v>
      </c>
      <c r="AT103" s="39">
        <f ca="1">IF(AND(tblData[Dates]&gt;StartDt2NSW,ISNUMBER(tblData[Day'# Aust])),tblData[NSW LogiP(t)]/NSWpopscale,"")</f>
        <v>3672.4091458764838</v>
      </c>
      <c r="AU103" s="11">
        <f>tblData[[#This Row],[Dates]]-NSW100dt+1</f>
        <v>42</v>
      </c>
      <c r="AV103" s="11">
        <f ca="1">IF(AND(ISNUMBER(tblData[NSW]),tblData[Dates]&gt;StartDt2NSW),(tblData[NSW]-AVERAGE(tblData[NSW]))^2,"")</f>
        <v>3540945.4276000001</v>
      </c>
      <c r="AW103" s="11">
        <f ca="1">IF(AND(tblData[Dates]&gt;StartDt2Italy,ISNUMBER(tblData[Days'# Italy])),betaItaly/(deltaItaly+betaPodeltaItaly*EXP(-betaItaly*tblData[Days'# Italy])),"")</f>
        <v>161350.9548734467</v>
      </c>
      <c r="AX103" s="11">
        <f ca="1">IF(AND(tblData[Dates]&gt;StartDt2Italy,ISNUMBER(tblData[Italy])),(tblData[[#This Row],[Italy LogiP(t)]]-tblData[[#This Row],[Italy]])^2,"")</f>
        <v>819221467.22645378</v>
      </c>
      <c r="AY103" s="11">
        <f ca="1">IF(AND(tblData[Dates]&gt;StartDt2Italy,ISNUMBER(tblData[Days'# Italy])),tblData[[#This Row],[Italy LogiP(t)]]/ItalyPopscale,"")</f>
        <v>26676.193250135853</v>
      </c>
      <c r="AZ103" s="39">
        <f ca="1">IF(AND(ISNUMBER(tblData[Italy]),tblData[Dates]&gt;StartDt2Italy),(tblData[Italy]-AVERAGE(tblData[Italy]))^2,"")</f>
        <v>14453904820.580467</v>
      </c>
      <c r="BA103" s="11">
        <f>tblData[[#This Row],[Dates]]-Italy100dt+1</f>
        <v>57</v>
      </c>
      <c r="BB103" s="11">
        <f ca="1">IF(AND(tblData[Dates]&gt;StartDt2US,ISNUMBER(tblData[[#This Row],[Days'# US]])),betaUS/(deltaUS+betaPodeltaUS*EXP(-betaUS*tblData[Days'# US])),"")</f>
        <v>810372.98297348164</v>
      </c>
      <c r="BC103" s="11">
        <f ca="1">IF(AND(tblData[Dates]&gt;StartDt2US,ISNUMBER(tblData[US])),(tblData[[#This Row],[US LogiP(t)]]-tblData[US])^2,"")</f>
        <v>3457089211.2166896</v>
      </c>
      <c r="BD103" s="20">
        <f ca="1">IF(AND(tblData[Dates]&gt;=StartDt2US,ISNUMBER(tblData[[#This Row],[Days'# US]])),tblData[[#This Row],[US LogiP(t)]]/USPopscale,"")</f>
        <v>24614.358686934051</v>
      </c>
      <c r="BE103" s="126">
        <f ca="1">IF(AND(ISNUMBER(tblData[US]),tblData[Dates]&gt;StartDt2US),(tblData[US]-AVERAGE(tblData[US]))^2,"")</f>
        <v>416317565241.31488</v>
      </c>
      <c r="BF103" s="11">
        <f>tblData[[#This Row],[Dates]]-US100dt+1</f>
        <v>40</v>
      </c>
      <c r="BG103" s="20">
        <f ca="1">IF(tblData[Dates]&gt;StartDt2SKorea,betaSKorea/(deltaSKorea+betaPodeltaSKorea*EXP(-betaSKorea*(tblData[Dates]-StartDt2SKorea))),"")</f>
        <v>10232.521246467193</v>
      </c>
      <c r="BH103" s="20">
        <f ca="1">IF(AND(tblData[Dates]&gt;StartDt2SKorea,ISNUMBER(tblData[SKorea])),(tblData[[#This Row],[SKorea LogiP(t)]]-tblData[[#This Row],[SKorea]])^2,"")</f>
        <v>226080.04506111171</v>
      </c>
      <c r="BI103" s="20">
        <f ca="1">IF(tblData[Dates]&gt;StartDt2SKorea,tblData[[#This Row],[SKorea LogiP(t)]]/SKoreaPopscale,"")</f>
        <v>1990.762888417742</v>
      </c>
      <c r="BJ103" s="126">
        <f ca="1">IF(AND(ISNUMBER(tblData[SKorea]),tblData[Dates]&gt;StartDt2SKorea),(tblData[SKorea]-AVERAGE(tblData[SKorea]))^2,"")</f>
        <v>23849817.079969246</v>
      </c>
      <c r="BK103" s="11">
        <f>tblData[[#This Row],[Dates]]-SKorea100dt+1</f>
        <v>61</v>
      </c>
      <c r="BL103" s="11">
        <f ca="1">IF(AND(tblData[Dates]&gt;StartDt2UK,ISNUMBER(tblData[Days'# UK])),betaUK/(deltaUK+betaPodeltaUK*EXP(-betaUK*tblData[Days'# UK])),"")</f>
        <v>139065.39002367132</v>
      </c>
      <c r="BM103" s="61">
        <f ca="1">IF(AND(tblData[Dates]&gt;StartDt2UK,ISNUMBER(tblData[United Kingdom])),(tblData[[#This Row],[UK LogiP(t)]]-tblData[[#This Row],[United Kingdom]])^2,"")</f>
        <v>32619.96354944511</v>
      </c>
      <c r="BN103" s="11">
        <f ca="1">IF(ISNUMBER(tblData[Days'# UK]),tblData[[#This Row],[UK LogiP(t)]]/UKPopscale,"")</f>
        <v>20930.973814520068</v>
      </c>
      <c r="BO103" s="126">
        <f ca="1">IF(AND(ISNUMBER(tblData[United Kingdom]),tblData[Dates]&gt;StartDt2UK),(tblData[United Kingdom]-AVERAGE(tblData[United Kingdom]))^2,"")</f>
        <v>10257429376.383995</v>
      </c>
      <c r="BP103" s="11">
        <f>tblData[[#This Row],[Dates]]-UK100dt</f>
        <v>42</v>
      </c>
      <c r="BQ103" s="11">
        <f ca="1">IF(ISNUMBER(tblData[Days'# China]),betaChina/(deltaChina+betaPodeltaChina*EXP(-betaChina*tblData[Days'# China])),"")</f>
        <v>82125.154194978124</v>
      </c>
      <c r="BR103" s="11">
        <f ca="1">IF(ISNUMBER(tblData[China]),(tblData[[#This Row],[China LogiP(t)]]-tblData[[#This Row],[China]])^2,"")</f>
        <v>3093538.5658430508</v>
      </c>
      <c r="BS103" s="11">
        <f ca="1">tblData[[#This Row],[China LogiP(t)]]/ChinaPopscale</f>
        <v>570.58151587831571</v>
      </c>
      <c r="BT103" s="126">
        <f ca="1">IF(AND(ISNUMBER(tblData[China]),tblData[Dates]&gt;StartDt2China),(tblData[China]-AVERAGE(tblData[China]))^2,"")</f>
        <v>278206701.39792365</v>
      </c>
      <c r="BU103" s="11">
        <f>tblData[[#This Row],[Dates]]-China100dt</f>
        <v>81</v>
      </c>
      <c r="BV103" s="95">
        <f ca="1">IF(ISNUMBER(tblData[Day'# Singapore]),betaSingapore/(deltaSingapore+betaPodeltaSingapore*EXP(-betaSingapore*tblData[Day'# Singapore])),"")</f>
        <v>8540.0704401894836</v>
      </c>
      <c r="BW103" s="11">
        <f ca="1">IF(AND(ISNUMBER(tblData[Singapore]),tblData[Dates]&gt;=StartDt2Singapore),(tblData[[#This Row],[Singapore LogiP(t)]]-tblData[[#This Row],[Singapore]])^2,"")</f>
        <v>6958672.3625221048</v>
      </c>
      <c r="BX103" s="20">
        <f ca="1">IF(ISNUMBER(tblData[Day'# Singapore]),tblData[Singapore LogiP(t)]/SingaporePopscale,"")</f>
        <v>14598.411008870913</v>
      </c>
      <c r="BY103" s="95">
        <f ca="1">IF(AND(ISNUMBER(tblData[Singapore]),tblData[Dates]&gt;StartDt2Singapore),(tblData[Singapore]-AVERAGE(tblData[Singapore]))^2,"")</f>
        <v>78449922.371780083</v>
      </c>
      <c r="BZ103" s="11">
        <f>tblData[[#This Row],[Dates]]-Singapore100dt+1</f>
        <v>70</v>
      </c>
      <c r="CA103" s="11">
        <f>IF(AND(tblData[Dates]&gt;StartDt2Generic,ISNUMBER(tblData[Day'# Generic])),betaGeneric/(deltaGeneric+betaPodeltaGeneric*EXP(-betaGeneric*tblData[Day'# Generic])),"")</f>
        <v>18358.066541882232</v>
      </c>
      <c r="CB103" s="95">
        <f>IF(AND(ISNUMBER(tblData[Generic]),tblData[Dates]&gt;StartDt2Generic),(tblData[Generic LogiP(t)]-tblData[[#This Row],[Generic]])^2,"")</f>
        <v>564100.95033493428</v>
      </c>
      <c r="CC103" s="11">
        <f>IF(AND(ISNUMBER(tblData[Day'# Generic]),tblData[Dates]&gt;StartDt2Generic),tblData[Generic LogiP(t)]/GenericPopscale,"")</f>
        <v>37465.441922208636</v>
      </c>
      <c r="CD103" s="95">
        <f>IF(AND(ISNUMBER(tblData[Generic]),tblData[Dates]&gt;StartDt2Generic),(tblData[Generic]-AVERAGE(tblData[Generic]))^2,"")</f>
        <v>120417533.42698225</v>
      </c>
      <c r="CE103" s="11">
        <f>tblData[[#This Row],[Dates]]-Generic100dt+1</f>
        <v>42</v>
      </c>
      <c r="CF103" s="11">
        <v>185434</v>
      </c>
      <c r="CG103" s="11"/>
      <c r="CH103" s="11">
        <f>IF(ISNUMBER(tblData[[#This Row],[Tests]]),tblData[[#This Row],[Tests]]-CF102,"")</f>
        <v>7346</v>
      </c>
      <c r="CI103" s="11" t="str">
        <f>IF(ISNUMBER(tblData[[#This Row],[NSW Under Investigation'']]),tblData[[#This Row],[NSW Under Investigation'']]-CG102,"")</f>
        <v/>
      </c>
      <c r="CJ103" s="11">
        <f t="shared" si="2"/>
        <v>49</v>
      </c>
      <c r="CK103" s="11">
        <f>IF(AND(tblData[[#This Row],[NSW Test Day Number]]&gt;0,ISNUMBER(tblData[[#This Row],[NSW Test Day Number]])),betaTests/(deltaTests+betaPodeltaTests*EXP(-betaTests*tblData[[#This Row],[NSW Test Day Number]])),"")</f>
        <v>171346.17824548669</v>
      </c>
      <c r="CL103" s="11">
        <f>IF(tblData[Tests]&gt;0,(tblData[[#This Row],[Tests]]-tblData[[#This Row],[NSW Test Logi]])^2,"")</f>
        <v>198466721.78693843</v>
      </c>
      <c r="CM103" s="95">
        <f>IF(AND(ISNUMBER(tblData[Tests]),tblData[Dates]&gt;StartDt2Tests),(tblData[Tests]-AVERAGE(tblData[Tests]))^2,"")</f>
        <v>6284866915.2266579</v>
      </c>
      <c r="CN103" s="11">
        <f>IF(ISNUMBER(tblData[Tests]),tblData[Tests]/NSWpopscale/100,"")</f>
        <v>2294.9752475247524</v>
      </c>
      <c r="CO103" s="95">
        <f ca="1">IF(AND(tblData[[#This Row],[NSW Test Day Number]]&gt;0,ISNUMBER(tblData[[#This Row],[NSW Test Day Number]])),TestsLogestB*TestsLogestM^tblData[[#This Row],[NSW Test Day Number]],"")</f>
        <v>230493.20066501512</v>
      </c>
      <c r="CP103" s="11">
        <f>IF(AND(tblData[[#This Row],[NSW Test Day Number]]&gt;0,ISNUMBER(tblData[Tests])),(tblData[Tests]-tblData[[#This Row],[NSW Test Per Capita]])^2,"")</f>
        <v>33539902387.287735</v>
      </c>
      <c r="CQ103" s="20">
        <f ca="1">IF(AND(tblData[Day '# NSW]&gt;0,ISNUMBER(tblData[[#This Row],[Day '# NSW]])),NSWLogestB*NSWLogestM^tblData[[#This Row],[Day '# NSW]]/NSWpopscale,"")</f>
        <v>7394.6441466246952</v>
      </c>
      <c r="CR103" s="39">
        <f ca="1">IF(AND(ISNUMBER(tblData[NSW]),tblData[Dates]&gt;StartDt2NSW),(tblData[NSW]/NSWpopscale-tblData[[#This Row],[NSW Cases LogEst]])^2,"")</f>
        <v>13775052.835137727</v>
      </c>
      <c r="CS103" s="39">
        <v>427</v>
      </c>
      <c r="CT103" s="19">
        <f>IF(ISNUMBER(tblData[Taiwan]),tblData[Taiwan]/TaiwanPopscale,"")</f>
        <v>179.356887527102</v>
      </c>
      <c r="CU103" s="11">
        <f ca="1">IF(tblData[[#This Row],[Dates]]&lt;StartDt2Taiwan,"",tblData[[#This Row],[Dates]]-TaiwanStart)</f>
        <v>92</v>
      </c>
      <c r="CV103" s="19">
        <f ca="1">IF(AND(tblData[Dates]&gt;StartDt2Taiwan,ISNUMBER(tblData[Days'# Taiwan])),betaTaiwan/(deltaTaiwan+betaPodeltaTaiwan*EXP(-betaTaiwan*tblData[Days'# Taiwan])),"")</f>
        <v>420.86869953686994</v>
      </c>
      <c r="CW103" s="95">
        <f ca="1">IF(AND(tblData[Dates]&gt;StartDt2Taiwan,ISNUMBER(tblData[Taiwan])),(tblData[[#This Row],[Taiwan LogiP(t)]]-tblData[[#This Row],[Taiwan]])^2,"")</f>
        <v>37.592845369178889</v>
      </c>
      <c r="CX103" s="20">
        <f ca="1">IF(AND(tblData[Dates]&gt;StartDt2Taiwan,ISNUMBER(tblData[Days'# Taiwan])),tblData[[#This Row],[Taiwan LogiP(t)]]/TaiwanPopscale,"")</f>
        <v>176.78149884429055</v>
      </c>
      <c r="CY103" s="95">
        <f ca="1">IF(AND(ISNUMBER(tblData[Taiwan]),tblData[Dates]&gt;StartDt2Taiwan),(tblData[Taiwan]-AVERAGE(tblData[Taiwan]))^2,"")</f>
        <v>66281.007304882733</v>
      </c>
      <c r="CZ103" s="11">
        <f>tblData[[#This Row],[Dates]]-Taiwan100dt+1</f>
        <v>29</v>
      </c>
      <c r="DA103" s="11">
        <v>1456</v>
      </c>
      <c r="DB103" s="20">
        <f>IF(ISNUMBER(tblData[NZ]),tblData[NZ]/NZPopscale,"")</f>
        <v>2783.9388145315488</v>
      </c>
      <c r="DC103" s="11">
        <f ca="1">IF(tblData[[#This Row],[Dates]]&lt;StartDt2NZ,"",tblData[[#This Row],[Dates]]-NZStart)</f>
        <v>55</v>
      </c>
      <c r="DD103" s="20">
        <f ca="1">IF(AND(tblData[Dates]&gt;StartDt2NZ,ISNUMBER(tblData[Days'# NZ])),betaNZ/(deltaNZ+betaPodeltaNZ*EXP(-betaNZ*tblData[Days'# NZ])),"")</f>
        <v>1452.0707598769027</v>
      </c>
      <c r="DE103" s="95">
        <f ca="1">IF(AND(tblData[Dates]&gt;StartDt2NZ,ISNUMBER(tblData[NZ])),(tblData[[#This Row],[NZ LogiP(t)]]-tblData[[#This Row],[NZ]])^2,"")</f>
        <v>15.438927944957808</v>
      </c>
      <c r="DF103" s="20">
        <f ca="1">IF(AND(tblData[Dates]&gt;StartDt2NZ,ISNUMBER(tblData[Days'# NZ])),tblData[[#This Row],[NZ LogiP(t)]]/NZPopscale,"")</f>
        <v>2776.4259271068886</v>
      </c>
      <c r="DG103" s="95">
        <f ca="1">IF(AND(ISNUMBER(tblData[NZ]),tblData[Dates]&gt;StartDt2NZ),(tblData[NZ]-AVERAGE(tblData[NZ]))^2,"")</f>
        <v>588381.97337006417</v>
      </c>
      <c r="DH103" s="11">
        <f>tblData[[#This Row],[Dates]]-NZ100dt+1</f>
        <v>33</v>
      </c>
      <c r="DI103" s="39"/>
      <c r="DJ103" s="11"/>
      <c r="DM103" s="25"/>
      <c r="DP103"/>
      <c r="DV103" s="25"/>
      <c r="DW103"/>
      <c r="EA103" s="25"/>
      <c r="EH103"/>
      <c r="EI103"/>
      <c r="EJ103"/>
      <c r="EK103"/>
      <c r="EL103" s="25"/>
      <c r="EM103" s="25"/>
      <c r="EQ103" s="25"/>
      <c r="ER103" s="25"/>
      <c r="ES103" s="25"/>
      <c r="ET103" s="25"/>
      <c r="FF103"/>
      <c r="FG103"/>
      <c r="FH103"/>
      <c r="FI103"/>
      <c r="FJ103"/>
      <c r="FK103"/>
      <c r="FL103"/>
      <c r="FO103" s="267" t="s">
        <v>153</v>
      </c>
      <c r="FP103" s="251">
        <v>43931.864340277774</v>
      </c>
      <c r="FQ103" s="243">
        <v>43855</v>
      </c>
      <c r="FR103" s="160">
        <v>43855</v>
      </c>
      <c r="FS103" s="211">
        <v>1</v>
      </c>
      <c r="FT103" s="72">
        <v>0.23824063382383029</v>
      </c>
      <c r="FU103" s="72">
        <v>8.1548116753388112E-5</v>
      </c>
      <c r="FV103" s="74">
        <v>1E-3</v>
      </c>
      <c r="FW103" s="212">
        <v>2921.4731536265922</v>
      </c>
      <c r="FX103" s="212">
        <v>22.692412446452934</v>
      </c>
      <c r="FY103" s="212">
        <v>0.99938570539061367</v>
      </c>
      <c r="FZ103" s="213">
        <v>238.24055227571353</v>
      </c>
      <c r="GA103" s="213">
        <v>8.1548116753388106E-2</v>
      </c>
      <c r="GB103" s="243">
        <v>43931</v>
      </c>
      <c r="GC103" s="160" t="s">
        <v>1968</v>
      </c>
      <c r="GD103" s="212">
        <v>2921.4731536265922</v>
      </c>
      <c r="GE103" s="212">
        <v>2822</v>
      </c>
      <c r="GF103" s="74" t="s">
        <v>1919</v>
      </c>
      <c r="GG103" s="243">
        <v>43931</v>
      </c>
      <c r="GH103" s="160">
        <v>77</v>
      </c>
      <c r="GI103" s="23" t="s">
        <v>2084</v>
      </c>
      <c r="GJ103" s="21"/>
      <c r="GK103" s="161" t="s">
        <v>2085</v>
      </c>
      <c r="GL103" s="23"/>
      <c r="GM103" s="23" t="s">
        <v>2086</v>
      </c>
      <c r="GN103" s="23">
        <v>3492.5742574257424</v>
      </c>
      <c r="GO103" s="243"/>
      <c r="GP103" s="218"/>
      <c r="GQ103" s="243"/>
      <c r="GR103" s="23"/>
      <c r="GS103" s="23" t="s">
        <v>2083</v>
      </c>
      <c r="GT103" s="11">
        <v>2877.0890307658447</v>
      </c>
      <c r="GU103" s="34">
        <v>6.4973314162770981E-3</v>
      </c>
      <c r="GV103" s="160">
        <v>43901</v>
      </c>
      <c r="GW103" s="23" t="s">
        <v>1646</v>
      </c>
      <c r="GX103" s="220">
        <v>10.184622464376389</v>
      </c>
      <c r="GY103" s="23" t="s">
        <v>153</v>
      </c>
      <c r="GZ103" s="23"/>
      <c r="HA103" s="25"/>
      <c r="HB103" s="25"/>
      <c r="HC103" s="25"/>
      <c r="HD103" s="25"/>
      <c r="HE103" s="25"/>
      <c r="HF103" s="25"/>
      <c r="HG103" s="25"/>
      <c r="HH103" s="25"/>
      <c r="HI103" s="25"/>
      <c r="HJ103" s="25"/>
      <c r="HW103" s="25"/>
      <c r="HX103" s="25"/>
      <c r="HY103" s="25"/>
      <c r="HZ103" s="25"/>
      <c r="IA103" s="25"/>
      <c r="IB103" s="25"/>
      <c r="IC103" s="25"/>
    </row>
    <row r="104" spans="2:238" x14ac:dyDescent="0.25">
      <c r="B104" s="26">
        <f t="shared" si="4"/>
        <v>43945</v>
      </c>
      <c r="D104" s="25">
        <v>105</v>
      </c>
      <c r="E104">
        <v>2982</v>
      </c>
      <c r="F104">
        <v>28</v>
      </c>
      <c r="G104">
        <v>1026</v>
      </c>
      <c r="H104">
        <v>438</v>
      </c>
      <c r="I104">
        <v>205</v>
      </c>
      <c r="J104">
        <v>1343</v>
      </c>
      <c r="K104">
        <v>548</v>
      </c>
      <c r="L104" s="11">
        <f>IF(ISNUMBER(tblData[[#This Row],[NSW]]),tblData[[#This Row],[New South Wales]]/NSWpopscale,"")</f>
        <v>3690.5940594059402</v>
      </c>
      <c r="M104" s="25">
        <v>192994</v>
      </c>
      <c r="N104" s="20">
        <f>IF(ISNUMBER(tblData[Italy]),tblData[Italy]/ItalyPopscale,"")</f>
        <v>31907.745722079857</v>
      </c>
      <c r="O104" s="25">
        <v>905358</v>
      </c>
      <c r="P104" s="20">
        <f>IF(ISNUMBER(tblData[US]),tblData[US]/USPopscale,"")</f>
        <v>27499.444108213167</v>
      </c>
      <c r="Q104" s="11">
        <v>10718</v>
      </c>
      <c r="R104" s="20">
        <f>IF(ISNUMBER(tblData[SKorea]),tblData[SKorea]/SKoreaPopscale,"")</f>
        <v>2085.2140077821014</v>
      </c>
      <c r="S104">
        <v>144640</v>
      </c>
      <c r="T104" s="20">
        <f>IF(ISNUMBER(tblData[United Kingdom]),tblData[United Kingdom]/UKPopscale,"")</f>
        <v>21770.018061408791</v>
      </c>
      <c r="U104">
        <v>83899</v>
      </c>
      <c r="V104" s="20">
        <f>IF(ISNUMBER(tblData[China]),tblData[China]/ChinaPopscale,"")</f>
        <v>582.90567695034031</v>
      </c>
      <c r="W104" s="25">
        <f ca="1">IF(tblData[[#This Row],[Dates]]&lt;StartDt2China,"",tblData[[#This Row],[Dates]]-ChinaStart)</f>
        <v>93</v>
      </c>
      <c r="X104" s="20">
        <v>12075</v>
      </c>
      <c r="Y104" s="20">
        <f>IF(ISNUMBER(tblData[Singapore]),tblData[Singapore]/SingaporePopscale,"")</f>
        <v>20641.025641025641</v>
      </c>
      <c r="Z104">
        <v>18184</v>
      </c>
      <c r="AA104" s="20">
        <f>IF(AND(LEN(tblData[Generic])&gt;0,ISNUMBER(tblData[Generic])),tblData[Generic]/GenericPopscale,"")</f>
        <v>37110.204081632655</v>
      </c>
      <c r="AB104" s="25">
        <f ca="1">IF(tblData[[#This Row],[Dates]]&lt;StartDt2Italy,"",tblData[[#This Row],[Dates]]-ItalyStart)</f>
        <v>85</v>
      </c>
      <c r="AC104" s="25">
        <f ca="1">IF(tblData[[#This Row],[Dates]]&lt;=StartDt2US,"",tblData[[#This Row],[Dates]]-USStart)</f>
        <v>93</v>
      </c>
      <c r="AD104" s="25">
        <f>IF(tblData[[#This Row],[Dates]]&lt;=SKoreaStart,"",tblData[[#This Row],[Dates]]-SKoreaStart)</f>
        <v>93</v>
      </c>
      <c r="AE104" s="25">
        <f ca="1">IF(tblData[[#This Row],[Dates]]&lt;=StartDt2UK,"",tblData[[#This Row],[Dates]]-UKStart)</f>
        <v>85</v>
      </c>
      <c r="AF104" s="25">
        <f ca="1">IF(tblData[[#This Row],[Dates]]&lt;StartDt2Singapore,"",tblData[[#This Row],[Dates]]-SingaporeStart)</f>
        <v>92</v>
      </c>
      <c r="AG104" s="25">
        <f>IF(tblData[[#This Row],[Dates]]&lt;StartDt2Generic,"",tblData[[#This Row],[Dates]]-GenericStart)</f>
        <v>55</v>
      </c>
      <c r="AH104">
        <f ca="1">IF(tblData[Dates]&gt;StartDt2Au,tblData[Dates]-AuStart,"")</f>
        <v>90</v>
      </c>
      <c r="AI104" s="25">
        <f>IF(AND(COUNTBLANK(tblData[[#This Row],[Australian Capital Territory]:[Western Australia]])&lt;1,tblData[New South Wales]&gt;=0),SUM(tblData[[#This Row],[Australian Capital Territory]:[Western Australia]]),"")</f>
        <v>6675</v>
      </c>
      <c r="AJ104" s="12">
        <f>IF(ISNUMBER(tblData[Au]),tblData[Au]/AuPopScale,"")</f>
        <v>2631.6826998896072</v>
      </c>
      <c r="AK104" s="11">
        <f ca="1">IF(ISNUMBER(tblData[[#This Row],[Day'# Aust]]),betaAu/(deltaAu+betaPodeltaAu*EXP(-betaAu*tblData[[#This Row],[Day'# Aust]])),"")</f>
        <v>6630.2208944492349</v>
      </c>
      <c r="AL104" s="56">
        <f ca="1">IF(ISNUMBER(tblData[Day'# Aust]),tblData[Au LogiP(t)]/AuPopScale,"")</f>
        <v>2614.028108519648</v>
      </c>
      <c r="AM104" s="11">
        <f ca="1">IF(AND(tblData[Dates]&gt;StartDt2Au,ISNUMBER(tblData[Au])),(tblData[[#This Row],[Au LogiP(t)]]-tblData[[#This Row],[Au]])^2,"")</f>
        <v>2005.1682939265575</v>
      </c>
      <c r="AN104" s="11">
        <f ca="1">IF(AND(ISNUMBER(tblData[Au]),tblData[Dates]&gt;StartDt2Au),(tblData[Au]-AVERAGE(tblData[Au]))^2,"")</f>
        <v>17860681.916100003</v>
      </c>
      <c r="AO104" s="11">
        <f>tblData[[#This Row],[Dates]]-Au100dt</f>
        <v>40</v>
      </c>
      <c r="AP104">
        <f ca="1">IF(tblData[Dates]&gt;StartDt2NSW,tblData[Dates]-StartDt2NSW,"")</f>
        <v>90</v>
      </c>
      <c r="AQ104" s="25">
        <f>IF(tblData[[#This Row],[New South Wales]]&gt;0,tblData[[#This Row],[New South Wales]],"")</f>
        <v>2982</v>
      </c>
      <c r="AR104" s="11">
        <f ca="1">IF(tblData[Dates]&gt;StartDt2NSW,betaNSW/(deltaNSW+betaPodeltaNSW*EXP(-betaNSW*tblData[[#This Row],[Day '# NSW]])),"")</f>
        <v>2968.616323506445</v>
      </c>
      <c r="AS104" s="12">
        <f ca="1">IF(AND(ISNUMBER(tblData[NSW]),tblData[Dates]&gt;StartDt2NSW),(tblData[[#This Row],[NSW LogiP(t)]]-tblData[[#This Row],[NSW]])^2,"")</f>
        <v>179.12279648413553</v>
      </c>
      <c r="AT104" s="39">
        <f ca="1">IF(AND(tblData[Dates]&gt;StartDt2NSW,ISNUMBER(tblData[Day'# Aust])),tblData[NSW LogiP(t)]/NSWpopscale,"")</f>
        <v>3674.0301033495602</v>
      </c>
      <c r="AU104" s="11">
        <f>tblData[[#This Row],[Dates]]-NSW100dt+1</f>
        <v>43</v>
      </c>
      <c r="AV104" s="11">
        <f ca="1">IF(AND(ISNUMBER(tblData[NSW]),tblData[Dates]&gt;StartDt2NSW),(tblData[NSW]-AVERAGE(tblData[NSW]))^2,"")</f>
        <v>3563562.3075999999</v>
      </c>
      <c r="AW104" s="11">
        <f ca="1">IF(AND(tblData[Dates]&gt;StartDt2Italy,ISNUMBER(tblData[Days'# Italy])),betaItaly/(deltaItaly+betaPodeltaItaly*EXP(-betaItaly*tblData[Days'# Italy])),"")</f>
        <v>161358.58634759841</v>
      </c>
      <c r="AX104" s="11">
        <f ca="1">IF(AND(tblData[Dates]&gt;StartDt2Italy,ISNUMBER(tblData[Italy])),(tblData[[#This Row],[Italy LogiP(t)]]-tblData[[#This Row],[Italy]])^2,"")</f>
        <v>1000799396.958557</v>
      </c>
      <c r="AY104" s="11">
        <f ca="1">IF(AND(tblData[Dates]&gt;StartDt2Italy,ISNUMBER(tblData[Days'# Italy])),tblData[[#This Row],[Italy LogiP(t)]]/ItalyPopscale,"")</f>
        <v>26677.454963643617</v>
      </c>
      <c r="AZ104" s="39">
        <f ca="1">IF(AND(ISNUMBER(tblData[Italy]),tblData[Dates]&gt;StartDt2Italy),(tblData[Italy]-AVERAGE(tblData[Italy]))^2,"")</f>
        <v>15189427047.81451</v>
      </c>
      <c r="BA104" s="11">
        <f>tblData[[#This Row],[Dates]]-Italy100dt+1</f>
        <v>58</v>
      </c>
      <c r="BB104" s="11">
        <f ca="1">IF(AND(tblData[Dates]&gt;StartDt2US,ISNUMBER(tblData[[#This Row],[Days'# US]])),betaUS/(deltaUS+betaPodeltaUS*EXP(-betaUS*tblData[Days'# US])),"")</f>
        <v>811118.65665534919</v>
      </c>
      <c r="BC104" s="11">
        <f ca="1">IF(AND(tblData[Dates]&gt;StartDt2US,ISNUMBER(tblData[US])),(tblData[[#This Row],[US LogiP(t)]]-tblData[US])^2,"")</f>
        <v>8881053834.0309811</v>
      </c>
      <c r="BD104" s="20">
        <f ca="1">IF(AND(tblData[Dates]&gt;=StartDt2US,ISNUMBER(tblData[[#This Row],[Days'# US]])),tblData[[#This Row],[US LogiP(t)]]/USPopscale,"")</f>
        <v>24637.007861887476</v>
      </c>
      <c r="BE104" s="126">
        <f ca="1">IF(AND(ISNUMBER(tblData[US]),tblData[Dates]&gt;StartDt2US),(tblData[US]-AVERAGE(tblData[US]))^2,"")</f>
        <v>464326068198.09918</v>
      </c>
      <c r="BF104" s="11">
        <f>tblData[[#This Row],[Dates]]-US100dt+1</f>
        <v>41</v>
      </c>
      <c r="BG104" s="20">
        <f ca="1">IF(tblData[Dates]&gt;StartDt2SKorea,betaSKorea/(deltaSKorea+betaPodeltaSKorea*EXP(-betaSKorea*(tblData[Dates]-StartDt2SKorea))),"")</f>
        <v>10232.79279359919</v>
      </c>
      <c r="BH104" s="20">
        <f ca="1">IF(AND(tblData[Dates]&gt;StartDt2SKorea,ISNUMBER(tblData[SKorea])),(tblData[[#This Row],[SKorea LogiP(t)]]-tblData[[#This Row],[SKorea]])^2,"")</f>
        <v>235426.03314327807</v>
      </c>
      <c r="BI104" s="20">
        <f ca="1">IF(tblData[Dates]&gt;StartDt2SKorea,tblData[[#This Row],[SKorea LogiP(t)]]/SKoreaPopscale,"")</f>
        <v>1990.8157185990644</v>
      </c>
      <c r="BJ104" s="126">
        <f ca="1">IF(AND(ISNUMBER(tblData[SKorea]),tblData[Dates]&gt;StartDt2SKorea),(tblData[SKorea]-AVERAGE(tblData[SKorea]))^2,"")</f>
        <v>23947589.628988855</v>
      </c>
      <c r="BK104" s="11">
        <f>tblData[[#This Row],[Dates]]-SKorea100dt+1</f>
        <v>62</v>
      </c>
      <c r="BL104" s="11">
        <f ca="1">IF(AND(tblData[Dates]&gt;StartDt2UK,ISNUMBER(tblData[Days'# UK])),betaUK/(deltaUK+betaPodeltaUK*EXP(-betaUK*tblData[Days'# UK])),"")</f>
        <v>139772.86339114184</v>
      </c>
      <c r="BM104" s="61">
        <f ca="1">IF(AND(tblData[Dates]&gt;StartDt2UK,ISNUMBER(tblData[United Kingdom])),(tblData[[#This Row],[UK LogiP(t)]]-tblData[[#This Row],[United Kingdom]])^2,"")</f>
        <v>23689018.769287273</v>
      </c>
      <c r="BN104" s="11">
        <f ca="1">IF(ISNUMBER(tblData[Days'# UK]),tblData[[#This Row],[UK LogiP(t)]]/UKPopscale,"")</f>
        <v>21037.456862002084</v>
      </c>
      <c r="BO104" s="126">
        <f ca="1">IF(AND(ISNUMBER(tblData[United Kingdom]),tblData[Dates]&gt;StartDt2UK),(tblData[United Kingdom]-AVERAGE(tblData[United Kingdom]))^2,"")</f>
        <v>11379122120.086123</v>
      </c>
      <c r="BP104" s="11">
        <f>tblData[[#This Row],[Dates]]-UK100dt</f>
        <v>43</v>
      </c>
      <c r="BQ104" s="11">
        <f ca="1">IF(ISNUMBER(tblData[Days'# China]),betaChina/(deltaChina+betaPodeltaChina*EXP(-betaChina*tblData[Days'# China])),"")</f>
        <v>82125.155450464779</v>
      </c>
      <c r="BR104" s="11">
        <f ca="1">IF(ISNUMBER(tblData[China]),(tblData[[#This Row],[China LogiP(t)]]-tblData[[#This Row],[China]])^2,"")</f>
        <v>3146524.4859158103</v>
      </c>
      <c r="BS104" s="11">
        <f ca="1">tblData[[#This Row],[China LogiP(t)]]/ChinaPopscale</f>
        <v>570.58152460106919</v>
      </c>
      <c r="BT104" s="126">
        <f ca="1">IF(AND(ISNUMBER(tblData[China]),tblData[Dates]&gt;StartDt2China),(tblData[China]-AVERAGE(tblData[China]))^2,"")</f>
        <v>278707312.2802766</v>
      </c>
      <c r="BU104" s="11">
        <f>tblData[[#This Row],[Dates]]-China100dt</f>
        <v>82</v>
      </c>
      <c r="BV104" s="95">
        <f ca="1">IF(ISNUMBER(tblData[Day'# Singapore]),betaSingapore/(deltaSingapore+betaPodeltaSingapore*EXP(-betaSingapore*tblData[Day'# Singapore])),"")</f>
        <v>9381.1479769377474</v>
      </c>
      <c r="BW104" s="11">
        <f ca="1">IF(AND(ISNUMBER(tblData[Singapore]),tblData[Dates]&gt;=StartDt2Singapore),(tblData[[#This Row],[Singapore LogiP(t)]]-tblData[[#This Row],[Singapore]])^2,"")</f>
        <v>7256838.7221565908</v>
      </c>
      <c r="BX104" s="20">
        <f ca="1">IF(ISNUMBER(tblData[Day'# Singapore]),tblData[Singapore LogiP(t)]/SingaporePopscale,"")</f>
        <v>16036.150387927775</v>
      </c>
      <c r="BY104" s="95">
        <f ca="1">IF(AND(ISNUMBER(tblData[Singapore]),tblData[Dates]&gt;StartDt2Singapore),(tblData[Singapore]-AVERAGE(tblData[Singapore]))^2,"")</f>
        <v>95144341.136485964</v>
      </c>
      <c r="BZ104" s="11">
        <f>tblData[[#This Row],[Dates]]-Singapore100dt+1</f>
        <v>71</v>
      </c>
      <c r="CA104" s="11">
        <f>IF(AND(tblData[Dates]&gt;StartDt2Generic,ISNUMBER(tblData[Day'# Generic])),betaGeneric/(deltaGeneric+betaPodeltaGeneric*EXP(-betaGeneric*tblData[Day'# Generic])),"")</f>
        <v>18997.958252388511</v>
      </c>
      <c r="CB104" s="95">
        <f>IF(AND(ISNUMBER(tblData[Generic]),tblData[Dates]&gt;StartDt2Generic),(tblData[Generic LogiP(t)]-tblData[[#This Row],[Generic]])^2,"")</f>
        <v>662528.03663135902</v>
      </c>
      <c r="CC104" s="11">
        <f>IF(AND(ISNUMBER(tblData[Day'# Generic]),tblData[Dates]&gt;StartDt2Generic),tblData[Generic LogiP(t)]/GenericPopscale,"")</f>
        <v>38771.343372221454</v>
      </c>
      <c r="CD104" s="95">
        <f>IF(AND(ISNUMBER(tblData[Generic]),tblData[Dates]&gt;StartDt2Generic),(tblData[Generic]-AVERAGE(tblData[Generic]))^2,"")</f>
        <v>133413872.55005917</v>
      </c>
      <c r="CE104" s="11">
        <f>tblData[[#This Row],[Dates]]-Generic100dt+1</f>
        <v>43</v>
      </c>
      <c r="CF104" s="11">
        <v>190262</v>
      </c>
      <c r="CG104" s="11"/>
      <c r="CH104" s="11">
        <f>IF(ISNUMBER(tblData[[#This Row],[Tests]]),tblData[[#This Row],[Tests]]-CF103,"")</f>
        <v>4828</v>
      </c>
      <c r="CI104" s="11" t="str">
        <f>IF(ISNUMBER(tblData[[#This Row],[NSW Under Investigation'']]),tblData[[#This Row],[NSW Under Investigation'']]-CG103,"")</f>
        <v/>
      </c>
      <c r="CJ104" s="11">
        <f t="shared" si="2"/>
        <v>50</v>
      </c>
      <c r="CK104" s="11">
        <f>IF(AND(tblData[[#This Row],[NSW Test Day Number]]&gt;0,ISNUMBER(tblData[[#This Row],[NSW Test Day Number]])),betaTests/(deltaTests+betaPodeltaTests*EXP(-betaTests*tblData[[#This Row],[NSW Test Day Number]])),"")</f>
        <v>171539.0527329387</v>
      </c>
      <c r="CL104" s="11">
        <f>IF(tblData[Tests]&gt;0,(tblData[[#This Row],[Tests]]-tblData[[#This Row],[NSW Test Logi]])^2,"")</f>
        <v>350548754.36515832</v>
      </c>
      <c r="CM104" s="95">
        <f>IF(AND(ISNUMBER(tblData[Tests]),tblData[Dates]&gt;StartDt2Tests),(tblData[Tests]-AVERAGE(tblData[Tests]))^2,"")</f>
        <v>7073676684.1758108</v>
      </c>
      <c r="CN104" s="11">
        <f>IF(ISNUMBER(tblData[Tests]),tblData[Tests]/NSWpopscale/100,"")</f>
        <v>2354.727722772277</v>
      </c>
      <c r="CO104" s="95">
        <f ca="1">IF(AND(tblData[[#This Row],[NSW Test Day Number]]&gt;0,ISNUMBER(tblData[[#This Row],[NSW Test Day Number]])),TestsLogestB*TestsLogestM^tblData[[#This Row],[NSW Test Day Number]],"")</f>
        <v>244325.42832932988</v>
      </c>
      <c r="CP104" s="11">
        <f>IF(AND(tblData[[#This Row],[NSW Test Day Number]]&gt;0,ISNUMBER(tblData[Tests])),(tblData[Tests]-tblData[[#This Row],[NSW Test Per Capita]])^2,"")</f>
        <v>35309142974.66819</v>
      </c>
      <c r="CQ104" s="20">
        <f ca="1">IF(AND(tblData[Day '# NSW]&gt;0,ISNUMBER(tblData[[#This Row],[Day '# NSW]])),NSWLogestB*NSWLogestM^tblData[[#This Row],[Day '# NSW]]/NSWpopscale,"")</f>
        <v>8141.175121531699</v>
      </c>
      <c r="CR104" s="39">
        <f ca="1">IF(AND(ISNUMBER(tblData[NSW]),tblData[Dates]&gt;StartDt2NSW),(tblData[NSW]/NSWpopscale-tblData[[#This Row],[NSW Cases LogEst]])^2,"")</f>
        <v>19807671.790552448</v>
      </c>
      <c r="CS104" s="39">
        <v>428</v>
      </c>
      <c r="CT104" s="19">
        <f>IF(ISNUMBER(tblData[Taiwan]),tblData[Taiwan]/TaiwanPopscale,"")</f>
        <v>179.7769270763458</v>
      </c>
      <c r="CU104" s="11">
        <f ca="1">IF(tblData[[#This Row],[Dates]]&lt;StartDt2Taiwan,"",tblData[[#This Row],[Dates]]-TaiwanStart)</f>
        <v>93</v>
      </c>
      <c r="CV104" s="19">
        <f ca="1">IF(AND(tblData[Dates]&gt;StartDt2Taiwan,ISNUMBER(tblData[Days'# Taiwan])),betaTaiwan/(deltaTaiwan+betaPodeltaTaiwan*EXP(-betaTaiwan*tblData[Days'# Taiwan])),"")</f>
        <v>421.59566426041653</v>
      </c>
      <c r="CW104" s="95">
        <f ca="1">IF(AND(tblData[Dates]&gt;StartDt2Taiwan,ISNUMBER(tblData[Taiwan])),(tblData[[#This Row],[Taiwan LogiP(t)]]-tblData[[#This Row],[Taiwan]])^2,"")</f>
        <v>41.015516265306196</v>
      </c>
      <c r="CX104" s="20">
        <f ca="1">IF(AND(tblData[Dates]&gt;StartDt2Taiwan,ISNUMBER(tblData[Days'# Taiwan])),tblData[[#This Row],[Taiwan LogiP(t)]]/TaiwanPopscale,"")</f>
        <v>177.08685277908521</v>
      </c>
      <c r="CY104" s="95">
        <f ca="1">IF(AND(ISNUMBER(tblData[Taiwan]),tblData[Dates]&gt;StartDt2Taiwan),(tblData[Taiwan]-AVERAGE(tblData[Taiwan]))^2,"")</f>
        <v>66796.90926566704</v>
      </c>
      <c r="CZ104" s="11">
        <f>tblData[[#This Row],[Dates]]-Taiwan100dt+1</f>
        <v>30</v>
      </c>
      <c r="DA104" s="11">
        <v>1461</v>
      </c>
      <c r="DB104" s="20">
        <f>IF(ISNUMBER(tblData[NZ]),tblData[NZ]/NZPopscale,"")</f>
        <v>2793.4990439770554</v>
      </c>
      <c r="DC104" s="11">
        <f ca="1">IF(tblData[[#This Row],[Dates]]&lt;StartDt2NZ,"",tblData[[#This Row],[Dates]]-NZStart)</f>
        <v>56</v>
      </c>
      <c r="DD104" s="20">
        <f ca="1">IF(AND(tblData[Dates]&gt;StartDt2NZ,ISNUMBER(tblData[Days'# NZ])),betaNZ/(deltaNZ+betaPodeltaNZ*EXP(-betaNZ*tblData[Days'# NZ])),"")</f>
        <v>1453.9388279147145</v>
      </c>
      <c r="DE104" s="95">
        <f ca="1">IF(AND(tblData[Dates]&gt;StartDt2NZ,ISNUMBER(tblData[NZ])),(tblData[[#This Row],[NZ LogiP(t)]]-tblData[[#This Row],[NZ]])^2,"")</f>
        <v>49.860151218015659</v>
      </c>
      <c r="DF104" s="20">
        <f ca="1">IF(AND(tblData[Dates]&gt;StartDt2NZ,ISNUMBER(tblData[Days'# NZ])),tblData[[#This Row],[NZ LogiP(t)]]/NZPopscale,"")</f>
        <v>2779.9977589191481</v>
      </c>
      <c r="DG104" s="95">
        <f ca="1">IF(AND(ISNUMBER(tblData[NZ]),tblData[Dates]&gt;StartDt2NZ),(tblData[NZ]-AVERAGE(tblData[NZ]))^2,"")</f>
        <v>596077.57943067024</v>
      </c>
      <c r="DH104" s="11">
        <f>tblData[[#This Row],[Dates]]-NZ100dt+1</f>
        <v>34</v>
      </c>
      <c r="DI104" s="39"/>
      <c r="DJ104" s="11"/>
      <c r="DM104" s="25"/>
      <c r="DP104"/>
      <c r="DV104" s="25"/>
      <c r="DW104"/>
      <c r="EA104" s="25"/>
      <c r="EH104"/>
      <c r="EI104"/>
      <c r="EJ104"/>
      <c r="EK104"/>
      <c r="EL104" s="25"/>
      <c r="EM104" s="25"/>
      <c r="EQ104" s="25"/>
      <c r="ER104" s="25"/>
      <c r="ES104" s="25"/>
      <c r="ET104" s="25"/>
      <c r="FF104"/>
      <c r="FG104"/>
      <c r="FH104"/>
      <c r="FI104"/>
      <c r="FJ104"/>
      <c r="FK104"/>
      <c r="FL104"/>
      <c r="FO104" s="267" t="s">
        <v>153</v>
      </c>
      <c r="FP104" s="251">
        <v>43933.907372685186</v>
      </c>
      <c r="FQ104" s="244">
        <v>43855</v>
      </c>
      <c r="FR104" s="160">
        <v>43855</v>
      </c>
      <c r="FS104" s="211">
        <v>1</v>
      </c>
      <c r="FT104" s="72">
        <v>0.2382025370335828</v>
      </c>
      <c r="FU104" s="72">
        <v>8.1418248199908324E-5</v>
      </c>
      <c r="FV104" s="74">
        <v>1E-3</v>
      </c>
      <c r="FW104" s="212">
        <v>2925.6652200219041</v>
      </c>
      <c r="FX104" s="212">
        <v>22.548809476190243</v>
      </c>
      <c r="FY104" s="212">
        <v>0.99946490879605254</v>
      </c>
      <c r="FZ104" s="213">
        <v>238.2024556153346</v>
      </c>
      <c r="GA104" s="213">
        <v>8.1418248199908325E-2</v>
      </c>
      <c r="GB104" s="243">
        <v>43933</v>
      </c>
      <c r="GC104" s="160" t="s">
        <v>1918</v>
      </c>
      <c r="GD104" s="212">
        <v>2925.6652200219041</v>
      </c>
      <c r="GE104" s="212">
        <v>2857</v>
      </c>
      <c r="GF104" s="74" t="s">
        <v>1919</v>
      </c>
      <c r="GG104" s="243">
        <v>43933</v>
      </c>
      <c r="GH104" s="160">
        <v>79</v>
      </c>
      <c r="GI104" s="23" t="s">
        <v>2218</v>
      </c>
      <c r="GJ104" s="21"/>
      <c r="GK104" s="161" t="s">
        <v>2216</v>
      </c>
      <c r="GL104" s="23"/>
      <c r="GM104" s="23" t="s">
        <v>2219</v>
      </c>
      <c r="GN104" s="23">
        <v>3535.8910891089108</v>
      </c>
      <c r="GO104" s="243"/>
      <c r="GP104" s="218"/>
      <c r="GQ104" s="243"/>
      <c r="GR104" s="23"/>
      <c r="GS104" s="23" t="s">
        <v>2217</v>
      </c>
      <c r="GT104" s="11">
        <v>2908.2849128215057</v>
      </c>
      <c r="GU104" s="34">
        <v>6.3771221759753999E-3</v>
      </c>
      <c r="GV104" s="160">
        <v>43901</v>
      </c>
      <c r="GW104" s="23" t="s">
        <v>1646</v>
      </c>
      <c r="GX104" s="220">
        <v>15.24454219929703</v>
      </c>
      <c r="GY104" s="23" t="s">
        <v>153</v>
      </c>
      <c r="GZ104" s="23"/>
      <c r="HA104" s="25"/>
      <c r="HB104" s="25"/>
      <c r="HC104" s="25"/>
      <c r="HD104" s="25"/>
      <c r="HE104" s="25"/>
      <c r="HF104" s="25"/>
      <c r="HG104" s="25"/>
      <c r="HH104" s="25"/>
      <c r="HI104" s="25"/>
      <c r="HJ104" s="25"/>
      <c r="HW104" s="25"/>
      <c r="HX104" s="25"/>
      <c r="HY104" s="25"/>
      <c r="HZ104" s="25"/>
      <c r="IA104" s="25"/>
      <c r="IB104" s="25"/>
      <c r="IC104" s="25"/>
    </row>
    <row r="105" spans="2:238" x14ac:dyDescent="0.25">
      <c r="B105" s="26">
        <f t="shared" si="4"/>
        <v>43946</v>
      </c>
      <c r="D105" s="25">
        <v>106</v>
      </c>
      <c r="E105">
        <v>2994</v>
      </c>
      <c r="F105">
        <v>28</v>
      </c>
      <c r="G105">
        <v>1026</v>
      </c>
      <c r="H105">
        <v>438</v>
      </c>
      <c r="I105">
        <v>205</v>
      </c>
      <c r="J105">
        <v>1346</v>
      </c>
      <c r="K105">
        <v>549</v>
      </c>
      <c r="L105" s="11">
        <f>IF(ISNUMBER(tblData[[#This Row],[NSW]]),tblData[[#This Row],[New South Wales]]/NSWpopscale,"")</f>
        <v>3705.4455445544554</v>
      </c>
      <c r="M105" s="25">
        <v>195351</v>
      </c>
      <c r="N105" s="20">
        <f>IF(ISNUMBER(tblData[Italy]),tblData[Italy]/ItalyPopscale,"")</f>
        <v>32297.429114656527</v>
      </c>
      <c r="O105" s="25">
        <v>938154</v>
      </c>
      <c r="P105" s="20">
        <f>IF(ISNUMBER(tblData[US]),tblData[US]/USPopscale,"")</f>
        <v>28495.593442479789</v>
      </c>
      <c r="Q105" s="11">
        <v>10728</v>
      </c>
      <c r="R105" s="20">
        <f>IF(ISNUMBER(tblData[SKorea]),tblData[SKorea]/SKoreaPopscale,"")</f>
        <v>2087.1595330739301</v>
      </c>
      <c r="S105">
        <v>149569</v>
      </c>
      <c r="T105" s="12">
        <f>IF(ISNUMBER(tblData[United Kingdom]),tblData[United Kingdom]/UKPopscale,"")</f>
        <v>22511.890427453342</v>
      </c>
      <c r="U105">
        <v>83909</v>
      </c>
      <c r="V105" s="20">
        <f>IF(ISNUMBER(tblData[China]),tblData[China]/ChinaPopscale,"")</f>
        <v>582.97515402121724</v>
      </c>
      <c r="W105" s="25">
        <f ca="1">IF(tblData[[#This Row],[Dates]]&lt;StartDt2China,"",tblData[[#This Row],[Dates]]-ChinaStart)</f>
        <v>94</v>
      </c>
      <c r="X105" s="20">
        <v>12693</v>
      </c>
      <c r="Y105" s="20">
        <f>IF(ISNUMBER(tblData[Singapore]),tblData[Singapore]/SingaporePopscale,"")</f>
        <v>21697.435897435898</v>
      </c>
      <c r="Z105">
        <v>18561</v>
      </c>
      <c r="AA105" s="20">
        <f>IF(AND(LEN(tblData[Generic])&gt;0,ISNUMBER(tblData[Generic])),tblData[Generic]/GenericPopscale,"")</f>
        <v>37879.591836734697</v>
      </c>
      <c r="AB105" s="25">
        <f ca="1">IF(tblData[[#This Row],[Dates]]&lt;StartDt2Italy,"",tblData[[#This Row],[Dates]]-ItalyStart)</f>
        <v>86</v>
      </c>
      <c r="AC105" s="25">
        <f ca="1">IF(tblData[[#This Row],[Dates]]&lt;=StartDt2US,"",tblData[[#This Row],[Dates]]-USStart)</f>
        <v>94</v>
      </c>
      <c r="AD105" s="25">
        <f>IF(tblData[[#This Row],[Dates]]&lt;=SKoreaStart,"",tblData[[#This Row],[Dates]]-SKoreaStart)</f>
        <v>94</v>
      </c>
      <c r="AE105" s="25">
        <f ca="1">IF(tblData[[#This Row],[Dates]]&lt;=StartDt2UK,"",tblData[[#This Row],[Dates]]-UKStart)</f>
        <v>86</v>
      </c>
      <c r="AF105" s="25">
        <f ca="1">IF(tblData[[#This Row],[Dates]]&lt;StartDt2Singapore,"",tblData[[#This Row],[Dates]]-SingaporeStart)</f>
        <v>93</v>
      </c>
      <c r="AG105" s="25">
        <f>IF(tblData[[#This Row],[Dates]]&lt;StartDt2Generic,"",tblData[[#This Row],[Dates]]-GenericStart)</f>
        <v>56</v>
      </c>
      <c r="AH105">
        <f ca="1">IF(tblData[Dates]&gt;StartDt2Au,tblData[Dates]-AuStart,"")</f>
        <v>91</v>
      </c>
      <c r="AI105" s="25">
        <f>IF(AND(COUNTBLANK(tblData[[#This Row],[Australian Capital Territory]:[Western Australia]])&lt;1,tblData[New South Wales]&gt;=0),SUM(tblData[[#This Row],[Australian Capital Territory]:[Western Australia]]),"")</f>
        <v>6692</v>
      </c>
      <c r="AJ105" s="12">
        <f>IF(ISNUMBER(tblData[Au]),tblData[Au]/AuPopScale,"")</f>
        <v>2638.3851127582402</v>
      </c>
      <c r="AK105" s="11">
        <f ca="1">IF(ISNUMBER(tblData[[#This Row],[Day'# Aust]]),betaAu/(deltaAu+betaPodeltaAu*EXP(-betaAu*tblData[[#This Row],[Day'# Aust]])),"")</f>
        <v>6632.9611017178777</v>
      </c>
      <c r="AL105" s="56">
        <f ca="1">IF(ISNUMBER(tblData[Day'# Aust]),tblData[Au LogiP(t)]/AuPopScale,"")</f>
        <v>2615.1084614878873</v>
      </c>
      <c r="AM105" s="11">
        <f ca="1">IF(AND(tblData[Dates]&gt;StartDt2Au,ISNUMBER(tblData[Au])),(tblData[[#This Row],[Au LogiP(t)]]-tblData[[#This Row],[Au]])^2,"")</f>
        <v>3485.5915103667858</v>
      </c>
      <c r="AN105" s="11">
        <f ca="1">IF(AND(ISNUMBER(tblData[Au]),tblData[Dates]&gt;StartDt2Au),(tblData[Au]-AVERAGE(tblData[Au]))^2,"")</f>
        <v>18004661.376100004</v>
      </c>
      <c r="AO105" s="11">
        <f>tblData[[#This Row],[Dates]]-Au100dt</f>
        <v>41</v>
      </c>
      <c r="AP105">
        <f ca="1">IF(tblData[Dates]&gt;StartDt2NSW,tblData[Dates]-StartDt2NSW,"")</f>
        <v>91</v>
      </c>
      <c r="AQ105" s="25">
        <f>IF(tblData[[#This Row],[New South Wales]]&gt;0,tblData[[#This Row],[New South Wales]],"")</f>
        <v>2994</v>
      </c>
      <c r="AR105" s="11">
        <f ca="1">IF(tblData[Dates]&gt;StartDt2NSW,betaNSW/(deltaNSW+betaPodeltaNSW*EXP(-betaNSW*tblData[[#This Row],[Day '# NSW]])),"")</f>
        <v>2969.6533145301919</v>
      </c>
      <c r="AS105" s="12">
        <f ca="1">IF(AND(ISNUMBER(tblData[NSW]),tblData[Dates]&gt;StartDt2NSW),(tblData[[#This Row],[NSW LogiP(t)]]-tblData[[#This Row],[NSW]])^2,"")</f>
        <v>592.76109336576519</v>
      </c>
      <c r="AT105" s="39">
        <f ca="1">IF(AND(tblData[Dates]&gt;StartDt2NSW,ISNUMBER(tblData[Day'# Aust])),tblData[NSW LogiP(t)]/NSWpopscale,"")</f>
        <v>3675.3135080819206</v>
      </c>
      <c r="AU105" s="11">
        <f>tblData[[#This Row],[Dates]]-NSW100dt+1</f>
        <v>44</v>
      </c>
      <c r="AV105" s="11">
        <f ca="1">IF(AND(ISNUMBER(tblData[NSW]),tblData[Dates]&gt;StartDt2NSW),(tblData[NSW]-AVERAGE(tblData[NSW]))^2,"")</f>
        <v>3609012.0676000002</v>
      </c>
      <c r="AW105" s="11">
        <f ca="1">IF(AND(tblData[Dates]&gt;StartDt2Italy,ISNUMBER(tblData[Days'# Italy])),betaItaly/(deltaItaly+betaPodeltaItaly*EXP(-betaItaly*tblData[Days'# Italy])),"")</f>
        <v>161364.51136012812</v>
      </c>
      <c r="AX105" s="11">
        <f ca="1">IF(AND(tblData[Dates]&gt;StartDt2Italy,ISNUMBER(tblData[Italy])),(tblData[[#This Row],[Italy LogiP(t)]]-tblData[[#This Row],[Italy]])^2,"")</f>
        <v>1155081410.0681405</v>
      </c>
      <c r="AY105" s="11">
        <f ca="1">IF(AND(tblData[Dates]&gt;StartDt2Italy,ISNUMBER(tblData[Days'# Italy])),tblData[[#This Row],[Italy LogiP(t)]]/ItalyPopscale,"")</f>
        <v>26678.434547429631</v>
      </c>
      <c r="AZ105" s="39">
        <f ca="1">IF(AND(ISNUMBER(tblData[Italy]),tblData[Dates]&gt;StartDt2Italy),(tblData[Italy]-AVERAGE(tblData[Italy]))^2,"")</f>
        <v>15775961282.32515</v>
      </c>
      <c r="BA105" s="11">
        <f>tblData[[#This Row],[Dates]]-Italy100dt+1</f>
        <v>59</v>
      </c>
      <c r="BB105" s="11">
        <f ca="1">IF(AND(tblData[Dates]&gt;StartDt2US,ISNUMBER(tblData[[#This Row],[Days'# US]])),betaUS/(deltaUS+betaPodeltaUS*EXP(-betaUS*tblData[Days'# US])),"")</f>
        <v>811681.01076829864</v>
      </c>
      <c r="BC105" s="11">
        <f ca="1">IF(AND(tblData[Dates]&gt;StartDt2US,ISNUMBER(tblData[US])),(tblData[[#This Row],[US LogiP(t)]]-tblData[US])^2,"")</f>
        <v>15995417005.202047</v>
      </c>
      <c r="BD105" s="20">
        <f ca="1">IF(AND(tblData[Dates]&gt;=StartDt2US,ISNUMBER(tblData[[#This Row],[Days'# US]])),tblData[[#This Row],[US LogiP(t)]]/USPopscale,"")</f>
        <v>24654.088867962506</v>
      </c>
      <c r="BE105" s="126">
        <f ca="1">IF(AND(ISNUMBER(tblData[US]),tblData[Dates]&gt;StartDt2US),(tblData[US]-AVERAGE(tblData[US]))^2,"")</f>
        <v>510097002417.6286</v>
      </c>
      <c r="BF105" s="11">
        <f>tblData[[#This Row],[Dates]]-US100dt+1</f>
        <v>42</v>
      </c>
      <c r="BG105" s="20">
        <f ca="1">IF(tblData[Dates]&gt;StartDt2SKorea,betaSKorea/(deltaSKorea+betaPodeltaSKorea*EXP(-betaSKorea*(tblData[Dates]-StartDt2SKorea))),"")</f>
        <v>10233.020228800528</v>
      </c>
      <c r="BH105" s="20">
        <f ca="1">IF(AND(tblData[Dates]&gt;StartDt2SKorea,ISNUMBER(tblData[SKorea])),(tblData[[#This Row],[SKorea LogiP(t)]]-tblData[[#This Row],[SKorea]])^2,"")</f>
        <v>245004.97389668209</v>
      </c>
      <c r="BI105" s="20">
        <f ca="1">IF(tblData[Dates]&gt;StartDt2SKorea,tblData[[#This Row],[SKorea LogiP(t)]]/SKoreaPopscale,"")</f>
        <v>1990.8599666927098</v>
      </c>
      <c r="BJ105" s="126">
        <f ca="1">IF(AND(ISNUMBER(tblData[SKorea]),tblData[Dates]&gt;StartDt2SKorea),(tblData[SKorea]-AVERAGE(tblData[SKorea]))^2,"")</f>
        <v>24045562.178008463</v>
      </c>
      <c r="BK105" s="11">
        <f>tblData[[#This Row],[Dates]]-SKorea100dt+1</f>
        <v>63</v>
      </c>
      <c r="BL105" s="11">
        <f ca="1">IF(AND(tblData[Dates]&gt;StartDt2UK,ISNUMBER(tblData[Days'# UK])),betaUK/(deltaUK+betaPodeltaUK*EXP(-betaUK*tblData[Days'# UK])),"")</f>
        <v>140349.77309494923</v>
      </c>
      <c r="BM105" s="61">
        <f ca="1">IF(AND(tblData[Dates]&gt;StartDt2UK,ISNUMBER(tblData[United Kingdom])),(tblData[[#This Row],[UK LogiP(t)]]-tblData[[#This Row],[United Kingdom]])^2,"")</f>
        <v>84994144.726812094</v>
      </c>
      <c r="BN105" s="11">
        <f ca="1">IF(ISNUMBER(tblData[Days'# UK]),tblData[[#This Row],[UK LogiP(t)]]/UKPopscale,"")</f>
        <v>21124.288545296393</v>
      </c>
      <c r="BO105" s="126">
        <f ca="1">IF(AND(ISNUMBER(tblData[United Kingdom]),tblData[Dates]&gt;StartDt2UK),(tblData[United Kingdom]-AVERAGE(tblData[United Kingdom]))^2,"")</f>
        <v>12454999280.469101</v>
      </c>
      <c r="BP105" s="11">
        <f>tblData[[#This Row],[Dates]]-UK100dt</f>
        <v>44</v>
      </c>
      <c r="BQ105" s="11">
        <f ca="1">IF(ISNUMBER(tblData[Days'# China]),betaChina/(deltaChina+betaPodeltaChina*EXP(-betaChina*tblData[Days'# China])),"")</f>
        <v>82125.15645714986</v>
      </c>
      <c r="BR105" s="11">
        <f ca="1">IF(ISNUMBER(tblData[China]),(tblData[[#This Row],[China LogiP(t)]]-tblData[[#This Row],[China]])^2,"")</f>
        <v>3182097.7853681385</v>
      </c>
      <c r="BS105" s="11">
        <f ca="1">tblData[[#This Row],[China LogiP(t)]]/ChinaPopscale</f>
        <v>570.58153159522226</v>
      </c>
      <c r="BT105" s="126">
        <f ca="1">IF(AND(ISNUMBER(tblData[China]),tblData[Dates]&gt;StartDt2China),(tblData[China]-AVERAGE(tblData[China]))^2,"")</f>
        <v>279041302.86851186</v>
      </c>
      <c r="BU105" s="11">
        <f>tblData[[#This Row],[Dates]]-China100dt</f>
        <v>83</v>
      </c>
      <c r="BV105" s="95">
        <f ca="1">IF(ISNUMBER(tblData[Day'# Singapore]),betaSingapore/(deltaSingapore+betaPodeltaSingapore*EXP(-betaSingapore*tblData[Day'# Singapore])),"")</f>
        <v>10273.516189414961</v>
      </c>
      <c r="BW105" s="11">
        <f ca="1">IF(AND(ISNUMBER(tblData[Singapore]),tblData[Dates]&gt;=StartDt2Singapore),(tblData[[#This Row],[Singapore LogiP(t)]]-tblData[[#This Row],[Singapore]])^2,"")</f>
        <v>5853901.9096831027</v>
      </c>
      <c r="BX105" s="20">
        <f ca="1">IF(ISNUMBER(tblData[Day'# Singapore]),tblData[Singapore LogiP(t)]/SingaporePopscale,"")</f>
        <v>17561.566135752069</v>
      </c>
      <c r="BY105" s="95">
        <f ca="1">IF(AND(ISNUMBER(tblData[Singapore]),tblData[Dates]&gt;StartDt2Singapore),(tblData[Singapore]-AVERAGE(tblData[Singapore]))^2,"")</f>
        <v>107582451.48942713</v>
      </c>
      <c r="BZ105" s="11">
        <f>tblData[[#This Row],[Dates]]-Singapore100dt+1</f>
        <v>72</v>
      </c>
      <c r="CA105" s="11">
        <f>IF(AND(tblData[Dates]&gt;StartDt2Generic,ISNUMBER(tblData[Day'# Generic])),betaGeneric/(deltaGeneric+betaPodeltaGeneric*EXP(-betaGeneric*tblData[Day'# Generic])),"")</f>
        <v>19598.232930192371</v>
      </c>
      <c r="CB105" s="95">
        <f>IF(AND(ISNUMBER(tblData[Generic]),tblData[Dates]&gt;StartDt2Generic),(tblData[Generic LogiP(t)]-tblData[[#This Row],[Generic]])^2,"")</f>
        <v>1075852.1514754519</v>
      </c>
      <c r="CC105" s="11">
        <f>IF(AND(ISNUMBER(tblData[Day'# Generic]),tblData[Dates]&gt;StartDt2Generic),tblData[Generic LogiP(t)]/GenericPopscale,"")</f>
        <v>39996.393735086473</v>
      </c>
      <c r="CD105" s="95">
        <f>IF(AND(ISNUMBER(tblData[Generic]),tblData[Dates]&gt;StartDt2Generic),(tblData[Generic]-AVERAGE(tblData[Generic]))^2,"")</f>
        <v>142265072.75005919</v>
      </c>
      <c r="CE105" s="11">
        <f>tblData[[#This Row],[Dates]]-Generic100dt+1</f>
        <v>44</v>
      </c>
      <c r="CF105" s="11">
        <v>195713</v>
      </c>
      <c r="CG105" s="11"/>
      <c r="CH105" s="11">
        <f>IF(ISNUMBER(tblData[[#This Row],[Tests]]),tblData[[#This Row],[Tests]]-CF104,"")</f>
        <v>5451</v>
      </c>
      <c r="CI105" s="11" t="str">
        <f>IF(ISNUMBER(tblData[[#This Row],[NSW Under Investigation'']]),tblData[[#This Row],[NSW Under Investigation'']]-CG104,"")</f>
        <v/>
      </c>
      <c r="CJ105" s="11">
        <f t="shared" si="2"/>
        <v>51</v>
      </c>
      <c r="CK105" s="11">
        <f>IF(AND(tblData[[#This Row],[NSW Test Day Number]]&gt;0,ISNUMBER(tblData[[#This Row],[NSW Test Day Number]])),betaTests/(deltaTests+betaPodeltaTests*EXP(-betaTests*tblData[[#This Row],[NSW Test Day Number]])),"")</f>
        <v>171701.12237600566</v>
      </c>
      <c r="CL105" s="11">
        <f>IF(tblData[Tests]&gt;0,(tblData[[#This Row],[Tests]]-tblData[[#This Row],[NSW Test Logi]])^2,"")</f>
        <v>576570267.02968001</v>
      </c>
      <c r="CM105" s="95">
        <f>IF(AND(ISNUMBER(tblData[Tests]),tblData[Dates]&gt;StartDt2Tests),(tblData[Tests]-AVERAGE(tblData[Tests]))^2,"")</f>
        <v>8020304458.1927595</v>
      </c>
      <c r="CN105" s="11">
        <f>IF(ISNUMBER(tblData[Tests]),tblData[Tests]/NSWpopscale/100,"")</f>
        <v>2422.1905940594061</v>
      </c>
      <c r="CO105" s="95">
        <f ca="1">IF(AND(tblData[[#This Row],[NSW Test Day Number]]&gt;0,ISNUMBER(tblData[[#This Row],[NSW Test Day Number]])),TestsLogestB*TestsLogestM^tblData[[#This Row],[NSW Test Day Number]],"")</f>
        <v>258987.74782110591</v>
      </c>
      <c r="CP105" s="11">
        <f>IF(AND(tblData[[#This Row],[NSW Test Day Number]]&gt;0,ISNUMBER(tblData[Tests])),(tblData[Tests]-tblData[[#This Row],[NSW Test Per Capita]])^2,"")</f>
        <v>37361337000.80365</v>
      </c>
      <c r="CQ105" s="20">
        <f ca="1">IF(AND(tblData[Day '# NSW]&gt;0,ISNUMBER(tblData[[#This Row],[Day '# NSW]])),NSWLogestB*NSWLogestM^tblData[[#This Row],[Day '# NSW]]/NSWpopscale,"")</f>
        <v>8963.0726029865509</v>
      </c>
      <c r="CR105" s="39">
        <f ca="1">IF(AND(ISNUMBER(tblData[NSW]),tblData[Dates]&gt;StartDt2NSW),(tblData[NSW]/NSWpopscale-tblData[[#This Row],[NSW Cases LogEst]])^2,"")</f>
        <v>27642642.28555733</v>
      </c>
      <c r="CS105" s="39">
        <v>429</v>
      </c>
      <c r="CT105" s="19">
        <f>IF(ISNUMBER(tblData[Taiwan]),tblData[Taiwan]/TaiwanPopscale,"")</f>
        <v>180.1969666255896</v>
      </c>
      <c r="CU105" s="11">
        <f ca="1">IF(tblData[[#This Row],[Dates]]&lt;StartDt2Taiwan,"",tblData[[#This Row],[Dates]]-TaiwanStart)</f>
        <v>94</v>
      </c>
      <c r="CV105" s="19">
        <f ca="1">IF(AND(tblData[Dates]&gt;StartDt2Taiwan,ISNUMBER(tblData[Days'# Taiwan])),betaTaiwan/(deltaTaiwan+betaPodeltaTaiwan*EXP(-betaTaiwan*tblData[Days'# Taiwan])),"")</f>
        <v>422.22493268804999</v>
      </c>
      <c r="CW105" s="95">
        <f ca="1">IF(AND(tblData[Dates]&gt;StartDt2Taiwan,ISNUMBER(tblData[Taiwan])),(tblData[[#This Row],[Taiwan LogiP(t)]]-tblData[[#This Row],[Taiwan]])^2,"")</f>
        <v>45.90153708145354</v>
      </c>
      <c r="CX105" s="20">
        <f ca="1">IF(AND(tblData[Dates]&gt;StartDt2Taiwan,ISNUMBER(tblData[Days'# Taiwan])),tblData[[#This Row],[Taiwan LogiP(t)]]/TaiwanPopscale,"")</f>
        <v>177.35117040578172</v>
      </c>
      <c r="CY105" s="95">
        <f ca="1">IF(AND(ISNUMBER(tblData[Taiwan]),tblData[Dates]&gt;StartDt2Taiwan),(tblData[Taiwan]-AVERAGE(tblData[Taiwan]))^2,"")</f>
        <v>67314.811226451362</v>
      </c>
      <c r="CZ105" s="11">
        <f>tblData[[#This Row],[Dates]]-Taiwan100dt+1</f>
        <v>31</v>
      </c>
      <c r="DA105" s="11">
        <v>1470</v>
      </c>
      <c r="DB105" s="20">
        <f>IF(ISNUMBER(tblData[NZ]),tblData[NZ]/NZPopscale,"")</f>
        <v>2810.7074569789675</v>
      </c>
      <c r="DC105" s="11">
        <f ca="1">IF(tblData[[#This Row],[Dates]]&lt;StartDt2NZ,"",tblData[[#This Row],[Dates]]-NZStart)</f>
        <v>57</v>
      </c>
      <c r="DD105" s="20">
        <f ca="1">IF(AND(tblData[Dates]&gt;StartDt2NZ,ISNUMBER(tblData[Days'# NZ])),betaNZ/(deltaNZ+betaPodeltaNZ*EXP(-betaNZ*tblData[Days'# NZ])),"")</f>
        <v>1455.4220583166884</v>
      </c>
      <c r="DE105" s="95">
        <f ca="1">IF(AND(tblData[Dates]&gt;StartDt2NZ,ISNUMBER(tblData[NZ])),(tblData[[#This Row],[NZ LogiP(t)]]-tblData[[#This Row],[NZ]])^2,"")</f>
        <v>212.51638372203283</v>
      </c>
      <c r="DF105" s="20">
        <f ca="1">IF(AND(tblData[Dates]&gt;StartDt2NZ,ISNUMBER(tblData[Days'# NZ])),tblData[[#This Row],[NZ LogiP(t)]]/NZPopscale,"")</f>
        <v>2782.8337635118323</v>
      </c>
      <c r="DG105" s="95">
        <f ca="1">IF(AND(ISNUMBER(tblData[NZ]),tblData[Dates]&gt;StartDt2NZ),(tblData[NZ]-AVERAGE(tblData[NZ]))^2,"")</f>
        <v>610055.67033976119</v>
      </c>
      <c r="DH105" s="11">
        <f>tblData[[#This Row],[Dates]]-NZ100dt+1</f>
        <v>35</v>
      </c>
      <c r="DI105" s="39"/>
      <c r="DJ105" s="11"/>
      <c r="DM105" s="25"/>
      <c r="DP105"/>
      <c r="DV105" s="25"/>
      <c r="DW105"/>
      <c r="EA105" s="25"/>
      <c r="EH105"/>
      <c r="EI105"/>
      <c r="EJ105"/>
      <c r="EK105"/>
      <c r="EL105" s="25"/>
      <c r="EM105" s="25"/>
      <c r="EQ105" s="25"/>
      <c r="ER105" s="25"/>
      <c r="ES105" s="25"/>
      <c r="ET105" s="25"/>
      <c r="FF105"/>
      <c r="FG105"/>
      <c r="FH105"/>
      <c r="FI105"/>
      <c r="FJ105"/>
      <c r="FK105"/>
      <c r="FL105"/>
      <c r="FM105"/>
      <c r="FN105"/>
      <c r="FO105" s="267" t="s">
        <v>153</v>
      </c>
      <c r="FP105" s="251">
        <v>43933.916817129626</v>
      </c>
      <c r="FQ105" s="244">
        <v>43855</v>
      </c>
      <c r="FR105" s="160">
        <v>43855</v>
      </c>
      <c r="FS105" s="211">
        <v>1</v>
      </c>
      <c r="FT105" s="72">
        <v>0.24840090481239782</v>
      </c>
      <c r="FU105" s="72">
        <v>8.5814795667468464E-5</v>
      </c>
      <c r="FV105" s="74">
        <v>5.3914421219871571E-4</v>
      </c>
      <c r="FW105" s="212">
        <v>2894.6162824293028</v>
      </c>
      <c r="FX105" s="212">
        <v>20.692722906601993</v>
      </c>
      <c r="FY105" s="212">
        <v>0.99954937439810199</v>
      </c>
      <c r="FZ105" s="213">
        <v>460.73175400108488</v>
      </c>
      <c r="GA105" s="213">
        <v>8.5814795667468469E-2</v>
      </c>
      <c r="GB105" s="243">
        <v>43933</v>
      </c>
      <c r="GC105" s="160" t="s">
        <v>2264</v>
      </c>
      <c r="GD105" s="212">
        <v>2894.6162824293028</v>
      </c>
      <c r="GE105" s="212">
        <v>2857</v>
      </c>
      <c r="GF105" s="74" t="s">
        <v>2265</v>
      </c>
      <c r="GG105" s="243">
        <v>43933</v>
      </c>
      <c r="GH105" s="160">
        <v>79</v>
      </c>
      <c r="GI105" s="23" t="s">
        <v>2266</v>
      </c>
      <c r="GJ105" s="21"/>
      <c r="GK105" s="161" t="s">
        <v>2267</v>
      </c>
      <c r="GL105" s="23"/>
      <c r="GM105" s="23" t="s">
        <v>2268</v>
      </c>
      <c r="GN105" s="23">
        <v>3535.8910891089108</v>
      </c>
      <c r="GO105" s="243"/>
      <c r="GP105" s="218"/>
      <c r="GQ105" s="243"/>
      <c r="GR105" s="23"/>
      <c r="GS105" s="23" t="s">
        <v>2217</v>
      </c>
      <c r="GT105" s="11">
        <v>2881.20063843669</v>
      </c>
      <c r="GU105" s="34">
        <v>5.85219464771943E-3</v>
      </c>
      <c r="GV105" s="160">
        <v>43901</v>
      </c>
      <c r="GW105" s="23" t="s">
        <v>1646</v>
      </c>
      <c r="GX105" s="220">
        <v>-5.3118351010580227</v>
      </c>
      <c r="GY105" s="23" t="s">
        <v>153</v>
      </c>
      <c r="GZ105" s="23"/>
      <c r="HA105" s="25"/>
      <c r="HB105" s="25"/>
      <c r="HC105" s="25"/>
      <c r="HD105" s="25"/>
      <c r="HE105" s="25"/>
      <c r="HF105" s="25"/>
      <c r="HG105" s="25"/>
      <c r="HH105" s="25"/>
      <c r="HI105" s="25"/>
      <c r="HJ105" s="25"/>
      <c r="HQ105" s="25"/>
      <c r="HR105" s="25"/>
      <c r="HS105" s="25"/>
      <c r="HT105" s="25"/>
      <c r="HU105" s="25"/>
      <c r="HV105" s="25"/>
      <c r="HW105" s="25"/>
      <c r="HX105" s="25"/>
      <c r="HY105" s="25"/>
      <c r="HZ105" s="25"/>
      <c r="IA105" s="25"/>
      <c r="IB105" s="25"/>
      <c r="IC105" s="25"/>
      <c r="ID105" s="25"/>
    </row>
    <row r="106" spans="2:238" x14ac:dyDescent="0.25">
      <c r="B106" s="26">
        <f t="shared" si="4"/>
        <v>43947</v>
      </c>
      <c r="D106" s="25">
        <v>106</v>
      </c>
      <c r="E106">
        <v>3002</v>
      </c>
      <c r="F106">
        <v>28</v>
      </c>
      <c r="G106">
        <v>1030</v>
      </c>
      <c r="H106">
        <v>438</v>
      </c>
      <c r="I106">
        <v>212</v>
      </c>
      <c r="J106">
        <v>1349</v>
      </c>
      <c r="K106">
        <v>549</v>
      </c>
      <c r="L106" s="11">
        <f>IF(ISNUMBER(tblData[[#This Row],[NSW]]),tblData[[#This Row],[New South Wales]]/NSWpopscale,"")</f>
        <v>3715.3465346534649</v>
      </c>
      <c r="M106" s="25">
        <v>197675</v>
      </c>
      <c r="N106" s="20">
        <f>IF(ISNUMBER(tblData[Italy]),tblData[Italy]/ItalyPopscale,"")</f>
        <v>32681.656609076632</v>
      </c>
      <c r="O106" s="25">
        <v>965785</v>
      </c>
      <c r="P106" s="20">
        <f>IF(ISNUMBER(tblData[US]),tblData[US]/USPopscale,"")</f>
        <v>29334.86049502037</v>
      </c>
      <c r="Q106" s="11">
        <v>10738</v>
      </c>
      <c r="R106" s="20">
        <f>IF(ISNUMBER(tblData[SKorea]),tblData[SKorea]/SKoreaPopscale,"")</f>
        <v>2089.1050583657589</v>
      </c>
      <c r="S106">
        <v>154037</v>
      </c>
      <c r="T106" s="12">
        <f>IF(ISNUMBER(tblData[United Kingdom]),tblData[United Kingdom]/UKPopscale,"")</f>
        <v>23184.376881396747</v>
      </c>
      <c r="U106">
        <v>83912</v>
      </c>
      <c r="V106" s="20">
        <f>IF(ISNUMBER(tblData[China]),tblData[China]/ChinaPopscale,"")</f>
        <v>582.99599714248041</v>
      </c>
      <c r="W106" s="25">
        <f ca="1">IF(tblData[[#This Row],[Dates]]&lt;StartDt2China,"",tblData[[#This Row],[Dates]]-ChinaStart)</f>
        <v>95</v>
      </c>
      <c r="X106" s="20">
        <v>13624</v>
      </c>
      <c r="Y106" s="20">
        <f>IF(ISNUMBER(tblData[Singapore]),tblData[Singapore]/SingaporePopscale,"")</f>
        <v>23288.888888888891</v>
      </c>
      <c r="Z106">
        <v>19262</v>
      </c>
      <c r="AA106" s="20">
        <f>IF(AND(LEN(tblData[Generic])&gt;0,ISNUMBER(tblData[Generic])),tblData[Generic]/GenericPopscale,"")</f>
        <v>39310.204081632655</v>
      </c>
      <c r="AB106" s="25">
        <f ca="1">IF(tblData[[#This Row],[Dates]]&lt;StartDt2Italy,"",tblData[[#This Row],[Dates]]-ItalyStart)</f>
        <v>87</v>
      </c>
      <c r="AC106" s="25">
        <f ca="1">IF(tblData[[#This Row],[Dates]]&lt;=StartDt2US,"",tblData[[#This Row],[Dates]]-USStart)</f>
        <v>95</v>
      </c>
      <c r="AD106" s="25">
        <f>IF(tblData[[#This Row],[Dates]]&lt;=SKoreaStart,"",tblData[[#This Row],[Dates]]-SKoreaStart)</f>
        <v>95</v>
      </c>
      <c r="AE106" s="25">
        <f ca="1">IF(tblData[[#This Row],[Dates]]&lt;=StartDt2UK,"",tblData[[#This Row],[Dates]]-UKStart)</f>
        <v>87</v>
      </c>
      <c r="AF106" s="25">
        <f ca="1">IF(tblData[[#This Row],[Dates]]&lt;StartDt2Singapore,"",tblData[[#This Row],[Dates]]-SingaporeStart)</f>
        <v>94</v>
      </c>
      <c r="AG106" s="25">
        <f>IF(tblData[[#This Row],[Dates]]&lt;StartDt2Generic,"",tblData[[#This Row],[Dates]]-GenericStart)</f>
        <v>57</v>
      </c>
      <c r="AH106">
        <f ca="1">IF(tblData[Dates]&gt;StartDt2Au,tblData[Dates]-AuStart,"")</f>
        <v>92</v>
      </c>
      <c r="AI106" s="25">
        <f>IF(AND(COUNTBLANK(tblData[[#This Row],[Australian Capital Territory]:[Western Australia]])&lt;1,tblData[New South Wales]&gt;=0),SUM(tblData[[#This Row],[Australian Capital Territory]:[Western Australia]]),"")</f>
        <v>6714</v>
      </c>
      <c r="AJ106" s="12">
        <f>IF(ISNUMBER(tblData[Au]),tblData[Au]/AuPopScale,"")</f>
        <v>2647.0588235294117</v>
      </c>
      <c r="AK106" s="11">
        <f ca="1">IF(ISNUMBER(tblData[[#This Row],[Day'# Aust]]),betaAu/(deltaAu+betaPodeltaAu*EXP(-betaAu*tblData[[#This Row],[Day'# Aust]])),"")</f>
        <v>6635.1482528972892</v>
      </c>
      <c r="AL106" s="56">
        <f ca="1">IF(ISNUMBER(tblData[Day'# Aust]),tblData[Au LogiP(t)]/AuPopScale,"")</f>
        <v>2615.9707667943894</v>
      </c>
      <c r="AM106" s="11">
        <f ca="1">IF(AND(tblData[Dates]&gt;StartDt2Au,ISNUMBER(tblData[Au])),(tblData[[#This Row],[Au LogiP(t)]]-tblData[[#This Row],[Au]])^2,"")</f>
        <v>6217.5980211498545</v>
      </c>
      <c r="AN106" s="11">
        <f ca="1">IF(AND(ISNUMBER(tblData[Au]),tblData[Dates]&gt;StartDt2Au),(tblData[Au]-AVERAGE(tblData[Au]))^2,"")</f>
        <v>18191845.736100003</v>
      </c>
      <c r="AO106" s="11">
        <f>tblData[[#This Row],[Dates]]-Au100dt</f>
        <v>42</v>
      </c>
      <c r="AP106">
        <f ca="1">IF(tblData[Dates]&gt;StartDt2NSW,tblData[Dates]-StartDt2NSW,"")</f>
        <v>92</v>
      </c>
      <c r="AQ106" s="25">
        <f>IF(tblData[[#This Row],[New South Wales]]&gt;0,tblData[[#This Row],[New South Wales]],"")</f>
        <v>3002</v>
      </c>
      <c r="AR106" s="11">
        <f ca="1">IF(tblData[Dates]&gt;StartDt2NSW,betaNSW/(deltaNSW+betaPodeltaNSW*EXP(-betaNSW*tblData[[#This Row],[Day '# NSW]])),"")</f>
        <v>2970.4742242522657</v>
      </c>
      <c r="AS106" s="12">
        <f ca="1">IF(AND(ISNUMBER(tblData[NSW]),tblData[Dates]&gt;StartDt2NSW),(tblData[[#This Row],[NSW LogiP(t)]]-tblData[[#This Row],[NSW]])^2,"")</f>
        <v>993.87453649643305</v>
      </c>
      <c r="AT106" s="39">
        <f ca="1">IF(AND(tblData[Dates]&gt;StartDt2NSW,ISNUMBER(tblData[Day'# Aust])),tblData[NSW LogiP(t)]/NSWpopscale,"")</f>
        <v>3676.3294854607248</v>
      </c>
      <c r="AU106" s="11">
        <f>tblData[[#This Row],[Dates]]-NSW100dt+1</f>
        <v>45</v>
      </c>
      <c r="AV106" s="11">
        <f ca="1">IF(AND(ISNUMBER(tblData[NSW]),tblData[Dates]&gt;StartDt2NSW),(tblData[NSW]-AVERAGE(tblData[NSW]))^2,"")</f>
        <v>3639471.9076</v>
      </c>
      <c r="AW106" s="11">
        <f ca="1">IF(AND(tblData[Dates]&gt;StartDt2Italy,ISNUMBER(tblData[Days'# Italy])),betaItaly/(deltaItaly+betaPodeltaItaly*EXP(-betaItaly*tblData[Days'# Italy])),"")</f>
        <v>161369.11140373253</v>
      </c>
      <c r="AX106" s="11">
        <f ca="1">IF(AND(tblData[Dates]&gt;StartDt2Italy,ISNUMBER(tblData[Italy])),(tblData[[#This Row],[Italy LogiP(t)]]-tblData[[#This Row],[Italy]])^2,"")</f>
        <v>1318117546.7645843</v>
      </c>
      <c r="AY106" s="11">
        <f ca="1">IF(AND(tblData[Dates]&gt;StartDt2Italy,ISNUMBER(tblData[Days'# Italy])),tblData[[#This Row],[Italy LogiP(t)]]/ItalyPopscale,"")</f>
        <v>26679.195073775736</v>
      </c>
      <c r="AZ106" s="39">
        <f ca="1">IF(AND(ISNUMBER(tblData[Italy]),tblData[Dates]&gt;StartDt2Italy),(tblData[Italy]-AVERAGE(tblData[Italy]))^2,"")</f>
        <v>16365162183.857063</v>
      </c>
      <c r="BA106" s="11">
        <f>tblData[[#This Row],[Dates]]-Italy100dt+1</f>
        <v>60</v>
      </c>
      <c r="BB106" s="11">
        <f ca="1">IF(AND(tblData[Dates]&gt;StartDt2US,ISNUMBER(tblData[[#This Row],[Days'# US]])),betaUS/(deltaUS+betaPodeltaUS*EXP(-betaUS*tblData[Days'# US])),"")</f>
        <v>812104.94478735933</v>
      </c>
      <c r="BC106" s="11">
        <f ca="1">IF(AND(tblData[Dates]&gt;StartDt2US,ISNUMBER(tblData[US])),(tblData[[#This Row],[US LogiP(t)]]-tblData[US])^2,"")</f>
        <v>23617559370.160286</v>
      </c>
      <c r="BD106" s="20">
        <f ca="1">IF(AND(tblData[Dates]&gt;=StartDt2US,ISNUMBER(tblData[[#This Row],[Days'# US]])),tblData[[#This Row],[US LogiP(t)]]/USPopscale,"")</f>
        <v>24666.965486783713</v>
      </c>
      <c r="BE106" s="126">
        <f ca="1">IF(AND(ISNUMBER(tblData[US]),tblData[Dates]&gt;StartDt2US),(tblData[US]-AVERAGE(tblData[US]))^2,"")</f>
        <v>550329189316.02075</v>
      </c>
      <c r="BF106" s="11">
        <f>tblData[[#This Row],[Dates]]-US100dt+1</f>
        <v>43</v>
      </c>
      <c r="BG106" s="20">
        <f ca="1">IF(tblData[Dates]&gt;StartDt2SKorea,betaSKorea/(deltaSKorea+betaPodeltaSKorea*EXP(-betaSKorea*(tblData[Dates]-StartDt2SKorea))),"")</f>
        <v>10233.210716398848</v>
      </c>
      <c r="BH106" s="20">
        <f ca="1">IF(AND(tblData[Dates]&gt;StartDt2SKorea,ISNUMBER(tblData[SKorea])),(tblData[[#This Row],[SKorea LogiP(t)]]-tblData[[#This Row],[SKorea]])^2,"")</f>
        <v>254812.22083856468</v>
      </c>
      <c r="BI106" s="20">
        <f ca="1">IF(tblData[Dates]&gt;StartDt2SKorea,tblData[[#This Row],[SKorea LogiP(t)]]/SKoreaPopscale,"")</f>
        <v>1990.8970265367409</v>
      </c>
      <c r="BJ106" s="126">
        <f ca="1">IF(AND(ISNUMBER(tblData[SKorea]),tblData[Dates]&gt;StartDt2SKorea),(tblData[SKorea]-AVERAGE(tblData[SKorea]))^2,"")</f>
        <v>24143734.727028068</v>
      </c>
      <c r="BK106" s="11">
        <f>tblData[[#This Row],[Dates]]-SKorea100dt+1</f>
        <v>64</v>
      </c>
      <c r="BL106" s="11">
        <f ca="1">IF(AND(tblData[Dates]&gt;StartDt2UK,ISNUMBER(tblData[Days'# UK])),betaUK/(deltaUK+betaPodeltaUK*EXP(-betaUK*tblData[Days'# UK])),"")</f>
        <v>140819.39955858159</v>
      </c>
      <c r="BM106" s="61">
        <f ca="1">IF(AND(tblData[Dates]&gt;StartDt2UK,ISNUMBER(tblData[United Kingdom])),(tblData[[#This Row],[UK LogiP(t)]]-tblData[[#This Row],[United Kingdom]])^2,"")</f>
        <v>174704961.42898425</v>
      </c>
      <c r="BN106" s="11">
        <f ca="1">IF(ISNUMBER(tblData[Days'# UK]),tblData[[#This Row],[UK LogiP(t)]]/UKPopscale,"")</f>
        <v>21194.972841448161</v>
      </c>
      <c r="BO106" s="126">
        <f ca="1">IF(AND(ISNUMBER(tblData[United Kingdom]),tblData[Dates]&gt;StartDt2UK),(tblData[United Kingdom]-AVERAGE(tblData[United Kingdom]))^2,"")</f>
        <v>13472237491.277613</v>
      </c>
      <c r="BP106" s="11">
        <f>tblData[[#This Row],[Dates]]-UK100dt</f>
        <v>45</v>
      </c>
      <c r="BQ106" s="11">
        <f ca="1">IF(ISNUMBER(tblData[Days'# China]),betaChina/(deltaChina+betaPodeltaChina*EXP(-betaChina*tblData[Days'# China])),"")</f>
        <v>82125.157264338719</v>
      </c>
      <c r="BR106" s="11">
        <f ca="1">IF(ISNUMBER(tblData[China]),(tblData[[#This Row],[China LogiP(t)]]-tblData[[#This Row],[China]])^2,"")</f>
        <v>3192806.9619854908</v>
      </c>
      <c r="BS106" s="11">
        <f ca="1">tblData[[#This Row],[China LogiP(t)]]/ChinaPopscale</f>
        <v>570.58153720333405</v>
      </c>
      <c r="BT106" s="126">
        <f ca="1">IF(AND(ISNUMBER(tblData[China]),tblData[Dates]&gt;StartDt2China),(tblData[China]-AVERAGE(tblData[China]))^2,"")</f>
        <v>279141539.04498249</v>
      </c>
      <c r="BU106" s="11">
        <f>tblData[[#This Row],[Dates]]-China100dt</f>
        <v>84</v>
      </c>
      <c r="BV106" s="95">
        <f ca="1">IF(ISNUMBER(tblData[Day'# Singapore]),betaSingapore/(deltaSingapore+betaPodeltaSingapore*EXP(-betaSingapore*tblData[Day'# Singapore])),"")</f>
        <v>11214.349281124798</v>
      </c>
      <c r="BW106" s="11">
        <f ca="1">IF(AND(ISNUMBER(tblData[Singapore]),tblData[Dates]&gt;=StartDt2Singapore),(tblData[[#This Row],[Singapore LogiP(t)]]-tblData[[#This Row],[Singapore]])^2,"")</f>
        <v>5806416.5869757785</v>
      </c>
      <c r="BX106" s="20">
        <f ca="1">IF(ISNUMBER(tblData[Day'# Singapore]),tblData[Singapore LogiP(t)]/SingaporePopscale,"")</f>
        <v>19169.827830982562</v>
      </c>
      <c r="BY106" s="95">
        <f ca="1">IF(AND(ISNUMBER(tblData[Singapore]),tblData[Dates]&gt;StartDt2Singapore),(tblData[Singapore]-AVERAGE(tblData[Singapore]))^2,"")</f>
        <v>127762241.58746636</v>
      </c>
      <c r="BZ106" s="11">
        <f>tblData[[#This Row],[Dates]]-Singapore100dt+1</f>
        <v>73</v>
      </c>
      <c r="CA106" s="11">
        <f>IF(AND(tblData[Dates]&gt;StartDt2Generic,ISNUMBER(tblData[Day'# Generic])),betaGeneric/(deltaGeneric+betaPodeltaGeneric*EXP(-betaGeneric*tblData[Day'# Generic])),"")</f>
        <v>20157.916158262142</v>
      </c>
      <c r="CB106" s="95">
        <f>IF(AND(ISNUMBER(tblData[Generic]),tblData[Dates]&gt;StartDt2Generic),(tblData[Generic LogiP(t)]-tblData[[#This Row],[Generic]])^2,"")</f>
        <v>802665.76263519516</v>
      </c>
      <c r="CC106" s="11">
        <f>IF(AND(ISNUMBER(tblData[Day'# Generic]),tblData[Dates]&gt;StartDt2Generic),tblData[Generic LogiP(t)]/GenericPopscale,"")</f>
        <v>41138.604404616613</v>
      </c>
      <c r="CD106" s="95">
        <f>IF(AND(ISNUMBER(tblData[Generic]),tblData[Dates]&gt;StartDt2Generic),(tblData[Generic]-AVERAGE(tblData[Generic]))^2,"")</f>
        <v>159478817.96544379</v>
      </c>
      <c r="CE106" s="11">
        <f>tblData[[#This Row],[Dates]]-Generic100dt+1</f>
        <v>45</v>
      </c>
      <c r="CF106" s="11">
        <v>200129</v>
      </c>
      <c r="CG106" s="11"/>
      <c r="CH106" s="11">
        <f>IF(ISNUMBER(tblData[[#This Row],[Tests]]),tblData[[#This Row],[Tests]]-CF105,"")</f>
        <v>4416</v>
      </c>
      <c r="CI106" s="11" t="str">
        <f>IF(ISNUMBER(tblData[[#This Row],[NSW Under Investigation'']]),tblData[[#This Row],[NSW Under Investigation'']]-CG105,"")</f>
        <v/>
      </c>
      <c r="CJ106" s="11">
        <f t="shared" si="2"/>
        <v>52</v>
      </c>
      <c r="CK106" s="11">
        <f>IF(AND(tblData[[#This Row],[NSW Test Day Number]]&gt;0,ISNUMBER(tblData[[#This Row],[NSW Test Day Number]])),betaTests/(deltaTests+betaPodeltaTests*EXP(-betaTests*tblData[[#This Row],[NSW Test Day Number]])),"")</f>
        <v>171837.26188843889</v>
      </c>
      <c r="CL106" s="11">
        <f>IF(tblData[Tests]&gt;0,(tblData[[#This Row],[Tests]]-tblData[[#This Row],[NSW Test Logi]])^2,"")</f>
        <v>800422445.37315917</v>
      </c>
      <c r="CM106" s="95">
        <f>IF(AND(ISNUMBER(tblData[Tests]),tblData[Dates]&gt;StartDt2Tests),(tblData[Tests]-AVERAGE(tblData[Tests]))^2,"")</f>
        <v>8830765453.4469967</v>
      </c>
      <c r="CN106" s="11">
        <f>IF(ISNUMBER(tblData[Tests]),tblData[Tests]/NSWpopscale/100,"")</f>
        <v>2476.8440594059402</v>
      </c>
      <c r="CO106" s="95">
        <f ca="1">IF(AND(tblData[[#This Row],[NSW Test Day Number]]&gt;0,ISNUMBER(tblData[[#This Row],[NSW Test Day Number]])),TestsLogestB*TestsLogestM^tblData[[#This Row],[NSW Test Day Number]],"")</f>
        <v>274529.97414185567</v>
      </c>
      <c r="CP106" s="11">
        <f>IF(AND(tblData[[#This Row],[NSW Test Day Number]]&gt;0,ISNUMBER(tblData[Tests])),(tblData[Tests]-tblData[[#This Row],[NSW Test Per Capita]])^2,"")</f>
        <v>39066374747.964912</v>
      </c>
      <c r="CQ106" s="20">
        <f ca="1">IF(AND(tblData[Day '# NSW]&gt;0,ISNUMBER(tblData[[#This Row],[Day '# NSW]])),NSWLogestB*NSWLogestM^tblData[[#This Row],[Day '# NSW]]/NSWpopscale,"")</f>
        <v>9867.9452643064396</v>
      </c>
      <c r="CR106" s="39">
        <f ca="1">IF(AND(ISNUMBER(tblData[NSW]),tblData[Dates]&gt;StartDt2NSW),(tblData[NSW]/NSWpopscale-tblData[[#This Row],[NSW Cases LogEst]])^2,"")</f>
        <v>37854471.128127396</v>
      </c>
      <c r="CS106" s="39">
        <v>429</v>
      </c>
      <c r="CT106" s="19">
        <f>IF(ISNUMBER(tblData[Taiwan]),tblData[Taiwan]/TaiwanPopscale,"")</f>
        <v>180.1969666255896</v>
      </c>
      <c r="CU106" s="11">
        <f ca="1">IF(tblData[[#This Row],[Dates]]&lt;StartDt2Taiwan,"",tblData[[#This Row],[Dates]]-TaiwanStart)</f>
        <v>95</v>
      </c>
      <c r="CV106" s="19">
        <f ca="1">IF(AND(tblData[Dates]&gt;StartDt2Taiwan,ISNUMBER(tblData[Days'# Taiwan])),betaTaiwan/(deltaTaiwan+betaPodeltaTaiwan*EXP(-betaTaiwan*tblData[Days'# Taiwan])),"")</f>
        <v>422.76939610750821</v>
      </c>
      <c r="CW106" s="95">
        <f ca="1">IF(AND(tblData[Dates]&gt;StartDt2Taiwan,ISNUMBER(tblData[Taiwan])),(tblData[[#This Row],[Taiwan LogiP(t)]]-tblData[[#This Row],[Taiwan]])^2,"")</f>
        <v>38.820424865133795</v>
      </c>
      <c r="CX106" s="20">
        <f ca="1">IF(AND(tblData[Dates]&gt;StartDt2Taiwan,ISNUMBER(tblData[Days'# Taiwan])),tblData[[#This Row],[Taiwan LogiP(t)]]/TaiwanPopscale,"")</f>
        <v>177.5798665750707</v>
      </c>
      <c r="CY106" s="95">
        <f ca="1">IF(AND(ISNUMBER(tblData[Taiwan]),tblData[Dates]&gt;StartDt2Taiwan),(tblData[Taiwan]-AVERAGE(tblData[Taiwan]))^2,"")</f>
        <v>67314.811226451362</v>
      </c>
      <c r="CZ106" s="11">
        <f>tblData[[#This Row],[Dates]]-Taiwan100dt+1</f>
        <v>32</v>
      </c>
      <c r="DA106" s="11">
        <v>1469</v>
      </c>
      <c r="DB106" s="20">
        <f>IF(ISNUMBER(tblData[NZ]),tblData[NZ]/NZPopscale,"")</f>
        <v>2808.7954110898659</v>
      </c>
      <c r="DC106" s="11">
        <f ca="1">IF(tblData[[#This Row],[Dates]]&lt;StartDt2NZ,"",tblData[[#This Row],[Dates]]-NZStart)</f>
        <v>58</v>
      </c>
      <c r="DD106" s="20">
        <f ca="1">IF(AND(tblData[Dates]&gt;StartDt2NZ,ISNUMBER(tblData[Days'# NZ])),betaNZ/(deltaNZ+betaPodeltaNZ*EXP(-betaNZ*tblData[Days'# NZ])),"")</f>
        <v>1456.5991689912848</v>
      </c>
      <c r="DE106" s="95">
        <f ca="1">IF(AND(tblData[Dates]&gt;StartDt2NZ,ISNUMBER(tblData[NZ])),(tblData[[#This Row],[NZ LogiP(t)]]-tblData[[#This Row],[NZ]])^2,"")</f>
        <v>153.7806097067114</v>
      </c>
      <c r="DF106" s="20">
        <f ca="1">IF(AND(tblData[Dates]&gt;StartDt2NZ,ISNUMBER(tblData[Days'# NZ])),tblData[[#This Row],[NZ LogiP(t)]]/NZPopscale,"")</f>
        <v>2785.0844531382118</v>
      </c>
      <c r="DG106" s="95">
        <f ca="1">IF(AND(ISNUMBER(tblData[NZ]),tblData[Dates]&gt;StartDt2NZ),(tblData[NZ]-AVERAGE(tblData[NZ]))^2,"")</f>
        <v>608494.54912763997</v>
      </c>
      <c r="DH106" s="11">
        <f>tblData[[#This Row],[Dates]]-NZ100dt+1</f>
        <v>36</v>
      </c>
      <c r="DI106" s="39"/>
      <c r="DJ106" s="11"/>
      <c r="DM106" s="25"/>
      <c r="DP106"/>
      <c r="DV106" s="25"/>
      <c r="DW106"/>
      <c r="EA106" s="25"/>
      <c r="EH106"/>
      <c r="EI106"/>
      <c r="EJ106"/>
      <c r="EK106"/>
      <c r="EL106" s="25"/>
      <c r="EM106" s="25"/>
      <c r="EQ106" s="25"/>
      <c r="ER106" s="25"/>
      <c r="ES106" s="25"/>
      <c r="ET106" s="25"/>
      <c r="FF106"/>
      <c r="FG106"/>
      <c r="FH106"/>
      <c r="FI106"/>
      <c r="FJ106"/>
      <c r="FK106"/>
      <c r="FL106"/>
      <c r="FM106"/>
      <c r="FN106"/>
      <c r="FO106" s="267" t="s">
        <v>153</v>
      </c>
      <c r="FP106" s="251">
        <v>43933.921423611115</v>
      </c>
      <c r="FQ106" s="244">
        <v>43855</v>
      </c>
      <c r="FR106" s="160">
        <v>43855</v>
      </c>
      <c r="FS106" s="211">
        <v>1</v>
      </c>
      <c r="FT106" s="72">
        <v>0.23820234658392794</v>
      </c>
      <c r="FU106" s="72">
        <v>8.1417748680216913E-5</v>
      </c>
      <c r="FV106" s="74">
        <v>1E-3</v>
      </c>
      <c r="FW106" s="212">
        <v>2925.6808305951959</v>
      </c>
      <c r="FX106" s="212">
        <v>22.548810185770986</v>
      </c>
      <c r="FY106" s="212">
        <v>0.99946490876237537</v>
      </c>
      <c r="FZ106" s="213">
        <v>238.20226516617927</v>
      </c>
      <c r="GA106" s="213">
        <v>8.1417748680216909E-2</v>
      </c>
      <c r="GB106" s="243">
        <v>43933</v>
      </c>
      <c r="GC106" s="160" t="s">
        <v>1918</v>
      </c>
      <c r="GD106" s="212">
        <v>2925.6808305951959</v>
      </c>
      <c r="GE106" s="212">
        <v>2857</v>
      </c>
      <c r="GF106" s="74" t="s">
        <v>1919</v>
      </c>
      <c r="GG106" s="243">
        <v>43933</v>
      </c>
      <c r="GH106" s="160">
        <v>79</v>
      </c>
      <c r="GI106" s="23" t="s">
        <v>2218</v>
      </c>
      <c r="GJ106" s="21"/>
      <c r="GK106" s="161" t="s">
        <v>2216</v>
      </c>
      <c r="GL106" s="23"/>
      <c r="GM106" s="23" t="s">
        <v>2219</v>
      </c>
      <c r="GN106" s="23">
        <v>3535.8910891089108</v>
      </c>
      <c r="GO106" s="243"/>
      <c r="GP106" s="218"/>
      <c r="GQ106" s="243"/>
      <c r="GR106" s="23"/>
      <c r="GS106" s="23" t="s">
        <v>2217</v>
      </c>
      <c r="GT106" s="11">
        <v>2908.3000620722564</v>
      </c>
      <c r="GU106" s="34">
        <v>6.3771223766548677E-3</v>
      </c>
      <c r="GV106" s="160">
        <v>43901</v>
      </c>
      <c r="GW106" s="23" t="s">
        <v>1646</v>
      </c>
      <c r="GX106" s="220">
        <v>15.258723962073418</v>
      </c>
      <c r="GY106" s="23" t="s">
        <v>153</v>
      </c>
      <c r="GZ106" s="23"/>
      <c r="HA106" s="25"/>
      <c r="HB106" s="25"/>
      <c r="HC106" s="25"/>
      <c r="HD106" s="25"/>
      <c r="HE106" s="25"/>
      <c r="HF106" s="25"/>
      <c r="HG106" s="25"/>
      <c r="HH106" s="25"/>
      <c r="HI106" s="25"/>
      <c r="HJ106" s="25"/>
      <c r="HQ106" s="25"/>
      <c r="HR106" s="25"/>
      <c r="HS106" s="25"/>
      <c r="HT106" s="25"/>
      <c r="HU106" s="25"/>
      <c r="HV106" s="25"/>
      <c r="HW106" s="25"/>
      <c r="HX106" s="25"/>
      <c r="HY106" s="25"/>
      <c r="HZ106" s="25"/>
      <c r="IA106" s="25"/>
      <c r="IB106" s="25"/>
      <c r="IC106" s="25"/>
    </row>
    <row r="107" spans="2:238" x14ac:dyDescent="0.25">
      <c r="B107" s="26">
        <f t="shared" si="4"/>
        <v>43948</v>
      </c>
      <c r="D107" s="25">
        <v>106</v>
      </c>
      <c r="E107">
        <v>3004</v>
      </c>
      <c r="F107">
        <v>28</v>
      </c>
      <c r="G107">
        <v>1033</v>
      </c>
      <c r="H107">
        <v>438</v>
      </c>
      <c r="I107">
        <v>212</v>
      </c>
      <c r="J107">
        <v>1349</v>
      </c>
      <c r="K107">
        <v>549</v>
      </c>
      <c r="L107" s="11">
        <f>IF(ISNUMBER(tblData[[#This Row],[NSW]]),tblData[[#This Row],[New South Wales]]/NSWpopscale,"")</f>
        <v>3717.8217821782177</v>
      </c>
      <c r="M107" s="25">
        <v>199414</v>
      </c>
      <c r="N107" s="20">
        <f>IF(ISNUMBER(tblData[Italy]),tblData[Italy]/ItalyPopscale,"")</f>
        <v>32969.165908903036</v>
      </c>
      <c r="O107" s="25">
        <v>988197</v>
      </c>
      <c r="P107" s="20">
        <f>IF(ISNUMBER(tblData[US]),tblData[US]/USPopscale,"")</f>
        <v>30015.605063857533</v>
      </c>
      <c r="Q107" s="11">
        <v>10752</v>
      </c>
      <c r="R107" s="20">
        <f>IF(ISNUMBER(tblData[SKorea]),tblData[SKorea]/SKoreaPopscale,"")</f>
        <v>2091.8287937743194</v>
      </c>
      <c r="S107">
        <v>158348</v>
      </c>
      <c r="T107" s="12">
        <f>IF(ISNUMBER(tblData[United Kingdom]),tblData[United Kingdom]/UKPopscale,"")</f>
        <v>23833.232992173391</v>
      </c>
      <c r="U107">
        <v>83918</v>
      </c>
      <c r="V107" s="20">
        <f>IF(ISNUMBER(tblData[China]),tblData[China]/ChinaPopscale,"")</f>
        <v>583.03768338500652</v>
      </c>
      <c r="W107" s="25">
        <f ca="1">IF(tblData[[#This Row],[Dates]]&lt;StartDt2China,"",tblData[[#This Row],[Dates]]-ChinaStart)</f>
        <v>96</v>
      </c>
      <c r="X107" s="20">
        <v>14423</v>
      </c>
      <c r="Y107" s="20">
        <f>IF(ISNUMBER(tblData[Singapore]),tblData[Singapore]/SingaporePopscale,"")</f>
        <v>24654.700854700855</v>
      </c>
      <c r="Z107">
        <v>19648</v>
      </c>
      <c r="AA107" s="20">
        <f>IF(AND(LEN(tblData[Generic])&gt;0,ISNUMBER(tblData[Generic])),tblData[Generic]/GenericPopscale,"")</f>
        <v>40097.959183673469</v>
      </c>
      <c r="AB107" s="25">
        <f ca="1">IF(tblData[[#This Row],[Dates]]&lt;StartDt2Italy,"",tblData[[#This Row],[Dates]]-ItalyStart)</f>
        <v>88</v>
      </c>
      <c r="AC107" s="25">
        <f ca="1">IF(tblData[[#This Row],[Dates]]&lt;=StartDt2US,"",tblData[[#This Row],[Dates]]-USStart)</f>
        <v>96</v>
      </c>
      <c r="AD107" s="25">
        <f>IF(tblData[[#This Row],[Dates]]&lt;=SKoreaStart,"",tblData[[#This Row],[Dates]]-SKoreaStart)</f>
        <v>96</v>
      </c>
      <c r="AE107" s="25">
        <f ca="1">IF(tblData[[#This Row],[Dates]]&lt;=StartDt2UK,"",tblData[[#This Row],[Dates]]-UKStart)</f>
        <v>88</v>
      </c>
      <c r="AF107" s="25">
        <f ca="1">IF(tblData[[#This Row],[Dates]]&lt;StartDt2Singapore,"",tblData[[#This Row],[Dates]]-SingaporeStart)</f>
        <v>95</v>
      </c>
      <c r="AG107" s="25">
        <f>IF(tblData[[#This Row],[Dates]]&lt;StartDt2Generic,"",tblData[[#This Row],[Dates]]-GenericStart)</f>
        <v>58</v>
      </c>
      <c r="AH107">
        <f ca="1">IF(tblData[Dates]&gt;StartDt2Au,tblData[Dates]-AuStart,"")</f>
        <v>93</v>
      </c>
      <c r="AI107" s="25">
        <f>IF(AND(COUNTBLANK(tblData[[#This Row],[Australian Capital Territory]:[Western Australia]])&lt;1,tblData[New South Wales]&gt;=0),SUM(tblData[[#This Row],[Australian Capital Territory]:[Western Australia]]),"")</f>
        <v>6719</v>
      </c>
      <c r="AJ107" s="12">
        <f>IF(ISNUMBER(tblData[Au]),tblData[Au]/AuPopScale,"")</f>
        <v>2649.0301214319506</v>
      </c>
      <c r="AK107" s="11">
        <f ca="1">IF(ISNUMBER(tblData[[#This Row],[Day'# Aust]]),betaAu/(deltaAu+betaPodeltaAu*EXP(-betaAu*tblData[[#This Row],[Day'# Aust]])),"")</f>
        <v>6636.8937091612343</v>
      </c>
      <c r="AL107" s="56">
        <f ca="1">IF(ISNUMBER(tblData[Day'# Aust]),tblData[Au LogiP(t)]/AuPopScale,"")</f>
        <v>2616.6589296488069</v>
      </c>
      <c r="AM107" s="11">
        <f ca="1">IF(AND(tblData[Dates]&gt;StartDt2Au,ISNUMBER(tblData[Au])),(tblData[[#This Row],[Au LogiP(t)]]-tblData[[#This Row],[Au]])^2,"")</f>
        <v>6741.4429952999872</v>
      </c>
      <c r="AN107" s="11">
        <f ca="1">IF(AND(ISNUMBER(tblData[Au]),tblData[Dates]&gt;StartDt2Au),(tblData[Au]-AVERAGE(tblData[Au]))^2,"")</f>
        <v>18234522.636100005</v>
      </c>
      <c r="AO107" s="11">
        <f>tblData[[#This Row],[Dates]]-Au100dt</f>
        <v>43</v>
      </c>
      <c r="AP107">
        <f ca="1">IF(tblData[Dates]&gt;StartDt2NSW,tblData[Dates]-StartDt2NSW,"")</f>
        <v>93</v>
      </c>
      <c r="AQ107" s="25">
        <f>IF(tblData[[#This Row],[New South Wales]]&gt;0,tblData[[#This Row],[New South Wales]],"")</f>
        <v>3004</v>
      </c>
      <c r="AR107" s="11">
        <f ca="1">IF(tblData[Dates]&gt;StartDt2NSW,betaNSW/(deltaNSW+betaPodeltaNSW*EXP(-betaNSW*tblData[[#This Row],[Day '# NSW]])),"")</f>
        <v>2971.1239934337518</v>
      </c>
      <c r="AS107" s="12">
        <f ca="1">IF(AND(ISNUMBER(tblData[NSW]),tblData[Dates]&gt;StartDt2NSW),(tblData[[#This Row],[NSW LogiP(t)]]-tblData[[#This Row],[NSW]])^2,"")</f>
        <v>1080.8318077439933</v>
      </c>
      <c r="AT107" s="39">
        <f ca="1">IF(AND(tblData[Dates]&gt;StartDt2NSW,ISNUMBER(tblData[Day'# Aust])),tblData[NSW LogiP(t)]/NSWpopscale,"")</f>
        <v>3677.1336552397916</v>
      </c>
      <c r="AU107" s="11">
        <f>tblData[[#This Row],[Dates]]-NSW100dt+1</f>
        <v>46</v>
      </c>
      <c r="AV107" s="11">
        <f ca="1">IF(AND(ISNUMBER(tblData[NSW]),tblData[Dates]&gt;StartDt2NSW),(tblData[NSW]-AVERAGE(tblData[NSW]))^2,"")</f>
        <v>3647106.8676</v>
      </c>
      <c r="AW107" s="11">
        <f ca="1">IF(AND(tblData[Dates]&gt;StartDt2Italy,ISNUMBER(tblData[Days'# Italy])),betaItaly/(deltaItaly+betaPodeltaItaly*EXP(-betaItaly*tblData[Days'# Italy])),"")</f>
        <v>161372.68271980589</v>
      </c>
      <c r="AX107" s="11">
        <f ca="1">IF(AND(tblData[Dates]&gt;StartDt2Italy,ISNUMBER(tblData[Italy])),(tblData[[#This Row],[Italy LogiP(t)]]-tblData[[#This Row],[Italy]])^2,"")</f>
        <v>1447141820.412395</v>
      </c>
      <c r="AY107" s="11">
        <f ca="1">IF(AND(tblData[Dates]&gt;StartDt2Italy,ISNUMBER(tblData[Days'# Italy])),tblData[[#This Row],[Italy LogiP(t)]]/ItalyPopscale,"")</f>
        <v>26679.78552034486</v>
      </c>
      <c r="AZ107" s="39">
        <f ca="1">IF(AND(ISNUMBER(tblData[Italy]),tblData[Dates]&gt;StartDt2Italy),(tblData[Italy]-AVERAGE(tblData[Italy]))^2,"")</f>
        <v>16813114301.857063</v>
      </c>
      <c r="BA107" s="11">
        <f>tblData[[#This Row],[Dates]]-Italy100dt+1</f>
        <v>61</v>
      </c>
      <c r="BB107" s="11">
        <f ca="1">IF(AND(tblData[Dates]&gt;StartDt2US,ISNUMBER(tblData[[#This Row],[Days'# US]])),betaUS/(deltaUS+betaPodeltaUS*EXP(-betaUS*tblData[Days'# US])),"")</f>
        <v>812424.4342123901</v>
      </c>
      <c r="BC107" s="11">
        <f ca="1">IF(AND(tblData[Dates]&gt;StartDt2US,ISNUMBER(tblData[US])),(tblData[[#This Row],[US LogiP(t)]]-tblData[US])^2,"")</f>
        <v>30895994883.55965</v>
      </c>
      <c r="BD107" s="20">
        <f ca="1">IF(AND(tblData[Dates]&gt;=StartDt2US,ISNUMBER(tblData[[#This Row],[Days'# US]])),tblData[[#This Row],[US LogiP(t)]]/USPopscale,"")</f>
        <v>24676.669693944634</v>
      </c>
      <c r="BE107" s="126">
        <f ca="1">IF(AND(ISNUMBER(tblData[US]),tblData[Dates]&gt;StartDt2US),(tblData[US]-AVERAGE(tblData[US]))^2,"")</f>
        <v>584083801881.74622</v>
      </c>
      <c r="BF107" s="11">
        <f>tblData[[#This Row],[Dates]]-US100dt+1</f>
        <v>44</v>
      </c>
      <c r="BG107" s="20">
        <f ca="1">IF(tblData[Dates]&gt;StartDt2SKorea,betaSKorea/(deltaSKorea+betaPodeltaSKorea*EXP(-betaSKorea*(tblData[Dates]-StartDt2SKorea))),"")</f>
        <v>10233.370257596212</v>
      </c>
      <c r="BH107" s="20">
        <f ca="1">IF(AND(tblData[Dates]&gt;StartDt2SKorea,ISNUMBER(tblData[SKorea])),(tblData[[#This Row],[SKorea LogiP(t)]]-tblData[[#This Row],[SKorea]])^2,"")</f>
        <v>268976.809705819</v>
      </c>
      <c r="BI107" s="20">
        <f ca="1">IF(tblData[Dates]&gt;StartDt2SKorea,tblData[[#This Row],[SKorea LogiP(t)]]/SKoreaPopscale,"")</f>
        <v>1990.9280656801971</v>
      </c>
      <c r="BJ107" s="126">
        <f ca="1">IF(AND(ISNUMBER(tblData[SKorea]),tblData[Dates]&gt;StartDt2SKorea),(tblData[SKorea]-AVERAGE(tblData[SKorea]))^2,"")</f>
        <v>24281512.295655519</v>
      </c>
      <c r="BK107" s="11">
        <f>tblData[[#This Row],[Dates]]-SKorea100dt+1</f>
        <v>65</v>
      </c>
      <c r="BL107" s="11">
        <f ca="1">IF(AND(tblData[Dates]&gt;StartDt2UK,ISNUMBER(tblData[Days'# UK])),betaUK/(deltaUK+betaPodeltaUK*EXP(-betaUK*tblData[Days'# UK])),"")</f>
        <v>141201.15407584334</v>
      </c>
      <c r="BM107" s="61">
        <f ca="1">IF(AND(tblData[Dates]&gt;StartDt2UK,ISNUMBER(tblData[United Kingdom])),(tblData[[#This Row],[UK LogiP(t)]]-tblData[[#This Row],[United Kingdom]])^2,"")</f>
        <v>294014325.14676785</v>
      </c>
      <c r="BN107" s="11">
        <f ca="1">IF(ISNUMBER(tblData[Days'# UK]),tblData[[#This Row],[UK LogiP(t)]]/UKPopscale,"")</f>
        <v>21252.431378061912</v>
      </c>
      <c r="BO107" s="126">
        <f ca="1">IF(AND(ISNUMBER(tblData[United Kingdom]),tblData[Dates]&gt;StartDt2UK),(tblData[United Kingdom]-AVERAGE(tblData[United Kingdom]))^2,"")</f>
        <v>14491577477.107399</v>
      </c>
      <c r="BP107" s="11">
        <f>tblData[[#This Row],[Dates]]-UK100dt</f>
        <v>46</v>
      </c>
      <c r="BQ107" s="11">
        <f ca="1">IF(ISNUMBER(tblData[Days'# China]),betaChina/(deltaChina+betaPodeltaChina*EXP(-betaChina*tblData[Days'# China])),"")</f>
        <v>82125.157911565824</v>
      </c>
      <c r="BR107" s="11">
        <f ca="1">IF(ISNUMBER(tblData[China]),(tblData[[#This Row],[China LogiP(t)]]-tblData[[#This Row],[China]])^2,"")</f>
        <v>3214282.7540610172</v>
      </c>
      <c r="BS107" s="11">
        <f ca="1">tblData[[#This Row],[China LogiP(t)]]/ChinaPopscale</f>
        <v>570.58154170007833</v>
      </c>
      <c r="BT107" s="126">
        <f ca="1">IF(AND(ISNUMBER(tblData[China]),tblData[Dates]&gt;StartDt2China),(tblData[China]-AVERAGE(tblData[China]))^2,"")</f>
        <v>279342065.39792365</v>
      </c>
      <c r="BU107" s="11">
        <f>tblData[[#This Row],[Dates]]-China100dt</f>
        <v>85</v>
      </c>
      <c r="BV107" s="95">
        <f ca="1">IF(ISNUMBER(tblData[Day'# Singapore]),betaSingapore/(deltaSingapore+betaPodeltaSingapore*EXP(-betaSingapore*tblData[Day'# Singapore])),"")</f>
        <v>12199.705402520496</v>
      </c>
      <c r="BW107" s="11">
        <f ca="1">IF(AND(ISNUMBER(tblData[Singapore]),tblData[Dates]&gt;=StartDt2Singapore),(tblData[[#This Row],[Singapore LogiP(t)]]-tblData[[#This Row],[Singapore]])^2,"")</f>
        <v>4943038.8671815488</v>
      </c>
      <c r="BX107" s="20">
        <f ca="1">IF(ISNUMBER(tblData[Day'# Singapore]),tblData[Singapore LogiP(t)]/SingaporePopscale,"")</f>
        <v>20854.197269265806</v>
      </c>
      <c r="BY107" s="95">
        <f ca="1">IF(AND(ISNUMBER(tblData[Singapore]),tblData[Dates]&gt;StartDt2Singapore),(tblData[Singapore]-AVERAGE(tblData[Singapore]))^2,"")</f>
        <v>146463149.9207997</v>
      </c>
      <c r="BZ107" s="11">
        <f>tblData[[#This Row],[Dates]]-Singapore100dt+1</f>
        <v>74</v>
      </c>
      <c r="CA107" s="11">
        <f>IF(AND(tblData[Dates]&gt;StartDt2Generic,ISNUMBER(tblData[Day'# Generic])),betaGeneric/(deltaGeneric+betaPodeltaGeneric*EXP(-betaGeneric*tblData[Day'# Generic])),"")</f>
        <v>20676.790344900146</v>
      </c>
      <c r="CB107" s="95">
        <f>IF(AND(ISNUMBER(tblData[Generic]),tblData[Dates]&gt;StartDt2Generic),(tblData[Generic LogiP(t)]-tblData[[#This Row],[Generic]])^2,"")</f>
        <v>1058409.5737597614</v>
      </c>
      <c r="CC107" s="11">
        <f>IF(AND(ISNUMBER(tblData[Day'# Generic]),tblData[Dates]&gt;StartDt2Generic),tblData[Generic LogiP(t)]/GenericPopscale,"")</f>
        <v>42197.531316122746</v>
      </c>
      <c r="CD107" s="95">
        <f>IF(AND(ISNUMBER(tblData[Generic]),tblData[Dates]&gt;StartDt2Generic),(tblData[Generic]-AVERAGE(tblData[Generic]))^2,"")</f>
        <v>169377010.02698225</v>
      </c>
      <c r="CE107" s="11">
        <f>tblData[[#This Row],[Dates]]-Generic100dt+1</f>
        <v>46</v>
      </c>
      <c r="CF107" s="11">
        <v>204236</v>
      </c>
      <c r="CG107" s="11"/>
      <c r="CH107" s="11">
        <f>IF(ISNUMBER(tblData[[#This Row],[Tests]]),tblData[[#This Row],[Tests]]-CF106,"")</f>
        <v>4107</v>
      </c>
      <c r="CI107" s="11" t="str">
        <f>IF(ISNUMBER(tblData[[#This Row],[NSW Under Investigation'']]),tblData[[#This Row],[NSW Under Investigation'']]-CG106,"")</f>
        <v/>
      </c>
      <c r="CJ107" s="11">
        <f t="shared" si="2"/>
        <v>53</v>
      </c>
      <c r="CK107" s="11">
        <f>IF(AND(tblData[[#This Row],[NSW Test Day Number]]&gt;0,ISNUMBER(tblData[[#This Row],[NSW Test Day Number]])),betaTests/(deltaTests+betaPodeltaTests*EXP(-betaTests*tblData[[#This Row],[NSW Test Day Number]])),"")</f>
        <v>171951.58799843318</v>
      </c>
      <c r="CL107" s="11">
        <f>IF(tblData[Tests]&gt;0,(tblData[[#This Row],[Tests]]-tblData[[#This Row],[NSW Test Logi]])^2,"")</f>
        <v>1042283258.2869115</v>
      </c>
      <c r="CM107" s="95">
        <f>IF(AND(ISNUMBER(tblData[Tests]),tblData[Dates]&gt;StartDt2Tests),(tblData[Tests]-AVERAGE(tblData[Tests]))^2,"")</f>
        <v>9619520163.430048</v>
      </c>
      <c r="CN107" s="11">
        <f>IF(ISNUMBER(tblData[Tests]),tblData[Tests]/NSWpopscale/100,"")</f>
        <v>2527.6732673267325</v>
      </c>
      <c r="CO107" s="95">
        <f ca="1">IF(AND(tblData[[#This Row],[NSW Test Day Number]]&gt;0,ISNUMBER(tblData[[#This Row],[NSW Test Day Number]])),TestsLogestB*TestsLogestM^tblData[[#This Row],[NSW Test Day Number]],"")</f>
        <v>291004.91176280292</v>
      </c>
      <c r="CP107" s="11">
        <f>IF(AND(tblData[[#This Row],[NSW Test Day Number]]&gt;0,ISNUMBER(tblData[Tests])),(tblData[Tests]-tblData[[#This Row],[NSW Test Per Capita]])^2,"")</f>
        <v>40686249073.294876</v>
      </c>
      <c r="CQ107" s="20">
        <f ca="1">IF(AND(tblData[Day '# NSW]&gt;0,ISNUMBER(tblData[[#This Row],[Day '# NSW]])),NSWLogestB*NSWLogestM^tblData[[#This Row],[Day '# NSW]]/NSWpopscale,"")</f>
        <v>10864.169917233681</v>
      </c>
      <c r="CR107" s="39">
        <f ca="1">IF(AND(ISNUMBER(tblData[NSW]),tblData[Dates]&gt;StartDt2NSW),(tblData[NSW]/NSWpopscale-tblData[[#This Row],[NSW Cases LogEst]])^2,"")</f>
        <v>51070291.667410694</v>
      </c>
      <c r="CS107" s="39">
        <v>429</v>
      </c>
      <c r="CT107" s="19">
        <f>IF(ISNUMBER(tblData[Taiwan]),tblData[Taiwan]/TaiwanPopscale,"")</f>
        <v>180.1969666255896</v>
      </c>
      <c r="CU107" s="11">
        <f ca="1">IF(tblData[[#This Row],[Dates]]&lt;StartDt2Taiwan,"",tblData[[#This Row],[Dates]]-TaiwanStart)</f>
        <v>96</v>
      </c>
      <c r="CV107" s="19">
        <f ca="1">IF(AND(tblData[Dates]&gt;StartDt2Taiwan,ISNUMBER(tblData[Days'# Taiwan])),betaTaiwan/(deltaTaiwan+betaPodeltaTaiwan*EXP(-betaTaiwan*tblData[Days'# Taiwan])),"")</f>
        <v>423.24030534372116</v>
      </c>
      <c r="CW107" s="95">
        <f ca="1">IF(AND(tblData[Dates]&gt;StartDt2Taiwan,ISNUMBER(tblData[Taiwan])),(tblData[[#This Row],[Taiwan LogiP(t)]]-tblData[[#This Row],[Taiwan]])^2,"")</f>
        <v>33.17408253356701</v>
      </c>
      <c r="CX107" s="20">
        <f ca="1">IF(AND(tblData[Dates]&gt;StartDt2Taiwan,ISNUMBER(tblData[Days'# Taiwan])),tblData[[#This Row],[Taiwan LogiP(t)]]/TaiwanPopscale,"")</f>
        <v>177.77766707838433</v>
      </c>
      <c r="CY107" s="95">
        <f ca="1">IF(AND(ISNUMBER(tblData[Taiwan]),tblData[Dates]&gt;StartDt2Taiwan),(tblData[Taiwan]-AVERAGE(tblData[Taiwan]))^2,"")</f>
        <v>67314.811226451362</v>
      </c>
      <c r="CZ107" s="11">
        <f>tblData[[#This Row],[Dates]]-Taiwan100dt+1</f>
        <v>33</v>
      </c>
      <c r="DA107" s="11">
        <v>1472</v>
      </c>
      <c r="DB107" s="20">
        <f>IF(ISNUMBER(tblData[NZ]),tblData[NZ]/NZPopscale,"")</f>
        <v>2814.5315487571702</v>
      </c>
      <c r="DC107" s="11">
        <f ca="1">IF(tblData[[#This Row],[Dates]]&lt;StartDt2NZ,"",tblData[[#This Row],[Dates]]-NZStart)</f>
        <v>59</v>
      </c>
      <c r="DD107" s="20">
        <f ca="1">IF(AND(tblData[Dates]&gt;StartDt2NZ,ISNUMBER(tblData[Days'# NZ])),betaNZ/(deltaNZ+betaPodeltaNZ*EXP(-betaNZ*tblData[Days'# NZ])),"")</f>
        <v>1457.5329853842757</v>
      </c>
      <c r="DE107" s="95">
        <f ca="1">IF(AND(tblData[Dates]&gt;StartDt2NZ,ISNUMBER(tblData[NZ])),(tblData[[#This Row],[NZ LogiP(t)]]-tblData[[#This Row],[NZ]])^2,"")</f>
        <v>209.29451189158161</v>
      </c>
      <c r="DF107" s="20">
        <f ca="1">IF(AND(tblData[Dates]&gt;StartDt2NZ,ISNUMBER(tblData[Days'# NZ])),tblData[[#This Row],[NZ LogiP(t)]]/NZPopscale,"")</f>
        <v>2786.8699529336054</v>
      </c>
      <c r="DG107" s="95">
        <f ca="1">IF(AND(ISNUMBER(tblData[NZ]),tblData[Dates]&gt;StartDt2NZ),(tblData[NZ]-AVERAGE(tblData[NZ]))^2,"")</f>
        <v>613183.91276400362</v>
      </c>
      <c r="DH107" s="11">
        <f>tblData[[#This Row],[Dates]]-NZ100dt+1</f>
        <v>37</v>
      </c>
      <c r="DI107" s="39"/>
      <c r="DJ107" s="11"/>
      <c r="DM107" s="25"/>
      <c r="DP107"/>
      <c r="DV107" s="25"/>
      <c r="DW107"/>
      <c r="EA107" s="25"/>
      <c r="EH107"/>
      <c r="EI107"/>
      <c r="EJ107"/>
      <c r="EK107"/>
      <c r="EL107" s="25"/>
      <c r="EM107" s="25"/>
      <c r="EQ107" s="25"/>
      <c r="ER107" s="25"/>
      <c r="ES107" s="25"/>
      <c r="ET107" s="25"/>
      <c r="FF107"/>
      <c r="FG107"/>
      <c r="FH107"/>
      <c r="FI107"/>
      <c r="FJ107"/>
      <c r="FK107"/>
      <c r="FL107"/>
      <c r="FM107"/>
      <c r="FN107"/>
      <c r="FO107" s="267" t="s">
        <v>153</v>
      </c>
      <c r="FP107" s="251">
        <v>43933.928564814814</v>
      </c>
      <c r="FQ107" s="244">
        <v>43855</v>
      </c>
      <c r="FR107" s="160">
        <v>43855</v>
      </c>
      <c r="FS107" s="211">
        <v>1</v>
      </c>
      <c r="FT107" s="72">
        <v>0.23820232304040112</v>
      </c>
      <c r="FU107" s="72">
        <v>8.1417749788071701E-5</v>
      </c>
      <c r="FV107" s="74">
        <v>1E-3</v>
      </c>
      <c r="FW107" s="212">
        <v>2925.6805016158714</v>
      </c>
      <c r="FX107" s="212">
        <v>22.548810180631186</v>
      </c>
      <c r="FY107" s="212">
        <v>0.99946490876261929</v>
      </c>
      <c r="FZ107" s="213">
        <v>238.20224162265134</v>
      </c>
      <c r="GA107" s="213">
        <v>8.1417749788071703E-2</v>
      </c>
      <c r="GB107" s="243">
        <v>43933</v>
      </c>
      <c r="GC107" s="160" t="s">
        <v>1918</v>
      </c>
      <c r="GD107" s="212">
        <v>2925.6805016158714</v>
      </c>
      <c r="GE107" s="212">
        <v>2857</v>
      </c>
      <c r="GF107" s="74" t="s">
        <v>1919</v>
      </c>
      <c r="GG107" s="243">
        <v>43933</v>
      </c>
      <c r="GH107" s="160">
        <v>79</v>
      </c>
      <c r="GI107" s="23" t="s">
        <v>2218</v>
      </c>
      <c r="GJ107" s="21"/>
      <c r="GK107" s="161" t="s">
        <v>2216</v>
      </c>
      <c r="GL107" s="23"/>
      <c r="GM107" s="23" t="s">
        <v>2219</v>
      </c>
      <c r="GN107" s="23">
        <v>3535.8910891089108</v>
      </c>
      <c r="GO107" s="243"/>
      <c r="GP107" s="218"/>
      <c r="GQ107" s="243"/>
      <c r="GR107" s="23"/>
      <c r="GS107" s="23" t="s">
        <v>2217</v>
      </c>
      <c r="GT107" s="11">
        <v>2908.299702821088</v>
      </c>
      <c r="GU107" s="34">
        <v>6.3771223752012596E-3</v>
      </c>
      <c r="GV107" s="160">
        <v>43901</v>
      </c>
      <c r="GW107" s="23" t="s">
        <v>1646</v>
      </c>
      <c r="GX107" s="220">
        <v>15.258304631297051</v>
      </c>
      <c r="GY107" s="23" t="s">
        <v>153</v>
      </c>
      <c r="GZ107" s="23"/>
      <c r="HA107" s="25"/>
      <c r="HB107" s="25"/>
      <c r="HC107" s="25"/>
      <c r="HD107" s="25"/>
      <c r="HE107" s="25"/>
      <c r="HF107" s="25"/>
      <c r="HG107" s="25"/>
      <c r="HH107" s="25"/>
      <c r="HI107" s="25"/>
      <c r="HJ107" s="25"/>
      <c r="HQ107" s="25"/>
      <c r="HR107" s="25"/>
      <c r="HS107" s="25"/>
      <c r="HT107" s="25"/>
      <c r="HU107" s="25"/>
      <c r="HV107" s="25"/>
      <c r="HW107" s="25"/>
      <c r="HX107" s="25"/>
      <c r="HY107" s="25"/>
      <c r="HZ107" s="25"/>
      <c r="IA107" s="25"/>
      <c r="IB107" s="25"/>
      <c r="IC107" s="25"/>
    </row>
    <row r="108" spans="2:238" s="25" customFormat="1" x14ac:dyDescent="0.25">
      <c r="B108" s="26">
        <f t="shared" si="4"/>
        <v>43949</v>
      </c>
      <c r="D108" s="25">
        <v>106</v>
      </c>
      <c r="E108" s="25">
        <v>3009</v>
      </c>
      <c r="F108" s="25">
        <v>28</v>
      </c>
      <c r="G108" s="25">
        <v>1033</v>
      </c>
      <c r="H108" s="25">
        <v>438</v>
      </c>
      <c r="I108" s="25">
        <v>218</v>
      </c>
      <c r="J108" s="25">
        <v>1351</v>
      </c>
      <c r="K108" s="25">
        <v>550</v>
      </c>
      <c r="L108" s="11">
        <f>IF(ISNUMBER(tblData[[#This Row],[NSW]]),tblData[[#This Row],[New South Wales]]/NSWpopscale,"")</f>
        <v>3724.0099009900987</v>
      </c>
      <c r="M108" s="25">
        <v>201505</v>
      </c>
      <c r="N108" s="20">
        <f>IF(ISNUMBER(tblData[Italy]),tblData[Italy]/ItalyPopscale,"")</f>
        <v>33314.871455732828</v>
      </c>
      <c r="O108" s="25">
        <v>1012582</v>
      </c>
      <c r="P108" s="20">
        <f>IF(ISNUMBER(tblData[US]),tblData[US]/USPopscale,"")</f>
        <v>30756.277753090715</v>
      </c>
      <c r="Q108" s="11">
        <v>10761</v>
      </c>
      <c r="R108" s="20">
        <f>IF(ISNUMBER(tblData[SKorea]),tblData[SKorea]/SKoreaPopscale,"")</f>
        <v>2093.5797665369651</v>
      </c>
      <c r="S108">
        <v>162350</v>
      </c>
      <c r="T108" s="12">
        <f>IF(ISNUMBER(tblData[United Kingdom]),tblData[United Kingdom]/UKPopscale,"")</f>
        <v>24435.580975316076</v>
      </c>
      <c r="U108">
        <v>83940</v>
      </c>
      <c r="V108" s="20">
        <f>IF(ISNUMBER(tblData[China]),tblData[China]/ChinaPopscale,"")</f>
        <v>583.19053294093578</v>
      </c>
      <c r="W108" s="25">
        <f ca="1">IF(tblData[[#This Row],[Dates]]&lt;StartDt2China,"",tblData[[#This Row],[Dates]]-ChinaStart)</f>
        <v>97</v>
      </c>
      <c r="X108" s="20">
        <v>14951</v>
      </c>
      <c r="Y108" s="20">
        <f>IF(ISNUMBER(tblData[Singapore]),tblData[Singapore]/SingaporePopscale,"")</f>
        <v>25557.264957264957</v>
      </c>
      <c r="Z108">
        <v>19877</v>
      </c>
      <c r="AA108" s="20">
        <f>IF(AND(LEN(tblData[Generic])&gt;0,ISNUMBER(tblData[Generic])),tblData[Generic]/GenericPopscale,"")</f>
        <v>40565.306122448979</v>
      </c>
      <c r="AB108" s="25">
        <f ca="1">IF(tblData[[#This Row],[Dates]]&lt;StartDt2Italy,"",tblData[[#This Row],[Dates]]-ItalyStart)</f>
        <v>89</v>
      </c>
      <c r="AC108" s="25">
        <f ca="1">IF(tblData[[#This Row],[Dates]]&lt;=StartDt2US,"",tblData[[#This Row],[Dates]]-USStart)</f>
        <v>97</v>
      </c>
      <c r="AD108" s="25">
        <f>IF(tblData[[#This Row],[Dates]]&lt;=SKoreaStart,"",tblData[[#This Row],[Dates]]-SKoreaStart)</f>
        <v>97</v>
      </c>
      <c r="AE108" s="25">
        <f ca="1">IF(tblData[[#This Row],[Dates]]&lt;=StartDt2UK,"",tblData[[#This Row],[Dates]]-UKStart)</f>
        <v>89</v>
      </c>
      <c r="AF108" s="25">
        <f ca="1">IF(tblData[[#This Row],[Dates]]&lt;StartDt2Singapore,"",tblData[[#This Row],[Dates]]-SingaporeStart)</f>
        <v>96</v>
      </c>
      <c r="AG108" s="25">
        <f>IF(tblData[[#This Row],[Dates]]&lt;StartDt2Generic,"",tblData[[#This Row],[Dates]]-GenericStart)</f>
        <v>59</v>
      </c>
      <c r="AH108" s="25">
        <f ca="1">IF(tblData[Dates]&gt;StartDt2Au,tblData[Dates]-AuStart,"")</f>
        <v>94</v>
      </c>
      <c r="AI108" s="25">
        <f>IF(AND(COUNTBLANK(tblData[[#This Row],[Australian Capital Territory]:[Western Australia]])&lt;1,tblData[New South Wales]&gt;=0),SUM(tblData[[#This Row],[Australian Capital Territory]:[Western Australia]]),"")</f>
        <v>6733</v>
      </c>
      <c r="AJ108" s="12">
        <f>IF(ISNUMBER(tblData[Au]),tblData[Au]/AuPopScale,"")</f>
        <v>2654.54975555906</v>
      </c>
      <c r="AK108" s="11">
        <f ca="1">IF(ISNUMBER(tblData[[#This Row],[Day'# Aust]]),betaAu/(deltaAu+betaPodeltaAu*EXP(-betaAu*tblData[[#This Row],[Day'# Aust]])),"")</f>
        <v>6638.2865038064283</v>
      </c>
      <c r="AL108" s="56">
        <f ca="1">IF(ISNUMBER(tblData[Day'# Aust]),tblData[Au LogiP(t)]/AuPopScale,"")</f>
        <v>2617.2080522813549</v>
      </c>
      <c r="AM108" s="11">
        <f ca="1">IF(AND(tblData[Dates]&gt;StartDt2Au,ISNUMBER(tblData[Au])),(tblData[[#This Row],[Au LogiP(t)]]-tblData[[#This Row],[Au]])^2,"")</f>
        <v>8970.6463612097214</v>
      </c>
      <c r="AN108" s="11">
        <f ca="1">IF(AND(ISNUMBER(tblData[Au]),tblData[Dates]&gt;StartDt2Au),(tblData[Au]-AVERAGE(tblData[Au]))^2,"")</f>
        <v>18354283.956100006</v>
      </c>
      <c r="AO108" s="11">
        <f>tblData[[#This Row],[Dates]]-Au100dt</f>
        <v>44</v>
      </c>
      <c r="AP108" s="25">
        <f ca="1">IF(tblData[Dates]&gt;StartDt2NSW,tblData[Dates]-StartDt2NSW,"")</f>
        <v>94</v>
      </c>
      <c r="AQ108" s="25">
        <f>IF(tblData[[#This Row],[New South Wales]]&gt;0,tblData[[#This Row],[New South Wales]],"")</f>
        <v>3009</v>
      </c>
      <c r="AR108" s="11">
        <f ca="1">IF(tblData[Dates]&gt;StartDt2NSW,betaNSW/(deltaNSW+betaPodeltaNSW*EXP(-betaNSW*tblData[[#This Row],[Day '# NSW]])),"")</f>
        <v>2971.6382477495135</v>
      </c>
      <c r="AS108" s="12">
        <f ca="1">IF(AND(ISNUMBER(tblData[NSW]),tblData[Dates]&gt;StartDt2NSW),(tblData[[#This Row],[NSW LogiP(t)]]-tblData[[#This Row],[NSW]])^2,"")</f>
        <v>1395.9005312267302</v>
      </c>
      <c r="AT108" s="39">
        <f ca="1">IF(AND(tblData[Dates]&gt;StartDt2NSW,ISNUMBER(tblData[Day'# Aust])),tblData[NSW LogiP(t)]/NSWpopscale,"")</f>
        <v>3677.7701086008828</v>
      </c>
      <c r="AU108" s="11">
        <f>tblData[[#This Row],[Dates]]-NSW100dt+1</f>
        <v>47</v>
      </c>
      <c r="AV108" s="11">
        <f ca="1">IF(AND(ISNUMBER(tblData[NSW]),tblData[Dates]&gt;StartDt2NSW),(tblData[NSW]-AVERAGE(tblData[NSW]))^2,"")</f>
        <v>3666229.2675999999</v>
      </c>
      <c r="AW108" s="11">
        <f ca="1">IF(AND(tblData[Dates]&gt;StartDt2Italy,ISNUMBER(tblData[Days'# Italy])),betaItaly/(deltaItaly+betaPodeltaItaly*EXP(-betaItaly*tblData[Days'# Italy])),"")</f>
        <v>161375.45533570804</v>
      </c>
      <c r="AX108" s="11">
        <f ca="1">IF(AND(tblData[Dates]&gt;StartDt2Italy,ISNUMBER(tblData[Italy])),(tblData[[#This Row],[Italy LogiP(t)]]-tblData[[#This Row],[Italy]])^2,"")</f>
        <v>1610380354.963403</v>
      </c>
      <c r="AY108" s="11">
        <f ca="1">IF(AND(tblData[Dates]&gt;StartDt2Italy,ISNUMBER(tblData[Days'# Italy])),tblData[[#This Row],[Italy LogiP(t)]]/ItalyPopscale,"")</f>
        <v>26680.24391761727</v>
      </c>
      <c r="AZ108" s="39">
        <f ca="1">IF(AND(ISNUMBER(tblData[Italy]),tblData[Dates]&gt;StartDt2Italy),(tblData[Italy]-AVERAGE(tblData[Italy]))^2,"")</f>
        <v>17359747258.963444</v>
      </c>
      <c r="BA108" s="11">
        <f>tblData[[#This Row],[Dates]]-Italy100dt+1</f>
        <v>62</v>
      </c>
      <c r="BB108" s="11">
        <f ca="1">IF(AND(tblData[Dates]&gt;StartDt2US,ISNUMBER(tblData[[#This Row],[Days'# US]])),betaUS/(deltaUS+betaPodeltaUS*EXP(-betaUS*tblData[Days'# US])),"")</f>
        <v>812665.15666580212</v>
      </c>
      <c r="BC108" s="11">
        <f ca="1">IF(AND(tblData[Dates]&gt;StartDt2US,ISNUMBER(tblData[US])),(tblData[[#This Row],[US LogiP(t)]]-tblData[US])^2,"")</f>
        <v>39966744248.71022</v>
      </c>
      <c r="BD108" s="20">
        <f ca="1">IF(AND(tblData[Dates]&gt;=StartDt2US,ISNUMBER(tblData[[#This Row],[Days'# US]])),tblData[[#This Row],[US LogiP(t)]]/USPopscale,"")</f>
        <v>24683.981424390706</v>
      </c>
      <c r="BE108" s="126">
        <f ca="1">IF(AND(ISNUMBER(tblData[US]),tblData[Dates]&gt;StartDt2US),(tblData[US]-AVERAGE(tblData[US]))^2,"")</f>
        <v>621951085733.31494</v>
      </c>
      <c r="BF108" s="11">
        <f>tblData[[#This Row],[Dates]]-US100dt+1</f>
        <v>45</v>
      </c>
      <c r="BG108" s="20">
        <f ca="1">IF(tblData[Dates]&gt;StartDt2SKorea,betaSKorea/(deltaSKorea+betaPodeltaSKorea*EXP(-betaSKorea*(tblData[Dates]-StartDt2SKorea))),"")</f>
        <v>10233.503879167511</v>
      </c>
      <c r="BH108" s="20">
        <f ca="1">IF(AND(tblData[Dates]&gt;StartDt2SKorea,ISNUMBER(tblData[SKorea])),(tblData[[#This Row],[SKorea LogiP(t)]]-tblData[[#This Row],[SKorea]])^2,"")</f>
        <v>278252.15749332425</v>
      </c>
      <c r="BI108" s="20">
        <f ca="1">IF(tblData[Dates]&gt;StartDt2SKorea,tblData[[#This Row],[SKorea LogiP(t)]]/SKoreaPopscale,"")</f>
        <v>1990.9540620948464</v>
      </c>
      <c r="BJ108" s="126">
        <f ca="1">IF(AND(ISNUMBER(tblData[SKorea]),tblData[Dates]&gt;StartDt2SKorea),(tblData[SKorea]-AVERAGE(tblData[SKorea]))^2,"")</f>
        <v>24370290.589773167</v>
      </c>
      <c r="BK108" s="11">
        <f>tblData[[#This Row],[Dates]]-SKorea100dt+1</f>
        <v>66</v>
      </c>
      <c r="BL108" s="11">
        <f ca="1">IF(AND(tblData[Dates]&gt;StartDt2UK,ISNUMBER(tblData[Days'# UK])),betaUK/(deltaUK+betaPodeltaUK*EXP(-betaUK*tblData[Days'# UK])),"")</f>
        <v>141511.12243466661</v>
      </c>
      <c r="BM108" s="61">
        <f ca="1">IF(AND(tblData[Dates]&gt;StartDt2UK,ISNUMBER(tblData[United Kingdom])),(tblData[[#This Row],[UK LogiP(t)]]-tblData[[#This Row],[United Kingdom]])^2,"")</f>
        <v>434258818.18295515</v>
      </c>
      <c r="BN108" s="11">
        <f ca="1">IF(ISNUMBER(tblData[Days'# UK]),tblData[[#This Row],[UK LogiP(t)]]/UKPopscale,"")</f>
        <v>21299.085255067221</v>
      </c>
      <c r="BO108" s="126">
        <f ca="1">IF(AND(ISNUMBER(tblData[United Kingdom]),tblData[Dates]&gt;StartDt2UK),(tblData[United Kingdom]-AVERAGE(tblData[United Kingdom]))^2,"")</f>
        <v>15471122749.660591</v>
      </c>
      <c r="BP108" s="11">
        <f>tblData[[#This Row],[Dates]]-UK100dt</f>
        <v>47</v>
      </c>
      <c r="BQ108" s="11">
        <f ca="1">IF(ISNUMBER(tblData[Days'# China]),betaChina/(deltaChina+betaPodeltaChina*EXP(-betaChina*tblData[Days'# China])),"")</f>
        <v>82125.158430530995</v>
      </c>
      <c r="BR108" s="11">
        <f ca="1">IF(ISNUMBER(tblData[China]),(tblData[[#This Row],[China LogiP(t)]]-tblData[[#This Row],[China]])^2,"")</f>
        <v>3293649.9222727204</v>
      </c>
      <c r="BS108" s="11">
        <f ca="1">tblData[[#This Row],[China LogiP(t)]]/ChinaPopscale</f>
        <v>570.58154530569641</v>
      </c>
      <c r="BT108" s="126">
        <f ca="1">IF(AND(ISNUMBER(tblData[China]),tblData[Dates]&gt;StartDt2China),(tblData[China]-AVERAGE(tblData[China]))^2,"")</f>
        <v>280077944.69204128</v>
      </c>
      <c r="BU108" s="11">
        <f>tblData[[#This Row],[Dates]]-China100dt</f>
        <v>86</v>
      </c>
      <c r="BV108" s="95">
        <f ca="1">IF(ISNUMBER(tblData[Day'# Singapore]),betaSingapore/(deltaSingapore+betaPodeltaSingapore*EXP(-betaSingapore*tblData[Day'# Singapore])),"")</f>
        <v>13224.530631052945</v>
      </c>
      <c r="BW108" s="11">
        <f ca="1">IF(AND(ISNUMBER(tblData[Singapore]),tblData[Dates]&gt;=StartDt2Singapore),(tblData[[#This Row],[Singapore LogiP(t)]]-tblData[[#This Row],[Singapore]])^2,"")</f>
        <v>2980696.4819124425</v>
      </c>
      <c r="BX108" s="20">
        <f ca="1">IF(ISNUMBER(tblData[Day'# Singapore]),tblData[Singapore LogiP(t)]/SingaporePopscale,"")</f>
        <v>22606.035266757171</v>
      </c>
      <c r="BY108" s="95">
        <f ca="1">IF(AND(ISNUMBER(tblData[Singapore]),tblData[Dates]&gt;StartDt2Singapore),(tblData[Singapore]-AVERAGE(tblData[Singapore]))^2,"")</f>
        <v>159521852.97962323</v>
      </c>
      <c r="BZ108" s="11">
        <f>tblData[[#This Row],[Dates]]-Singapore100dt+1</f>
        <v>75</v>
      </c>
      <c r="CA108" s="11">
        <f>IF(AND(tblData[Dates]&gt;StartDt2Generic,ISNUMBER(tblData[Day'# Generic])),betaGeneric/(deltaGeneric+betaPodeltaGeneric*EXP(-betaGeneric*tblData[Day'# Generic])),"")</f>
        <v>21155.298284367731</v>
      </c>
      <c r="CB108" s="95">
        <f>IF(AND(ISNUMBER(tblData[Generic]),tblData[Dates]&gt;StartDt2Generic),(tblData[Generic LogiP(t)]-tblData[[#This Row],[Generic]])^2,"")</f>
        <v>1634046.5038174842</v>
      </c>
      <c r="CC108" s="11">
        <f>IF(AND(ISNUMBER(tblData[Day'# Generic]),tblData[Dates]&gt;StartDt2Generic),tblData[Generic LogiP(t)]/GenericPopscale,"")</f>
        <v>43174.078131362716</v>
      </c>
      <c r="CD108" s="95">
        <f>IF(AND(ISNUMBER(tblData[Generic]),tblData[Dates]&gt;StartDt2Generic),(tblData[Generic]-AVERAGE(tblData[Generic]))^2,"")</f>
        <v>175390088.50390533</v>
      </c>
      <c r="CE108" s="11">
        <f>tblData[[#This Row],[Dates]]-Generic100dt+1</f>
        <v>47</v>
      </c>
      <c r="CF108" s="11">
        <v>209643</v>
      </c>
      <c r="CG108" s="11"/>
      <c r="CH108" s="11">
        <f>IF(ISNUMBER(tblData[[#This Row],[Tests]]),tblData[[#This Row],[Tests]]-CF107,"")</f>
        <v>5407</v>
      </c>
      <c r="CI108" s="11" t="str">
        <f>IF(ISNUMBER(tblData[[#This Row],[NSW Under Investigation'']]),tblData[[#This Row],[NSW Under Investigation'']]-CG107,"")</f>
        <v/>
      </c>
      <c r="CJ108" s="11">
        <f t="shared" si="2"/>
        <v>54</v>
      </c>
      <c r="CK108" s="11">
        <f>IF(AND(tblData[[#This Row],[NSW Test Day Number]]&gt;0,ISNUMBER(tblData[[#This Row],[NSW Test Day Number]])),betaTests/(deltaTests+betaPodeltaTests*EXP(-betaTests*tblData[[#This Row],[NSW Test Day Number]])),"")</f>
        <v>172047.57331753321</v>
      </c>
      <c r="CL108" s="11">
        <f>IF(tblData[Tests]&gt;0,(tblData[[#This Row],[Tests]]-tblData[[#This Row],[NSW Test Logi]])^2,"")</f>
        <v>1413416107.4367356</v>
      </c>
      <c r="CM108" s="95">
        <f>IF(AND(ISNUMBER(tblData[Tests]),tblData[Dates]&gt;StartDt2Tests),(tblData[Tests]-AVERAGE(tblData[Tests]))^2,"")</f>
        <v>10709383768.023268</v>
      </c>
      <c r="CN108" s="11">
        <f>IF(ISNUMBER(tblData[Tests]),tblData[Tests]/NSWpopscale/100,"")</f>
        <v>2594.5915841584156</v>
      </c>
      <c r="CO108" s="95">
        <f ca="1">IF(AND(tblData[[#This Row],[NSW Test Day Number]]&gt;0,ISNUMBER(tblData[[#This Row],[NSW Test Day Number]])),TestsLogestB*TestsLogestM^tblData[[#This Row],[NSW Test Day Number]],"")</f>
        <v>308468.53402724856</v>
      </c>
      <c r="CP108" s="11">
        <f>IF(AND(tblData[[#This Row],[NSW Test Day Number]]&gt;0,ISNUMBER(tblData[Tests])),(tblData[Tests]-tblData[[#This Row],[NSW Test Per Capita]])^2,"")</f>
        <v>42869043427.533134</v>
      </c>
      <c r="CQ108" s="20">
        <f ca="1">IF(AND(tblData[Day '# NSW]&gt;0,ISNUMBER(tblData[[#This Row],[Day '# NSW]])),NSWLogestB*NSWLogestM^tblData[[#This Row],[Day '# NSW]]/NSWpopscale,"")</f>
        <v>11960.969059836076</v>
      </c>
      <c r="CR108" s="39">
        <f ca="1">IF(AND(ISNUMBER(tblData[NSW]),tblData[Dates]&gt;StartDt2NSW),(tblData[NSW]/NSWpopscale-tblData[[#This Row],[NSW Cases LogEst]])^2,"")</f>
        <v>67847496.184496626</v>
      </c>
      <c r="CS108" s="39">
        <v>429</v>
      </c>
      <c r="CT108" s="19">
        <f>IF(ISNUMBER(tblData[Taiwan]),tblData[Taiwan]/TaiwanPopscale,"")</f>
        <v>180.1969666255896</v>
      </c>
      <c r="CU108" s="11">
        <f ca="1">IF(tblData[[#This Row],[Dates]]&lt;StartDt2Taiwan,"",tblData[[#This Row],[Dates]]-TaiwanStart)</f>
        <v>97</v>
      </c>
      <c r="CV108" s="19">
        <f ca="1">IF(AND(tblData[Dates]&gt;StartDt2Taiwan,ISNUMBER(tblData[Days'# Taiwan])),betaTaiwan/(deltaTaiwan+betaPodeltaTaiwan*EXP(-betaTaiwan*tblData[Days'# Taiwan])),"")</f>
        <v>423.64746396612895</v>
      </c>
      <c r="CW108" s="95">
        <f ca="1">IF(AND(tblData[Dates]&gt;StartDt2Taiwan,ISNUMBER(tblData[Taiwan])),(tblData[[#This Row],[Taiwan LogiP(t)]]-tblData[[#This Row],[Taiwan]])^2,"")</f>
        <v>28.649641993887997</v>
      </c>
      <c r="CX108" s="20">
        <f ca="1">IF(AND(tblData[Dates]&gt;StartDt2Taiwan,ISNUMBER(tblData[Days'# Taiwan])),tblData[[#This Row],[Taiwan LogiP(t)]]/TaiwanPopscale,"")</f>
        <v>177.9486898026112</v>
      </c>
      <c r="CY108" s="95">
        <f ca="1">IF(AND(ISNUMBER(tblData[Taiwan]),tblData[Dates]&gt;StartDt2Taiwan),(tblData[Taiwan]-AVERAGE(tblData[Taiwan]))^2,"")</f>
        <v>67314.811226451362</v>
      </c>
      <c r="CZ108" s="11">
        <f>tblData[[#This Row],[Dates]]-Taiwan100dt+1</f>
        <v>34</v>
      </c>
      <c r="DA108" s="11">
        <v>1474</v>
      </c>
      <c r="DB108" s="20">
        <f>IF(ISNUMBER(tblData[NZ]),tblData[NZ]/NZPopscale,"")</f>
        <v>2818.3556405353729</v>
      </c>
      <c r="DC108" s="11">
        <f ca="1">IF(tblData[[#This Row],[Dates]]&lt;StartDt2NZ,"",tblData[[#This Row],[Dates]]-NZStart)</f>
        <v>60</v>
      </c>
      <c r="DD108" s="20">
        <f ca="1">IF(AND(tblData[Dates]&gt;StartDt2NZ,ISNUMBER(tblData[Days'# NZ])),betaNZ/(deltaNZ+betaPodeltaNZ*EXP(-betaNZ*tblData[Days'# NZ])),"")</f>
        <v>1458.2735708710363</v>
      </c>
      <c r="DE108" s="95">
        <f ca="1">IF(AND(tblData[Dates]&gt;StartDt2NZ,ISNUMBER(tblData[NZ])),(tblData[[#This Row],[NZ LogiP(t)]]-tblData[[#This Row],[NZ]])^2,"")</f>
        <v>247.32057314831712</v>
      </c>
      <c r="DF108" s="20">
        <f ca="1">IF(AND(tblData[Dates]&gt;StartDt2NZ,ISNUMBER(tblData[Days'# NZ])),tblData[[#This Row],[NZ LogiP(t)]]/NZPopscale,"")</f>
        <v>2788.2859863690942</v>
      </c>
      <c r="DG108" s="95">
        <f ca="1">IF(AND(ISNUMBER(tblData[NZ]),tblData[Dates]&gt;StartDt2NZ),(tblData[NZ]-AVERAGE(tblData[NZ]))^2,"")</f>
        <v>616320.15518824605</v>
      </c>
      <c r="DH108" s="11">
        <f>tblData[[#This Row],[Dates]]-NZ100dt+1</f>
        <v>38</v>
      </c>
      <c r="DI108" s="39"/>
      <c r="DJ108" s="11"/>
      <c r="DL108"/>
      <c r="DN108"/>
      <c r="DP108"/>
      <c r="DQ108"/>
      <c r="DR108"/>
      <c r="DS108"/>
      <c r="DT108"/>
      <c r="DU108"/>
      <c r="DW108"/>
      <c r="DX108"/>
      <c r="DY108"/>
      <c r="DZ108"/>
      <c r="EB108"/>
      <c r="EC108"/>
      <c r="ED108"/>
      <c r="EE108"/>
      <c r="EF108"/>
      <c r="EG108"/>
      <c r="EH108"/>
      <c r="EI108"/>
      <c r="EJ108"/>
      <c r="EK108"/>
      <c r="EN108"/>
      <c r="EO108"/>
      <c r="EP108"/>
      <c r="EV108"/>
      <c r="FA108"/>
      <c r="FB108"/>
      <c r="FC108"/>
      <c r="FD108"/>
      <c r="FE108"/>
      <c r="FF108"/>
      <c r="FG108"/>
      <c r="FO108" s="263" t="s">
        <v>153</v>
      </c>
      <c r="FP108" s="252">
        <v>43934.704201388886</v>
      </c>
      <c r="FQ108" s="244">
        <v>43855</v>
      </c>
      <c r="FR108" s="160">
        <v>43855</v>
      </c>
      <c r="FS108" s="211">
        <v>1</v>
      </c>
      <c r="FT108" s="72">
        <v>0.23821093947919839</v>
      </c>
      <c r="FU108" s="72">
        <v>8.144504578287649E-5</v>
      </c>
      <c r="FV108" s="74">
        <v>1E-3</v>
      </c>
      <c r="FW108" s="212">
        <v>2924.8057655249218</v>
      </c>
      <c r="FX108" s="214">
        <v>22.415252247247857</v>
      </c>
      <c r="FY108" s="214">
        <v>0.99949854678046568</v>
      </c>
      <c r="FZ108" s="213">
        <v>238.21085803415258</v>
      </c>
      <c r="GA108" s="213">
        <v>8.1445045782876493E-2</v>
      </c>
      <c r="GB108" s="243">
        <v>43934</v>
      </c>
      <c r="GC108" s="26" t="s">
        <v>1968</v>
      </c>
      <c r="GD108" s="214">
        <v>2924.8057655249218</v>
      </c>
      <c r="GE108" s="214">
        <v>2863</v>
      </c>
      <c r="GF108" s="73" t="s">
        <v>1919</v>
      </c>
      <c r="GG108" s="156">
        <v>43934</v>
      </c>
      <c r="GH108" s="26">
        <v>80</v>
      </c>
      <c r="GI108" s="25" t="s">
        <v>2317</v>
      </c>
      <c r="GJ108" s="19"/>
      <c r="GK108" s="62" t="s">
        <v>2216</v>
      </c>
      <c r="GM108" s="25" t="s">
        <v>2318</v>
      </c>
      <c r="GN108" s="25">
        <v>3543.3168316831679</v>
      </c>
      <c r="GO108" s="156"/>
      <c r="GP108" s="218"/>
      <c r="GQ108" s="156"/>
      <c r="GS108" s="25" t="s">
        <v>2316</v>
      </c>
      <c r="GT108" s="11">
        <v>2907.4478207938892</v>
      </c>
      <c r="GU108" s="12">
        <v>6.326064902471628E-3</v>
      </c>
      <c r="GV108" s="26">
        <v>43901</v>
      </c>
      <c r="GW108" s="25" t="s">
        <v>1646</v>
      </c>
      <c r="GX108" s="219">
        <v>17.216907108909709</v>
      </c>
      <c r="GY108" t="s">
        <v>153</v>
      </c>
      <c r="GZ108" s="25" t="s">
        <v>153</v>
      </c>
      <c r="HB108"/>
      <c r="HC108"/>
      <c r="HD108"/>
      <c r="HE108"/>
      <c r="HK108" s="164"/>
      <c r="HL108"/>
      <c r="HM108"/>
      <c r="HN108"/>
      <c r="HO108"/>
      <c r="HP108"/>
    </row>
    <row r="109" spans="2:238" s="25" customFormat="1" x14ac:dyDescent="0.25">
      <c r="B109" s="26">
        <f t="shared" si="4"/>
        <v>43950</v>
      </c>
      <c r="D109" s="25">
        <v>106</v>
      </c>
      <c r="E109" s="25">
        <v>3016</v>
      </c>
      <c r="F109" s="25">
        <v>28</v>
      </c>
      <c r="G109" s="25">
        <v>1034</v>
      </c>
      <c r="H109" s="25">
        <v>438</v>
      </c>
      <c r="I109" s="25">
        <v>219</v>
      </c>
      <c r="J109" s="25">
        <v>1354</v>
      </c>
      <c r="K109" s="25">
        <v>551</v>
      </c>
      <c r="L109" s="11">
        <f>IF(ISNUMBER(tblData[[#This Row],[NSW]]),tblData[[#This Row],[New South Wales]]/NSWpopscale,"")</f>
        <v>3732.6732673267325</v>
      </c>
      <c r="M109" s="25">
        <v>203591</v>
      </c>
      <c r="N109" s="20">
        <f>IF(ISNUMBER(tblData[Italy]),tblData[Italy]/ItalyPopscale,"")</f>
        <v>33659.750351326773</v>
      </c>
      <c r="O109" s="25">
        <v>1039909</v>
      </c>
      <c r="P109" s="20">
        <f>IF(ISNUMBER(tblData[US]),tblData[US]/USPopscale,"")</f>
        <v>31586.311075980822</v>
      </c>
      <c r="Q109" s="11">
        <v>10765</v>
      </c>
      <c r="R109" s="20">
        <f>IF(ISNUMBER(tblData[SKorea]),tblData[SKorea]/SKoreaPopscale,"")</f>
        <v>2094.3579766536968</v>
      </c>
      <c r="S109">
        <v>166441</v>
      </c>
      <c r="T109" s="12">
        <f>IF(ISNUMBER(tblData[United Kingdom]),tblData[United Kingdom]/UKPopscale,"")</f>
        <v>25051.324503311258</v>
      </c>
      <c r="U109">
        <v>83944</v>
      </c>
      <c r="V109" s="20">
        <f>IF(ISNUMBER(tblData[China]),tblData[China]/ChinaPopscale,"")</f>
        <v>583.21832376928649</v>
      </c>
      <c r="W109" s="25">
        <f ca="1">IF(tblData[[#This Row],[Dates]]&lt;StartDt2China,"",tblData[[#This Row],[Dates]]-ChinaStart)</f>
        <v>98</v>
      </c>
      <c r="X109" s="20">
        <v>15641</v>
      </c>
      <c r="Y109" s="20">
        <f>IF(ISNUMBER(tblData[Singapore]),tblData[Singapore]/SingaporePopscale,"")</f>
        <v>26736.752136752137</v>
      </c>
      <c r="Z109">
        <v>20253</v>
      </c>
      <c r="AA109" s="20">
        <f>IF(AND(LEN(tblData[Generic])&gt;0,ISNUMBER(tblData[Generic])),tblData[Generic]/GenericPopscale,"")</f>
        <v>41332.65306122449</v>
      </c>
      <c r="AB109" s="25">
        <f ca="1">IF(tblData[[#This Row],[Dates]]&lt;StartDt2Italy,"",tblData[[#This Row],[Dates]]-ItalyStart)</f>
        <v>90</v>
      </c>
      <c r="AC109" s="25">
        <f ca="1">IF(tblData[[#This Row],[Dates]]&lt;=StartDt2US,"",tblData[[#This Row],[Dates]]-USStart)</f>
        <v>98</v>
      </c>
      <c r="AD109" s="25">
        <f>IF(tblData[[#This Row],[Dates]]&lt;=SKoreaStart,"",tblData[[#This Row],[Dates]]-SKoreaStart)</f>
        <v>98</v>
      </c>
      <c r="AE109" s="25">
        <f ca="1">IF(tblData[[#This Row],[Dates]]&lt;=StartDt2UK,"",tblData[[#This Row],[Dates]]-UKStart)</f>
        <v>90</v>
      </c>
      <c r="AF109" s="25">
        <f ca="1">IF(tblData[[#This Row],[Dates]]&lt;StartDt2Singapore,"",tblData[[#This Row],[Dates]]-SingaporeStart)</f>
        <v>97</v>
      </c>
      <c r="AG109" s="25">
        <f>IF(tblData[[#This Row],[Dates]]&lt;StartDt2Generic,"",tblData[[#This Row],[Dates]]-GenericStart)</f>
        <v>60</v>
      </c>
      <c r="AH109" s="25">
        <f ca="1">IF(tblData[Dates]&gt;StartDt2Au,tblData[Dates]-AuStart,"")</f>
        <v>95</v>
      </c>
      <c r="AI109" s="25">
        <f>IF(AND(COUNTBLANK(tblData[[#This Row],[Australian Capital Territory]:[Western Australia]])&lt;1,tblData[New South Wales]&gt;=0),SUM(tblData[[#This Row],[Australian Capital Territory]:[Western Australia]]),"")</f>
        <v>6746</v>
      </c>
      <c r="AJ109" s="12">
        <f>IF(ISNUMBER(tblData[Au]),tblData[Au]/AuPopScale,"")</f>
        <v>2659.6751301056615</v>
      </c>
      <c r="AK109" s="11">
        <f ca="1">IF(ISNUMBER(tblData[[#This Row],[Day'# Aust]]),betaAu/(deltaAu+betaPodeltaAu*EXP(-betaAu*tblData[[#This Row],[Day'# Aust]])),"")</f>
        <v>6639.3977842486393</v>
      </c>
      <c r="AL109" s="56">
        <f ca="1">IF(ISNUMBER(tblData[Day'# Aust]),tblData[Au LogiP(t)]/AuPopScale,"")</f>
        <v>2617.6461852423276</v>
      </c>
      <c r="AM109" s="11">
        <f ca="1">IF(AND(tblData[Dates]&gt;StartDt2Au,ISNUMBER(tblData[Au])),(tblData[[#This Row],[Au LogiP(t)]]-tblData[[#This Row],[Au]])^2,"")</f>
        <v>11364.032403099665</v>
      </c>
      <c r="AN109" s="11">
        <f ca="1">IF(AND(ISNUMBER(tblData[Au]),tblData[Dates]&gt;StartDt2Au),(tblData[Au]-AVERAGE(tblData[Au]))^2,"")</f>
        <v>18465841.896100003</v>
      </c>
      <c r="AO109" s="11">
        <f>tblData[[#This Row],[Dates]]-Au100dt</f>
        <v>45</v>
      </c>
      <c r="AP109" s="25">
        <f ca="1">IF(tblData[Dates]&gt;StartDt2NSW,tblData[Dates]-StartDt2NSW,"")</f>
        <v>95</v>
      </c>
      <c r="AQ109" s="25">
        <f>IF(tblData[[#This Row],[New South Wales]]&gt;0,tblData[[#This Row],[New South Wales]],"")</f>
        <v>3016</v>
      </c>
      <c r="AR109" s="11">
        <f ca="1">IF(tblData[Dates]&gt;StartDt2NSW,betaNSW/(deltaNSW+betaPodeltaNSW*EXP(-betaNSW*tblData[[#This Row],[Day '# NSW]])),"")</f>
        <v>2972.0452166904211</v>
      </c>
      <c r="AS109" s="12">
        <f ca="1">IF(AND(ISNUMBER(tblData[NSW]),tblData[Dates]&gt;StartDt2NSW),(tblData[[#This Row],[NSW LogiP(t)]]-tblData[[#This Row],[NSW]])^2,"")</f>
        <v>1932.0229757920397</v>
      </c>
      <c r="AT109" s="39">
        <f ca="1">IF(AND(tblData[Dates]&gt;StartDt2NSW,ISNUMBER(tblData[Day'# Aust])),tblData[NSW LogiP(t)]/NSWpopscale,"")</f>
        <v>3678.2737830326992</v>
      </c>
      <c r="AU109" s="11">
        <f>tblData[[#This Row],[Dates]]-NSW100dt+1</f>
        <v>48</v>
      </c>
      <c r="AV109" s="11">
        <f ca="1">IF(AND(ISNUMBER(tblData[NSW]),tblData[Dates]&gt;StartDt2NSW),(tblData[NSW]-AVERAGE(tblData[NSW]))^2,"")</f>
        <v>3693084.6276000002</v>
      </c>
      <c r="AW109" s="11">
        <f ca="1">IF(AND(tblData[Dates]&gt;StartDt2Italy,ISNUMBER(tblData[Days'# Italy])),betaItaly/(deltaItaly+betaPodeltaItaly*EXP(-betaItaly*tblData[Days'# Italy])),"")</f>
        <v>161377.60785628902</v>
      </c>
      <c r="AX109" s="11">
        <f ca="1">IF(AND(tblData[Dates]&gt;StartDt2Italy,ISNUMBER(tblData[Italy])),(tblData[[#This Row],[Italy LogiP(t)]]-tblData[[#This Row],[Italy]])^2,"")</f>
        <v>1781970476.2787201</v>
      </c>
      <c r="AY109" s="11">
        <f ca="1">IF(AND(tblData[Dates]&gt;StartDt2Italy,ISNUMBER(tblData[Days'# Italy])),tblData[[#This Row],[Italy LogiP(t)]]/ItalyPopscale,"")</f>
        <v>26680.599794376958</v>
      </c>
      <c r="AZ109" s="39">
        <f ca="1">IF(AND(ISNUMBER(tblData[Italy]),tblData[Dates]&gt;StartDt2Italy),(tblData[Italy]-AVERAGE(tblData[Italy]))^2,"")</f>
        <v>17913786329.133656</v>
      </c>
      <c r="BA109" s="11">
        <f>tblData[[#This Row],[Dates]]-Italy100dt+1</f>
        <v>63</v>
      </c>
      <c r="BB109" s="11">
        <f ca="1">IF(AND(tblData[Dates]&gt;StartDt2US,ISNUMBER(tblData[[#This Row],[Days'# US]])),betaUS/(deltaUS+betaPodeltaUS*EXP(-betaUS*tblData[Days'# US])),"")</f>
        <v>812846.50049972953</v>
      </c>
      <c r="BC109" s="11">
        <f ca="1">IF(AND(tblData[Dates]&gt;StartDt2US,ISNUMBER(tblData[US])),(tblData[[#This Row],[US LogiP(t)]]-tblData[US])^2,"")</f>
        <v>51557378679.310326</v>
      </c>
      <c r="BD109" s="20">
        <f ca="1">IF(AND(tblData[Dates]&gt;=StartDt2US,ISNUMBER(tblData[[#This Row],[Days'# US]])),tblData[[#This Row],[US LogiP(t)]]/USPopscale,"")</f>
        <v>24689.489582075796</v>
      </c>
      <c r="BE109" s="126">
        <f ca="1">IF(AND(ISNUMBER(tblData[US]),tblData[Dates]&gt;StartDt2US),(tblData[US]-AVERAGE(tblData[US]))^2,"")</f>
        <v>665800113172.72668</v>
      </c>
      <c r="BF109" s="11">
        <f>tblData[[#This Row],[Dates]]-US100dt+1</f>
        <v>46</v>
      </c>
      <c r="BG109" s="20">
        <f ca="1">IF(tblData[Dates]&gt;StartDt2SKorea,betaSKorea/(deltaSKorea+betaPodeltaSKorea*EXP(-betaSKorea*(tblData[Dates]-StartDt2SKorea))),"")</f>
        <v>10233.615791585771</v>
      </c>
      <c r="BH109" s="20">
        <f ca="1">IF(AND(tblData[Dates]&gt;StartDt2SKorea,ISNUMBER(tblData[SKorea])),(tblData[[#This Row],[SKorea LogiP(t)]]-tblData[[#This Row],[SKorea]])^2,"")</f>
        <v>282369.1769520166</v>
      </c>
      <c r="BI109" s="20">
        <f ca="1">IF(tblData[Dates]&gt;StartDt2SKorea,tblData[[#This Row],[SKorea LogiP(t)]]/SKoreaPopscale,"")</f>
        <v>1990.975834938866</v>
      </c>
      <c r="BJ109" s="126">
        <f ca="1">IF(AND(ISNUMBER(tblData[SKorea]),tblData[Dates]&gt;StartDt2SKorea),(tblData[SKorea]-AVERAGE(tblData[SKorea]))^2,"")</f>
        <v>24409799.609381009</v>
      </c>
      <c r="BK109" s="11">
        <f>tblData[[#This Row],[Dates]]-SKorea100dt+1</f>
        <v>67</v>
      </c>
      <c r="BL109" s="11">
        <f ca="1">IF(AND(tblData[Dates]&gt;StartDt2UK,ISNUMBER(tblData[Days'# UK])),betaUK/(deltaUK+betaPodeltaUK*EXP(-betaUK*tblData[Days'# UK])),"")</f>
        <v>141762.56904425443</v>
      </c>
      <c r="BM109" s="61">
        <f ca="1">IF(AND(tblData[Dates]&gt;StartDt2UK,ISNUMBER(tblData[United Kingdom])),(tblData[[#This Row],[UK LogiP(t)]]-tblData[[#This Row],[United Kingdom]])^2,"")</f>
        <v>609024954.43750119</v>
      </c>
      <c r="BN109" s="11">
        <f ca="1">IF(ISNUMBER(tblData[Days'# UK]),tblData[[#This Row],[UK LogiP(t)]]/UKPopscale,"")</f>
        <v>21336.930921772189</v>
      </c>
      <c r="BO109" s="126">
        <f ca="1">IF(AND(ISNUMBER(tblData[United Kingdom]),tblData[Dates]&gt;StartDt2UK),(tblData[United Kingdom]-AVERAGE(tblData[United Kingdom]))^2,"")</f>
        <v>16505560475.532932</v>
      </c>
      <c r="BP109" s="11">
        <f>tblData[[#This Row],[Dates]]-UK100dt</f>
        <v>48</v>
      </c>
      <c r="BQ109" s="11">
        <f ca="1">IF(ISNUMBER(tblData[Days'# China]),betaChina/(deltaChina+betaPodeltaChina*EXP(-betaChina*tblData[Days'# China])),"")</f>
        <v>82125.158846652106</v>
      </c>
      <c r="BR109" s="11">
        <f ca="1">IF(ISNUMBER(tblData[China]),(tblData[[#This Row],[China LogiP(t)]]-tblData[[#This Row],[China]])^2,"")</f>
        <v>3308183.1411118968</v>
      </c>
      <c r="BS109" s="11">
        <f ca="1">tblData[[#This Row],[China LogiP(t)]]/ChinaPopscale</f>
        <v>570.58154819678396</v>
      </c>
      <c r="BT109" s="126">
        <f ca="1">IF(AND(ISNUMBER(tblData[China]),tblData[Dates]&gt;StartDt2China),(tblData[China]-AVERAGE(tblData[China]))^2,"")</f>
        <v>280211844.92733538</v>
      </c>
      <c r="BU109" s="11">
        <f>tblData[[#This Row],[Dates]]-China100dt</f>
        <v>87</v>
      </c>
      <c r="BV109" s="95">
        <f ca="1">IF(ISNUMBER(tblData[Day'# Singapore]),betaSingapore/(deltaSingapore+betaPodeltaSingapore*EXP(-betaSingapore*tblData[Day'# Singapore])),"")</f>
        <v>14282.715772537846</v>
      </c>
      <c r="BW109" s="11">
        <f ca="1">IF(AND(ISNUMBER(tblData[Singapore]),tblData[Dates]&gt;=StartDt2Singapore),(tblData[[#This Row],[Singapore LogiP(t)]]-tblData[[#This Row],[Singapore]])^2,"")</f>
        <v>1844936.0425724615</v>
      </c>
      <c r="BX109" s="20">
        <f ca="1">IF(ISNUMBER(tblData[Day'# Singapore]),tblData[Singapore LogiP(t)]/SingaporePopscale,"")</f>
        <v>24414.898756474951</v>
      </c>
      <c r="BY109" s="95">
        <f ca="1">IF(AND(ISNUMBER(tblData[Singapore]),tblData[Dates]&gt;StartDt2Singapore),(tblData[Singapore]-AVERAGE(tblData[Singapore]))^2,"")</f>
        <v>177427623.56785852</v>
      </c>
      <c r="BZ109" s="11">
        <f>tblData[[#This Row],[Dates]]-Singapore100dt+1</f>
        <v>76</v>
      </c>
      <c r="CA109" s="11">
        <f>IF(AND(tblData[Dates]&gt;StartDt2Generic,ISNUMBER(tblData[Day'# Generic])),betaGeneric/(deltaGeneric+betaPodeltaGeneric*EXP(-betaGeneric*tblData[Day'# Generic])),"")</f>
        <v>21594.43673798025</v>
      </c>
      <c r="CB109" s="95">
        <f>IF(AND(ISNUMBER(tblData[Generic]),tblData[Dates]&gt;StartDt2Generic),(tblData[Generic LogiP(t)]-tblData[[#This Row],[Generic]])^2,"")</f>
        <v>1799452.5220030933</v>
      </c>
      <c r="CC109" s="11">
        <f>IF(AND(ISNUMBER(tblData[Day'# Generic]),tblData[Dates]&gt;StartDt2Generic),tblData[Generic LogiP(t)]/GenericPopscale,"")</f>
        <v>44070.279057102554</v>
      </c>
      <c r="CD109" s="95">
        <f>IF(AND(ISNUMBER(tblData[Generic]),tblData[Dates]&gt;StartDt2Generic),(tblData[Generic]-AVERAGE(tblData[Generic]))^2,"")</f>
        <v>185490570.71928996</v>
      </c>
      <c r="CE109" s="11">
        <f>tblData[[#This Row],[Dates]]-Generic100dt+1</f>
        <v>48</v>
      </c>
      <c r="CF109" s="11">
        <v>217030</v>
      </c>
      <c r="CG109" s="11"/>
      <c r="CH109" s="11">
        <f>IF(ISNUMBER(tblData[[#This Row],[Tests]]),tblData[[#This Row],[Tests]]-CF108,"")</f>
        <v>7387</v>
      </c>
      <c r="CI109" s="11" t="str">
        <f>IF(ISNUMBER(tblData[[#This Row],[NSW Under Investigation'']]),tblData[[#This Row],[NSW Under Investigation'']]-CG108,"")</f>
        <v/>
      </c>
      <c r="CJ109" s="11">
        <f t="shared" si="2"/>
        <v>55</v>
      </c>
      <c r="CK109" s="11">
        <f>IF(AND(tblData[[#This Row],[NSW Test Day Number]]&gt;0,ISNUMBER(tblData[[#This Row],[NSW Test Day Number]])),betaTests/(deltaTests+betaPodeltaTests*EXP(-betaTests*tblData[[#This Row],[NSW Test Day Number]])),"")</f>
        <v>172128.14430524205</v>
      </c>
      <c r="CL109" s="11">
        <f>IF(tblData[Tests]&gt;0,(tblData[[#This Row],[Tests]]-tblData[[#This Row],[NSW Test Logi]])^2,"")</f>
        <v>2016176644.8328669</v>
      </c>
      <c r="CM109" s="95">
        <f>IF(AND(ISNUMBER(tblData[Tests]),tblData[Dates]&gt;StartDt2Tests),(tblData[Tests]-AVERAGE(tblData[Tests]))^2,"")</f>
        <v>12292855954.684284</v>
      </c>
      <c r="CN109" s="11">
        <f>IF(ISNUMBER(tblData[Tests]),tblData[Tests]/NSWpopscale/100,"")</f>
        <v>2686.0148514851485</v>
      </c>
      <c r="CO109" s="95">
        <f ca="1">IF(AND(tblData[[#This Row],[NSW Test Day Number]]&gt;0,ISNUMBER(tblData[[#This Row],[NSW Test Day Number]])),TestsLogestB*TestsLogestM^tblData[[#This Row],[NSW Test Day Number]],"")</f>
        <v>326980.17331913137</v>
      </c>
      <c r="CP109" s="11">
        <f>IF(AND(tblData[[#This Row],[NSW Test Day Number]]&gt;0,ISNUMBER(tblData[Tests])),(tblData[Tests]-tblData[[#This Row],[NSW Test Per Capita]])^2,"")</f>
        <v>45943343969.346756</v>
      </c>
      <c r="CQ109" s="20">
        <f ca="1">IF(AND(tblData[Day '# NSW]&gt;0,ISNUMBER(tblData[[#This Row],[Day '# NSW]])),NSWLogestB*NSWLogestM^tblData[[#This Row],[Day '# NSW]]/NSWpopscale,"")</f>
        <v>13168.496253304571</v>
      </c>
      <c r="CR109" s="39">
        <f ca="1">IF(AND(ISNUMBER(tblData[NSW]),tblData[Dates]&gt;StartDt2NSW),(tblData[NSW]/NSWpopscale-tblData[[#This Row],[NSW Cases LogEst]])^2,"")</f>
        <v>89034755.422707736</v>
      </c>
      <c r="CS109" s="39">
        <v>429</v>
      </c>
      <c r="CT109" s="19">
        <f>IF(ISNUMBER(tblData[Taiwan]),tblData[Taiwan]/TaiwanPopscale,"")</f>
        <v>180.1969666255896</v>
      </c>
      <c r="CU109" s="11">
        <f ca="1">IF(tblData[[#This Row],[Dates]]&lt;StartDt2Taiwan,"",tblData[[#This Row],[Dates]]-TaiwanStart)</f>
        <v>98</v>
      </c>
      <c r="CV109" s="19">
        <f ca="1">IF(AND(tblData[Dates]&gt;StartDt2Taiwan,ISNUMBER(tblData[Days'# Taiwan])),betaTaiwan/(deltaTaiwan+betaPodeltaTaiwan*EXP(-betaTaiwan*tblData[Days'# Taiwan])),"")</f>
        <v>423.99940282413922</v>
      </c>
      <c r="CW109" s="95">
        <f ca="1">IF(AND(tblData[Dates]&gt;StartDt2Taiwan,ISNUMBER(tblData[Taiwan])),(tblData[[#This Row],[Taiwan LogiP(t)]]-tblData[[#This Row],[Taiwan]])^2,"")</f>
        <v>25.005972115226765</v>
      </c>
      <c r="CX109" s="20">
        <f ca="1">IF(AND(tblData[Dates]&gt;StartDt2Taiwan,ISNUMBER(tblData[Days'# Taiwan])),tblData[[#This Row],[Taiwan LogiP(t)]]/TaiwanPopscale,"")</f>
        <v>178.09651804189122</v>
      </c>
      <c r="CY109" s="95">
        <f ca="1">IF(AND(ISNUMBER(tblData[Taiwan]),tblData[Dates]&gt;StartDt2Taiwan),(tblData[Taiwan]-AVERAGE(tblData[Taiwan]))^2,"")</f>
        <v>67314.811226451362</v>
      </c>
      <c r="CZ109" s="11">
        <f>tblData[[#This Row],[Dates]]-Taiwan100dt+1</f>
        <v>35</v>
      </c>
      <c r="DA109" s="11">
        <v>1476</v>
      </c>
      <c r="DB109" s="20">
        <f>IF(ISNUMBER(tblData[NZ]),tblData[NZ]/NZPopscale,"")</f>
        <v>2822.1797323135756</v>
      </c>
      <c r="DC109" s="11">
        <f ca="1">IF(tblData[[#This Row],[Dates]]&lt;StartDt2NZ,"",tblData[[#This Row],[Dates]]-NZStart)</f>
        <v>61</v>
      </c>
      <c r="DD109" s="20">
        <f ca="1">IF(AND(tblData[Dates]&gt;StartDt2NZ,ISNUMBER(tblData[Days'# NZ])),betaNZ/(deltaNZ+betaPodeltaNZ*EXP(-betaNZ*tblData[Days'# NZ])),"")</f>
        <v>1458.8607700058951</v>
      </c>
      <c r="DE109" s="95">
        <f ca="1">IF(AND(tblData[Dates]&gt;StartDt2NZ,ISNUMBER(tblData[NZ])),(tblData[[#This Row],[NZ LogiP(t)]]-tblData[[#This Row],[NZ]])^2,"")</f>
        <v>293.75320479082438</v>
      </c>
      <c r="DF109" s="20">
        <f ca="1">IF(AND(tblData[Dates]&gt;StartDt2NZ,ISNUMBER(tblData[Days'# NZ])),tblData[[#This Row],[NZ LogiP(t)]]/NZPopscale,"")</f>
        <v>2789.4087380609849</v>
      </c>
      <c r="DG109" s="95">
        <f ca="1">IF(AND(ISNUMBER(tblData[NZ]),tblData[Dates]&gt;StartDt2NZ),(tblData[NZ]-AVERAGE(tblData[NZ]))^2,"")</f>
        <v>619464.39761248848</v>
      </c>
      <c r="DH109" s="11">
        <f>tblData[[#This Row],[Dates]]-NZ100dt+1</f>
        <v>39</v>
      </c>
      <c r="DI109" s="39"/>
      <c r="DJ109" s="11"/>
      <c r="DL109"/>
      <c r="DN109"/>
      <c r="DP109"/>
      <c r="DQ109"/>
      <c r="DR109"/>
      <c r="DS109"/>
      <c r="DT109"/>
      <c r="DU109"/>
      <c r="DW109"/>
      <c r="DX109"/>
      <c r="DY109"/>
      <c r="DZ109"/>
      <c r="EB109"/>
      <c r="EC109"/>
      <c r="ED109"/>
      <c r="EE109"/>
      <c r="EF109"/>
      <c r="EG109"/>
      <c r="EH109"/>
      <c r="EI109"/>
      <c r="EJ109"/>
      <c r="EK109"/>
      <c r="EN109"/>
      <c r="EO109"/>
      <c r="EP109"/>
      <c r="EV109"/>
      <c r="FA109"/>
      <c r="FB109"/>
      <c r="FC109"/>
      <c r="FD109"/>
      <c r="FE109"/>
      <c r="FF109"/>
      <c r="FG109"/>
      <c r="FO109" s="263" t="s">
        <v>153</v>
      </c>
      <c r="FP109" s="252">
        <v>43934.879953703705</v>
      </c>
      <c r="FQ109" s="244">
        <v>43855</v>
      </c>
      <c r="FR109" s="160">
        <v>43855</v>
      </c>
      <c r="FS109" s="211">
        <v>1</v>
      </c>
      <c r="FT109" s="72">
        <v>0.23821093947919839</v>
      </c>
      <c r="FU109" s="72">
        <v>8.144504578287649E-5</v>
      </c>
      <c r="FV109" s="74">
        <v>1E-3</v>
      </c>
      <c r="FW109" s="212">
        <v>2924.8057655249218</v>
      </c>
      <c r="FX109" s="214">
        <v>22.415252247247857</v>
      </c>
      <c r="FY109" s="214">
        <v>0.99949854678046568</v>
      </c>
      <c r="FZ109" s="213">
        <v>238.21085803415258</v>
      </c>
      <c r="GA109" s="213">
        <v>8.1445045782876493E-2</v>
      </c>
      <c r="GB109" s="243">
        <v>43934</v>
      </c>
      <c r="GC109" s="26" t="s">
        <v>1968</v>
      </c>
      <c r="GD109" s="214">
        <v>2924.8057655249195</v>
      </c>
      <c r="GE109" s="214">
        <v>2863</v>
      </c>
      <c r="GF109" s="73" t="s">
        <v>1919</v>
      </c>
      <c r="GG109" s="156">
        <v>43934</v>
      </c>
      <c r="GH109" s="26">
        <v>80</v>
      </c>
      <c r="GI109" s="25" t="s">
        <v>2317</v>
      </c>
      <c r="GJ109" s="19"/>
      <c r="GK109" s="62" t="s">
        <v>2216</v>
      </c>
      <c r="GM109" s="25" t="s">
        <v>2318</v>
      </c>
      <c r="GN109" s="25">
        <v>3543.3168316831679</v>
      </c>
      <c r="GO109" s="156"/>
      <c r="GP109" s="218"/>
      <c r="GQ109" s="156"/>
      <c r="GS109" s="25" t="s">
        <v>2316</v>
      </c>
      <c r="GT109" s="11">
        <v>2914.002156780924</v>
      </c>
      <c r="GU109" s="12">
        <v>6.326064902471628E-3</v>
      </c>
      <c r="GV109" s="26">
        <v>43901</v>
      </c>
      <c r="GW109" s="25" t="s">
        <v>1646</v>
      </c>
      <c r="GX109" s="219">
        <v>17.216907108909709</v>
      </c>
      <c r="GY109" t="s">
        <v>153</v>
      </c>
      <c r="GZ109" s="25" t="s">
        <v>153</v>
      </c>
      <c r="HB109"/>
      <c r="HC109"/>
      <c r="HD109"/>
      <c r="HE109"/>
      <c r="HF109"/>
      <c r="HG109"/>
      <c r="HH109"/>
      <c r="HI109"/>
      <c r="HJ109"/>
      <c r="HK109" s="164"/>
      <c r="HL109"/>
      <c r="HM109"/>
      <c r="HN109"/>
      <c r="HO109"/>
      <c r="HP109"/>
      <c r="HW109"/>
      <c r="HX109"/>
      <c r="HY109"/>
      <c r="HZ109"/>
      <c r="IA109"/>
      <c r="IB109"/>
      <c r="IC109"/>
    </row>
    <row r="110" spans="2:238" s="25" customFormat="1" x14ac:dyDescent="0.25">
      <c r="B110" s="26">
        <f t="shared" si="4"/>
        <v>43951</v>
      </c>
      <c r="D110" s="25">
        <v>106</v>
      </c>
      <c r="E110" s="25">
        <v>3016</v>
      </c>
      <c r="F110" s="25">
        <v>28</v>
      </c>
      <c r="G110" s="25">
        <v>1033</v>
      </c>
      <c r="H110" s="25">
        <v>438</v>
      </c>
      <c r="I110" s="25">
        <v>221</v>
      </c>
      <c r="J110" s="25">
        <v>1361</v>
      </c>
      <c r="K110" s="25">
        <v>551</v>
      </c>
      <c r="L110" s="11">
        <f>IF(ISNUMBER(tblData[[#This Row],[NSW]]),tblData[[#This Row],[New South Wales]]/NSWpopscale,"")</f>
        <v>3732.6732673267325</v>
      </c>
      <c r="M110" s="25">
        <v>205463</v>
      </c>
      <c r="N110" s="20">
        <f>IF(ISNUMBER(tblData[Italy]),tblData[Italy]/ItalyPopscale,"")</f>
        <v>33969.24857402662</v>
      </c>
      <c r="O110" s="25">
        <v>1069424</v>
      </c>
      <c r="P110" s="20">
        <f>IF(ISNUMBER(tblData[US]),tblData[US]/USPopscale,"")</f>
        <v>32482.802953065813</v>
      </c>
      <c r="Q110" s="11">
        <v>10774</v>
      </c>
      <c r="R110" s="20">
        <f>IF(ISNUMBER(tblData[SKorea]),tblData[SKorea]/SKoreaPopscale,"")</f>
        <v>2096.1089494163425</v>
      </c>
      <c r="S110">
        <v>172481</v>
      </c>
      <c r="T110" s="12">
        <f>IF(ISNUMBER(tblData[United Kingdom]),tblData[United Kingdom]/UKPopscale,"")</f>
        <v>25960.415412402166</v>
      </c>
      <c r="U110">
        <v>83956</v>
      </c>
      <c r="V110" s="20">
        <f>IF(ISNUMBER(tblData[China]),tblData[China]/ChinaPopscale,"")</f>
        <v>583.30169625433882</v>
      </c>
      <c r="W110" s="25">
        <f ca="1">IF(tblData[[#This Row],[Dates]]&lt;StartDt2China,"",tblData[[#This Row],[Dates]]-ChinaStart)</f>
        <v>99</v>
      </c>
      <c r="X110" s="20">
        <v>16169</v>
      </c>
      <c r="Y110" s="20">
        <f>IF(ISNUMBER(tblData[Singapore]),tblData[Singapore]/SingaporePopscale,"")</f>
        <v>27639.316239316242</v>
      </c>
      <c r="Z110">
        <v>20612</v>
      </c>
      <c r="AA110" s="20">
        <f>IF(AND(LEN(tblData[Generic])&gt;0,ISNUMBER(tblData[Generic])),tblData[Generic]/GenericPopscale,"")</f>
        <v>42065.306122448979</v>
      </c>
      <c r="AB110" s="25">
        <f ca="1">IF(tblData[[#This Row],[Dates]]&lt;StartDt2Italy,"",tblData[[#This Row],[Dates]]-ItalyStart)</f>
        <v>91</v>
      </c>
      <c r="AC110" s="25">
        <f ca="1">IF(tblData[[#This Row],[Dates]]&lt;=StartDt2US,"",tblData[[#This Row],[Dates]]-USStart)</f>
        <v>99</v>
      </c>
      <c r="AD110" s="25">
        <f>IF(tblData[[#This Row],[Dates]]&lt;=SKoreaStart,"",tblData[[#This Row],[Dates]]-SKoreaStart)</f>
        <v>99</v>
      </c>
      <c r="AE110" s="25">
        <f ca="1">IF(tblData[[#This Row],[Dates]]&lt;=StartDt2UK,"",tblData[[#This Row],[Dates]]-UKStart)</f>
        <v>91</v>
      </c>
      <c r="AF110" s="25">
        <f ca="1">IF(tblData[[#This Row],[Dates]]&lt;StartDt2Singapore,"",tblData[[#This Row],[Dates]]-SingaporeStart)</f>
        <v>98</v>
      </c>
      <c r="AG110" s="25">
        <f>IF(tblData[[#This Row],[Dates]]&lt;StartDt2Generic,"",tblData[[#This Row],[Dates]]-GenericStart)</f>
        <v>61</v>
      </c>
      <c r="AH110" s="25">
        <f ca="1">IF(tblData[Dates]&gt;StartDt2Au,tblData[Dates]-AuStart,"")</f>
        <v>96</v>
      </c>
      <c r="AI110" s="25">
        <f>IF(AND(COUNTBLANK(tblData[[#This Row],[Australian Capital Territory]:[Western Australia]])&lt;1,tblData[New South Wales]&gt;=0),SUM(tblData[[#This Row],[Australian Capital Territory]:[Western Australia]]),"")</f>
        <v>6754</v>
      </c>
      <c r="AJ110" s="12">
        <f>IF(ISNUMBER(tblData[Au]),tblData[Au]/AuPopScale,"")</f>
        <v>2662.8292067497241</v>
      </c>
      <c r="AK110" s="11">
        <f ca="1">IF(ISNUMBER(tblData[[#This Row],[Day'# Aust]]),betaAu/(deltaAu+betaPodeltaAu*EXP(-betaAu*tblData[[#This Row],[Day'# Aust]])),"")</f>
        <v>6640.2843829973217</v>
      </c>
      <c r="AL110" s="56">
        <f ca="1">IF(ISNUMBER(tblData[Day'# Aust]),tblData[Au LogiP(t)]/AuPopScale,"")</f>
        <v>2617.9957352930619</v>
      </c>
      <c r="AM110" s="11">
        <f ca="1">IF(AND(tblData[Dates]&gt;StartDt2Au,ISNUMBER(tblData[Au])),(tblData[[#This Row],[Au LogiP(t)]]-tblData[[#This Row],[Au]])^2,"")</f>
        <v>12931.241550299817</v>
      </c>
      <c r="AN110" s="11">
        <f ca="1">IF(AND(ISNUMBER(tblData[Au]),tblData[Dates]&gt;StartDt2Au),(tblData[Au]-AVERAGE(tblData[Au]))^2,"")</f>
        <v>18534660.936100006</v>
      </c>
      <c r="AO110" s="11">
        <f>tblData[[#This Row],[Dates]]-Au100dt</f>
        <v>46</v>
      </c>
      <c r="AP110" s="25">
        <f ca="1">IF(tblData[Dates]&gt;StartDt2NSW,tblData[Dates]-StartDt2NSW,"")</f>
        <v>96</v>
      </c>
      <c r="AQ110" s="25">
        <f>IF(tblData[[#This Row],[New South Wales]]&gt;0,tblData[[#This Row],[New South Wales]],"")</f>
        <v>3016</v>
      </c>
      <c r="AR110" s="11">
        <f ca="1">IF(tblData[Dates]&gt;StartDt2NSW,betaNSW/(deltaNSW+betaPodeltaNSW*EXP(-betaNSW*tblData[[#This Row],[Day '# NSW]])),"")</f>
        <v>2972.3672616309673</v>
      </c>
      <c r="AS110" s="12">
        <f ca="1">IF(AND(ISNUMBER(tblData[NSW]),tblData[Dates]&gt;StartDt2NSW),(tblData[[#This Row],[NSW LogiP(t)]]-tblData[[#This Row],[NSW]])^2,"")</f>
        <v>1903.8158575804603</v>
      </c>
      <c r="AT110" s="39">
        <f ca="1">IF(AND(tblData[Dates]&gt;StartDt2NSW,ISNUMBER(tblData[Day'# Aust])),tblData[NSW LogiP(t)]/NSWpopscale,"")</f>
        <v>3678.6723535036722</v>
      </c>
      <c r="AU110" s="11">
        <f>tblData[[#This Row],[Dates]]-NSW100dt+1</f>
        <v>49</v>
      </c>
      <c r="AV110" s="11">
        <f ca="1">IF(AND(ISNUMBER(tblData[NSW]),tblData[Dates]&gt;StartDt2NSW),(tblData[NSW]-AVERAGE(tblData[NSW]))^2,"")</f>
        <v>3693084.6276000002</v>
      </c>
      <c r="AW110" s="11">
        <f ca="1">IF(AND(tblData[Dates]&gt;StartDt2Italy,ISNUMBER(tblData[Days'# Italy])),betaItaly/(deltaItaly+betaPodeltaItaly*EXP(-betaItaly*tblData[Days'# Italy])),"")</f>
        <v>161379.27895440976</v>
      </c>
      <c r="AX110" s="11">
        <f ca="1">IF(AND(tblData[Dates]&gt;StartDt2Italy,ISNUMBER(tblData[Italy])),(tblData[[#This Row],[Italy LogiP(t)]]-tblData[[#This Row],[Italy]])^2,"")</f>
        <v>1943374461.2254157</v>
      </c>
      <c r="AY110" s="11">
        <f ca="1">IF(AND(tblData[Dates]&gt;StartDt2Italy,ISNUMBER(tblData[Days'# Italy])),tblData[[#This Row],[Italy LogiP(t)]]/ItalyPopscale,"")</f>
        <v>26680.876077442303</v>
      </c>
      <c r="AZ110" s="39">
        <f ca="1">IF(AND(ISNUMBER(tblData[Italy]),tblData[Dates]&gt;StartDt2Italy),(tblData[Italy]-AVERAGE(tblData[Italy]))^2,"")</f>
        <v>18418396634.835785</v>
      </c>
      <c r="BA110" s="11">
        <f>tblData[[#This Row],[Dates]]-Italy100dt+1</f>
        <v>64</v>
      </c>
      <c r="BB110" s="11">
        <f ca="1">IF(AND(tblData[Dates]&gt;StartDt2US,ISNUMBER(tblData[[#This Row],[Days'# US]])),betaUS/(deltaUS+betaPodeltaUS*EXP(-betaUS*tblData[Days'# US])),"")</f>
        <v>812983.0950262933</v>
      </c>
      <c r="BC110" s="11">
        <f ca="1">IF(AND(tblData[Dates]&gt;StartDt2US,ISNUMBER(tblData[US])),(tblData[[#This Row],[US LogiP(t)]]-tblData[US])^2,"")</f>
        <v>65761937743.733665</v>
      </c>
      <c r="BD110" s="20">
        <f ca="1">IF(AND(tblData[Dates]&gt;=StartDt2US,ISNUMBER(tblData[[#This Row],[Days'# US]])),tblData[[#This Row],[US LogiP(t)]]/USPopscale,"")</f>
        <v>24693.638519345615</v>
      </c>
      <c r="BE110" s="126">
        <f ca="1">IF(AND(ISNUMBER(tblData[US]),tblData[Dates]&gt;StartDt2US),(tblData[US]-AVERAGE(tblData[US]))^2,"")</f>
        <v>714837706909.58936</v>
      </c>
      <c r="BF110" s="11">
        <f>tblData[[#This Row],[Dates]]-US100dt+1</f>
        <v>47</v>
      </c>
      <c r="BG110" s="20">
        <f ca="1">IF(tblData[Dates]&gt;StartDt2SKorea,betaSKorea/(deltaSKorea+betaPodeltaSKorea*EXP(-betaSKorea*(tblData[Dates]-StartDt2SKorea))),"")</f>
        <v>10233.709521515868</v>
      </c>
      <c r="BH110" s="20">
        <f ca="1">IF(AND(tblData[Dates]&gt;StartDt2SKorea,ISNUMBER(tblData[SKorea])),(tblData[[#This Row],[SKorea LogiP(t)]]-tblData[[#This Row],[SKorea]])^2,"")</f>
        <v>291913.8011406124</v>
      </c>
      <c r="BI110" s="20">
        <f ca="1">IF(tblData[Dates]&gt;StartDt2SKorea,tblData[[#This Row],[SKorea LogiP(t)]]/SKoreaPopscale,"")</f>
        <v>1990.9940703338266</v>
      </c>
      <c r="BJ110" s="126">
        <f ca="1">IF(AND(ISNUMBER(tblData[SKorea]),tblData[Dates]&gt;StartDt2SKorea),(tblData[SKorea]-AVERAGE(tblData[SKorea]))^2,"")</f>
        <v>24498811.903498657</v>
      </c>
      <c r="BK110" s="11">
        <f>tblData[[#This Row],[Dates]]-SKorea100dt+1</f>
        <v>68</v>
      </c>
      <c r="BL110" s="11">
        <f ca="1">IF(AND(tblData[Dates]&gt;StartDt2UK,ISNUMBER(tblData[Days'# UK])),betaUK/(deltaUK+betaPodeltaUK*EXP(-betaUK*tblData[Days'# UK])),"")</f>
        <v>141966.38859253851</v>
      </c>
      <c r="BM110" s="61">
        <f ca="1">IF(AND(tblData[Dates]&gt;StartDt2UK,ISNUMBER(tblData[United Kingdom])),(tblData[[#This Row],[UK LogiP(t)]]-tblData[[#This Row],[United Kingdom]])^2,"")</f>
        <v>931141509.34837878</v>
      </c>
      <c r="BN110" s="11">
        <f ca="1">IF(ISNUMBER(tblData[Days'# UK]),tblData[[#This Row],[UK LogiP(t)]]/UKPopscale,"")</f>
        <v>21367.60815661326</v>
      </c>
      <c r="BO110" s="126">
        <f ca="1">IF(AND(ISNUMBER(tblData[United Kingdom]),tblData[Dates]&gt;StartDt2UK),(tblData[United Kingdom]-AVERAGE(tblData[United Kingdom]))^2,"")</f>
        <v>18094007610.001015</v>
      </c>
      <c r="BP110" s="11">
        <f>tblData[[#This Row],[Dates]]-UK100dt</f>
        <v>49</v>
      </c>
      <c r="BQ110" s="11">
        <f ca="1">IF(ISNUMBER(tblData[Days'# China]),betaChina/(deltaChina+betaPodeltaChina*EXP(-betaChina*tblData[Days'# China])),"")</f>
        <v>82125.159180309885</v>
      </c>
      <c r="BR110" s="11">
        <f ca="1">IF(ISNUMBER(tblData[China]),(tblData[[#This Row],[China LogiP(t)]]-tblData[[#This Row],[China]])^2,"")</f>
        <v>3351978.1070435708</v>
      </c>
      <c r="BS110" s="11">
        <f ca="1">tblData[[#This Row],[China LogiP(t)]]/ChinaPopscale</f>
        <v>570.58155051494043</v>
      </c>
      <c r="BT110" s="126">
        <f ca="1">IF(AND(ISNUMBER(tblData[China]),tblData[Dates]&gt;StartDt2China),(tblData[China]-AVERAGE(tblData[China]))^2,"")</f>
        <v>280613737.63321775</v>
      </c>
      <c r="BU110" s="11">
        <f>tblData[[#This Row],[Dates]]-China100dt</f>
        <v>88</v>
      </c>
      <c r="BV110" s="95">
        <f ca="1">IF(ISNUMBER(tblData[Day'# Singapore]),betaSingapore/(deltaSingapore+betaPodeltaSingapore*EXP(-betaSingapore*tblData[Day'# Singapore])),"")</f>
        <v>15367.208856531555</v>
      </c>
      <c r="BW110" s="11">
        <f ca="1">IF(AND(ISNUMBER(tblData[Singapore]),tblData[Dates]&gt;=StartDt2Singapore),(tblData[[#This Row],[Singapore LogiP(t)]]-tblData[[#This Row],[Singapore]])^2,"")</f>
        <v>642869.03774443606</v>
      </c>
      <c r="BX110" s="20">
        <f ca="1">IF(ISNUMBER(tblData[Day'# Singapore]),tblData[Singapore LogiP(t)]/SingaporePopscale,"")</f>
        <v>26268.733088088131</v>
      </c>
      <c r="BY110" s="95">
        <f ca="1">IF(AND(ISNUMBER(tblData[Singapore]),tblData[Dates]&gt;StartDt2Singapore),(tblData[Singapore]-AVERAGE(tblData[Singapore]))^2,"")</f>
        <v>191772534.62668204</v>
      </c>
      <c r="BZ110" s="11">
        <f>tblData[[#This Row],[Dates]]-Singapore100dt+1</f>
        <v>77</v>
      </c>
      <c r="CA110" s="11">
        <f>IF(AND(tblData[Dates]&gt;StartDt2Generic,ISNUMBER(tblData[Day'# Generic])),betaGeneric/(deltaGeneric+betaPodeltaGeneric*EXP(-betaGeneric*tblData[Day'# Generic])),"")</f>
        <v>21995.647552720122</v>
      </c>
      <c r="CB110" s="95">
        <f>IF(AND(ISNUMBER(tblData[Generic]),tblData[Dates]&gt;StartDt2Generic),(tblData[Generic LogiP(t)]-tblData[[#This Row],[Generic]])^2,"")</f>
        <v>1914480.5501483826</v>
      </c>
      <c r="CC110" s="11">
        <f>IF(AND(ISNUMBER(tblData[Day'# Generic]),tblData[Dates]&gt;StartDt2Generic),tblData[Generic LogiP(t)]/GenericPopscale,"")</f>
        <v>44889.076638204329</v>
      </c>
      <c r="CD110" s="95">
        <f>IF(AND(ISNUMBER(tblData[Generic]),tblData[Dates]&gt;StartDt2Generic),(tblData[Generic]-AVERAGE(tblData[Generic]))^2,"")</f>
        <v>195398247.19621301</v>
      </c>
      <c r="CE110" s="11">
        <f>tblData[[#This Row],[Dates]]-Generic100dt+1</f>
        <v>49</v>
      </c>
      <c r="CF110" s="11">
        <v>224059</v>
      </c>
      <c r="CG110" s="11"/>
      <c r="CH110" s="11">
        <f>IF(ISNUMBER(tblData[[#This Row],[Tests]]),tblData[[#This Row],[Tests]]-CF109,"")</f>
        <v>7029</v>
      </c>
      <c r="CI110" s="11" t="str">
        <f>IF(ISNUMBER(tblData[[#This Row],[NSW Under Investigation'']]),tblData[[#This Row],[NSW Under Investigation'']]-CG109,"")</f>
        <v/>
      </c>
      <c r="CJ110" s="11">
        <f t="shared" si="2"/>
        <v>56</v>
      </c>
      <c r="CK110" s="11">
        <f>IF(AND(tblData[[#This Row],[NSW Test Day Number]]&gt;0,ISNUMBER(tblData[[#This Row],[NSW Test Day Number]])),betaTests/(deltaTests+betaPodeltaTests*EXP(-betaTests*tblData[[#This Row],[NSW Test Day Number]])),"")</f>
        <v>172195.76517955249</v>
      </c>
      <c r="CL110" s="11">
        <f>IF(tblData[Tests]&gt;0,(tblData[[#This Row],[Tests]]-tblData[[#This Row],[NSW Test Logi]])^2,"")</f>
        <v>2689795126.0408792</v>
      </c>
      <c r="CM110" s="95">
        <f>IF(AND(ISNUMBER(tblData[Tests]),tblData[Dates]&gt;StartDt2Tests),(tblData[Tests]-AVERAGE(tblData[Tests]))^2,"")</f>
        <v>13900917574.124962</v>
      </c>
      <c r="CN110" s="11">
        <f>IF(ISNUMBER(tblData[Tests]),tblData[Tests]/NSWpopscale/100,"")</f>
        <v>2773.0074257425745</v>
      </c>
      <c r="CO110" s="95">
        <f ca="1">IF(AND(tblData[[#This Row],[NSW Test Day Number]]&gt;0,ISNUMBER(tblData[[#This Row],[NSW Test Day Number]])),TestsLogestB*TestsLogestM^tblData[[#This Row],[NSW Test Day Number]],"")</f>
        <v>346602.72264387505</v>
      </c>
      <c r="CP110" s="11">
        <f>IF(AND(tblData[[#This Row],[NSW Test Day Number]]&gt;0,ISNUMBER(tblData[Tests])),(tblData[Tests]-tblData[[#This Row],[NSW Test Per Capita]])^2,"")</f>
        <v>48967490509.57431</v>
      </c>
      <c r="CQ110" s="20">
        <f ca="1">IF(AND(tblData[Day '# NSW]&gt;0,ISNUMBER(tblData[[#This Row],[Day '# NSW]])),NSWLogestB*NSWLogestM^tblData[[#This Row],[Day '# NSW]]/NSWpopscale,"")</f>
        <v>14497.930118019474</v>
      </c>
      <c r="CR110" s="39">
        <f ca="1">IF(AND(ISNUMBER(tblData[NSW]),tblData[Dates]&gt;StartDt2NSW),(tblData[NSW]/NSWpopscale-tblData[[#This Row],[NSW Cases LogEst]])^2,"")</f>
        <v>115890755.06138702</v>
      </c>
      <c r="CS110" s="39">
        <v>429</v>
      </c>
      <c r="CT110" s="19">
        <f>IF(ISNUMBER(tblData[Taiwan]),tblData[Taiwan]/TaiwanPopscale,"")</f>
        <v>180.1969666255896</v>
      </c>
      <c r="CU110" s="11">
        <f ca="1">IF(tblData[[#This Row],[Dates]]&lt;StartDt2Taiwan,"",tblData[[#This Row],[Dates]]-TaiwanStart)</f>
        <v>99</v>
      </c>
      <c r="CV110" s="19">
        <f ca="1">IF(AND(tblData[Dates]&gt;StartDt2Taiwan,ISNUMBER(tblData[Days'# Taiwan])),betaTaiwan/(deltaTaiwan+betaPodeltaTaiwan*EXP(-betaTaiwan*tblData[Days'# Taiwan])),"")</f>
        <v>424.30353657593446</v>
      </c>
      <c r="CW110" s="95">
        <f ca="1">IF(AND(tblData[Dates]&gt;StartDt2Taiwan,ISNUMBER(tblData[Taiwan])),(tblData[[#This Row],[Taiwan LogiP(t)]]-tblData[[#This Row],[Taiwan]])^2,"")</f>
        <v>22.056768693585429</v>
      </c>
      <c r="CX110" s="20">
        <f ca="1">IF(AND(tblData[Dates]&gt;StartDt2Taiwan,ISNUMBER(tblData[Days'# Taiwan])),tblData[[#This Row],[Taiwan LogiP(t)]]/TaiwanPopscale,"")</f>
        <v>178.22426624590511</v>
      </c>
      <c r="CY110" s="95">
        <f ca="1">IF(AND(ISNUMBER(tblData[Taiwan]),tblData[Dates]&gt;StartDt2Taiwan),(tblData[Taiwan]-AVERAGE(tblData[Taiwan]))^2,"")</f>
        <v>67314.811226451362</v>
      </c>
      <c r="CZ110" s="11">
        <f>tblData[[#This Row],[Dates]]-Taiwan100dt+1</f>
        <v>36</v>
      </c>
      <c r="DA110" s="11">
        <v>1479</v>
      </c>
      <c r="DB110" s="20">
        <f>IF(ISNUMBER(tblData[NZ]),tblData[NZ]/NZPopscale,"")</f>
        <v>2827.9158699808795</v>
      </c>
      <c r="DC110" s="11">
        <f ca="1">IF(tblData[[#This Row],[Dates]]&lt;StartDt2NZ,"",tblData[[#This Row],[Dates]]-NZStart)</f>
        <v>62</v>
      </c>
      <c r="DD110" s="20">
        <f ca="1">IF(AND(tblData[Dates]&gt;StartDt2NZ,ISNUMBER(tblData[Days'# NZ])),betaNZ/(deltaNZ+betaPodeltaNZ*EXP(-betaNZ*tblData[Days'# NZ])),"")</f>
        <v>1459.3262634372077</v>
      </c>
      <c r="DE110" s="95">
        <f ca="1">IF(AND(tblData[Dates]&gt;StartDt2NZ,ISNUMBER(tblData[NZ])),(tblData[[#This Row],[NZ LogiP(t)]]-tblData[[#This Row],[NZ]])^2,"")</f>
        <v>387.05591034215172</v>
      </c>
      <c r="DF110" s="20">
        <f ca="1">IF(AND(tblData[Dates]&gt;StartDt2NZ,ISNUMBER(tblData[Days'# NZ])),tblData[[#This Row],[NZ LogiP(t)]]/NZPopscale,"")</f>
        <v>2790.2987828627297</v>
      </c>
      <c r="DG110" s="95">
        <f ca="1">IF(AND(ISNUMBER(tblData[NZ]),tblData[Dates]&gt;StartDt2NZ),(tblData[NZ]-AVERAGE(tblData[NZ]))^2,"")</f>
        <v>624195.76124885213</v>
      </c>
      <c r="DH110" s="11">
        <f>tblData[[#This Row],[Dates]]-NZ100dt+1</f>
        <v>40</v>
      </c>
      <c r="DI110" s="39"/>
      <c r="DJ110" s="11"/>
      <c r="DL110"/>
      <c r="DN110"/>
      <c r="DP110"/>
      <c r="DQ110"/>
      <c r="DR110"/>
      <c r="DS110"/>
      <c r="DT110"/>
      <c r="DU110"/>
      <c r="DW110"/>
      <c r="DX110"/>
      <c r="DY110"/>
      <c r="DZ110"/>
      <c r="EB110"/>
      <c r="EC110"/>
      <c r="ED110"/>
      <c r="EE110"/>
      <c r="EF110"/>
      <c r="EG110"/>
      <c r="EH110"/>
      <c r="EI110"/>
      <c r="EJ110"/>
      <c r="EK110"/>
      <c r="EN110"/>
      <c r="EO110"/>
      <c r="EP110"/>
      <c r="EV110"/>
      <c r="FO110" s="270" t="s">
        <v>153</v>
      </c>
      <c r="FP110" s="253">
        <v>43935.629756944443</v>
      </c>
      <c r="FQ110" s="156">
        <v>43855</v>
      </c>
      <c r="FR110" s="26">
        <v>43855</v>
      </c>
      <c r="FS110" s="224">
        <v>1</v>
      </c>
      <c r="FT110" s="44">
        <v>0.23821093947919839</v>
      </c>
      <c r="FU110" s="71">
        <v>8.144504578287649E-5</v>
      </c>
      <c r="FV110" s="73">
        <v>1E-3</v>
      </c>
      <c r="FW110" s="225">
        <v>2924.8057655249218</v>
      </c>
      <c r="FX110" s="225">
        <v>22.415252247247857</v>
      </c>
      <c r="FY110" s="226">
        <v>0.99949854678046568</v>
      </c>
      <c r="FZ110" s="213">
        <v>238.21085803415258</v>
      </c>
      <c r="GA110" s="213">
        <v>8.1445045782876493E-2</v>
      </c>
      <c r="GB110" s="243">
        <v>43934</v>
      </c>
      <c r="GC110" s="26" t="s">
        <v>1968</v>
      </c>
      <c r="GD110" s="214">
        <v>2924.8057655249195</v>
      </c>
      <c r="GE110" s="225">
        <v>2863</v>
      </c>
      <c r="GF110" s="228" t="s">
        <v>1919</v>
      </c>
      <c r="GG110" s="156">
        <v>43934</v>
      </c>
      <c r="GH110" s="52">
        <v>80</v>
      </c>
      <c r="GI110" s="26" t="s">
        <v>2317</v>
      </c>
      <c r="GJ110" s="51"/>
      <c r="GK110" s="62" t="s">
        <v>2216</v>
      </c>
      <c r="GL110" s="51"/>
      <c r="GM110" s="18" t="s">
        <v>2318</v>
      </c>
      <c r="GN110" s="11">
        <v>3543.3168316831679</v>
      </c>
      <c r="GO110" s="157"/>
      <c r="GP110" s="229"/>
      <c r="GQ110" s="156"/>
      <c r="GR110" s="11"/>
      <c r="GS110" s="25" t="s">
        <v>2316</v>
      </c>
      <c r="GT110" s="11">
        <v>2914.002156780924</v>
      </c>
      <c r="GU110" s="12">
        <v>6.326064902471628E-3</v>
      </c>
      <c r="GV110" s="240">
        <v>43903</v>
      </c>
      <c r="GW110" s="162" t="s">
        <v>2389</v>
      </c>
      <c r="GX110" s="231">
        <v>17.216907108909709</v>
      </c>
      <c r="GY110" t="s">
        <v>153</v>
      </c>
      <c r="GZ110" s="25" t="s">
        <v>153</v>
      </c>
      <c r="HB110"/>
      <c r="HC110"/>
      <c r="HD110"/>
      <c r="HE110"/>
      <c r="HF110"/>
      <c r="HG110"/>
      <c r="HH110"/>
      <c r="HI110"/>
      <c r="HJ110"/>
      <c r="HK110" s="164"/>
      <c r="HL110"/>
      <c r="HM110"/>
      <c r="HN110"/>
      <c r="HO110"/>
      <c r="HP110"/>
      <c r="HW110"/>
      <c r="HX110"/>
      <c r="HY110"/>
      <c r="HZ110"/>
      <c r="IA110"/>
      <c r="IB110"/>
      <c r="IC110"/>
    </row>
    <row r="111" spans="2:238" s="25" customFormat="1" x14ac:dyDescent="0.25">
      <c r="B111" s="26">
        <f t="shared" si="4"/>
        <v>43952</v>
      </c>
      <c r="D111" s="25">
        <v>106</v>
      </c>
      <c r="E111" s="25">
        <v>3025</v>
      </c>
      <c r="F111" s="25">
        <v>27</v>
      </c>
      <c r="G111" s="25">
        <v>1033</v>
      </c>
      <c r="H111" s="25">
        <v>438</v>
      </c>
      <c r="I111" s="25">
        <v>221</v>
      </c>
      <c r="J111" s="25">
        <v>1364</v>
      </c>
      <c r="K111" s="25">
        <v>551</v>
      </c>
      <c r="L111" s="11">
        <f>IF(ISNUMBER(tblData[[#This Row],[NSW]]),tblData[[#This Row],[New South Wales]]/NSWpopscale,"")</f>
        <v>3743.8118811881186</v>
      </c>
      <c r="M111" s="25">
        <v>207428</v>
      </c>
      <c r="N111" s="20">
        <f>IF(ISNUMBER(tblData[Italy]),tblData[Italy]/ItalyPopscale,"")</f>
        <v>34294.122509713154</v>
      </c>
      <c r="O111" s="25">
        <v>1103461</v>
      </c>
      <c r="P111" s="20">
        <f>IF(ISNUMBER(tblData[US]),tblData[US]/USPopscale,"")</f>
        <v>33516.64655870165</v>
      </c>
      <c r="Q111" s="11">
        <v>10780</v>
      </c>
      <c r="R111" s="20">
        <f>IF(ISNUMBER(tblData[SKorea]),tblData[SKorea]/SKoreaPopscale,"")</f>
        <v>2097.2762645914399</v>
      </c>
      <c r="S111">
        <v>178685</v>
      </c>
      <c r="T111" s="12">
        <f>IF(ISNUMBER(tblData[United Kingdom]),tblData[United Kingdom]/UKPopscale,"")</f>
        <v>26894.190246839255</v>
      </c>
      <c r="U111">
        <v>83959</v>
      </c>
      <c r="V111" s="20">
        <f>IF(ISNUMBER(tblData[China]),tblData[China]/ChinaPopscale,"")</f>
        <v>583.32253937560188</v>
      </c>
      <c r="W111" s="25">
        <f ca="1">IF(tblData[[#This Row],[Dates]]&lt;StartDt2China,"",tblData[[#This Row],[Dates]]-ChinaStart)</f>
        <v>100</v>
      </c>
      <c r="X111" s="20">
        <v>17101</v>
      </c>
      <c r="Y111" s="20">
        <f>IF(ISNUMBER(tblData[Singapore]),tblData[Singapore]/SingaporePopscale,"")</f>
        <v>29232.478632478633</v>
      </c>
      <c r="Z111">
        <v>20833</v>
      </c>
      <c r="AA111" s="20">
        <f>IF(AND(LEN(tblData[Generic])&gt;0,ISNUMBER(tblData[Generic])),tblData[Generic]/GenericPopscale,"")</f>
        <v>42516.326530612248</v>
      </c>
      <c r="AB111" s="25">
        <f ca="1">IF(tblData[[#This Row],[Dates]]&lt;StartDt2Italy,"",tblData[[#This Row],[Dates]]-ItalyStart)</f>
        <v>92</v>
      </c>
      <c r="AC111" s="25">
        <f ca="1">IF(tblData[[#This Row],[Dates]]&lt;=StartDt2US,"",tblData[[#This Row],[Dates]]-USStart)</f>
        <v>100</v>
      </c>
      <c r="AD111" s="25">
        <f>IF(tblData[[#This Row],[Dates]]&lt;=SKoreaStart,"",tblData[[#This Row],[Dates]]-SKoreaStart)</f>
        <v>100</v>
      </c>
      <c r="AE111" s="25">
        <f ca="1">IF(tblData[[#This Row],[Dates]]&lt;=StartDt2UK,"",tblData[[#This Row],[Dates]]-UKStart)</f>
        <v>92</v>
      </c>
      <c r="AF111" s="25">
        <f ca="1">IF(tblData[[#This Row],[Dates]]&lt;StartDt2Singapore,"",tblData[[#This Row],[Dates]]-SingaporeStart)</f>
        <v>99</v>
      </c>
      <c r="AG111" s="25">
        <f>IF(tblData[[#This Row],[Dates]]&lt;StartDt2Generic,"",tblData[[#This Row],[Dates]]-GenericStart)</f>
        <v>62</v>
      </c>
      <c r="AH111" s="25">
        <f ca="1">IF(tblData[Dates]&gt;StartDt2Au,tblData[Dates]-AuStart,"")</f>
        <v>97</v>
      </c>
      <c r="AI111" s="25">
        <f>IF(AND(COUNTBLANK(tblData[[#This Row],[Australian Capital Territory]:[Western Australia]])&lt;1,tblData[New South Wales]&gt;=0),SUM(tblData[[#This Row],[Australian Capital Territory]:[Western Australia]]),"")</f>
        <v>6765</v>
      </c>
      <c r="AJ111" s="12">
        <f>IF(ISNUMBER(tblData[Au]),tblData[Au]/AuPopScale,"")</f>
        <v>2667.1660621353099</v>
      </c>
      <c r="AK111" s="11">
        <f ca="1">IF(ISNUMBER(tblData[[#This Row],[Day'# Aust]]),betaAu/(deltaAu+betaPodeltaAu*EXP(-betaAu*tblData[[#This Row],[Day'# Aust]])),"")</f>
        <v>6640.9916837449973</v>
      </c>
      <c r="AL111" s="56">
        <f ca="1">IF(ISNUMBER(tblData[Day'# Aust]),tblData[Au LogiP(t)]/AuPopScale,"")</f>
        <v>2618.2745953891331</v>
      </c>
      <c r="AM111" s="11">
        <f ca="1">IF(AND(tblData[Dates]&gt;StartDt2Au,ISNUMBER(tblData[Au])),(tblData[[#This Row],[Au LogiP(t)]]-tblData[[#This Row],[Au]])^2,"")</f>
        <v>15378.062500400763</v>
      </c>
      <c r="AN111" s="11">
        <f ca="1">IF(AND(ISNUMBER(tblData[Au]),tblData[Dates]&gt;StartDt2Au),(tblData[Au]-AVERAGE(tblData[Au]))^2,"")</f>
        <v>18629496.116100006</v>
      </c>
      <c r="AO111" s="11">
        <f>tblData[[#This Row],[Dates]]-Au100dt</f>
        <v>47</v>
      </c>
      <c r="AP111" s="25">
        <f ca="1">IF(tblData[Dates]&gt;StartDt2NSW,tblData[Dates]-StartDt2NSW,"")</f>
        <v>97</v>
      </c>
      <c r="AQ111" s="25">
        <f>IF(tblData[[#This Row],[New South Wales]]&gt;0,tblData[[#This Row],[New South Wales]],"")</f>
        <v>3025</v>
      </c>
      <c r="AR111" s="11">
        <f ca="1">IF(tblData[Dates]&gt;StartDt2NSW,betaNSW/(deltaNSW+betaPodeltaNSW*EXP(-betaNSW*tblData[[#This Row],[Day '# NSW]])),"")</f>
        <v>2972.6220909853482</v>
      </c>
      <c r="AS111" s="12">
        <f ca="1">IF(AND(ISNUMBER(tblData[NSW]),tblData[Dates]&gt;StartDt2NSW),(tblData[[#This Row],[NSW LogiP(t)]]-tblData[[#This Row],[NSW]])^2,"")</f>
        <v>2743.4453527471401</v>
      </c>
      <c r="AT111" s="39">
        <f ca="1">IF(AND(tblData[Dates]&gt;StartDt2NSW,ISNUMBER(tblData[Day'# Aust])),tblData[NSW LogiP(t)]/NSWpopscale,"")</f>
        <v>3678.9877363680048</v>
      </c>
      <c r="AU111" s="11">
        <f>tblData[[#This Row],[Dates]]-NSW100dt+1</f>
        <v>50</v>
      </c>
      <c r="AV111" s="11">
        <f ca="1">IF(AND(ISNUMBER(tblData[NSW]),tblData[Dates]&gt;StartDt2NSW),(tblData[NSW]-AVERAGE(tblData[NSW]))^2,"")</f>
        <v>3727756.9476000001</v>
      </c>
      <c r="AW111" s="11">
        <f ca="1">IF(AND(tblData[Dates]&gt;StartDt2Italy,ISNUMBER(tblData[Days'# Italy])),betaItaly/(deltaItaly+betaPodeltaItaly*EXP(-betaItaly*tblData[Days'# Italy])),"")</f>
        <v>161380.57629584047</v>
      </c>
      <c r="AX111" s="11">
        <f ca="1">IF(AND(tblData[Dates]&gt;StartDt2Italy,ISNUMBER(tblData[Italy])),(tblData[[#This Row],[Italy LogiP(t)]]-tblData[[#This Row],[Italy]])^2,"")</f>
        <v>2120365229.7903934</v>
      </c>
      <c r="AY111" s="11">
        <f ca="1">IF(AND(tblData[Dates]&gt;StartDt2Italy,ISNUMBER(tblData[Days'# Italy])),tblData[[#This Row],[Italy LogiP(t)]]/ItalyPopscale,"")</f>
        <v>26681.090567221705</v>
      </c>
      <c r="AZ111" s="39">
        <f ca="1">IF(AND(ISNUMBER(tblData[Italy]),tblData[Dates]&gt;StartDt2Italy),(tblData[Italy]-AVERAGE(tblData[Italy]))^2,"")</f>
        <v>18955615426.750675</v>
      </c>
      <c r="BA111" s="11">
        <f>tblData[[#This Row],[Dates]]-Italy100dt+1</f>
        <v>65</v>
      </c>
      <c r="BB111" s="11">
        <f ca="1">IF(AND(tblData[Dates]&gt;StartDt2US,ISNUMBER(tblData[[#This Row],[Days'# US]])),betaUS/(deltaUS+betaPodeltaUS*EXP(-betaUS*tblData[Days'# US])),"")</f>
        <v>813085.97287029063</v>
      </c>
      <c r="BC111" s="11">
        <f ca="1">IF(AND(tblData[Dates]&gt;StartDt2US,ISNUMBER(tblData[US])),(tblData[[#This Row],[US LogiP(t)]]-tblData[US])^2,"")</f>
        <v>84317656380.579453</v>
      </c>
      <c r="BD111" s="20">
        <f ca="1">IF(AND(tblData[Dates]&gt;=StartDt2US,ISNUMBER(tblData[[#This Row],[Days'# US]])),tblData[[#This Row],[US LogiP(t)]]/USPopscale,"")</f>
        <v>24696.763342366979</v>
      </c>
      <c r="BE111" s="126">
        <f ca="1">IF(AND(ISNUMBER(tblData[US]),tblData[Dates]&gt;StartDt2US),(tblData[US]-AVERAGE(tblData[US]))^2,"")</f>
        <v>773551481187.7854</v>
      </c>
      <c r="BF111" s="11">
        <f>tblData[[#This Row],[Dates]]-US100dt+1</f>
        <v>48</v>
      </c>
      <c r="BG111" s="20">
        <f ca="1">IF(tblData[Dates]&gt;StartDt2SKorea,betaSKorea/(deltaSKorea+betaPodeltaSKorea*EXP(-betaSKorea*(tblData[Dates]-StartDt2SKorea))),"")</f>
        <v>10233.788022822946</v>
      </c>
      <c r="BH111" s="20">
        <f ca="1">IF(AND(tblData[Dates]&gt;StartDt2SKorea,ISNUMBER(tblData[SKorea])),(tblData[[#This Row],[SKorea LogiP(t)]]-tblData[[#This Row],[SKorea]])^2,"")</f>
        <v>298347.52401166654</v>
      </c>
      <c r="BI111" s="20">
        <f ca="1">IF(tblData[Dates]&gt;StartDt2SKorea,tblData[[#This Row],[SKorea LogiP(t)]]/SKoreaPopscale,"")</f>
        <v>1991.0093429616627</v>
      </c>
      <c r="BJ111" s="126">
        <f ca="1">IF(AND(ISNUMBER(tblData[SKorea]),tblData[Dates]&gt;StartDt2SKorea),(tblData[SKorea]-AVERAGE(tblData[SKorea]))^2,"")</f>
        <v>24558243.432910424</v>
      </c>
      <c r="BK111" s="11">
        <f>tblData[[#This Row],[Dates]]-SKorea100dt+1</f>
        <v>69</v>
      </c>
      <c r="BL111" s="11">
        <f ca="1">IF(AND(tblData[Dates]&gt;StartDt2UK,ISNUMBER(tblData[Days'# UK])),betaUK/(deltaUK+betaPodeltaUK*EXP(-betaUK*tblData[Days'# UK])),"")</f>
        <v>142131.50099395504</v>
      </c>
      <c r="BM111" s="61">
        <f ca="1">IF(AND(tblData[Dates]&gt;StartDt2UK,ISNUMBER(tblData[United Kingdom])),(tblData[[#This Row],[UK LogiP(t)]]-tblData[[#This Row],[United Kingdom]])^2,"")</f>
        <v>1336158289.5849302</v>
      </c>
      <c r="BN111" s="11">
        <f ca="1">IF(ISNUMBER(tblData[Days'# UK]),tblData[[#This Row],[UK LogiP(t)]]/UKPopscale,"")</f>
        <v>21392.459511432124</v>
      </c>
      <c r="BO111" s="126">
        <f ca="1">IF(AND(ISNUMBER(tblData[United Kingdom]),tblData[Dates]&gt;StartDt2UK),(tblData[United Kingdom]-AVERAGE(tblData[United Kingdom]))^2,"")</f>
        <v>19801546542.001015</v>
      </c>
      <c r="BP111" s="11">
        <f>tblData[[#This Row],[Dates]]-UK100dt</f>
        <v>50</v>
      </c>
      <c r="BQ111" s="11">
        <f ca="1">IF(ISNUMBER(tblData[Days'# China]),betaChina/(deltaChina+betaPodeltaChina*EXP(-betaChina*tblData[Days'# China])),"")</f>
        <v>82125.159447846236</v>
      </c>
      <c r="BR111" s="11">
        <f ca="1">IF(ISNUMBER(tblData[China]),(tblData[[#This Row],[China LogiP(t)]]-tblData[[#This Row],[China]])^2,"")</f>
        <v>3362971.1707236231</v>
      </c>
      <c r="BS111" s="11">
        <f ca="1">tblData[[#This Row],[China LogiP(t)]]/ChinaPopscale</f>
        <v>570.58155237370465</v>
      </c>
      <c r="BT111" s="126">
        <f ca="1">IF(AND(ISNUMBER(tblData[China]),tblData[Dates]&gt;StartDt2China),(tblData[China]-AVERAGE(tblData[China]))^2,"")</f>
        <v>280714255.80968833</v>
      </c>
      <c r="BU111" s="11">
        <f>tblData[[#This Row],[Dates]]-China100dt</f>
        <v>89</v>
      </c>
      <c r="BV111" s="95">
        <f ca="1">IF(ISNUMBER(tblData[Day'# Singapore]),betaSingapore/(deltaSingapore+betaPodeltaSingapore*EXP(-betaSingapore*tblData[Day'# Singapore])),"")</f>
        <v>16470.181603071142</v>
      </c>
      <c r="BW111" s="11">
        <f ca="1">IF(AND(ISNUMBER(tblData[Singapore]),tblData[Dates]&gt;=StartDt2Singapore),(tblData[[#This Row],[Singapore LogiP(t)]]-tblData[[#This Row],[Singapore]])^2,"")</f>
        <v>397931.84990389476</v>
      </c>
      <c r="BX111" s="20">
        <f ca="1">IF(ISNUMBER(tblData[Day'# Singapore]),tblData[Singapore LogiP(t)]/SingaporePopscale,"")</f>
        <v>28154.156586446399</v>
      </c>
      <c r="BY111" s="95">
        <f ca="1">IF(AND(ISNUMBER(tblData[Singapore]),tblData[Dates]&gt;StartDt2Singapore),(tblData[Singapore]-AVERAGE(tblData[Singapore]))^2,"")</f>
        <v>218454196.11687812</v>
      </c>
      <c r="BZ111" s="11">
        <f>tblData[[#This Row],[Dates]]-Singapore100dt+1</f>
        <v>78</v>
      </c>
      <c r="CA111" s="11">
        <f>IF(AND(tblData[Dates]&gt;StartDt2Generic,ISNUMBER(tblData[Day'# Generic])),betaGeneric/(deltaGeneric+betaPodeltaGeneric*EXP(-betaGeneric*tblData[Day'# Generic])),"")</f>
        <v>22360.712343698935</v>
      </c>
      <c r="CB111" s="95">
        <f>IF(AND(ISNUMBER(tblData[Generic]),tblData[Dates]&gt;StartDt2Generic),(tblData[Generic LogiP(t)]-tblData[[#This Row],[Generic]])^2,"")</f>
        <v>2333905.0050900928</v>
      </c>
      <c r="CC111" s="11">
        <f>IF(AND(ISNUMBER(tblData[Day'# Generic]),tblData[Dates]&gt;StartDt2Generic),tblData[Generic LogiP(t)]/GenericPopscale,"")</f>
        <v>45634.10682387538</v>
      </c>
      <c r="CD111" s="95">
        <f>IF(AND(ISNUMBER(tblData[Generic]),tblData[Dates]&gt;StartDt2Generic),(tblData[Generic]-AVERAGE(tblData[Generic]))^2,"")</f>
        <v>201625581.79621303</v>
      </c>
      <c r="CE111" s="11">
        <f>tblData[[#This Row],[Dates]]-Generic100dt+1</f>
        <v>50</v>
      </c>
      <c r="CF111" s="11">
        <v>232863</v>
      </c>
      <c r="CG111" s="11"/>
      <c r="CH111" s="11">
        <f>IF(ISNUMBER(tblData[[#This Row],[Tests]]),tblData[[#This Row],[Tests]]-CF110,"")</f>
        <v>8804</v>
      </c>
      <c r="CI111" s="11" t="str">
        <f>IF(ISNUMBER(tblData[[#This Row],[NSW Under Investigation'']]),tblData[[#This Row],[NSW Under Investigation'']]-CG110,"")</f>
        <v/>
      </c>
      <c r="CJ111" s="11">
        <f t="shared" si="2"/>
        <v>57</v>
      </c>
      <c r="CK111" s="11">
        <f>IF(AND(tblData[[#This Row],[NSW Test Day Number]]&gt;0,ISNUMBER(tblData[[#This Row],[NSW Test Day Number]])),betaTests/(deltaTests+betaPodeltaTests*EXP(-betaTests*tblData[[#This Row],[NSW Test Day Number]])),"")</f>
        <v>172252.50953035211</v>
      </c>
      <c r="CL111" s="11">
        <f>IF(tblData[Tests]&gt;0,(tblData[[#This Row],[Tests]]-tblData[[#This Row],[NSW Test Logi]])^2,"")</f>
        <v>3673631554.9712777</v>
      </c>
      <c r="CM111" s="95">
        <f>IF(AND(ISNUMBER(tblData[Tests]),tblData[Dates]&gt;StartDt2Tests),(tblData[Tests]-AVERAGE(tblData[Tests]))^2,"")</f>
        <v>16054449092.091064</v>
      </c>
      <c r="CN111" s="11">
        <f>IF(ISNUMBER(tblData[Tests]),tblData[Tests]/NSWpopscale/100,"")</f>
        <v>2881.9678217821779</v>
      </c>
      <c r="CO111" s="95">
        <f ca="1">IF(AND(tblData[[#This Row],[NSW Test Day Number]]&gt;0,ISNUMBER(tblData[[#This Row],[NSW Test Day Number]])),TestsLogestB*TestsLogestM^tblData[[#This Row],[NSW Test Day Number]],"")</f>
        <v>367402.84930639272</v>
      </c>
      <c r="CP111" s="11">
        <f>IF(AND(tblData[[#This Row],[NSW Test Day Number]]&gt;0,ISNUMBER(tblData[Tests])),(tblData[Tests]-tblData[[#This Row],[NSW Test Per Capita]])^2,"")</f>
        <v>52891275161.758469</v>
      </c>
      <c r="CQ111" s="20">
        <f ca="1">IF(AND(tblData[Day '# NSW]&gt;0,ISNUMBER(tblData[[#This Row],[Day '# NSW]])),NSWLogestB*NSWLogestM^tblData[[#This Row],[Day '# NSW]]/NSWpopscale,"")</f>
        <v>15961.577819049004</v>
      </c>
      <c r="CR111" s="39">
        <f ca="1">IF(AND(ISNUMBER(tblData[NSW]),tblData[Dates]&gt;StartDt2NSW),(tblData[NSW]/NSWpopscale-tblData[[#This Row],[NSW Cases LogEst]])^2,"")</f>
        <v>149273804.51235366</v>
      </c>
      <c r="CS111" s="39">
        <v>429</v>
      </c>
      <c r="CT111" s="19">
        <f>IF(ISNUMBER(tblData[Taiwan]),tblData[Taiwan]/TaiwanPopscale,"")</f>
        <v>180.1969666255896</v>
      </c>
      <c r="CU111" s="11">
        <f ca="1">IF(tblData[[#This Row],[Dates]]&lt;StartDt2Taiwan,"",tblData[[#This Row],[Dates]]-TaiwanStart)</f>
        <v>100</v>
      </c>
      <c r="CV111" s="19">
        <f ca="1">IF(AND(tblData[Dates]&gt;StartDt2Taiwan,ISNUMBER(tblData[Days'# Taiwan])),betaTaiwan/(deltaTaiwan+betaPodeltaTaiwan*EXP(-betaTaiwan*tblData[Days'# Taiwan])),"")</f>
        <v>424.56630323250414</v>
      </c>
      <c r="CW111" s="95">
        <f ca="1">IF(AND(tblData[Dates]&gt;StartDt2Taiwan,ISNUMBER(tblData[Taiwan])),(tblData[[#This Row],[Taiwan LogiP(t)]]-tblData[[#This Row],[Taiwan]])^2,"")</f>
        <v>19.657667026103237</v>
      </c>
      <c r="CX111" s="20">
        <f ca="1">IF(AND(tblData[Dates]&gt;StartDt2Taiwan,ISNUMBER(tblData[Days'# Taiwan])),tblData[[#This Row],[Taiwan LogiP(t)]]/TaiwanPopscale,"")</f>
        <v>178.33463863388695</v>
      </c>
      <c r="CY111" s="95">
        <f ca="1">IF(AND(ISNUMBER(tblData[Taiwan]),tblData[Dates]&gt;StartDt2Taiwan),(tblData[Taiwan]-AVERAGE(tblData[Taiwan]))^2,"")</f>
        <v>67314.811226451362</v>
      </c>
      <c r="CZ111" s="11">
        <f>tblData[[#This Row],[Dates]]-Taiwan100dt+1</f>
        <v>37</v>
      </c>
      <c r="DA111" s="11">
        <v>1485</v>
      </c>
      <c r="DB111" s="20">
        <f>IF(ISNUMBER(tblData[NZ]),tblData[NZ]/NZPopscale,"")</f>
        <v>2839.3881453154872</v>
      </c>
      <c r="DC111" s="11">
        <f ca="1">IF(tblData[[#This Row],[Dates]]&lt;StartDt2NZ,"",tblData[[#This Row],[Dates]]-NZStart)</f>
        <v>63</v>
      </c>
      <c r="DD111" s="20">
        <f ca="1">IF(AND(tblData[Dates]&gt;StartDt2NZ,ISNUMBER(tblData[Days'# NZ])),betaNZ/(deltaNZ+betaPodeltaNZ*EXP(-betaNZ*tblData[Days'# NZ])),"")</f>
        <v>1459.6952212010729</v>
      </c>
      <c r="DE111" s="95">
        <f ca="1">IF(AND(tblData[Dates]&gt;StartDt2NZ,ISNUMBER(tblData[NZ])),(tblData[[#This Row],[NZ LogiP(t)]]-tblData[[#This Row],[NZ]])^2,"")</f>
        <v>640.33183006263278</v>
      </c>
      <c r="DF111" s="20">
        <f ca="1">IF(AND(tblData[Dates]&gt;StartDt2NZ,ISNUMBER(tblData[Days'# NZ])),tblData[[#This Row],[NZ LogiP(t)]]/NZPopscale,"")</f>
        <v>2791.0042470383801</v>
      </c>
      <c r="DG111" s="95">
        <f ca="1">IF(AND(ISNUMBER(tblData[NZ]),tblData[Dates]&gt;StartDt2NZ),(tblData[NZ]-AVERAGE(tblData[NZ]))^2,"")</f>
        <v>633712.4885215793</v>
      </c>
      <c r="DH111" s="11">
        <f>tblData[[#This Row],[Dates]]-NZ100dt+1</f>
        <v>41</v>
      </c>
      <c r="DI111" s="39"/>
      <c r="DJ111" s="11"/>
      <c r="DL111"/>
      <c r="DN111"/>
      <c r="DP111"/>
      <c r="DQ111"/>
      <c r="DR111"/>
      <c r="DS111"/>
      <c r="DT111"/>
      <c r="DU111"/>
      <c r="DW111"/>
      <c r="DX111"/>
      <c r="DY111"/>
      <c r="DZ111"/>
      <c r="EB111"/>
      <c r="EC111"/>
      <c r="ED111"/>
      <c r="EE111"/>
      <c r="EF111"/>
      <c r="EG111"/>
      <c r="EH111"/>
      <c r="EI111"/>
      <c r="EJ111"/>
      <c r="EK111"/>
      <c r="EN111"/>
      <c r="EO111"/>
      <c r="EP111"/>
      <c r="EV111"/>
      <c r="FO111" s="270" t="s">
        <v>153</v>
      </c>
      <c r="FP111" s="253">
        <v>43935.735590277778</v>
      </c>
      <c r="FQ111" s="156">
        <v>43855</v>
      </c>
      <c r="FR111" s="26">
        <v>43855</v>
      </c>
      <c r="FS111" s="224">
        <v>1</v>
      </c>
      <c r="FT111" s="44">
        <v>0.23822357703716787</v>
      </c>
      <c r="FU111" s="71">
        <v>8.14844588007601E-5</v>
      </c>
      <c r="FV111" s="73">
        <v>1E-3</v>
      </c>
      <c r="FW111" s="225">
        <v>2923.5461650381076</v>
      </c>
      <c r="FX111" s="225">
        <v>22.300615036153189</v>
      </c>
      <c r="FY111" s="226">
        <v>0.99952693083268285</v>
      </c>
      <c r="FZ111" s="213">
        <v>238.22349555270907</v>
      </c>
      <c r="GA111" s="213">
        <v>8.1484458800760107E-2</v>
      </c>
      <c r="GB111" s="243">
        <v>43935</v>
      </c>
      <c r="GC111" s="26" t="s">
        <v>1968</v>
      </c>
      <c r="GD111" s="214">
        <v>2923.5461650381053</v>
      </c>
      <c r="GE111" s="225">
        <v>2870</v>
      </c>
      <c r="GF111" s="228" t="s">
        <v>1919</v>
      </c>
      <c r="GG111" s="156">
        <v>43935</v>
      </c>
      <c r="GH111" s="52">
        <v>81</v>
      </c>
      <c r="GI111" s="26" t="s">
        <v>2413</v>
      </c>
      <c r="GJ111" s="51"/>
      <c r="GK111" s="62" t="s">
        <v>2216</v>
      </c>
      <c r="GL111" s="51"/>
      <c r="GM111" s="18" t="s">
        <v>2414</v>
      </c>
      <c r="GN111" s="11">
        <v>3551.9801980198017</v>
      </c>
      <c r="GO111" s="157"/>
      <c r="GP111" s="229"/>
      <c r="GQ111" s="156"/>
      <c r="GR111" s="11"/>
      <c r="GS111" s="25" t="s">
        <v>2412</v>
      </c>
      <c r="GT111" s="11">
        <v>2915.0425105127993</v>
      </c>
      <c r="GU111" s="12">
        <v>6.2783613063455675E-3</v>
      </c>
      <c r="GV111" s="240">
        <v>43903</v>
      </c>
      <c r="GW111" s="162" t="s">
        <v>2389</v>
      </c>
      <c r="GX111" s="231">
        <v>18.360383264912343</v>
      </c>
      <c r="GY111" s="25" t="s">
        <v>153</v>
      </c>
      <c r="GZ111" s="25" t="s">
        <v>153</v>
      </c>
      <c r="HB111"/>
      <c r="HC111"/>
      <c r="HD111"/>
      <c r="HE111"/>
      <c r="HF111"/>
      <c r="HG111"/>
      <c r="HH111"/>
      <c r="HI111"/>
      <c r="HJ111"/>
      <c r="HK111" s="164"/>
      <c r="HL111"/>
      <c r="HM111"/>
      <c r="HN111"/>
      <c r="HO111"/>
      <c r="HP111"/>
      <c r="HW111"/>
      <c r="HX111"/>
      <c r="HY111"/>
      <c r="HZ111"/>
      <c r="IA111"/>
      <c r="IB111"/>
      <c r="IC111"/>
    </row>
    <row r="112" spans="2:238" x14ac:dyDescent="0.25">
      <c r="B112" s="26">
        <f t="shared" si="4"/>
        <v>43953</v>
      </c>
      <c r="D112">
        <v>106</v>
      </c>
      <c r="E112">
        <v>3031</v>
      </c>
      <c r="F112">
        <v>27</v>
      </c>
      <c r="G112">
        <v>1034</v>
      </c>
      <c r="H112">
        <v>438</v>
      </c>
      <c r="I112">
        <v>221</v>
      </c>
      <c r="J112">
        <v>1371</v>
      </c>
      <c r="K112">
        <v>551</v>
      </c>
      <c r="L112" s="11">
        <f>IF(ISNUMBER(tblData[[#This Row],[NSW]]),tblData[[#This Row],[New South Wales]]/NSWpopscale,"")</f>
        <v>3751.2376237623762</v>
      </c>
      <c r="M112">
        <v>209328</v>
      </c>
      <c r="N112" s="20">
        <f>IF(ISNUMBER(tblData[Italy]),tblData[Italy]/ItalyPopscale,"")</f>
        <v>34608.249979333719</v>
      </c>
      <c r="O112">
        <v>1132539</v>
      </c>
      <c r="P112" s="20">
        <f>IF(ISNUMBER(tblData[US]),tblData[US]/USPopscale,"")</f>
        <v>34399.864949414077</v>
      </c>
      <c r="Q112" s="11">
        <v>10793</v>
      </c>
      <c r="R112" s="20">
        <f>IF(ISNUMBER(tblData[SKorea]),tblData[SKorea]/SKoreaPopscale,"")</f>
        <v>2099.8054474708174</v>
      </c>
      <c r="S112">
        <v>183500</v>
      </c>
      <c r="T112" s="12">
        <f>IF(ISNUMBER(tblData[United Kingdom]),tblData[United Kingdom]/UKPopscale,"")</f>
        <v>27618.904274533412</v>
      </c>
      <c r="U112">
        <v>83959</v>
      </c>
      <c r="V112" s="20">
        <f>IF(ISNUMBER(tblData[China]),tblData[China]/ChinaPopscale,"")</f>
        <v>583.32253937560188</v>
      </c>
      <c r="W112" s="25">
        <f ca="1">IF(tblData[[#This Row],[Dates]]&lt;StartDt2China,"",tblData[[#This Row],[Dates]]-ChinaStart)</f>
        <v>101</v>
      </c>
      <c r="X112" s="20">
        <v>17548</v>
      </c>
      <c r="Y112" s="20">
        <f>IF(ISNUMBER(tblData[Singapore]),tblData[Singapore]/SingaporePopscale,"")</f>
        <v>29996.581196581199</v>
      </c>
      <c r="Z112">
        <v>21176</v>
      </c>
      <c r="AA112" s="20">
        <f>IF(AND(LEN(tblData[Generic])&gt;0,ISNUMBER(tblData[Generic])),tblData[Generic]/GenericPopscale,"")</f>
        <v>43216.326530612248</v>
      </c>
      <c r="AB112" s="25">
        <f ca="1">IF(tblData[[#This Row],[Dates]]&lt;StartDt2Italy,"",tblData[[#This Row],[Dates]]-ItalyStart)</f>
        <v>93</v>
      </c>
      <c r="AC112" s="25">
        <f ca="1">IF(tblData[[#This Row],[Dates]]&lt;=StartDt2US,"",tblData[[#This Row],[Dates]]-USStart)</f>
        <v>101</v>
      </c>
      <c r="AD112" s="25">
        <f>IF(tblData[[#This Row],[Dates]]&lt;=SKoreaStart,"",tblData[[#This Row],[Dates]]-SKoreaStart)</f>
        <v>101</v>
      </c>
      <c r="AE112" s="25">
        <f ca="1">IF(tblData[[#This Row],[Dates]]&lt;=StartDt2UK,"",tblData[[#This Row],[Dates]]-UKStart)</f>
        <v>93</v>
      </c>
      <c r="AF112" s="25">
        <f ca="1">IF(tblData[[#This Row],[Dates]]&lt;StartDt2Singapore,"",tblData[[#This Row],[Dates]]-SingaporeStart)</f>
        <v>100</v>
      </c>
      <c r="AG112" s="25">
        <f>IF(tblData[[#This Row],[Dates]]&lt;StartDt2Generic,"",tblData[[#This Row],[Dates]]-GenericStart)</f>
        <v>63</v>
      </c>
      <c r="AH112">
        <f ca="1">IF(tblData[Dates]&gt;StartDt2Au,tblData[Dates]-AuStart,"")</f>
        <v>98</v>
      </c>
      <c r="AI112" s="25">
        <f>IF(AND(COUNTBLANK(tblData[[#This Row],[Australian Capital Territory]:[Western Australia]])&lt;1,tblData[New South Wales]&gt;=0),SUM(tblData[[#This Row],[Australian Capital Territory]:[Western Australia]]),"")</f>
        <v>6779</v>
      </c>
      <c r="AJ112" s="12">
        <f>IF(ISNUMBER(tblData[Au]),tblData[Au]/AuPopScale,"")</f>
        <v>2672.6856962624192</v>
      </c>
      <c r="AK112" s="11">
        <f ca="1">IF(ISNUMBER(tblData[[#This Row],[Day'# Aust]]),betaAu/(deltaAu+betaPodeltaAu*EXP(-betaAu*tblData[[#This Row],[Day'# Aust]])),"")</f>
        <v>6641.5559187515855</v>
      </c>
      <c r="AL112" s="56">
        <f ca="1">IF(ISNUMBER(tblData[Day'# Aust]),tblData[Au LogiP(t)]/AuPopScale,"")</f>
        <v>2618.4970504461385</v>
      </c>
      <c r="AM112" s="11">
        <f ca="1">IF(AND(tblData[Dates]&gt;StartDt2Au,ISNUMBER(tblData[Au])),(tblData[[#This Row],[Au LogiP(t)]]-tblData[[#This Row],[Au]])^2,"")</f>
        <v>18890.875470220759</v>
      </c>
      <c r="AN112" s="11">
        <f ca="1">IF(AND(ISNUMBER(tblData[Au]),tblData[Dates]&gt;StartDt2Au),(tblData[Au]-AVERAGE(tblData[Au]))^2,"")</f>
        <v>18750545.436100006</v>
      </c>
      <c r="AO112" s="11">
        <f>tblData[[#This Row],[Dates]]-Au100dt</f>
        <v>48</v>
      </c>
      <c r="AP112">
        <f ca="1">IF(tblData[Dates]&gt;StartDt2NSW,tblData[Dates]-StartDt2NSW,"")</f>
        <v>98</v>
      </c>
      <c r="AQ112" s="25">
        <f>IF(tblData[[#This Row],[New South Wales]]&gt;0,tblData[[#This Row],[New South Wales]],"")</f>
        <v>3031</v>
      </c>
      <c r="AR112" s="11">
        <f ca="1">IF(tblData[Dates]&gt;StartDt2NSW,betaNSW/(deltaNSW+betaPodeltaNSW*EXP(-betaNSW*tblData[[#This Row],[Day '# NSW]])),"")</f>
        <v>2972.8237254785149</v>
      </c>
      <c r="AS112" s="12">
        <f ca="1">IF(AND(ISNUMBER(tblData[NSW]),tblData[Dates]&gt;StartDt2NSW),(tblData[[#This Row],[NSW LogiP(t)]]-tblData[[#This Row],[NSW]])^2,"")</f>
        <v>3384.4789171991947</v>
      </c>
      <c r="AT112" s="39">
        <f ca="1">IF(AND(tblData[Dates]&gt;StartDt2NSW,ISNUMBER(tblData[Day'# Aust])),tblData[NSW LogiP(t)]/NSWpopscale,"")</f>
        <v>3679.2372840080629</v>
      </c>
      <c r="AU112" s="11">
        <f>tblData[[#This Row],[Dates]]-NSW100dt+1</f>
        <v>51</v>
      </c>
      <c r="AV112" s="11">
        <f ca="1">IF(AND(ISNUMBER(tblData[NSW]),tblData[Dates]&gt;StartDt2NSW),(tblData[NSW]-AVERAGE(tblData[NSW]))^2,"")</f>
        <v>3750961.8276</v>
      </c>
      <c r="AW112" s="11">
        <f ca="1">IF(AND(tblData[Dates]&gt;StartDt2Italy,ISNUMBER(tblData[Days'# Italy])),betaItaly/(deltaItaly+betaPodeltaItaly*EXP(-betaItaly*tblData[Days'# Italy])),"")</f>
        <v>161381.58347060924</v>
      </c>
      <c r="AX112" s="11">
        <f ca="1">IF(AND(tblData[Dates]&gt;StartDt2Italy,ISNUMBER(tblData[Italy])),(tblData[[#This Row],[Italy LogiP(t)]]-tblData[[#This Row],[Italy]])^2,"")</f>
        <v>2298858858.0098352</v>
      </c>
      <c r="AY112" s="11">
        <f ca="1">IF(AND(tblData[Dates]&gt;StartDt2Italy,ISNUMBER(tblData[Days'# Italy])),tblData[[#This Row],[Italy LogiP(t)]]/ItalyPopscale,"")</f>
        <v>26681.257083675166</v>
      </c>
      <c r="AZ112" s="39">
        <f ca="1">IF(AND(ISNUMBER(tblData[Italy]),tblData[Dates]&gt;StartDt2Italy),(tblData[Italy]-AVERAGE(tblData[Italy]))^2,"")</f>
        <v>19482407122.495358</v>
      </c>
      <c r="BA112" s="11">
        <f>tblData[[#This Row],[Dates]]-Italy100dt+1</f>
        <v>66</v>
      </c>
      <c r="BB112" s="11">
        <f ca="1">IF(AND(tblData[Dates]&gt;StartDt2US,ISNUMBER(tblData[[#This Row],[Days'# US]])),betaUS/(deltaUS+betaPodeltaUS*EXP(-betaUS*tblData[Days'# US])),"")</f>
        <v>813163.4509445955</v>
      </c>
      <c r="BC112" s="11">
        <f ca="1">IF(AND(tblData[Dates]&gt;StartDt2US,ISNUMBER(tblData[US])),(tblData[[#This Row],[US LogiP(t)]]-tblData[US])^2,"")</f>
        <v>102000741334.44109</v>
      </c>
      <c r="BD112" s="20">
        <f ca="1">IF(AND(tblData[Dates]&gt;=StartDt2US,ISNUMBER(tblData[[#This Row],[Days'# US]])),tblData[[#This Row],[US LogiP(t)]]/USPopscale,"")</f>
        <v>24699.116669972147</v>
      </c>
      <c r="BE112" s="126">
        <f ca="1">IF(AND(ISNUMBER(tblData[US]),tblData[Dates]&gt;StartDt2US),(tblData[US]-AVERAGE(tblData[US]))^2,"")</f>
        <v>825546245825.86389</v>
      </c>
      <c r="BF112" s="11">
        <f>tblData[[#This Row],[Dates]]-US100dt+1</f>
        <v>49</v>
      </c>
      <c r="BG112" s="20">
        <f ca="1">IF(tblData[Dates]&gt;StartDt2SKorea,betaSKorea/(deltaSKorea+betaPodeltaSKorea*EXP(-betaSKorea*(tblData[Dates]-StartDt2SKorea))),"")</f>
        <v>10233.853769573798</v>
      </c>
      <c r="BH112" s="20">
        <f ca="1">IF(AND(tblData[Dates]&gt;StartDt2SKorea,ISNUMBER(tblData[SKorea])),(tblData[[#This Row],[SKorea LogiP(t)]]-tblData[[#This Row],[SKorea]])^2,"")</f>
        <v>312644.50699983165</v>
      </c>
      <c r="BI112" s="20">
        <f ca="1">IF(tblData[Dates]&gt;StartDt2SKorea,tblData[[#This Row],[SKorea LogiP(t)]]/SKoreaPopscale,"")</f>
        <v>1991.0221341583265</v>
      </c>
      <c r="BJ112" s="126">
        <f ca="1">IF(AND(ISNUMBER(tblData[SKorea]),tblData[Dates]&gt;StartDt2SKorea),(tblData[SKorea]-AVERAGE(tblData[SKorea]))^2,"")</f>
        <v>24687258.746635914</v>
      </c>
      <c r="BK112" s="11">
        <f>tblData[[#This Row],[Dates]]-SKorea100dt+1</f>
        <v>70</v>
      </c>
      <c r="BL112" s="11">
        <f ca="1">IF(AND(tblData[Dates]&gt;StartDt2UK,ISNUMBER(tblData[Days'# UK])),betaUK/(deltaUK+betaPodeltaUK*EXP(-betaUK*tblData[Days'# UK])),"")</f>
        <v>142265.19067929938</v>
      </c>
      <c r="BM112" s="61">
        <f ca="1">IF(AND(tblData[Dates]&gt;StartDt2UK,ISNUMBER(tblData[United Kingdom])),(tblData[[#This Row],[UK LogiP(t)]]-tblData[[#This Row],[United Kingdom]])^2,"")</f>
        <v>1700309499.7145386</v>
      </c>
      <c r="BN112" s="11">
        <f ca="1">IF(ISNUMBER(tblData[Days'# UK]),tblData[[#This Row],[UK LogiP(t)]]/UKPopscale,"")</f>
        <v>21412.581378582086</v>
      </c>
      <c r="BO112" s="126">
        <f ca="1">IF(AND(ISNUMBER(tblData[United Kingdom]),tblData[Dates]&gt;StartDt2UK),(tblData[United Kingdom]-AVERAGE(tblData[United Kingdom]))^2,"")</f>
        <v>21179844799.660591</v>
      </c>
      <c r="BP112" s="11">
        <f>tblData[[#This Row],[Dates]]-UK100dt</f>
        <v>51</v>
      </c>
      <c r="BQ112" s="11">
        <f ca="1">IF(ISNUMBER(tblData[Days'# China]),betaChina/(deltaChina+betaPodeltaChina*EXP(-betaChina*tblData[Days'# China])),"")</f>
        <v>82125.159662364516</v>
      </c>
      <c r="BR112" s="11">
        <f ca="1">IF(ISNUMBER(tblData[China]),(tblData[[#This Row],[China LogiP(t)]]-tblData[[#This Row],[China]])^2,"")</f>
        <v>3362970.3839390245</v>
      </c>
      <c r="BS112" s="11">
        <f ca="1">tblData[[#This Row],[China LogiP(t)]]/ChinaPopscale</f>
        <v>570.58155386411488</v>
      </c>
      <c r="BT112" s="126">
        <f ca="1">IF(AND(ISNUMBER(tblData[China]),tblData[Dates]&gt;StartDt2China),(tblData[China]-AVERAGE(tblData[China]))^2,"")</f>
        <v>280714255.80968833</v>
      </c>
      <c r="BU112" s="11">
        <f>tblData[[#This Row],[Dates]]-China100dt</f>
        <v>90</v>
      </c>
      <c r="BV112" s="95">
        <f ca="1">IF(ISNUMBER(tblData[Day'# Singapore]),betaSingapore/(deltaSingapore+betaPodeltaSingapore*EXP(-betaSingapore*tblData[Day'# Singapore])),"")</f>
        <v>17583.243124978577</v>
      </c>
      <c r="BW112" s="11">
        <f ca="1">IF(AND(ISNUMBER(tblData[Singapore]),tblData[Dates]&gt;=StartDt2Singapore),(tblData[[#This Row],[Singapore LogiP(t)]]-tblData[[#This Row],[Singapore]])^2,"")</f>
        <v>1242.0778582555852</v>
      </c>
      <c r="BX112" s="20">
        <f ca="1">IF(ISNUMBER(tblData[Day'# Singapore]),tblData[Singapore LogiP(t)]/SingaporePopscale,"")</f>
        <v>30056.825854664236</v>
      </c>
      <c r="BY112" s="95">
        <f ca="1">IF(AND(ISNUMBER(tblData[Singapore]),tblData[Dates]&gt;StartDt2Singapore),(tblData[Singapore]-AVERAGE(tblData[Singapore]))^2,"")</f>
        <v>231867500.41099575</v>
      </c>
      <c r="BZ112" s="11">
        <f>tblData[[#This Row],[Dates]]-Singapore100dt+1</f>
        <v>79</v>
      </c>
      <c r="CA112" s="11">
        <f>IF(AND(tblData[Dates]&gt;StartDt2Generic,ISNUMBER(tblData[Day'# Generic])),betaGeneric/(deltaGeneric+betaPodeltaGeneric*EXP(-betaGeneric*tblData[Day'# Generic])),"")</f>
        <v>22691.655142494623</v>
      </c>
      <c r="CB112" s="95">
        <f>IF(AND(ISNUMBER(tblData[Generic]),tblData[Dates]&gt;StartDt2Generic),(tblData[Generic LogiP(t)]-tblData[[#This Row],[Generic]])^2,"")</f>
        <v>2297210.5109703955</v>
      </c>
      <c r="CC112" s="11">
        <f>IF(AND(ISNUMBER(tblData[Day'# Generic]),tblData[Dates]&gt;StartDt2Generic),tblData[Generic LogiP(t)]/GenericPopscale,"")</f>
        <v>46309.50029080535</v>
      </c>
      <c r="CD112" s="95">
        <f>IF(AND(ISNUMBER(tblData[Generic]),tblData[Dates]&gt;StartDt2Generic),(tblData[Generic]-AVERAGE(tblData[Generic]))^2,"")</f>
        <v>211484082.51928994</v>
      </c>
      <c r="CE112" s="11">
        <f>tblData[[#This Row],[Dates]]-Generic100dt+1</f>
        <v>51</v>
      </c>
      <c r="CF112" s="11">
        <v>240093</v>
      </c>
      <c r="CG112" s="11"/>
      <c r="CH112" s="11">
        <f>IF(ISNUMBER(tblData[[#This Row],[Tests]]),tblData[[#This Row],[Tests]]-CF111,"")</f>
        <v>7230</v>
      </c>
      <c r="CI112" s="11" t="str">
        <f>IF(ISNUMBER(tblData[[#This Row],[NSW Under Investigation'']]),tblData[[#This Row],[NSW Under Investigation'']]-CG111,"")</f>
        <v/>
      </c>
      <c r="CJ112" s="11">
        <f t="shared" si="2"/>
        <v>58</v>
      </c>
      <c r="CK112" s="11">
        <f>IF(AND(tblData[[#This Row],[NSW Test Day Number]]&gt;0,ISNUMBER(tblData[[#This Row],[NSW Test Day Number]])),betaTests/(deltaTests+betaPodeltaTests*EXP(-betaTests*tblData[[#This Row],[NSW Test Day Number]])),"")</f>
        <v>172300.12125650694</v>
      </c>
      <c r="CL112" s="11">
        <f>IF(tblData[Tests]&gt;0,(tblData[[#This Row],[Tests]]-tblData[[#This Row],[NSW Test Logi]])^2,"")</f>
        <v>4595874408.3299522</v>
      </c>
      <c r="CM112" s="95">
        <f>IF(AND(ISNUMBER(tblData[Tests]),tblData[Dates]&gt;StartDt2Tests),(tblData[Tests]-AVERAGE(tblData[Tests]))^2,"")</f>
        <v>17938892957.853775</v>
      </c>
      <c r="CN112" s="11">
        <f>IF(ISNUMBER(tblData[Tests]),tblData[Tests]/NSWpopscale/100,"")</f>
        <v>2971.4480198019801</v>
      </c>
      <c r="CO112" s="95">
        <f ca="1">IF(AND(tblData[[#This Row],[NSW Test Day Number]]&gt;0,ISNUMBER(tblData[[#This Row],[NSW Test Day Number]])),TestsLogestB*TestsLogestM^tblData[[#This Row],[NSW Test Day Number]],"")</f>
        <v>389451.22141221387</v>
      </c>
      <c r="CP112" s="11">
        <f>IF(AND(tblData[[#This Row],[NSW Test Day Number]]&gt;0,ISNUMBER(tblData[Tests])),(tblData[Tests]-tblData[[#This Row],[NSW Test Per Capita]])^2,"")</f>
        <v>56226630413.497749</v>
      </c>
      <c r="CQ112" s="20">
        <f ca="1">IF(AND(tblData[Day '# NSW]&gt;0,ISNUMBER(tblData[[#This Row],[Day '# NSW]])),NSWLogestB*NSWLogestM^tblData[[#This Row],[Day '# NSW]]/NSWpopscale,"")</f>
        <v>17572.988999091747</v>
      </c>
      <c r="CR112" s="39">
        <f ca="1">IF(AND(ISNUMBER(tblData[NSW]),tblData[Dates]&gt;StartDt2NSW),(tblData[NSW]/NSWpopscale-tblData[[#This Row],[NSW Cases LogEst]])^2,"")</f>
        <v>191040811.08141938</v>
      </c>
      <c r="CS112" s="39">
        <v>432</v>
      </c>
      <c r="CT112" s="19">
        <f>IF(ISNUMBER(tblData[Taiwan]),tblData[Taiwan]/TaiwanPopscale,"")</f>
        <v>181.45708527332098</v>
      </c>
      <c r="CU112" s="11">
        <f ca="1">IF(tblData[[#This Row],[Dates]]&lt;StartDt2Taiwan,"",tblData[[#This Row],[Dates]]-TaiwanStart)</f>
        <v>101</v>
      </c>
      <c r="CV112" s="19">
        <f ca="1">IF(AND(tblData[Dates]&gt;StartDt2Taiwan,ISNUMBER(tblData[Days'# Taiwan])),betaTaiwan/(deltaTaiwan+betaPodeltaTaiwan*EXP(-betaTaiwan*tblData[Days'# Taiwan])),"")</f>
        <v>424.79328794473389</v>
      </c>
      <c r="CW112" s="95">
        <f ca="1">IF(AND(tblData[Dates]&gt;StartDt2Taiwan,ISNUMBER(tblData[Taiwan])),(tblData[[#This Row],[Taiwan LogiP(t)]]-tblData[[#This Row],[Taiwan]])^2,"")</f>
        <v>51.936698647517872</v>
      </c>
      <c r="CX112" s="20">
        <f ca="1">IF(AND(tblData[Dates]&gt;StartDt2Taiwan,ISNUMBER(tblData[Days'# Taiwan])),tblData[[#This Row],[Taiwan LogiP(t)]]/TaiwanPopscale,"")</f>
        <v>178.42998119009715</v>
      </c>
      <c r="CY112" s="95">
        <f ca="1">IF(AND(ISNUMBER(tblData[Taiwan]),tblData[Dates]&gt;StartDt2Taiwan),(tblData[Taiwan]-AVERAGE(tblData[Taiwan]))^2,"")</f>
        <v>68880.517108804299</v>
      </c>
      <c r="CZ112" s="11">
        <f>tblData[[#This Row],[Dates]]-Taiwan100dt+1</f>
        <v>38</v>
      </c>
      <c r="DA112" s="11">
        <v>1487</v>
      </c>
      <c r="DB112" s="20">
        <f>IF(ISNUMBER(tblData[NZ]),tblData[NZ]/NZPopscale,"")</f>
        <v>2843.21223709369</v>
      </c>
      <c r="DC112" s="11">
        <f ca="1">IF(tblData[[#This Row],[Dates]]&lt;StartDt2NZ,"",tblData[[#This Row],[Dates]]-NZStart)</f>
        <v>64</v>
      </c>
      <c r="DD112" s="20">
        <f ca="1">IF(AND(tblData[Dates]&gt;StartDt2NZ,ISNUMBER(tblData[Days'# NZ])),betaNZ/(deltaNZ+betaPodeltaNZ*EXP(-betaNZ*tblData[Days'# NZ])),"")</f>
        <v>1459.9876284851114</v>
      </c>
      <c r="DE112" s="95">
        <f ca="1">IF(AND(tblData[Dates]&gt;StartDt2NZ,ISNUMBER(tblData[NZ])),(tblData[[#This Row],[NZ LogiP(t)]]-tblData[[#This Row],[NZ]])^2,"")</f>
        <v>729.66821485836658</v>
      </c>
      <c r="DF112" s="20">
        <f ca="1">IF(AND(tblData[Dates]&gt;StartDt2NZ,ISNUMBER(tblData[Days'# NZ])),tblData[[#This Row],[NZ LogiP(t)]]/NZPopscale,"")</f>
        <v>2791.5633431837691</v>
      </c>
      <c r="DG112" s="95">
        <f ca="1">IF(AND(ISNUMBER(tblData[NZ]),tblData[Dates]&gt;StartDt2NZ),(tblData[NZ]-AVERAGE(tblData[NZ]))^2,"")</f>
        <v>636900.73094582174</v>
      </c>
      <c r="DH112" s="11">
        <f>tblData[[#This Row],[Dates]]-NZ100dt+1</f>
        <v>42</v>
      </c>
      <c r="DI112" s="39"/>
      <c r="DJ112" s="11"/>
      <c r="DM112" s="25"/>
      <c r="DP112"/>
      <c r="DV112" s="25"/>
      <c r="DW112"/>
      <c r="EA112" s="25"/>
      <c r="EH112"/>
      <c r="EI112"/>
      <c r="EJ112"/>
      <c r="EK112"/>
      <c r="EL112" s="25"/>
      <c r="EM112" s="25"/>
      <c r="EQ112" s="25"/>
      <c r="ER112" s="25"/>
      <c r="ES112" s="25"/>
      <c r="ET112" s="25"/>
      <c r="FA112" s="25"/>
      <c r="FB112" s="25"/>
      <c r="FC112" s="25"/>
      <c r="FD112" s="25"/>
      <c r="FE112" s="25"/>
      <c r="FF112" s="25"/>
      <c r="FG112" s="25"/>
      <c r="FH112"/>
      <c r="FI112" s="25"/>
      <c r="FJ112" s="25"/>
      <c r="FK112" s="25"/>
      <c r="FM112" s="25"/>
      <c r="FN112" s="25"/>
      <c r="FO112" s="270" t="s">
        <v>153</v>
      </c>
      <c r="FP112" s="253">
        <v>43938.512326388889</v>
      </c>
      <c r="FQ112" s="156">
        <v>43855</v>
      </c>
      <c r="FR112" s="26">
        <v>43855</v>
      </c>
      <c r="FS112" s="224">
        <v>1</v>
      </c>
      <c r="FT112" s="44">
        <v>0.23820007622917019</v>
      </c>
      <c r="FU112" s="71">
        <v>8.1415369829962992E-5</v>
      </c>
      <c r="FV112" s="73">
        <v>1E-3</v>
      </c>
      <c r="FW112" s="225">
        <v>2925.7384290786126</v>
      </c>
      <c r="FX112" s="225">
        <v>22.045618590830482</v>
      </c>
      <c r="FY112" s="226">
        <v>0.9995910720239094</v>
      </c>
      <c r="FZ112" s="213">
        <v>238.19999481380034</v>
      </c>
      <c r="GA112" s="213">
        <v>8.1415369829962989E-2</v>
      </c>
      <c r="GB112" s="243">
        <v>43938</v>
      </c>
      <c r="GC112" s="26" t="s">
        <v>1918</v>
      </c>
      <c r="GD112" s="214">
        <v>2925.7384290786104</v>
      </c>
      <c r="GE112" s="225">
        <v>2926</v>
      </c>
      <c r="GF112" s="228" t="s">
        <v>1919</v>
      </c>
      <c r="GG112" s="156">
        <v>43938</v>
      </c>
      <c r="GH112" s="52">
        <v>84</v>
      </c>
      <c r="GI112" s="26" t="s">
        <v>2440</v>
      </c>
      <c r="GJ112" s="51"/>
      <c r="GK112" s="62" t="s">
        <v>2438</v>
      </c>
      <c r="GL112" s="51"/>
      <c r="GM112" s="18" t="s">
        <v>2441</v>
      </c>
      <c r="GN112" s="11">
        <v>3621.287128712871</v>
      </c>
      <c r="GO112" s="157"/>
      <c r="GP112" s="229"/>
      <c r="GQ112" s="156"/>
      <c r="GR112" s="11"/>
      <c r="GS112" t="s">
        <v>2439</v>
      </c>
      <c r="GT112" s="11">
        <v>2920.4329636907428</v>
      </c>
      <c r="GU112" s="12">
        <v>6.0877853114801881E-3</v>
      </c>
      <c r="GV112" s="240">
        <v>43903</v>
      </c>
      <c r="GW112" s="162" t="s">
        <v>2389</v>
      </c>
      <c r="GX112" s="231">
        <v>-17.646317206471849</v>
      </c>
      <c r="GY112" t="s">
        <v>153</v>
      </c>
      <c r="GZ112" s="25" t="s">
        <v>153</v>
      </c>
      <c r="HA112" s="25" t="s">
        <v>2441</v>
      </c>
    </row>
    <row r="113" spans="2:244" x14ac:dyDescent="0.25">
      <c r="B113" s="26">
        <f t="shared" si="4"/>
        <v>43954</v>
      </c>
      <c r="D113">
        <v>106</v>
      </c>
      <c r="E113">
        <v>3035</v>
      </c>
      <c r="F113">
        <v>27</v>
      </c>
      <c r="G113">
        <v>1035</v>
      </c>
      <c r="H113">
        <v>438</v>
      </c>
      <c r="I113">
        <v>221</v>
      </c>
      <c r="J113">
        <v>1384</v>
      </c>
      <c r="K113">
        <v>551</v>
      </c>
      <c r="L113" s="11">
        <f>IF(ISNUMBER(tblData[[#This Row],[NSW]]),tblData[[#This Row],[New South Wales]]/NSWpopscale,"")</f>
        <v>3756.1881188118809</v>
      </c>
      <c r="N113" s="20" t="str">
        <f>IF(ISNUMBER(tblData[Italy]),tblData[Italy]/ItalyPopscale,"")</f>
        <v/>
      </c>
      <c r="P113" s="20" t="str">
        <f>IF(ISNUMBER(tblData[US]),tblData[US]/USPopscale,"")</f>
        <v/>
      </c>
      <c r="Q113" s="11"/>
      <c r="R113" s="20" t="str">
        <f>IF(ISNUMBER(tblData[SKorea]),tblData[SKorea]/SKoreaPopscale,"")</f>
        <v/>
      </c>
      <c r="T113" s="12" t="str">
        <f>IF(ISNUMBER(tblData[United Kingdom]),tblData[United Kingdom]/UKPopscale,"")</f>
        <v/>
      </c>
      <c r="V113" s="20" t="str">
        <f>IF(ISNUMBER(tblData[China]),tblData[China]/ChinaPopscale,"")</f>
        <v/>
      </c>
      <c r="W113" s="25">
        <f ca="1">IF(tblData[[#This Row],[Dates]]&lt;StartDt2China,"",tblData[[#This Row],[Dates]]-ChinaStart)</f>
        <v>102</v>
      </c>
      <c r="X113" s="20"/>
      <c r="Y113" s="20" t="str">
        <f>IF(ISNUMBER(tblData[Singapore]),tblData[Singapore]/SingaporePopscale,"")</f>
        <v/>
      </c>
      <c r="Z113"/>
      <c r="AA113" s="20" t="str">
        <f>IF(AND(LEN(tblData[Generic])&gt;0,ISNUMBER(tblData[Generic])),tblData[Generic]/GenericPopscale,"")</f>
        <v/>
      </c>
      <c r="AB113" s="25">
        <f ca="1">IF(tblData[[#This Row],[Dates]]&lt;StartDt2Italy,"",tblData[[#This Row],[Dates]]-ItalyStart)</f>
        <v>94</v>
      </c>
      <c r="AC113" s="25">
        <f ca="1">IF(tblData[[#This Row],[Dates]]&lt;=StartDt2US,"",tblData[[#This Row],[Dates]]-USStart)</f>
        <v>102</v>
      </c>
      <c r="AD113" s="25">
        <f>IF(tblData[[#This Row],[Dates]]&lt;=SKoreaStart,"",tblData[[#This Row],[Dates]]-SKoreaStart)</f>
        <v>102</v>
      </c>
      <c r="AE113" s="25">
        <f ca="1">IF(tblData[[#This Row],[Dates]]&lt;=StartDt2UK,"",tblData[[#This Row],[Dates]]-UKStart)</f>
        <v>94</v>
      </c>
      <c r="AF113" s="25">
        <f ca="1">IF(tblData[[#This Row],[Dates]]&lt;StartDt2Singapore,"",tblData[[#This Row],[Dates]]-SingaporeStart)</f>
        <v>101</v>
      </c>
      <c r="AG113" s="25">
        <f>IF(tblData[[#This Row],[Dates]]&lt;StartDt2Generic,"",tblData[[#This Row],[Dates]]-GenericStart)</f>
        <v>64</v>
      </c>
      <c r="AH113">
        <f ca="1">IF(tblData[Dates]&gt;StartDt2Au,tblData[Dates]-AuStart,"")</f>
        <v>99</v>
      </c>
      <c r="AI113" s="25">
        <f>IF(AND(COUNTBLANK(tblData[[#This Row],[Australian Capital Territory]:[Western Australia]])&lt;1,tblData[New South Wales]&gt;=0),SUM(tblData[[#This Row],[Australian Capital Territory]:[Western Australia]]),"")</f>
        <v>6797</v>
      </c>
      <c r="AJ113" s="12">
        <f>IF(ISNUMBER(tblData[Au]),tblData[Au]/AuPopScale,"")</f>
        <v>2679.7823687115597</v>
      </c>
      <c r="AK113" s="11">
        <f ca="1">IF(ISNUMBER(tblData[[#This Row],[Day'# Aust]]),betaAu/(deltaAu+betaPodeltaAu*EXP(-betaAu*tblData[[#This Row],[Day'# Aust]])),"")</f>
        <v>6642.0060084894922</v>
      </c>
      <c r="AL113" s="56">
        <f ca="1">IF(ISNUMBER(tblData[Day'# Aust]),tblData[Au LogiP(t)]/AuPopScale,"")</f>
        <v>2618.6745026373965</v>
      </c>
      <c r="AM113" s="11">
        <f ca="1">IF(AND(tblData[Dates]&gt;StartDt2Au,ISNUMBER(tblData[Au])),(tblData[[#This Row],[Au LogiP(t)]]-tblData[[#This Row],[Au]])^2,"")</f>
        <v>24023.137404359375</v>
      </c>
      <c r="AN113" s="11">
        <f ca="1">IF(AND(ISNUMBER(tblData[Au]),tblData[Dates]&gt;StartDt2Au),(tblData[Au]-AVERAGE(tblData[Au]))^2,"")</f>
        <v>18906756.276100006</v>
      </c>
      <c r="AO113" s="11">
        <f>tblData[[#This Row],[Dates]]-Au100dt</f>
        <v>49</v>
      </c>
      <c r="AP113">
        <f ca="1">IF(tblData[Dates]&gt;StartDt2NSW,tblData[Dates]-StartDt2NSW,"")</f>
        <v>99</v>
      </c>
      <c r="AQ113" s="25">
        <f>IF(tblData[[#This Row],[New South Wales]]&gt;0,tblData[[#This Row],[New South Wales]],"")</f>
        <v>3035</v>
      </c>
      <c r="AR113" s="11">
        <f ca="1">IF(tblData[Dates]&gt;StartDt2NSW,betaNSW/(deltaNSW+betaPodeltaNSW*EXP(-betaNSW*tblData[[#This Row],[Day '# NSW]])),"")</f>
        <v>2972.983264262075</v>
      </c>
      <c r="AS113" s="12">
        <f ca="1">IF(AND(ISNUMBER(tblData[NSW]),tblData[Dates]&gt;StartDt2NSW),(tblData[[#This Row],[NSW LogiP(t)]]-tblData[[#This Row],[NSW]])^2,"")</f>
        <v>3846.0755115876295</v>
      </c>
      <c r="AT113" s="39">
        <f ca="1">IF(AND(tblData[Dates]&gt;StartDt2NSW,ISNUMBER(tblData[Day'# Aust])),tblData[NSW LogiP(t)]/NSWpopscale,"")</f>
        <v>3679.4347329976172</v>
      </c>
      <c r="AU113" s="11">
        <f>tblData[[#This Row],[Dates]]-NSW100dt+1</f>
        <v>52</v>
      </c>
      <c r="AV113" s="11">
        <f ca="1">IF(AND(ISNUMBER(tblData[NSW]),tblData[Dates]&gt;StartDt2NSW),(tblData[NSW]-AVERAGE(tblData[NSW]))^2,"")</f>
        <v>3766471.7475999999</v>
      </c>
      <c r="AW113" s="11">
        <f ca="1">IF(AND(tblData[Dates]&gt;StartDt2Italy,ISNUMBER(tblData[Days'# Italy])),betaItaly/(deltaItaly+betaPodeltaItaly*EXP(-betaItaly*tblData[Days'# Italy])),"")</f>
        <v>161382.36537562727</v>
      </c>
      <c r="AX113" s="11" t="str">
        <f ca="1">IF(AND(tblData[Dates]&gt;StartDt2Italy,ISNUMBER(tblData[Italy])),(tblData[[#This Row],[Italy LogiP(t)]]-tblData[[#This Row],[Italy]])^2,"")</f>
        <v/>
      </c>
      <c r="AY113" s="11">
        <f ca="1">IF(AND(tblData[Dates]&gt;StartDt2Italy,ISNUMBER(tblData[Days'# Italy])),tblData[[#This Row],[Italy LogiP(t)]]/ItalyPopscale,"")</f>
        <v>26681.386356225059</v>
      </c>
      <c r="AZ113" s="39" t="str">
        <f ca="1">IF(AND(ISNUMBER(tblData[Italy]),tblData[Dates]&gt;StartDt2Italy),(tblData[Italy]-AVERAGE(tblData[Italy]))^2,"")</f>
        <v/>
      </c>
      <c r="BA113" s="11">
        <f>tblData[[#This Row],[Dates]]-Italy100dt+1</f>
        <v>67</v>
      </c>
      <c r="BB113" s="11">
        <f ca="1">IF(AND(tblData[Dates]&gt;StartDt2US,ISNUMBER(tblData[[#This Row],[Days'# US]])),betaUS/(deltaUS+betaPodeltaUS*EXP(-betaUS*tblData[Days'# US])),"")</f>
        <v>813221.79706559062</v>
      </c>
      <c r="BC113" s="11" t="str">
        <f ca="1">IF(AND(tblData[Dates]&gt;StartDt2US,ISNUMBER(tblData[US])),(tblData[[#This Row],[US LogiP(t)]]-tblData[US])^2,"")</f>
        <v/>
      </c>
      <c r="BD113" s="20">
        <f ca="1">IF(AND(tblData[Dates]&gt;=StartDt2US,ISNUMBER(tblData[[#This Row],[Days'# US]])),tblData[[#This Row],[US LogiP(t)]]/USPopscale,"")</f>
        <v>24700.888881509723</v>
      </c>
      <c r="BE113" s="126" t="str">
        <f ca="1">IF(AND(ISNUMBER(tblData[US]),tblData[Dates]&gt;StartDt2US),(tblData[US]-AVERAGE(tblData[US]))^2,"")</f>
        <v/>
      </c>
      <c r="BF113" s="11">
        <f>tblData[[#This Row],[Dates]]-US100dt+1</f>
        <v>50</v>
      </c>
      <c r="BG113" s="20">
        <f ca="1">IF(tblData[Dates]&gt;StartDt2SKorea,betaSKorea/(deltaSKorea+betaPodeltaSKorea*EXP(-betaSKorea*(tblData[Dates]-StartDt2SKorea))),"")</f>
        <v>10233.908833947995</v>
      </c>
      <c r="BH113" s="20" t="str">
        <f ca="1">IF(AND(tblData[Dates]&gt;StartDt2SKorea,ISNUMBER(tblData[SKorea])),(tblData[[#This Row],[SKorea LogiP(t)]]-tblData[[#This Row],[SKorea]])^2,"")</f>
        <v/>
      </c>
      <c r="BI113" s="20">
        <f ca="1">IF(tblData[Dates]&gt;StartDt2SKorea,tblData[[#This Row],[SKorea LogiP(t)]]/SKoreaPopscale,"")</f>
        <v>1991.0328470715945</v>
      </c>
      <c r="BJ113" s="126" t="str">
        <f ca="1">IF(AND(ISNUMBER(tblData[SKorea]),tblData[Dates]&gt;StartDt2SKorea),(tblData[SKorea]-AVERAGE(tblData[SKorea]))^2,"")</f>
        <v/>
      </c>
      <c r="BK113" s="11">
        <f>tblData[[#This Row],[Dates]]-SKorea100dt+1</f>
        <v>71</v>
      </c>
      <c r="BL113" s="11">
        <f ca="1">IF(AND(tblData[Dates]&gt;StartDt2UK,ISNUMBER(tblData[Days'# UK])),betaUK/(deltaUK+betaPodeltaUK*EXP(-betaUK*tblData[Days'# UK])),"")</f>
        <v>142373.39422421326</v>
      </c>
      <c r="BM113" s="61" t="str">
        <f ca="1">IF(AND(tblData[Dates]&gt;StartDt2UK,ISNUMBER(tblData[United Kingdom])),(tblData[[#This Row],[UK LogiP(t)]]-tblData[[#This Row],[United Kingdom]])^2,"")</f>
        <v/>
      </c>
      <c r="BN113" s="11">
        <f ca="1">IF(ISNUMBER(tblData[Days'# UK]),tblData[[#This Row],[UK LogiP(t)]]/UKPopscale,"")</f>
        <v>21428.867282392122</v>
      </c>
      <c r="BO113" s="126" t="str">
        <f ca="1">IF(AND(ISNUMBER(tblData[United Kingdom]),tblData[Dates]&gt;StartDt2UK),(tblData[United Kingdom]-AVERAGE(tblData[United Kingdom]))^2,"")</f>
        <v/>
      </c>
      <c r="BP113" s="11">
        <f>tblData[[#This Row],[Dates]]-UK100dt</f>
        <v>52</v>
      </c>
      <c r="BQ113" s="11">
        <f ca="1">IF(ISNUMBER(tblData[Days'# China]),betaChina/(deltaChina+betaPodeltaChina*EXP(-betaChina*tblData[Days'# China])),"")</f>
        <v>82125.159834371399</v>
      </c>
      <c r="BR113" s="11" t="str">
        <f>IF(ISNUMBER(tblData[China]),(tblData[[#This Row],[China LogiP(t)]]-tblData[[#This Row],[China]])^2,"")</f>
        <v/>
      </c>
      <c r="BS113" s="11">
        <f ca="1">tblData[[#This Row],[China LogiP(t)]]/ChinaPopscale</f>
        <v>570.58155505916829</v>
      </c>
      <c r="BT113" s="126" t="str">
        <f ca="1">IF(AND(ISNUMBER(tblData[China]),tblData[Dates]&gt;StartDt2China),(tblData[China]-AVERAGE(tblData[China]))^2,"")</f>
        <v/>
      </c>
      <c r="BU113" s="11">
        <f>tblData[[#This Row],[Dates]]-China100dt</f>
        <v>91</v>
      </c>
      <c r="BV113" s="95">
        <f ca="1">IF(ISNUMBER(tblData[Day'# Singapore]),betaSingapore/(deltaSingapore+betaPodeltaSingapore*EXP(-betaSingapore*tblData[Day'# Singapore])),"")</f>
        <v>18697.689363855956</v>
      </c>
      <c r="BW113" s="11" t="str">
        <f ca="1">IF(AND(ISNUMBER(tblData[Singapore]),tblData[Dates]&gt;=StartDt2Singapore),(tblData[[#This Row],[Singapore LogiP(t)]]-tblData[[#This Row],[Singapore]])^2,"")</f>
        <v/>
      </c>
      <c r="BX113" s="20">
        <f ca="1">IF(ISNUMBER(tblData[Day'# Singapore]),tblData[Singapore LogiP(t)]/SingaporePopscale,"")</f>
        <v>31961.862160437533</v>
      </c>
      <c r="BY113" s="95" t="str">
        <f ca="1">IF(AND(ISNUMBER(tblData[Singapore]),tblData[Dates]&gt;StartDt2Singapore),(tblData[Singapore]-AVERAGE(tblData[Singapore]))^2,"")</f>
        <v/>
      </c>
      <c r="BZ113" s="11">
        <f>tblData[[#This Row],[Dates]]-Singapore100dt+1</f>
        <v>80</v>
      </c>
      <c r="CA113" s="11">
        <f>IF(AND(tblData[Dates]&gt;StartDt2Generic,ISNUMBER(tblData[Day'# Generic])),betaGeneric/(deltaGeneric+betaPodeltaGeneric*EXP(-betaGeneric*tblData[Day'# Generic])),"")</f>
        <v>22990.655856298075</v>
      </c>
      <c r="CB113" s="95" t="str">
        <f>IF(AND(ISNUMBER(tblData[Generic]),tblData[Dates]&gt;StartDt2Generic),(tblData[Generic LogiP(t)]-tblData[[#This Row],[Generic]])^2,"")</f>
        <v/>
      </c>
      <c r="CC113" s="11">
        <f>IF(AND(ISNUMBER(tblData[Day'# Generic]),tblData[Dates]&gt;StartDt2Generic),tblData[Generic LogiP(t)]/GenericPopscale,"")</f>
        <v>46919.705829179744</v>
      </c>
      <c r="CD113" s="95" t="str">
        <f>IF(AND(ISNUMBER(tblData[Generic]),tblData[Dates]&gt;StartDt2Generic),(tblData[Generic]-AVERAGE(tblData[Generic]))^2,"")</f>
        <v/>
      </c>
      <c r="CE113" s="11">
        <f>tblData[[#This Row],[Dates]]-Generic100dt+1</f>
        <v>52</v>
      </c>
      <c r="CF113" s="11"/>
      <c r="CG113" s="11"/>
      <c r="CH113" s="11" t="str">
        <f>IF(ISNUMBER(tblData[[#This Row],[Tests]]),tblData[[#This Row],[Tests]]-CF112,"")</f>
        <v/>
      </c>
      <c r="CI113" s="11" t="str">
        <f>IF(ISNUMBER(tblData[[#This Row],[NSW Under Investigation'']]),tblData[[#This Row],[NSW Under Investigation'']]-CG112,"")</f>
        <v/>
      </c>
      <c r="CJ113" s="11">
        <f t="shared" si="2"/>
        <v>59</v>
      </c>
      <c r="CK113" s="11">
        <f>IF(AND(tblData[[#This Row],[NSW Test Day Number]]&gt;0,ISNUMBER(tblData[[#This Row],[NSW Test Day Number]])),betaTests/(deltaTests+betaPodeltaTests*EXP(-betaTests*tblData[[#This Row],[NSW Test Day Number]])),"")</f>
        <v>172340.06629129636</v>
      </c>
      <c r="CL113" s="11" t="str">
        <f>IF(tblData[Tests]&gt;0,(tblData[[#This Row],[Tests]]-tblData[[#This Row],[NSW Test Logi]])^2,"")</f>
        <v/>
      </c>
      <c r="CM113" s="95" t="str">
        <f>IF(AND(ISNUMBER(tblData[Tests]),tblData[Dates]&gt;StartDt2Tests),(tblData[Tests]-AVERAGE(tblData[Tests]))^2,"")</f>
        <v/>
      </c>
      <c r="CN113" s="11" t="str">
        <f>IF(ISNUMBER(tblData[Tests]),tblData[Tests]/NSWpopscale/100,"")</f>
        <v/>
      </c>
      <c r="CO113" s="95">
        <f ca="1">IF(AND(tblData[[#This Row],[NSW Test Day Number]]&gt;0,ISNUMBER(tblData[[#This Row],[NSW Test Day Number]])),TestsLogestB*TestsLogestM^tblData[[#This Row],[NSW Test Day Number]],"")</f>
        <v>412822.7479612694</v>
      </c>
      <c r="CP113" s="11" t="str">
        <f>IF(AND(tblData[[#This Row],[NSW Test Day Number]]&gt;0,ISNUMBER(tblData[Tests])),(tblData[Tests]-tblData[[#This Row],[NSW Test Per Capita]])^2,"")</f>
        <v/>
      </c>
      <c r="CQ113" s="20">
        <f ca="1">IF(AND(tblData[Day '# NSW]&gt;0,ISNUMBER(tblData[[#This Row],[Day '# NSW]])),NSWLogestB*NSWLogestM^tblData[[#This Row],[Day '# NSW]]/NSWpopscale,"")</f>
        <v>19347.081213591362</v>
      </c>
      <c r="CR113" s="39">
        <f ca="1">IF(AND(ISNUMBER(tblData[NSW]),tblData[Dates]&gt;StartDt2NSW),(tblData[NSW]/NSWpopscale-tblData[[#This Row],[NSW Cases LogEst]])^2,"")</f>
        <v>243075947.49284253</v>
      </c>
      <c r="CS113" s="39"/>
      <c r="CT113" s="19" t="str">
        <f>IF(ISNUMBER(tblData[Taiwan]),tblData[Taiwan]/TaiwanPopscale,"")</f>
        <v/>
      </c>
      <c r="CU113" s="11">
        <f ca="1">IF(tblData[[#This Row],[Dates]]&lt;StartDt2Taiwan,"",tblData[[#This Row],[Dates]]-TaiwanStart)</f>
        <v>102</v>
      </c>
      <c r="CV113" s="19">
        <f ca="1">IF(AND(tblData[Dates]&gt;StartDt2Taiwan,ISNUMBER(tblData[Days'# Taiwan])),betaTaiwan/(deltaTaiwan+betaPodeltaTaiwan*EXP(-betaTaiwan*tblData[Days'# Taiwan])),"")</f>
        <v>424.9893323589626</v>
      </c>
      <c r="CW113" s="95" t="str">
        <f ca="1">IF(AND(tblData[Dates]&gt;StartDt2Taiwan,ISNUMBER(tblData[Taiwan])),(tblData[[#This Row],[Taiwan LogiP(t)]]-tblData[[#This Row],[Taiwan]])^2,"")</f>
        <v/>
      </c>
      <c r="CX113" s="20">
        <f ca="1">IF(AND(tblData[Dates]&gt;StartDt2Taiwan,ISNUMBER(tblData[Days'# Taiwan])),tblData[[#This Row],[Taiwan LogiP(t)]]/TaiwanPopscale,"")</f>
        <v>178.51232759748154</v>
      </c>
      <c r="CY113" s="95" t="str">
        <f ca="1">IF(AND(ISNUMBER(tblData[Taiwan]),tblData[Dates]&gt;StartDt2Taiwan),(tblData[Taiwan]-AVERAGE(tblData[Taiwan]))^2,"")</f>
        <v/>
      </c>
      <c r="CZ113" s="11">
        <f>tblData[[#This Row],[Dates]]-Taiwan100dt+1</f>
        <v>39</v>
      </c>
      <c r="DB113" s="20" t="str">
        <f>IF(ISNUMBER(tblData[NZ]),tblData[NZ]/NZPopscale,"")</f>
        <v/>
      </c>
      <c r="DC113" s="11">
        <f ca="1">IF(tblData[[#This Row],[Dates]]&lt;StartDt2NZ,"",tblData[[#This Row],[Dates]]-NZStart)</f>
        <v>65</v>
      </c>
      <c r="DD113" s="20">
        <f ca="1">IF(AND(tblData[Dates]&gt;StartDt2NZ,ISNUMBER(tblData[Days'# NZ])),betaNZ/(deltaNZ+betaPodeltaNZ*EXP(-betaNZ*tblData[Days'# NZ])),"")</f>
        <v>1460.2193459961668</v>
      </c>
      <c r="DE113" s="95" t="str">
        <f ca="1">IF(AND(tblData[Dates]&gt;StartDt2NZ,ISNUMBER(tblData[NZ])),(tblData[[#This Row],[NZ LogiP(t)]]-tblData[[#This Row],[NZ]])^2,"")</f>
        <v/>
      </c>
      <c r="DF113" s="20">
        <f ca="1">IF(AND(tblData[Dates]&gt;StartDt2NZ,ISNUMBER(tblData[Days'# NZ])),tblData[[#This Row],[NZ LogiP(t)]]/NZPopscale,"")</f>
        <v>2792.0063976982156</v>
      </c>
      <c r="DG113" s="95" t="str">
        <f ca="1">IF(AND(ISNUMBER(tblData[NZ]),tblData[Dates]&gt;StartDt2NZ),(tblData[NZ]-AVERAGE(tblData[NZ]))^2,"")</f>
        <v/>
      </c>
      <c r="DH113" s="11">
        <f>tblData[[#This Row],[Dates]]-NZ100dt+1</f>
        <v>43</v>
      </c>
      <c r="DI113" s="39"/>
      <c r="DJ113" s="11"/>
      <c r="DM113" s="25"/>
      <c r="DP113"/>
      <c r="DV113" s="25"/>
      <c r="DW113"/>
      <c r="EA113" s="25"/>
      <c r="EH113"/>
      <c r="EI113"/>
      <c r="EJ113"/>
      <c r="EK113"/>
      <c r="EL113" s="25"/>
      <c r="EM113" s="25"/>
      <c r="EQ113" s="25"/>
      <c r="ER113" s="25"/>
      <c r="ES113" s="25"/>
      <c r="ET113" s="25"/>
      <c r="EV113" s="25"/>
      <c r="FA113" s="25"/>
      <c r="FB113" s="25"/>
      <c r="FC113" s="25"/>
      <c r="FD113" s="25"/>
      <c r="FE113" s="25"/>
      <c r="FF113" s="25"/>
      <c r="FG113" s="25"/>
      <c r="FH113"/>
      <c r="FI113" s="59"/>
      <c r="FJ113" s="26"/>
      <c r="FK113" s="59"/>
      <c r="FL113" s="26"/>
      <c r="FO113" s="270" t="s">
        <v>153</v>
      </c>
      <c r="FP113" s="253">
        <v>43938.923634259256</v>
      </c>
      <c r="FQ113" s="156">
        <v>43855</v>
      </c>
      <c r="FR113" s="26">
        <v>43855</v>
      </c>
      <c r="FS113" s="224">
        <v>1</v>
      </c>
      <c r="FT113" s="44">
        <v>0.23820003460936504</v>
      </c>
      <c r="FU113" s="71">
        <v>8.1415369881391729E-5</v>
      </c>
      <c r="FV113" s="73">
        <v>1E-3</v>
      </c>
      <c r="FW113" s="225">
        <v>2925.7379160271794</v>
      </c>
      <c r="FX113" s="225">
        <v>22.045618575441097</v>
      </c>
      <c r="FY113" s="226">
        <v>0.99959107202448028</v>
      </c>
      <c r="FZ113" s="213">
        <v>238.19995319399513</v>
      </c>
      <c r="GA113" s="213">
        <v>8.1415369881391725E-2</v>
      </c>
      <c r="GB113" s="243">
        <v>43938</v>
      </c>
      <c r="GC113" s="26" t="s">
        <v>1918</v>
      </c>
      <c r="GD113" s="214">
        <v>2925.7379160271771</v>
      </c>
      <c r="GE113" s="225">
        <v>2926</v>
      </c>
      <c r="GF113" s="228" t="s">
        <v>1919</v>
      </c>
      <c r="GG113" s="156">
        <v>43938</v>
      </c>
      <c r="GH113" s="52">
        <v>84</v>
      </c>
      <c r="GI113" s="26" t="s">
        <v>2440</v>
      </c>
      <c r="GJ113" s="51"/>
      <c r="GK113" s="62" t="s">
        <v>2438</v>
      </c>
      <c r="GL113" s="51"/>
      <c r="GM113" s="18" t="s">
        <v>2441</v>
      </c>
      <c r="GN113" s="11">
        <v>3621.287128712871</v>
      </c>
      <c r="GO113" s="157"/>
      <c r="GP113" s="229"/>
      <c r="GQ113" s="156"/>
      <c r="GR113" s="11"/>
      <c r="GS113" s="25" t="s">
        <v>2439</v>
      </c>
      <c r="GT113" s="11">
        <v>2920.4324328816347</v>
      </c>
      <c r="GU113" s="12">
        <v>6.0877853072304876E-3</v>
      </c>
      <c r="GV113" s="240">
        <v>43903</v>
      </c>
      <c r="GW113" s="162" t="s">
        <v>2389</v>
      </c>
      <c r="GX113" s="231">
        <v>-17.646884596031214</v>
      </c>
      <c r="GY113" s="25" t="s">
        <v>153</v>
      </c>
      <c r="GZ113" s="25" t="s">
        <v>153</v>
      </c>
      <c r="HA113" s="25" t="s">
        <v>2441</v>
      </c>
    </row>
    <row r="114" spans="2:244" x14ac:dyDescent="0.25">
      <c r="B114" s="26">
        <f t="shared" si="4"/>
        <v>43955</v>
      </c>
      <c r="L114" s="11" t="str">
        <f>IF(ISNUMBER(tblData[[#This Row],[NSW]]),tblData[[#This Row],[New South Wales]]/NSWpopscale,"")</f>
        <v/>
      </c>
      <c r="N114" s="20" t="str">
        <f>IF(ISNUMBER(tblData[Italy]),tblData[Italy]/ItalyPopscale,"")</f>
        <v/>
      </c>
      <c r="P114" s="20" t="str">
        <f>IF(ISNUMBER(tblData[US]),tblData[US]/USPopscale,"")</f>
        <v/>
      </c>
      <c r="Q114" s="11"/>
      <c r="R114" s="20" t="str">
        <f>IF(ISNUMBER(tblData[SKorea]),tblData[SKorea]/SKoreaPopscale,"")</f>
        <v/>
      </c>
      <c r="S114" s="44"/>
      <c r="T114" s="12" t="str">
        <f>IF(ISNUMBER(tblData[United Kingdom]),tblData[United Kingdom]/UKPopscale,"")</f>
        <v/>
      </c>
      <c r="V114" s="20" t="str">
        <f>IF(ISNUMBER(tblData[China]),tblData[China]/ChinaPopscale,"")</f>
        <v/>
      </c>
      <c r="W114" s="25">
        <f ca="1">IF(tblData[[#This Row],[Dates]]&lt;StartDt2China,"",tblData[[#This Row],[Dates]]-ChinaStart)</f>
        <v>103</v>
      </c>
      <c r="X114" s="20"/>
      <c r="Y114" s="20" t="str">
        <f>IF(ISNUMBER(tblData[Singapore]),tblData[Singapore]/SingaporePopscale,"")</f>
        <v/>
      </c>
      <c r="Z114" s="20"/>
      <c r="AA114" s="20" t="str">
        <f>IF(AND(LEN(tblData[Generic])&gt;0,ISNUMBER(tblData[Generic])),tblData[Generic]/GenericPopscale,"")</f>
        <v/>
      </c>
      <c r="AB114" s="25">
        <f ca="1">IF(tblData[[#This Row],[Dates]]&lt;StartDt2Italy,"",tblData[[#This Row],[Dates]]-ItalyStart)</f>
        <v>95</v>
      </c>
      <c r="AC114" s="25">
        <f ca="1">IF(tblData[[#This Row],[Dates]]&lt;=StartDt2US,"",tblData[[#This Row],[Dates]]-USStart)</f>
        <v>103</v>
      </c>
      <c r="AD114" s="25">
        <f>IF(tblData[[#This Row],[Dates]]&lt;=SKoreaStart,"",tblData[[#This Row],[Dates]]-SKoreaStart)</f>
        <v>103</v>
      </c>
      <c r="AE114" s="25">
        <f ca="1">IF(tblData[[#This Row],[Dates]]&lt;=StartDt2UK,"",tblData[[#This Row],[Dates]]-UKStart)</f>
        <v>95</v>
      </c>
      <c r="AF114" s="25">
        <f ca="1">IF(tblData[[#This Row],[Dates]]&lt;StartDt2Singapore,"",tblData[[#This Row],[Dates]]-SingaporeStart)</f>
        <v>102</v>
      </c>
      <c r="AG114" s="25">
        <f>IF(tblData[[#This Row],[Dates]]&lt;StartDt2Generic,"",tblData[[#This Row],[Dates]]-GenericStart)</f>
        <v>65</v>
      </c>
      <c r="AH114">
        <f ca="1">IF(tblData[Dates]&gt;StartDt2Au,tblData[Dates]-AuStart,"")</f>
        <v>100</v>
      </c>
      <c r="AI114" s="25" t="str">
        <f>IF(AND(COUNTBLANK(tblData[[#This Row],[Australian Capital Territory]:[Western Australia]])&lt;1,tblData[New South Wales]&gt;=0),SUM(tblData[[#This Row],[Australian Capital Territory]:[Western Australia]]),"")</f>
        <v/>
      </c>
      <c r="AJ114" s="12" t="str">
        <f>IF(ISNUMBER(tblData[Au]),tblData[Au]/AuPopScale,"")</f>
        <v/>
      </c>
      <c r="AK114" s="11">
        <f ca="1">IF(ISNUMBER(tblData[[#This Row],[Day'# Aust]]),betaAu/(deltaAu+betaPodeltaAu*EXP(-betaAu*tblData[[#This Row],[Day'# Aust]])),"")</f>
        <v>6642.3650335567363</v>
      </c>
      <c r="AL114" s="56">
        <f ca="1">IF(ISNUMBER(tblData[Day'# Aust]),tblData[Au LogiP(t)]/AuPopScale,"")</f>
        <v>2618.8160517097999</v>
      </c>
      <c r="AM114" s="11" t="str">
        <f ca="1">IF(AND(tblData[Dates]&gt;StartDt2Au,ISNUMBER(tblData[Au])),(tblData[[#This Row],[Au LogiP(t)]]-tblData[[#This Row],[Au]])^2,"")</f>
        <v/>
      </c>
      <c r="AN114" s="11" t="str">
        <f ca="1">IF(AND(ISNUMBER(tblData[Au]),tblData[Dates]&gt;StartDt2Au),(tblData[Au]-AVERAGE(tblData[Au]))^2,"")</f>
        <v/>
      </c>
      <c r="AO114" s="11">
        <f>tblData[[#This Row],[Dates]]-Au100dt</f>
        <v>50</v>
      </c>
      <c r="AP114">
        <f ca="1">IF(tblData[Dates]&gt;StartDt2NSW,tblData[Dates]-StartDt2NSW,"")</f>
        <v>100</v>
      </c>
      <c r="AQ114" s="25" t="str">
        <f>IF(tblData[[#This Row],[New South Wales]]&gt;0,tblData[[#This Row],[New South Wales]],"")</f>
        <v/>
      </c>
      <c r="AR114" s="11">
        <f ca="1">IF(tblData[Dates]&gt;StartDt2NSW,betaNSW/(deltaNSW+betaPodeltaNSW*EXP(-betaNSW*tblData[[#This Row],[Day '# NSW]])),"")</f>
        <v>2973.1094925542598</v>
      </c>
      <c r="AS114" s="12" t="str">
        <f ca="1">IF(AND(ISNUMBER(tblData[NSW]),tblData[Dates]&gt;StartDt2NSW),(tblData[[#This Row],[NSW LogiP(t)]]-tblData[[#This Row],[NSW]])^2,"")</f>
        <v/>
      </c>
      <c r="AT114" s="39">
        <f ca="1">IF(AND(tblData[Dates]&gt;StartDt2NSW,ISNUMBER(tblData[Day'# Aust])),tblData[NSW LogiP(t)]/NSWpopscale,"")</f>
        <v>3679.5909561315093</v>
      </c>
      <c r="AU114" s="11">
        <f>tblData[[#This Row],[Dates]]-NSW100dt+1</f>
        <v>53</v>
      </c>
      <c r="AV114" s="11" t="str">
        <f ca="1">IF(AND(ISNUMBER(tblData[NSW]),tblData[Dates]&gt;StartDt2NSW),(tblData[NSW]-AVERAGE(tblData[NSW]))^2,"")</f>
        <v/>
      </c>
      <c r="AW114" s="11">
        <f ca="1">IF(AND(tblData[Dates]&gt;StartDt2Italy,ISNUMBER(tblData[Days'# Italy])),betaItaly/(deltaItaly+betaPodeltaItaly*EXP(-betaItaly*tblData[Days'# Italy])),"")</f>
        <v>161382.97239434958</v>
      </c>
      <c r="AX114" s="11" t="str">
        <f ca="1">IF(AND(tblData[Dates]&gt;StartDt2Italy,ISNUMBER(tblData[Italy])),(tblData[[#This Row],[Italy LogiP(t)]]-tblData[[#This Row],[Italy]])^2,"")</f>
        <v/>
      </c>
      <c r="AY114" s="11">
        <f ca="1">IF(AND(tblData[Dates]&gt;StartDt2Italy,ISNUMBER(tblData[Days'# Italy])),tblData[[#This Row],[Italy LogiP(t)]]/ItalyPopscale,"")</f>
        <v>26681.486714780454</v>
      </c>
      <c r="AZ114" s="39" t="str">
        <f ca="1">IF(AND(ISNUMBER(tblData[Italy]),tblData[Dates]&gt;StartDt2Italy),(tblData[Italy]-AVERAGE(tblData[Italy]))^2,"")</f>
        <v/>
      </c>
      <c r="BA114" s="11">
        <f>tblData[[#This Row],[Dates]]-Italy100dt+1</f>
        <v>68</v>
      </c>
      <c r="BB114" s="11">
        <f ca="1">IF(AND(tblData[Dates]&gt;StartDt2US,ISNUMBER(tblData[[#This Row],[Days'# US]])),betaUS/(deltaUS+betaPodeltaUS*EXP(-betaUS*tblData[Days'# US])),"")</f>
        <v>813265.73374594271</v>
      </c>
      <c r="BC114" s="11" t="str">
        <f ca="1">IF(AND(tblData[Dates]&gt;StartDt2US,ISNUMBER(tblData[US])),(tblData[[#This Row],[US LogiP(t)]]-tblData[US])^2,"")</f>
        <v/>
      </c>
      <c r="BD114" s="20">
        <f ca="1">IF(AND(tblData[Dates]&gt;=StartDt2US,ISNUMBER(tblData[[#This Row],[Days'# US]])),tblData[[#This Row],[US LogiP(t)]]/USPopscale,"")</f>
        <v>24702.223419102193</v>
      </c>
      <c r="BE114" s="126" t="str">
        <f ca="1">IF(AND(ISNUMBER(tblData[US]),tblData[Dates]&gt;StartDt2US),(tblData[US]-AVERAGE(tblData[US]))^2,"")</f>
        <v/>
      </c>
      <c r="BF114" s="11">
        <f>tblData[[#This Row],[Dates]]-US100dt+1</f>
        <v>51</v>
      </c>
      <c r="BG114" s="20">
        <f ca="1">IF(tblData[Dates]&gt;StartDt2SKorea,betaSKorea/(deltaSKorea+betaPodeltaSKorea*EXP(-betaSKorea*(tblData[Dates]-StartDt2SKorea))),"")</f>
        <v>10233.954951504384</v>
      </c>
      <c r="BH114" s="20" t="str">
        <f ca="1">IF(AND(tblData[Dates]&gt;StartDt2SKorea,ISNUMBER(tblData[SKorea])),(tblData[[#This Row],[SKorea LogiP(t)]]-tblData[[#This Row],[SKorea]])^2,"")</f>
        <v/>
      </c>
      <c r="BI114" s="20">
        <f ca="1">IF(tblData[Dates]&gt;StartDt2SKorea,tblData[[#This Row],[SKorea LogiP(t)]]/SKoreaPopscale,"")</f>
        <v>1991.0418193588296</v>
      </c>
      <c r="BJ114" s="126" t="str">
        <f ca="1">IF(AND(ISNUMBER(tblData[SKorea]),tblData[Dates]&gt;StartDt2SKorea),(tblData[SKorea]-AVERAGE(tblData[SKorea]))^2,"")</f>
        <v/>
      </c>
      <c r="BK114" s="11">
        <f>tblData[[#This Row],[Dates]]-SKorea100dt+1</f>
        <v>72</v>
      </c>
      <c r="BL114" s="11">
        <f ca="1">IF(AND(tblData[Dates]&gt;StartDt2UK,ISNUMBER(tblData[Days'# UK])),betaUK/(deltaUK+betaPodeltaUK*EXP(-betaUK*tblData[Days'# UK])),"")</f>
        <v>142460.94172269251</v>
      </c>
      <c r="BM114" s="61" t="str">
        <f ca="1">IF(AND(tblData[Dates]&gt;StartDt2UK,ISNUMBER(tblData[United Kingdom])),(tblData[[#This Row],[UK LogiP(t)]]-tblData[[#This Row],[United Kingdom]])^2,"")</f>
        <v/>
      </c>
      <c r="BN114" s="11">
        <f ca="1">IF(ISNUMBER(tblData[Days'# UK]),tblData[[#This Row],[UK LogiP(t)]]/UKPopscale,"")</f>
        <v>21442.044208713502</v>
      </c>
      <c r="BO114" s="126" t="str">
        <f ca="1">IF(AND(ISNUMBER(tblData[United Kingdom]),tblData[Dates]&gt;StartDt2UK),(tblData[United Kingdom]-AVERAGE(tblData[United Kingdom]))^2,"")</f>
        <v/>
      </c>
      <c r="BP114" s="11">
        <f>tblData[[#This Row],[Dates]]-UK100dt</f>
        <v>53</v>
      </c>
      <c r="BQ114" s="11">
        <f ca="1">IF(ISNUMBER(tblData[Days'# China]),betaChina/(deltaChina+betaPodeltaChina*EXP(-betaChina*tblData[Days'# China])),"")</f>
        <v>82125.15997229144</v>
      </c>
      <c r="BR114" s="11" t="str">
        <f>IF(ISNUMBER(tblData[China]),(tblData[[#This Row],[China LogiP(t)]]-tblData[[#This Row],[China]])^2,"")</f>
        <v/>
      </c>
      <c r="BS114" s="11">
        <f ca="1">tblData[[#This Row],[China LogiP(t)]]/ChinaPopscale</f>
        <v>570.58155601739634</v>
      </c>
      <c r="BT114" s="126" t="str">
        <f ca="1">IF(AND(ISNUMBER(tblData[China]),tblData[Dates]&gt;StartDt2China),(tblData[China]-AVERAGE(tblData[China]))^2,"")</f>
        <v/>
      </c>
      <c r="BU114" s="11">
        <f>tblData[[#This Row],[Dates]]-China100dt</f>
        <v>92</v>
      </c>
      <c r="BV114" s="95">
        <f ca="1">IF(ISNUMBER(tblData[Day'# Singapore]),betaSingapore/(deltaSingapore+betaPodeltaSingapore*EXP(-betaSingapore*tblData[Day'# Singapore])),"")</f>
        <v>19804.772945676705</v>
      </c>
      <c r="BW114" s="11" t="str">
        <f ca="1">IF(AND(ISNUMBER(tblData[Singapore]),tblData[Dates]&gt;=StartDt2Singapore),(tblData[[#This Row],[Singapore LogiP(t)]]-tblData[[#This Row],[Singapore]])^2,"")</f>
        <v/>
      </c>
      <c r="BX114" s="20">
        <f ca="1">IF(ISNUMBER(tblData[Day'# Singapore]),tblData[Singapore LogiP(t)]/SingaporePopscale,"")</f>
        <v>33854.31272765249</v>
      </c>
      <c r="BY114" s="95" t="str">
        <f ca="1">IF(AND(ISNUMBER(tblData[Singapore]),tblData[Dates]&gt;StartDt2Singapore),(tblData[Singapore]-AVERAGE(tblData[Singapore]))^2,"")</f>
        <v/>
      </c>
      <c r="BZ114" s="11">
        <f>tblData[[#This Row],[Dates]]-Singapore100dt+1</f>
        <v>81</v>
      </c>
      <c r="CA114" s="11">
        <f>IF(AND(tblData[Dates]&gt;StartDt2Generic,ISNUMBER(tblData[Day'# Generic])),betaGeneric/(deltaGeneric+betaPodeltaGeneric*EXP(-betaGeneric*tblData[Day'# Generic])),"")</f>
        <v>23259.976024441199</v>
      </c>
      <c r="CB114" s="95" t="str">
        <f>IF(AND(ISNUMBER(tblData[Generic]),tblData[Dates]&gt;StartDt2Generic),(tblData[Generic LogiP(t)]-tblData[[#This Row],[Generic]])^2,"")</f>
        <v/>
      </c>
      <c r="CC114" s="11">
        <f>IF(AND(ISNUMBER(tblData[Day'# Generic]),tblData[Dates]&gt;StartDt2Generic),tblData[Generic LogiP(t)]/GenericPopscale,"")</f>
        <v>47469.338825390201</v>
      </c>
      <c r="CD114" s="95" t="str">
        <f>IF(AND(ISNUMBER(tblData[Generic]),tblData[Dates]&gt;StartDt2Generic),(tblData[Generic]-AVERAGE(tblData[Generic]))^2,"")</f>
        <v/>
      </c>
      <c r="CE114" s="11">
        <f>tblData[[#This Row],[Dates]]-Generic100dt+1</f>
        <v>53</v>
      </c>
      <c r="CF114" s="11"/>
      <c r="CG114" s="11"/>
      <c r="CH114" s="11" t="str">
        <f>IF(ISNUMBER(tblData[[#This Row],[Tests]]),tblData[[#This Row],[Tests]]-CF113,"")</f>
        <v/>
      </c>
      <c r="CI114" s="11" t="str">
        <f>IF(ISNUMBER(tblData[[#This Row],[NSW Under Investigation'']]),tblData[[#This Row],[NSW Under Investigation'']]-CG113,"")</f>
        <v/>
      </c>
      <c r="CJ114" s="11">
        <f t="shared" si="2"/>
        <v>60</v>
      </c>
      <c r="CK114" s="11">
        <f>IF(AND(tblData[[#This Row],[NSW Test Day Number]]&gt;0,ISNUMBER(tblData[[#This Row],[NSW Test Day Number]])),betaTests/(deltaTests+betaPodeltaTests*EXP(-betaTests*tblData[[#This Row],[NSW Test Day Number]])),"")</f>
        <v>172373.57641970363</v>
      </c>
      <c r="CL114" s="11" t="str">
        <f>IF(tblData[Tests]&gt;0,(tblData[[#This Row],[Tests]]-tblData[[#This Row],[NSW Test Logi]])^2,"")</f>
        <v/>
      </c>
      <c r="CM114" s="95" t="str">
        <f>IF(AND(ISNUMBER(tblData[Tests]),tblData[Dates]&gt;StartDt2Tests),(tblData[Tests]-AVERAGE(tblData[Tests]))^2,"")</f>
        <v/>
      </c>
      <c r="CN114" s="11" t="str">
        <f>IF(ISNUMBER(tblData[Tests]),tblData[Tests]/NSWpopscale/100,"")</f>
        <v/>
      </c>
      <c r="CO114" s="95">
        <f ca="1">IF(AND(tblData[[#This Row],[NSW Test Day Number]]&gt;0,ISNUMBER(tblData[[#This Row],[NSW Test Day Number]])),TestsLogestB*TestsLogestM^tblData[[#This Row],[NSW Test Day Number]],"")</f>
        <v>437596.83335004933</v>
      </c>
      <c r="CP114" s="11" t="str">
        <f>IF(AND(tblData[[#This Row],[NSW Test Day Number]]&gt;0,ISNUMBER(tblData[Tests])),(tblData[Tests]-tblData[[#This Row],[NSW Test Per Capita]])^2,"")</f>
        <v/>
      </c>
      <c r="CQ114" s="20">
        <f ca="1">IF(AND(tblData[Day '# NSW]&gt;0,ISNUMBER(tblData[[#This Row],[Day '# NSW]])),NSWLogestB*NSWLogestM^tblData[[#This Row],[Day '# NSW]]/NSWpopscale,"")</f>
        <v>21300.278029232584</v>
      </c>
      <c r="CR114" s="39" t="str">
        <f ca="1">IF(AND(ISNUMBER(tblData[NSW]),tblData[Dates]&gt;StartDt2NSW),(tblData[NSW]/NSWpopscale-tblData[[#This Row],[NSW Cases LogEst]])^2,"")</f>
        <v/>
      </c>
      <c r="CS114" s="39"/>
      <c r="CT114" s="19" t="str">
        <f>IF(ISNUMBER(tblData[Taiwan]),tblData[Taiwan]/TaiwanPopscale,"")</f>
        <v/>
      </c>
      <c r="CU114" s="11">
        <f ca="1">IF(tblData[[#This Row],[Dates]]&lt;StartDt2Taiwan,"",tblData[[#This Row],[Dates]]-TaiwanStart)</f>
        <v>103</v>
      </c>
      <c r="CV114" s="19">
        <f ca="1">IF(AND(tblData[Dates]&gt;StartDt2Taiwan,ISNUMBER(tblData[Days'# Taiwan])),betaTaiwan/(deltaTaiwan+betaPodeltaTaiwan*EXP(-betaTaiwan*tblData[Days'# Taiwan])),"")</f>
        <v>425.15863088808413</v>
      </c>
      <c r="CW114" s="95" t="str">
        <f ca="1">IF(AND(tblData[Dates]&gt;StartDt2Taiwan,ISNUMBER(tblData[Taiwan])),(tblData[[#This Row],[Taiwan LogiP(t)]]-tblData[[#This Row],[Taiwan]])^2,"")</f>
        <v/>
      </c>
      <c r="CX114" s="20">
        <f ca="1">IF(AND(tblData[Dates]&gt;StartDt2Taiwan,ISNUMBER(tblData[Days'# Taiwan])),tblData[[#This Row],[Taiwan LogiP(t)]]/TaiwanPopscale,"")</f>
        <v>178.5834396753414</v>
      </c>
      <c r="CY114" s="95" t="str">
        <f ca="1">IF(AND(ISNUMBER(tblData[Taiwan]),tblData[Dates]&gt;StartDt2Taiwan),(tblData[Taiwan]-AVERAGE(tblData[Taiwan]))^2,"")</f>
        <v/>
      </c>
      <c r="CZ114" s="11">
        <f>tblData[[#This Row],[Dates]]-Taiwan100dt+1</f>
        <v>40</v>
      </c>
      <c r="DB114" s="20" t="str">
        <f>IF(ISNUMBER(tblData[NZ]),tblData[NZ]/NZPopscale,"")</f>
        <v/>
      </c>
      <c r="DC114" s="11">
        <f ca="1">IF(tblData[[#This Row],[Dates]]&lt;StartDt2NZ,"",tblData[[#This Row],[Dates]]-NZStart)</f>
        <v>66</v>
      </c>
      <c r="DD114" s="20">
        <f ca="1">IF(AND(tblData[Dates]&gt;StartDt2NZ,ISNUMBER(tblData[Days'# NZ])),betaNZ/(deltaNZ+betaPodeltaNZ*EXP(-betaNZ*tblData[Days'# NZ])),"")</f>
        <v>1460.4029563379167</v>
      </c>
      <c r="DE114" s="95" t="str">
        <f ca="1">IF(AND(tblData[Dates]&gt;StartDt2NZ,ISNUMBER(tblData[NZ])),(tblData[[#This Row],[NZ LogiP(t)]]-tblData[[#This Row],[NZ]])^2,"")</f>
        <v/>
      </c>
      <c r="DF114" s="20">
        <f ca="1">IF(AND(tblData[Dates]&gt;StartDt2NZ,ISNUMBER(tblData[Days'# NZ])),tblData[[#This Row],[NZ LogiP(t)]]/NZPopscale,"")</f>
        <v>2792.3574690973551</v>
      </c>
      <c r="DG114" s="95" t="str">
        <f ca="1">IF(AND(ISNUMBER(tblData[NZ]),tblData[Dates]&gt;StartDt2NZ),(tblData[NZ]-AVERAGE(tblData[NZ]))^2,"")</f>
        <v/>
      </c>
      <c r="DH114" s="11">
        <f>tblData[[#This Row],[Dates]]-NZ100dt+1</f>
        <v>44</v>
      </c>
      <c r="DI114" s="39"/>
      <c r="DJ114" s="11"/>
      <c r="DM114" s="25"/>
      <c r="DP114"/>
      <c r="DV114" s="25"/>
      <c r="DW114"/>
      <c r="EA114" s="25"/>
      <c r="EH114"/>
      <c r="EI114"/>
      <c r="EJ114"/>
      <c r="EK114"/>
      <c r="EL114" s="25"/>
      <c r="EM114" s="25"/>
      <c r="EP114" s="25"/>
      <c r="EQ114" s="25"/>
      <c r="ER114" s="25"/>
      <c r="ES114" s="25"/>
      <c r="ET114" s="25"/>
      <c r="EV114" s="25"/>
      <c r="FF114"/>
      <c r="FG114"/>
      <c r="FH114"/>
      <c r="FI114"/>
      <c r="FJ114"/>
      <c r="FK114"/>
      <c r="FL114"/>
      <c r="FM114"/>
      <c r="FN114"/>
      <c r="FO114" s="270" t="s">
        <v>153</v>
      </c>
      <c r="FP114" s="253">
        <v>43939.897604166668</v>
      </c>
      <c r="FQ114" s="156">
        <v>43855</v>
      </c>
      <c r="FR114" s="26">
        <v>43855</v>
      </c>
      <c r="FS114" s="224">
        <v>1</v>
      </c>
      <c r="FT114" s="44">
        <v>0.23817403072889254</v>
      </c>
      <c r="FU114" s="71">
        <v>8.1339818208220959E-5</v>
      </c>
      <c r="FV114" s="73">
        <v>1E-3</v>
      </c>
      <c r="FW114" s="225">
        <v>2928.1357639525736</v>
      </c>
      <c r="FX114" s="225">
        <v>22.103340256979855</v>
      </c>
      <c r="FY114" s="226">
        <v>0.9996031224459353</v>
      </c>
      <c r="FZ114" s="213">
        <v>238.17394938907435</v>
      </c>
      <c r="GA114" s="213">
        <v>8.1339818208220963E-2</v>
      </c>
      <c r="GB114" s="243">
        <v>43939</v>
      </c>
      <c r="GC114" s="26" t="s">
        <v>1918</v>
      </c>
      <c r="GD114" s="214">
        <v>2928.1357639525713</v>
      </c>
      <c r="GE114" s="225">
        <v>2936</v>
      </c>
      <c r="GF114" s="228" t="s">
        <v>1919</v>
      </c>
      <c r="GG114" s="156">
        <v>43939</v>
      </c>
      <c r="GH114" s="52">
        <v>85</v>
      </c>
      <c r="GI114" s="26" t="s">
        <v>2894</v>
      </c>
      <c r="GJ114" s="51"/>
      <c r="GK114" s="62" t="s">
        <v>2438</v>
      </c>
      <c r="GL114" s="51"/>
      <c r="GM114" s="18" t="s">
        <v>2895</v>
      </c>
      <c r="GN114" s="11">
        <v>3633.6633663366333</v>
      </c>
      <c r="GO114" s="157"/>
      <c r="GP114" s="229"/>
      <c r="GQ114" s="156"/>
      <c r="GR114" s="11"/>
      <c r="GS114" s="25" t="s">
        <v>2893</v>
      </c>
      <c r="GT114" s="11">
        <v>2922.8092980254432</v>
      </c>
      <c r="GU114" s="12">
        <v>6.0829356020571266E-3</v>
      </c>
      <c r="GV114" s="240">
        <v>43903</v>
      </c>
      <c r="GW114" s="162" t="s">
        <v>2389</v>
      </c>
      <c r="GX114" s="231">
        <v>-21.63421895248166</v>
      </c>
      <c r="GY114" s="25" t="s">
        <v>153</v>
      </c>
      <c r="GZ114" s="25" t="e">
        <v>#N/A</v>
      </c>
      <c r="HA114" s="25" t="s">
        <v>2895</v>
      </c>
    </row>
    <row r="115" spans="2:244" x14ac:dyDescent="0.25">
      <c r="B115" s="26">
        <f t="shared" si="4"/>
        <v>43956</v>
      </c>
      <c r="C115" s="25"/>
      <c r="D115" s="25"/>
      <c r="E115" s="25"/>
      <c r="F115" s="25"/>
      <c r="G115" s="25"/>
      <c r="H115" s="25"/>
      <c r="I115" s="25"/>
      <c r="J115" s="25"/>
      <c r="K115" s="25"/>
      <c r="L115" s="11" t="str">
        <f>IF(ISNUMBER(tblData[[#This Row],[NSW]]),tblData[[#This Row],[New South Wales]]/NSWpopscale,"")</f>
        <v/>
      </c>
      <c r="M115" s="25"/>
      <c r="N115" s="20" t="str">
        <f>IF(ISNUMBER(tblData[Italy]),tblData[Italy]/ItalyPopscale,"")</f>
        <v/>
      </c>
      <c r="O115" s="25"/>
      <c r="P115" s="20" t="str">
        <f>IF(ISNUMBER(tblData[US]),tblData[US]/USPopscale,"")</f>
        <v/>
      </c>
      <c r="Q115" s="44"/>
      <c r="R115" s="20" t="str">
        <f>IF(ISNUMBER(tblData[SKorea]),tblData[SKorea]/SKoreaPopscale,"")</f>
        <v/>
      </c>
      <c r="S115" s="44"/>
      <c r="T115" s="12" t="str">
        <f>IF(ISNUMBER(tblData[United Kingdom]),tblData[United Kingdom]/UKPopscale,"")</f>
        <v/>
      </c>
      <c r="U115" s="25"/>
      <c r="V115" s="20" t="str">
        <f>IF(ISNUMBER(tblData[China]),tblData[China]/ChinaPopscale,"")</f>
        <v/>
      </c>
      <c r="W115" s="25">
        <f ca="1">IF(tblData[[#This Row],[Dates]]&lt;StartDt2China,"",tblData[[#This Row],[Dates]]-ChinaStart)</f>
        <v>104</v>
      </c>
      <c r="X115" s="20"/>
      <c r="Y115" s="20" t="str">
        <f>IF(ISNUMBER(tblData[Singapore]),tblData[Singapore]/SingaporePopscale,"")</f>
        <v/>
      </c>
      <c r="Z115" s="20"/>
      <c r="AA115" s="20" t="str">
        <f>IF(AND(LEN(tblData[Generic])&gt;0,ISNUMBER(tblData[Generic])),tblData[Generic]/GenericPopscale,"")</f>
        <v/>
      </c>
      <c r="AB115" s="166">
        <f ca="1">IF(tblData[[#This Row],[Dates]]&lt;StartDt2Italy,"",tblData[[#This Row],[Dates]]-ItalyStart)</f>
        <v>96</v>
      </c>
      <c r="AC115" s="166">
        <f ca="1">IF(tblData[[#This Row],[Dates]]&lt;=StartDt2US,"",tblData[[#This Row],[Dates]]-USStart)</f>
        <v>104</v>
      </c>
      <c r="AD115" s="166">
        <f>IF(tblData[[#This Row],[Dates]]&lt;=SKoreaStart,"",tblData[[#This Row],[Dates]]-SKoreaStart)</f>
        <v>104</v>
      </c>
      <c r="AE115" s="166">
        <f ca="1">IF(tblData[[#This Row],[Dates]]&lt;=StartDt2UK,"",tblData[[#This Row],[Dates]]-UKStart)</f>
        <v>96</v>
      </c>
      <c r="AF115" s="166">
        <f ca="1">IF(tblData[[#This Row],[Dates]]&lt;StartDt2Singapore,"",tblData[[#This Row],[Dates]]-SingaporeStart)</f>
        <v>103</v>
      </c>
      <c r="AG115" s="166">
        <f>IF(tblData[[#This Row],[Dates]]&lt;StartDt2Generic,"",tblData[[#This Row],[Dates]]-GenericStart)</f>
        <v>66</v>
      </c>
      <c r="AH115" s="166">
        <f ca="1">IF(tblData[Dates]&gt;StartDt2Au,tblData[Dates]-AuStart,"")</f>
        <v>101</v>
      </c>
      <c r="AI115" s="25" t="str">
        <f>IF(AND(COUNTBLANK(tblData[[#This Row],[Australian Capital Territory]:[Western Australia]])&lt;1,tblData[New South Wales]&gt;=0),SUM(tblData[[#This Row],[Australian Capital Territory]:[Western Australia]]),"")</f>
        <v/>
      </c>
      <c r="AJ115" s="166" t="str">
        <f>IF(ISNUMBER(tblData[Au]),tblData[Au]/AuPopScale,"")</f>
        <v/>
      </c>
      <c r="AK115" s="11">
        <f ca="1">IF(ISNUMBER(tblData[[#This Row],[Day'# Aust]]),betaAu/(deltaAu+betaPodeltaAu*EXP(-betaAu*tblData[[#This Row],[Day'# Aust]])),"")</f>
        <v>6642.6514116060107</v>
      </c>
      <c r="AL115" s="56">
        <f ca="1">IF(ISNUMBER(tblData[Day'# Aust]),tblData[Au LogiP(t)]/AuPopScale,"")</f>
        <v>2618.9289589993732</v>
      </c>
      <c r="AM115" s="11" t="str">
        <f ca="1">IF(AND(tblData[Dates]&gt;StartDt2Au,ISNUMBER(tblData[Au])),(tblData[[#This Row],[Au LogiP(t)]]-tblData[[#This Row],[Au]])^2,"")</f>
        <v/>
      </c>
      <c r="AN115" s="11" t="str">
        <f ca="1">IF(AND(ISNUMBER(tblData[Au]),tblData[Dates]&gt;StartDt2Au),(tblData[Au]-AVERAGE(tblData[Au]))^2,"")</f>
        <v/>
      </c>
      <c r="AO115" s="11">
        <f>tblData[[#This Row],[Dates]]-Au100dt</f>
        <v>51</v>
      </c>
      <c r="AP115" s="166">
        <f ca="1">IF(tblData[Dates]&gt;StartDt2NSW,tblData[Dates]-StartDt2NSW,"")</f>
        <v>101</v>
      </c>
      <c r="AQ115" s="166" t="str">
        <f>IF(tblData[[#This Row],[New South Wales]]&gt;0,tblData[[#This Row],[New South Wales]],"")</f>
        <v/>
      </c>
      <c r="AR115" s="11">
        <f ca="1">IF(tblData[Dates]&gt;StartDt2NSW,betaNSW/(deltaNSW+betaPodeltaNSW*EXP(-betaNSW*tblData[[#This Row],[Day '# NSW]])),"")</f>
        <v>2973.2093633289564</v>
      </c>
      <c r="AS115" s="12" t="str">
        <f ca="1">IF(AND(ISNUMBER(tblData[NSW]),tblData[Dates]&gt;StartDt2NSW),(tblData[[#This Row],[NSW LogiP(t)]]-tblData[[#This Row],[NSW]])^2,"")</f>
        <v/>
      </c>
      <c r="AT115" s="12">
        <f ca="1">IF(AND(tblData[Dates]&gt;StartDt2NSW,ISNUMBER(tblData[Day'# Aust])),tblData[NSW LogiP(t)]/NSWpopscale,"")</f>
        <v>3679.7145585754411</v>
      </c>
      <c r="AU115" s="11">
        <f>tblData[[#This Row],[Dates]]-NSW100dt+1</f>
        <v>54</v>
      </c>
      <c r="AV115" s="11" t="str">
        <f ca="1">IF(AND(ISNUMBER(tblData[NSW]),tblData[Dates]&gt;StartDt2NSW),(tblData[NSW]-AVERAGE(tblData[NSW]))^2,"")</f>
        <v/>
      </c>
      <c r="AW115" s="11">
        <f ca="1">IF(AND(tblData[Dates]&gt;StartDt2Italy,ISNUMBER(tblData[Days'# Italy])),betaItaly/(deltaItaly+betaPodeltaItaly*EXP(-betaItaly*tblData[Days'# Italy])),"")</f>
        <v>161383.44364215009</v>
      </c>
      <c r="AX115" s="11" t="str">
        <f ca="1">IF(AND(tblData[Dates]&gt;StartDt2Italy,ISNUMBER(tblData[Italy])),(tblData[[#This Row],[Italy LogiP(t)]]-tblData[[#This Row],[Italy]])^2,"")</f>
        <v/>
      </c>
      <c r="AY115" s="11">
        <f ca="1">IF(AND(tblData[Dates]&gt;StartDt2Italy,ISNUMBER(tblData[Days'# Italy])),tblData[[#This Row],[Italy LogiP(t)]]/ItalyPopscale,"")</f>
        <v>26681.564626295793</v>
      </c>
      <c r="AZ115" s="11" t="str">
        <f ca="1">IF(AND(ISNUMBER(tblData[Italy]),tblData[Dates]&gt;StartDt2Italy),(tblData[Italy]-AVERAGE(tblData[Italy]))^2,"")</f>
        <v/>
      </c>
      <c r="BA115" s="11">
        <f>tblData[[#This Row],[Dates]]-Italy100dt+1</f>
        <v>69</v>
      </c>
      <c r="BB115" s="11">
        <f ca="1">IF(AND(tblData[Dates]&gt;StartDt2US,ISNUMBER(tblData[[#This Row],[Days'# US]])),betaUS/(deltaUS+betaPodeltaUS*EXP(-betaUS*tblData[Days'# US])),"")</f>
        <v>813298.81858298299</v>
      </c>
      <c r="BC115" s="11" t="str">
        <f ca="1">IF(AND(tblData[Dates]&gt;StartDt2US,ISNUMBER(tblData[US])),(tblData[[#This Row],[US LogiP(t)]]-tblData[US])^2,"")</f>
        <v/>
      </c>
      <c r="BD115" s="20">
        <f ca="1">IF(AND(tblData[Dates]&gt;=StartDt2US,ISNUMBER(tblData[[#This Row],[Days'# US]])),tblData[[#This Row],[US LogiP(t)]]/USPopscale,"")</f>
        <v>24703.228341604692</v>
      </c>
      <c r="BE115" s="126" t="str">
        <f ca="1">IF(AND(ISNUMBER(tblData[US]),tblData[Dates]&gt;StartDt2US),(tblData[US]-AVERAGE(tblData[US]))^2,"")</f>
        <v/>
      </c>
      <c r="BF115" s="11">
        <f>tblData[[#This Row],[Dates]]-US100dt+1</f>
        <v>52</v>
      </c>
      <c r="BG115" s="11">
        <f ca="1">IF(tblData[Dates]&gt;StartDt2SKorea,betaSKorea/(deltaSKorea+betaPodeltaSKorea*EXP(-betaSKorea*(tblData[Dates]-StartDt2SKorea))),"")</f>
        <v>10233.993575853096</v>
      </c>
      <c r="BH115" s="20" t="str">
        <f ca="1">IF(AND(tblData[Dates]&gt;StartDt2SKorea,ISNUMBER(tblData[SKorea])),(tblData[[#This Row],[SKorea LogiP(t)]]-tblData[[#This Row],[SKorea]])^2,"")</f>
        <v/>
      </c>
      <c r="BI115" s="20">
        <f ca="1">IF(tblData[Dates]&gt;StartDt2SKorea,tblData[[#This Row],[SKorea LogiP(t)]]/SKoreaPopscale,"")</f>
        <v>1991.0493338235597</v>
      </c>
      <c r="BJ115" s="11" t="str">
        <f ca="1">IF(AND(ISNUMBER(tblData[SKorea]),tblData[Dates]&gt;StartDt2SKorea),(tblData[SKorea]-AVERAGE(tblData[SKorea]))^2,"")</f>
        <v/>
      </c>
      <c r="BK115" s="20">
        <f>tblData[[#This Row],[Dates]]-SKorea100dt+1</f>
        <v>73</v>
      </c>
      <c r="BL115" s="11">
        <f ca="1">IF(AND(tblData[Dates]&gt;StartDt2UK,ISNUMBER(tblData[Days'# UK])),betaUK/(deltaUK+betaPodeltaUK*EXP(-betaUK*tblData[Days'# UK])),"")</f>
        <v>142531.75776231001</v>
      </c>
      <c r="BM115" s="11" t="str">
        <f ca="1">IF(AND(tblData[Dates]&gt;StartDt2UK,ISNUMBER(tblData[United Kingdom])),(tblData[[#This Row],[UK LogiP(t)]]-tblData[[#This Row],[United Kingdom]])^2,"")</f>
        <v/>
      </c>
      <c r="BN115" s="11">
        <f ca="1">IF(ISNUMBER(tblData[Days'# UK]),tblData[[#This Row],[UK LogiP(t)]]/UKPopscale,"")</f>
        <v>21452.702854050272</v>
      </c>
      <c r="BO115" s="11" t="str">
        <f ca="1">IF(AND(ISNUMBER(tblData[United Kingdom]),tblData[Dates]&gt;StartDt2UK),(tblData[United Kingdom]-AVERAGE(tblData[United Kingdom]))^2,"")</f>
        <v/>
      </c>
      <c r="BP115" s="11">
        <f>tblData[[#This Row],[Dates]]-UK100dt</f>
        <v>54</v>
      </c>
      <c r="BQ115" s="11">
        <f ca="1">IF(ISNUMBER(tblData[Days'# China]),betaChina/(deltaChina+betaPodeltaChina*EXP(-betaChina*tblData[Days'# China])),"")</f>
        <v>82125.160082879651</v>
      </c>
      <c r="BR115" s="11" t="str">
        <f>IF(ISNUMBER(tblData[China]),(tblData[[#This Row],[China LogiP(t)]]-tblData[[#This Row],[China]])^2,"")</f>
        <v/>
      </c>
      <c r="BS115" s="11">
        <f ca="1">tblData[[#This Row],[China LogiP(t)]]/ChinaPopscale</f>
        <v>570.58155678573087</v>
      </c>
      <c r="BT115" s="11" t="str">
        <f ca="1">IF(AND(ISNUMBER(tblData[China]),tblData[Dates]&gt;StartDt2China),(tblData[China]-AVERAGE(tblData[China]))^2,"")</f>
        <v/>
      </c>
      <c r="BU115" s="11">
        <f>tblData[[#This Row],[Dates]]-China100dt</f>
        <v>93</v>
      </c>
      <c r="BV115" s="95">
        <f ca="1">IF(ISNUMBER(tblData[Day'# Singapore]),betaSingapore/(deltaSingapore+betaPodeltaSingapore*EXP(-betaSingapore*tblData[Day'# Singapore])),"")</f>
        <v>20895.975889915604</v>
      </c>
      <c r="BW115" s="11" t="str">
        <f ca="1">IF(AND(ISNUMBER(tblData[Singapore]),tblData[Dates]&gt;=StartDt2Singapore),(tblData[[#This Row],[Singapore LogiP(t)]]-tblData[[#This Row],[Singapore]])^2,"")</f>
        <v/>
      </c>
      <c r="BX115" s="20">
        <f ca="1">IF(ISNUMBER(tblData[Day'# Singapore]),tblData[Singapore LogiP(t)]/SingaporePopscale,"")</f>
        <v>35719.616905838644</v>
      </c>
      <c r="BY115" s="95" t="str">
        <f ca="1">IF(AND(ISNUMBER(tblData[Singapore]),tblData[Dates]&gt;StartDt2Singapore),(tblData[Singapore]-AVERAGE(tblData[Singapore]))^2,"")</f>
        <v/>
      </c>
      <c r="BZ115" s="11">
        <f>tblData[[#This Row],[Dates]]-Singapore100dt+1</f>
        <v>82</v>
      </c>
      <c r="CA115" s="11">
        <f>IF(AND(tblData[Dates]&gt;StartDt2Generic,ISNUMBER(tblData[Day'# Generic])),betaGeneric/(deltaGeneric+betaPodeltaGeneric*EXP(-betaGeneric*tblData[Day'# Generic])),"")</f>
        <v>23501.897266559194</v>
      </c>
      <c r="CB115" s="95" t="str">
        <f>IF(AND(ISNUMBER(tblData[Generic]),tblData[Dates]&gt;StartDt2Generic),(tblData[Generic LogiP(t)]-tblData[[#This Row],[Generic]])^2,"")</f>
        <v/>
      </c>
      <c r="CC115" s="11">
        <f>IF(AND(ISNUMBER(tblData[Day'# Generic]),tblData[Dates]&gt;StartDt2Generic),tblData[Generic LogiP(t)]/GenericPopscale,"")</f>
        <v>47963.055646039174</v>
      </c>
      <c r="CD115" s="11" t="str">
        <f>IF(AND(ISNUMBER(tblData[Generic]),tblData[Dates]&gt;StartDt2Generic),(tblData[Generic]-AVERAGE(tblData[Generic]))^2,"")</f>
        <v/>
      </c>
      <c r="CE115" s="11">
        <f>tblData[[#This Row],[Dates]]-Generic100dt+1</f>
        <v>54</v>
      </c>
      <c r="CF115" s="11"/>
      <c r="CG115" s="11"/>
      <c r="CH115" s="11" t="str">
        <f>IF(ISNUMBER(tblData[[#This Row],[Tests]]),tblData[[#This Row],[Tests]]-CF114,"")</f>
        <v/>
      </c>
      <c r="CI115" s="11" t="str">
        <f>IF(ISNUMBER(tblData[[#This Row],[NSW Under Investigation'']]),tblData[[#This Row],[NSW Under Investigation'']]-CG114,"")</f>
        <v/>
      </c>
      <c r="CJ115" s="11"/>
      <c r="CK115" s="11" t="str">
        <f>IF(AND(tblData[[#This Row],[NSW Test Day Number]]&gt;0,ISNUMBER(tblData[[#This Row],[NSW Test Day Number]])),betaTests/(deltaTests+betaPodeltaTests*EXP(-betaTests*tblData[[#This Row],[NSW Test Day Number]])),"")</f>
        <v/>
      </c>
      <c r="CL115" s="11" t="str">
        <f>IF(tblData[Tests]&gt;0,(tblData[[#This Row],[Tests]]-tblData[[#This Row],[NSW Test Logi]])^2,"")</f>
        <v/>
      </c>
      <c r="CM115" s="95" t="str">
        <f>IF(AND(ISNUMBER(tblData[Tests]),tblData[Dates]&gt;StartDt2Tests),(tblData[Tests]-AVERAGE(tblData[Tests]))^2,"")</f>
        <v/>
      </c>
      <c r="CN115" s="11" t="str">
        <f>IF(ISNUMBER(tblData[Tests]),tblData[Tests]/NSWpopscale/100,"")</f>
        <v/>
      </c>
      <c r="CO115" s="95" t="str">
        <f>IF(AND(tblData[[#This Row],[NSW Test Day Number]]&gt;0,ISNUMBER(tblData[[#This Row],[NSW Test Day Number]])),TestsLogestB*TestsLogestM^tblData[[#This Row],[NSW Test Day Number]],"")</f>
        <v/>
      </c>
      <c r="CP115" s="11" t="str">
        <f>IF(AND(tblData[[#This Row],[NSW Test Day Number]]&gt;0,ISNUMBER(tblData[Tests])),(tblData[Tests]-tblData[[#This Row],[NSW Test Per Capita]])^2,"")</f>
        <v/>
      </c>
      <c r="CQ115" s="20">
        <f ca="1">IF(AND(tblData[Day '# NSW]&gt;0,ISNUMBER(tblData[[#This Row],[Day '# NSW]])),NSWLogestB*NSWLogestM^tblData[[#This Row],[Day '# NSW]]/NSWpopscale,"")</f>
        <v>23450.661064258202</v>
      </c>
      <c r="CR115" s="39" t="str">
        <f ca="1">IF(AND(ISNUMBER(tblData[NSW]),tblData[Dates]&gt;StartDt2NSW),(tblData[NSW]/NSWpopscale-tblData[[#This Row],[NSW Cases LogEst]])^2,"")</f>
        <v/>
      </c>
      <c r="CS115" s="39"/>
      <c r="CT115" s="19" t="str">
        <f>IF(ISNUMBER(tblData[Taiwan]),tblData[Taiwan]/TaiwanPopscale,"")</f>
        <v/>
      </c>
      <c r="CU115" s="11">
        <f ca="1">IF(tblData[[#This Row],[Dates]]&lt;StartDt2Taiwan,"",tblData[[#This Row],[Dates]]-TaiwanStart)</f>
        <v>104</v>
      </c>
      <c r="CV115" s="95">
        <f ca="1">IF(AND(tblData[Dates]&gt;StartDt2Taiwan,ISNUMBER(tblData[Days'# Taiwan])),betaTaiwan/(deltaTaiwan+betaPodeltaTaiwan*EXP(-betaTaiwan*tblData[Days'# Taiwan])),"")</f>
        <v>425.30481521552798</v>
      </c>
      <c r="CW115" s="95" t="str">
        <f ca="1">IF(AND(tblData[Dates]&gt;StartDt2Taiwan,ISNUMBER(tblData[Taiwan])),(tblData[[#This Row],[Taiwan LogiP(t)]]-tblData[[#This Row],[Taiwan]])^2,"")</f>
        <v/>
      </c>
      <c r="CX115" s="20">
        <f ca="1">IF(AND(tblData[Dates]&gt;StartDt2Taiwan,ISNUMBER(tblData[Days'# Taiwan])),tblData[[#This Row],[Taiwan LogiP(t)]]/TaiwanPopscale,"")</f>
        <v>178.64484287434743</v>
      </c>
      <c r="CY115" s="95" t="str">
        <f ca="1">IF(AND(ISNUMBER(tblData[Taiwan]),tblData[Dates]&gt;StartDt2Taiwan),(tblData[Taiwan]-AVERAGE(tblData[Taiwan]))^2,"")</f>
        <v/>
      </c>
      <c r="CZ115" s="11">
        <f>tblData[[#This Row],[Dates]]-Taiwan100dt+1</f>
        <v>41</v>
      </c>
      <c r="DB115" s="20" t="str">
        <f>IF(ISNUMBER(tblData[NZ]),tblData[NZ]/NZPopscale,"")</f>
        <v/>
      </c>
      <c r="DC115" s="11">
        <f ca="1">IF(tblData[[#This Row],[Dates]]&lt;StartDt2NZ,"",tblData[[#This Row],[Dates]]-NZStart)</f>
        <v>67</v>
      </c>
      <c r="DD115" s="20">
        <f ca="1">IF(AND(tblData[Dates]&gt;StartDt2NZ,ISNUMBER(tblData[Days'# NZ])),betaNZ/(deltaNZ+betaPodeltaNZ*EXP(-betaNZ*tblData[Days'# NZ])),"")</f>
        <v>1460.5484385051193</v>
      </c>
      <c r="DE115" s="95" t="str">
        <f ca="1">IF(AND(tblData[Dates]&gt;StartDt2NZ,ISNUMBER(tblData[NZ])),(tblData[[#This Row],[NZ LogiP(t)]]-tblData[[#This Row],[NZ]])^2,"")</f>
        <v/>
      </c>
      <c r="DF115" s="20">
        <f ca="1">IF(AND(tblData[Dates]&gt;StartDt2NZ,ISNUMBER(tblData[Days'# NZ])),tblData[[#This Row],[NZ LogiP(t)]]/NZPopscale,"")</f>
        <v>2792.6356376770923</v>
      </c>
      <c r="DG115" s="95" t="str">
        <f ca="1">IF(AND(ISNUMBER(tblData[NZ]),tblData[Dates]&gt;StartDt2NZ),(tblData[NZ]-AVERAGE(tblData[NZ]))^2,"")</f>
        <v/>
      </c>
      <c r="DH115" s="11">
        <f>tblData[[#This Row],[Dates]]-NZ100dt+1</f>
        <v>45</v>
      </c>
      <c r="DI115" s="39"/>
      <c r="DJ115" s="11"/>
      <c r="DL115" s="25"/>
      <c r="DM115" s="25"/>
      <c r="DN115" s="25"/>
      <c r="DQ115" s="25"/>
      <c r="DR115" s="25"/>
      <c r="DS115" s="25"/>
      <c r="DT115" s="25"/>
      <c r="DU115" s="25"/>
      <c r="DV115" s="25"/>
      <c r="DX115" s="25"/>
      <c r="DY115" s="25"/>
      <c r="DZ115" s="25"/>
      <c r="EA115" s="25"/>
      <c r="EB115" s="25"/>
      <c r="EC115" s="25"/>
      <c r="ED115" s="25"/>
      <c r="EE115" s="25"/>
      <c r="EF115" s="25"/>
      <c r="EG115" s="25"/>
      <c r="EL115" s="25"/>
      <c r="EM115" s="25"/>
      <c r="EN115" s="25"/>
      <c r="EO115" s="25"/>
      <c r="EP115" s="25"/>
      <c r="EQ115" s="25"/>
      <c r="ER115" s="25"/>
      <c r="ES115" s="25"/>
      <c r="ET115" s="25"/>
      <c r="EV115" s="25"/>
      <c r="FF115"/>
      <c r="FG115"/>
      <c r="FH115"/>
      <c r="FI115"/>
      <c r="FJ115"/>
      <c r="FK115"/>
      <c r="FL115"/>
      <c r="FM115"/>
      <c r="FN115"/>
      <c r="FO115" s="270" t="s">
        <v>153</v>
      </c>
      <c r="FP115" s="253">
        <v>43942.945300925923</v>
      </c>
      <c r="FQ115" s="156">
        <v>43855</v>
      </c>
      <c r="FR115" s="26">
        <v>43855</v>
      </c>
      <c r="FS115" s="224">
        <v>1</v>
      </c>
      <c r="FT115" s="44">
        <v>0.23806669998714808</v>
      </c>
      <c r="FU115" s="71">
        <v>8.1036566466016809E-5</v>
      </c>
      <c r="FV115" s="73">
        <v>1E-3</v>
      </c>
      <c r="FW115" s="225">
        <v>2937.7688415140692</v>
      </c>
      <c r="FX115" s="225">
        <v>23.016872272423726</v>
      </c>
      <c r="FY115" s="226">
        <v>0.99960729421544592</v>
      </c>
      <c r="FZ115" s="213">
        <v>238.06661895058161</v>
      </c>
      <c r="GA115" s="213">
        <v>8.1036566466016813E-2</v>
      </c>
      <c r="GB115" s="243">
        <v>43942</v>
      </c>
      <c r="GC115" s="26" t="s">
        <v>1704</v>
      </c>
      <c r="GD115" s="214">
        <v>2937.7688414547601</v>
      </c>
      <c r="GE115" s="225">
        <v>2969</v>
      </c>
      <c r="GF115" s="228" t="s">
        <v>1705</v>
      </c>
      <c r="GG115" s="156">
        <v>43942</v>
      </c>
      <c r="GH115" s="52">
        <v>88</v>
      </c>
      <c r="GI115" s="26" t="s">
        <v>3332</v>
      </c>
      <c r="GJ115" s="51"/>
      <c r="GK115" s="62" t="s">
        <v>3333</v>
      </c>
      <c r="GL115" s="51"/>
      <c r="GM115" s="18" t="s">
        <v>3334</v>
      </c>
      <c r="GN115" s="11">
        <v>3674.5049504950493</v>
      </c>
      <c r="GO115" s="157"/>
      <c r="GP115" s="229"/>
      <c r="GQ115" s="156"/>
      <c r="GR115" s="11"/>
      <c r="GS115" s="25" t="s">
        <v>3331</v>
      </c>
      <c r="GT115" s="11">
        <v>2936.1205566598251</v>
      </c>
      <c r="GU115" s="12">
        <v>6.2639382944150793E-3</v>
      </c>
      <c r="GV115" s="240">
        <v>43903</v>
      </c>
      <c r="GW115" s="162" t="s">
        <v>2389</v>
      </c>
      <c r="GX115" s="231">
        <v>-38.09561817952499</v>
      </c>
      <c r="GY115" t="s">
        <v>153</v>
      </c>
      <c r="GZ115" s="313" t="e">
        <v>#N/A</v>
      </c>
      <c r="HA115" s="26" t="s">
        <v>3334</v>
      </c>
    </row>
    <row r="116" spans="2:244" x14ac:dyDescent="0.25">
      <c r="B116" s="26">
        <f t="shared" si="4"/>
        <v>43957</v>
      </c>
      <c r="C116" s="25"/>
      <c r="D116" s="25"/>
      <c r="E116" s="25"/>
      <c r="F116" s="25"/>
      <c r="G116" s="25"/>
      <c r="H116" s="25"/>
      <c r="I116" s="25"/>
      <c r="J116" s="25"/>
      <c r="K116" s="25"/>
      <c r="L116" s="11" t="str">
        <f>IF(ISNUMBER(tblData[[#This Row],[NSW]]),tblData[[#This Row],[New South Wales]]/NSWpopscale,"")</f>
        <v/>
      </c>
      <c r="M116" s="25"/>
      <c r="N116" s="20" t="str">
        <f>IF(ISNUMBER(tblData[Italy]),tblData[Italy]/ItalyPopscale,"")</f>
        <v/>
      </c>
      <c r="O116" s="25"/>
      <c r="P116" s="20" t="str">
        <f>IF(ISNUMBER(tblData[US]),tblData[US]/USPopscale,"")</f>
        <v/>
      </c>
      <c r="Q116" s="44"/>
      <c r="R116" s="20" t="str">
        <f>IF(ISNUMBER(tblData[SKorea]),tblData[SKorea]/SKoreaPopscale,"")</f>
        <v/>
      </c>
      <c r="S116" s="44"/>
      <c r="T116" s="12" t="str">
        <f>IF(ISNUMBER(tblData[United Kingdom]),tblData[United Kingdom]/UKPopscale,"")</f>
        <v/>
      </c>
      <c r="U116" s="25"/>
      <c r="V116" s="20" t="str">
        <f>IF(ISNUMBER(tblData[China]),tblData[China]/ChinaPopscale,"")</f>
        <v/>
      </c>
      <c r="W116" s="25">
        <f ca="1">IF(tblData[[#This Row],[Dates]]&lt;StartDt2China,"",tblData[[#This Row],[Dates]]-ChinaStart)</f>
        <v>105</v>
      </c>
      <c r="X116" s="20"/>
      <c r="Y116" s="20" t="str">
        <f>IF(ISNUMBER(tblData[Singapore]),tblData[Singapore]/SingaporePopscale,"")</f>
        <v/>
      </c>
      <c r="Z116" s="20"/>
      <c r="AA116" s="20" t="str">
        <f>IF(AND(LEN(tblData[Generic])&gt;0,ISNUMBER(tblData[Generic])),tblData[Generic]/GenericPopscale,"")</f>
        <v/>
      </c>
      <c r="AB116" s="166">
        <f ca="1">IF(tblData[[#This Row],[Dates]]&lt;StartDt2Italy,"",tblData[[#This Row],[Dates]]-ItalyStart)</f>
        <v>97</v>
      </c>
      <c r="AC116" s="166">
        <f ca="1">IF(tblData[[#This Row],[Dates]]&lt;=StartDt2US,"",tblData[[#This Row],[Dates]]-USStart)</f>
        <v>105</v>
      </c>
      <c r="AD116" s="166">
        <f>IF(tblData[[#This Row],[Dates]]&lt;=SKoreaStart,"",tblData[[#This Row],[Dates]]-SKoreaStart)</f>
        <v>105</v>
      </c>
      <c r="AE116" s="166">
        <f ca="1">IF(tblData[[#This Row],[Dates]]&lt;=StartDt2UK,"",tblData[[#This Row],[Dates]]-UKStart)</f>
        <v>97</v>
      </c>
      <c r="AF116" s="166">
        <f ca="1">IF(tblData[[#This Row],[Dates]]&lt;StartDt2Singapore,"",tblData[[#This Row],[Dates]]-SingaporeStart)</f>
        <v>104</v>
      </c>
      <c r="AG116" s="166">
        <f>IF(tblData[[#This Row],[Dates]]&lt;StartDt2Generic,"",tblData[[#This Row],[Dates]]-GenericStart)</f>
        <v>67</v>
      </c>
      <c r="AH116" s="166">
        <f ca="1">IF(tblData[Dates]&gt;StartDt2Au,tblData[Dates]-AuStart,"")</f>
        <v>102</v>
      </c>
      <c r="AI116" s="25" t="str">
        <f>IF(AND(COUNTBLANK(tblData[[#This Row],[Australian Capital Territory]:[Western Australia]])&lt;1,tblData[New South Wales]&gt;=0),SUM(tblData[[#This Row],[Australian Capital Territory]:[Western Australia]]),"")</f>
        <v/>
      </c>
      <c r="AJ116" s="166" t="str">
        <f>IF(ISNUMBER(tblData[Au]),tblData[Au]/AuPopScale,"")</f>
        <v/>
      </c>
      <c r="AK116" s="11">
        <f ca="1">IF(ISNUMBER(tblData[[#This Row],[Day'# Aust]]),betaAu/(deltaAu+betaPodeltaAu*EXP(-betaAu*tblData[[#This Row],[Day'# Aust]])),"")</f>
        <v>6642.8798379244718</v>
      </c>
      <c r="AL116" s="56">
        <f ca="1">IF(ISNUMBER(tblData[Day'# Aust]),tblData[Au LogiP(t)]/AuPopScale,"")</f>
        <v>2619.0190182638667</v>
      </c>
      <c r="AM116" s="11" t="str">
        <f ca="1">IF(AND(tblData[Dates]&gt;StartDt2Au,ISNUMBER(tblData[Au])),(tblData[[#This Row],[Au LogiP(t)]]-tblData[[#This Row],[Au]])^2,"")</f>
        <v/>
      </c>
      <c r="AN116" s="11" t="str">
        <f ca="1">IF(AND(ISNUMBER(tblData[Au]),tblData[Dates]&gt;StartDt2Au),(tblData[Au]-AVERAGE(tblData[Au]))^2,"")</f>
        <v/>
      </c>
      <c r="AO116" s="11">
        <f>tblData[[#This Row],[Dates]]-Au100dt</f>
        <v>52</v>
      </c>
      <c r="AP116" s="166">
        <f ca="1">IF(tblData[Dates]&gt;StartDt2NSW,tblData[Dates]-StartDt2NSW,"")</f>
        <v>102</v>
      </c>
      <c r="AQ116" s="166" t="str">
        <f>IF(tblData[[#This Row],[New South Wales]]&gt;0,tblData[[#This Row],[New South Wales]],"")</f>
        <v/>
      </c>
      <c r="AR116" s="11">
        <f ca="1">IF(tblData[Dates]&gt;StartDt2NSW,betaNSW/(deltaNSW+betaPodeltaNSW*EXP(-betaNSW*tblData[[#This Row],[Day '# NSW]])),"")</f>
        <v>2973.2883790001429</v>
      </c>
      <c r="AS116" s="12" t="str">
        <f ca="1">IF(AND(ISNUMBER(tblData[NSW]),tblData[Dates]&gt;StartDt2NSW),(tblData[[#This Row],[NSW LogiP(t)]]-tblData[[#This Row],[NSW]])^2,"")</f>
        <v/>
      </c>
      <c r="AT116" s="12">
        <f ca="1">IF(AND(tblData[Dates]&gt;StartDt2NSW,ISNUMBER(tblData[Day'# Aust])),tblData[NSW LogiP(t)]/NSWpopscale,"")</f>
        <v>3679.8123502477015</v>
      </c>
      <c r="AU116" s="11">
        <f>tblData[[#This Row],[Dates]]-NSW100dt+1</f>
        <v>55</v>
      </c>
      <c r="AV116" s="11" t="str">
        <f ca="1">IF(AND(ISNUMBER(tblData[NSW]),tblData[Dates]&gt;StartDt2NSW),(tblData[NSW]-AVERAGE(tblData[NSW]))^2,"")</f>
        <v/>
      </c>
      <c r="AW116" s="11">
        <f ca="1">IF(AND(tblData[Dates]&gt;StartDt2Italy,ISNUMBER(tblData[Days'# Italy])),betaItaly/(deltaItaly+betaPodeltaItaly*EXP(-betaItaly*tblData[Days'# Italy])),"")</f>
        <v>161383.80948615031</v>
      </c>
      <c r="AX116" s="11" t="str">
        <f ca="1">IF(AND(tblData[Dates]&gt;StartDt2Italy,ISNUMBER(tblData[Italy])),(tblData[[#This Row],[Italy LogiP(t)]]-tblData[[#This Row],[Italy]])^2,"")</f>
        <v/>
      </c>
      <c r="AY116" s="11">
        <f ca="1">IF(AND(tblData[Dates]&gt;StartDt2Italy,ISNUMBER(tblData[Days'# Italy])),tblData[[#This Row],[Italy LogiP(t)]]/ItalyPopscale,"")</f>
        <v>26681.625111374771</v>
      </c>
      <c r="AZ116" s="11" t="str">
        <f ca="1">IF(AND(ISNUMBER(tblData[Italy]),tblData[Dates]&gt;StartDt2Italy),(tblData[Italy]-AVERAGE(tblData[Italy]))^2,"")</f>
        <v/>
      </c>
      <c r="BA116" s="11">
        <f>tblData[[#This Row],[Dates]]-Italy100dt+1</f>
        <v>70</v>
      </c>
      <c r="BB116" s="11">
        <f ca="1">IF(AND(tblData[Dates]&gt;StartDt2US,ISNUMBER(tblData[[#This Row],[Days'# US]])),betaUS/(deltaUS+betaPodeltaUS*EXP(-betaUS*tblData[Days'# US])),"")</f>
        <v>813323.73127153597</v>
      </c>
      <c r="BC116" s="11" t="str">
        <f ca="1">IF(AND(tblData[Dates]&gt;StartDt2US,ISNUMBER(tblData[US])),(tblData[[#This Row],[US LogiP(t)]]-tblData[US])^2,"")</f>
        <v/>
      </c>
      <c r="BD116" s="20">
        <f ca="1">IF(AND(tblData[Dates]&gt;=StartDt2US,ISNUMBER(tblData[[#This Row],[Days'# US]])),tblData[[#This Row],[US LogiP(t)]]/USPopscale,"")</f>
        <v>24703.985042364446</v>
      </c>
      <c r="BE116" s="126" t="str">
        <f ca="1">IF(AND(ISNUMBER(tblData[US]),tblData[Dates]&gt;StartDt2US),(tblData[US]-AVERAGE(tblData[US]))^2,"")</f>
        <v/>
      </c>
      <c r="BF116" s="11">
        <f>tblData[[#This Row],[Dates]]-US100dt+1</f>
        <v>53</v>
      </c>
      <c r="BG116" s="11">
        <f ca="1">IF(tblData[Dates]&gt;StartDt2SKorea,betaSKorea/(deltaSKorea+betaPodeltaSKorea*EXP(-betaSKorea*(tblData[Dates]-StartDt2SKorea))),"")</f>
        <v>10234.025924451398</v>
      </c>
      <c r="BH116" s="20" t="str">
        <f ca="1">IF(AND(tblData[Dates]&gt;StartDt2SKorea,ISNUMBER(tblData[SKorea])),(tblData[[#This Row],[SKorea LogiP(t)]]-tblData[[#This Row],[SKorea]])^2,"")</f>
        <v/>
      </c>
      <c r="BI116" s="20">
        <f ca="1">IF(tblData[Dates]&gt;StartDt2SKorea,tblData[[#This Row],[SKorea LogiP(t)]]/SKoreaPopscale,"")</f>
        <v>1991.0556273251748</v>
      </c>
      <c r="BJ116" s="11" t="str">
        <f ca="1">IF(AND(ISNUMBER(tblData[SKorea]),tblData[Dates]&gt;StartDt2SKorea),(tblData[SKorea]-AVERAGE(tblData[SKorea]))^2,"")</f>
        <v/>
      </c>
      <c r="BK116" s="20">
        <f>tblData[[#This Row],[Dates]]-SKorea100dt+1</f>
        <v>74</v>
      </c>
      <c r="BL116" s="11">
        <f ca="1">IF(AND(tblData[Dates]&gt;StartDt2UK,ISNUMBER(tblData[Days'# UK])),betaUK/(deltaUK+betaPodeltaUK*EXP(-betaUK*tblData[Days'# UK])),"")</f>
        <v>142589.02774128955</v>
      </c>
      <c r="BM116" s="11" t="str">
        <f ca="1">IF(AND(tblData[Dates]&gt;StartDt2UK,ISNUMBER(tblData[United Kingdom])),(tblData[[#This Row],[UK LogiP(t)]]-tblData[[#This Row],[United Kingdom]])^2,"")</f>
        <v/>
      </c>
      <c r="BN116" s="11">
        <f ca="1">IF(ISNUMBER(tblData[Days'# UK]),tblData[[#This Row],[UK LogiP(t)]]/UKPopscale,"")</f>
        <v>21461.32265823142</v>
      </c>
      <c r="BO116" s="11" t="str">
        <f ca="1">IF(AND(ISNUMBER(tblData[United Kingdom]),tblData[Dates]&gt;StartDt2UK),(tblData[United Kingdom]-AVERAGE(tblData[United Kingdom]))^2,"")</f>
        <v/>
      </c>
      <c r="BP116" s="11">
        <f>tblData[[#This Row],[Dates]]-UK100dt</f>
        <v>55</v>
      </c>
      <c r="BQ116" s="11">
        <f ca="1">IF(ISNUMBER(tblData[Days'# China]),betaChina/(deltaChina+betaPodeltaChina*EXP(-betaChina*tblData[Days'# China])),"")</f>
        <v>82125.160171552459</v>
      </c>
      <c r="BR116" s="11" t="str">
        <f>IF(ISNUMBER(tblData[China]),(tblData[[#This Row],[China LogiP(t)]]-tblData[[#This Row],[China]])^2,"")</f>
        <v/>
      </c>
      <c r="BS116" s="11">
        <f ca="1">tblData[[#This Row],[China LogiP(t)]]/ChinaPopscale</f>
        <v>570.58155740180359</v>
      </c>
      <c r="BT116" s="11" t="str">
        <f ca="1">IF(AND(ISNUMBER(tblData[China]),tblData[Dates]&gt;StartDt2China),(tblData[China]-AVERAGE(tblData[China]))^2,"")</f>
        <v/>
      </c>
      <c r="BU116" s="11">
        <f>tblData[[#This Row],[Dates]]-China100dt</f>
        <v>94</v>
      </c>
      <c r="BV116" s="95">
        <f ca="1">IF(ISNUMBER(tblData[Day'# Singapore]),betaSingapore/(deltaSingapore+betaPodeltaSingapore*EXP(-betaSingapore*tblData[Day'# Singapore])),"")</f>
        <v>21963.267287384893</v>
      </c>
      <c r="BW116" s="11" t="str">
        <f ca="1">IF(AND(ISNUMBER(tblData[Singapore]),tblData[Dates]&gt;=StartDt2Singapore),(tblData[[#This Row],[Singapore LogiP(t)]]-tblData[[#This Row],[Singapore]])^2,"")</f>
        <v/>
      </c>
      <c r="BX116" s="20">
        <f ca="1">IF(ISNUMBER(tblData[Day'# Singapore]),tblData[Singapore LogiP(t)]/SingaporePopscale,"")</f>
        <v>37544.046645102382</v>
      </c>
      <c r="BY116" s="95" t="str">
        <f ca="1">IF(AND(ISNUMBER(tblData[Singapore]),tblData[Dates]&gt;StartDt2Singapore),(tblData[Singapore]-AVERAGE(tblData[Singapore]))^2,"")</f>
        <v/>
      </c>
      <c r="BZ116" s="11">
        <f>tblData[[#This Row],[Dates]]-Singapore100dt+1</f>
        <v>83</v>
      </c>
      <c r="CA116" s="11">
        <f>IF(AND(tblData[Dates]&gt;StartDt2Generic,ISNUMBER(tblData[Day'# Generic])),betaGeneric/(deltaGeneric+betaPodeltaGeneric*EXP(-betaGeneric*tblData[Day'# Generic])),"")</f>
        <v>23718.672006680001</v>
      </c>
      <c r="CB116" s="95" t="str">
        <f>IF(AND(ISNUMBER(tblData[Generic]),tblData[Dates]&gt;StartDt2Generic),(tblData[Generic LogiP(t)]-tblData[[#This Row],[Generic]])^2,"")</f>
        <v/>
      </c>
      <c r="CC116" s="11">
        <f>IF(AND(ISNUMBER(tblData[Day'# Generic]),tblData[Dates]&gt;StartDt2Generic),tblData[Generic LogiP(t)]/GenericPopscale,"")</f>
        <v>48405.453074857149</v>
      </c>
      <c r="CD116" s="11" t="str">
        <f>IF(AND(ISNUMBER(tblData[Generic]),tblData[Dates]&gt;StartDt2Generic),(tblData[Generic]-AVERAGE(tblData[Generic]))^2,"")</f>
        <v/>
      </c>
      <c r="CE116" s="11">
        <f>tblData[[#This Row],[Dates]]-Generic100dt+1</f>
        <v>55</v>
      </c>
      <c r="CF116" s="11"/>
      <c r="CG116" s="11"/>
      <c r="CH116" s="11" t="str">
        <f>IF(ISNUMBER(tblData[[#This Row],[Tests]]),tblData[[#This Row],[Tests]]-CF115,"")</f>
        <v/>
      </c>
      <c r="CI116" s="11" t="str">
        <f>IF(ISNUMBER(tblData[[#This Row],[NSW Under Investigation'']]),tblData[[#This Row],[NSW Under Investigation'']]-CG115,"")</f>
        <v/>
      </c>
      <c r="CJ116" s="11"/>
      <c r="CK116" s="11" t="str">
        <f>IF(AND(tblData[[#This Row],[NSW Test Day Number]]&gt;0,ISNUMBER(tblData[[#This Row],[NSW Test Day Number]])),betaTests/(deltaTests+betaPodeltaTests*EXP(-betaTests*tblData[[#This Row],[NSW Test Day Number]])),"")</f>
        <v/>
      </c>
      <c r="CL116" s="11" t="str">
        <f>IF(tblData[Tests]&gt;0,(tblData[[#This Row],[Tests]]-tblData[[#This Row],[NSW Test Logi]])^2,"")</f>
        <v/>
      </c>
      <c r="CM116" s="95" t="str">
        <f>IF(AND(ISNUMBER(tblData[Tests]),tblData[Dates]&gt;StartDt2Tests),(tblData[Tests]-AVERAGE(tblData[Tests]))^2,"")</f>
        <v/>
      </c>
      <c r="CN116" s="11" t="str">
        <f>IF(ISNUMBER(tblData[Tests]),tblData[Tests]/NSWpopscale/100,"")</f>
        <v/>
      </c>
      <c r="CO116" s="95" t="str">
        <f>IF(AND(tblData[[#This Row],[NSW Test Day Number]]&gt;0,ISNUMBER(tblData[[#This Row],[NSW Test Day Number]])),TestsLogestB*TestsLogestM^tblData[[#This Row],[NSW Test Day Number]],"")</f>
        <v/>
      </c>
      <c r="CP116" s="11" t="str">
        <f>IF(AND(tblData[[#This Row],[NSW Test Day Number]]&gt;0,ISNUMBER(tblData[Tests])),(tblData[Tests]-tblData[[#This Row],[NSW Test Per Capita]])^2,"")</f>
        <v/>
      </c>
      <c r="CQ116" s="20">
        <f ca="1">IF(AND(tblData[Day '# NSW]&gt;0,ISNUMBER(tblData[[#This Row],[Day '# NSW]])),NSWLogestB*NSWLogestM^tblData[[#This Row],[Day '# NSW]]/NSWpopscale,"")</f>
        <v>25818.137378112384</v>
      </c>
      <c r="CR116" s="39" t="str">
        <f ca="1">IF(AND(ISNUMBER(tblData[NSW]),tblData[Dates]&gt;StartDt2NSW),(tblData[NSW]/NSWpopscale-tblData[[#This Row],[NSW Cases LogEst]])^2,"")</f>
        <v/>
      </c>
      <c r="CS116" s="39"/>
      <c r="CT116" s="19" t="str">
        <f>IF(ISNUMBER(tblData[Taiwan]),tblData[Taiwan]/TaiwanPopscale,"")</f>
        <v/>
      </c>
      <c r="CU116" s="11">
        <f ca="1">IF(tblData[[#This Row],[Dates]]&lt;StartDt2Taiwan,"",tblData[[#This Row],[Dates]]-TaiwanStart)</f>
        <v>105</v>
      </c>
      <c r="CV116" s="19">
        <f ca="1">IF(AND(tblData[Dates]&gt;StartDt2Taiwan,ISNUMBER(tblData[Days'# Taiwan])),betaTaiwan/(deltaTaiwan+betaPodeltaTaiwan*EXP(-betaTaiwan*tblData[Days'# Taiwan])),"")</f>
        <v>425.43102828648523</v>
      </c>
      <c r="CW116" s="95" t="str">
        <f ca="1">IF(AND(tblData[Dates]&gt;StartDt2Taiwan,ISNUMBER(tblData[Taiwan])),(tblData[[#This Row],[Taiwan LogiP(t)]]-tblData[[#This Row],[Taiwan]])^2,"")</f>
        <v/>
      </c>
      <c r="CX116" s="20">
        <f ca="1">IF(AND(tblData[Dates]&gt;StartDt2Taiwan,ISNUMBER(tblData[Days'# Taiwan])),tblData[[#This Row],[Taiwan LogiP(t)]]/TaiwanPopscale,"")</f>
        <v>178.69785735578097</v>
      </c>
      <c r="CY116" s="95" t="str">
        <f ca="1">IF(AND(ISNUMBER(tblData[Taiwan]),tblData[Dates]&gt;StartDt2Taiwan),(tblData[Taiwan]-AVERAGE(tblData[Taiwan]))^2,"")</f>
        <v/>
      </c>
      <c r="CZ116" s="11">
        <f>tblData[[#This Row],[Dates]]-Taiwan100dt+1</f>
        <v>42</v>
      </c>
      <c r="DB116" s="20" t="str">
        <f>IF(ISNUMBER(tblData[NZ]),tblData[NZ]/NZPopscale,"")</f>
        <v/>
      </c>
      <c r="DC116" s="11">
        <f ca="1">IF(tblData[[#This Row],[Dates]]&lt;StartDt2NZ,"",tblData[[#This Row],[Dates]]-NZStart)</f>
        <v>68</v>
      </c>
      <c r="DD116" s="20">
        <f ca="1">IF(AND(tblData[Dates]&gt;StartDt2NZ,ISNUMBER(tblData[Days'# NZ])),betaNZ/(deltaNZ+betaPodeltaNZ*EXP(-betaNZ*tblData[Days'# NZ])),"")</f>
        <v>1460.6637047254783</v>
      </c>
      <c r="DE116" s="95" t="str">
        <f ca="1">IF(AND(tblData[Dates]&gt;StartDt2NZ,ISNUMBER(tblData[NZ])),(tblData[[#This Row],[NZ LogiP(t)]]-tblData[[#This Row],[NZ]])^2,"")</f>
        <v/>
      </c>
      <c r="DF116" s="20">
        <f ca="1">IF(AND(tblData[Dates]&gt;StartDt2NZ,ISNUMBER(tblData[Days'# NZ])),tblData[[#This Row],[NZ LogiP(t)]]/NZPopscale,"")</f>
        <v>2792.8560319798817</v>
      </c>
      <c r="DG116" s="95" t="str">
        <f ca="1">IF(AND(ISNUMBER(tblData[NZ]),tblData[Dates]&gt;StartDt2NZ),(tblData[NZ]-AVERAGE(tblData[NZ]))^2,"")</f>
        <v/>
      </c>
      <c r="DH116" s="11">
        <f>tblData[[#This Row],[Dates]]-NZ100dt+1</f>
        <v>46</v>
      </c>
      <c r="DI116" s="39"/>
      <c r="DJ116" s="11"/>
      <c r="DL116" s="25"/>
      <c r="DM116" s="25"/>
      <c r="DN116" s="25"/>
      <c r="DQ116" s="25"/>
      <c r="DR116" s="25"/>
      <c r="DS116" s="25"/>
      <c r="DT116" s="25"/>
      <c r="DU116" s="25"/>
      <c r="DV116" s="25"/>
      <c r="DX116" s="25"/>
      <c r="DY116" s="25"/>
      <c r="DZ116" s="25"/>
      <c r="EA116" s="25"/>
      <c r="EB116" s="25"/>
      <c r="EC116" s="25"/>
      <c r="ED116" s="25"/>
      <c r="EE116" s="25"/>
      <c r="EF116" s="25"/>
      <c r="EG116" s="25"/>
      <c r="EL116" s="25"/>
      <c r="EM116" s="25"/>
      <c r="EN116" s="25"/>
      <c r="EO116" s="25"/>
      <c r="EP116" s="25"/>
      <c r="EQ116" s="25"/>
      <c r="ER116" s="25"/>
      <c r="ES116" s="25"/>
      <c r="ET116" s="25"/>
      <c r="EV116" s="25"/>
      <c r="FF116"/>
      <c r="FG116"/>
      <c r="FH116"/>
      <c r="FI116"/>
      <c r="FJ116"/>
      <c r="FK116"/>
      <c r="FL116"/>
      <c r="FM116"/>
      <c r="FN116"/>
      <c r="FO116" s="270" t="s">
        <v>153</v>
      </c>
      <c r="FP116" s="253">
        <v>43945.843368055554</v>
      </c>
      <c r="FQ116" s="156">
        <v>43855</v>
      </c>
      <c r="FR116" s="26">
        <v>43855</v>
      </c>
      <c r="FS116" s="224">
        <v>1</v>
      </c>
      <c r="FT116" s="44">
        <v>0.23797843090514043</v>
      </c>
      <c r="FU116" s="71">
        <v>8.0793779137709154E-5</v>
      </c>
      <c r="FV116" s="73">
        <v>1E-3</v>
      </c>
      <c r="FW116" s="225">
        <v>2945.5043871573021</v>
      </c>
      <c r="FX116" s="225">
        <v>23.79194666686038</v>
      </c>
      <c r="FY116" s="226">
        <v>0.99960980316584913</v>
      </c>
      <c r="FZ116" s="213">
        <v>237.97835011136127</v>
      </c>
      <c r="GA116" s="213">
        <v>8.079377913770916E-2</v>
      </c>
      <c r="GB116" s="243">
        <v>43945</v>
      </c>
      <c r="GC116" s="26" t="s">
        <v>3407</v>
      </c>
      <c r="GD116" s="214">
        <v>2945.5043870968002</v>
      </c>
      <c r="GE116" s="225">
        <v>2982</v>
      </c>
      <c r="GF116" s="228" t="s">
        <v>3408</v>
      </c>
      <c r="GG116" s="156">
        <v>43945</v>
      </c>
      <c r="GH116" s="52">
        <v>91</v>
      </c>
      <c r="GI116" s="26" t="s">
        <v>3409</v>
      </c>
      <c r="GJ116" s="51"/>
      <c r="GK116" s="62" t="s">
        <v>3410</v>
      </c>
      <c r="GL116" s="51"/>
      <c r="GM116" s="18" t="s">
        <v>3411</v>
      </c>
      <c r="GN116" s="11">
        <v>3690.5940594059402</v>
      </c>
      <c r="GO116" s="157"/>
      <c r="GP116" s="229"/>
      <c r="GQ116" s="156"/>
      <c r="GR116" s="11"/>
      <c r="GS116" s="25" t="s">
        <v>3406</v>
      </c>
      <c r="GT116" s="11">
        <v>2944.4661297660768</v>
      </c>
      <c r="GU116" s="12">
        <v>6.4466441672780643E-3</v>
      </c>
      <c r="GV116" s="240">
        <v>43903</v>
      </c>
      <c r="GW116" s="162" t="s">
        <v>2389</v>
      </c>
      <c r="GX116" s="231">
        <v>-39.905332772875681</v>
      </c>
      <c r="GY116" s="25" t="s">
        <v>153</v>
      </c>
      <c r="GZ116" s="313" t="e">
        <v>#N/A</v>
      </c>
      <c r="HA116" s="26" t="s">
        <v>3411</v>
      </c>
    </row>
    <row r="117" spans="2:244" x14ac:dyDescent="0.25">
      <c r="B117" s="26">
        <f t="shared" ref="B117:B124" si="5">B116+7</f>
        <v>43964</v>
      </c>
      <c r="C117" s="25"/>
      <c r="D117" s="25"/>
      <c r="E117" s="25"/>
      <c r="F117" s="25"/>
      <c r="G117" s="25"/>
      <c r="H117" s="25"/>
      <c r="I117" s="25"/>
      <c r="J117" s="25"/>
      <c r="K117" s="25"/>
      <c r="L117" s="11" t="str">
        <f>IF(ISNUMBER(tblData[[#This Row],[NSW]]),tblData[[#This Row],[New South Wales]]/NSWpopscale,"")</f>
        <v/>
      </c>
      <c r="M117" s="25"/>
      <c r="N117" s="20" t="str">
        <f>IF(ISNUMBER(tblData[Italy]),tblData[Italy]/ItalyPopscale,"")</f>
        <v/>
      </c>
      <c r="O117" s="25"/>
      <c r="P117" s="20" t="str">
        <f>IF(ISNUMBER(tblData[US]),tblData[US]/USPopscale,"")</f>
        <v/>
      </c>
      <c r="Q117" s="44"/>
      <c r="R117" s="20" t="str">
        <f>IF(ISNUMBER(tblData[SKorea]),tblData[SKorea]/SKoreaPopscale,"")</f>
        <v/>
      </c>
      <c r="S117" s="44"/>
      <c r="T117" s="12" t="str">
        <f>IF(ISNUMBER(tblData[United Kingdom]),tblData[United Kingdom]/UKPopscale,"")</f>
        <v/>
      </c>
      <c r="U117" s="25"/>
      <c r="V117" s="20" t="str">
        <f>IF(ISNUMBER(tblData[China]),tblData[China]/ChinaPopscale,"")</f>
        <v/>
      </c>
      <c r="W117" s="25">
        <f ca="1">IF(tblData[[#This Row],[Dates]]&lt;StartDt2China,"",tblData[[#This Row],[Dates]]-ChinaStart)</f>
        <v>112</v>
      </c>
      <c r="X117" s="20"/>
      <c r="Y117" s="20" t="str">
        <f>IF(ISNUMBER(tblData[Singapore]),tblData[Singapore]/SingaporePopscale,"")</f>
        <v/>
      </c>
      <c r="Z117" s="20"/>
      <c r="AA117" s="20" t="str">
        <f>IF(AND(LEN(tblData[Generic])&gt;0,ISNUMBER(tblData[Generic])),tblData[Generic]/GenericPopscale,"")</f>
        <v/>
      </c>
      <c r="AB117" s="166">
        <f ca="1">IF(tblData[[#This Row],[Dates]]&lt;StartDt2Italy,"",tblData[[#This Row],[Dates]]-ItalyStart)</f>
        <v>104</v>
      </c>
      <c r="AC117" s="166">
        <f ca="1">IF(tblData[[#This Row],[Dates]]&lt;=StartDt2US,"",tblData[[#This Row],[Dates]]-USStart)</f>
        <v>112</v>
      </c>
      <c r="AD117" s="166">
        <f>IF(tblData[[#This Row],[Dates]]&lt;=SKoreaStart,"",tblData[[#This Row],[Dates]]-SKoreaStart)</f>
        <v>112</v>
      </c>
      <c r="AE117" s="166">
        <f ca="1">IF(tblData[[#This Row],[Dates]]&lt;=StartDt2UK,"",tblData[[#This Row],[Dates]]-UKStart)</f>
        <v>104</v>
      </c>
      <c r="AF117" s="166">
        <f ca="1">IF(tblData[[#This Row],[Dates]]&lt;StartDt2Singapore,"",tblData[[#This Row],[Dates]]-SingaporeStart)</f>
        <v>111</v>
      </c>
      <c r="AG117" s="166">
        <f>IF(tblData[[#This Row],[Dates]]&lt;StartDt2Generic,"",tblData[[#This Row],[Dates]]-GenericStart)</f>
        <v>74</v>
      </c>
      <c r="AH117" s="166">
        <f ca="1">IF(tblData[Dates]&gt;StartDt2Au,tblData[Dates]-AuStart,"")</f>
        <v>109</v>
      </c>
      <c r="AI117" s="25" t="str">
        <f>IF(AND(COUNTBLANK(tblData[[#This Row],[Australian Capital Territory]:[Western Australia]])&lt;1,tblData[New South Wales]&gt;=0),SUM(tblData[[#This Row],[Australian Capital Territory]:[Western Australia]]),"")</f>
        <v/>
      </c>
      <c r="AJ117" s="166" t="str">
        <f>IF(ISNUMBER(tblData[Au]),tblData[Au]/AuPopScale,"")</f>
        <v/>
      </c>
      <c r="AK117" s="11">
        <f ca="1">IF(ISNUMBER(tblData[[#This Row],[Day'# Aust]]),betaAu/(deltaAu+betaPodeltaAu*EXP(-betaAu*tblData[[#This Row],[Day'# Aust]])),"")</f>
        <v>6643.5951889858397</v>
      </c>
      <c r="AL117" s="56">
        <f ca="1">IF(ISNUMBER(tblData[Day'# Aust]),tblData[Au LogiP(t)]/AuPopScale,"")</f>
        <v>2619.3010522732375</v>
      </c>
      <c r="AM117" s="11" t="str">
        <f ca="1">IF(AND(tblData[Dates]&gt;StartDt2Au,ISNUMBER(tblData[Au])),(tblData[[#This Row],[Au LogiP(t)]]-tblData[[#This Row],[Au]])^2,"")</f>
        <v/>
      </c>
      <c r="AN117" s="11" t="str">
        <f ca="1">IF(AND(ISNUMBER(tblData[Au]),tblData[Dates]&gt;StartDt2Au),(tblData[Au]-AVERAGE(tblData[Au]))^2,"")</f>
        <v/>
      </c>
      <c r="AO117" s="11">
        <f>tblData[[#This Row],[Dates]]-Au100dt</f>
        <v>59</v>
      </c>
      <c r="AP117" s="166">
        <f ca="1">IF(tblData[Dates]&gt;StartDt2NSW,tblData[Dates]-StartDt2NSW,"")</f>
        <v>109</v>
      </c>
      <c r="AQ117" s="166" t="str">
        <f>IF(tblData[[#This Row],[New South Wales]]&gt;0,tblData[[#This Row],[New South Wales]],"")</f>
        <v/>
      </c>
      <c r="AR117" s="11">
        <f ca="1">IF(tblData[Dates]&gt;StartDt2NSW,betaNSW/(deltaNSW+betaPodeltaNSW*EXP(-betaNSW*tblData[[#This Row],[Day '# NSW]])),"")</f>
        <v>2973.529639091646</v>
      </c>
      <c r="AS117" s="12" t="str">
        <f ca="1">IF(AND(ISNUMBER(tblData[NSW]),tblData[Dates]&gt;StartDt2NSW),(tblData[[#This Row],[NSW LogiP(t)]]-tblData[[#This Row],[NSW]])^2,"")</f>
        <v/>
      </c>
      <c r="AT117" s="12">
        <f ca="1">IF(AND(tblData[Dates]&gt;StartDt2NSW,ISNUMBER(tblData[Day'# Aust])),tblData[NSW LogiP(t)]/NSWpopscale,"")</f>
        <v>3680.1109394698587</v>
      </c>
      <c r="AU117" s="11">
        <f>tblData[[#This Row],[Dates]]-NSW100dt+1</f>
        <v>62</v>
      </c>
      <c r="AV117" s="11" t="str">
        <f ca="1">IF(AND(ISNUMBER(tblData[NSW]),tblData[Dates]&gt;StartDt2NSW),(tblData[NSW]-AVERAGE(tblData[NSW]))^2,"")</f>
        <v/>
      </c>
      <c r="AW117" s="11">
        <f ca="1">IF(AND(tblData[Dates]&gt;StartDt2Italy,ISNUMBER(tblData[Days'# Italy])),betaItaly/(deltaItaly+betaPodeltaItaly*EXP(-betaItaly*tblData[Days'# Italy])),"")</f>
        <v>161384.86347448785</v>
      </c>
      <c r="AX117" s="11" t="str">
        <f ca="1">IF(AND(tblData[Dates]&gt;StartDt2Italy,ISNUMBER(tblData[Italy])),(tblData[[#This Row],[Italy LogiP(t)]]-tblData[[#This Row],[Italy]])^2,"")</f>
        <v/>
      </c>
      <c r="AY117" s="11">
        <f ca="1">IF(AND(tblData[Dates]&gt;StartDt2Italy,ISNUMBER(tblData[Days'# Italy])),tblData[[#This Row],[Italy LogiP(t)]]/ItalyPopscale,"")</f>
        <v>26681.799367527132</v>
      </c>
      <c r="AZ117" s="11" t="str">
        <f ca="1">IF(AND(ISNUMBER(tblData[Italy]),tblData[Dates]&gt;StartDt2Italy),(tblData[Italy]-AVERAGE(tblData[Italy]))^2,"")</f>
        <v/>
      </c>
      <c r="BA117" s="11">
        <f>tblData[[#This Row],[Dates]]-Italy100dt+1</f>
        <v>77</v>
      </c>
      <c r="BB117" s="11">
        <f ca="1">IF(AND(tblData[Dates]&gt;StartDt2US,ISNUMBER(tblData[[#This Row],[Days'# US]])),betaUS/(deltaUS+betaPodeltaUS*EXP(-betaUS*tblData[Days'# US])),"")</f>
        <v>813389.24657016317</v>
      </c>
      <c r="BC117" s="11" t="str">
        <f ca="1">IF(AND(tblData[Dates]&gt;StartDt2US,ISNUMBER(tblData[US])),(tblData[[#This Row],[US LogiP(t)]]-tblData[US])^2,"")</f>
        <v/>
      </c>
      <c r="BD117" s="20">
        <f ca="1">IF(AND(tblData[Dates]&gt;=StartDt2US,ISNUMBER(tblData[[#This Row],[Days'# US]])),tblData[[#This Row],[US LogiP(t)]]/USPopscale,"")</f>
        <v>24705.975011296989</v>
      </c>
      <c r="BE117" s="126" t="str">
        <f ca="1">IF(AND(ISNUMBER(tblData[US]),tblData[Dates]&gt;StartDt2US),(tblData[US]-AVERAGE(tblData[US]))^2,"")</f>
        <v/>
      </c>
      <c r="BF117" s="11">
        <f>tblData[[#This Row],[Dates]]-US100dt+1</f>
        <v>60</v>
      </c>
      <c r="BG117" s="11">
        <f ca="1">IF(tblData[Dates]&gt;StartDt2SKorea,betaSKorea/(deltaSKorea+betaPodeltaSKorea*EXP(-betaSKorea*(tblData[Dates]-StartDt2SKorea))),"")</f>
        <v>10234.144470206755</v>
      </c>
      <c r="BH117" s="20" t="str">
        <f ca="1">IF(AND(tblData[Dates]&gt;StartDt2SKorea,ISNUMBER(tblData[SKorea])),(tblData[[#This Row],[SKorea LogiP(t)]]-tblData[[#This Row],[SKorea]])^2,"")</f>
        <v/>
      </c>
      <c r="BI117" s="20">
        <f ca="1">IF(tblData[Dates]&gt;StartDt2SKorea,tblData[[#This Row],[SKorea LogiP(t)]]/SKoreaPopscale,"")</f>
        <v>1991.0786907017034</v>
      </c>
      <c r="BJ117" s="11" t="str">
        <f ca="1">IF(AND(ISNUMBER(tblData[SKorea]),tblData[Dates]&gt;StartDt2SKorea),(tblData[SKorea]-AVERAGE(tblData[SKorea]))^2,"")</f>
        <v/>
      </c>
      <c r="BK117" s="20">
        <f>tblData[[#This Row],[Dates]]-SKorea100dt+1</f>
        <v>81</v>
      </c>
      <c r="BL117" s="11">
        <f ca="1">IF(AND(tblData[Dates]&gt;StartDt2UK,ISNUMBER(tblData[Days'# UK])),betaUK/(deltaUK+betaPodeltaUK*EXP(-betaUK*tblData[Days'# UK])),"")</f>
        <v>142776.16097439526</v>
      </c>
      <c r="BM117" s="11" t="str">
        <f ca="1">IF(AND(tblData[Dates]&gt;StartDt2UK,ISNUMBER(tblData[United Kingdom])),(tblData[[#This Row],[UK LogiP(t)]]-tblData[[#This Row],[United Kingdom]])^2,"")</f>
        <v/>
      </c>
      <c r="BN117" s="11">
        <f ca="1">IF(ISNUMBER(tblData[Days'# UK]),tblData[[#This Row],[UK LogiP(t)]]/UKPopscale,"")</f>
        <v>21489.488406742214</v>
      </c>
      <c r="BO117" s="11" t="str">
        <f ca="1">IF(AND(ISNUMBER(tblData[United Kingdom]),tblData[Dates]&gt;StartDt2UK),(tblData[United Kingdom]-AVERAGE(tblData[United Kingdom]))^2,"")</f>
        <v/>
      </c>
      <c r="BP117" s="11">
        <f>tblData[[#This Row],[Dates]]-UK100dt</f>
        <v>62</v>
      </c>
      <c r="BQ117" s="11">
        <f ca="1">IF(ISNUMBER(tblData[Days'# China]),betaChina/(deltaChina+betaPodeltaChina*EXP(-betaChina*tblData[Days'# China])),"")</f>
        <v>82125.160453880395</v>
      </c>
      <c r="BR117" s="11" t="str">
        <f>IF(ISNUMBER(tblData[China]),(tblData[[#This Row],[China LogiP(t)]]-tblData[[#This Row],[China]])^2,"")</f>
        <v/>
      </c>
      <c r="BS117" s="11">
        <f ca="1">tblData[[#This Row],[China LogiP(t)]]/ChinaPopscale</f>
        <v>570.58155936333537</v>
      </c>
      <c r="BT117" s="11" t="str">
        <f ca="1">IF(AND(ISNUMBER(tblData[China]),tblData[Dates]&gt;StartDt2China),(tblData[China]-AVERAGE(tblData[China]))^2,"")</f>
        <v/>
      </c>
      <c r="BU117" s="11">
        <f>tblData[[#This Row],[Dates]]-China100dt</f>
        <v>101</v>
      </c>
      <c r="BV117" s="95">
        <f ca="1">IF(ISNUMBER(tblData[Day'# Singapore]),betaSingapore/(deltaSingapore+betaPodeltaSingapore*EXP(-betaSingapore*tblData[Day'# Singapore])),"")</f>
        <v>28274.783572143948</v>
      </c>
      <c r="BW117" s="11" t="str">
        <f ca="1">IF(AND(ISNUMBER(tblData[Singapore]),tblData[Dates]&gt;=StartDt2Singapore),(tblData[[#This Row],[Singapore LogiP(t)]]-tblData[[#This Row],[Singapore]])^2,"")</f>
        <v/>
      </c>
      <c r="BX117" s="20">
        <f ca="1">IF(ISNUMBER(tblData[Day'# Singapore]),tblData[Singapore LogiP(t)]/SingaporePopscale,"")</f>
        <v>48332.963371186241</v>
      </c>
      <c r="BY117" s="95" t="str">
        <f ca="1">IF(AND(ISNUMBER(tblData[Singapore]),tblData[Dates]&gt;StartDt2Singapore),(tblData[Singapore]-AVERAGE(tblData[Singapore]))^2,"")</f>
        <v/>
      </c>
      <c r="BZ117" s="11">
        <f>tblData[[#This Row],[Dates]]-Singapore100dt+1</f>
        <v>90</v>
      </c>
      <c r="CA117" s="11">
        <f>IF(AND(tblData[Dates]&gt;StartDt2Generic,ISNUMBER(tblData[Day'# Generic])),betaGeneric/(deltaGeneric+betaPodeltaGeneric*EXP(-betaGeneric*tblData[Day'# Generic])),"")</f>
        <v>24701.692077143547</v>
      </c>
      <c r="CB117" s="95" t="str">
        <f>IF(AND(ISNUMBER(tblData[Generic]),tblData[Dates]&gt;StartDt2Generic),(tblData[Generic LogiP(t)]-tblData[[#This Row],[Generic]])^2,"")</f>
        <v/>
      </c>
      <c r="CC117" s="11">
        <f>IF(AND(ISNUMBER(tblData[Day'# Generic]),tblData[Dates]&gt;StartDt2Generic),tblData[Generic LogiP(t)]/GenericPopscale,"")</f>
        <v>50411.616483966427</v>
      </c>
      <c r="CD117" s="11" t="str">
        <f>IF(AND(ISNUMBER(tblData[Generic]),tblData[Dates]&gt;StartDt2Generic),(tblData[Generic]-AVERAGE(tblData[Generic]))^2,"")</f>
        <v/>
      </c>
      <c r="CE117" s="11">
        <f>tblData[[#This Row],[Dates]]-Generic100dt+1</f>
        <v>62</v>
      </c>
      <c r="CF117" s="11"/>
      <c r="CG117" s="11"/>
      <c r="CH117" s="11" t="str">
        <f>IF(ISNUMBER(tblData[[#This Row],[Tests]]),tblData[[#This Row],[Tests]]-CF116,"")</f>
        <v/>
      </c>
      <c r="CI117" s="11" t="str">
        <f>IF(ISNUMBER(tblData[[#This Row],[NSW Under Investigation'']]),tblData[[#This Row],[NSW Under Investigation'']]-CG116,"")</f>
        <v/>
      </c>
      <c r="CJ117" s="11"/>
      <c r="CK117" s="11" t="str">
        <f>IF(AND(tblData[[#This Row],[NSW Test Day Number]]&gt;0,ISNUMBER(tblData[[#This Row],[NSW Test Day Number]])),betaTests/(deltaTests+betaPodeltaTests*EXP(-betaTests*tblData[[#This Row],[NSW Test Day Number]])),"")</f>
        <v/>
      </c>
      <c r="CL117" s="11" t="str">
        <f>IF(tblData[Tests]&gt;0,(tblData[[#This Row],[Tests]]-tblData[[#This Row],[NSW Test Logi]])^2,"")</f>
        <v/>
      </c>
      <c r="CM117" s="95" t="str">
        <f>IF(AND(ISNUMBER(tblData[Tests]),tblData[Dates]&gt;StartDt2Tests),(tblData[Tests]-AVERAGE(tblData[Tests]))^2,"")</f>
        <v/>
      </c>
      <c r="CN117" s="11" t="str">
        <f>IF(ISNUMBER(tblData[Tests]),tblData[Tests]/NSWpopscale/100,"")</f>
        <v/>
      </c>
      <c r="CO117" s="95" t="str">
        <f>IF(AND(tblData[[#This Row],[NSW Test Day Number]]&gt;0,ISNUMBER(tblData[[#This Row],[NSW Test Day Number]])),TestsLogestB*TestsLogestM^tblData[[#This Row],[NSW Test Day Number]],"")</f>
        <v/>
      </c>
      <c r="CP117" s="11" t="str">
        <f>IF(AND(tblData[[#This Row],[NSW Test Day Number]]&gt;0,ISNUMBER(tblData[Tests])),(tblData[Tests]-tblData[[#This Row],[NSW Test Per Capita]])^2,"")</f>
        <v/>
      </c>
      <c r="CQ117" s="20">
        <f ca="1">IF(AND(tblData[Day '# NSW]&gt;0,ISNUMBER(tblData[[#This Row],[Day '# NSW]])),NSWLogestB*NSWLogestM^tblData[[#This Row],[Day '# NSW]]/NSWpopscale,"")</f>
        <v>50619.008036533378</v>
      </c>
      <c r="CR117" s="39" t="str">
        <f ca="1">IF(AND(ISNUMBER(tblData[NSW]),tblData[Dates]&gt;StartDt2NSW),(tblData[NSW]/NSWpopscale-tblData[[#This Row],[NSW Cases LogEst]])^2,"")</f>
        <v/>
      </c>
      <c r="CS117" s="39"/>
      <c r="CT117" s="19" t="str">
        <f>IF(ISNUMBER(tblData[Taiwan]),tblData[Taiwan]/TaiwanPopscale,"")</f>
        <v/>
      </c>
      <c r="CU117" s="11">
        <f ca="1">IF(tblData[[#This Row],[Dates]]&lt;StartDt2Taiwan,"",tblData[[#This Row],[Dates]]-TaiwanStart)</f>
        <v>112</v>
      </c>
      <c r="CV117" s="19">
        <f ca="1">IF(AND(tblData[Dates]&gt;StartDt2Taiwan,ISNUMBER(tblData[Days'# Taiwan])),betaTaiwan/(deltaTaiwan+betaPodeltaTaiwan*EXP(-betaTaiwan*tblData[Days'# Taiwan])),"")</f>
        <v>425.94305570712203</v>
      </c>
      <c r="CW117" s="95" t="str">
        <f ca="1">IF(AND(tblData[Dates]&gt;StartDt2Taiwan,ISNUMBER(tblData[Taiwan])),(tblData[[#This Row],[Taiwan LogiP(t)]]-tblData[[#This Row],[Taiwan]])^2,"")</f>
        <v/>
      </c>
      <c r="CX117" s="20">
        <f ca="1">IF(AND(tblData[Dates]&gt;StartDt2Taiwan,ISNUMBER(tblData[Days'# Taiwan])),tblData[[#This Row],[Taiwan LogiP(t)]]/TaiwanPopscale,"")</f>
        <v>178.91292912274574</v>
      </c>
      <c r="CY117" s="95" t="str">
        <f ca="1">IF(AND(ISNUMBER(tblData[Taiwan]),tblData[Dates]&gt;StartDt2Taiwan),(tblData[Taiwan]-AVERAGE(tblData[Taiwan]))^2,"")</f>
        <v/>
      </c>
      <c r="CZ117" s="11">
        <f>tblData[[#This Row],[Dates]]-Taiwan100dt+1</f>
        <v>49</v>
      </c>
      <c r="DB117" s="20" t="str">
        <f>IF(ISNUMBER(tblData[NZ]),tblData[NZ]/NZPopscale,"")</f>
        <v/>
      </c>
      <c r="DC117" s="11">
        <f ca="1">IF(tblData[[#This Row],[Dates]]&lt;StartDt2NZ,"",tblData[[#This Row],[Dates]]-NZStart)</f>
        <v>75</v>
      </c>
      <c r="DD117" s="20">
        <f ca="1">IF(AND(tblData[Dates]&gt;StartDt2NZ,ISNUMBER(tblData[Days'# NZ])),betaNZ/(deltaNZ+betaPodeltaNZ*EXP(-betaNZ*tblData[Days'# NZ])),"")</f>
        <v>1461.0171521037134</v>
      </c>
      <c r="DE117" s="95" t="str">
        <f ca="1">IF(AND(tblData[Dates]&gt;StartDt2NZ,ISNUMBER(tblData[NZ])),(tblData[[#This Row],[NZ LogiP(t)]]-tblData[[#This Row],[NZ]])^2,"")</f>
        <v/>
      </c>
      <c r="DF117" s="20">
        <f ca="1">IF(AND(tblData[Dates]&gt;StartDt2NZ,ISNUMBER(tblData[Days'# NZ])),tblData[[#This Row],[NZ LogiP(t)]]/NZPopscale,"")</f>
        <v>2793.5318395864501</v>
      </c>
      <c r="DG117" s="95" t="str">
        <f ca="1">IF(AND(ISNUMBER(tblData[NZ]),tblData[Dates]&gt;StartDt2NZ),(tblData[NZ]-AVERAGE(tblData[NZ]))^2,"")</f>
        <v/>
      </c>
      <c r="DH117" s="11">
        <f>tblData[[#This Row],[Dates]]-NZ100dt+1</f>
        <v>53</v>
      </c>
      <c r="DI117" s="39"/>
      <c r="DJ117" s="11"/>
      <c r="DL117" s="25"/>
      <c r="DM117" s="25"/>
      <c r="DN117" s="25"/>
      <c r="DQ117" s="25"/>
      <c r="DR117" s="25"/>
      <c r="DS117" s="25"/>
      <c r="DT117" s="25"/>
      <c r="DU117" s="25"/>
      <c r="DV117" s="25"/>
      <c r="DX117" s="25"/>
      <c r="DY117" s="25"/>
      <c r="DZ117" s="25"/>
      <c r="EA117" s="25"/>
      <c r="EB117" s="25"/>
      <c r="EC117" s="25"/>
      <c r="ED117" s="25"/>
      <c r="EE117" s="25"/>
      <c r="EF117" s="25"/>
      <c r="EG117" s="25"/>
      <c r="EL117" s="25"/>
      <c r="EM117" s="25"/>
      <c r="EN117" s="25"/>
      <c r="EO117" s="25"/>
      <c r="EP117" s="25"/>
      <c r="EQ117" s="25"/>
      <c r="ER117" s="25"/>
      <c r="ES117" s="25"/>
      <c r="ET117" s="25"/>
      <c r="FF117"/>
      <c r="FG117"/>
      <c r="FH117"/>
      <c r="FI117"/>
      <c r="FJ117"/>
      <c r="FK117"/>
      <c r="FL117"/>
      <c r="FM117"/>
      <c r="FN117"/>
      <c r="FO117" s="270" t="s">
        <v>153</v>
      </c>
      <c r="FP117" s="253">
        <v>43947.950474537036</v>
      </c>
      <c r="FQ117" s="156">
        <v>43855</v>
      </c>
      <c r="FR117" s="26">
        <v>43855</v>
      </c>
      <c r="FS117" s="224">
        <v>1</v>
      </c>
      <c r="FT117" s="44">
        <v>0.23791066064451888</v>
      </c>
      <c r="FU117" s="71">
        <v>8.0610482319300929E-5</v>
      </c>
      <c r="FV117" s="73">
        <v>1E-3</v>
      </c>
      <c r="FW117" s="225">
        <v>2951.3613341518844</v>
      </c>
      <c r="FX117" s="225">
        <v>24.781037455301426</v>
      </c>
      <c r="FY117" s="226">
        <v>0.99959371358488502</v>
      </c>
      <c r="FZ117" s="213">
        <v>237.91058003403657</v>
      </c>
      <c r="GA117" s="213">
        <v>8.061048231930093E-2</v>
      </c>
      <c r="GB117" s="243">
        <v>43947</v>
      </c>
      <c r="GC117" s="26" t="s">
        <v>3407</v>
      </c>
      <c r="GD117" s="214">
        <v>2951.3613341518062</v>
      </c>
      <c r="GE117" s="225">
        <v>3002</v>
      </c>
      <c r="GF117" s="228" t="s">
        <v>3408</v>
      </c>
      <c r="GG117" s="156">
        <v>43947</v>
      </c>
      <c r="GH117" s="52">
        <v>93</v>
      </c>
      <c r="GI117" s="26" t="s">
        <v>3503</v>
      </c>
      <c r="GJ117" s="51"/>
      <c r="GK117" s="62" t="s">
        <v>3410</v>
      </c>
      <c r="GL117" s="51"/>
      <c r="GM117" s="18" t="s">
        <v>3504</v>
      </c>
      <c r="GN117" s="11">
        <v>3715.3465346534649</v>
      </c>
      <c r="GO117" s="157"/>
      <c r="GP117" s="229"/>
      <c r="GQ117" s="156"/>
      <c r="GR117" s="11"/>
      <c r="GS117" s="25" t="s">
        <v>3502</v>
      </c>
      <c r="GT117" s="11">
        <v>2950.312142948057</v>
      </c>
      <c r="GU117" s="12">
        <v>6.6699128127526829E-3</v>
      </c>
      <c r="GV117" s="240">
        <v>43903</v>
      </c>
      <c r="GW117" s="162" t="s">
        <v>2389</v>
      </c>
      <c r="GX117" s="231">
        <v>-52.779897827194418</v>
      </c>
      <c r="GY117" s="25" t="s">
        <v>153</v>
      </c>
      <c r="GZ117" s="313" t="e">
        <v>#N/A</v>
      </c>
      <c r="HA117" s="26" t="s">
        <v>3504</v>
      </c>
    </row>
    <row r="118" spans="2:244" s="25" customFormat="1" x14ac:dyDescent="0.25">
      <c r="B118" s="26">
        <f t="shared" si="5"/>
        <v>43971</v>
      </c>
      <c r="C118"/>
      <c r="D118"/>
      <c r="E118"/>
      <c r="F118"/>
      <c r="G118"/>
      <c r="H118"/>
      <c r="I118"/>
      <c r="J118"/>
      <c r="K118"/>
      <c r="L118" s="11" t="str">
        <f>IF(ISNUMBER(tblData[[#This Row],[NSW]]),tblData[[#This Row],[New South Wales]]/NSWpopscale,"")</f>
        <v/>
      </c>
      <c r="M118"/>
      <c r="N118" s="20" t="str">
        <f>IF(ISNUMBER(tblData[Italy]),tblData[Italy]/ItalyPopscale,"")</f>
        <v/>
      </c>
      <c r="O118"/>
      <c r="P118" s="20" t="str">
        <f>IF(ISNUMBER(tblData[US]),tblData[US]/USPopscale,"")</f>
        <v/>
      </c>
      <c r="Q118" s="11"/>
      <c r="R118" s="20" t="str">
        <f>IF(ISNUMBER(tblData[SKorea]),tblData[SKorea]/SKoreaPopscale,"")</f>
        <v/>
      </c>
      <c r="S118" s="44"/>
      <c r="T118" s="12" t="str">
        <f>IF(ISNUMBER(tblData[United Kingdom]),tblData[United Kingdom]/UKPopscale,"")</f>
        <v/>
      </c>
      <c r="U118"/>
      <c r="V118" s="20" t="str">
        <f>IF(ISNUMBER(tblData[China]),tblData[China]/ChinaPopscale,"")</f>
        <v/>
      </c>
      <c r="W118" s="25">
        <f ca="1">IF(tblData[[#This Row],[Dates]]&lt;StartDt2China,"",tblData[[#This Row],[Dates]]-ChinaStart)</f>
        <v>119</v>
      </c>
      <c r="X118" s="20"/>
      <c r="Y118" s="20" t="str">
        <f>IF(ISNUMBER(tblData[Singapore]),tblData[Singapore]/SingaporePopscale,"")</f>
        <v/>
      </c>
      <c r="Z118" s="20"/>
      <c r="AA118" s="20" t="str">
        <f>IF(AND(LEN(tblData[Generic])&gt;0,ISNUMBER(tblData[Generic])),tblData[Generic]/GenericPopscale,"")</f>
        <v/>
      </c>
      <c r="AB118" s="25">
        <f ca="1">IF(tblData[[#This Row],[Dates]]&lt;StartDt2Italy,"",tblData[[#This Row],[Dates]]-ItalyStart)</f>
        <v>111</v>
      </c>
      <c r="AC118" s="25">
        <f ca="1">IF(tblData[[#This Row],[Dates]]&lt;=StartDt2US,"",tblData[[#This Row],[Dates]]-USStart)</f>
        <v>119</v>
      </c>
      <c r="AD118" s="25">
        <f>IF(tblData[[#This Row],[Dates]]&lt;=SKoreaStart,"",tblData[[#This Row],[Dates]]-SKoreaStart)</f>
        <v>119</v>
      </c>
      <c r="AE118" s="25">
        <f ca="1">IF(tblData[[#This Row],[Dates]]&lt;=StartDt2UK,"",tblData[[#This Row],[Dates]]-UKStart)</f>
        <v>111</v>
      </c>
      <c r="AF118" s="25">
        <f ca="1">IF(tblData[[#This Row],[Dates]]&lt;StartDt2Singapore,"",tblData[[#This Row],[Dates]]-SingaporeStart)</f>
        <v>118</v>
      </c>
      <c r="AG118" s="25">
        <f>IF(tblData[[#This Row],[Dates]]&lt;StartDt2Generic,"",tblData[[#This Row],[Dates]]-GenericStart)</f>
        <v>81</v>
      </c>
      <c r="AH118" s="25">
        <f ca="1">IF(tblData[Dates]&gt;StartDt2Au,tblData[Dates]-AuStart,"")</f>
        <v>116</v>
      </c>
      <c r="AI118" s="25" t="str">
        <f>IF(AND(COUNTBLANK(tblData[[#This Row],[Australian Capital Territory]:[Western Australia]])&lt;1,tblData[New South Wales]&gt;=0),SUM(tblData[[#This Row],[Australian Capital Territory]:[Western Australia]]),"")</f>
        <v/>
      </c>
      <c r="AJ118" s="12" t="str">
        <f>IF(ISNUMBER(tblData[Au]),tblData[Au]/AuPopScale,"")</f>
        <v/>
      </c>
      <c r="AK118" s="11">
        <f ca="1">IF(ISNUMBER(tblData[[#This Row],[Day'# Aust]]),betaAu/(deltaAu+betaPodeltaAu*EXP(-betaAu*tblData[[#This Row],[Day'# Aust]])),"")</f>
        <v>6643.7420765012293</v>
      </c>
      <c r="AL118" s="56">
        <f ca="1">IF(ISNUMBER(tblData[Day'# Aust]),tblData[Au LogiP(t)]/AuPopScale,"")</f>
        <v>2619.3589640834371</v>
      </c>
      <c r="AM118" s="11" t="str">
        <f ca="1">IF(AND(tblData[Dates]&gt;StartDt2Au,ISNUMBER(tblData[Au])),(tblData[[#This Row],[Au LogiP(t)]]-tblData[[#This Row],[Au]])^2,"")</f>
        <v/>
      </c>
      <c r="AN118" s="11" t="str">
        <f ca="1">IF(AND(ISNUMBER(tblData[Au]),tblData[Dates]&gt;StartDt2Au),(tblData[Au]-AVERAGE(tblData[Au]))^2,"")</f>
        <v/>
      </c>
      <c r="AO118" s="11">
        <f>tblData[[#This Row],[Dates]]-Au100dt</f>
        <v>66</v>
      </c>
      <c r="AP118" s="25">
        <f ca="1">IF(tblData[Dates]&gt;StartDt2NSW,tblData[Dates]-StartDt2NSW,"")</f>
        <v>116</v>
      </c>
      <c r="AQ118" s="25" t="str">
        <f>IF(tblData[[#This Row],[New South Wales]]&gt;0,tblData[[#This Row],[New South Wales]],"")</f>
        <v/>
      </c>
      <c r="AR118" s="11">
        <f ca="1">IF(tblData[Dates]&gt;StartDt2NSW,betaNSW/(deltaNSW+betaPodeltaNSW*EXP(-betaNSW*tblData[[#This Row],[Day '# NSW]])),"")</f>
        <v>2973.5764415166877</v>
      </c>
      <c r="AS118" s="12" t="str">
        <f ca="1">IF(AND(ISNUMBER(tblData[NSW]),tblData[Dates]&gt;StartDt2NSW),(tblData[[#This Row],[NSW LogiP(t)]]-tblData[[#This Row],[NSW]])^2,"")</f>
        <v/>
      </c>
      <c r="AT118" s="39">
        <f ca="1">IF(AND(tblData[Dates]&gt;StartDt2NSW,ISNUMBER(tblData[Day'# Aust])),tblData[NSW LogiP(t)]/NSWpopscale,"")</f>
        <v>3680.1688632632272</v>
      </c>
      <c r="AU118" s="11">
        <f>tblData[[#This Row],[Dates]]-NSW100dt+1</f>
        <v>69</v>
      </c>
      <c r="AV118" s="11" t="str">
        <f ca="1">IF(AND(ISNUMBER(tblData[NSW]),tblData[Dates]&gt;StartDt2NSW),(tblData[NSW]-AVERAGE(tblData[NSW]))^2,"")</f>
        <v/>
      </c>
      <c r="AW118" s="11">
        <f ca="1">IF(AND(tblData[Dates]&gt;StartDt2Italy,ISNUMBER(tblData[Days'# Italy])),betaItaly/(deltaItaly+betaPodeltaItaly*EXP(-betaItaly*tblData[Days'# Italy])),"")</f>
        <v>161385.04259674836</v>
      </c>
      <c r="AX118" s="11" t="str">
        <f ca="1">IF(AND(tblData[Dates]&gt;StartDt2Italy,ISNUMBER(tblData[Italy])),(tblData[[#This Row],[Italy LogiP(t)]]-tblData[[#This Row],[Italy]])^2,"")</f>
        <v/>
      </c>
      <c r="AY118" s="11">
        <f ca="1">IF(AND(tblData[Dates]&gt;StartDt2Italy,ISNUMBER(tblData[Days'# Italy])),tblData[[#This Row],[Italy LogiP(t)]]/ItalyPopscale,"")</f>
        <v>26681.828981854735</v>
      </c>
      <c r="AZ118" s="39" t="str">
        <f ca="1">IF(AND(ISNUMBER(tblData[Italy]),tblData[Dates]&gt;StartDt2Italy),(tblData[Italy]-AVERAGE(tblData[Italy]))^2,"")</f>
        <v/>
      </c>
      <c r="BA118" s="11">
        <f>tblData[[#This Row],[Dates]]-Italy100dt+1</f>
        <v>84</v>
      </c>
      <c r="BB118" s="11">
        <f ca="1">IF(AND(tblData[Dates]&gt;StartDt2US,ISNUMBER(tblData[[#This Row],[Days'# US]])),betaUS/(deltaUS+betaPodeltaUS*EXP(-betaUS*tblData[Days'# US])),"")</f>
        <v>813398.23547755356</v>
      </c>
      <c r="BC118" s="11" t="str">
        <f ca="1">IF(AND(tblData[Dates]&gt;StartDt2US,ISNUMBER(tblData[US])),(tblData[[#This Row],[US LogiP(t)]]-tblData[US])^2,"")</f>
        <v/>
      </c>
      <c r="BD118" s="20">
        <f ca="1">IF(AND(tblData[Dates]&gt;=StartDt2US,ISNUMBER(tblData[[#This Row],[Days'# US]])),tblData[[#This Row],[US LogiP(t)]]/USPopscale,"")</f>
        <v>24706.24804136507</v>
      </c>
      <c r="BE118" s="126" t="str">
        <f ca="1">IF(AND(ISNUMBER(tblData[US]),tblData[Dates]&gt;StartDt2US),(tblData[US]-AVERAGE(tblData[US]))^2,"")</f>
        <v/>
      </c>
      <c r="BF118" s="11">
        <f>tblData[[#This Row],[Dates]]-US100dt+1</f>
        <v>67</v>
      </c>
      <c r="BG118" s="20">
        <f ca="1">IF(tblData[Dates]&gt;StartDt2SKorea,betaSKorea/(deltaSKorea+betaPodeltaSKorea*EXP(-betaSKorea*(tblData[Dates]-StartDt2SKorea))),"")</f>
        <v>10234.178733688554</v>
      </c>
      <c r="BH118" s="20" t="str">
        <f ca="1">IF(AND(tblData[Dates]&gt;StartDt2SKorea,ISNUMBER(tblData[SKorea])),(tblData[[#This Row],[SKorea LogiP(t)]]-tblData[[#This Row],[SKorea]])^2,"")</f>
        <v/>
      </c>
      <c r="BI118" s="20">
        <f ca="1">IF(tblData[Dates]&gt;StartDt2SKorea,tblData[[#This Row],[SKorea LogiP(t)]]/SKoreaPopscale,"")</f>
        <v>1991.0853567487459</v>
      </c>
      <c r="BJ118" s="126" t="str">
        <f ca="1">IF(AND(ISNUMBER(tblData[SKorea]),tblData[Dates]&gt;StartDt2SKorea),(tblData[SKorea]-AVERAGE(tblData[SKorea]))^2,"")</f>
        <v/>
      </c>
      <c r="BK118" s="11">
        <f>tblData[[#This Row],[Dates]]-SKorea100dt+1</f>
        <v>88</v>
      </c>
      <c r="BL118" s="11">
        <f ca="1">IF(AND(tblData[Dates]&gt;StartDt2UK,ISNUMBER(tblData[Days'# UK])),betaUK/(deltaUK+betaPodeltaUK*EXP(-betaUK*tblData[Days'# UK])),"")</f>
        <v>142818.29998300341</v>
      </c>
      <c r="BM118" s="61" t="str">
        <f ca="1">IF(AND(tblData[Dates]&gt;StartDt2UK,ISNUMBER(tblData[United Kingdom])),(tblData[[#This Row],[UK LogiP(t)]]-tblData[[#This Row],[United Kingdom]])^2,"")</f>
        <v/>
      </c>
      <c r="BN118" s="11">
        <f ca="1">IF(ISNUMBER(tblData[Days'# UK]),tblData[[#This Row],[UK LogiP(t)]]/UKPopscale,"")</f>
        <v>21495.830822246149</v>
      </c>
      <c r="BO118" s="126" t="str">
        <f ca="1">IF(AND(ISNUMBER(tblData[United Kingdom]),tblData[Dates]&gt;StartDt2UK),(tblData[United Kingdom]-AVERAGE(tblData[United Kingdom]))^2,"")</f>
        <v/>
      </c>
      <c r="BP118" s="11">
        <f>tblData[[#This Row],[Dates]]-UK100dt</f>
        <v>69</v>
      </c>
      <c r="BQ118" s="11">
        <f ca="1">IF(ISNUMBER(tblData[Days'# China]),betaChina/(deltaChina+betaPodeltaChina*EXP(-betaChina*tblData[Days'# China])),"")</f>
        <v>82125.160514042698</v>
      </c>
      <c r="BR118" s="11" t="str">
        <f>IF(ISNUMBER(tblData[China]),(tblData[[#This Row],[China LogiP(t)]]-tblData[[#This Row],[China]])^2,"")</f>
        <v/>
      </c>
      <c r="BS118" s="11">
        <f ca="1">tblData[[#This Row],[China LogiP(t)]]/ChinaPopscale</f>
        <v>570.58155978132538</v>
      </c>
      <c r="BT118" s="126" t="str">
        <f ca="1">IF(AND(ISNUMBER(tblData[China]),tblData[Dates]&gt;StartDt2China),(tblData[China]-AVERAGE(tblData[China]))^2,"")</f>
        <v/>
      </c>
      <c r="BU118" s="11">
        <f>tblData[[#This Row],[Dates]]-China100dt</f>
        <v>108</v>
      </c>
      <c r="BV118" s="95">
        <f ca="1">IF(ISNUMBER(tblData[Day'# Singapore]),betaSingapore/(deltaSingapore+betaPodeltaSingapore*EXP(-betaSingapore*tblData[Day'# Singapore])),"")</f>
        <v>32104.388443052805</v>
      </c>
      <c r="BW118" s="11" t="str">
        <f ca="1">IF(AND(ISNUMBER(tblData[Singapore]),tblData[Dates]&gt;=StartDt2Singapore),(tblData[[#This Row],[Singapore LogiP(t)]]-tblData[[#This Row],[Singapore]])^2,"")</f>
        <v/>
      </c>
      <c r="BX118" s="20">
        <f ca="1">IF(ISNUMBER(tblData[Day'# Singapore]),tblData[Singapore LogiP(t)]/SingaporePopscale,"")</f>
        <v>54879.296483850951</v>
      </c>
      <c r="BY118" s="95" t="str">
        <f ca="1">IF(AND(ISNUMBER(tblData[Singapore]),tblData[Dates]&gt;StartDt2Singapore),(tblData[Singapore]-AVERAGE(tblData[Singapore]))^2,"")</f>
        <v/>
      </c>
      <c r="BZ118" s="11">
        <f>tblData[[#This Row],[Dates]]-Singapore100dt+1</f>
        <v>97</v>
      </c>
      <c r="CA118" s="11">
        <f>IF(AND(tblData[Dates]&gt;StartDt2Generic,ISNUMBER(tblData[Day'# Generic])),betaGeneric/(deltaGeneric+betaPodeltaGeneric*EXP(-betaGeneric*tblData[Day'# Generic])),"")</f>
        <v>25122.919926109746</v>
      </c>
      <c r="CB118" s="95" t="str">
        <f>IF(AND(ISNUMBER(tblData[Generic]),tblData[Dates]&gt;StartDt2Generic),(tblData[Generic LogiP(t)]-tblData[[#This Row],[Generic]])^2,"")</f>
        <v/>
      </c>
      <c r="CC118" s="11">
        <f>IF(AND(ISNUMBER(tblData[Day'# Generic]),tblData[Dates]&gt;StartDt2Generic),tblData[Generic LogiP(t)]/GenericPopscale,"")</f>
        <v>51271.265155326015</v>
      </c>
      <c r="CD118" s="95" t="str">
        <f>IF(AND(ISNUMBER(tblData[Generic]),tblData[Dates]&gt;StartDt2Generic),(tblData[Generic]-AVERAGE(tblData[Generic]))^2,"")</f>
        <v/>
      </c>
      <c r="CE118" s="11">
        <f>tblData[[#This Row],[Dates]]-Generic100dt+1</f>
        <v>69</v>
      </c>
      <c r="CF118" s="11"/>
      <c r="CG118" s="11"/>
      <c r="CH118" s="11" t="str">
        <f>IF(ISNUMBER(tblData[[#This Row],[Tests]]),tblData[[#This Row],[Tests]]-CF117,"")</f>
        <v/>
      </c>
      <c r="CI118" s="11" t="str">
        <f>IF(ISNUMBER(tblData[[#This Row],[NSW Under Investigation'']]),tblData[[#This Row],[NSW Under Investigation'']]-CG117,"")</f>
        <v/>
      </c>
      <c r="CJ118" s="11">
        <f>IF(tblData[[#This Row],[Dates]]&gt;myData!TestsStart,tblData[[#This Row],[Dates]]-myData!TestsStart,"")</f>
        <v>76</v>
      </c>
      <c r="CK118" s="11">
        <f>IF(AND(tblData[[#This Row],[NSW Test Day Number]]&gt;0,ISNUMBER(tblData[[#This Row],[NSW Test Day Number]])),betaTests/(deltaTests+betaPodeltaTests*EXP(-betaTests*tblData[[#This Row],[NSW Test Day Number]])),"")</f>
        <v>172537.40713307241</v>
      </c>
      <c r="CL118" s="11" t="str">
        <f>IF(tblData[Tests]&gt;0,(tblData[[#This Row],[Tests]]-tblData[[#This Row],[NSW Test Logi]])^2,"")</f>
        <v/>
      </c>
      <c r="CM118" s="95" t="str">
        <f>IF(AND(ISNUMBER(tblData[Tests]),tblData[Dates]&gt;StartDt2Tests),(tblData[Tests]-AVERAGE(tblData[Tests]))^2,"")</f>
        <v/>
      </c>
      <c r="CN118" s="11" t="str">
        <f>IF(ISNUMBER(tblData[Tests]),tblData[Tests]/NSWpopscale/100,"")</f>
        <v/>
      </c>
      <c r="CO118" s="95">
        <f ca="1">IF(AND(tblData[[#This Row],[NSW Test Day Number]]&gt;0,ISNUMBER(tblData[[#This Row],[NSW Test Day Number]])),TestsLogestB*TestsLogestM^tblData[[#This Row],[NSW Test Day Number]],"")</f>
        <v>1111841.7385412839</v>
      </c>
      <c r="CP118" s="11" t="str">
        <f>IF(AND(tblData[[#This Row],[NSW Test Day Number]]&gt;0,ISNUMBER(tblData[Tests])),(tblData[Tests]-tblData[[#This Row],[NSW Test Per Capita]])^2,"")</f>
        <v/>
      </c>
      <c r="CQ118" s="20">
        <f ca="1">IF(AND(tblData[Day '# NSW]&gt;0,ISNUMBER(tblData[[#This Row],[Day '# NSW]])),NSWLogestB*NSWLogestM^tblData[[#This Row],[Day '# NSW]]/NSWpopscale,"")</f>
        <v>99243.564207495307</v>
      </c>
      <c r="CR118" s="39" t="str">
        <f ca="1">IF(AND(ISNUMBER(tblData[NSW]),tblData[Dates]&gt;StartDt2NSW),(tblData[NSW]/NSWpopscale-tblData[[#This Row],[NSW Cases LogEst]])^2,"")</f>
        <v/>
      </c>
      <c r="CS118" s="39"/>
      <c r="CT118" s="19" t="str">
        <f>IF(ISNUMBER(tblData[Taiwan]),tblData[Taiwan]/TaiwanPopscale,"")</f>
        <v/>
      </c>
      <c r="CU118" s="11">
        <f ca="1">IF(tblData[[#This Row],[Dates]]&lt;StartDt2Taiwan,"",tblData[[#This Row],[Dates]]-TaiwanStart)</f>
        <v>119</v>
      </c>
      <c r="CV118" s="19">
        <f ca="1">IF(AND(tblData[Dates]&gt;StartDt2Taiwan,ISNUMBER(tblData[Days'# Taiwan])),betaTaiwan/(deltaTaiwan+betaPodeltaTaiwan*EXP(-betaTaiwan*tblData[Days'# Taiwan])),"")</f>
        <v>426.12564665340705</v>
      </c>
      <c r="CW118" s="95" t="str">
        <f ca="1">IF(AND(tblData[Dates]&gt;StartDt2Taiwan,ISNUMBER(tblData[Taiwan])),(tblData[[#This Row],[Taiwan LogiP(t)]]-tblData[[#This Row],[Taiwan]])^2,"")</f>
        <v/>
      </c>
      <c r="CX118" s="20">
        <f ca="1">IF(AND(tblData[Dates]&gt;StartDt2Taiwan,ISNUMBER(tblData[Days'# Taiwan])),tblData[[#This Row],[Taiwan LogiP(t)]]/TaiwanPopscale,"")</f>
        <v>178.98962454151928</v>
      </c>
      <c r="CY118" s="95" t="str">
        <f ca="1">IF(AND(ISNUMBER(tblData[Taiwan]),tblData[Dates]&gt;StartDt2Taiwan),(tblData[Taiwan]-AVERAGE(tblData[Taiwan]))^2,"")</f>
        <v/>
      </c>
      <c r="CZ118" s="11">
        <f>tblData[[#This Row],[Dates]]-Taiwan100dt+1</f>
        <v>56</v>
      </c>
      <c r="DA118" s="11"/>
      <c r="DB118" s="20" t="str">
        <f>IF(ISNUMBER(tblData[NZ]),tblData[NZ]/NZPopscale,"")</f>
        <v/>
      </c>
      <c r="DC118" s="11">
        <f ca="1">IF(tblData[[#This Row],[Dates]]&lt;StartDt2NZ,"",tblData[[#This Row],[Dates]]-NZStart)</f>
        <v>82</v>
      </c>
      <c r="DD118" s="20">
        <f ca="1">IF(AND(tblData[Dates]&gt;StartDt2NZ,ISNUMBER(tblData[Days'# NZ])),betaNZ/(deltaNZ+betaPodeltaNZ*EXP(-betaNZ*tblData[Days'# NZ])),"")</f>
        <v>1461.0863596906311</v>
      </c>
      <c r="DE118" s="95" t="str">
        <f ca="1">IF(AND(tblData[Dates]&gt;StartDt2NZ,ISNUMBER(tblData[NZ])),(tblData[[#This Row],[NZ LogiP(t)]]-tblData[[#This Row],[NZ]])^2,"")</f>
        <v/>
      </c>
      <c r="DF118" s="20">
        <f ca="1">IF(AND(tblData[Dates]&gt;StartDt2NZ,ISNUMBER(tblData[Days'# NZ])),tblData[[#This Row],[NZ LogiP(t)]]/NZPopscale,"")</f>
        <v>2793.6641676685103</v>
      </c>
      <c r="DG118" s="95" t="str">
        <f ca="1">IF(AND(ISNUMBER(tblData[NZ]),tblData[Dates]&gt;StartDt2NZ),(tblData[NZ]-AVERAGE(tblData[NZ]))^2,"")</f>
        <v/>
      </c>
      <c r="DH118" s="11">
        <f>tblData[[#This Row],[Dates]]-NZ100dt+1</f>
        <v>60</v>
      </c>
      <c r="DI118" s="39"/>
      <c r="DJ118"/>
      <c r="DK118"/>
      <c r="EP118"/>
      <c r="EV118"/>
      <c r="FE118"/>
      <c r="FO118" s="270" t="s">
        <v>153</v>
      </c>
      <c r="FP118" s="253">
        <v>43949.717106481483</v>
      </c>
      <c r="FQ118" s="156">
        <v>43855</v>
      </c>
      <c r="FR118" s="26">
        <v>43855</v>
      </c>
      <c r="FS118" s="224">
        <v>1</v>
      </c>
      <c r="FT118" s="44">
        <v>0.23742872110328433</v>
      </c>
      <c r="FU118" s="71">
        <v>8.0285056683847877E-5</v>
      </c>
      <c r="FV118" s="73">
        <v>1.0262587177840797E-3</v>
      </c>
      <c r="FW118" s="225">
        <v>2957.3214606828737</v>
      </c>
      <c r="FX118" s="225">
        <v>25.761308438768921</v>
      </c>
      <c r="FY118" s="226">
        <v>0.99957637457721038</v>
      </c>
      <c r="FZ118" s="212">
        <v>231.35359007980571</v>
      </c>
      <c r="GA118" s="213">
        <v>8.0285056683847875E-2</v>
      </c>
      <c r="GB118" s="246">
        <v>43949</v>
      </c>
      <c r="GC118" s="26" t="s">
        <v>1658</v>
      </c>
      <c r="GD118" s="214">
        <v>2957.3214606827896</v>
      </c>
      <c r="GE118" s="225">
        <v>3009</v>
      </c>
      <c r="GF118" s="228" t="s">
        <v>1659</v>
      </c>
      <c r="GG118" s="156">
        <v>43949</v>
      </c>
      <c r="GH118" s="52">
        <v>95</v>
      </c>
      <c r="GI118" s="26" t="s">
        <v>3561</v>
      </c>
      <c r="GJ118" s="51"/>
      <c r="GK118" s="62" t="s">
        <v>3562</v>
      </c>
      <c r="GL118" s="51"/>
      <c r="GM118" s="18" t="s">
        <v>3563</v>
      </c>
      <c r="GN118" s="11">
        <v>3724.0099009900987</v>
      </c>
      <c r="GO118" s="157"/>
      <c r="GP118" s="229"/>
      <c r="GQ118" s="156"/>
      <c r="GR118" s="389"/>
      <c r="GS118" t="s">
        <v>3560</v>
      </c>
      <c r="GT118" s="11">
        <v>2956.2463832559592</v>
      </c>
      <c r="GU118" s="12">
        <v>6.9176261942589861E-3</v>
      </c>
      <c r="GV118" s="240">
        <v>43903</v>
      </c>
      <c r="GW118" s="162" t="s">
        <v>2389</v>
      </c>
      <c r="GX118" s="231">
        <v>-53.041588163146571</v>
      </c>
      <c r="GY118" t="s">
        <v>153</v>
      </c>
      <c r="GZ118" s="313" t="e">
        <v>#N/A</v>
      </c>
      <c r="HA118" s="26" t="s">
        <v>3563</v>
      </c>
      <c r="HB118"/>
      <c r="HC118"/>
      <c r="HD118"/>
      <c r="HE118"/>
      <c r="HF118"/>
      <c r="HG118"/>
      <c r="HH118"/>
      <c r="HI118"/>
      <c r="HJ118"/>
      <c r="HK118" s="164"/>
      <c r="HL118"/>
      <c r="HM118"/>
      <c r="HN118"/>
      <c r="HO118"/>
      <c r="HP118"/>
      <c r="HQ118"/>
      <c r="HR118"/>
      <c r="HS118"/>
      <c r="HT118"/>
      <c r="HU118"/>
      <c r="HV118"/>
      <c r="HW118"/>
    </row>
    <row r="119" spans="2:244" s="25" customFormat="1" x14ac:dyDescent="0.25">
      <c r="B119" s="26">
        <f t="shared" si="5"/>
        <v>43978</v>
      </c>
      <c r="C119"/>
      <c r="D119"/>
      <c r="E119"/>
      <c r="F119"/>
      <c r="G119"/>
      <c r="H119"/>
      <c r="I119"/>
      <c r="J119"/>
      <c r="K119"/>
      <c r="L119" s="11" t="str">
        <f>IF(ISNUMBER(tblData[[#This Row],[NSW]]),tblData[[#This Row],[New South Wales]]/NSWpopscale,"")</f>
        <v/>
      </c>
      <c r="M119"/>
      <c r="N119" s="20" t="str">
        <f>IF(ISNUMBER(tblData[Italy]),tblData[Italy]/ItalyPopscale,"")</f>
        <v/>
      </c>
      <c r="O119"/>
      <c r="P119" s="20" t="str">
        <f>IF(ISNUMBER(tblData[US]),tblData[US]/USPopscale,"")</f>
        <v/>
      </c>
      <c r="Q119" s="11"/>
      <c r="R119" s="20" t="str">
        <f>IF(ISNUMBER(tblData[SKorea]),tblData[SKorea]/SKoreaPopscale,"")</f>
        <v/>
      </c>
      <c r="S119" s="44"/>
      <c r="T119" s="12" t="str">
        <f>IF(ISNUMBER(tblData[United Kingdom]),tblData[United Kingdom]/UKPopscale,"")</f>
        <v/>
      </c>
      <c r="U119"/>
      <c r="V119" s="20" t="str">
        <f>IF(ISNUMBER(tblData[China]),tblData[China]/ChinaPopscale,"")</f>
        <v/>
      </c>
      <c r="W119" s="25">
        <f ca="1">IF(tblData[[#This Row],[Dates]]&lt;StartDt2China,"",tblData[[#This Row],[Dates]]-ChinaStart)</f>
        <v>126</v>
      </c>
      <c r="X119" s="20"/>
      <c r="Y119" s="20" t="str">
        <f>IF(ISNUMBER(tblData[Singapore]),tblData[Singapore]/SingaporePopscale,"")</f>
        <v/>
      </c>
      <c r="Z119" s="20"/>
      <c r="AA119" s="20" t="str">
        <f>IF(AND(LEN(tblData[Generic])&gt;0,ISNUMBER(tblData[Generic])),tblData[Generic]/GenericPopscale,"")</f>
        <v/>
      </c>
      <c r="AB119" s="25">
        <f ca="1">IF(tblData[[#This Row],[Dates]]&lt;StartDt2Italy,"",tblData[[#This Row],[Dates]]-ItalyStart)</f>
        <v>118</v>
      </c>
      <c r="AC119" s="25">
        <f ca="1">IF(tblData[[#This Row],[Dates]]&lt;=StartDt2US,"",tblData[[#This Row],[Dates]]-USStart)</f>
        <v>126</v>
      </c>
      <c r="AD119" s="25">
        <f>IF(tblData[[#This Row],[Dates]]&lt;=SKoreaStart,"",tblData[[#This Row],[Dates]]-SKoreaStart)</f>
        <v>126</v>
      </c>
      <c r="AE119" s="25">
        <f ca="1">IF(tblData[[#This Row],[Dates]]&lt;=StartDt2UK,"",tblData[[#This Row],[Dates]]-UKStart)</f>
        <v>118</v>
      </c>
      <c r="AF119" s="25">
        <f ca="1">IF(tblData[[#This Row],[Dates]]&lt;StartDt2Singapore,"",tblData[[#This Row],[Dates]]-SingaporeStart)</f>
        <v>125</v>
      </c>
      <c r="AG119" s="25">
        <f>IF(tblData[[#This Row],[Dates]]&lt;StartDt2Generic,"",tblData[[#This Row],[Dates]]-GenericStart)</f>
        <v>88</v>
      </c>
      <c r="AH119" s="25">
        <f ca="1">IF(tblData[Dates]&gt;StartDt2Au,tblData[Dates]-AuStart,"")</f>
        <v>123</v>
      </c>
      <c r="AI119" s="25" t="str">
        <f>IF(AND(COUNTBLANK(tblData[[#This Row],[Australian Capital Territory]:[Western Australia]])&lt;1,tblData[New South Wales]&gt;=0),SUM(tblData[[#This Row],[Australian Capital Territory]:[Western Australia]]),"")</f>
        <v/>
      </c>
      <c r="AJ119" s="12" t="str">
        <f>IF(ISNUMBER(tblData[Au]),tblData[Au]/AuPopScale,"")</f>
        <v/>
      </c>
      <c r="AK119" s="11">
        <f ca="1">IF(ISNUMBER(tblData[[#This Row],[Day'# Aust]]),betaAu/(deltaAu+betaPodeltaAu*EXP(-betaAu*tblData[[#This Row],[Day'# Aust]])),"")</f>
        <v>6643.7722347243398</v>
      </c>
      <c r="AL119" s="56">
        <f ca="1">IF(ISNUMBER(tblData[Day'# Aust]),tblData[Au LogiP(t)]/AuPopScale,"")</f>
        <v>2619.3708542518293</v>
      </c>
      <c r="AM119" s="11" t="str">
        <f ca="1">IF(AND(tblData[Dates]&gt;StartDt2Au,ISNUMBER(tblData[Au])),(tblData[[#This Row],[Au LogiP(t)]]-tblData[[#This Row],[Au]])^2,"")</f>
        <v/>
      </c>
      <c r="AN119" s="11" t="str">
        <f ca="1">IF(AND(ISNUMBER(tblData[Au]),tblData[Dates]&gt;StartDt2Au),(tblData[Au]-AVERAGE(tblData[Au]))^2,"")</f>
        <v/>
      </c>
      <c r="AO119" s="11">
        <f>tblData[[#This Row],[Dates]]-Au100dt</f>
        <v>73</v>
      </c>
      <c r="AP119" s="25">
        <f ca="1">IF(tblData[Dates]&gt;StartDt2NSW,tblData[Dates]-StartDt2NSW,"")</f>
        <v>123</v>
      </c>
      <c r="AQ119" s="25" t="str">
        <f>IF(tblData[[#This Row],[New South Wales]]&gt;0,tblData[[#This Row],[New South Wales]],"")</f>
        <v/>
      </c>
      <c r="AR119" s="11">
        <f ca="1">IF(tblData[Dates]&gt;StartDt2NSW,betaNSW/(deltaNSW+betaPodeltaNSW*EXP(-betaNSW*tblData[[#This Row],[Day '# NSW]])),"")</f>
        <v>2973.5855200838787</v>
      </c>
      <c r="AS119" s="12" t="str">
        <f ca="1">IF(AND(ISNUMBER(tblData[NSW]),tblData[Dates]&gt;StartDt2NSW),(tblData[[#This Row],[NSW LogiP(t)]]-tblData[[#This Row],[NSW]])^2,"")</f>
        <v/>
      </c>
      <c r="AT119" s="39">
        <f ca="1">IF(AND(tblData[Dates]&gt;StartDt2NSW,ISNUMBER(tblData[Day'# Aust])),tblData[NSW LogiP(t)]/NSWpopscale,"")</f>
        <v>3680.1800991137111</v>
      </c>
      <c r="AU119" s="11">
        <f>tblData[[#This Row],[Dates]]-NSW100dt+1</f>
        <v>76</v>
      </c>
      <c r="AV119" s="11" t="str">
        <f ca="1">IF(AND(ISNUMBER(tblData[NSW]),tblData[Dates]&gt;StartDt2NSW),(tblData[NSW]-AVERAGE(tblData[NSW]))^2,"")</f>
        <v/>
      </c>
      <c r="AW119" s="11">
        <f ca="1">IF(AND(tblData[Dates]&gt;StartDt2Italy,ISNUMBER(tblData[Days'# Italy])),betaItaly/(deltaItaly+betaPodeltaItaly*EXP(-betaItaly*tblData[Days'# Italy])),"")</f>
        <v>161385.07303786383</v>
      </c>
      <c r="AX119" s="11" t="str">
        <f ca="1">IF(AND(tblData[Dates]&gt;StartDt2Italy,ISNUMBER(tblData[Italy])),(tblData[[#This Row],[Italy LogiP(t)]]-tblData[[#This Row],[Italy]])^2,"")</f>
        <v/>
      </c>
      <c r="AY119" s="11">
        <f ca="1">IF(AND(tblData[Dates]&gt;StartDt2Italy,ISNUMBER(tblData[Days'# Italy])),tblData[[#This Row],[Italy LogiP(t)]]/ItalyPopscale,"")</f>
        <v>26681.834014691878</v>
      </c>
      <c r="AZ119" s="39" t="str">
        <f ca="1">IF(AND(ISNUMBER(tblData[Italy]),tblData[Dates]&gt;StartDt2Italy),(tblData[Italy]-AVERAGE(tblData[Italy]))^2,"")</f>
        <v/>
      </c>
      <c r="BA119" s="11">
        <f>tblData[[#This Row],[Dates]]-Italy100dt+1</f>
        <v>91</v>
      </c>
      <c r="BB119" s="11">
        <f ca="1">IF(AND(tblData[Dates]&gt;StartDt2US,ISNUMBER(tblData[[#This Row],[Days'# US]])),betaUS/(deltaUS+betaPodeltaUS*EXP(-betaUS*tblData[Days'# US])),"")</f>
        <v>813399.46868677496</v>
      </c>
      <c r="BC119" s="11" t="str">
        <f ca="1">IF(AND(tblData[Dates]&gt;StartDt2US,ISNUMBER(tblData[US])),(tblData[[#This Row],[US LogiP(t)]]-tblData[US])^2,"")</f>
        <v/>
      </c>
      <c r="BD119" s="20">
        <f ca="1">IF(AND(tblData[Dates]&gt;=StartDt2US,ISNUMBER(tblData[[#This Row],[Days'# US]])),tblData[[#This Row],[US LogiP(t)]]/USPopscale,"")</f>
        <v>24706.285498998466</v>
      </c>
      <c r="BE119" s="126" t="str">
        <f ca="1">IF(AND(ISNUMBER(tblData[US]),tblData[Dates]&gt;StartDt2US),(tblData[US]-AVERAGE(tblData[US]))^2,"")</f>
        <v/>
      </c>
      <c r="BF119" s="11">
        <f>tblData[[#This Row],[Dates]]-US100dt+1</f>
        <v>74</v>
      </c>
      <c r="BG119" s="20">
        <f ca="1">IF(tblData[Dates]&gt;StartDt2SKorea,betaSKorea/(deltaSKorea+betaPodeltaSKorea*EXP(-betaSKorea*(tblData[Dates]-StartDt2SKorea))),"")</f>
        <v>10234.18863681599</v>
      </c>
      <c r="BH119" s="20" t="str">
        <f ca="1">IF(AND(tblData[Dates]&gt;StartDt2SKorea,ISNUMBER(tblData[SKorea])),(tblData[[#This Row],[SKorea LogiP(t)]]-tblData[[#This Row],[SKorea]])^2,"")</f>
        <v/>
      </c>
      <c r="BI119" s="20">
        <f ca="1">IF(tblData[Dates]&gt;StartDt2SKorea,tblData[[#This Row],[SKorea LogiP(t)]]/SKoreaPopscale,"")</f>
        <v>1991.0872834272357</v>
      </c>
      <c r="BJ119" s="126" t="str">
        <f ca="1">IF(AND(ISNUMBER(tblData[SKorea]),tblData[Dates]&gt;StartDt2SKorea),(tblData[SKorea]-AVERAGE(tblData[SKorea]))^2,"")</f>
        <v/>
      </c>
      <c r="BK119" s="11">
        <f>tblData[[#This Row],[Dates]]-SKorea100dt+1</f>
        <v>95</v>
      </c>
      <c r="BL119" s="11">
        <f ca="1">IF(AND(tblData[Dates]&gt;StartDt2UK,ISNUMBER(tblData[Days'# UK])),betaUK/(deltaUK+betaPodeltaUK*EXP(-betaUK*tblData[Days'# UK])),"")</f>
        <v>142827.77711505885</v>
      </c>
      <c r="BM119" s="61" t="str">
        <f ca="1">IF(AND(tblData[Dates]&gt;StartDt2UK,ISNUMBER(tblData[United Kingdom])),(tblData[[#This Row],[UK LogiP(t)]]-tblData[[#This Row],[United Kingdom]])^2,"")</f>
        <v/>
      </c>
      <c r="BN119" s="11">
        <f ca="1">IF(ISNUMBER(tblData[Days'# UK]),tblData[[#This Row],[UK LogiP(t)]]/UKPopscale,"")</f>
        <v>21497.257241881223</v>
      </c>
      <c r="BO119" s="126" t="str">
        <f ca="1">IF(AND(ISNUMBER(tblData[United Kingdom]),tblData[Dates]&gt;StartDt2UK),(tblData[United Kingdom]-AVERAGE(tblData[United Kingdom]))^2,"")</f>
        <v/>
      </c>
      <c r="BP119" s="11">
        <f>tblData[[#This Row],[Dates]]-UK100dt</f>
        <v>76</v>
      </c>
      <c r="BQ119" s="11">
        <f ca="1">IF(ISNUMBER(tblData[Days'# China]),betaChina/(deltaChina+betaPodeltaChina*EXP(-betaChina*tblData[Days'# China])),"")</f>
        <v>82125.160526862921</v>
      </c>
      <c r="BR119" s="11" t="str">
        <f>IF(ISNUMBER(tblData[China]),(tblData[[#This Row],[China LogiP(t)]]-tblData[[#This Row],[China]])^2,"")</f>
        <v/>
      </c>
      <c r="BS119" s="11">
        <f ca="1">tblData[[#This Row],[China LogiP(t)]]/ChinaPopscale</f>
        <v>570.58155987039652</v>
      </c>
      <c r="BT119" s="126" t="str">
        <f ca="1">IF(AND(ISNUMBER(tblData[China]),tblData[Dates]&gt;StartDt2China),(tblData[China]-AVERAGE(tblData[China]))^2,"")</f>
        <v/>
      </c>
      <c r="BU119" s="11">
        <f>tblData[[#This Row],[Dates]]-China100dt</f>
        <v>115</v>
      </c>
      <c r="BV119" s="95">
        <f ca="1">IF(ISNUMBER(tblData[Day'# Singapore]),betaSingapore/(deltaSingapore+betaPodeltaSingapore*EXP(-betaSingapore*tblData[Day'# Singapore])),"")</f>
        <v>34016.89135761794</v>
      </c>
      <c r="BW119" s="11" t="str">
        <f ca="1">IF(AND(ISNUMBER(tblData[Singapore]),tblData[Dates]&gt;=StartDt2Singapore),(tblData[[#This Row],[Singapore LogiP(t)]]-tblData[[#This Row],[Singapore]])^2,"")</f>
        <v/>
      </c>
      <c r="BX119" s="20">
        <f ca="1">IF(ISNUMBER(tblData[Day'# Singapore]),tblData[Singapore LogiP(t)]/SingaporePopscale,"")</f>
        <v>58148.532235244347</v>
      </c>
      <c r="BY119" s="95" t="str">
        <f ca="1">IF(AND(ISNUMBER(tblData[Singapore]),tblData[Dates]&gt;StartDt2Singapore),(tblData[Singapore]-AVERAGE(tblData[Singapore]))^2,"")</f>
        <v/>
      </c>
      <c r="BZ119" s="11">
        <f>tblData[[#This Row],[Dates]]-Singapore100dt+1</f>
        <v>104</v>
      </c>
      <c r="CA119" s="11">
        <f>IF(AND(tblData[Dates]&gt;StartDt2Generic,ISNUMBER(tblData[Day'# Generic])),betaGeneric/(deltaGeneric+betaPodeltaGeneric*EXP(-betaGeneric*tblData[Day'# Generic])),"")</f>
        <v>25297.438586081935</v>
      </c>
      <c r="CB119" s="95" t="str">
        <f>IF(AND(ISNUMBER(tblData[Generic]),tblData[Dates]&gt;StartDt2Generic),(tblData[Generic LogiP(t)]-tblData[[#This Row],[Generic]])^2,"")</f>
        <v/>
      </c>
      <c r="CC119" s="11">
        <f>IF(AND(ISNUMBER(tblData[Day'# Generic]),tblData[Dates]&gt;StartDt2Generic),tblData[Generic LogiP(t)]/GenericPopscale,"")</f>
        <v>51627.425685881499</v>
      </c>
      <c r="CD119" s="95" t="str">
        <f>IF(AND(ISNUMBER(tblData[Generic]),tblData[Dates]&gt;StartDt2Generic),(tblData[Generic]-AVERAGE(tblData[Generic]))^2,"")</f>
        <v/>
      </c>
      <c r="CE119" s="11">
        <f>tblData[[#This Row],[Dates]]-Generic100dt+1</f>
        <v>76</v>
      </c>
      <c r="CF119" s="11"/>
      <c r="CG119" s="11"/>
      <c r="CH119" s="11" t="str">
        <f>IF(ISNUMBER(tblData[[#This Row],[Tests]]),tblData[[#This Row],[Tests]]-CF118,"")</f>
        <v/>
      </c>
      <c r="CI119" s="11" t="str">
        <f>IF(ISNUMBER(tblData[[#This Row],[NSW Under Investigation'']]),tblData[[#This Row],[NSW Under Investigation'']]-CG118,"")</f>
        <v/>
      </c>
      <c r="CJ119" s="11">
        <f>IF(tblData[[#This Row],[Dates]]&gt;myData!TestsStart,tblData[[#This Row],[Dates]]-myData!TestsStart,"")</f>
        <v>83</v>
      </c>
      <c r="CK119" s="11">
        <f>IF(AND(tblData[[#This Row],[NSW Test Day Number]]&gt;0,ISNUMBER(tblData[[#This Row],[NSW Test Day Number]])),betaTests/(deltaTests+betaPodeltaTests*EXP(-betaTests*tblData[[#This Row],[NSW Test Day Number]])),"")</f>
        <v>172544.79224170951</v>
      </c>
      <c r="CL119" s="11" t="str">
        <f>IF(tblData[Tests]&gt;0,(tblData[[#This Row],[Tests]]-tblData[[#This Row],[NSW Test Logi]])^2,"")</f>
        <v/>
      </c>
      <c r="CM119" s="95" t="str">
        <f>IF(AND(ISNUMBER(tblData[Tests]),tblData[Dates]&gt;StartDt2Tests),(tblData[Tests]-AVERAGE(tblData[Tests]))^2,"")</f>
        <v/>
      </c>
      <c r="CN119" s="11" t="str">
        <f>IF(ISNUMBER(tblData[Tests]),tblData[Tests]/NSWpopscale/100,"")</f>
        <v/>
      </c>
      <c r="CO119" s="95">
        <f ca="1">IF(AND(tblData[[#This Row],[NSW Test Day Number]]&gt;0,ISNUMBER(tblData[[#This Row],[NSW Test Day Number]])),TestsLogestB*TestsLogestM^tblData[[#This Row],[NSW Test Day Number]],"")</f>
        <v>1671925.1267093914</v>
      </c>
      <c r="CP119" s="11" t="str">
        <f>IF(AND(tblData[[#This Row],[NSW Test Day Number]]&gt;0,ISNUMBER(tblData[Tests])),(tblData[Tests]-tblData[[#This Row],[NSW Test Per Capita]])^2,"")</f>
        <v/>
      </c>
      <c r="CQ119" s="20">
        <f ca="1">IF(AND(tblData[Day '# NSW]&gt;0,ISNUMBER(tblData[[#This Row],[Day '# NSW]])),NSWLogestB*NSWLogestM^tblData[[#This Row],[Day '# NSW]]/NSWpopscale,"")</f>
        <v>194576.80856761744</v>
      </c>
      <c r="CR119" s="39" t="str">
        <f ca="1">IF(AND(ISNUMBER(tblData[NSW]),tblData[Dates]&gt;StartDt2NSW),(tblData[NSW]/NSWpopscale-tblData[[#This Row],[NSW Cases LogEst]])^2,"")</f>
        <v/>
      </c>
      <c r="CS119" s="39"/>
      <c r="CT119" s="19" t="str">
        <f>IF(ISNUMBER(tblData[Taiwan]),tblData[Taiwan]/TaiwanPopscale,"")</f>
        <v/>
      </c>
      <c r="CU119" s="11">
        <f ca="1">IF(tblData[[#This Row],[Dates]]&lt;StartDt2Taiwan,"",tblData[[#This Row],[Dates]]-TaiwanStart)</f>
        <v>126</v>
      </c>
      <c r="CV119" s="19">
        <f ca="1">IF(AND(tblData[Dates]&gt;StartDt2Taiwan,ISNUMBER(tblData[Days'# Taiwan])),betaTaiwan/(deltaTaiwan+betaPodeltaTaiwan*EXP(-betaTaiwan*tblData[Days'# Taiwan])),"")</f>
        <v>426.19069094150467</v>
      </c>
      <c r="CW119" s="95" t="str">
        <f ca="1">IF(AND(tblData[Dates]&gt;StartDt2Taiwan,ISNUMBER(tblData[Taiwan])),(tblData[[#This Row],[Taiwan LogiP(t)]]-tblData[[#This Row],[Taiwan]])^2,"")</f>
        <v/>
      </c>
      <c r="CX119" s="20">
        <f ca="1">IF(AND(tblData[Dates]&gt;StartDt2Taiwan,ISNUMBER(tblData[Days'# Taiwan])),tblData[[#This Row],[Taiwan LogiP(t)]]/TaiwanPopscale,"")</f>
        <v>179.01694571497271</v>
      </c>
      <c r="CY119" s="95" t="str">
        <f ca="1">IF(AND(ISNUMBER(tblData[Taiwan]),tblData[Dates]&gt;StartDt2Taiwan),(tblData[Taiwan]-AVERAGE(tblData[Taiwan]))^2,"")</f>
        <v/>
      </c>
      <c r="CZ119" s="11">
        <f>tblData[[#This Row],[Dates]]-Taiwan100dt+1</f>
        <v>63</v>
      </c>
      <c r="DA119" s="11"/>
      <c r="DB119" s="20" t="str">
        <f>IF(ISNUMBER(tblData[NZ]),tblData[NZ]/NZPopscale,"")</f>
        <v/>
      </c>
      <c r="DC119" s="11">
        <f ca="1">IF(tblData[[#This Row],[Dates]]&lt;StartDt2NZ,"",tblData[[#This Row],[Dates]]-NZStart)</f>
        <v>89</v>
      </c>
      <c r="DD119" s="20">
        <f ca="1">IF(AND(tblData[Dates]&gt;StartDt2NZ,ISNUMBER(tblData[Days'# NZ])),betaNZ/(deltaNZ+betaPodeltaNZ*EXP(-betaNZ*tblData[Days'# NZ])),"")</f>
        <v>1461.0999078906427</v>
      </c>
      <c r="DE119" s="95" t="str">
        <f ca="1">IF(AND(tblData[Dates]&gt;StartDt2NZ,ISNUMBER(tblData[NZ])),(tblData[[#This Row],[NZ LogiP(t)]]-tblData[[#This Row],[NZ]])^2,"")</f>
        <v/>
      </c>
      <c r="DF119" s="20">
        <f ca="1">IF(AND(tblData[Dates]&gt;StartDt2NZ,ISNUMBER(tblData[Days'# NZ])),tblData[[#This Row],[NZ LogiP(t)]]/NZPopscale,"")</f>
        <v>2793.6900724486477</v>
      </c>
      <c r="DG119" s="95" t="str">
        <f ca="1">IF(AND(ISNUMBER(tblData[NZ]),tblData[Dates]&gt;StartDt2NZ),(tblData[NZ]-AVERAGE(tblData[NZ]))^2,"")</f>
        <v/>
      </c>
      <c r="DH119" s="11">
        <f>tblData[[#This Row],[Dates]]-NZ100dt+1</f>
        <v>67</v>
      </c>
      <c r="DI119" s="39"/>
      <c r="DJ119"/>
      <c r="DK119"/>
      <c r="DL119"/>
      <c r="DN119"/>
      <c r="DP119"/>
      <c r="DQ119"/>
      <c r="DR119"/>
      <c r="DS119"/>
      <c r="DT119"/>
      <c r="DU119"/>
      <c r="DW119"/>
      <c r="DX119"/>
      <c r="DY119"/>
      <c r="DZ119"/>
      <c r="EB119"/>
      <c r="EC119"/>
      <c r="ED119"/>
      <c r="EE119"/>
      <c r="EF119"/>
      <c r="EG119"/>
      <c r="EH119"/>
      <c r="EI119"/>
      <c r="EJ119"/>
      <c r="EK119"/>
      <c r="EN119"/>
      <c r="EO119"/>
      <c r="EP119"/>
      <c r="EV119"/>
      <c r="FE119"/>
      <c r="FO119" s="270" t="s">
        <v>153</v>
      </c>
      <c r="FP119" s="253">
        <v>43950.659108796295</v>
      </c>
      <c r="FQ119" s="156">
        <v>43855</v>
      </c>
      <c r="FR119" s="26">
        <v>43855</v>
      </c>
      <c r="FS119" s="224">
        <v>1</v>
      </c>
      <c r="FT119" s="44">
        <v>0.23673840467555446</v>
      </c>
      <c r="FU119" s="71">
        <v>7.9956523974922741E-5</v>
      </c>
      <c r="FV119" s="73">
        <v>1.0690026887431809E-3</v>
      </c>
      <c r="FW119" s="225">
        <v>2960.8391273963357</v>
      </c>
      <c r="FX119" s="225">
        <v>26.314722165992372</v>
      </c>
      <c r="FY119" s="226">
        <v>0.99956511502429668</v>
      </c>
      <c r="FZ119" s="212">
        <v>221.45717844746207</v>
      </c>
      <c r="GA119" s="213">
        <v>7.9956523974922741E-2</v>
      </c>
      <c r="GB119" s="246">
        <v>43950</v>
      </c>
      <c r="GC119" s="26" t="s">
        <v>1658</v>
      </c>
      <c r="GD119" s="214">
        <v>2960.8391273962429</v>
      </c>
      <c r="GE119" s="225">
        <v>3016</v>
      </c>
      <c r="GF119" s="228" t="s">
        <v>1659</v>
      </c>
      <c r="GG119" s="156">
        <v>43950</v>
      </c>
      <c r="GH119" s="52">
        <v>96</v>
      </c>
      <c r="GI119" s="26" t="s">
        <v>3627</v>
      </c>
      <c r="GJ119" s="51"/>
      <c r="GK119" s="62" t="s">
        <v>3562</v>
      </c>
      <c r="GL119" s="51"/>
      <c r="GM119" s="18" t="s">
        <v>3628</v>
      </c>
      <c r="GN119" s="11">
        <v>3732.6732673267325</v>
      </c>
      <c r="GO119" s="157"/>
      <c r="GP119" s="229"/>
      <c r="GQ119" s="156"/>
      <c r="GR119" s="204"/>
      <c r="GS119" t="s">
        <v>3626</v>
      </c>
      <c r="GT119" s="11">
        <v>2959.7337083419152</v>
      </c>
      <c r="GU119" s="12">
        <v>7.0498327288202375E-3</v>
      </c>
      <c r="GV119" s="240">
        <v>43903</v>
      </c>
      <c r="GW119" s="162" t="s">
        <v>2389</v>
      </c>
      <c r="GX119" s="231">
        <v>-56.26629165808481</v>
      </c>
      <c r="GY119" t="s">
        <v>153</v>
      </c>
      <c r="GZ119" s="313" t="e">
        <v>#N/A</v>
      </c>
      <c r="HA119" s="26" t="s">
        <v>3628</v>
      </c>
      <c r="HB119"/>
      <c r="HC119"/>
      <c r="HD119"/>
      <c r="HE119"/>
      <c r="HF119"/>
      <c r="HG119"/>
      <c r="HH119"/>
      <c r="HI119"/>
      <c r="HJ119"/>
      <c r="HK119" s="164"/>
      <c r="HL119"/>
      <c r="HM119"/>
      <c r="HN119"/>
      <c r="HO119"/>
      <c r="HP119"/>
      <c r="HQ119"/>
      <c r="HR119"/>
      <c r="HS119"/>
      <c r="HT119"/>
      <c r="HU119"/>
      <c r="HV119"/>
      <c r="HW119"/>
    </row>
    <row r="120" spans="2:244" s="25" customFormat="1" x14ac:dyDescent="0.25">
      <c r="B120" s="26">
        <f t="shared" si="5"/>
        <v>43985</v>
      </c>
      <c r="C120"/>
      <c r="D120"/>
      <c r="E120"/>
      <c r="F120"/>
      <c r="G120"/>
      <c r="H120"/>
      <c r="I120"/>
      <c r="J120"/>
      <c r="K120"/>
      <c r="L120" s="11" t="str">
        <f>IF(ISNUMBER(tblData[[#This Row],[NSW]]),tblData[[#This Row],[New South Wales]]/NSWpopscale,"")</f>
        <v/>
      </c>
      <c r="M120"/>
      <c r="N120" s="20" t="str">
        <f>IF(ISNUMBER(tblData[Italy]),tblData[Italy]/ItalyPopscale,"")</f>
        <v/>
      </c>
      <c r="O120"/>
      <c r="P120" s="20" t="str">
        <f>IF(ISNUMBER(tblData[US]),tblData[US]/USPopscale,"")</f>
        <v/>
      </c>
      <c r="Q120" s="11"/>
      <c r="R120" s="20" t="str">
        <f>IF(ISNUMBER(tblData[SKorea]),tblData[SKorea]/SKoreaPopscale,"")</f>
        <v/>
      </c>
      <c r="S120" s="44"/>
      <c r="T120" s="12" t="str">
        <f>IF(ISNUMBER(tblData[United Kingdom]),tblData[United Kingdom]/UKPopscale,"")</f>
        <v/>
      </c>
      <c r="U120"/>
      <c r="V120" s="20" t="str">
        <f>IF(ISNUMBER(tblData[China]),tblData[China]/ChinaPopscale,"")</f>
        <v/>
      </c>
      <c r="W120" s="25">
        <f ca="1">IF(tblData[[#This Row],[Dates]]&lt;StartDt2China,"",tblData[[#This Row],[Dates]]-ChinaStart)</f>
        <v>133</v>
      </c>
      <c r="X120" s="20"/>
      <c r="Y120" s="20" t="str">
        <f>IF(ISNUMBER(tblData[Singapore]),tblData[Singapore]/SingaporePopscale,"")</f>
        <v/>
      </c>
      <c r="Z120" s="20"/>
      <c r="AA120" s="20" t="str">
        <f>IF(AND(LEN(tblData[Generic])&gt;0,ISNUMBER(tblData[Generic])),tblData[Generic]/GenericPopscale,"")</f>
        <v/>
      </c>
      <c r="AB120" s="25">
        <f ca="1">IF(tblData[[#This Row],[Dates]]&lt;StartDt2Italy,"",tblData[[#This Row],[Dates]]-ItalyStart)</f>
        <v>125</v>
      </c>
      <c r="AC120" s="25">
        <f ca="1">IF(tblData[[#This Row],[Dates]]&lt;=StartDt2US,"",tblData[[#This Row],[Dates]]-USStart)</f>
        <v>133</v>
      </c>
      <c r="AD120" s="25">
        <f>IF(tblData[[#This Row],[Dates]]&lt;=SKoreaStart,"",tblData[[#This Row],[Dates]]-SKoreaStart)</f>
        <v>133</v>
      </c>
      <c r="AE120" s="25">
        <f ca="1">IF(tblData[[#This Row],[Dates]]&lt;=StartDt2UK,"",tblData[[#This Row],[Dates]]-UKStart)</f>
        <v>125</v>
      </c>
      <c r="AF120" s="25">
        <f ca="1">IF(tblData[[#This Row],[Dates]]&lt;StartDt2Singapore,"",tblData[[#This Row],[Dates]]-SingaporeStart)</f>
        <v>132</v>
      </c>
      <c r="AG120" s="25">
        <f>IF(tblData[[#This Row],[Dates]]&lt;StartDt2Generic,"",tblData[[#This Row],[Dates]]-GenericStart)</f>
        <v>95</v>
      </c>
      <c r="AH120" s="25">
        <f ca="1">IF(tblData[Dates]&gt;StartDt2Au,tblData[Dates]-AuStart,"")</f>
        <v>130</v>
      </c>
      <c r="AI120" s="25" t="str">
        <f>IF(AND(COUNTBLANK(tblData[[#This Row],[Australian Capital Territory]:[Western Australia]])&lt;1,tblData[New South Wales]&gt;=0),SUM(tblData[[#This Row],[Australian Capital Territory]:[Western Australia]]),"")</f>
        <v/>
      </c>
      <c r="AJ120" s="12" t="str">
        <f>IF(ISNUMBER(tblData[Au]),tblData[Au]/AuPopScale,"")</f>
        <v/>
      </c>
      <c r="AK120" s="11">
        <f ca="1">IF(ISNUMBER(tblData[[#This Row],[Day'# Aust]]),betaAu/(deltaAu+betaPodeltaAu*EXP(-betaAu*tblData[[#This Row],[Day'# Aust]])),"")</f>
        <v>6643.7784265314358</v>
      </c>
      <c r="AL120" s="56">
        <f ca="1">IF(ISNUMBER(tblData[Day'# Aust]),tblData[Au LogiP(t)]/AuPopScale,"")</f>
        <v>2619.3732954310976</v>
      </c>
      <c r="AM120" s="11" t="str">
        <f ca="1">IF(AND(tblData[Dates]&gt;StartDt2Au,ISNUMBER(tblData[Au])),(tblData[[#This Row],[Au LogiP(t)]]-tblData[[#This Row],[Au]])^2,"")</f>
        <v/>
      </c>
      <c r="AN120" s="11" t="str">
        <f ca="1">IF(AND(ISNUMBER(tblData[Au]),tblData[Dates]&gt;StartDt2Au),(tblData[Au]-AVERAGE(tblData[Au]))^2,"")</f>
        <v/>
      </c>
      <c r="AO120" s="11">
        <f>tblData[[#This Row],[Dates]]-Au100dt</f>
        <v>80</v>
      </c>
      <c r="AP120" s="25">
        <f ca="1">IF(tblData[Dates]&gt;StartDt2NSW,tblData[Dates]-StartDt2NSW,"")</f>
        <v>130</v>
      </c>
      <c r="AQ120" s="25" t="str">
        <f>IF(tblData[[#This Row],[New South Wales]]&gt;0,tblData[[#This Row],[New South Wales]],"")</f>
        <v/>
      </c>
      <c r="AR120" s="11">
        <f ca="1">IF(tblData[Dates]&gt;StartDt2NSW,betaNSW/(deltaNSW+betaPodeltaNSW*EXP(-betaNSW*tblData[[#This Row],[Day '# NSW]])),"")</f>
        <v>2973.5872810852316</v>
      </c>
      <c r="AS120" s="12" t="str">
        <f ca="1">IF(AND(ISNUMBER(tblData[NSW]),tblData[Dates]&gt;StartDt2NSW),(tblData[[#This Row],[NSW LogiP(t)]]-tblData[[#This Row],[NSW]])^2,"")</f>
        <v/>
      </c>
      <c r="AT120" s="39">
        <f ca="1">IF(AND(tblData[Dates]&gt;StartDt2NSW,ISNUMBER(tblData[Day'# Aust])),tblData[NSW LogiP(t)]/NSWpopscale,"")</f>
        <v>3680.1822785708309</v>
      </c>
      <c r="AU120" s="11">
        <f>tblData[[#This Row],[Dates]]-NSW100dt+1</f>
        <v>83</v>
      </c>
      <c r="AV120" s="11" t="str">
        <f ca="1">IF(AND(ISNUMBER(tblData[NSW]),tblData[Dates]&gt;StartDt2NSW),(tblData[NSW]-AVERAGE(tblData[NSW]))^2,"")</f>
        <v/>
      </c>
      <c r="AW120" s="11">
        <f ca="1">IF(AND(tblData[Dates]&gt;StartDt2Italy,ISNUMBER(tblData[Days'# Italy])),betaItaly/(deltaItaly+betaPodeltaItaly*EXP(-betaItaly*tblData[Days'# Italy])),"")</f>
        <v>161385.07821120473</v>
      </c>
      <c r="AX120" s="11" t="str">
        <f ca="1">IF(AND(tblData[Dates]&gt;StartDt2Italy,ISNUMBER(tblData[Italy])),(tblData[[#This Row],[Italy LogiP(t)]]-tblData[[#This Row],[Italy]])^2,"")</f>
        <v/>
      </c>
      <c r="AY120" s="11">
        <f ca="1">IF(AND(tblData[Dates]&gt;StartDt2Italy,ISNUMBER(tblData[Days'# Italy])),tblData[[#This Row],[Italy LogiP(t)]]/ItalyPopscale,"")</f>
        <v>26681.83487000161</v>
      </c>
      <c r="AZ120" s="39" t="str">
        <f ca="1">IF(AND(ISNUMBER(tblData[Italy]),tblData[Dates]&gt;StartDt2Italy),(tblData[Italy]-AVERAGE(tblData[Italy]))^2,"")</f>
        <v/>
      </c>
      <c r="BA120" s="11">
        <f>tblData[[#This Row],[Dates]]-Italy100dt+1</f>
        <v>98</v>
      </c>
      <c r="BB120" s="11">
        <f ca="1">IF(AND(tblData[Dates]&gt;StartDt2US,ISNUMBER(tblData[[#This Row],[Days'# US]])),betaUS/(deltaUS+betaPodeltaUS*EXP(-betaUS*tblData[Days'# US])),"")</f>
        <v>813399.63787179673</v>
      </c>
      <c r="BC120" s="11" t="str">
        <f ca="1">IF(AND(tblData[Dates]&gt;StartDt2US,ISNUMBER(tblData[US])),(tblData[[#This Row],[US LogiP(t)]]-tblData[US])^2,"")</f>
        <v/>
      </c>
      <c r="BD120" s="20">
        <f ca="1">IF(AND(tblData[Dates]&gt;=StartDt2US,ISNUMBER(tblData[[#This Row],[Days'# US]])),tblData[[#This Row],[US LogiP(t)]]/USPopscale,"")</f>
        <v>24706.290637843045</v>
      </c>
      <c r="BE120" s="126" t="str">
        <f ca="1">IF(AND(ISNUMBER(tblData[US]),tblData[Dates]&gt;StartDt2US),(tblData[US]-AVERAGE(tblData[US]))^2,"")</f>
        <v/>
      </c>
      <c r="BF120" s="11">
        <f>tblData[[#This Row],[Dates]]-US100dt+1</f>
        <v>81</v>
      </c>
      <c r="BG120" s="20">
        <f ca="1">IF(tblData[Dates]&gt;StartDt2SKorea,betaSKorea/(deltaSKorea+betaPodeltaSKorea*EXP(-betaSKorea*(tblData[Dates]-StartDt2SKorea))),"")</f>
        <v>10234.19149909463</v>
      </c>
      <c r="BH120" s="20" t="str">
        <f ca="1">IF(AND(tblData[Dates]&gt;StartDt2SKorea,ISNUMBER(tblData[SKorea])),(tblData[[#This Row],[SKorea LogiP(t)]]-tblData[[#This Row],[SKorea]])^2,"")</f>
        <v/>
      </c>
      <c r="BI120" s="20">
        <f ca="1">IF(tblData[Dates]&gt;StartDt2SKorea,tblData[[#This Row],[SKorea LogiP(t)]]/SKoreaPopscale,"")</f>
        <v>1991.087840290784</v>
      </c>
      <c r="BJ120" s="126" t="str">
        <f ca="1">IF(AND(ISNUMBER(tblData[SKorea]),tblData[Dates]&gt;StartDt2SKorea),(tblData[SKorea]-AVERAGE(tblData[SKorea]))^2,"")</f>
        <v/>
      </c>
      <c r="BK120" s="11">
        <f>tblData[[#This Row],[Dates]]-SKorea100dt+1</f>
        <v>102</v>
      </c>
      <c r="BL120" s="11">
        <f ca="1">IF(AND(tblData[Dates]&gt;StartDt2UK,ISNUMBER(tblData[Days'# UK])),betaUK/(deltaUK+betaPodeltaUK*EXP(-betaUK*tblData[Days'# UK])),"")</f>
        <v>142829.90794048648</v>
      </c>
      <c r="BM120" s="61" t="str">
        <f ca="1">IF(AND(tblData[Dates]&gt;StartDt2UK,ISNUMBER(tblData[United Kingdom])),(tblData[[#This Row],[UK LogiP(t)]]-tblData[[#This Row],[United Kingdom]])^2,"")</f>
        <v/>
      </c>
      <c r="BN120" s="11">
        <f ca="1">IF(ISNUMBER(tblData[Days'# UK]),tblData[[#This Row],[UK LogiP(t)]]/UKPopscale,"")</f>
        <v>21497.57795612379</v>
      </c>
      <c r="BO120" s="126" t="str">
        <f ca="1">IF(AND(ISNUMBER(tblData[United Kingdom]),tblData[Dates]&gt;StartDt2UK),(tblData[United Kingdom]-AVERAGE(tblData[United Kingdom]))^2,"")</f>
        <v/>
      </c>
      <c r="BP120" s="11">
        <f>tblData[[#This Row],[Dates]]-UK100dt</f>
        <v>83</v>
      </c>
      <c r="BQ120" s="11">
        <f ca="1">IF(ISNUMBER(tblData[Days'# China]),betaChina/(deltaChina+betaPodeltaChina*EXP(-betaChina*tblData[Days'# China])),"")</f>
        <v>82125.16052959481</v>
      </c>
      <c r="BR120" s="11" t="str">
        <f>IF(ISNUMBER(tblData[China]),(tblData[[#This Row],[China LogiP(t)]]-tblData[[#This Row],[China]])^2,"")</f>
        <v/>
      </c>
      <c r="BS120" s="11">
        <f ca="1">tblData[[#This Row],[China LogiP(t)]]/ChinaPopscale</f>
        <v>570.58155988937688</v>
      </c>
      <c r="BT120" s="126" t="str">
        <f ca="1">IF(AND(ISNUMBER(tblData[China]),tblData[Dates]&gt;StartDt2China),(tblData[China]-AVERAGE(tblData[China]))^2,"")</f>
        <v/>
      </c>
      <c r="BU120" s="11">
        <f>tblData[[#This Row],[Dates]]-China100dt</f>
        <v>122</v>
      </c>
      <c r="BV120" s="95">
        <f ca="1">IF(ISNUMBER(tblData[Day'# Singapore]),betaSingapore/(deltaSingapore+betaPodeltaSingapore*EXP(-betaSingapore*tblData[Day'# Singapore])),"")</f>
        <v>34879.391975774677</v>
      </c>
      <c r="BW120" s="11" t="str">
        <f ca="1">IF(AND(ISNUMBER(tblData[Singapore]),tblData[Dates]&gt;=StartDt2Singapore),(tblData[[#This Row],[Singapore LogiP(t)]]-tblData[[#This Row],[Singapore]])^2,"")</f>
        <v/>
      </c>
      <c r="BX120" s="20">
        <f ca="1">IF(ISNUMBER(tblData[Day'# Singapore]),tblData[Singapore LogiP(t)]/SingaporePopscale,"")</f>
        <v>59622.892266281502</v>
      </c>
      <c r="BY120" s="95" t="str">
        <f ca="1">IF(AND(ISNUMBER(tblData[Singapore]),tblData[Dates]&gt;StartDt2Singapore),(tblData[Singapore]-AVERAGE(tblData[Singapore]))^2,"")</f>
        <v/>
      </c>
      <c r="BZ120" s="11">
        <f>tblData[[#This Row],[Dates]]-Singapore100dt+1</f>
        <v>111</v>
      </c>
      <c r="CA120" s="11">
        <f>IF(AND(tblData[Dates]&gt;StartDt2Generic,ISNUMBER(tblData[Day'# Generic])),betaGeneric/(deltaGeneric+betaPodeltaGeneric*EXP(-betaGeneric*tblData[Day'# Generic])),"")</f>
        <v>25368.731349931742</v>
      </c>
      <c r="CB120" s="95" t="str">
        <f>IF(AND(ISNUMBER(tblData[Generic]),tblData[Dates]&gt;StartDt2Generic),(tblData[Generic LogiP(t)]-tblData[[#This Row],[Generic]])^2,"")</f>
        <v/>
      </c>
      <c r="CC120" s="11">
        <f>IF(AND(ISNUMBER(tblData[Day'# Generic]),tblData[Dates]&gt;StartDt2Generic),tblData[Generic LogiP(t)]/GenericPopscale,"")</f>
        <v>51772.921122309679</v>
      </c>
      <c r="CD120" s="95" t="str">
        <f>IF(AND(ISNUMBER(tblData[Generic]),tblData[Dates]&gt;StartDt2Generic),(tblData[Generic]-AVERAGE(tblData[Generic]))^2,"")</f>
        <v/>
      </c>
      <c r="CE120" s="11">
        <f>tblData[[#This Row],[Dates]]-Generic100dt+1</f>
        <v>83</v>
      </c>
      <c r="CF120" s="11"/>
      <c r="CG120" s="11"/>
      <c r="CH120" s="11" t="str">
        <f>IF(ISNUMBER(tblData[[#This Row],[Tests]]),tblData[[#This Row],[Tests]]-CF119,"")</f>
        <v/>
      </c>
      <c r="CI120" s="11" t="str">
        <f>IF(ISNUMBER(tblData[[#This Row],[NSW Under Investigation'']]),tblData[[#This Row],[NSW Under Investigation'']]-CG119,"")</f>
        <v/>
      </c>
      <c r="CJ120" s="11">
        <f>IF(tblData[[#This Row],[Dates]]&gt;myData!TestsStart,tblData[[#This Row],[Dates]]-myData!TestsStart,"")</f>
        <v>90</v>
      </c>
      <c r="CK120" s="11">
        <f>IF(AND(tblData[[#This Row],[NSW Test Day Number]]&gt;0,ISNUMBER(tblData[[#This Row],[NSW Test Day Number]])),betaTests/(deltaTests+betaPodeltaTests*EXP(-betaTests*tblData[[#This Row],[NSW Test Day Number]])),"")</f>
        <v>172546.94541085832</v>
      </c>
      <c r="CL120" s="11" t="str">
        <f>IF(tblData[Tests]&gt;0,(tblData[[#This Row],[Tests]]-tblData[[#This Row],[NSW Test Logi]])^2,"")</f>
        <v/>
      </c>
      <c r="CM120" s="95" t="str">
        <f>IF(AND(ISNUMBER(tblData[Tests]),tblData[Dates]&gt;StartDt2Tests),(tblData[Tests]-AVERAGE(tblData[Tests]))^2,"")</f>
        <v/>
      </c>
      <c r="CN120" s="11" t="str">
        <f>IF(ISNUMBER(tblData[Tests]),tblData[Tests]/NSWpopscale/100,"")</f>
        <v/>
      </c>
      <c r="CO120" s="95">
        <f ca="1">IF(AND(tblData[[#This Row],[NSW Test Day Number]]&gt;0,ISNUMBER(tblData[[#This Row],[NSW Test Day Number]])),TestsLogestB*TestsLogestM^tblData[[#This Row],[NSW Test Day Number]],"")</f>
        <v>2514147.0520702349</v>
      </c>
      <c r="CP120" s="11" t="str">
        <f>IF(AND(tblData[[#This Row],[NSW Test Day Number]]&gt;0,ISNUMBER(tblData[Tests])),(tblData[Tests]-tblData[[#This Row],[NSW Test Per Capita]])^2,"")</f>
        <v/>
      </c>
      <c r="CQ120" s="20">
        <f ca="1">IF(AND(tblData[Day '# NSW]&gt;0,ISNUMBER(tblData[[#This Row],[Day '# NSW]])),NSWLogestB*NSWLogestM^tblData[[#This Row],[Day '# NSW]]/NSWpopscale,"")</f>
        <v>381487.04890528187</v>
      </c>
      <c r="CR120" s="39" t="str">
        <f ca="1">IF(AND(ISNUMBER(tblData[NSW]),tblData[Dates]&gt;StartDt2NSW),(tblData[NSW]/NSWpopscale-tblData[[#This Row],[NSW Cases LogEst]])^2,"")</f>
        <v/>
      </c>
      <c r="CS120" s="39"/>
      <c r="CT120" s="19" t="str">
        <f>IF(ISNUMBER(tblData[Taiwan]),tblData[Taiwan]/TaiwanPopscale,"")</f>
        <v/>
      </c>
      <c r="CU120" s="11">
        <f ca="1">IF(tblData[[#This Row],[Dates]]&lt;StartDt2Taiwan,"",tblData[[#This Row],[Dates]]-TaiwanStart)</f>
        <v>133</v>
      </c>
      <c r="CV120" s="19">
        <f ca="1">IF(AND(tblData[Dates]&gt;StartDt2Taiwan,ISNUMBER(tblData[Days'# Taiwan])),betaTaiwan/(deltaTaiwan+betaPodeltaTaiwan*EXP(-betaTaiwan*tblData[Days'# Taiwan])),"")</f>
        <v>426.21385296835979</v>
      </c>
      <c r="CW120" s="95" t="str">
        <f ca="1">IF(AND(tblData[Dates]&gt;StartDt2Taiwan,ISNUMBER(tblData[Taiwan])),(tblData[[#This Row],[Taiwan LogiP(t)]]-tblData[[#This Row],[Taiwan]])^2,"")</f>
        <v/>
      </c>
      <c r="CX120" s="20">
        <f ca="1">IF(AND(tblData[Dates]&gt;StartDt2Taiwan,ISNUMBER(tblData[Days'# Taiwan])),tblData[[#This Row],[Taiwan LogiP(t)]]/TaiwanPopscale,"")</f>
        <v>179.02667468229248</v>
      </c>
      <c r="CY120" s="95" t="str">
        <f ca="1">IF(AND(ISNUMBER(tblData[Taiwan]),tblData[Dates]&gt;StartDt2Taiwan),(tblData[Taiwan]-AVERAGE(tblData[Taiwan]))^2,"")</f>
        <v/>
      </c>
      <c r="CZ120" s="11">
        <f>tblData[[#This Row],[Dates]]-Taiwan100dt+1</f>
        <v>70</v>
      </c>
      <c r="DA120" s="11"/>
      <c r="DB120" s="20" t="str">
        <f>IF(ISNUMBER(tblData[NZ]),tblData[NZ]/NZPopscale,"")</f>
        <v/>
      </c>
      <c r="DC120" s="11">
        <f ca="1">IF(tblData[[#This Row],[Dates]]&lt;StartDt2NZ,"",tblData[[#This Row],[Dates]]-NZStart)</f>
        <v>96</v>
      </c>
      <c r="DD120" s="20">
        <f ca="1">IF(AND(tblData[Dates]&gt;StartDt2NZ,ISNUMBER(tblData[Days'# NZ])),betaNZ/(deltaNZ+betaPodeltaNZ*EXP(-betaNZ*tblData[Days'# NZ])),"")</f>
        <v>1461.1025599895015</v>
      </c>
      <c r="DE120" s="95" t="str">
        <f ca="1">IF(AND(tblData[Dates]&gt;StartDt2NZ,ISNUMBER(tblData[NZ])),(tblData[[#This Row],[NZ LogiP(t)]]-tblData[[#This Row],[NZ]])^2,"")</f>
        <v/>
      </c>
      <c r="DF120" s="20">
        <f ca="1">IF(AND(tblData[Dates]&gt;StartDt2NZ,ISNUMBER(tblData[Days'# NZ])),tblData[[#This Row],[NZ LogiP(t)]]/NZPopscale,"")</f>
        <v>2793.6951433833678</v>
      </c>
      <c r="DG120" s="95" t="str">
        <f ca="1">IF(AND(ISNUMBER(tblData[NZ]),tblData[Dates]&gt;StartDt2NZ),(tblData[NZ]-AVERAGE(tblData[NZ]))^2,"")</f>
        <v/>
      </c>
      <c r="DH120" s="11">
        <f>tblData[[#This Row],[Dates]]-NZ100dt+1</f>
        <v>74</v>
      </c>
      <c r="DI120" s="39"/>
      <c r="DJ120"/>
      <c r="DK120"/>
      <c r="DL120"/>
      <c r="DN120"/>
      <c r="DP120"/>
      <c r="DQ120"/>
      <c r="DR120"/>
      <c r="DS120"/>
      <c r="DT120"/>
      <c r="DU120"/>
      <c r="DW120"/>
      <c r="DX120"/>
      <c r="DY120"/>
      <c r="DZ120"/>
      <c r="EB120"/>
      <c r="EC120"/>
      <c r="ED120"/>
      <c r="EE120"/>
      <c r="EF120"/>
      <c r="EG120"/>
      <c r="EH120"/>
      <c r="EI120"/>
      <c r="EJ120"/>
      <c r="EK120"/>
      <c r="EN120"/>
      <c r="EO120"/>
      <c r="EP120"/>
      <c r="EV120"/>
      <c r="FE120"/>
      <c r="FO120" s="270" t="s">
        <v>153</v>
      </c>
      <c r="FP120" s="253">
        <v>43951.665312500001</v>
      </c>
      <c r="FQ120" s="156">
        <v>43855</v>
      </c>
      <c r="FR120" s="26">
        <v>43855</v>
      </c>
      <c r="FS120" s="224">
        <v>1</v>
      </c>
      <c r="FT120" s="44">
        <v>0.2361462414713999</v>
      </c>
      <c r="FU120" s="71">
        <v>7.9672941518961474E-5</v>
      </c>
      <c r="FV120" s="73">
        <v>1.1070175010668086E-3</v>
      </c>
      <c r="FW120" s="225">
        <v>2963.9453115359011</v>
      </c>
      <c r="FX120" s="225">
        <v>26.767215153227841</v>
      </c>
      <c r="FY120" s="226">
        <v>0.99955679512075224</v>
      </c>
      <c r="FZ120" s="214">
        <v>213.31745256465265</v>
      </c>
      <c r="GA120" s="213">
        <v>7.9672941518961468E-2</v>
      </c>
      <c r="GB120" s="246">
        <v>43951</v>
      </c>
      <c r="GC120" s="26" t="s">
        <v>1658</v>
      </c>
      <c r="GD120" s="214">
        <v>2963.9453115358001</v>
      </c>
      <c r="GE120" s="225">
        <v>3016</v>
      </c>
      <c r="GF120" s="228" t="s">
        <v>3692</v>
      </c>
      <c r="GG120" s="156">
        <v>43951</v>
      </c>
      <c r="GH120" s="52">
        <v>97</v>
      </c>
      <c r="GI120" s="26" t="s">
        <v>3693</v>
      </c>
      <c r="GJ120" s="51"/>
      <c r="GK120" s="62" t="s">
        <v>3694</v>
      </c>
      <c r="GL120" s="51"/>
      <c r="GM120" s="18" t="s">
        <v>3695</v>
      </c>
      <c r="GN120" s="11">
        <v>3732.6732673267325</v>
      </c>
      <c r="GO120" s="157"/>
      <c r="GP120" s="229"/>
      <c r="GQ120" s="156"/>
      <c r="GR120" s="11"/>
      <c r="GS120" s="25" t="s">
        <v>3691</v>
      </c>
      <c r="GT120" s="11">
        <v>2963.7284502851753</v>
      </c>
      <c r="GU120" s="12">
        <v>7.1710576405199259E-3</v>
      </c>
      <c r="GV120" s="240">
        <v>43903</v>
      </c>
      <c r="GW120" s="162" t="s">
        <v>2389</v>
      </c>
      <c r="GX120" s="231" t="e">
        <v>#N/A</v>
      </c>
      <c r="GY120" t="s">
        <v>153</v>
      </c>
      <c r="GZ120" s="313" t="e">
        <v>#N/A</v>
      </c>
      <c r="HA120" s="26" t="s">
        <v>3695</v>
      </c>
      <c r="HB120"/>
      <c r="HC120"/>
      <c r="HD120"/>
      <c r="HE120"/>
      <c r="HF120"/>
      <c r="HG120"/>
      <c r="HH120"/>
      <c r="HI120"/>
      <c r="HJ120"/>
      <c r="HK120" s="164"/>
      <c r="HL120"/>
      <c r="HM120"/>
      <c r="HN120"/>
      <c r="HO120"/>
      <c r="HP120"/>
      <c r="HQ120"/>
      <c r="HR120"/>
      <c r="HS120"/>
      <c r="HT120"/>
      <c r="HU120"/>
      <c r="HV120"/>
    </row>
    <row r="121" spans="2:244" s="25" customFormat="1" x14ac:dyDescent="0.25">
      <c r="B121" s="26">
        <f t="shared" si="5"/>
        <v>43992</v>
      </c>
      <c r="L121" s="11" t="str">
        <f>IF(ISNUMBER(tblData[[#This Row],[NSW]]),tblData[[#This Row],[New South Wales]]/NSWpopscale,"")</f>
        <v/>
      </c>
      <c r="N121" s="20" t="str">
        <f>IF(ISNUMBER(tblData[Italy]),tblData[Italy]/ItalyPopscale,"")</f>
        <v/>
      </c>
      <c r="P121" s="20" t="str">
        <f>IF(ISNUMBER(tblData[US]),tblData[US]/USPopscale,"")</f>
        <v/>
      </c>
      <c r="Q121" s="44"/>
      <c r="R121" s="20" t="str">
        <f>IF(ISNUMBER(tblData[SKorea]),tblData[SKorea]/SKoreaPopscale,"")</f>
        <v/>
      </c>
      <c r="S121" s="44"/>
      <c r="T121" s="12" t="str">
        <f>IF(ISNUMBER(tblData[United Kingdom]),tblData[United Kingdom]/UKPopscale,"")</f>
        <v/>
      </c>
      <c r="V121" s="20" t="str">
        <f>IF(ISNUMBER(tblData[China]),tblData[China]/ChinaPopscale,"")</f>
        <v/>
      </c>
      <c r="W121" s="25">
        <f ca="1">IF(tblData[[#This Row],[Dates]]&lt;StartDt2China,"",tblData[[#This Row],[Dates]]-ChinaStart)</f>
        <v>140</v>
      </c>
      <c r="X121" s="20"/>
      <c r="Y121" s="20" t="str">
        <f>IF(ISNUMBER(tblData[Singapore]),tblData[Singapore]/SingaporePopscale,"")</f>
        <v/>
      </c>
      <c r="Z121" s="20"/>
      <c r="AA121" s="20" t="str">
        <f>IF(AND(LEN(tblData[Generic])&gt;0,ISNUMBER(tblData[Generic])),tblData[Generic]/GenericPopscale,"")</f>
        <v/>
      </c>
      <c r="AB121" s="166">
        <f ca="1">IF(tblData[[#This Row],[Dates]]&lt;StartDt2Italy,"",tblData[[#This Row],[Dates]]-ItalyStart)</f>
        <v>132</v>
      </c>
      <c r="AC121" s="166">
        <f ca="1">IF(tblData[[#This Row],[Dates]]&lt;=StartDt2US,"",tblData[[#This Row],[Dates]]-USStart)</f>
        <v>140</v>
      </c>
      <c r="AD121" s="166">
        <f>IF(tblData[[#This Row],[Dates]]&lt;=SKoreaStart,"",tblData[[#This Row],[Dates]]-SKoreaStart)</f>
        <v>140</v>
      </c>
      <c r="AE121" s="166">
        <f ca="1">IF(tblData[[#This Row],[Dates]]&lt;=StartDt2UK,"",tblData[[#This Row],[Dates]]-UKStart)</f>
        <v>132</v>
      </c>
      <c r="AF121" s="166">
        <f ca="1">IF(tblData[[#This Row],[Dates]]&lt;StartDt2Singapore,"",tblData[[#This Row],[Dates]]-SingaporeStart)</f>
        <v>139</v>
      </c>
      <c r="AG121" s="166">
        <f>IF(tblData[[#This Row],[Dates]]&lt;StartDt2Generic,"",tblData[[#This Row],[Dates]]-GenericStart)</f>
        <v>102</v>
      </c>
      <c r="AH121" s="166">
        <f ca="1">IF(tblData[Dates]&gt;StartDt2Au,tblData[Dates]-AuStart,"")</f>
        <v>137</v>
      </c>
      <c r="AI121" s="25" t="str">
        <f>IF(AND(COUNTBLANK(tblData[[#This Row],[Australian Capital Territory]:[Western Australia]])&lt;1,tblData[New South Wales]&gt;=0),SUM(tblData[[#This Row],[Australian Capital Territory]:[Western Australia]]),"")</f>
        <v/>
      </c>
      <c r="AJ121" s="166" t="str">
        <f>IF(ISNUMBER(tblData[Au]),tblData[Au]/AuPopScale,"")</f>
        <v/>
      </c>
      <c r="AK121" s="11">
        <f ca="1">IF(ISNUMBER(tblData[[#This Row],[Day'# Aust]]),betaAu/(deltaAu+betaPodeltaAu*EXP(-betaAu*tblData[[#This Row],[Day'# Aust]])),"")</f>
        <v>6643.7796977704047</v>
      </c>
      <c r="AL121" s="56">
        <f ca="1">IF(ISNUMBER(tblData[Day'# Aust]),tblData[Au LogiP(t)]/AuPopScale,"")</f>
        <v>2619.3737966292401</v>
      </c>
      <c r="AM121" s="11" t="str">
        <f ca="1">IF(AND(tblData[Dates]&gt;StartDt2Au,ISNUMBER(tblData[Au])),(tblData[[#This Row],[Au LogiP(t)]]-tblData[[#This Row],[Au]])^2,"")</f>
        <v/>
      </c>
      <c r="AN121" s="11" t="str">
        <f ca="1">IF(AND(ISNUMBER(tblData[Au]),tblData[Dates]&gt;StartDt2Au),(tblData[Au]-AVERAGE(tblData[Au]))^2,"")</f>
        <v/>
      </c>
      <c r="AO121" s="11">
        <f>tblData[[#This Row],[Dates]]-Au100dt</f>
        <v>87</v>
      </c>
      <c r="AP121" s="166">
        <f ca="1">IF(tblData[Dates]&gt;StartDt2NSW,tblData[Dates]-StartDt2NSW,"")</f>
        <v>137</v>
      </c>
      <c r="AQ121" s="166" t="str">
        <f>IF(tblData[[#This Row],[New South Wales]]&gt;0,tblData[[#This Row],[New South Wales]],"")</f>
        <v/>
      </c>
      <c r="AR121" s="11">
        <f ca="1">IF(tblData[Dates]&gt;StartDt2NSW,betaNSW/(deltaNSW+betaPodeltaNSW*EXP(-betaNSW*tblData[[#This Row],[Day '# NSW]])),"")</f>
        <v>2973.5876226718042</v>
      </c>
      <c r="AS121" s="12" t="str">
        <f ca="1">IF(AND(ISNUMBER(tblData[NSW]),tblData[Dates]&gt;StartDt2NSW),(tblData[[#This Row],[NSW LogiP(t)]]-tblData[[#This Row],[NSW]])^2,"")</f>
        <v/>
      </c>
      <c r="AT121" s="12">
        <f ca="1">IF(AND(tblData[Dates]&gt;StartDt2NSW,ISNUMBER(tblData[Day'# Aust])),tblData[NSW LogiP(t)]/NSWpopscale,"")</f>
        <v>3680.1827013264901</v>
      </c>
      <c r="AU121" s="11">
        <f>tblData[[#This Row],[Dates]]-NSW100dt+1</f>
        <v>90</v>
      </c>
      <c r="AV121" s="11" t="str">
        <f ca="1">IF(AND(ISNUMBER(tblData[NSW]),tblData[Dates]&gt;StartDt2NSW),(tblData[NSW]-AVERAGE(tblData[NSW]))^2,"")</f>
        <v/>
      </c>
      <c r="AW121" s="11">
        <f ca="1">IF(AND(tblData[Dates]&gt;StartDt2Italy,ISNUMBER(tblData[Days'# Italy])),betaItaly/(deltaItaly+betaPodeltaItaly*EXP(-betaItaly*tblData[Days'# Italy])),"")</f>
        <v>161385.0790903923</v>
      </c>
      <c r="AX121" s="11" t="str">
        <f ca="1">IF(AND(tblData[Dates]&gt;StartDt2Italy,ISNUMBER(tblData[Italy])),(tblData[[#This Row],[Italy LogiP(t)]]-tblData[[#This Row],[Italy]])^2,"")</f>
        <v/>
      </c>
      <c r="AY121" s="11">
        <f ca="1">IF(AND(tblData[Dates]&gt;StartDt2Italy,ISNUMBER(tblData[Days'# Italy])),tblData[[#This Row],[Italy LogiP(t)]]/ItalyPopscale,"")</f>
        <v>26681.835015357909</v>
      </c>
      <c r="AZ121" s="11" t="str">
        <f ca="1">IF(AND(ISNUMBER(tblData[Italy]),tblData[Dates]&gt;StartDt2Italy),(tblData[Italy]-AVERAGE(tblData[Italy]))^2,"")</f>
        <v/>
      </c>
      <c r="BA121" s="11">
        <f>tblData[[#This Row],[Dates]]-Italy100dt+1</f>
        <v>105</v>
      </c>
      <c r="BB121" s="11">
        <f ca="1">IF(AND(tblData[Dates]&gt;StartDt2US,ISNUMBER(tblData[[#This Row],[Days'# US]])),betaUS/(deltaUS+betaPodeltaUS*EXP(-betaUS*tblData[Days'# US])),"")</f>
        <v>813399.66108239931</v>
      </c>
      <c r="BC121" s="11" t="str">
        <f ca="1">IF(AND(tblData[Dates]&gt;StartDt2US,ISNUMBER(tblData[US])),(tblData[[#This Row],[US LogiP(t)]]-tblData[US])^2,"")</f>
        <v/>
      </c>
      <c r="BD121" s="20">
        <f ca="1">IF(AND(tblData[Dates]&gt;=StartDt2US,ISNUMBER(tblData[[#This Row],[Days'# US]])),tblData[[#This Row],[US LogiP(t)]]/USPopscale,"")</f>
        <v>24706.291342844459</v>
      </c>
      <c r="BE121" s="126" t="str">
        <f ca="1">IF(AND(ISNUMBER(tblData[US]),tblData[Dates]&gt;StartDt2US),(tblData[US]-AVERAGE(tblData[US]))^2,"")</f>
        <v/>
      </c>
      <c r="BF121" s="11">
        <f>tblData[[#This Row],[Dates]]-US100dt+1</f>
        <v>88</v>
      </c>
      <c r="BG121" s="11">
        <f ca="1">IF(tblData[Dates]&gt;StartDt2SKorea,betaSKorea/(deltaSKorea+betaPodeltaSKorea*EXP(-betaSKorea*(tblData[Dates]-StartDt2SKorea))),"")</f>
        <v>10234.192326371851</v>
      </c>
      <c r="BH121" s="20" t="str">
        <f ca="1">IF(AND(tblData[Dates]&gt;StartDt2SKorea,ISNUMBER(tblData[SKorea])),(tblData[[#This Row],[SKorea LogiP(t)]]-tblData[[#This Row],[SKorea]])^2,"")</f>
        <v/>
      </c>
      <c r="BI121" s="11">
        <f ca="1">IF(tblData[Dates]&gt;StartDt2SKorea,tblData[[#This Row],[SKorea LogiP(t)]]/SKoreaPopscale,"")</f>
        <v>1991.0880012396599</v>
      </c>
      <c r="BJ121" s="11" t="str">
        <f ca="1">IF(AND(ISNUMBER(tblData[SKorea]),tblData[Dates]&gt;StartDt2SKorea),(tblData[SKorea]-AVERAGE(tblData[SKorea]))^2,"")</f>
        <v/>
      </c>
      <c r="BK121" s="20">
        <f>tblData[[#This Row],[Dates]]-SKorea100dt+1</f>
        <v>109</v>
      </c>
      <c r="BL121" s="11">
        <f ca="1">IF(AND(tblData[Dates]&gt;StartDt2UK,ISNUMBER(tblData[Days'# UK])),betaUK/(deltaUK+betaPodeltaUK*EXP(-betaUK*tblData[Days'# UK])),"")</f>
        <v>142830.38700218272</v>
      </c>
      <c r="BM121" s="11" t="str">
        <f ca="1">IF(AND(tblData[Dates]&gt;StartDt2UK,ISNUMBER(tblData[United Kingdom])),(tblData[[#This Row],[UK LogiP(t)]]-tblData[[#This Row],[United Kingdom]])^2,"")</f>
        <v/>
      </c>
      <c r="BN121" s="11">
        <f ca="1">IF(ISNUMBER(tblData[Days'# UK]),tblData[[#This Row],[UK LogiP(t)]]/UKPopscale,"")</f>
        <v>21497.650060533218</v>
      </c>
      <c r="BO121" s="11" t="str">
        <f ca="1">IF(AND(ISNUMBER(tblData[United Kingdom]),tblData[Dates]&gt;StartDt2UK),(tblData[United Kingdom]-AVERAGE(tblData[United Kingdom]))^2,"")</f>
        <v/>
      </c>
      <c r="BP121" s="11">
        <f>tblData[[#This Row],[Dates]]-UK100dt</f>
        <v>90</v>
      </c>
      <c r="BQ121" s="11">
        <f ca="1">IF(ISNUMBER(tblData[Days'# China]),betaChina/(deltaChina+betaPodeltaChina*EXP(-betaChina*tblData[Days'# China])),"")</f>
        <v>82125.160530176974</v>
      </c>
      <c r="BR121" s="11" t="str">
        <f>IF(ISNUMBER(tblData[China]),(tblData[[#This Row],[China LogiP(t)]]-tblData[[#This Row],[China]])^2,"")</f>
        <v/>
      </c>
      <c r="BS121" s="11">
        <f ca="1">tblData[[#This Row],[China LogiP(t)]]/ChinaPopscale</f>
        <v>570.58155989342163</v>
      </c>
      <c r="BT121" s="11" t="str">
        <f ca="1">IF(AND(ISNUMBER(tblData[China]),tblData[Dates]&gt;StartDt2China),(tblData[China]-AVERAGE(tblData[China]))^2,"")</f>
        <v/>
      </c>
      <c r="BU121" s="11">
        <f>tblData[[#This Row],[Dates]]-China100dt</f>
        <v>129</v>
      </c>
      <c r="BV121" s="95">
        <f ca="1">IF(ISNUMBER(tblData[Day'# Singapore]),betaSingapore/(deltaSingapore+betaPodeltaSingapore*EXP(-betaSingapore*tblData[Day'# Singapore])),"")</f>
        <v>35250.398570221812</v>
      </c>
      <c r="BW121" s="11" t="str">
        <f ca="1">IF(AND(ISNUMBER(tblData[Singapore]),tblData[Dates]&gt;=StartDt2Singapore),(tblData[[#This Row],[Singapore LogiP(t)]]-tblData[[#This Row],[Singapore]])^2,"")</f>
        <v/>
      </c>
      <c r="BX121" s="20">
        <f ca="1">IF(ISNUMBER(tblData[Day'# Singapore]),tblData[Singapore LogiP(t)]/SingaporePopscale,"")</f>
        <v>60257.091573028745</v>
      </c>
      <c r="BY121" s="95" t="str">
        <f ca="1">IF(AND(ISNUMBER(tblData[Singapore]),tblData[Dates]&gt;StartDt2Singapore),(tblData[Singapore]-AVERAGE(tblData[Singapore]))^2,"")</f>
        <v/>
      </c>
      <c r="BZ121" s="11">
        <f>tblData[[#This Row],[Dates]]-Singapore100dt+1</f>
        <v>118</v>
      </c>
      <c r="CA121" s="11">
        <f>IF(AND(tblData[Dates]&gt;StartDt2Generic,ISNUMBER(tblData[Day'# Generic])),betaGeneric/(deltaGeneric+betaPodeltaGeneric*EXP(-betaGeneric*tblData[Day'# Generic])),"")</f>
        <v>25397.687313402341</v>
      </c>
      <c r="CB121" s="95" t="str">
        <f>IF(AND(ISNUMBER(tblData[Generic]),tblData[Dates]&gt;StartDt2Generic),(tblData[Generic LogiP(t)]-tblData[[#This Row],[Generic]])^2,"")</f>
        <v/>
      </c>
      <c r="CC121" s="11">
        <f>IF(AND(ISNUMBER(tblData[Day'# Generic]),tblData[Dates]&gt;StartDt2Generic),tblData[Generic LogiP(t)]/GenericPopscale,"")</f>
        <v>51832.014925310898</v>
      </c>
      <c r="CD121" s="11" t="str">
        <f>IF(AND(ISNUMBER(tblData[Generic]),tblData[Dates]&gt;StartDt2Generic),(tblData[Generic]-AVERAGE(tblData[Generic]))^2,"")</f>
        <v/>
      </c>
      <c r="CE121" s="11">
        <f>tblData[[#This Row],[Dates]]-Generic100dt+1</f>
        <v>90</v>
      </c>
      <c r="CF121" s="11"/>
      <c r="CG121" s="11"/>
      <c r="CH121" s="11" t="str">
        <f>IF(ISNUMBER(tblData[[#This Row],[Tests]]),tblData[[#This Row],[Tests]]-CH120,"")</f>
        <v/>
      </c>
      <c r="CI121" s="11" t="str">
        <f>IF(ISNUMBER(tblData[[#This Row],[NSW Under Investigation'']]),tblData[[#This Row],[NSW Under Investigation'']]-CG120,"")</f>
        <v/>
      </c>
      <c r="CJ121" s="11"/>
      <c r="CK121" s="11" t="str">
        <f>IF(AND(tblData[[#This Row],[NSW Test Day Number]]&gt;0,ISNUMBER(tblData[[#This Row],[NSW Test Day Number]])),betaTests/(deltaTests+betaPodeltaTests*EXP(-betaTests*tblData[[#This Row],[NSW Test Day Number]])),"")</f>
        <v/>
      </c>
      <c r="CL121" s="11" t="str">
        <f>IF(tblData[Tests]&gt;0,(tblData[[#This Row],[Tests]]-tblData[[#This Row],[NSW Test Logi]])^2,"")</f>
        <v/>
      </c>
      <c r="CM121" s="95" t="str">
        <f>IF(AND(ISNUMBER(tblData[Tests]),tblData[Dates]&gt;StartDt2Tests),(tblData[Tests]-AVERAGE(tblData[Tests]))^2,"")</f>
        <v/>
      </c>
      <c r="CN121" s="11" t="str">
        <f>IF(ISNUMBER(tblData[Tests]),tblData[Tests]/NSWpopscale/100,"")</f>
        <v/>
      </c>
      <c r="CO121" s="95" t="str">
        <f>IF(AND(tblData[[#This Row],[NSW Test Day Number]]&gt;0,ISNUMBER(tblData[[#This Row],[NSW Test Day Number]])),TestsLogestB*TestsLogestM^tblData[[#This Row],[NSW Test Day Number]],"")</f>
        <v/>
      </c>
      <c r="CP121" s="11" t="str">
        <f>IF(AND(tblData[[#This Row],[NSW Test Day Number]]&gt;0,ISNUMBER(tblData[Tests])),(tblData[Tests]-tblData[[#This Row],[NSW Test Per Capita]])^2,"")</f>
        <v/>
      </c>
      <c r="CQ121" s="20">
        <f ca="1">IF(AND(tblData[Day '# NSW]&gt;0,ISNUMBER(tblData[[#This Row],[Day '# NSW]])),NSWLogestB*NSWLogestM^tblData[[#This Row],[Day '# NSW]]/NSWpopscale,"")</f>
        <v>747943.03367293079</v>
      </c>
      <c r="CR121" s="39" t="str">
        <f ca="1">IF(AND(ISNUMBER(tblData[NSW]),tblData[Dates]&gt;StartDt2NSW),(tblData[NSW]/NSWpopscale-tblData[[#This Row],[NSW Cases LogEst]])^2,"")</f>
        <v/>
      </c>
      <c r="CS121" s="39"/>
      <c r="CT121" s="19" t="str">
        <f>IF(ISNUMBER(tblData[Taiwan]),tblData[Taiwan]/TaiwanPopscale,"")</f>
        <v/>
      </c>
      <c r="CU121" s="39">
        <f ca="1">IF(tblData[[#This Row],[Dates]]&lt;StartDt2Taiwan,"",tblData[[#This Row],[Dates]]-TaiwanStart)</f>
        <v>140</v>
      </c>
      <c r="CV121" s="19">
        <f ca="1">IF(AND(tblData[Dates]&gt;StartDt2Taiwan,ISNUMBER(tblData[Days'# Taiwan])),betaTaiwan/(deltaTaiwan+betaPodeltaTaiwan*EXP(-betaTaiwan*tblData[Days'# Taiwan])),"")</f>
        <v>426.22209977997329</v>
      </c>
      <c r="CW121" s="39" t="str">
        <f ca="1">IF(AND(tblData[Dates]&gt;StartDt2Taiwan,ISNUMBER(tblData[Taiwan])),(tblData[[#This Row],[Taiwan LogiP(t)]]-tblData[[#This Row],[Taiwan]])^2,"")</f>
        <v/>
      </c>
      <c r="CX121" s="20">
        <f ca="1">IF(AND(tblData[Dates]&gt;StartDt2Taiwan,ISNUMBER(tblData[Days'# Taiwan])),tblData[[#This Row],[Taiwan LogiP(t)]]/TaiwanPopscale,"")</f>
        <v>179.03013866932534</v>
      </c>
      <c r="CY121" s="39" t="str">
        <f ca="1">IF(AND(ISNUMBER(tblData[Taiwan]),tblData[Dates]&gt;StartDt2Taiwan),(tblData[Taiwan]-AVERAGE(tblData[Taiwan]))^2,"")</f>
        <v/>
      </c>
      <c r="CZ121" s="11">
        <f>tblData[[#This Row],[Dates]]-Taiwan100dt+1</f>
        <v>77</v>
      </c>
      <c r="DA121" s="39"/>
      <c r="DB121" s="20" t="str">
        <f>IF(ISNUMBER(tblData[NZ]),tblData[NZ]/NZPopscale,"")</f>
        <v/>
      </c>
      <c r="DC121" s="11">
        <f ca="1">IF(tblData[[#This Row],[Dates]]&lt;StartDt2NZ,"",tblData[[#This Row],[Dates]]-NZStart)</f>
        <v>103</v>
      </c>
      <c r="DD121" s="20">
        <f ca="1">IF(AND(tblData[Dates]&gt;StartDt2NZ,ISNUMBER(tblData[Days'# NZ])),betaNZ/(deltaNZ+betaPodeltaNZ*EXP(-betaNZ*tblData[Days'# NZ])),"")</f>
        <v>1461.1030791408004</v>
      </c>
      <c r="DE121" s="95" t="str">
        <f ca="1">IF(AND(tblData[Dates]&gt;StartDt2NZ,ISNUMBER(tblData[NZ])),(tblData[[#This Row],[NZ LogiP(t)]]-tblData[[#This Row],[NZ]])^2,"")</f>
        <v/>
      </c>
      <c r="DF121" s="20">
        <f ca="1">IF(AND(tblData[Dates]&gt;StartDt2NZ,ISNUMBER(tblData[Days'# NZ])),tblData[[#This Row],[NZ LogiP(t)]]/NZPopscale,"")</f>
        <v>2793.696136024475</v>
      </c>
      <c r="DG121" s="95" t="str">
        <f ca="1">IF(AND(ISNUMBER(tblData[NZ]),tblData[Dates]&gt;StartDt2NZ),(tblData[NZ]-AVERAGE(tblData[NZ]))^2,"")</f>
        <v/>
      </c>
      <c r="DH121" s="11">
        <f>tblData[[#This Row],[Dates]]-NZ100dt+1</f>
        <v>81</v>
      </c>
      <c r="DL121"/>
      <c r="DN121"/>
      <c r="DP121"/>
      <c r="DQ121"/>
      <c r="DR121"/>
      <c r="DS121"/>
      <c r="DT121"/>
      <c r="DU121"/>
      <c r="DW121"/>
      <c r="DX121"/>
      <c r="DY121"/>
      <c r="DZ121"/>
      <c r="EB121"/>
      <c r="EC121"/>
      <c r="ED121"/>
      <c r="EE121"/>
      <c r="EF121"/>
      <c r="EG121"/>
      <c r="EH121"/>
      <c r="EI121"/>
      <c r="EJ121"/>
      <c r="EK121"/>
      <c r="EN121"/>
      <c r="EO121"/>
      <c r="EP121"/>
      <c r="FE121"/>
      <c r="FO121" s="270" t="s">
        <v>153</v>
      </c>
      <c r="FP121" s="253">
        <v>43954.723819444444</v>
      </c>
      <c r="FQ121" s="156">
        <v>43855</v>
      </c>
      <c r="FR121" s="26">
        <v>43855</v>
      </c>
      <c r="FS121" s="224">
        <v>1</v>
      </c>
      <c r="FT121" s="44">
        <v>0.23429106135547312</v>
      </c>
      <c r="FU121" s="71">
        <v>7.8790701539194612E-5</v>
      </c>
      <c r="FV121" s="73">
        <v>1.2352054613844388E-3</v>
      </c>
      <c r="FW121" s="225">
        <v>2973.5877048756129</v>
      </c>
      <c r="FX121" s="225">
        <v>28.502705999431782</v>
      </c>
      <c r="FY121" s="226">
        <v>0.99951740926642729</v>
      </c>
      <c r="FZ121" s="214">
        <v>189.67772678900809</v>
      </c>
      <c r="GA121" s="213">
        <v>7.879070153919461E-2</v>
      </c>
      <c r="GB121" s="246">
        <v>43954</v>
      </c>
      <c r="GC121" s="26" t="s">
        <v>3748</v>
      </c>
      <c r="GD121" s="214">
        <v>2973.5877042756638</v>
      </c>
      <c r="GE121" s="225">
        <v>3035</v>
      </c>
      <c r="GF121" s="228" t="s">
        <v>3749</v>
      </c>
      <c r="GG121" s="156">
        <v>43954</v>
      </c>
      <c r="GH121" s="52">
        <v>100</v>
      </c>
      <c r="GI121" s="26" t="s">
        <v>3750</v>
      </c>
      <c r="GJ121" s="51"/>
      <c r="GK121" s="62" t="s">
        <v>3751</v>
      </c>
      <c r="GL121" s="51"/>
      <c r="GM121" s="18" t="s">
        <v>3752</v>
      </c>
      <c r="GN121" s="11">
        <v>3756.1881188118809</v>
      </c>
      <c r="GO121" s="157"/>
      <c r="GP121" s="229"/>
      <c r="GQ121" s="156"/>
      <c r="GR121" s="11"/>
      <c r="GS121" s="25" t="s">
        <v>3747</v>
      </c>
      <c r="GT121" s="11">
        <v>2973.2883790001429</v>
      </c>
      <c r="GU121" s="12">
        <v>7.5881998179706369E-3</v>
      </c>
      <c r="GV121" s="240">
        <v>43903</v>
      </c>
      <c r="GW121" s="162" t="s">
        <v>2389</v>
      </c>
      <c r="GX121" s="231">
        <v>-61.890507445740241</v>
      </c>
      <c r="GY121" t="s">
        <v>153</v>
      </c>
      <c r="GZ121" s="313" t="e">
        <v>#N/A</v>
      </c>
      <c r="HA121" s="26" t="s">
        <v>3752</v>
      </c>
      <c r="HB121"/>
      <c r="HC121"/>
      <c r="HD121"/>
      <c r="HE121"/>
      <c r="HF121"/>
      <c r="HG121"/>
      <c r="HH121"/>
      <c r="HI121"/>
      <c r="HJ121"/>
      <c r="HK121" s="164"/>
      <c r="HL121"/>
      <c r="HM121"/>
      <c r="HN121"/>
      <c r="HO121"/>
      <c r="HP121"/>
      <c r="HQ121"/>
      <c r="HR121"/>
      <c r="HS121"/>
      <c r="HT121"/>
      <c r="HU121"/>
      <c r="HV121"/>
      <c r="HW121"/>
    </row>
    <row r="122" spans="2:244" s="25" customFormat="1" x14ac:dyDescent="0.25">
      <c r="B122" s="26">
        <f t="shared" si="5"/>
        <v>43999</v>
      </c>
      <c r="L122" s="11" t="str">
        <f>IF(ISNUMBER(tblData[[#This Row],[NSW]]),tblData[[#This Row],[New South Wales]]/NSWpopscale,"")</f>
        <v/>
      </c>
      <c r="N122" s="20" t="str">
        <f>IF(ISNUMBER(tblData[Italy]),tblData[Italy]/ItalyPopscale,"")</f>
        <v/>
      </c>
      <c r="P122" s="20" t="str">
        <f>IF(ISNUMBER(tblData[US]),tblData[US]/USPopscale,"")</f>
        <v/>
      </c>
      <c r="Q122" s="44"/>
      <c r="R122" s="20" t="str">
        <f>IF(ISNUMBER(tblData[SKorea]),tblData[SKorea]/SKoreaPopscale,"")</f>
        <v/>
      </c>
      <c r="S122" s="44"/>
      <c r="T122" s="12" t="str">
        <f>IF(ISNUMBER(tblData[United Kingdom]),tblData[United Kingdom]/UKPopscale,"")</f>
        <v/>
      </c>
      <c r="V122" s="20" t="str">
        <f>IF(ISNUMBER(tblData[China]),tblData[China]/ChinaPopscale,"")</f>
        <v/>
      </c>
      <c r="W122" s="25">
        <f ca="1">IF(tblData[[#This Row],[Dates]]&lt;StartDt2China,"",tblData[[#This Row],[Dates]]-ChinaStart)</f>
        <v>147</v>
      </c>
      <c r="X122" s="20"/>
      <c r="Y122" s="20" t="str">
        <f>IF(ISNUMBER(tblData[Singapore]),tblData[Singapore]/SingaporePopscale,"")</f>
        <v/>
      </c>
      <c r="Z122" s="20"/>
      <c r="AA122" s="20" t="str">
        <f>IF(AND(LEN(tblData[Generic])&gt;0,ISNUMBER(tblData[Generic])),tblData[Generic]/GenericPopscale,"")</f>
        <v/>
      </c>
      <c r="AB122" s="166">
        <f ca="1">IF(tblData[[#This Row],[Dates]]&lt;StartDt2Italy,"",tblData[[#This Row],[Dates]]-ItalyStart)</f>
        <v>139</v>
      </c>
      <c r="AC122" s="166">
        <f ca="1">IF(tblData[[#This Row],[Dates]]&lt;=StartDt2US,"",tblData[[#This Row],[Dates]]-USStart)</f>
        <v>147</v>
      </c>
      <c r="AD122" s="166">
        <f>IF(tblData[[#This Row],[Dates]]&lt;=SKoreaStart,"",tblData[[#This Row],[Dates]]-SKoreaStart)</f>
        <v>147</v>
      </c>
      <c r="AE122" s="166">
        <f ca="1">IF(tblData[[#This Row],[Dates]]&lt;=StartDt2UK,"",tblData[[#This Row],[Dates]]-UKStart)</f>
        <v>139</v>
      </c>
      <c r="AF122" s="166">
        <f ca="1">IF(tblData[[#This Row],[Dates]]&lt;StartDt2Singapore,"",tblData[[#This Row],[Dates]]-SingaporeStart)</f>
        <v>146</v>
      </c>
      <c r="AG122" s="166">
        <f>IF(tblData[[#This Row],[Dates]]&lt;StartDt2Generic,"",tblData[[#This Row],[Dates]]-GenericStart)</f>
        <v>109</v>
      </c>
      <c r="AH122" s="166">
        <f ca="1">IF(tblData[Dates]&gt;StartDt2Au,tblData[Dates]-AuStart,"")</f>
        <v>144</v>
      </c>
      <c r="AI122" s="25" t="str">
        <f>IF(AND(COUNTBLANK(tblData[[#This Row],[Australian Capital Territory]:[Western Australia]])&lt;1,tblData[New South Wales]&gt;=0),SUM(tblData[[#This Row],[Australian Capital Territory]:[Western Australia]]),"")</f>
        <v/>
      </c>
      <c r="AJ122" s="166" t="str">
        <f>IF(ISNUMBER(tblData[Au]),tblData[Au]/AuPopScale,"")</f>
        <v/>
      </c>
      <c r="AK122" s="11">
        <f ca="1">IF(ISNUMBER(tblData[[#This Row],[Day'# Aust]]),betaAu/(deltaAu+betaPodeltaAu*EXP(-betaAu*tblData[[#This Row],[Day'# Aust]])),"")</f>
        <v>6643.7799587680493</v>
      </c>
      <c r="AL122" s="56">
        <f ca="1">IF(ISNUMBER(tblData[Day'# Aust]),tblData[Au LogiP(t)]/AuPopScale,"")</f>
        <v>2619.3738995300619</v>
      </c>
      <c r="AM122" s="11" t="str">
        <f ca="1">IF(AND(tblData[Dates]&gt;StartDt2Au,ISNUMBER(tblData[Au])),(tblData[[#This Row],[Au LogiP(t)]]-tblData[[#This Row],[Au]])^2,"")</f>
        <v/>
      </c>
      <c r="AN122" s="11" t="str">
        <f ca="1">IF(AND(ISNUMBER(tblData[Au]),tblData[Dates]&gt;StartDt2Au),(tblData[Au]-AVERAGE(tblData[Au]))^2,"")</f>
        <v/>
      </c>
      <c r="AO122" s="11">
        <f>tblData[[#This Row],[Dates]]-Au100dt</f>
        <v>94</v>
      </c>
      <c r="AP122" s="166">
        <f ca="1">IF(tblData[Dates]&gt;StartDt2NSW,tblData[Dates]-StartDt2NSW,"")</f>
        <v>144</v>
      </c>
      <c r="AQ122" s="166" t="str">
        <f>IF(tblData[[#This Row],[New South Wales]]&gt;0,tblData[[#This Row],[New South Wales]],"")</f>
        <v/>
      </c>
      <c r="AR122" s="11">
        <f ca="1">IF(tblData[Dates]&gt;StartDt2NSW,betaNSW/(deltaNSW+betaPodeltaNSW*EXP(-betaNSW*tblData[[#This Row],[Day '# NSW]])),"")</f>
        <v>2973.5876889303113</v>
      </c>
      <c r="AS122" s="12" t="str">
        <f ca="1">IF(AND(ISNUMBER(tblData[NSW]),tblData[Dates]&gt;StartDt2NSW),(tblData[[#This Row],[NSW LogiP(t)]]-tblData[[#This Row],[NSW]])^2,"")</f>
        <v/>
      </c>
      <c r="AT122" s="12">
        <f ca="1">IF(AND(tblData[Dates]&gt;StartDt2NSW,ISNUMBER(tblData[Day'# Aust])),tblData[NSW LogiP(t)]/NSWpopscale,"")</f>
        <v>3680.1827833295929</v>
      </c>
      <c r="AU122" s="11">
        <f>tblData[[#This Row],[Dates]]-NSW100dt+1</f>
        <v>97</v>
      </c>
      <c r="AV122" s="11" t="str">
        <f ca="1">IF(AND(ISNUMBER(tblData[NSW]),tblData[Dates]&gt;StartDt2NSW),(tblData[NSW]-AVERAGE(tblData[NSW]))^2,"")</f>
        <v/>
      </c>
      <c r="AW122" s="11">
        <f ca="1">IF(AND(tblData[Dates]&gt;StartDt2Italy,ISNUMBER(tblData[Days'# Italy])),betaItaly/(deltaItaly+betaPodeltaItaly*EXP(-betaItaly*tblData[Days'# Italy])),"")</f>
        <v>161385.07923980657</v>
      </c>
      <c r="AX122" s="11" t="str">
        <f ca="1">IF(AND(tblData[Dates]&gt;StartDt2Italy,ISNUMBER(tblData[Italy])),(tblData[[#This Row],[Italy LogiP(t)]]-tblData[[#This Row],[Italy]])^2,"")</f>
        <v/>
      </c>
      <c r="AY122" s="11">
        <f ca="1">IF(AND(tblData[Dates]&gt;StartDt2Italy,ISNUMBER(tblData[Days'# Italy])),tblData[[#This Row],[Italy LogiP(t)]]/ItalyPopscale,"")</f>
        <v>26681.835040060607</v>
      </c>
      <c r="AZ122" s="11" t="str">
        <f ca="1">IF(AND(ISNUMBER(tblData[Italy]),tblData[Dates]&gt;StartDt2Italy),(tblData[Italy]-AVERAGE(tblData[Italy]))^2,"")</f>
        <v/>
      </c>
      <c r="BA122" s="11">
        <f>tblData[[#This Row],[Dates]]-Italy100dt+1</f>
        <v>112</v>
      </c>
      <c r="BB122" s="11">
        <f ca="1">IF(AND(tblData[Dates]&gt;StartDt2US,ISNUMBER(tblData[[#This Row],[Days'# US]])),betaUS/(deltaUS+betaPodeltaUS*EXP(-betaUS*tblData[Days'# US])),"")</f>
        <v>813399.66426667618</v>
      </c>
      <c r="BC122" s="11" t="str">
        <f ca="1">IF(AND(tblData[Dates]&gt;StartDt2US,ISNUMBER(tblData[US])),(tblData[[#This Row],[US LogiP(t)]]-tblData[US])^2,"")</f>
        <v/>
      </c>
      <c r="BD122" s="20">
        <f ca="1">IF(AND(tblData[Dates]&gt;=StartDt2US,ISNUMBER(tblData[[#This Row],[Days'# US]])),tblData[[#This Row],[US LogiP(t)]]/USPopscale,"")</f>
        <v>24706.291439564036</v>
      </c>
      <c r="BE122" s="126" t="str">
        <f ca="1">IF(AND(ISNUMBER(tblData[US]),tblData[Dates]&gt;StartDt2US),(tblData[US]-AVERAGE(tblData[US]))^2,"")</f>
        <v/>
      </c>
      <c r="BF122" s="11">
        <f>tblData[[#This Row],[Dates]]-US100dt+1</f>
        <v>95</v>
      </c>
      <c r="BG122" s="11">
        <f ca="1">IF(tblData[Dates]&gt;StartDt2SKorea,betaSKorea/(deltaSKorea+betaPodeltaSKorea*EXP(-betaSKorea*(tblData[Dates]-StartDt2SKorea))),"")</f>
        <v>10234.192565477653</v>
      </c>
      <c r="BH122" s="20" t="str">
        <f ca="1">IF(AND(tblData[Dates]&gt;StartDt2SKorea,ISNUMBER(tblData[SKorea])),(tblData[[#This Row],[SKorea LogiP(t)]]-tblData[[#This Row],[SKorea]])^2,"")</f>
        <v/>
      </c>
      <c r="BI122" s="11">
        <f ca="1">IF(tblData[Dates]&gt;StartDt2SKorea,tblData[[#This Row],[SKorea LogiP(t)]]/SKoreaPopscale,"")</f>
        <v>1991.0880477582984</v>
      </c>
      <c r="BJ122" s="11" t="str">
        <f ca="1">IF(AND(ISNUMBER(tblData[SKorea]),tblData[Dates]&gt;StartDt2SKorea),(tblData[SKorea]-AVERAGE(tblData[SKorea]))^2,"")</f>
        <v/>
      </c>
      <c r="BK122" s="20">
        <f>tblData[[#This Row],[Dates]]-SKorea100dt+1</f>
        <v>116</v>
      </c>
      <c r="BL122" s="11">
        <f ca="1">IF(AND(tblData[Dates]&gt;StartDt2UK,ISNUMBER(tblData[Days'# UK])),betaUK/(deltaUK+betaPodeltaUK*EXP(-betaUK*tblData[Days'# UK])),"")</f>
        <v>142830.49470544883</v>
      </c>
      <c r="BM122" s="11" t="str">
        <f ca="1">IF(AND(tblData[Dates]&gt;StartDt2UK,ISNUMBER(tblData[United Kingdom])),(tblData[[#This Row],[UK LogiP(t)]]-tblData[[#This Row],[United Kingdom]])^2,"")</f>
        <v/>
      </c>
      <c r="BN122" s="11">
        <f ca="1">IF(ISNUMBER(tblData[Days'# UK]),tblData[[#This Row],[UK LogiP(t)]]/UKPopscale,"")</f>
        <v>21497.666271139198</v>
      </c>
      <c r="BO122" s="11" t="str">
        <f ca="1">IF(AND(ISNUMBER(tblData[United Kingdom]),tblData[Dates]&gt;StartDt2UK),(tblData[United Kingdom]-AVERAGE(tblData[United Kingdom]))^2,"")</f>
        <v/>
      </c>
      <c r="BP122" s="11">
        <f>tblData[[#This Row],[Dates]]-UK100dt</f>
        <v>97</v>
      </c>
      <c r="BQ122" s="11">
        <f ca="1">IF(ISNUMBER(tblData[Days'# China]),betaChina/(deltaChina+betaPodeltaChina*EXP(-betaChina*tblData[Days'# China])),"")</f>
        <v>82125.160530301029</v>
      </c>
      <c r="BR122" s="11" t="str">
        <f>IF(ISNUMBER(tblData[China]),(tblData[[#This Row],[China LogiP(t)]]-tblData[[#This Row],[China]])^2,"")</f>
        <v/>
      </c>
      <c r="BS122" s="11">
        <f ca="1">tblData[[#This Row],[China LogiP(t)]]/ChinaPopscale</f>
        <v>570.58155989428349</v>
      </c>
      <c r="BT122" s="11" t="str">
        <f ca="1">IF(AND(ISNUMBER(tblData[China]),tblData[Dates]&gt;StartDt2China),(tblData[China]-AVERAGE(tblData[China]))^2,"")</f>
        <v/>
      </c>
      <c r="BU122" s="11">
        <f>tblData[[#This Row],[Dates]]-China100dt</f>
        <v>136</v>
      </c>
      <c r="BV122" s="95">
        <f ca="1">IF(ISNUMBER(tblData[Day'# Singapore]),betaSingapore/(deltaSingapore+betaPodeltaSingapore*EXP(-betaSingapore*tblData[Day'# Singapore])),"")</f>
        <v>35406.731825144285</v>
      </c>
      <c r="BW122" s="11" t="str">
        <f ca="1">IF(AND(ISNUMBER(tblData[Singapore]),tblData[Dates]&gt;=StartDt2Singapore),(tblData[[#This Row],[Singapore LogiP(t)]]-tblData[[#This Row],[Singapore]])^2,"")</f>
        <v/>
      </c>
      <c r="BX122" s="20">
        <f ca="1">IF(ISNUMBER(tblData[Day'# Singapore]),tblData[Singapore LogiP(t)]/SingaporePopscale,"")</f>
        <v>60524.327906229548</v>
      </c>
      <c r="BY122" s="95" t="str">
        <f ca="1">IF(AND(ISNUMBER(tblData[Singapore]),tblData[Dates]&gt;StartDt2Singapore),(tblData[Singapore]-AVERAGE(tblData[Singapore]))^2,"")</f>
        <v/>
      </c>
      <c r="BZ122" s="11">
        <f>tblData[[#This Row],[Dates]]-Singapore100dt+1</f>
        <v>125</v>
      </c>
      <c r="CA122" s="11">
        <f>IF(AND(tblData[Dates]&gt;StartDt2Generic,ISNUMBER(tblData[Day'# Generic])),betaGeneric/(deltaGeneric+betaPodeltaGeneric*EXP(-betaGeneric*tblData[Day'# Generic])),"")</f>
        <v>25409.420310806516</v>
      </c>
      <c r="CB122" s="95" t="str">
        <f>IF(AND(ISNUMBER(tblData[Generic]),tblData[Dates]&gt;StartDt2Generic),(tblData[Generic LogiP(t)]-tblData[[#This Row],[Generic]])^2,"")</f>
        <v/>
      </c>
      <c r="CC122" s="11">
        <f>IF(AND(ISNUMBER(tblData[Day'# Generic]),tblData[Dates]&gt;StartDt2Generic),tblData[Generic LogiP(t)]/GenericPopscale,"")</f>
        <v>51855.959817972485</v>
      </c>
      <c r="CD122" s="11" t="str">
        <f>IF(AND(ISNUMBER(tblData[Generic]),tblData[Dates]&gt;StartDt2Generic),(tblData[Generic]-AVERAGE(tblData[Generic]))^2,"")</f>
        <v/>
      </c>
      <c r="CE122" s="11">
        <f>tblData[[#This Row],[Dates]]-Generic100dt+1</f>
        <v>97</v>
      </c>
      <c r="CF122" s="11"/>
      <c r="CG122" s="11"/>
      <c r="CH122" s="11" t="str">
        <f>IF(ISNUMBER(tblData[[#This Row],[Tests]]),tblData[[#This Row],[Tests]]-CH120,"")</f>
        <v/>
      </c>
      <c r="CI122" s="11" t="str">
        <f>IF(ISNUMBER(tblData[[#This Row],[NSW Under Investigation'']]),tblData[[#This Row],[NSW Under Investigation'']]-CG120,"")</f>
        <v/>
      </c>
      <c r="CJ122" s="11"/>
      <c r="CK122" s="11" t="str">
        <f>IF(AND(tblData[[#This Row],[NSW Test Day Number]]&gt;0,ISNUMBER(tblData[[#This Row],[NSW Test Day Number]])),betaTests/(deltaTests+betaPodeltaTests*EXP(-betaTests*tblData[[#This Row],[NSW Test Day Number]])),"")</f>
        <v/>
      </c>
      <c r="CL122" s="11" t="str">
        <f>IF(tblData[Tests]&gt;0,(tblData[[#This Row],[Tests]]-tblData[[#This Row],[NSW Test Logi]])^2,"")</f>
        <v/>
      </c>
      <c r="CM122" s="95" t="str">
        <f>IF(AND(ISNUMBER(tblData[Tests]),tblData[Dates]&gt;StartDt2Tests),(tblData[Tests]-AVERAGE(tblData[Tests]))^2,"")</f>
        <v/>
      </c>
      <c r="CN122" s="11" t="str">
        <f>IF(ISNUMBER(tblData[Tests]),tblData[Tests]/NSWpopscale/100,"")</f>
        <v/>
      </c>
      <c r="CO122" s="95" t="str">
        <f>IF(AND(tblData[[#This Row],[NSW Test Day Number]]&gt;0,ISNUMBER(tblData[[#This Row],[NSW Test Day Number]])),TestsLogestB*TestsLogestM^tblData[[#This Row],[NSW Test Day Number]],"")</f>
        <v/>
      </c>
      <c r="CP122" s="11" t="str">
        <f>IF(AND(tblData[[#This Row],[NSW Test Day Number]]&gt;0,ISNUMBER(tblData[Tests])),(tblData[Tests]-tblData[[#This Row],[NSW Test Per Capita]])^2,"")</f>
        <v/>
      </c>
      <c r="CQ122" s="20">
        <f ca="1">IF(AND(tblData[Day '# NSW]&gt;0,ISNUMBER(tblData[[#This Row],[Day '# NSW]])),NSWLogestB*NSWLogestM^tblData[[#This Row],[Day '# NSW]]/NSWpopscale,"")</f>
        <v>1466416.1816899925</v>
      </c>
      <c r="CR122" s="39" t="str">
        <f ca="1">IF(AND(ISNUMBER(tblData[NSW]),tblData[Dates]&gt;StartDt2NSW),(tblData[NSW]/NSWpopscale-tblData[[#This Row],[NSW Cases LogEst]])^2,"")</f>
        <v/>
      </c>
      <c r="CS122" s="39"/>
      <c r="CT122" s="19" t="str">
        <f>IF(ISNUMBER(tblData[Taiwan]),tblData[Taiwan]/TaiwanPopscale,"")</f>
        <v/>
      </c>
      <c r="CU122" s="39">
        <f ca="1">IF(tblData[[#This Row],[Dates]]&lt;StartDt2Taiwan,"",tblData[[#This Row],[Dates]]-TaiwanStart)</f>
        <v>147</v>
      </c>
      <c r="CV122" s="19">
        <f ca="1">IF(AND(tblData[Dates]&gt;StartDt2Taiwan,ISNUMBER(tblData[Days'# Taiwan])),betaTaiwan/(deltaTaiwan+betaPodeltaTaiwan*EXP(-betaTaiwan*tblData[Days'# Taiwan])),"")</f>
        <v>426.22503590792013</v>
      </c>
      <c r="CW122" s="39" t="str">
        <f ca="1">IF(AND(tblData[Dates]&gt;StartDt2Taiwan,ISNUMBER(tblData[Taiwan])),(tblData[[#This Row],[Taiwan LogiP(t)]]-tblData[[#This Row],[Taiwan]])^2,"")</f>
        <v/>
      </c>
      <c r="CX122" s="20">
        <f ca="1">IF(AND(tblData[Dates]&gt;StartDt2Taiwan,ISNUMBER(tblData[Days'# Taiwan])),tblData[[#This Row],[Taiwan LogiP(t)]]/TaiwanPopscale,"")</f>
        <v>179.03137195918464</v>
      </c>
      <c r="CY122" s="39" t="str">
        <f ca="1">IF(AND(ISNUMBER(tblData[Taiwan]),tblData[Dates]&gt;StartDt2Taiwan),(tblData[Taiwan]-AVERAGE(tblData[Taiwan]))^2,"")</f>
        <v/>
      </c>
      <c r="CZ122" s="11">
        <f>tblData[[#This Row],[Dates]]-Taiwan100dt+1</f>
        <v>84</v>
      </c>
      <c r="DA122" s="39"/>
      <c r="DB122" s="20" t="str">
        <f>IF(ISNUMBER(tblData[NZ]),tblData[NZ]/NZPopscale,"")</f>
        <v/>
      </c>
      <c r="DC122" s="11">
        <f ca="1">IF(tblData[[#This Row],[Dates]]&lt;StartDt2NZ,"",tblData[[#This Row],[Dates]]-NZStart)</f>
        <v>110</v>
      </c>
      <c r="DD122" s="20">
        <f ca="1">IF(AND(tblData[Dates]&gt;StartDt2NZ,ISNUMBER(tblData[Days'# NZ])),betaNZ/(deltaNZ+betaPodeltaNZ*EXP(-betaNZ*tblData[Days'# NZ])),"")</f>
        <v>1461.103180765067</v>
      </c>
      <c r="DE122" s="95" t="str">
        <f ca="1">IF(AND(tblData[Dates]&gt;StartDt2NZ,ISNUMBER(tblData[NZ])),(tblData[[#This Row],[NZ LogiP(t)]]-tblData[[#This Row],[NZ]])^2,"")</f>
        <v/>
      </c>
      <c r="DF122" s="20">
        <f ca="1">IF(AND(tblData[Dates]&gt;StartDt2NZ,ISNUMBER(tblData[Days'# NZ])),tblData[[#This Row],[NZ LogiP(t)]]/NZPopscale,"")</f>
        <v>2793.6963303347361</v>
      </c>
      <c r="DG122" s="95" t="str">
        <f ca="1">IF(AND(ISNUMBER(tblData[NZ]),tblData[Dates]&gt;StartDt2NZ),(tblData[NZ]-AVERAGE(tblData[NZ]))^2,"")</f>
        <v/>
      </c>
      <c r="DH122" s="11">
        <f>tblData[[#This Row],[Dates]]-NZ100dt+1</f>
        <v>88</v>
      </c>
      <c r="DL122"/>
      <c r="DM122"/>
      <c r="DN122"/>
      <c r="DO122"/>
      <c r="DP122"/>
      <c r="DR122"/>
      <c r="DS122"/>
      <c r="DT122"/>
      <c r="DU122"/>
      <c r="DV122"/>
      <c r="DX122"/>
      <c r="DY122"/>
      <c r="DZ122"/>
      <c r="EA122"/>
      <c r="EB122"/>
      <c r="EE122"/>
      <c r="EF122"/>
      <c r="EG122"/>
      <c r="FE122"/>
      <c r="FO122" s="265" t="s">
        <v>58</v>
      </c>
      <c r="FP122" s="250"/>
      <c r="FQ122" s="243">
        <v>43860</v>
      </c>
      <c r="FR122" s="26"/>
      <c r="FS122" s="211">
        <v>2</v>
      </c>
      <c r="FT122" s="22">
        <v>0.26341245608301456</v>
      </c>
      <c r="FU122" s="24">
        <v>8.0178356113971791E-6</v>
      </c>
      <c r="FV122" s="21">
        <v>0.43807876080500274</v>
      </c>
      <c r="FW122" s="212">
        <v>32853.312146806733</v>
      </c>
      <c r="FX122" s="212">
        <v>317.87708238738571</v>
      </c>
      <c r="FY122" s="212"/>
      <c r="FZ122" s="212">
        <v>0.60128216021130942</v>
      </c>
      <c r="GA122" s="213">
        <v>8.0178356113971786E-3</v>
      </c>
      <c r="GB122" s="246">
        <v>43904</v>
      </c>
      <c r="GC122" s="26" t="s">
        <v>214</v>
      </c>
      <c r="GD122" s="212"/>
      <c r="GE122" s="212"/>
      <c r="GF122" s="19"/>
      <c r="GG122" s="156"/>
      <c r="GI122" s="18"/>
      <c r="GN122" s="20"/>
      <c r="GO122" s="156"/>
      <c r="GP122" s="218"/>
      <c r="GQ122" s="156"/>
      <c r="GR122" s="23"/>
      <c r="GT122" s="11"/>
      <c r="GU122" s="12"/>
      <c r="GV122" s="26"/>
      <c r="GX122" s="219"/>
      <c r="GY122"/>
      <c r="GZ122"/>
      <c r="HA122"/>
      <c r="HB122"/>
      <c r="HC122"/>
      <c r="HD122"/>
      <c r="HE122"/>
      <c r="HF122"/>
      <c r="HG122"/>
      <c r="HH122"/>
      <c r="HI122"/>
      <c r="HJ122"/>
      <c r="HK122" s="164"/>
      <c r="HL122"/>
      <c r="HM122"/>
      <c r="HN122"/>
      <c r="HO122"/>
      <c r="HP122"/>
      <c r="HQ122"/>
      <c r="HR122"/>
      <c r="HS122"/>
      <c r="HT122"/>
      <c r="HU122"/>
      <c r="HV122"/>
    </row>
    <row r="123" spans="2:244" s="25" customFormat="1" x14ac:dyDescent="0.25">
      <c r="B123" s="26">
        <f t="shared" si="5"/>
        <v>44006</v>
      </c>
      <c r="L123" s="11" t="str">
        <f>IF(ISNUMBER(tblData[[#This Row],[NSW]]),tblData[[#This Row],[New South Wales]]/NSWpopscale,"")</f>
        <v/>
      </c>
      <c r="N123" s="20" t="str">
        <f>IF(ISNUMBER(tblData[Italy]),tblData[Italy]/ItalyPopscale,"")</f>
        <v/>
      </c>
      <c r="P123" s="20" t="str">
        <f>IF(ISNUMBER(tblData[US]),tblData[US]/USPopscale,"")</f>
        <v/>
      </c>
      <c r="Q123" s="44"/>
      <c r="R123" s="20" t="str">
        <f>IF(ISNUMBER(tblData[SKorea]),tblData[SKorea]/SKoreaPopscale,"")</f>
        <v/>
      </c>
      <c r="S123" s="44"/>
      <c r="T123" s="12" t="str">
        <f>IF(ISNUMBER(tblData[United Kingdom]),tblData[United Kingdom]/UKPopscale,"")</f>
        <v/>
      </c>
      <c r="V123" s="20" t="str">
        <f>IF(ISNUMBER(tblData[China]),tblData[China]/ChinaPopscale,"")</f>
        <v/>
      </c>
      <c r="W123" s="25">
        <f ca="1">IF(tblData[[#This Row],[Dates]]&lt;StartDt2China,"",tblData[[#This Row],[Dates]]-ChinaStart)</f>
        <v>154</v>
      </c>
      <c r="X123" s="20"/>
      <c r="Y123" s="20" t="str">
        <f>IF(ISNUMBER(tblData[Singapore]),tblData[Singapore]/SingaporePopscale,"")</f>
        <v/>
      </c>
      <c r="Z123" s="20"/>
      <c r="AA123" s="20" t="str">
        <f>IF(AND(LEN(tblData[Generic])&gt;0,ISNUMBER(tblData[Generic])),tblData[Generic]/GenericPopscale,"")</f>
        <v/>
      </c>
      <c r="AB123" s="166">
        <f ca="1">IF(tblData[[#This Row],[Dates]]&lt;StartDt2Italy,"",tblData[[#This Row],[Dates]]-ItalyStart)</f>
        <v>146</v>
      </c>
      <c r="AC123" s="166">
        <f ca="1">IF(tblData[[#This Row],[Dates]]&lt;=StartDt2US,"",tblData[[#This Row],[Dates]]-USStart)</f>
        <v>154</v>
      </c>
      <c r="AD123" s="166">
        <f>IF(tblData[[#This Row],[Dates]]&lt;=SKoreaStart,"",tblData[[#This Row],[Dates]]-SKoreaStart)</f>
        <v>154</v>
      </c>
      <c r="AE123" s="166">
        <f ca="1">IF(tblData[[#This Row],[Dates]]&lt;=StartDt2UK,"",tblData[[#This Row],[Dates]]-UKStart)</f>
        <v>146</v>
      </c>
      <c r="AF123" s="166">
        <f ca="1">IF(tblData[[#This Row],[Dates]]&lt;StartDt2Singapore,"",tblData[[#This Row],[Dates]]-SingaporeStart)</f>
        <v>153</v>
      </c>
      <c r="AG123" s="166">
        <f>IF(tblData[[#This Row],[Dates]]&lt;StartDt2Generic,"",tblData[[#This Row],[Dates]]-GenericStart)</f>
        <v>116</v>
      </c>
      <c r="AH123" s="166">
        <f ca="1">IF(tblData[Dates]&gt;StartDt2Au,tblData[Dates]-AuStart,"")</f>
        <v>151</v>
      </c>
      <c r="AI123" s="25" t="str">
        <f>IF(AND(COUNTBLANK(tblData[[#This Row],[Australian Capital Territory]:[Western Australia]])&lt;1,tblData[New South Wales]&gt;=0),SUM(tblData[[#This Row],[Australian Capital Territory]:[Western Australia]]),"")</f>
        <v/>
      </c>
      <c r="AJ123" s="166" t="str">
        <f>IF(ISNUMBER(tblData[Au]),tblData[Au]/AuPopScale,"")</f>
        <v/>
      </c>
      <c r="AK123" s="11">
        <f ca="1">IF(ISNUMBER(tblData[[#This Row],[Day'# Aust]]),betaAu/(deltaAu+betaPodeltaAu*EXP(-betaAu*tblData[[#This Row],[Day'# Aust]])),"")</f>
        <v>6643.780012353378</v>
      </c>
      <c r="AL123" s="56">
        <f ca="1">IF(ISNUMBER(tblData[Day'# Aust]),tblData[Au LogiP(t)]/AuPopScale,"")</f>
        <v>2619.3739206565911</v>
      </c>
      <c r="AM123" s="11" t="str">
        <f ca="1">IF(AND(tblData[Dates]&gt;StartDt2Au,ISNUMBER(tblData[Au])),(tblData[[#This Row],[Au LogiP(t)]]-tblData[[#This Row],[Au]])^2,"")</f>
        <v/>
      </c>
      <c r="AN123" s="11" t="str">
        <f ca="1">IF(AND(ISNUMBER(tblData[Au]),tblData[Dates]&gt;StartDt2Au),(tblData[Au]-AVERAGE(tblData[Au]))^2,"")</f>
        <v/>
      </c>
      <c r="AO123" s="11">
        <f>tblData[[#This Row],[Dates]]-Au100dt</f>
        <v>101</v>
      </c>
      <c r="AP123" s="166">
        <f ca="1">IF(tblData[Dates]&gt;StartDt2NSW,tblData[Dates]-StartDt2NSW,"")</f>
        <v>151</v>
      </c>
      <c r="AQ123" s="166" t="str">
        <f>IF(tblData[[#This Row],[New South Wales]]&gt;0,tblData[[#This Row],[New South Wales]],"")</f>
        <v/>
      </c>
      <c r="AR123" s="11">
        <f ca="1">IF(tblData[Dates]&gt;StartDt2NSW,betaNSW/(deltaNSW+betaPodeltaNSW*EXP(-betaNSW*tblData[[#This Row],[Day '# NSW]])),"")</f>
        <v>2973.5877017826583</v>
      </c>
      <c r="AS123" s="12" t="str">
        <f ca="1">IF(AND(ISNUMBER(tblData[NSW]),tblData[Dates]&gt;StartDt2NSW),(tblData[[#This Row],[NSW LogiP(t)]]-tblData[[#This Row],[NSW]])^2,"")</f>
        <v/>
      </c>
      <c r="AT123" s="12">
        <f ca="1">IF(AND(tblData[Dates]&gt;StartDt2NSW,ISNUMBER(tblData[Day'# Aust])),tblData[NSW LogiP(t)]/NSWpopscale,"")</f>
        <v>3680.1827992359631</v>
      </c>
      <c r="AU123" s="11">
        <f>tblData[[#This Row],[Dates]]-NSW100dt+1</f>
        <v>104</v>
      </c>
      <c r="AV123" s="11" t="str">
        <f ca="1">IF(AND(ISNUMBER(tblData[NSW]),tblData[Dates]&gt;StartDt2NSW),(tblData[NSW]-AVERAGE(tblData[NSW]))^2,"")</f>
        <v/>
      </c>
      <c r="AW123" s="11">
        <f ca="1">IF(AND(tblData[Dates]&gt;StartDt2Italy,ISNUMBER(tblData[Days'# Italy])),betaItaly/(deltaItaly+betaPodeltaItaly*EXP(-betaItaly*tblData[Days'# Italy])),"")</f>
        <v>161385.07926519887</v>
      </c>
      <c r="AX123" s="11" t="str">
        <f ca="1">IF(AND(tblData[Dates]&gt;StartDt2Italy,ISNUMBER(tblData[Italy])),(tblData[[#This Row],[Italy LogiP(t)]]-tblData[[#This Row],[Italy]])^2,"")</f>
        <v/>
      </c>
      <c r="AY123" s="11">
        <f ca="1">IF(AND(tblData[Dates]&gt;StartDt2Italy,ISNUMBER(tblData[Days'# Italy])),tblData[[#This Row],[Italy LogiP(t)]]/ItalyPopscale,"")</f>
        <v>26681.835044258722</v>
      </c>
      <c r="AZ123" s="11" t="str">
        <f ca="1">IF(AND(ISNUMBER(tblData[Italy]),tblData[Dates]&gt;StartDt2Italy),(tblData[Italy]-AVERAGE(tblData[Italy]))^2,"")</f>
        <v/>
      </c>
      <c r="BA123" s="11">
        <f>tblData[[#This Row],[Dates]]-Italy100dt+1</f>
        <v>119</v>
      </c>
      <c r="BB123" s="11">
        <f ca="1">IF(AND(tblData[Dates]&gt;StartDt2US,ISNUMBER(tblData[[#This Row],[Days'# US]])),betaUS/(deltaUS+betaPodeltaUS*EXP(-betaUS*tblData[Days'# US])),"")</f>
        <v>813399.6647035291</v>
      </c>
      <c r="BC123" s="11" t="str">
        <f ca="1">IF(AND(tblData[Dates]&gt;StartDt2US,ISNUMBER(tblData[US])),(tblData[[#This Row],[US LogiP(t)]]-tblData[US])^2,"")</f>
        <v/>
      </c>
      <c r="BD123" s="20">
        <f ca="1">IF(AND(tblData[Dates]&gt;=StartDt2US,ISNUMBER(tblData[[#This Row],[Days'# US]])),tblData[[#This Row],[US LogiP(t)]]/USPopscale,"")</f>
        <v>24706.291452833055</v>
      </c>
      <c r="BE123" s="126" t="str">
        <f ca="1">IF(AND(ISNUMBER(tblData[US]),tblData[Dates]&gt;StartDt2US),(tblData[US]-AVERAGE(tblData[US]))^2,"")</f>
        <v/>
      </c>
      <c r="BF123" s="11">
        <f>tblData[[#This Row],[Dates]]-US100dt+1</f>
        <v>102</v>
      </c>
      <c r="BG123" s="11">
        <f ca="1">IF(tblData[Dates]&gt;StartDt2SKorea,betaSKorea/(deltaSKorea+betaPodeltaSKorea*EXP(-betaSKorea*(tblData[Dates]-StartDt2SKorea))),"")</f>
        <v>10234.192634585779</v>
      </c>
      <c r="BH123" s="20" t="str">
        <f ca="1">IF(AND(tblData[Dates]&gt;StartDt2SKorea,ISNUMBER(tblData[SKorea])),(tblData[[#This Row],[SKorea LogiP(t)]]-tblData[[#This Row],[SKorea]])^2,"")</f>
        <v/>
      </c>
      <c r="BI123" s="11">
        <f ca="1">IF(tblData[Dates]&gt;StartDt2SKorea,tblData[[#This Row],[SKorea LogiP(t)]]/SKoreaPopscale,"")</f>
        <v>1991.0880612034591</v>
      </c>
      <c r="BJ123" s="11" t="str">
        <f ca="1">IF(AND(ISNUMBER(tblData[SKorea]),tblData[Dates]&gt;StartDt2SKorea),(tblData[SKorea]-AVERAGE(tblData[SKorea]))^2,"")</f>
        <v/>
      </c>
      <c r="BK123" s="20">
        <f>tblData[[#This Row],[Dates]]-SKorea100dt+1</f>
        <v>123</v>
      </c>
      <c r="BL123" s="11">
        <f ca="1">IF(AND(tblData[Dates]&gt;StartDt2UK,ISNUMBER(tblData[Days'# UK])),betaUK/(deltaUK+betaPodeltaUK*EXP(-betaUK*tblData[Days'# UK])),"")</f>
        <v>142830.51891935841</v>
      </c>
      <c r="BM123" s="11" t="str">
        <f ca="1">IF(AND(tblData[Dates]&gt;StartDt2UK,ISNUMBER(tblData[United Kingdom])),(tblData[[#This Row],[UK LogiP(t)]]-tblData[[#This Row],[United Kingdom]])^2,"")</f>
        <v/>
      </c>
      <c r="BN123" s="11">
        <f ca="1">IF(ISNUMBER(tblData[Days'# UK]),tblData[[#This Row],[UK LogiP(t)]]/UKPopscale,"")</f>
        <v>21497.669915616858</v>
      </c>
      <c r="BO123" s="11" t="str">
        <f ca="1">IF(AND(ISNUMBER(tblData[United Kingdom]),tblData[Dates]&gt;StartDt2UK),(tblData[United Kingdom]-AVERAGE(tblData[United Kingdom]))^2,"")</f>
        <v/>
      </c>
      <c r="BP123" s="11">
        <f>tblData[[#This Row],[Dates]]-UK100dt</f>
        <v>104</v>
      </c>
      <c r="BQ123" s="11">
        <f ca="1">IF(ISNUMBER(tblData[Days'# China]),betaChina/(deltaChina+betaPodeltaChina*EXP(-betaChina*tblData[Days'# China])),"")</f>
        <v>82125.160530327455</v>
      </c>
      <c r="BR123" s="11" t="str">
        <f>IF(ISNUMBER(tblData[China]),(tblData[[#This Row],[China LogiP(t)]]-tblData[[#This Row],[China]])^2,"")</f>
        <v/>
      </c>
      <c r="BS123" s="11">
        <f ca="1">tblData[[#This Row],[China LogiP(t)]]/ChinaPopscale</f>
        <v>570.58155989446709</v>
      </c>
      <c r="BT123" s="11" t="str">
        <f ca="1">IF(AND(ISNUMBER(tblData[China]),tblData[Dates]&gt;StartDt2China),(tblData[China]-AVERAGE(tblData[China]))^2,"")</f>
        <v/>
      </c>
      <c r="BU123" s="11">
        <f>tblData[[#This Row],[Dates]]-China100dt</f>
        <v>143</v>
      </c>
      <c r="BV123" s="95">
        <f ca="1">IF(ISNUMBER(tblData[Day'# Singapore]),betaSingapore/(deltaSingapore+betaPodeltaSingapore*EXP(-betaSingapore*tblData[Day'# Singapore])),"")</f>
        <v>35472.033787604392</v>
      </c>
      <c r="BW123" s="11" t="str">
        <f ca="1">IF(AND(ISNUMBER(tblData[Singapore]),tblData[Dates]&gt;=StartDt2Singapore),(tblData[[#This Row],[Singapore LogiP(t)]]-tblData[[#This Row],[Singapore]])^2,"")</f>
        <v/>
      </c>
      <c r="BX123" s="20">
        <f ca="1">IF(ISNUMBER(tblData[Day'# Singapore]),tblData[Singapore LogiP(t)]/SingaporePopscale,"")</f>
        <v>60635.955192486144</v>
      </c>
      <c r="BY123" s="95" t="str">
        <f ca="1">IF(AND(ISNUMBER(tblData[Singapore]),tblData[Dates]&gt;StartDt2Singapore),(tblData[Singapore]-AVERAGE(tblData[Singapore]))^2,"")</f>
        <v/>
      </c>
      <c r="BZ123" s="11">
        <f>tblData[[#This Row],[Dates]]-Singapore100dt+1</f>
        <v>132</v>
      </c>
      <c r="CA123" s="11">
        <f>IF(AND(tblData[Dates]&gt;StartDt2Generic,ISNUMBER(tblData[Day'# Generic])),betaGeneric/(deltaGeneric+betaPodeltaGeneric*EXP(-betaGeneric*tblData[Day'# Generic])),"")</f>
        <v>25414.170005342621</v>
      </c>
      <c r="CB123" s="95" t="str">
        <f>IF(AND(ISNUMBER(tblData[Generic]),tblData[Dates]&gt;StartDt2Generic),(tblData[Generic LogiP(t)]-tblData[[#This Row],[Generic]])^2,"")</f>
        <v/>
      </c>
      <c r="CC123" s="11">
        <f>IF(AND(ISNUMBER(tblData[Day'# Generic]),tblData[Dates]&gt;StartDt2Generic),tblData[Generic LogiP(t)]/GenericPopscale,"")</f>
        <v>51865.653072127796</v>
      </c>
      <c r="CD123" s="11" t="str">
        <f>IF(AND(ISNUMBER(tblData[Generic]),tblData[Dates]&gt;StartDt2Generic),(tblData[Generic]-AVERAGE(tblData[Generic]))^2,"")</f>
        <v/>
      </c>
      <c r="CE123" s="11">
        <f>tblData[[#This Row],[Dates]]-Generic100dt+1</f>
        <v>104</v>
      </c>
      <c r="CF123" s="11"/>
      <c r="CG123" s="11"/>
      <c r="CH123" s="11" t="str">
        <f>IF(ISNUMBER(tblData[[#This Row],[Tests]]),tblData[[#This Row],[Tests]]-CH120,"")</f>
        <v/>
      </c>
      <c r="CI123" s="11" t="str">
        <f>IF(ISNUMBER(tblData[[#This Row],[NSW Under Investigation'']]),tblData[[#This Row],[NSW Under Investigation'']]-CG120,"")</f>
        <v/>
      </c>
      <c r="CJ123" s="11"/>
      <c r="CK123" s="11" t="str">
        <f>IF(AND(tblData[[#This Row],[NSW Test Day Number]]&gt;0,ISNUMBER(tblData[[#This Row],[NSW Test Day Number]])),betaTests/(deltaTests+betaPodeltaTests*EXP(-betaTests*tblData[[#This Row],[NSW Test Day Number]])),"")</f>
        <v/>
      </c>
      <c r="CL123" s="11" t="str">
        <f>IF(tblData[Tests]&gt;0,(tblData[[#This Row],[Tests]]-tblData[[#This Row],[NSW Test Logi]])^2,"")</f>
        <v/>
      </c>
      <c r="CM123" s="95" t="str">
        <f>IF(AND(ISNUMBER(tblData[Tests]),tblData[Dates]&gt;StartDt2Tests),(tblData[Tests]-AVERAGE(tblData[Tests]))^2,"")</f>
        <v/>
      </c>
      <c r="CN123" s="11" t="str">
        <f>IF(ISNUMBER(tblData[Tests]),tblData[Tests]/NSWpopscale/100,"")</f>
        <v/>
      </c>
      <c r="CO123" s="95" t="str">
        <f>IF(AND(tblData[[#This Row],[NSW Test Day Number]]&gt;0,ISNUMBER(tblData[[#This Row],[NSW Test Day Number]])),TestsLogestB*TestsLogestM^tblData[[#This Row],[NSW Test Day Number]],"")</f>
        <v/>
      </c>
      <c r="CP123" s="11" t="str">
        <f>IF(AND(tblData[[#This Row],[NSW Test Day Number]]&gt;0,ISNUMBER(tblData[Tests])),(tblData[Tests]-tblData[[#This Row],[NSW Test Per Capita]])^2,"")</f>
        <v/>
      </c>
      <c r="CQ123" s="20">
        <f ca="1">IF(AND(tblData[Day '# NSW]&gt;0,ISNUMBER(tblData[[#This Row],[Day '# NSW]])),NSWLogestB*NSWLogestM^tblData[[#This Row],[Day '# NSW]]/NSWpopscale,"")</f>
        <v>2875053.7422113339</v>
      </c>
      <c r="CR123" s="39" t="str">
        <f ca="1">IF(AND(ISNUMBER(tblData[NSW]),tblData[Dates]&gt;StartDt2NSW),(tblData[NSW]/NSWpopscale-tblData[[#This Row],[NSW Cases LogEst]])^2,"")</f>
        <v/>
      </c>
      <c r="CS123" s="39"/>
      <c r="CT123" s="19" t="str">
        <f>IF(ISNUMBER(tblData[Taiwan]),tblData[Taiwan]/TaiwanPopscale,"")</f>
        <v/>
      </c>
      <c r="CU123" s="39">
        <f ca="1">IF(tblData[[#This Row],[Dates]]&lt;StartDt2Taiwan,"",tblData[[#This Row],[Dates]]-TaiwanStart)</f>
        <v>154</v>
      </c>
      <c r="CV123" s="19">
        <f ca="1">IF(AND(tblData[Dates]&gt;StartDt2Taiwan,ISNUMBER(tblData[Days'# Taiwan])),betaTaiwan/(deltaTaiwan+betaPodeltaTaiwan*EXP(-betaTaiwan*tblData[Days'# Taiwan])),"")</f>
        <v>426.22608124544763</v>
      </c>
      <c r="CW123" s="39" t="str">
        <f ca="1">IF(AND(tblData[Dates]&gt;StartDt2Taiwan,ISNUMBER(tblData[Taiwan])),(tblData[[#This Row],[Taiwan LogiP(t)]]-tblData[[#This Row],[Taiwan]])^2,"")</f>
        <v/>
      </c>
      <c r="CX123" s="20">
        <f ca="1">IF(AND(tblData[Dates]&gt;StartDt2Taiwan,ISNUMBER(tblData[Days'# Taiwan])),tblData[[#This Row],[Taiwan LogiP(t)]]/TaiwanPopscale,"")</f>
        <v>179.0318110422885</v>
      </c>
      <c r="CY123" s="39" t="str">
        <f ca="1">IF(AND(ISNUMBER(tblData[Taiwan]),tblData[Dates]&gt;StartDt2Taiwan),(tblData[Taiwan]-AVERAGE(tblData[Taiwan]))^2,"")</f>
        <v/>
      </c>
      <c r="CZ123" s="11">
        <f>tblData[[#This Row],[Dates]]-Taiwan100dt+1</f>
        <v>91</v>
      </c>
      <c r="DA123" s="39"/>
      <c r="DB123" s="20" t="str">
        <f>IF(ISNUMBER(tblData[NZ]),tblData[NZ]/NZPopscale,"")</f>
        <v/>
      </c>
      <c r="DC123" s="11">
        <f ca="1">IF(tblData[[#This Row],[Dates]]&lt;StartDt2NZ,"",tblData[[#This Row],[Dates]]-NZStart)</f>
        <v>117</v>
      </c>
      <c r="DD123" s="20">
        <f ca="1">IF(AND(tblData[Dates]&gt;StartDt2NZ,ISNUMBER(tblData[Days'# NZ])),betaNZ/(deltaNZ+betaPodeltaNZ*EXP(-betaNZ*tblData[Days'# NZ])),"")</f>
        <v>1461.1032006580886</v>
      </c>
      <c r="DE123" s="95" t="str">
        <f ca="1">IF(AND(tblData[Dates]&gt;StartDt2NZ,ISNUMBER(tblData[NZ])),(tblData[[#This Row],[NZ LogiP(t)]]-tblData[[#This Row],[NZ]])^2,"")</f>
        <v/>
      </c>
      <c r="DF123" s="20">
        <f ca="1">IF(AND(tblData[Dates]&gt;StartDt2NZ,ISNUMBER(tblData[Days'# NZ])),tblData[[#This Row],[NZ LogiP(t)]]/NZPopscale,"")</f>
        <v>2793.696368371106</v>
      </c>
      <c r="DG123" s="95" t="str">
        <f ca="1">IF(AND(ISNUMBER(tblData[NZ]),tblData[Dates]&gt;StartDt2NZ),(tblData[NZ]-AVERAGE(tblData[NZ]))^2,"")</f>
        <v/>
      </c>
      <c r="DH123" s="11">
        <f>tblData[[#This Row],[Dates]]-NZ100dt+1</f>
        <v>95</v>
      </c>
      <c r="DL123"/>
      <c r="DM123"/>
      <c r="DN123"/>
      <c r="DP123"/>
      <c r="DQ123"/>
      <c r="DR123"/>
      <c r="DS123"/>
      <c r="DV123"/>
      <c r="DX123"/>
      <c r="DY123"/>
      <c r="DZ123"/>
      <c r="EA123"/>
      <c r="EB123"/>
      <c r="EC123"/>
      <c r="ED123"/>
      <c r="EE123"/>
      <c r="EF123"/>
      <c r="EG123"/>
      <c r="FE123"/>
      <c r="FO123" s="265" t="s">
        <v>58</v>
      </c>
      <c r="FP123" s="250"/>
      <c r="FQ123" s="243">
        <v>43860</v>
      </c>
      <c r="FR123" s="26"/>
      <c r="FS123" s="211">
        <v>2</v>
      </c>
      <c r="FT123" s="22">
        <v>0.26295149930522799</v>
      </c>
      <c r="FU123" s="24">
        <v>7.2323673251486775E-6</v>
      </c>
      <c r="FV123" s="21">
        <v>0.43947505980618701</v>
      </c>
      <c r="FW123" s="212">
        <v>36357.597379060448</v>
      </c>
      <c r="FX123" s="212">
        <v>403.75439893608279</v>
      </c>
      <c r="FY123" s="212"/>
      <c r="FZ123" s="212">
        <v>0.59832364770853697</v>
      </c>
      <c r="GA123" s="213">
        <v>7.2323673251486779E-3</v>
      </c>
      <c r="GB123" s="246">
        <v>43905</v>
      </c>
      <c r="GC123" s="26" t="s">
        <v>457</v>
      </c>
      <c r="GD123" s="212"/>
      <c r="GE123" s="212"/>
      <c r="GG123" s="156"/>
      <c r="GI123" s="18"/>
      <c r="GN123" s="20"/>
      <c r="GO123" s="156"/>
      <c r="GP123" s="218"/>
      <c r="GQ123" s="156"/>
      <c r="GR123" s="23"/>
      <c r="GT123" s="11"/>
      <c r="GU123" s="12"/>
      <c r="GV123" s="26"/>
      <c r="GX123" s="219"/>
      <c r="GY123"/>
      <c r="GZ123"/>
      <c r="HA123"/>
      <c r="HB123"/>
      <c r="HC123"/>
      <c r="HD123"/>
      <c r="HE123"/>
      <c r="HF123"/>
      <c r="HG123"/>
      <c r="HH123"/>
      <c r="HI123"/>
      <c r="HJ123"/>
      <c r="HK123" s="164"/>
      <c r="HL123"/>
      <c r="HM123"/>
      <c r="HN123"/>
      <c r="HO123"/>
      <c r="HP123"/>
      <c r="HQ123"/>
      <c r="HR123"/>
      <c r="HS123"/>
      <c r="HT123"/>
      <c r="HU123"/>
      <c r="HV123"/>
    </row>
    <row r="124" spans="2:244" s="25" customFormat="1" x14ac:dyDescent="0.25">
      <c r="B124" s="26">
        <f t="shared" si="5"/>
        <v>44013</v>
      </c>
      <c r="L124" s="11" t="str">
        <f>IF(ISNUMBER(tblData[[#This Row],[NSW]]),tblData[[#This Row],[New South Wales]]/NSWpopscale,"")</f>
        <v/>
      </c>
      <c r="N124" s="20" t="str">
        <f>IF(ISNUMBER(tblData[Italy]),tblData[Italy]/ItalyPopscale,"")</f>
        <v/>
      </c>
      <c r="P124" s="20" t="str">
        <f>IF(ISNUMBER(tblData[US]),tblData[US]/USPopscale,"")</f>
        <v/>
      </c>
      <c r="Q124" s="44"/>
      <c r="R124" s="20" t="str">
        <f>IF(ISNUMBER(tblData[SKorea]),tblData[SKorea]/SKoreaPopscale,"")</f>
        <v/>
      </c>
      <c r="S124" s="44"/>
      <c r="T124" s="12" t="str">
        <f>IF(ISNUMBER(tblData[United Kingdom]),tblData[United Kingdom]/UKPopscale,"")</f>
        <v/>
      </c>
      <c r="V124" s="20" t="str">
        <f>IF(ISNUMBER(tblData[China]),tblData[China]/ChinaPopscale,"")</f>
        <v/>
      </c>
      <c r="W124" s="25">
        <f ca="1">IF(tblData[[#This Row],[Dates]]&lt;StartDt2China,"",tblData[[#This Row],[Dates]]-ChinaStart)</f>
        <v>161</v>
      </c>
      <c r="X124" s="20"/>
      <c r="Y124" s="20" t="str">
        <f>IF(ISNUMBER(tblData[Singapore]),tblData[Singapore]/SingaporePopscale,"")</f>
        <v/>
      </c>
      <c r="Z124" s="20"/>
      <c r="AA124" s="20" t="str">
        <f>IF(AND(LEN(tblData[Generic])&gt;0,ISNUMBER(tblData[Generic])),tblData[Generic]/GenericPopscale,"")</f>
        <v/>
      </c>
      <c r="AB124" s="166">
        <f ca="1">IF(tblData[[#This Row],[Dates]]&lt;StartDt2Italy,"",tblData[[#This Row],[Dates]]-ItalyStart)</f>
        <v>153</v>
      </c>
      <c r="AC124" s="166">
        <f ca="1">IF(tblData[[#This Row],[Dates]]&lt;=StartDt2US,"",tblData[[#This Row],[Dates]]-USStart)</f>
        <v>161</v>
      </c>
      <c r="AD124" s="166">
        <f>IF(tblData[[#This Row],[Dates]]&lt;=SKoreaStart,"",tblData[[#This Row],[Dates]]-SKoreaStart)</f>
        <v>161</v>
      </c>
      <c r="AE124" s="166">
        <f ca="1">IF(tblData[[#This Row],[Dates]]&lt;=StartDt2UK,"",tblData[[#This Row],[Dates]]-UKStart)</f>
        <v>153</v>
      </c>
      <c r="AF124" s="166">
        <f ca="1">IF(tblData[[#This Row],[Dates]]&lt;StartDt2Singapore,"",tblData[[#This Row],[Dates]]-SingaporeStart)</f>
        <v>160</v>
      </c>
      <c r="AG124" s="166">
        <f>IF(tblData[[#This Row],[Dates]]&lt;StartDt2Generic,"",tblData[[#This Row],[Dates]]-GenericStart)</f>
        <v>123</v>
      </c>
      <c r="AH124" s="166">
        <f ca="1">IF(tblData[Dates]&gt;StartDt2Au,tblData[Dates]-AuStart,"")</f>
        <v>158</v>
      </c>
      <c r="AI124" s="25" t="str">
        <f>IF(AND(COUNTBLANK(tblData[[#This Row],[Australian Capital Territory]:[Western Australia]])&lt;1,tblData[New South Wales]&gt;=0),SUM(tblData[[#This Row],[Australian Capital Territory]:[Western Australia]]),"")</f>
        <v/>
      </c>
      <c r="AJ124" s="166" t="str">
        <f>IF(ISNUMBER(tblData[Au]),tblData[Au]/AuPopScale,"")</f>
        <v/>
      </c>
      <c r="AK124" s="11">
        <f ca="1">IF(ISNUMBER(tblData[[#This Row],[Day'# Aust]]),betaAu/(deltaAu+betaPodeltaAu*EXP(-betaAu*tblData[[#This Row],[Day'# Aust]])),"")</f>
        <v>6643.7800233549615</v>
      </c>
      <c r="AL124" s="56">
        <f ca="1">IF(ISNUMBER(tblData[Day'# Aust]),tblData[Au LogiP(t)]/AuPopScale,"")</f>
        <v>2619.3739249940709</v>
      </c>
      <c r="AM124" s="11" t="str">
        <f ca="1">IF(AND(tblData[Dates]&gt;StartDt2Au,ISNUMBER(tblData[Au])),(tblData[[#This Row],[Au LogiP(t)]]-tblData[[#This Row],[Au]])^2,"")</f>
        <v/>
      </c>
      <c r="AN124" s="11" t="str">
        <f ca="1">IF(AND(ISNUMBER(tblData[Au]),tblData[Dates]&gt;StartDt2Au),(tblData[Au]-AVERAGE(tblData[Au]))^2,"")</f>
        <v/>
      </c>
      <c r="AO124" s="11">
        <f>tblData[[#This Row],[Dates]]-Au100dt</f>
        <v>108</v>
      </c>
      <c r="AP124" s="166">
        <f ca="1">IF(tblData[Dates]&gt;StartDt2NSW,tblData[Dates]-StartDt2NSW,"")</f>
        <v>158</v>
      </c>
      <c r="AQ124" s="166" t="str">
        <f>IF(tblData[[#This Row],[New South Wales]]&gt;0,tblData[[#This Row],[New South Wales]],"")</f>
        <v/>
      </c>
      <c r="AR124" s="11">
        <f ca="1">IF(tblData[Dates]&gt;StartDt2NSW,betaNSW/(deltaNSW+betaPodeltaNSW*EXP(-betaNSW*tblData[[#This Row],[Day '# NSW]])),"")</f>
        <v>2973.5877042756638</v>
      </c>
      <c r="AS124" s="12" t="str">
        <f ca="1">IF(AND(ISNUMBER(tblData[NSW]),tblData[Dates]&gt;StartDt2NSW),(tblData[[#This Row],[NSW LogiP(t)]]-tblData[[#This Row],[NSW]])^2,"")</f>
        <v/>
      </c>
      <c r="AT124" s="12">
        <f ca="1">IF(AND(tblData[Dates]&gt;StartDt2NSW,ISNUMBER(tblData[Day'# Aust])),tblData[NSW LogiP(t)]/NSWpopscale,"")</f>
        <v>3680.1828023213657</v>
      </c>
      <c r="AU124" s="11">
        <f>tblData[[#This Row],[Dates]]-NSW100dt+1</f>
        <v>111</v>
      </c>
      <c r="AV124" s="11" t="str">
        <f ca="1">IF(AND(ISNUMBER(tblData[NSW]),tblData[Dates]&gt;StartDt2NSW),(tblData[NSW]-AVERAGE(tblData[NSW]))^2,"")</f>
        <v/>
      </c>
      <c r="AW124" s="11">
        <f ca="1">IF(AND(tblData[Dates]&gt;StartDt2Italy,ISNUMBER(tblData[Days'# Italy])),betaItaly/(deltaItaly+betaPodeltaItaly*EXP(-betaItaly*tblData[Days'# Italy])),"")</f>
        <v>161385.07926951419</v>
      </c>
      <c r="AX124" s="11" t="str">
        <f ca="1">IF(AND(tblData[Dates]&gt;StartDt2Italy,ISNUMBER(tblData[Italy])),(tblData[[#This Row],[Italy LogiP(t)]]-tblData[[#This Row],[Italy]])^2,"")</f>
        <v/>
      </c>
      <c r="AY124" s="11">
        <f ca="1">IF(AND(tblData[Dates]&gt;StartDt2Italy,ISNUMBER(tblData[Days'# Italy])),tblData[[#This Row],[Italy LogiP(t)]]/ItalyPopscale,"")</f>
        <v>26681.835044972173</v>
      </c>
      <c r="AZ124" s="11" t="str">
        <f ca="1">IF(AND(ISNUMBER(tblData[Italy]),tblData[Dates]&gt;StartDt2Italy),(tblData[Italy]-AVERAGE(tblData[Italy]))^2,"")</f>
        <v/>
      </c>
      <c r="BA124" s="11">
        <f>tblData[[#This Row],[Dates]]-Italy100dt+1</f>
        <v>126</v>
      </c>
      <c r="BB124" s="11">
        <f ca="1">IF(AND(tblData[Dates]&gt;StartDt2US,ISNUMBER(tblData[[#This Row],[Days'# US]])),betaUS/(deltaUS+betaPodeltaUS*EXP(-betaUS*tblData[Days'# US])),"")</f>
        <v>813399.66476346122</v>
      </c>
      <c r="BC124" s="11" t="str">
        <f ca="1">IF(AND(tblData[Dates]&gt;StartDt2US,ISNUMBER(tblData[US])),(tblData[[#This Row],[US LogiP(t)]]-tblData[US])^2,"")</f>
        <v/>
      </c>
      <c r="BD124" s="20">
        <f ca="1">IF(AND(tblData[Dates]&gt;=StartDt2US,ISNUMBER(tblData[[#This Row],[Days'# US]])),tblData[[#This Row],[US LogiP(t)]]/USPopscale,"")</f>
        <v>24706.291454653438</v>
      </c>
      <c r="BE124" s="126" t="str">
        <f ca="1">IF(AND(ISNUMBER(tblData[US]),tblData[Dates]&gt;StartDt2US),(tblData[US]-AVERAGE(tblData[US]))^2,"")</f>
        <v/>
      </c>
      <c r="BF124" s="11">
        <f>tblData[[#This Row],[Dates]]-US100dt+1</f>
        <v>109</v>
      </c>
      <c r="BG124" s="11">
        <f ca="1">IF(tblData[Dates]&gt;StartDt2SKorea,betaSKorea/(deltaSKorea+betaPodeltaSKorea*EXP(-betaSKorea*(tblData[Dates]-StartDt2SKorea))),"")</f>
        <v>10234.192654559922</v>
      </c>
      <c r="BH124" s="20" t="str">
        <f ca="1">IF(AND(tblData[Dates]&gt;StartDt2SKorea,ISNUMBER(tblData[SKorea])),(tblData[[#This Row],[SKorea LogiP(t)]]-tblData[[#This Row],[SKorea]])^2,"")</f>
        <v/>
      </c>
      <c r="BI124" s="11">
        <f ca="1">IF(tblData[Dates]&gt;StartDt2SKorea,tblData[[#This Row],[SKorea LogiP(t)]]/SKoreaPopscale,"")</f>
        <v>1991.088065089479</v>
      </c>
      <c r="BJ124" s="11" t="str">
        <f ca="1">IF(AND(ISNUMBER(tblData[SKorea]),tblData[Dates]&gt;StartDt2SKorea),(tblData[SKorea]-AVERAGE(tblData[SKorea]))^2,"")</f>
        <v/>
      </c>
      <c r="BK124" s="20">
        <f>tblData[[#This Row],[Dates]]-SKorea100dt+1</f>
        <v>130</v>
      </c>
      <c r="BL124" s="11">
        <f ca="1">IF(AND(tblData[Dates]&gt;StartDt2UK,ISNUMBER(tblData[Days'# UK])),betaUK/(deltaUK+betaPodeltaUK*EXP(-betaUK*tblData[Days'# UK])),"")</f>
        <v>142830.52436313941</v>
      </c>
      <c r="BM124" s="11" t="str">
        <f ca="1">IF(AND(tblData[Dates]&gt;StartDt2UK,ISNUMBER(tblData[United Kingdom])),(tblData[[#This Row],[UK LogiP(t)]]-tblData[[#This Row],[United Kingdom]])^2,"")</f>
        <v/>
      </c>
      <c r="BN124" s="11">
        <f ca="1">IF(ISNUMBER(tblData[Days'# UK]),tblData[[#This Row],[UK LogiP(t)]]/UKPopscale,"")</f>
        <v>21497.670734969808</v>
      </c>
      <c r="BO124" s="11" t="str">
        <f ca="1">IF(AND(ISNUMBER(tblData[United Kingdom]),tblData[Dates]&gt;StartDt2UK),(tblData[United Kingdom]-AVERAGE(tblData[United Kingdom]))^2,"")</f>
        <v/>
      </c>
      <c r="BP124" s="11">
        <f>tblData[[#This Row],[Dates]]-UK100dt</f>
        <v>111</v>
      </c>
      <c r="BQ124" s="11">
        <f ca="1">IF(ISNUMBER(tblData[Days'# China]),betaChina/(deltaChina+betaPodeltaChina*EXP(-betaChina*tblData[Days'# China])),"")</f>
        <v>82125.160530333087</v>
      </c>
      <c r="BR124" s="11" t="str">
        <f>IF(ISNUMBER(tblData[China]),(tblData[[#This Row],[China LogiP(t)]]-tblData[[#This Row],[China]])^2,"")</f>
        <v/>
      </c>
      <c r="BS124" s="11">
        <f ca="1">tblData[[#This Row],[China LogiP(t)]]/ChinaPopscale</f>
        <v>570.5815598945062</v>
      </c>
      <c r="BT124" s="11" t="str">
        <f ca="1">IF(AND(ISNUMBER(tblData[China]),tblData[Dates]&gt;StartDt2China),(tblData[China]-AVERAGE(tblData[China]))^2,"")</f>
        <v/>
      </c>
      <c r="BU124" s="11">
        <f>tblData[[#This Row],[Dates]]-China100dt</f>
        <v>150</v>
      </c>
      <c r="BV124" s="95">
        <f ca="1">IF(ISNUMBER(tblData[Day'# Singapore]),betaSingapore/(deltaSingapore+betaPodeltaSingapore*EXP(-betaSingapore*tblData[Day'# Singapore])),"")</f>
        <v>35499.211437670434</v>
      </c>
      <c r="BW124" s="11" t="str">
        <f ca="1">IF(AND(ISNUMBER(tblData[Singapore]),tblData[Dates]&gt;=StartDt2Singapore),(tblData[[#This Row],[Singapore LogiP(t)]]-tblData[[#This Row],[Singapore]])^2,"")</f>
        <v/>
      </c>
      <c r="BX124" s="20">
        <f ca="1">IF(ISNUMBER(tblData[Day'# Singapore]),tblData[Singapore LogiP(t)]/SingaporePopscale,"")</f>
        <v>60682.412713966558</v>
      </c>
      <c r="BY124" s="95" t="str">
        <f ca="1">IF(AND(ISNUMBER(tblData[Singapore]),tblData[Dates]&gt;StartDt2Singapore),(tblData[Singapore]-AVERAGE(tblData[Singapore]))^2,"")</f>
        <v/>
      </c>
      <c r="BZ124" s="11">
        <f>tblData[[#This Row],[Dates]]-Singapore100dt+1</f>
        <v>139</v>
      </c>
      <c r="CA124" s="11">
        <f>IF(AND(tblData[Dates]&gt;StartDt2Generic,ISNUMBER(tblData[Day'# Generic])),betaGeneric/(deltaGeneric+betaPodeltaGeneric*EXP(-betaGeneric*tblData[Day'# Generic])),"")</f>
        <v>25416.092010920031</v>
      </c>
      <c r="CB124" s="95" t="str">
        <f>IF(AND(ISNUMBER(tblData[Generic]),tblData[Dates]&gt;StartDt2Generic),(tblData[Generic LogiP(t)]-tblData[[#This Row],[Generic]])^2,"")</f>
        <v/>
      </c>
      <c r="CC124" s="11">
        <f>IF(AND(ISNUMBER(tblData[Day'# Generic]),tblData[Dates]&gt;StartDt2Generic),tblData[Generic LogiP(t)]/GenericPopscale,"")</f>
        <v>51869.575532489856</v>
      </c>
      <c r="CD124" s="11" t="str">
        <f>IF(AND(ISNUMBER(tblData[Generic]),tblData[Dates]&gt;StartDt2Generic),(tblData[Generic]-AVERAGE(tblData[Generic]))^2,"")</f>
        <v/>
      </c>
      <c r="CE124" s="11">
        <f>tblData[[#This Row],[Dates]]-Generic100dt+1</f>
        <v>111</v>
      </c>
      <c r="CF124" s="11"/>
      <c r="CG124" s="11"/>
      <c r="CH124" s="11" t="str">
        <f>IF(ISNUMBER(tblData[[#This Row],[Tests]]),tblData[[#This Row],[Tests]]-CH123,"")</f>
        <v/>
      </c>
      <c r="CI124" s="11" t="str">
        <f>IF(ISNUMBER(tblData[[#This Row],[NSW Under Investigation'']]),tblData[[#This Row],[NSW Under Investigation'']]-CG123,"")</f>
        <v/>
      </c>
      <c r="CJ124" s="11"/>
      <c r="CK124" s="11" t="str">
        <f>IF(AND(tblData[[#This Row],[NSW Test Day Number]]&gt;0,ISNUMBER(tblData[[#This Row],[NSW Test Day Number]])),betaTests/(deltaTests+betaPodeltaTests*EXP(-betaTests*tblData[[#This Row],[NSW Test Day Number]])),"")</f>
        <v/>
      </c>
      <c r="CL124" s="11" t="str">
        <f>IF(tblData[Tests]&gt;0,(tblData[[#This Row],[Tests]]-tblData[[#This Row],[NSW Test Logi]])^2,"")</f>
        <v/>
      </c>
      <c r="CM124" s="95" t="str">
        <f>IF(AND(ISNUMBER(tblData[Tests]),tblData[Dates]&gt;StartDt2Tests),(tblData[Tests]-AVERAGE(tblData[Tests]))^2,"")</f>
        <v/>
      </c>
      <c r="CN124" s="11" t="str">
        <f>IF(ISNUMBER(tblData[Tests]),tblData[Tests]/NSWpopscale/100,"")</f>
        <v/>
      </c>
      <c r="CO124" s="95" t="str">
        <f>IF(AND(tblData[[#This Row],[NSW Test Day Number]]&gt;0,ISNUMBER(tblData[[#This Row],[NSW Test Day Number]])),TestsLogestB*TestsLogestM^tblData[[#This Row],[NSW Test Day Number]],"")</f>
        <v/>
      </c>
      <c r="CP124" s="11" t="str">
        <f>IF(AND(tblData[[#This Row],[NSW Test Day Number]]&gt;0,ISNUMBER(tblData[Tests])),(tblData[Tests]-tblData[[#This Row],[NSW Test Per Capita]])^2,"")</f>
        <v/>
      </c>
      <c r="CQ124" s="20">
        <f ca="1">IF(AND(tblData[Day '# NSW]&gt;0,ISNUMBER(tblData[[#This Row],[Day '# NSW]])),NSWLogestB*NSWLogestM^tblData[[#This Row],[Day '# NSW]]/NSWpopscale,"")</f>
        <v>5636826.7916119136</v>
      </c>
      <c r="CR124" s="39" t="str">
        <f ca="1">IF(AND(ISNUMBER(tblData[NSW]),tblData[Dates]&gt;StartDt2NSW),(tblData[NSW]/NSWpopscale-tblData[[#This Row],[NSW Cases LogEst]])^2,"")</f>
        <v/>
      </c>
      <c r="CS124" s="39"/>
      <c r="CT124" s="19" t="str">
        <f>IF(ISNUMBER(tblData[Taiwan]),tblData[Taiwan]/TaiwanPopscale,"")</f>
        <v/>
      </c>
      <c r="CU124" s="39">
        <f ca="1">IF(tblData[[#This Row],[Dates]]&lt;StartDt2Taiwan,"",tblData[[#This Row],[Dates]]-TaiwanStart)</f>
        <v>161</v>
      </c>
      <c r="CV124" s="19">
        <f ca="1">IF(AND(tblData[Dates]&gt;StartDt2Taiwan,ISNUMBER(tblData[Days'# Taiwan])),betaTaiwan/(deltaTaiwan+betaPodeltaTaiwan*EXP(-betaTaiwan*tblData[Days'# Taiwan])),"")</f>
        <v>426.22645341041891</v>
      </c>
      <c r="CW124" s="39" t="str">
        <f ca="1">IF(AND(tblData[Dates]&gt;StartDt2Taiwan,ISNUMBER(tblData[Taiwan])),(tblData[[#This Row],[Taiwan LogiP(t)]]-tblData[[#This Row],[Taiwan]])^2,"")</f>
        <v/>
      </c>
      <c r="CX124" s="20">
        <f ca="1">IF(AND(tblData[Dates]&gt;StartDt2Taiwan,ISNUMBER(tblData[Days'# Taiwan])),tblData[[#This Row],[Taiwan LogiP(t)]]/TaiwanPopscale,"")</f>
        <v>179.03196736629528</v>
      </c>
      <c r="CY124" s="39" t="str">
        <f ca="1">IF(AND(ISNUMBER(tblData[Taiwan]),tblData[Dates]&gt;StartDt2Taiwan),(tblData[Taiwan]-AVERAGE(tblData[Taiwan]))^2,"")</f>
        <v/>
      </c>
      <c r="CZ124" s="11">
        <f>tblData[[#This Row],[Dates]]-Taiwan100dt+1</f>
        <v>98</v>
      </c>
      <c r="DA124" s="39"/>
      <c r="DB124" s="20" t="str">
        <f>IF(ISNUMBER(tblData[NZ]),tblData[NZ]/NZPopscale,"")</f>
        <v/>
      </c>
      <c r="DC124" s="11">
        <f ca="1">IF(tblData[[#This Row],[Dates]]&lt;StartDt2NZ,"",tblData[[#This Row],[Dates]]-NZStart)</f>
        <v>124</v>
      </c>
      <c r="DD124" s="20">
        <f ca="1">IF(AND(tblData[Dates]&gt;StartDt2NZ,ISNUMBER(tblData[Days'# NZ])),betaNZ/(deltaNZ+betaPodeltaNZ*EXP(-betaNZ*tblData[Days'# NZ])),"")</f>
        <v>1461.1032045521611</v>
      </c>
      <c r="DE124" s="95" t="str">
        <f ca="1">IF(AND(tblData[Dates]&gt;StartDt2NZ,ISNUMBER(tblData[NZ])),(tblData[[#This Row],[NZ LogiP(t)]]-tblData[[#This Row],[NZ]])^2,"")</f>
        <v/>
      </c>
      <c r="DF124" s="20">
        <f ca="1">IF(AND(tblData[Dates]&gt;StartDt2NZ,ISNUMBER(tblData[Days'# NZ])),tblData[[#This Row],[NZ LogiP(t)]]/NZPopscale,"")</f>
        <v>2793.6963758167512</v>
      </c>
      <c r="DG124" s="95" t="str">
        <f ca="1">IF(AND(ISNUMBER(tblData[NZ]),tblData[Dates]&gt;StartDt2NZ),(tblData[NZ]-AVERAGE(tblData[NZ]))^2,"")</f>
        <v/>
      </c>
      <c r="DH124" s="11">
        <f>tblData[[#This Row],[Dates]]-NZ100dt+1</f>
        <v>102</v>
      </c>
      <c r="DL124"/>
      <c r="DM124"/>
      <c r="DN124"/>
      <c r="DP124"/>
      <c r="DQ124"/>
      <c r="DR124"/>
      <c r="DS124"/>
      <c r="DV124"/>
      <c r="DX124"/>
      <c r="DY124"/>
      <c r="DZ124"/>
      <c r="EA124"/>
      <c r="EB124"/>
      <c r="EC124"/>
      <c r="ED124"/>
      <c r="EE124"/>
      <c r="EF124"/>
      <c r="FE124"/>
      <c r="FO124" s="265" t="s">
        <v>58</v>
      </c>
      <c r="FP124" s="250"/>
      <c r="FQ124" s="243">
        <v>43860</v>
      </c>
      <c r="FR124" s="26"/>
      <c r="FS124" s="211">
        <v>2</v>
      </c>
      <c r="FT124" s="22">
        <v>0.26191421074859073</v>
      </c>
      <c r="FU124" s="24">
        <v>6.140019699733307E-6</v>
      </c>
      <c r="FV124" s="21">
        <v>0.44086139601669905</v>
      </c>
      <c r="FW124" s="212">
        <v>42656.90071971056</v>
      </c>
      <c r="FX124" s="212">
        <v>414.31666978327439</v>
      </c>
      <c r="FY124" s="212"/>
      <c r="FZ124" s="212">
        <v>0.59409035632825868</v>
      </c>
      <c r="GA124" s="213">
        <v>6.1400196997333069E-3</v>
      </c>
      <c r="GB124" s="246">
        <v>43906</v>
      </c>
      <c r="GC124" s="26" t="s">
        <v>550</v>
      </c>
      <c r="GD124" s="212"/>
      <c r="GE124" s="212">
        <v>27980</v>
      </c>
      <c r="GF124" s="19" t="s">
        <v>551</v>
      </c>
      <c r="GG124" s="156">
        <v>43906</v>
      </c>
      <c r="GH124" s="25">
        <v>47</v>
      </c>
      <c r="GI124" s="18" t="s">
        <v>552</v>
      </c>
      <c r="GK124" s="25" t="s">
        <v>553</v>
      </c>
      <c r="GN124" s="20"/>
      <c r="GO124" s="156"/>
      <c r="GP124" s="218"/>
      <c r="GQ124" s="156"/>
      <c r="GT124" s="11"/>
      <c r="GU124" s="12"/>
      <c r="GV124" s="26"/>
      <c r="GW124"/>
      <c r="GX124" s="219"/>
      <c r="GY124"/>
      <c r="GZ124"/>
      <c r="HA124"/>
      <c r="HB124"/>
      <c r="HC124"/>
      <c r="HD124"/>
      <c r="HE124"/>
      <c r="HF124"/>
      <c r="HG124"/>
      <c r="HH124"/>
      <c r="HI124"/>
      <c r="HJ124"/>
      <c r="HK124" s="164"/>
      <c r="HL124"/>
      <c r="HM124"/>
      <c r="HN124"/>
      <c r="HO124"/>
      <c r="HP124"/>
      <c r="HQ124"/>
      <c r="HR124"/>
      <c r="HS124"/>
      <c r="HT124"/>
      <c r="HU124"/>
      <c r="HV124"/>
    </row>
    <row r="125" spans="2:244" x14ac:dyDescent="0.25">
      <c r="B125" s="26"/>
      <c r="C125" s="25"/>
      <c r="D125" s="25"/>
      <c r="E125" s="25"/>
      <c r="F125" s="25"/>
      <c r="G125" s="25"/>
      <c r="H125" s="25"/>
      <c r="I125" s="25"/>
      <c r="J125" s="25"/>
      <c r="K125" s="25"/>
      <c r="M125" s="25"/>
      <c r="N125" s="25"/>
      <c r="O125" s="25"/>
      <c r="Q125" s="25"/>
      <c r="R125" s="25"/>
      <c r="S125" s="25"/>
      <c r="T125" s="11"/>
      <c r="U125" s="25"/>
      <c r="V125" s="25"/>
      <c r="W125" s="11"/>
      <c r="X125" s="11"/>
      <c r="Y125" s="11"/>
      <c r="Z125" s="11"/>
      <c r="AA125" s="11"/>
      <c r="AB125" s="20"/>
      <c r="AC125" s="11"/>
      <c r="AD125" s="25"/>
      <c r="AE125" s="11"/>
      <c r="AF125" s="11"/>
      <c r="AG125" s="11"/>
      <c r="AH125" s="11"/>
      <c r="AI125" s="11"/>
      <c r="AJ125" s="11"/>
      <c r="AK125" s="11"/>
      <c r="AL125" s="11"/>
      <c r="AM125" s="11"/>
      <c r="AN125" s="25"/>
      <c r="AQ125" s="25"/>
      <c r="AR125" s="25"/>
      <c r="AS125" s="25"/>
      <c r="AT125" s="25"/>
      <c r="AX125" s="25"/>
      <c r="AY125" s="25"/>
      <c r="BB125" s="25"/>
      <c r="BC125" s="25"/>
      <c r="BE125" s="25"/>
      <c r="BG125" s="25"/>
      <c r="BH125" s="25"/>
      <c r="BJ125" s="25"/>
      <c r="BL125" s="25"/>
      <c r="BM125" s="25"/>
      <c r="BN125" s="25"/>
      <c r="BO125" s="25"/>
      <c r="BS125" s="95"/>
      <c r="BX125" s="25"/>
      <c r="CP125" s="25"/>
      <c r="DJ125" s="25"/>
      <c r="DK125" s="25"/>
      <c r="DL125" s="25"/>
      <c r="DM125" s="25"/>
      <c r="DN125" s="25"/>
      <c r="DQ125" s="25"/>
      <c r="DR125" s="25"/>
      <c r="DS125" s="25"/>
      <c r="DT125" s="25"/>
      <c r="DU125" s="25"/>
      <c r="DV125" s="25"/>
      <c r="DX125" s="25"/>
      <c r="DY125" s="25"/>
      <c r="DZ125" s="25"/>
      <c r="EA125" s="25"/>
      <c r="EB125" s="25"/>
      <c r="EC125" s="25"/>
      <c r="ED125" s="25"/>
      <c r="EE125" s="25"/>
      <c r="EF125" s="25"/>
      <c r="EG125" s="25"/>
      <c r="EL125" s="25"/>
      <c r="EM125" s="25"/>
      <c r="EN125" s="25"/>
      <c r="EO125" s="25"/>
      <c r="EP125" s="25"/>
      <c r="EQ125" s="25"/>
      <c r="ER125" s="25"/>
      <c r="ES125" s="25"/>
      <c r="ET125" s="25"/>
      <c r="EV125" s="25"/>
      <c r="FF125" s="25"/>
      <c r="FG125" s="25"/>
      <c r="FH125" s="25"/>
      <c r="FI125" s="25"/>
      <c r="FJ125" s="25"/>
      <c r="FK125" s="25"/>
      <c r="FM125" s="25"/>
      <c r="FN125" s="25"/>
      <c r="FO125" s="265" t="s">
        <v>58</v>
      </c>
      <c r="FP125" s="250"/>
      <c r="FQ125" s="243">
        <v>43860</v>
      </c>
      <c r="FR125" s="26"/>
      <c r="FS125" s="211">
        <v>2</v>
      </c>
      <c r="FT125" s="22">
        <v>0.2615655981515827</v>
      </c>
      <c r="FU125" s="24">
        <v>5.8419822423564144E-6</v>
      </c>
      <c r="FV125" s="21">
        <v>0.44095476463112465</v>
      </c>
      <c r="FW125" s="212">
        <v>44773.432595385282</v>
      </c>
      <c r="FX125" s="212">
        <v>467.53213903899575</v>
      </c>
      <c r="FY125" s="212"/>
      <c r="FZ125" s="212">
        <v>0.59317427337583117</v>
      </c>
      <c r="GA125" s="213">
        <v>5.8419822423564144E-3</v>
      </c>
      <c r="GB125" s="246">
        <v>43907</v>
      </c>
      <c r="GC125" s="26" t="s">
        <v>584</v>
      </c>
      <c r="GD125" s="212"/>
      <c r="GE125" s="212">
        <v>31506</v>
      </c>
      <c r="GF125" s="19" t="s">
        <v>585</v>
      </c>
      <c r="GG125" s="156">
        <v>43907</v>
      </c>
      <c r="GH125" s="25">
        <v>48</v>
      </c>
      <c r="GI125" s="18" t="s">
        <v>586</v>
      </c>
      <c r="GJ125" s="25"/>
      <c r="GK125" s="25" t="s">
        <v>587</v>
      </c>
      <c r="GM125" s="25" t="s">
        <v>588</v>
      </c>
      <c r="GN125" s="20"/>
      <c r="GO125" s="156"/>
      <c r="GP125" s="218"/>
      <c r="GQ125" s="156"/>
      <c r="GR125" s="23"/>
      <c r="GS125" s="25"/>
      <c r="GT125" s="11"/>
      <c r="GU125" s="12"/>
      <c r="GV125" s="26"/>
      <c r="GX125" s="219"/>
      <c r="HG125" s="26" t="s">
        <v>153</v>
      </c>
      <c r="HH125" s="59">
        <v>43918.531284722223</v>
      </c>
      <c r="HI125" s="26">
        <v>43855</v>
      </c>
      <c r="HJ125" s="26">
        <v>43903</v>
      </c>
      <c r="HW125" s="25" t="s">
        <v>1314</v>
      </c>
      <c r="HX125" s="26">
        <v>43917</v>
      </c>
      <c r="HY125">
        <v>63</v>
      </c>
      <c r="HZ125" t="s">
        <v>1315</v>
      </c>
      <c r="IB125" s="62" t="s">
        <v>1316</v>
      </c>
      <c r="ID125" s="62" t="s">
        <v>1317</v>
      </c>
      <c r="IE125">
        <v>1738.8613861386139</v>
      </c>
      <c r="II125" s="25"/>
      <c r="IJ125" t="s">
        <v>1244</v>
      </c>
    </row>
    <row r="126" spans="2:244" x14ac:dyDescent="0.25">
      <c r="B126" s="26"/>
      <c r="C126" s="25"/>
      <c r="D126" s="25"/>
      <c r="E126" s="25"/>
      <c r="F126" s="25"/>
      <c r="G126" s="25"/>
      <c r="H126" s="25"/>
      <c r="I126" s="25"/>
      <c r="J126" s="25"/>
      <c r="K126" s="25"/>
      <c r="M126" s="25"/>
      <c r="N126" s="25"/>
      <c r="O126" s="25"/>
      <c r="Q126" s="25"/>
      <c r="R126" s="25"/>
      <c r="S126" s="25"/>
      <c r="T126" s="11"/>
      <c r="U126" s="25"/>
      <c r="V126" s="25"/>
      <c r="W126" s="11"/>
      <c r="X126" s="11"/>
      <c r="Y126" s="11"/>
      <c r="Z126" s="11"/>
      <c r="AA126" s="11"/>
      <c r="AB126" s="20"/>
      <c r="AC126" s="11"/>
      <c r="AD126" s="25"/>
      <c r="AE126" s="11"/>
      <c r="AF126" s="11"/>
      <c r="AG126" s="11"/>
      <c r="AH126" s="11"/>
      <c r="AI126" s="11"/>
      <c r="AJ126" s="11"/>
      <c r="AK126" s="11"/>
      <c r="AL126" s="11"/>
      <c r="AM126" s="11"/>
      <c r="AN126" s="25"/>
      <c r="AQ126" s="25"/>
      <c r="AR126" s="25"/>
      <c r="AS126" s="25"/>
      <c r="AT126" s="25"/>
      <c r="AX126" s="25"/>
      <c r="AY126" s="25"/>
      <c r="BB126" s="25"/>
      <c r="BC126" s="25"/>
      <c r="BE126" s="25"/>
      <c r="BG126" s="25"/>
      <c r="BH126" s="25"/>
      <c r="BJ126" s="25"/>
      <c r="BL126" s="25"/>
      <c r="BM126" s="25"/>
      <c r="BN126" s="25"/>
      <c r="BO126" s="25"/>
      <c r="BS126" s="95"/>
      <c r="BX126" s="25"/>
      <c r="DJ126" s="25"/>
      <c r="DK126" s="25"/>
      <c r="DL126" s="25"/>
      <c r="DM126" s="25"/>
      <c r="DN126" s="25"/>
      <c r="DQ126" s="25"/>
      <c r="DR126" s="25"/>
      <c r="DS126" s="25"/>
      <c r="DT126" s="25"/>
      <c r="DU126" s="25"/>
      <c r="DV126" s="25"/>
      <c r="DX126" s="25"/>
      <c r="DY126" s="25"/>
      <c r="DZ126" s="25"/>
      <c r="EA126" s="25"/>
      <c r="EB126" s="25"/>
      <c r="EC126" s="25"/>
      <c r="ED126" s="25"/>
      <c r="EE126" s="25"/>
      <c r="EF126" s="25"/>
      <c r="EG126" s="25"/>
      <c r="EL126" s="25"/>
      <c r="EM126" s="25"/>
      <c r="EN126" s="25"/>
      <c r="EO126" s="25"/>
      <c r="EP126" s="25"/>
      <c r="EQ126" s="25"/>
      <c r="ER126" s="25"/>
      <c r="ES126" s="25"/>
      <c r="ET126" s="25"/>
      <c r="EV126" s="25"/>
      <c r="FF126" s="25"/>
      <c r="FG126" s="25"/>
      <c r="FH126" s="25"/>
      <c r="FI126" s="25"/>
      <c r="FJ126" s="25"/>
      <c r="FK126" s="25"/>
      <c r="FM126" s="25"/>
      <c r="FN126" s="25"/>
      <c r="FO126" s="265" t="s">
        <v>58</v>
      </c>
      <c r="FP126" s="250"/>
      <c r="FQ126" s="243">
        <v>43860</v>
      </c>
      <c r="FR126" s="26"/>
      <c r="FS126" s="211">
        <v>2</v>
      </c>
      <c r="FT126" s="22">
        <v>0.2615655981515827</v>
      </c>
      <c r="FU126" s="24">
        <v>5.8419822423564144E-6</v>
      </c>
      <c r="FV126" s="21">
        <v>0.44095476463112465</v>
      </c>
      <c r="FW126" s="212">
        <v>44773.432595385282</v>
      </c>
      <c r="FX126" s="212">
        <v>606.55052647767229</v>
      </c>
      <c r="FY126" s="212"/>
      <c r="FZ126" s="212">
        <v>0.59317427337583117</v>
      </c>
      <c r="GA126" s="213">
        <v>5.8419822423564144E-3</v>
      </c>
      <c r="GB126" s="246">
        <v>43907</v>
      </c>
      <c r="GC126" s="26" t="s">
        <v>584</v>
      </c>
      <c r="GD126" s="212"/>
      <c r="GE126" s="212">
        <v>35713</v>
      </c>
      <c r="GF126" s="25" t="s">
        <v>585</v>
      </c>
      <c r="GG126" s="156">
        <v>43907</v>
      </c>
      <c r="GH126" s="25">
        <v>49</v>
      </c>
      <c r="GI126" s="26" t="s">
        <v>586</v>
      </c>
      <c r="GJ126" s="25"/>
      <c r="GK126" s="25" t="s">
        <v>587</v>
      </c>
      <c r="GM126" s="18" t="s">
        <v>602</v>
      </c>
      <c r="GN126" s="20">
        <v>5907.8577336641856</v>
      </c>
      <c r="GO126" s="156">
        <v>43893</v>
      </c>
      <c r="GP126" s="218">
        <v>16</v>
      </c>
      <c r="GQ126" s="156">
        <v>43891</v>
      </c>
      <c r="GR126" s="204">
        <v>18</v>
      </c>
      <c r="GS126" s="25"/>
      <c r="GT126" s="11"/>
      <c r="GU126" s="12"/>
      <c r="GV126" s="26"/>
      <c r="GX126" s="219"/>
      <c r="HG126" s="26" t="s">
        <v>153</v>
      </c>
      <c r="HH126" s="59">
        <v>43918.534849537034</v>
      </c>
      <c r="HI126" s="26">
        <v>43855</v>
      </c>
      <c r="HJ126" s="26">
        <v>43896</v>
      </c>
      <c r="HW126" s="25" t="s">
        <v>1319</v>
      </c>
      <c r="HX126" s="26">
        <v>43917</v>
      </c>
      <c r="HY126">
        <v>63</v>
      </c>
      <c r="HZ126" t="s">
        <v>1320</v>
      </c>
      <c r="IB126" s="62" t="s">
        <v>1321</v>
      </c>
      <c r="ID126" s="62" t="s">
        <v>1322</v>
      </c>
      <c r="IE126">
        <v>1738.8613861386139</v>
      </c>
      <c r="II126" s="25"/>
      <c r="IJ126" t="s">
        <v>1244</v>
      </c>
    </row>
    <row r="127" spans="2:244" x14ac:dyDescent="0.25">
      <c r="B127" s="26"/>
      <c r="C127" s="25"/>
      <c r="D127" s="25"/>
      <c r="E127" s="25"/>
      <c r="F127" s="25"/>
      <c r="G127" s="25"/>
      <c r="H127" s="25"/>
      <c r="I127" s="25"/>
      <c r="J127" s="25"/>
      <c r="K127" s="25"/>
      <c r="M127" s="25"/>
      <c r="N127" s="25"/>
      <c r="O127" s="25"/>
      <c r="Q127" s="25"/>
      <c r="R127" s="25"/>
      <c r="S127" s="25"/>
      <c r="T127" s="11"/>
      <c r="U127" s="25"/>
      <c r="V127" s="25"/>
      <c r="W127" s="11"/>
      <c r="X127" s="11"/>
      <c r="Y127" s="11"/>
      <c r="Z127" s="11"/>
      <c r="AA127" s="11"/>
      <c r="AB127" s="20"/>
      <c r="AC127" s="11"/>
      <c r="AD127" s="25"/>
      <c r="AE127" s="11"/>
      <c r="AF127" s="11"/>
      <c r="AG127" s="11"/>
      <c r="AH127" s="11"/>
      <c r="AI127" s="11"/>
      <c r="AJ127" s="11"/>
      <c r="AK127" s="11"/>
      <c r="AL127" s="11"/>
      <c r="AM127" s="11"/>
      <c r="AN127" s="25"/>
      <c r="AQ127" s="25"/>
      <c r="AR127" s="25"/>
      <c r="AS127" s="25"/>
      <c r="AT127" s="25"/>
      <c r="AX127" s="25"/>
      <c r="AY127" s="25"/>
      <c r="BB127" s="25"/>
      <c r="BC127" s="25"/>
      <c r="BE127" s="25"/>
      <c r="BG127" s="25"/>
      <c r="BH127" s="25"/>
      <c r="BJ127" s="25"/>
      <c r="BL127" s="25"/>
      <c r="BM127" s="25"/>
      <c r="BN127" s="25"/>
      <c r="BO127" s="25"/>
      <c r="BS127" s="95"/>
      <c r="BX127" s="25"/>
      <c r="BY127" s="25"/>
      <c r="CB127" s="25"/>
      <c r="CC127" s="25"/>
      <c r="CD127" s="25"/>
      <c r="CG127" s="25"/>
      <c r="CH127" s="25"/>
      <c r="DJ127" s="25"/>
      <c r="DK127" s="25"/>
      <c r="DL127" s="25"/>
      <c r="DM127" s="25"/>
      <c r="DN127" s="25"/>
      <c r="DQ127" s="25"/>
      <c r="DR127" s="25"/>
      <c r="DS127" s="25"/>
      <c r="DT127" s="25"/>
      <c r="DU127" s="25"/>
      <c r="DV127" s="25"/>
      <c r="DX127" s="25"/>
      <c r="DY127" s="25"/>
      <c r="DZ127" s="25"/>
      <c r="EA127" s="25"/>
      <c r="EB127" s="25"/>
      <c r="EC127" s="25"/>
      <c r="ED127" s="25"/>
      <c r="EE127" s="25"/>
      <c r="EF127" s="25"/>
      <c r="EG127" s="25"/>
      <c r="EL127" s="25"/>
      <c r="EM127" s="25"/>
      <c r="EN127" s="25"/>
      <c r="EO127" s="25"/>
      <c r="EP127" s="25"/>
      <c r="EQ127" s="25"/>
      <c r="ER127" s="25"/>
      <c r="ES127" s="25"/>
      <c r="ET127" s="25"/>
      <c r="EV127" s="25"/>
      <c r="FF127" s="25"/>
      <c r="FG127" s="25"/>
      <c r="FH127" s="25"/>
      <c r="FI127" s="25"/>
      <c r="FJ127" s="25"/>
      <c r="FK127" s="25"/>
      <c r="FM127" s="25"/>
      <c r="FN127" s="25"/>
      <c r="FO127" s="265" t="s">
        <v>58</v>
      </c>
      <c r="FP127" s="250"/>
      <c r="FQ127" s="243">
        <v>43860</v>
      </c>
      <c r="FR127" s="26"/>
      <c r="FS127" s="211">
        <v>2</v>
      </c>
      <c r="FT127" s="25">
        <v>0.26124939657046986</v>
      </c>
      <c r="FU127" s="24">
        <v>5.5289448647719272E-6</v>
      </c>
      <c r="FV127" s="21">
        <v>0.44118045186898547</v>
      </c>
      <c r="FW127" s="212">
        <v>47251.221157049207</v>
      </c>
      <c r="FX127" s="212">
        <v>861.88192352690567</v>
      </c>
      <c r="FY127" s="212"/>
      <c r="FZ127" s="212">
        <v>0.59215442615679836</v>
      </c>
      <c r="GA127" s="213">
        <v>5.5289448647719269E-3</v>
      </c>
      <c r="GB127" s="246">
        <v>43909</v>
      </c>
      <c r="GC127" s="25" t="s">
        <v>699</v>
      </c>
      <c r="GD127" s="212"/>
      <c r="GE127" s="212">
        <v>41035</v>
      </c>
      <c r="GF127" s="25" t="s">
        <v>700</v>
      </c>
      <c r="GG127" s="156">
        <v>43909</v>
      </c>
      <c r="GH127" s="25">
        <v>50</v>
      </c>
      <c r="GI127" s="25" t="s">
        <v>701</v>
      </c>
      <c r="GJ127" s="25"/>
      <c r="GK127" s="25" t="s">
        <v>702</v>
      </c>
      <c r="GM127" s="25" t="s">
        <v>703</v>
      </c>
      <c r="GN127" s="20">
        <v>6788.2547559966915</v>
      </c>
      <c r="GO127" s="156">
        <v>43894</v>
      </c>
      <c r="GP127" s="218">
        <v>16</v>
      </c>
      <c r="GQ127" s="156">
        <v>43893</v>
      </c>
      <c r="GR127" s="23">
        <v>17</v>
      </c>
      <c r="GS127" s="25"/>
      <c r="GT127" s="11"/>
      <c r="GU127" s="12"/>
      <c r="GV127" s="26"/>
      <c r="GW127" s="25"/>
      <c r="GX127" s="219"/>
      <c r="GY127" s="25"/>
      <c r="GZ127" s="25"/>
      <c r="HG127" s="26" t="s">
        <v>153</v>
      </c>
      <c r="HH127" s="59">
        <v>43918.535995370374</v>
      </c>
      <c r="HI127" s="26">
        <v>43855</v>
      </c>
      <c r="HJ127" s="26">
        <v>43855</v>
      </c>
      <c r="HW127" s="25" t="s">
        <v>1324</v>
      </c>
      <c r="HX127" s="26">
        <v>43917</v>
      </c>
      <c r="HY127">
        <v>63</v>
      </c>
      <c r="HZ127" t="s">
        <v>1325</v>
      </c>
      <c r="IB127" s="62" t="s">
        <v>1326</v>
      </c>
      <c r="ID127" s="62" t="s">
        <v>1327</v>
      </c>
      <c r="IE127">
        <v>1738.8613861386139</v>
      </c>
      <c r="II127" s="25"/>
      <c r="IJ127" t="s">
        <v>1244</v>
      </c>
    </row>
    <row r="128" spans="2:244" x14ac:dyDescent="0.25">
      <c r="B128" s="26"/>
      <c r="C128" s="25"/>
      <c r="D128" s="25"/>
      <c r="E128" s="25"/>
      <c r="F128" s="25"/>
      <c r="G128" s="25"/>
      <c r="H128" s="25"/>
      <c r="I128" s="25"/>
      <c r="J128" s="25"/>
      <c r="K128" s="25"/>
      <c r="M128" s="25"/>
      <c r="N128" s="25"/>
      <c r="O128" s="25"/>
      <c r="Q128" s="25"/>
      <c r="R128" s="25"/>
      <c r="S128" s="25"/>
      <c r="T128" s="11"/>
      <c r="U128" s="25"/>
      <c r="V128" s="25"/>
      <c r="W128" s="11"/>
      <c r="X128" s="11"/>
      <c r="Y128" s="11"/>
      <c r="Z128" s="11"/>
      <c r="AA128" s="11"/>
      <c r="AB128" s="20"/>
      <c r="AC128" s="11"/>
      <c r="AD128" s="25"/>
      <c r="AE128" s="11"/>
      <c r="AF128" s="11"/>
      <c r="AG128" s="11"/>
      <c r="AH128" s="11"/>
      <c r="AI128" s="11"/>
      <c r="AJ128" s="11"/>
      <c r="AK128" s="11"/>
      <c r="AL128" s="11"/>
      <c r="AM128" s="11"/>
      <c r="AN128" s="25"/>
      <c r="AQ128" s="25"/>
      <c r="AR128" s="25"/>
      <c r="AS128" s="25"/>
      <c r="AT128" s="25"/>
      <c r="AX128" s="25"/>
      <c r="AY128" s="25"/>
      <c r="BB128" s="25"/>
      <c r="BC128" s="25"/>
      <c r="BE128" s="25"/>
      <c r="BG128" s="25"/>
      <c r="BH128" s="25"/>
      <c r="BJ128" s="25"/>
      <c r="BL128" s="25"/>
      <c r="BM128" s="25"/>
      <c r="BN128" s="25"/>
      <c r="BO128" s="25"/>
      <c r="BS128" s="95"/>
      <c r="BX128" s="25"/>
      <c r="BY128" s="25"/>
      <c r="CB128" s="25"/>
      <c r="CC128" s="25"/>
      <c r="CD128" s="25"/>
      <c r="CG128" s="25"/>
      <c r="CH128" s="25"/>
      <c r="CO128" s="25"/>
      <c r="CP128" s="25"/>
      <c r="CQ128" s="25"/>
      <c r="CR128" s="25"/>
      <c r="DL128" s="25"/>
      <c r="DM128" s="25"/>
      <c r="DN128" s="25"/>
      <c r="DQ128" s="25"/>
      <c r="DR128" s="25"/>
      <c r="DS128" s="25"/>
      <c r="DT128" s="25"/>
      <c r="DU128" s="25"/>
      <c r="DV128" s="25"/>
      <c r="DX128" s="25"/>
      <c r="DY128" s="25"/>
      <c r="DZ128" s="25"/>
      <c r="EA128" s="25"/>
      <c r="EB128" s="25"/>
      <c r="EC128" s="25"/>
      <c r="ED128" s="25"/>
      <c r="EE128" s="25"/>
      <c r="EF128" s="25"/>
      <c r="EG128" s="25"/>
      <c r="EL128" s="25"/>
      <c r="EM128" s="25"/>
      <c r="EN128" s="25"/>
      <c r="EO128" s="25"/>
      <c r="EP128" s="25"/>
      <c r="EQ128" s="25"/>
      <c r="ER128" s="25"/>
      <c r="ES128" s="25"/>
      <c r="ET128" s="25"/>
      <c r="FF128" s="25"/>
      <c r="FG128" s="25"/>
      <c r="FH128" s="25"/>
      <c r="FI128" s="25"/>
      <c r="FJ128" s="25"/>
      <c r="FK128" s="25"/>
      <c r="FM128" s="25"/>
      <c r="FN128" s="25"/>
      <c r="FO128" s="265" t="s">
        <v>58</v>
      </c>
      <c r="FP128" s="250">
        <v>43911.866296296299</v>
      </c>
      <c r="FQ128" s="243">
        <v>43860</v>
      </c>
      <c r="FR128" s="26">
        <v>43860</v>
      </c>
      <c r="FS128" s="211">
        <v>2</v>
      </c>
      <c r="FT128" s="25">
        <v>0.26021145951808367</v>
      </c>
      <c r="FU128" s="24">
        <v>4.6967448339452021E-6</v>
      </c>
      <c r="FV128" s="21">
        <v>0.44199535332226664</v>
      </c>
      <c r="FW128" s="212">
        <v>55402.511466544704</v>
      </c>
      <c r="FX128" s="212">
        <v>1127.8816766057491</v>
      </c>
      <c r="FY128" s="212"/>
      <c r="FZ128" s="213">
        <v>0.58871520169346225</v>
      </c>
      <c r="GA128" s="213">
        <v>4.696744833945202E-3</v>
      </c>
      <c r="GB128" s="246">
        <v>43910</v>
      </c>
      <c r="GC128" s="25" t="s">
        <v>725</v>
      </c>
      <c r="GD128" s="212"/>
      <c r="GE128" s="212">
        <v>47021</v>
      </c>
      <c r="GF128" s="25" t="s">
        <v>726</v>
      </c>
      <c r="GG128" s="156">
        <v>43910</v>
      </c>
      <c r="GH128" s="25">
        <v>51</v>
      </c>
      <c r="GI128" s="25" t="s">
        <v>727</v>
      </c>
      <c r="GJ128" s="25"/>
      <c r="GK128" s="25" t="s">
        <v>728</v>
      </c>
      <c r="GM128" s="25" t="s">
        <v>771</v>
      </c>
      <c r="GN128" s="20">
        <v>7778.4946236559144</v>
      </c>
      <c r="GO128" s="156">
        <v>43895</v>
      </c>
      <c r="GP128" s="218">
        <v>16</v>
      </c>
      <c r="GQ128" s="156">
        <v>43894</v>
      </c>
      <c r="GR128" s="25">
        <v>17</v>
      </c>
      <c r="GS128" s="25"/>
      <c r="GT128" s="11"/>
      <c r="GU128" s="12"/>
      <c r="GV128" s="26"/>
      <c r="GW128" s="25"/>
      <c r="GX128" s="219"/>
      <c r="GY128" s="25"/>
      <c r="GZ128" s="25"/>
      <c r="HG128" s="26" t="s">
        <v>48</v>
      </c>
      <c r="HH128" s="59">
        <v>43918.537465277775</v>
      </c>
      <c r="HI128" s="26">
        <v>43855</v>
      </c>
      <c r="HJ128" s="26">
        <v>43855</v>
      </c>
      <c r="HQ128" s="26">
        <v>2.5764932031341467E-3</v>
      </c>
      <c r="HR128">
        <v>4.7873000600838503E-2</v>
      </c>
      <c r="HS128" s="26">
        <v>43917</v>
      </c>
      <c r="HT128" s="74" t="s">
        <v>1313</v>
      </c>
      <c r="HU128">
        <v>4693.2762231049155</v>
      </c>
      <c r="HV128" s="26">
        <v>1405</v>
      </c>
      <c r="HW128" s="25" t="s">
        <v>1329</v>
      </c>
      <c r="HX128" s="26">
        <v>43917</v>
      </c>
      <c r="HY128">
        <v>63</v>
      </c>
      <c r="HZ128" t="s">
        <v>1330</v>
      </c>
      <c r="IB128" s="62" t="s">
        <v>1331</v>
      </c>
      <c r="ID128" s="62" t="s">
        <v>1332</v>
      </c>
      <c r="IE128">
        <v>1248.6200914682227</v>
      </c>
      <c r="II128" s="25"/>
      <c r="IJ128" t="s">
        <v>1245</v>
      </c>
    </row>
    <row r="129" spans="1:230" x14ac:dyDescent="0.25">
      <c r="B129" s="26"/>
      <c r="C129" s="25"/>
      <c r="D129" s="25"/>
      <c r="E129" s="25"/>
      <c r="F129" s="25"/>
      <c r="G129" s="25"/>
      <c r="H129" s="25"/>
      <c r="I129" s="25"/>
      <c r="J129" s="25"/>
      <c r="K129" s="25"/>
      <c r="M129" s="25"/>
      <c r="N129" s="25"/>
      <c r="O129" s="25"/>
      <c r="Q129" s="25"/>
      <c r="R129" s="25"/>
      <c r="S129" s="25"/>
      <c r="T129" s="11"/>
      <c r="U129" s="25"/>
      <c r="V129" s="25"/>
      <c r="W129" s="11"/>
      <c r="X129" s="11"/>
      <c r="Y129" s="11"/>
      <c r="Z129" s="11"/>
      <c r="AA129" s="11"/>
      <c r="AB129" s="20"/>
      <c r="AC129" s="11"/>
      <c r="AD129" s="25"/>
      <c r="AE129" s="11"/>
      <c r="AF129" s="11"/>
      <c r="AG129" s="11"/>
      <c r="AH129" s="11"/>
      <c r="AI129" s="11"/>
      <c r="AJ129" s="11"/>
      <c r="AK129" s="11"/>
      <c r="AL129" s="11"/>
      <c r="AM129" s="11"/>
      <c r="AN129" s="25"/>
      <c r="AQ129" s="25"/>
      <c r="AR129" s="25"/>
      <c r="AS129" s="25"/>
      <c r="AT129" s="25"/>
      <c r="AX129" s="25"/>
      <c r="AY129" s="25"/>
      <c r="BB129" s="25"/>
      <c r="BC129" s="25"/>
      <c r="BE129" s="25"/>
      <c r="BG129" s="25"/>
      <c r="BH129" s="25"/>
      <c r="BJ129" s="25"/>
      <c r="BL129" s="25"/>
      <c r="BM129" s="25"/>
      <c r="BN129" s="25"/>
      <c r="BO129" s="25"/>
      <c r="BS129" s="95"/>
      <c r="BX129" s="25"/>
      <c r="BY129" s="25"/>
      <c r="CB129" s="25"/>
      <c r="CC129" s="25"/>
      <c r="CD129" s="25"/>
      <c r="CG129" s="25"/>
      <c r="CH129" s="25"/>
      <c r="CO129" s="25"/>
      <c r="CP129" s="25"/>
      <c r="CQ129" s="25"/>
      <c r="CR129" s="25"/>
      <c r="DL129" s="25"/>
      <c r="DM129" s="25"/>
      <c r="DN129" s="25"/>
      <c r="DQ129" s="25"/>
      <c r="DR129" s="25"/>
      <c r="DS129" s="25"/>
      <c r="DT129" s="25"/>
      <c r="DU129" s="25"/>
      <c r="DV129" s="25"/>
      <c r="DX129" s="25"/>
      <c r="DY129" s="25"/>
      <c r="DZ129" s="25"/>
      <c r="EA129" s="25"/>
      <c r="EB129" s="25"/>
      <c r="EC129" s="25"/>
      <c r="ED129" s="25"/>
      <c r="EE129" s="25"/>
      <c r="EF129" s="25"/>
      <c r="EG129" s="25"/>
      <c r="FF129" s="25"/>
      <c r="FG129" s="25"/>
      <c r="FH129" s="25"/>
      <c r="FI129" s="25"/>
      <c r="FJ129" s="25"/>
      <c r="FK129" s="25"/>
      <c r="FM129" s="25"/>
      <c r="FN129" s="25"/>
      <c r="FO129" s="265" t="s">
        <v>58</v>
      </c>
      <c r="FP129" s="250">
        <v>43912.326678240737</v>
      </c>
      <c r="FQ129" s="243">
        <v>43860</v>
      </c>
      <c r="FR129" s="26">
        <v>43860</v>
      </c>
      <c r="FS129" s="211">
        <v>2</v>
      </c>
      <c r="FT129" s="25">
        <v>0.25947894792637805</v>
      </c>
      <c r="FU129" s="24">
        <v>4.2793930730069226E-6</v>
      </c>
      <c r="FV129" s="21">
        <v>0.44221157817092033</v>
      </c>
      <c r="FW129" s="212">
        <v>60634.520713483966</v>
      </c>
      <c r="FX129" s="212">
        <v>1498.6578455090564</v>
      </c>
      <c r="FY129" s="212"/>
      <c r="FZ129" s="213">
        <v>0.58677128401401213</v>
      </c>
      <c r="GA129" s="213">
        <v>4.2793930730069228E-3</v>
      </c>
      <c r="GB129" s="246">
        <v>43911</v>
      </c>
      <c r="GC129" s="25" t="s">
        <v>784</v>
      </c>
      <c r="GD129" s="212"/>
      <c r="GE129" s="212">
        <v>53578</v>
      </c>
      <c r="GF129" s="25" t="s">
        <v>461</v>
      </c>
      <c r="GG129" s="156">
        <v>43911</v>
      </c>
      <c r="GH129" s="25">
        <v>52</v>
      </c>
      <c r="GI129" s="25" t="s">
        <v>785</v>
      </c>
      <c r="GJ129" s="25"/>
      <c r="GK129" s="25" t="s">
        <v>786</v>
      </c>
      <c r="GM129" s="25" t="s">
        <v>787</v>
      </c>
      <c r="GN129" s="20">
        <v>8863.1927212572373</v>
      </c>
      <c r="GO129" s="156">
        <v>43895</v>
      </c>
      <c r="GP129" s="218">
        <v>16</v>
      </c>
      <c r="GQ129" s="156">
        <v>43894</v>
      </c>
      <c r="GR129" s="23">
        <v>18</v>
      </c>
      <c r="GS129" s="25"/>
      <c r="GT129" s="11"/>
      <c r="GU129" s="12"/>
      <c r="GV129" s="26"/>
      <c r="GW129" s="25"/>
      <c r="GX129" s="219"/>
      <c r="GY129" s="25"/>
      <c r="GZ129" s="25"/>
      <c r="HQ129" s="26">
        <v>1.1353995162232643E-2</v>
      </c>
      <c r="HR129">
        <v>4.2162609644628431E-2</v>
      </c>
      <c r="HS129" s="26">
        <v>43917</v>
      </c>
      <c r="HT129" s="74" t="s">
        <v>1318</v>
      </c>
      <c r="HU129">
        <v>5208.715313177242</v>
      </c>
      <c r="HV129" s="26">
        <v>1405</v>
      </c>
    </row>
    <row r="130" spans="1:230" x14ac:dyDescent="0.25">
      <c r="B130" s="26"/>
      <c r="C130" s="25"/>
      <c r="D130" s="25"/>
      <c r="E130" s="25"/>
      <c r="F130" s="25"/>
      <c r="G130" s="25"/>
      <c r="H130" s="25"/>
      <c r="I130" s="25"/>
      <c r="J130" s="25"/>
      <c r="K130" s="25"/>
      <c r="M130" s="25"/>
      <c r="N130" s="25"/>
      <c r="O130" s="25"/>
      <c r="Q130" s="25"/>
      <c r="R130" s="25"/>
      <c r="S130" s="25"/>
      <c r="T130" s="11"/>
      <c r="U130" s="25"/>
      <c r="V130" s="25">
        <f>709/2.54</f>
        <v>279.1338582677165</v>
      </c>
      <c r="W130" s="11"/>
      <c r="X130" s="11">
        <f>2626/6.64</f>
        <v>395.48192771084337</v>
      </c>
      <c r="Y130" s="11"/>
      <c r="Z130" s="11"/>
      <c r="AA130" s="11"/>
      <c r="AB130" s="20"/>
      <c r="AC130" s="11"/>
      <c r="AD130" s="25"/>
      <c r="AE130" s="11"/>
      <c r="AF130" s="11"/>
      <c r="AG130" s="11"/>
      <c r="AH130" s="11"/>
      <c r="AI130" s="11"/>
      <c r="AJ130" s="11"/>
      <c r="AK130" s="11"/>
      <c r="AL130" s="11"/>
      <c r="AM130" s="11"/>
      <c r="AN130" s="25"/>
      <c r="AQ130" s="25"/>
      <c r="AR130" s="25"/>
      <c r="AS130" s="25"/>
      <c r="AT130" s="25"/>
      <c r="AX130" s="25"/>
      <c r="AY130" s="25"/>
      <c r="BB130" s="25"/>
      <c r="BC130" s="25"/>
      <c r="BE130" s="25"/>
      <c r="BG130" s="25"/>
      <c r="BH130" s="25"/>
      <c r="BJ130" s="25"/>
      <c r="BL130" s="25"/>
      <c r="BM130" s="25"/>
      <c r="BN130" s="25"/>
      <c r="BO130" s="25"/>
      <c r="BS130" s="95"/>
      <c r="BX130" s="25"/>
      <c r="BY130" s="25"/>
      <c r="CB130" s="25"/>
      <c r="CC130" s="25"/>
      <c r="CD130" s="25"/>
      <c r="CG130" s="25"/>
      <c r="CH130" s="25"/>
      <c r="CO130" s="25"/>
      <c r="CP130" s="25"/>
      <c r="CQ130" s="25"/>
      <c r="CR130" s="25"/>
      <c r="DL130" s="25"/>
      <c r="DM130" s="25"/>
      <c r="DN130" s="25"/>
      <c r="DQ130" s="25"/>
      <c r="DR130" s="25"/>
      <c r="DS130" s="25"/>
      <c r="DT130" s="25"/>
      <c r="DU130" s="25"/>
      <c r="DV130" s="25"/>
      <c r="DX130" s="25"/>
      <c r="DY130" s="25"/>
      <c r="DZ130" s="25"/>
      <c r="EA130" s="25"/>
      <c r="EB130" s="25"/>
      <c r="EC130" s="25"/>
      <c r="ED130" s="25"/>
      <c r="EE130" s="25"/>
      <c r="EF130" s="25"/>
      <c r="EG130" s="25"/>
      <c r="FF130" s="25"/>
      <c r="FG130" s="25"/>
      <c r="FH130" s="25"/>
      <c r="FI130" s="25"/>
      <c r="FJ130" s="25"/>
      <c r="FK130" s="25"/>
      <c r="FM130" s="25"/>
      <c r="FN130" s="25"/>
      <c r="FO130" s="265" t="s">
        <v>58</v>
      </c>
      <c r="FP130" s="250">
        <v>43912.58871527778</v>
      </c>
      <c r="FQ130" s="243">
        <v>43860</v>
      </c>
      <c r="FR130" s="26">
        <v>43860</v>
      </c>
      <c r="FS130" s="211">
        <v>2</v>
      </c>
      <c r="FT130" s="25">
        <v>0.25947894792637805</v>
      </c>
      <c r="FU130" s="24">
        <v>4.2793930730069226E-6</v>
      </c>
      <c r="FV130" s="21">
        <v>0.44221157817092033</v>
      </c>
      <c r="FW130" s="212">
        <v>60634.520713483966</v>
      </c>
      <c r="FX130" s="212">
        <v>1498.6578455090564</v>
      </c>
      <c r="FY130" s="212"/>
      <c r="FZ130" s="213">
        <v>0.58677128401401213</v>
      </c>
      <c r="GA130" s="213">
        <v>4.2793930730069228E-3</v>
      </c>
      <c r="GB130" s="246">
        <v>43911</v>
      </c>
      <c r="GC130" s="25" t="s">
        <v>784</v>
      </c>
      <c r="GD130" s="212"/>
      <c r="GE130" s="212">
        <v>53578</v>
      </c>
      <c r="GF130" s="25" t="s">
        <v>461</v>
      </c>
      <c r="GG130" s="156">
        <v>43911</v>
      </c>
      <c r="GH130" s="25">
        <v>52</v>
      </c>
      <c r="GI130" s="25" t="s">
        <v>785</v>
      </c>
      <c r="GJ130" s="25"/>
      <c r="GK130" s="25" t="s">
        <v>786</v>
      </c>
      <c r="GM130" s="25" t="s">
        <v>787</v>
      </c>
      <c r="GN130" s="20">
        <v>8863.1927212572373</v>
      </c>
      <c r="GO130" s="156">
        <v>43896</v>
      </c>
      <c r="GP130" s="218">
        <v>16</v>
      </c>
      <c r="GQ130" s="156">
        <v>43894</v>
      </c>
      <c r="GR130" s="25">
        <v>18</v>
      </c>
      <c r="GS130" s="25"/>
      <c r="GT130" s="11"/>
      <c r="GU130" s="12"/>
      <c r="GV130" s="26"/>
      <c r="GW130" s="25"/>
      <c r="GX130" s="219"/>
      <c r="GY130" s="25"/>
      <c r="GZ130" s="25"/>
      <c r="HQ130" s="26">
        <v>16.987240849976278</v>
      </c>
      <c r="HR130">
        <v>9.9999999973021841E-10</v>
      </c>
      <c r="HS130" s="26">
        <v>43917</v>
      </c>
      <c r="HT130" s="74" t="s">
        <v>1323</v>
      </c>
      <c r="HU130">
        <v>189913464565.45117</v>
      </c>
      <c r="HV130" s="26">
        <v>1405</v>
      </c>
    </row>
    <row r="131" spans="1:230" x14ac:dyDescent="0.25">
      <c r="A131" t="s">
        <v>189</v>
      </c>
      <c r="B131" s="26"/>
      <c r="C131" s="25"/>
      <c r="D131" s="25"/>
      <c r="E131" s="25"/>
      <c r="F131" s="25"/>
      <c r="G131" s="25"/>
      <c r="H131" s="25"/>
      <c r="I131" s="25"/>
      <c r="J131" s="25"/>
      <c r="K131" s="25"/>
      <c r="M131" s="25"/>
      <c r="N131" s="25"/>
      <c r="O131" s="25"/>
      <c r="Q131" s="25"/>
      <c r="R131" s="25"/>
      <c r="S131" s="25"/>
      <c r="T131" s="11"/>
      <c r="U131" s="25"/>
      <c r="V131" s="25"/>
      <c r="W131" s="11"/>
      <c r="X131" s="11"/>
      <c r="Y131" s="11"/>
      <c r="Z131" s="11"/>
      <c r="AA131" s="11"/>
      <c r="AB131" s="20"/>
      <c r="AC131" s="11"/>
      <c r="AD131" s="25"/>
      <c r="AE131" s="11"/>
      <c r="AF131" s="11"/>
      <c r="AG131" s="11"/>
      <c r="AH131" s="11"/>
      <c r="AI131" s="11"/>
      <c r="AJ131" s="11"/>
      <c r="AK131" s="11"/>
      <c r="AL131" s="11"/>
      <c r="AM131" s="11"/>
      <c r="AN131" s="25"/>
      <c r="AQ131" s="25"/>
      <c r="AR131" s="25"/>
      <c r="AS131" s="25"/>
      <c r="AT131" s="25"/>
      <c r="AX131" s="25"/>
      <c r="AY131" s="25"/>
      <c r="BB131" s="25"/>
      <c r="BC131" s="25"/>
      <c r="BE131" s="25"/>
      <c r="BG131" s="25"/>
      <c r="BH131" s="25"/>
      <c r="BJ131" s="25"/>
      <c r="BL131" s="25"/>
      <c r="BM131" s="25"/>
      <c r="BN131" s="25"/>
      <c r="BO131" s="25"/>
      <c r="BS131" s="95"/>
      <c r="BX131" s="25"/>
      <c r="BY131" s="25"/>
      <c r="CB131" s="25"/>
      <c r="CC131" s="25"/>
      <c r="CD131" s="25"/>
      <c r="CG131" s="25"/>
      <c r="CH131" s="25"/>
      <c r="CO131" s="25"/>
      <c r="CP131" s="25"/>
      <c r="CQ131" s="25"/>
      <c r="CR131" s="25"/>
      <c r="DL131" s="25"/>
      <c r="DM131" s="25"/>
      <c r="DN131" s="25"/>
      <c r="DQ131" s="25"/>
      <c r="DR131" s="25"/>
      <c r="DS131" s="25"/>
      <c r="DT131" s="25"/>
      <c r="DU131" s="25"/>
      <c r="DV131" s="25"/>
      <c r="DX131" s="25"/>
      <c r="DY131" s="25"/>
      <c r="DZ131" s="25"/>
      <c r="EA131" s="25"/>
      <c r="EB131" s="25"/>
      <c r="EC131" s="25"/>
      <c r="ED131" s="25"/>
      <c r="EE131" s="25"/>
      <c r="EF131" s="25"/>
      <c r="FF131" s="25"/>
      <c r="FG131" s="25"/>
      <c r="FH131" s="25"/>
      <c r="FI131" s="25"/>
      <c r="FJ131" s="25"/>
      <c r="FK131" s="25"/>
      <c r="FM131" s="25"/>
      <c r="FN131" s="25"/>
      <c r="FO131" s="265" t="s">
        <v>58</v>
      </c>
      <c r="FP131" s="250">
        <v>43912.787511574075</v>
      </c>
      <c r="FQ131" s="243">
        <v>43860</v>
      </c>
      <c r="FR131" s="26">
        <v>43860</v>
      </c>
      <c r="FS131" s="211">
        <v>2</v>
      </c>
      <c r="FT131" s="25">
        <v>0.25947894792637805</v>
      </c>
      <c r="FU131" s="24">
        <v>4.2793930730069226E-6</v>
      </c>
      <c r="FV131" s="21">
        <v>0.44221157817092033</v>
      </c>
      <c r="FW131" s="212">
        <v>60634.520713483966</v>
      </c>
      <c r="FX131" s="212">
        <v>1498.6578455090564</v>
      </c>
      <c r="FY131" s="212"/>
      <c r="FZ131" s="213">
        <v>0.58677128401401213</v>
      </c>
      <c r="GA131" s="213">
        <v>4.2793930730069228E-3</v>
      </c>
      <c r="GB131" s="246">
        <v>43911</v>
      </c>
      <c r="GC131" s="25" t="s">
        <v>784</v>
      </c>
      <c r="GD131" s="212">
        <v>60634.520713483966</v>
      </c>
      <c r="GE131" s="212">
        <v>53578</v>
      </c>
      <c r="GF131" s="25" t="s">
        <v>461</v>
      </c>
      <c r="GG131" s="156">
        <v>43911</v>
      </c>
      <c r="GH131" s="25">
        <v>52</v>
      </c>
      <c r="GI131" s="25" t="s">
        <v>836</v>
      </c>
      <c r="GJ131" s="25"/>
      <c r="GK131" s="25" t="s">
        <v>786</v>
      </c>
      <c r="GM131" s="25" t="s">
        <v>837</v>
      </c>
      <c r="GN131" s="20">
        <v>8863.1927212572373</v>
      </c>
      <c r="GO131" s="156">
        <v>43896</v>
      </c>
      <c r="GP131" s="218">
        <v>16</v>
      </c>
      <c r="GQ131" s="156">
        <v>43895</v>
      </c>
      <c r="GR131" s="23">
        <v>17</v>
      </c>
      <c r="GS131" s="25"/>
      <c r="GT131" s="11"/>
      <c r="GU131" s="12"/>
      <c r="GV131" s="26"/>
      <c r="GW131" s="25"/>
      <c r="GX131" s="219"/>
      <c r="GY131" s="25"/>
      <c r="GZ131" s="25"/>
      <c r="HQ131" s="26">
        <v>6.4910114883424752</v>
      </c>
      <c r="HR131">
        <v>9.9999999926047516E-10</v>
      </c>
      <c r="HS131" s="26">
        <v>43917</v>
      </c>
      <c r="HT131" s="74" t="s">
        <v>1328</v>
      </c>
      <c r="HU131">
        <v>187966739999.62927</v>
      </c>
      <c r="HV131" s="26">
        <v>3167</v>
      </c>
    </row>
    <row r="132" spans="1:230" x14ac:dyDescent="0.25">
      <c r="A132" s="15" t="s">
        <v>190</v>
      </c>
      <c r="N132" s="25"/>
      <c r="BS132" s="95"/>
      <c r="BY132" s="25"/>
      <c r="CB132" s="25"/>
      <c r="CC132" s="25"/>
      <c r="CD132" s="25"/>
      <c r="CG132" s="25"/>
      <c r="CH132" s="25"/>
      <c r="CO132" s="25"/>
      <c r="CP132" s="25"/>
      <c r="CQ132" s="25"/>
      <c r="CR132" s="25"/>
      <c r="FF132" s="25"/>
      <c r="FG132" s="25"/>
      <c r="FH132" s="25"/>
      <c r="FI132" s="25"/>
      <c r="FJ132" s="25"/>
      <c r="FK132" s="25"/>
      <c r="FM132" s="25"/>
      <c r="FN132" s="25"/>
      <c r="FO132" s="265" t="s">
        <v>58</v>
      </c>
      <c r="FP132" s="250">
        <v>43913.581655092596</v>
      </c>
      <c r="FQ132" s="243">
        <v>43860</v>
      </c>
      <c r="FR132" s="26">
        <v>43860</v>
      </c>
      <c r="FS132" s="211">
        <v>2</v>
      </c>
      <c r="FT132" s="25">
        <v>0.25947894792637805</v>
      </c>
      <c r="FU132" s="71">
        <v>4.2793930730069226E-6</v>
      </c>
      <c r="FV132" s="21">
        <v>0.44221157817092033</v>
      </c>
      <c r="FW132" s="212">
        <v>60634.520713483966</v>
      </c>
      <c r="FX132" s="212">
        <v>1498.6578455090564</v>
      </c>
      <c r="FY132" s="212"/>
      <c r="FZ132" s="213">
        <v>0.58677128401401213</v>
      </c>
      <c r="GA132" s="213">
        <v>4.2793930730069228E-3</v>
      </c>
      <c r="GB132" s="246">
        <v>43911</v>
      </c>
      <c r="GC132" s="25" t="s">
        <v>784</v>
      </c>
      <c r="GD132" s="212">
        <v>60634.520713483966</v>
      </c>
      <c r="GE132" s="212">
        <v>53578</v>
      </c>
      <c r="GF132" s="25" t="s">
        <v>461</v>
      </c>
      <c r="GG132" s="156">
        <v>43911</v>
      </c>
      <c r="GH132" s="25">
        <v>52</v>
      </c>
      <c r="GI132" s="25" t="s">
        <v>836</v>
      </c>
      <c r="GJ132" s="25"/>
      <c r="GK132" s="25" t="s">
        <v>786</v>
      </c>
      <c r="GM132" s="25" t="s">
        <v>837</v>
      </c>
      <c r="GN132" s="20">
        <v>8863.1927212572373</v>
      </c>
      <c r="GO132" s="156">
        <v>43897</v>
      </c>
      <c r="GP132" s="218">
        <v>16</v>
      </c>
      <c r="GQ132" s="156">
        <v>43896</v>
      </c>
      <c r="GR132" s="25">
        <v>16</v>
      </c>
      <c r="GS132" s="25"/>
      <c r="GT132" s="11"/>
      <c r="GU132" s="12"/>
      <c r="GV132" s="26"/>
      <c r="GW132" s="25"/>
      <c r="GX132" s="219"/>
      <c r="GY132" s="25"/>
      <c r="GZ132" s="25"/>
    </row>
    <row r="133" spans="1:230" x14ac:dyDescent="0.25">
      <c r="N133" s="25"/>
      <c r="BS133" s="95"/>
      <c r="BY133" s="25"/>
      <c r="CB133" s="25"/>
      <c r="CC133" s="25"/>
      <c r="CD133" s="25"/>
      <c r="CG133" s="25"/>
      <c r="CH133" s="25"/>
      <c r="CO133" s="25"/>
      <c r="CP133" s="25"/>
      <c r="CQ133" s="25"/>
      <c r="CR133" s="25"/>
      <c r="FF133" s="25"/>
      <c r="FG133" s="25"/>
      <c r="FH133" s="25"/>
      <c r="FI133" s="25"/>
      <c r="FJ133" s="25"/>
      <c r="FK133" s="25"/>
      <c r="FM133" s="25"/>
      <c r="FN133" s="25"/>
      <c r="FO133" s="265" t="s">
        <v>58</v>
      </c>
      <c r="FP133" s="250">
        <v>43913.686712962961</v>
      </c>
      <c r="FQ133" s="243">
        <v>43860</v>
      </c>
      <c r="FR133" s="26">
        <v>43860</v>
      </c>
      <c r="FS133" s="211">
        <v>2</v>
      </c>
      <c r="FT133" s="25">
        <v>0.25874561068947871</v>
      </c>
      <c r="FU133" s="71">
        <v>3.9549126775453369E-6</v>
      </c>
      <c r="FV133" s="21">
        <v>0.4422145518547565</v>
      </c>
      <c r="FW133" s="212">
        <v>65423.849218858661</v>
      </c>
      <c r="FX133" s="212">
        <v>1794.1813077040256</v>
      </c>
      <c r="FY133" s="212"/>
      <c r="FZ133" s="213">
        <v>0.58510933365785012</v>
      </c>
      <c r="GA133" s="213">
        <v>3.9549126775453372E-3</v>
      </c>
      <c r="GB133" s="246">
        <v>43912</v>
      </c>
      <c r="GC133" s="25" t="s">
        <v>999</v>
      </c>
      <c r="GD133" s="212">
        <v>65423.849218858661</v>
      </c>
      <c r="GE133" s="212">
        <v>59138</v>
      </c>
      <c r="GF133" s="25" t="s">
        <v>1000</v>
      </c>
      <c r="GG133" s="156">
        <v>43912</v>
      </c>
      <c r="GH133" s="25">
        <v>53</v>
      </c>
      <c r="GI133" s="25" t="s">
        <v>1001</v>
      </c>
      <c r="GJ133" s="25"/>
      <c r="GK133" s="25" t="s">
        <v>1002</v>
      </c>
      <c r="GM133" s="25" t="s">
        <v>1003</v>
      </c>
      <c r="GN133" s="20">
        <v>9782.9611248966085</v>
      </c>
      <c r="GO133" s="156">
        <v>43897</v>
      </c>
      <c r="GP133" s="218">
        <v>16</v>
      </c>
      <c r="GQ133" s="156">
        <v>43896</v>
      </c>
      <c r="GR133" s="23">
        <v>17</v>
      </c>
      <c r="GS133" s="25"/>
      <c r="GT133" s="11"/>
      <c r="GU133" s="12"/>
      <c r="GV133" s="26"/>
      <c r="GW133" s="25"/>
      <c r="GX133" s="219"/>
      <c r="GY133" s="25"/>
      <c r="GZ133" s="25"/>
    </row>
    <row r="134" spans="1:230" x14ac:dyDescent="0.25">
      <c r="N134" s="25"/>
      <c r="BS134" s="95"/>
      <c r="CO134" s="25"/>
      <c r="CP134" s="25"/>
      <c r="CQ134" s="25"/>
      <c r="CR134" s="25"/>
      <c r="FF134" s="25"/>
      <c r="FG134" s="25"/>
      <c r="FH134" s="25"/>
      <c r="FI134" s="25"/>
      <c r="FJ134" s="25"/>
      <c r="FK134" s="25"/>
      <c r="FM134" s="25"/>
      <c r="FN134" s="25"/>
      <c r="FO134" s="263" t="s">
        <v>58</v>
      </c>
      <c r="FP134" s="250">
        <v>43914.462719907409</v>
      </c>
      <c r="FQ134" s="243">
        <v>43860</v>
      </c>
      <c r="FR134" s="26">
        <v>43860</v>
      </c>
      <c r="FS134" s="211">
        <v>2</v>
      </c>
      <c r="FT134" s="25">
        <v>0.25874561068947871</v>
      </c>
      <c r="FU134" s="25">
        <v>3.9549126775453369E-6</v>
      </c>
      <c r="FV134" s="21">
        <v>0.4422145518547565</v>
      </c>
      <c r="FW134" s="212">
        <v>65423.849218858661</v>
      </c>
      <c r="FX134" s="212">
        <v>1794.1813077040256</v>
      </c>
      <c r="FY134" s="212"/>
      <c r="FZ134" s="213">
        <v>0.58510933365785012</v>
      </c>
      <c r="GA134" s="213">
        <v>3.9549126775453372E-3</v>
      </c>
      <c r="GB134" s="246">
        <v>43912</v>
      </c>
      <c r="GC134" s="25" t="s">
        <v>999</v>
      </c>
      <c r="GD134" s="212">
        <v>65423.849218858661</v>
      </c>
      <c r="GE134" s="212">
        <v>59138</v>
      </c>
      <c r="GF134" s="74" t="s">
        <v>1000</v>
      </c>
      <c r="GG134" s="156">
        <v>43912</v>
      </c>
      <c r="GH134" s="25">
        <v>53</v>
      </c>
      <c r="GI134" s="25" t="s">
        <v>1001</v>
      </c>
      <c r="GJ134" s="25"/>
      <c r="GK134" s="25" t="s">
        <v>1002</v>
      </c>
      <c r="GM134" s="25" t="s">
        <v>1003</v>
      </c>
      <c r="GN134" s="20">
        <v>9782.9611248966085</v>
      </c>
      <c r="GO134" s="156">
        <v>43898</v>
      </c>
      <c r="GP134" s="218">
        <v>16</v>
      </c>
      <c r="GQ134" s="156">
        <v>43896</v>
      </c>
      <c r="GR134" s="25">
        <v>17</v>
      </c>
      <c r="GS134" s="25"/>
      <c r="GT134" s="11"/>
      <c r="GU134" s="12"/>
      <c r="GV134" s="26"/>
      <c r="GW134" s="25"/>
      <c r="GX134" s="219"/>
      <c r="GY134" s="25"/>
      <c r="GZ134" s="25"/>
    </row>
    <row r="135" spans="1:230" x14ac:dyDescent="0.25">
      <c r="A135" s="13" t="s">
        <v>169</v>
      </c>
      <c r="N135" s="25"/>
      <c r="BS135" s="95"/>
      <c r="FF135" s="25"/>
      <c r="FG135" s="25"/>
      <c r="FH135" s="25"/>
      <c r="FI135" s="25"/>
      <c r="FJ135" s="25"/>
      <c r="FK135" s="25"/>
      <c r="FM135" s="25"/>
      <c r="FN135" s="25"/>
      <c r="FO135" s="263" t="s">
        <v>58</v>
      </c>
      <c r="FP135" s="250">
        <v>43915.873518518521</v>
      </c>
      <c r="FQ135" s="243">
        <v>43860</v>
      </c>
      <c r="FR135" s="26">
        <v>43860</v>
      </c>
      <c r="FS135" s="211">
        <v>2</v>
      </c>
      <c r="FT135" s="25">
        <v>0.25817905412496678</v>
      </c>
      <c r="FU135" s="25">
        <v>3.5765915584943579E-6</v>
      </c>
      <c r="FV135" s="21">
        <v>0.44243815709476098</v>
      </c>
      <c r="FW135" s="212">
        <v>72185.780764313138</v>
      </c>
      <c r="FX135" s="212">
        <v>2424.6918741970817</v>
      </c>
      <c r="FY135" s="212"/>
      <c r="FZ135" s="213">
        <v>0.58353346691364316</v>
      </c>
      <c r="GA135" s="213">
        <v>3.576591558494358E-3</v>
      </c>
      <c r="GB135" s="246">
        <v>43914</v>
      </c>
      <c r="GC135" s="26" t="s">
        <v>1146</v>
      </c>
      <c r="GD135" s="212">
        <v>72185.780764313138</v>
      </c>
      <c r="GE135" s="212">
        <v>69176</v>
      </c>
      <c r="GF135" s="74" t="s">
        <v>1147</v>
      </c>
      <c r="GG135" s="156">
        <v>43914</v>
      </c>
      <c r="GH135" s="25">
        <v>55</v>
      </c>
      <c r="GI135" s="25" t="s">
        <v>1148</v>
      </c>
      <c r="GJ135" s="25"/>
      <c r="GK135" s="25" t="s">
        <v>1149</v>
      </c>
      <c r="GM135" s="25" t="s">
        <v>1150</v>
      </c>
      <c r="GN135" s="20">
        <v>11443.507030603805</v>
      </c>
      <c r="GO135" s="156">
        <v>43899</v>
      </c>
      <c r="GP135" s="218">
        <v>16</v>
      </c>
      <c r="GQ135" s="156">
        <v>43897</v>
      </c>
      <c r="GR135" s="23">
        <v>18</v>
      </c>
      <c r="GS135" s="25"/>
      <c r="GT135" s="11"/>
      <c r="GU135" s="12"/>
      <c r="GV135" s="26"/>
      <c r="GW135" s="25"/>
      <c r="GX135" s="219"/>
      <c r="GY135" s="25"/>
      <c r="GZ135" s="25"/>
    </row>
    <row r="136" spans="1:230" x14ac:dyDescent="0.25">
      <c r="C136" s="16" t="s">
        <v>170</v>
      </c>
      <c r="D136" s="33"/>
      <c r="N136" s="25"/>
      <c r="BS136" s="95"/>
      <c r="FI136" s="59"/>
      <c r="FK136" s="59"/>
      <c r="FL136" s="26"/>
      <c r="FN136" s="59"/>
      <c r="FO136" s="263" t="s">
        <v>58</v>
      </c>
      <c r="FP136" s="250">
        <v>43916.336550925924</v>
      </c>
      <c r="FQ136" s="243">
        <v>43860</v>
      </c>
      <c r="FR136" s="26">
        <v>43860</v>
      </c>
      <c r="FS136" s="211">
        <v>2</v>
      </c>
      <c r="FT136" s="25">
        <v>0.25752779680433807</v>
      </c>
      <c r="FU136" s="25">
        <v>3.3859219411555139E-6</v>
      </c>
      <c r="FV136" s="21">
        <v>0.44235943793467725</v>
      </c>
      <c r="FW136" s="212">
        <v>76058.397470454249</v>
      </c>
      <c r="FX136" s="212">
        <v>2641.5821671232216</v>
      </c>
      <c r="FY136" s="212"/>
      <c r="FZ136" s="213">
        <v>0.5821652640942182</v>
      </c>
      <c r="GA136" s="213">
        <v>3.3859219411555138E-3</v>
      </c>
      <c r="GB136" s="246">
        <v>43915</v>
      </c>
      <c r="GC136" s="25" t="s">
        <v>1186</v>
      </c>
      <c r="GD136" s="212">
        <v>76058.397470454249</v>
      </c>
      <c r="GE136" s="212">
        <v>74386</v>
      </c>
      <c r="GF136" s="25" t="s">
        <v>1187</v>
      </c>
      <c r="GG136" s="156">
        <v>43915</v>
      </c>
      <c r="GH136" s="25">
        <v>56</v>
      </c>
      <c r="GI136" s="25" t="s">
        <v>1188</v>
      </c>
      <c r="GJ136" s="25"/>
      <c r="GK136" s="25" t="s">
        <v>1189</v>
      </c>
      <c r="GM136" s="62" t="s">
        <v>1190</v>
      </c>
      <c r="GN136" s="20">
        <v>12305.376344086022</v>
      </c>
      <c r="GO136" s="156">
        <v>43899</v>
      </c>
      <c r="GP136" s="218">
        <v>16</v>
      </c>
      <c r="GQ136" s="156">
        <v>43897</v>
      </c>
      <c r="GR136" s="25">
        <v>19</v>
      </c>
      <c r="GS136" s="25"/>
      <c r="GT136" s="11"/>
      <c r="GU136" s="12"/>
      <c r="GV136" s="26"/>
      <c r="GW136" s="25"/>
      <c r="GX136" s="219"/>
      <c r="GY136" s="25"/>
      <c r="GZ136" s="25"/>
    </row>
    <row r="137" spans="1:230" x14ac:dyDescent="0.25">
      <c r="N137" s="25"/>
      <c r="BS137" s="95"/>
      <c r="FF137" s="25"/>
      <c r="FG137" s="25"/>
      <c r="FH137" s="25"/>
      <c r="FI137" s="25"/>
      <c r="FJ137" s="25"/>
      <c r="FK137" s="25"/>
      <c r="FM137" s="25"/>
      <c r="FN137" s="25"/>
      <c r="FO137" s="263" t="s">
        <v>58</v>
      </c>
      <c r="FP137" s="250">
        <v>43916.338229166664</v>
      </c>
      <c r="FQ137" s="243">
        <v>43860</v>
      </c>
      <c r="FR137" s="26">
        <v>43860</v>
      </c>
      <c r="FS137" s="211">
        <v>2</v>
      </c>
      <c r="FT137" s="25">
        <v>0.25752779680433807</v>
      </c>
      <c r="FU137" s="25">
        <v>3.3859219411555139E-6</v>
      </c>
      <c r="FV137" s="21">
        <v>0.44235943793467725</v>
      </c>
      <c r="FW137" s="212">
        <v>76058.397470454249</v>
      </c>
      <c r="FX137" s="212">
        <v>2581.4033034715762</v>
      </c>
      <c r="FY137" s="212"/>
      <c r="FZ137" s="213">
        <v>0.5821652640942182</v>
      </c>
      <c r="GA137" s="213">
        <v>3.3859219411555138E-3</v>
      </c>
      <c r="GB137" s="246">
        <v>43915</v>
      </c>
      <c r="GC137" s="25" t="s">
        <v>1186</v>
      </c>
      <c r="GD137" s="212">
        <v>76058.397470454249</v>
      </c>
      <c r="GE137" s="212">
        <v>74386</v>
      </c>
      <c r="GF137" s="25" t="s">
        <v>1187</v>
      </c>
      <c r="GG137" s="156">
        <v>43915</v>
      </c>
      <c r="GH137" s="25">
        <v>56</v>
      </c>
      <c r="GI137" s="25" t="s">
        <v>1188</v>
      </c>
      <c r="GJ137" s="25"/>
      <c r="GK137" s="25" t="s">
        <v>1189</v>
      </c>
      <c r="GM137" s="62" t="s">
        <v>1190</v>
      </c>
      <c r="GN137" s="20">
        <v>12305.376344086022</v>
      </c>
      <c r="GO137" s="156">
        <v>43899</v>
      </c>
      <c r="GP137" s="218">
        <v>16</v>
      </c>
      <c r="GQ137" s="156">
        <v>43897</v>
      </c>
      <c r="GR137" s="23">
        <v>19</v>
      </c>
      <c r="GS137" s="25"/>
      <c r="GT137" s="11"/>
      <c r="GU137" s="12"/>
      <c r="GV137" s="26"/>
      <c r="GW137" s="25"/>
      <c r="GX137" s="219"/>
      <c r="GY137" s="25"/>
      <c r="GZ137" s="25"/>
    </row>
    <row r="138" spans="1:230" x14ac:dyDescent="0.25">
      <c r="N138" s="25"/>
      <c r="BS138" s="95"/>
      <c r="FF138" s="25"/>
      <c r="FG138" s="25"/>
      <c r="FH138" s="25"/>
      <c r="FI138" s="25"/>
      <c r="FJ138" s="25"/>
      <c r="FK138" s="25"/>
      <c r="FM138" s="25"/>
      <c r="FN138" s="25"/>
      <c r="FO138" s="265" t="s">
        <v>58</v>
      </c>
      <c r="FP138" s="250">
        <v>43916.504236111112</v>
      </c>
      <c r="FQ138" s="243">
        <v>43860</v>
      </c>
      <c r="FR138" s="26">
        <v>43889</v>
      </c>
      <c r="FS138" s="211">
        <v>2</v>
      </c>
      <c r="FT138" s="25">
        <v>0.25752779680433807</v>
      </c>
      <c r="FU138" s="25">
        <v>3.3859219411555139E-6</v>
      </c>
      <c r="FV138" s="21">
        <v>0.44235943793467725</v>
      </c>
      <c r="FW138" s="212">
        <v>76058.397470454249</v>
      </c>
      <c r="FX138" s="212">
        <v>3754.1329461284749</v>
      </c>
      <c r="FY138" s="212"/>
      <c r="FZ138" s="213">
        <v>0.5821652640942182</v>
      </c>
      <c r="GA138" s="213">
        <v>3.3859219411555138E-3</v>
      </c>
      <c r="GB138" s="246">
        <v>43915</v>
      </c>
      <c r="GC138" s="25" t="s">
        <v>1186</v>
      </c>
      <c r="GD138" s="212">
        <v>76058.397470454249</v>
      </c>
      <c r="GE138" s="212">
        <v>74386</v>
      </c>
      <c r="GF138" s="25" t="s">
        <v>1187</v>
      </c>
      <c r="GG138" s="156">
        <v>43915</v>
      </c>
      <c r="GH138" s="25">
        <v>56</v>
      </c>
      <c r="GI138" s="25" t="s">
        <v>1188</v>
      </c>
      <c r="GJ138" s="25"/>
      <c r="GK138" s="25" t="s">
        <v>1189</v>
      </c>
      <c r="GM138" s="25" t="s">
        <v>1190</v>
      </c>
      <c r="GN138" s="20">
        <v>12305.376344086022</v>
      </c>
      <c r="GO138" s="156">
        <v>43899</v>
      </c>
      <c r="GP138" s="218">
        <v>17</v>
      </c>
      <c r="GQ138" s="156">
        <v>43898</v>
      </c>
      <c r="GR138" s="25">
        <v>18</v>
      </c>
      <c r="GS138" s="25"/>
      <c r="GT138" s="11"/>
      <c r="GU138" s="12"/>
      <c r="GV138" s="26"/>
      <c r="GW138" s="25"/>
      <c r="GX138" s="219"/>
      <c r="GY138" s="25"/>
      <c r="GZ138" s="25"/>
    </row>
    <row r="139" spans="1:230" x14ac:dyDescent="0.25">
      <c r="N139" s="25"/>
      <c r="BS139" s="95"/>
      <c r="FF139" s="25"/>
      <c r="FG139" s="25"/>
      <c r="FH139" s="25"/>
      <c r="FI139" s="25"/>
      <c r="FJ139" s="25"/>
      <c r="FK139" s="25"/>
      <c r="FM139" s="25"/>
      <c r="FN139" s="25"/>
      <c r="FO139" s="263" t="s">
        <v>58</v>
      </c>
      <c r="FP139" s="250">
        <v>43916.524247685185</v>
      </c>
      <c r="FQ139" s="243">
        <v>43860</v>
      </c>
      <c r="FR139" s="26">
        <v>43880</v>
      </c>
      <c r="FS139" s="211">
        <v>2</v>
      </c>
      <c r="FT139" s="25">
        <v>0.25752779680433807</v>
      </c>
      <c r="FU139" s="25">
        <v>3.3859219411555139E-6</v>
      </c>
      <c r="FV139" s="21">
        <v>0.44235943793467725</v>
      </c>
      <c r="FW139" s="212">
        <v>76058.397470454249</v>
      </c>
      <c r="FX139" s="212">
        <v>3235.9046307493036</v>
      </c>
      <c r="FY139" s="212"/>
      <c r="FZ139" s="213">
        <v>0.5821652640942182</v>
      </c>
      <c r="GA139" s="213">
        <v>3.3859219411555138E-3</v>
      </c>
      <c r="GB139" s="246">
        <v>43915</v>
      </c>
      <c r="GC139" s="25" t="s">
        <v>1186</v>
      </c>
      <c r="GD139" s="212">
        <v>76058.397470454249</v>
      </c>
      <c r="GE139" s="212">
        <v>74386</v>
      </c>
      <c r="GF139" s="25" t="s">
        <v>1187</v>
      </c>
      <c r="GG139" s="156">
        <v>43915</v>
      </c>
      <c r="GH139" s="25">
        <v>56</v>
      </c>
      <c r="GI139" s="25" t="s">
        <v>1188</v>
      </c>
      <c r="GJ139" s="25"/>
      <c r="GK139" s="25" t="s">
        <v>1189</v>
      </c>
      <c r="GM139" s="62" t="s">
        <v>1190</v>
      </c>
      <c r="GN139" s="20">
        <v>12298.255765892371</v>
      </c>
      <c r="GO139" s="156">
        <v>43899</v>
      </c>
      <c r="GP139" s="218">
        <v>17</v>
      </c>
      <c r="GQ139" s="156">
        <v>43898</v>
      </c>
      <c r="GR139" s="23">
        <v>18</v>
      </c>
      <c r="GS139" s="25"/>
      <c r="GT139" s="11"/>
      <c r="GU139" s="12"/>
      <c r="GV139" s="26"/>
      <c r="GW139" s="25"/>
      <c r="GX139" s="219"/>
      <c r="GY139" s="25"/>
      <c r="GZ139" s="25"/>
    </row>
    <row r="140" spans="1:230" x14ac:dyDescent="0.25">
      <c r="N140" s="25"/>
      <c r="BS140" s="95"/>
      <c r="FF140" s="25"/>
      <c r="FG140" s="25"/>
      <c r="FH140" s="25"/>
      <c r="FI140" s="25"/>
      <c r="FJ140" s="25"/>
      <c r="FK140" s="25"/>
      <c r="FM140" s="25"/>
      <c r="FN140" s="25"/>
      <c r="FO140" s="263" t="s">
        <v>58</v>
      </c>
      <c r="FP140" s="250">
        <v>43916.899085648147</v>
      </c>
      <c r="FQ140" s="243">
        <v>43860</v>
      </c>
      <c r="FR140" s="26">
        <v>43860</v>
      </c>
      <c r="FS140" s="211">
        <v>2</v>
      </c>
      <c r="FT140" s="25">
        <v>0.25752779680433807</v>
      </c>
      <c r="FU140" s="71">
        <v>3.3859219411555139E-6</v>
      </c>
      <c r="FV140" s="21">
        <v>0.44235943793467725</v>
      </c>
      <c r="FW140" s="212">
        <v>76058.397470454249</v>
      </c>
      <c r="FX140" s="212">
        <v>2581.4033034715762</v>
      </c>
      <c r="FY140" s="212"/>
      <c r="FZ140" s="213">
        <v>0.5821652640942182</v>
      </c>
      <c r="GA140" s="213">
        <v>3.3859219411555138E-3</v>
      </c>
      <c r="GB140" s="246">
        <v>43915</v>
      </c>
      <c r="GC140" s="74" t="s">
        <v>1186</v>
      </c>
      <c r="GD140" s="212">
        <v>76058.397470454249</v>
      </c>
      <c r="GE140" s="212">
        <v>74386</v>
      </c>
      <c r="GF140" s="25" t="s">
        <v>1187</v>
      </c>
      <c r="GG140" s="156">
        <v>43915</v>
      </c>
      <c r="GH140" s="25">
        <v>56</v>
      </c>
      <c r="GI140" s="25" t="s">
        <v>1188</v>
      </c>
      <c r="GJ140" s="25"/>
      <c r="GK140" s="62" t="s">
        <v>1189</v>
      </c>
      <c r="GM140" s="62" t="s">
        <v>1190</v>
      </c>
      <c r="GN140" s="20">
        <v>12298.255765892371</v>
      </c>
      <c r="GO140" s="156">
        <v>43899</v>
      </c>
      <c r="GP140" s="218">
        <v>17</v>
      </c>
      <c r="GQ140" s="156">
        <v>43898</v>
      </c>
      <c r="GR140" s="25">
        <v>18</v>
      </c>
      <c r="GS140" s="25"/>
      <c r="GT140" s="11"/>
      <c r="GU140" s="12"/>
      <c r="GV140" s="26"/>
      <c r="GW140" s="25"/>
      <c r="GX140" s="219"/>
      <c r="GY140" s="25"/>
      <c r="GZ140" s="25"/>
    </row>
    <row r="141" spans="1:230" x14ac:dyDescent="0.25">
      <c r="N141" s="25"/>
      <c r="BS141" s="95"/>
      <c r="FF141" s="25"/>
      <c r="FG141" s="25"/>
      <c r="FH141" s="25"/>
      <c r="FI141" s="25"/>
      <c r="FJ141" s="25"/>
      <c r="FK141" s="25"/>
      <c r="FM141" s="25"/>
      <c r="FN141" s="25"/>
      <c r="FO141" s="263" t="s">
        <v>58</v>
      </c>
      <c r="FP141" s="250">
        <v>43918.90079861111</v>
      </c>
      <c r="FQ141" s="243">
        <v>43860</v>
      </c>
      <c r="FR141" s="26">
        <v>43883</v>
      </c>
      <c r="FS141" s="211">
        <v>2</v>
      </c>
      <c r="FT141" s="25">
        <v>0.25834558435147831</v>
      </c>
      <c r="FU141" s="71">
        <v>3.2108327742279526E-6</v>
      </c>
      <c r="FV141" s="21">
        <v>0.44338020806896927</v>
      </c>
      <c r="FW141" s="212">
        <v>80460.61645599021</v>
      </c>
      <c r="FX141" s="212">
        <v>4840.450793699004</v>
      </c>
      <c r="FY141" s="212"/>
      <c r="FZ141" s="213">
        <v>0.58266958251683731</v>
      </c>
      <c r="GA141" s="213">
        <v>3.2108327742279524E-3</v>
      </c>
      <c r="GB141" s="246">
        <v>43917</v>
      </c>
      <c r="GC141" s="74" t="s">
        <v>1364</v>
      </c>
      <c r="GD141" s="212">
        <v>80460.61645599021</v>
      </c>
      <c r="GE141" s="212">
        <v>86498</v>
      </c>
      <c r="GF141" s="25" t="s">
        <v>1365</v>
      </c>
      <c r="GG141" s="156">
        <v>43917</v>
      </c>
      <c r="GH141" s="25">
        <v>58</v>
      </c>
      <c r="GI141" s="25" t="s">
        <v>1366</v>
      </c>
      <c r="GJ141" s="25"/>
      <c r="GK141" s="62" t="s">
        <v>1367</v>
      </c>
      <c r="GM141" s="62" t="s">
        <v>1368</v>
      </c>
      <c r="GN141" s="20">
        <v>14300.735719599901</v>
      </c>
      <c r="GO141" s="156">
        <v>43901</v>
      </c>
      <c r="GP141" s="218">
        <v>17</v>
      </c>
      <c r="GQ141" s="156">
        <v>43899</v>
      </c>
      <c r="GR141" s="23">
        <v>19</v>
      </c>
      <c r="GS141" s="25"/>
      <c r="GT141" s="11"/>
      <c r="GU141" s="12"/>
      <c r="GV141" s="26"/>
      <c r="GW141" s="25"/>
      <c r="GX141" s="219"/>
      <c r="GY141" s="25"/>
      <c r="GZ141" s="25"/>
    </row>
    <row r="142" spans="1:230" x14ac:dyDescent="0.25">
      <c r="N142" s="25"/>
      <c r="BS142" s="95"/>
      <c r="FF142" s="25"/>
      <c r="FG142" s="25"/>
      <c r="FH142" s="25"/>
      <c r="FI142" s="25"/>
      <c r="FJ142" s="25"/>
      <c r="FK142" s="25"/>
      <c r="FM142" s="25"/>
      <c r="FN142" s="25"/>
      <c r="FO142" s="266" t="s">
        <v>58</v>
      </c>
      <c r="FP142" s="250">
        <v>43919.682615740741</v>
      </c>
      <c r="FQ142" s="243">
        <v>43860</v>
      </c>
      <c r="FR142" s="26">
        <v>43883</v>
      </c>
      <c r="FS142" s="211">
        <v>2</v>
      </c>
      <c r="FT142" s="25">
        <v>0.25764913322076793</v>
      </c>
      <c r="FU142" s="25">
        <v>3.0140330772061309E-6</v>
      </c>
      <c r="FV142" s="21">
        <v>0.44330034133032414</v>
      </c>
      <c r="FW142" s="212">
        <v>85483.180383540035</v>
      </c>
      <c r="FX142" s="212">
        <v>5360.6101240867911</v>
      </c>
      <c r="FY142" s="212"/>
      <c r="FZ142" s="213">
        <v>0.58120369663079141</v>
      </c>
      <c r="GA142" s="213">
        <v>3.014033077206131E-3</v>
      </c>
      <c r="GB142" s="246">
        <v>43918</v>
      </c>
      <c r="GC142" s="26" t="s">
        <v>1420</v>
      </c>
      <c r="GD142" s="212">
        <v>85483.180383540035</v>
      </c>
      <c r="GE142" s="212">
        <v>92472</v>
      </c>
      <c r="GF142" s="26" t="s">
        <v>1378</v>
      </c>
      <c r="GG142" s="156">
        <v>43918</v>
      </c>
      <c r="GH142" s="25">
        <v>59</v>
      </c>
      <c r="GI142" s="25" t="s">
        <v>1421</v>
      </c>
      <c r="GJ142" s="25"/>
      <c r="GK142" s="25" t="s">
        <v>1422</v>
      </c>
      <c r="GL142" s="62"/>
      <c r="GM142" s="25" t="s">
        <v>1423</v>
      </c>
      <c r="GN142" s="20">
        <v>15288.418616185832</v>
      </c>
      <c r="GO142" s="156">
        <v>43903</v>
      </c>
      <c r="GP142" s="218">
        <v>16</v>
      </c>
      <c r="GQ142" s="156">
        <v>43900</v>
      </c>
      <c r="GR142" s="25">
        <v>19</v>
      </c>
      <c r="GS142" s="25"/>
      <c r="GT142" s="11"/>
      <c r="GU142" s="12"/>
      <c r="GV142" s="26"/>
      <c r="GW142" s="25"/>
      <c r="GX142" s="219"/>
      <c r="GY142" s="25"/>
      <c r="GZ142" s="25"/>
    </row>
    <row r="143" spans="1:230" x14ac:dyDescent="0.25">
      <c r="N143" s="25"/>
      <c r="BS143" s="95"/>
      <c r="FF143" s="25"/>
      <c r="FG143" s="25"/>
      <c r="FH143" s="25"/>
      <c r="FI143" s="25"/>
      <c r="FJ143" s="25"/>
      <c r="FK143" s="25"/>
      <c r="FM143" s="25"/>
      <c r="FN143" s="25"/>
      <c r="FO143" s="265" t="s">
        <v>58</v>
      </c>
      <c r="FP143" s="250">
        <v>43921.585694444446</v>
      </c>
      <c r="FQ143" s="243">
        <v>43860</v>
      </c>
      <c r="FR143" s="26">
        <v>43860</v>
      </c>
      <c r="FS143" s="211">
        <v>2</v>
      </c>
      <c r="FT143" s="25">
        <v>0.25713417355293045</v>
      </c>
      <c r="FU143" s="73">
        <v>2.8100286746778701E-6</v>
      </c>
      <c r="FV143" s="21">
        <v>0.44324338798533358</v>
      </c>
      <c r="FW143" s="212">
        <v>91505.889555524627</v>
      </c>
      <c r="FX143" s="212">
        <v>5055.149148071896</v>
      </c>
      <c r="FY143" s="212"/>
      <c r="FZ143" s="213">
        <v>0.58011678232819708</v>
      </c>
      <c r="GA143" s="213">
        <v>2.81002867467787E-3</v>
      </c>
      <c r="GB143" s="246">
        <v>43920</v>
      </c>
      <c r="GC143" s="25" t="s">
        <v>1487</v>
      </c>
      <c r="GD143" s="212">
        <v>91505.889555524627</v>
      </c>
      <c r="GE143" s="212">
        <v>101739</v>
      </c>
      <c r="GF143" s="25" t="s">
        <v>1488</v>
      </c>
      <c r="GG143" s="156">
        <v>43920</v>
      </c>
      <c r="GH143" s="25">
        <v>61</v>
      </c>
      <c r="GI143" s="25" t="s">
        <v>1489</v>
      </c>
      <c r="GJ143" s="62"/>
      <c r="GK143" s="25" t="s">
        <v>1490</v>
      </c>
      <c r="GM143" s="25" t="s">
        <v>1491</v>
      </c>
      <c r="GN143" s="20">
        <v>16820.534016698355</v>
      </c>
      <c r="GO143" s="156">
        <v>43903</v>
      </c>
      <c r="GP143" s="218">
        <v>18</v>
      </c>
      <c r="GQ143" s="156">
        <v>43901</v>
      </c>
      <c r="GR143" s="23">
        <v>20</v>
      </c>
      <c r="GS143" s="25"/>
      <c r="GT143" s="11"/>
      <c r="GU143" s="12"/>
      <c r="GV143" s="26"/>
      <c r="GW143" s="25"/>
      <c r="GX143" s="219"/>
      <c r="GY143" s="25"/>
      <c r="GZ143" s="25"/>
    </row>
    <row r="144" spans="1:230" x14ac:dyDescent="0.25">
      <c r="N144" s="25"/>
      <c r="BS144" s="95"/>
      <c r="FF144" s="25"/>
      <c r="FG144" s="25"/>
      <c r="FH144" s="25"/>
      <c r="FI144" s="25"/>
      <c r="FJ144" s="25"/>
      <c r="FK144" s="25"/>
      <c r="FM144" s="25"/>
      <c r="FN144" s="25"/>
      <c r="FO144" s="265" t="s">
        <v>58</v>
      </c>
      <c r="FP144" s="250">
        <v>43922.849479166667</v>
      </c>
      <c r="FQ144" s="243">
        <v>43860</v>
      </c>
      <c r="FR144" s="26">
        <v>43860</v>
      </c>
      <c r="FS144" s="211">
        <v>2</v>
      </c>
      <c r="FT144" s="25">
        <v>0.25713417355292001</v>
      </c>
      <c r="FU144" s="74">
        <v>2.8076503886782225E-6</v>
      </c>
      <c r="FV144" s="21">
        <v>0.44324338798533208</v>
      </c>
      <c r="FW144" s="212">
        <v>91583.401761774512</v>
      </c>
      <c r="FX144" s="214">
        <v>5471.1464445216561</v>
      </c>
      <c r="FY144" s="214"/>
      <c r="FZ144" s="213">
        <v>0.58011678470646155</v>
      </c>
      <c r="GA144" s="213">
        <v>2.8076503886782225E-3</v>
      </c>
      <c r="GB144" s="246">
        <v>43921</v>
      </c>
      <c r="GC144" s="26" t="s">
        <v>1555</v>
      </c>
      <c r="GD144" s="214">
        <v>91583.401761774512</v>
      </c>
      <c r="GE144" s="214">
        <v>105792</v>
      </c>
      <c r="GF144" s="62" t="s">
        <v>1488</v>
      </c>
      <c r="GG144" s="156">
        <v>43921</v>
      </c>
      <c r="GH144" s="25">
        <v>62</v>
      </c>
      <c r="GI144" s="25" t="s">
        <v>1556</v>
      </c>
      <c r="GJ144" s="62"/>
      <c r="GK144" s="62" t="s">
        <v>1490</v>
      </c>
      <c r="GM144" s="25" t="s">
        <v>1557</v>
      </c>
      <c r="GN144" s="20">
        <v>17490.617508473177</v>
      </c>
      <c r="GO144" s="156">
        <v>43903</v>
      </c>
      <c r="GP144" s="218">
        <v>19</v>
      </c>
      <c r="GQ144" s="156">
        <v>43901</v>
      </c>
      <c r="GR144" s="25">
        <v>21</v>
      </c>
      <c r="GS144" s="25"/>
      <c r="GT144" s="11"/>
      <c r="GU144" s="12"/>
      <c r="GV144" s="26"/>
      <c r="GW144" s="25"/>
      <c r="GX144" s="219"/>
      <c r="GY144" s="25"/>
      <c r="GZ144" s="25"/>
    </row>
    <row r="145" spans="14:209" x14ac:dyDescent="0.25">
      <c r="N145" s="25"/>
      <c r="FF145" s="25"/>
      <c r="FG145" s="25"/>
      <c r="FH145" s="25"/>
      <c r="FI145" s="25"/>
      <c r="FJ145" s="25"/>
      <c r="FK145" s="25"/>
      <c r="FM145" s="25"/>
      <c r="FN145" s="25"/>
      <c r="FO145" s="265" t="s">
        <v>58</v>
      </c>
      <c r="FP145" s="250">
        <v>43923.637337962966</v>
      </c>
      <c r="FQ145" s="243">
        <v>43860</v>
      </c>
      <c r="FR145" s="26">
        <v>43860</v>
      </c>
      <c r="FS145" s="211">
        <v>2</v>
      </c>
      <c r="FT145" s="25">
        <v>0.25663492320892073</v>
      </c>
      <c r="FU145" s="74">
        <v>2.6383830612608161E-6</v>
      </c>
      <c r="FV145" s="21">
        <v>0.44319016308144682</v>
      </c>
      <c r="FW145" s="212">
        <v>97269.773664435765</v>
      </c>
      <c r="FX145" s="214">
        <v>5899.4841771520232</v>
      </c>
      <c r="FY145" s="212">
        <v>0.96799058440682628</v>
      </c>
      <c r="FZ145" s="213">
        <v>0.57906013102628118</v>
      </c>
      <c r="GA145" s="213">
        <v>2.6383830612608161E-3</v>
      </c>
      <c r="GB145" s="256">
        <v>43922</v>
      </c>
      <c r="GC145" s="25" t="s">
        <v>1606</v>
      </c>
      <c r="GD145" s="214">
        <v>97269.773664435765</v>
      </c>
      <c r="GE145" s="214">
        <v>110574</v>
      </c>
      <c r="GF145" s="25" t="s">
        <v>1607</v>
      </c>
      <c r="GG145" s="156">
        <v>43922</v>
      </c>
      <c r="GH145" s="25">
        <v>63</v>
      </c>
      <c r="GI145" s="62" t="s">
        <v>1608</v>
      </c>
      <c r="GJ145" s="62"/>
      <c r="GK145" s="25" t="s">
        <v>1609</v>
      </c>
      <c r="GM145" s="25" t="s">
        <v>1610</v>
      </c>
      <c r="GN145" s="20">
        <v>18281.226750433994</v>
      </c>
      <c r="GO145" s="156">
        <v>43903</v>
      </c>
      <c r="GP145" s="218">
        <v>20</v>
      </c>
      <c r="GQ145" s="156">
        <v>43901</v>
      </c>
      <c r="GR145" s="25">
        <v>22</v>
      </c>
      <c r="GS145" s="25"/>
      <c r="GT145" s="11"/>
      <c r="GU145" s="12"/>
      <c r="GV145" s="26"/>
      <c r="GW145" s="25"/>
      <c r="GX145" s="219"/>
      <c r="GY145" s="25"/>
      <c r="GZ145" s="25"/>
    </row>
    <row r="146" spans="14:209" x14ac:dyDescent="0.25">
      <c r="N146" s="25"/>
      <c r="FF146" s="25"/>
      <c r="FG146" s="25"/>
      <c r="FH146" s="25"/>
      <c r="FI146" s="25"/>
      <c r="FJ146" s="25"/>
      <c r="FK146" s="25"/>
      <c r="FM146" s="25"/>
      <c r="FN146" s="25"/>
      <c r="FO146" s="268" t="s">
        <v>58</v>
      </c>
      <c r="FP146" s="250">
        <v>43924.883831018517</v>
      </c>
      <c r="FQ146" s="243">
        <v>43860</v>
      </c>
      <c r="FR146" s="160">
        <v>43860</v>
      </c>
      <c r="FS146" s="211">
        <v>2</v>
      </c>
      <c r="FT146" s="72">
        <v>0.25663492320892073</v>
      </c>
      <c r="FU146" s="74">
        <v>2.6383830612608161E-6</v>
      </c>
      <c r="FV146" s="21">
        <v>0.44319016308144682</v>
      </c>
      <c r="FW146" s="212">
        <v>97269.773664435765</v>
      </c>
      <c r="FX146" s="212">
        <v>6346.0118469017898</v>
      </c>
      <c r="FY146" s="212">
        <v>0.96663798709088478</v>
      </c>
      <c r="FZ146" s="213">
        <v>0.57906013102628118</v>
      </c>
      <c r="GA146" s="213">
        <v>2.6383830612608161E-3</v>
      </c>
      <c r="GB146" s="246">
        <v>43923</v>
      </c>
      <c r="GC146" s="23" t="s">
        <v>1606</v>
      </c>
      <c r="GD146" s="212">
        <v>97269.773664435765</v>
      </c>
      <c r="GE146" s="212">
        <v>115242</v>
      </c>
      <c r="GF146" s="23" t="s">
        <v>1607</v>
      </c>
      <c r="GG146" s="156">
        <v>43923</v>
      </c>
      <c r="GH146" s="25">
        <v>64</v>
      </c>
      <c r="GI146" s="21" t="s">
        <v>1634</v>
      </c>
      <c r="GJ146" s="161"/>
      <c r="GK146" s="23" t="s">
        <v>1609</v>
      </c>
      <c r="GL146" s="23"/>
      <c r="GM146" s="23" t="s">
        <v>1635</v>
      </c>
      <c r="GN146" s="165">
        <v>19052.988344217574</v>
      </c>
      <c r="GO146" s="156">
        <v>43904</v>
      </c>
      <c r="GP146" s="218">
        <v>20</v>
      </c>
      <c r="GQ146" s="156">
        <v>43902</v>
      </c>
      <c r="GR146" s="23">
        <v>22</v>
      </c>
      <c r="GS146" s="23"/>
      <c r="GT146" s="11"/>
      <c r="GU146" s="12"/>
      <c r="GV146" s="26"/>
      <c r="GW146" s="25"/>
      <c r="GX146" s="219"/>
      <c r="GY146" s="25"/>
      <c r="GZ146" s="25"/>
    </row>
    <row r="147" spans="14:209" x14ac:dyDescent="0.25">
      <c r="N147" s="25"/>
      <c r="FF147" s="25"/>
      <c r="FG147" s="25"/>
      <c r="FH147" s="25"/>
      <c r="FI147" s="25"/>
      <c r="FJ147" s="25"/>
      <c r="FK147" s="25"/>
      <c r="FM147" s="25"/>
      <c r="FN147" s="25"/>
      <c r="FO147" s="268" t="s">
        <v>58</v>
      </c>
      <c r="FP147" s="250">
        <v>43925.4690162037</v>
      </c>
      <c r="FQ147" s="243">
        <v>43860</v>
      </c>
      <c r="FR147" s="160">
        <v>43860</v>
      </c>
      <c r="FS147" s="211">
        <v>2</v>
      </c>
      <c r="FT147" s="72">
        <v>0.25615111549961311</v>
      </c>
      <c r="FU147" s="74">
        <v>2.4910192278408084E-6</v>
      </c>
      <c r="FV147" s="21">
        <v>0.44314035530427015</v>
      </c>
      <c r="FW147" s="212">
        <v>102829.84275542604</v>
      </c>
      <c r="FX147" s="212">
        <v>6848.1429838937411</v>
      </c>
      <c r="FY147" s="212">
        <v>0.96483904382238994</v>
      </c>
      <c r="FZ147" s="213">
        <v>0.57803359265844567</v>
      </c>
      <c r="GA147" s="213">
        <v>2.4910192278408084E-3</v>
      </c>
      <c r="GB147" s="246">
        <v>43924</v>
      </c>
      <c r="GC147" s="23" t="s">
        <v>1663</v>
      </c>
      <c r="GD147" s="212">
        <v>102829.84275542604</v>
      </c>
      <c r="GE147" s="212">
        <v>119827</v>
      </c>
      <c r="GF147" s="23" t="s">
        <v>1664</v>
      </c>
      <c r="GG147" s="156">
        <v>43924</v>
      </c>
      <c r="GH147" s="25">
        <v>65</v>
      </c>
      <c r="GI147" s="21" t="s">
        <v>1665</v>
      </c>
      <c r="GJ147" s="161"/>
      <c r="GK147" s="23" t="s">
        <v>1666</v>
      </c>
      <c r="GL147" s="23"/>
      <c r="GM147" s="23" t="s">
        <v>1667</v>
      </c>
      <c r="GN147" s="165">
        <v>19811.027527486156</v>
      </c>
      <c r="GO147" s="156">
        <v>43904</v>
      </c>
      <c r="GP147" s="218">
        <v>20</v>
      </c>
      <c r="GQ147" s="156">
        <v>43903</v>
      </c>
      <c r="GR147" s="23">
        <v>22</v>
      </c>
      <c r="GS147" s="23"/>
      <c r="GT147" s="11"/>
      <c r="GU147" s="12"/>
      <c r="GV147" s="26"/>
      <c r="GW147" s="25"/>
      <c r="GX147" s="219"/>
      <c r="GY147" s="25"/>
      <c r="GZ147" s="25"/>
      <c r="HA147" s="25"/>
    </row>
    <row r="148" spans="14:209" x14ac:dyDescent="0.25">
      <c r="N148" s="25"/>
      <c r="FF148" s="25"/>
      <c r="FG148" s="25"/>
      <c r="FH148" s="25"/>
      <c r="FI148" s="25"/>
      <c r="FJ148" s="25"/>
      <c r="FK148" s="25"/>
      <c r="FM148" s="25"/>
      <c r="FN148" s="25"/>
      <c r="FO148" s="265" t="s">
        <v>58</v>
      </c>
      <c r="FP148" s="250">
        <v>43925.970277777778</v>
      </c>
      <c r="FQ148" s="243">
        <v>43860</v>
      </c>
      <c r="FR148" s="26">
        <v>43860</v>
      </c>
      <c r="FS148" s="211">
        <v>2</v>
      </c>
      <c r="FT148" s="25">
        <v>0.25615111549961311</v>
      </c>
      <c r="FU148" s="72">
        <v>2.4910192278408084E-6</v>
      </c>
      <c r="FV148" s="21">
        <v>0.44314035530427015</v>
      </c>
      <c r="FW148" s="212">
        <v>102829.84275542604</v>
      </c>
      <c r="FX148" s="214">
        <v>6848.1429838937411</v>
      </c>
      <c r="FY148" s="214">
        <v>0.96483904382238994</v>
      </c>
      <c r="FZ148" s="213">
        <v>0.57803359265844567</v>
      </c>
      <c r="GA148" s="213">
        <v>2.4910192278408084E-3</v>
      </c>
      <c r="GB148" s="246">
        <v>43924</v>
      </c>
      <c r="GC148" s="136" t="s">
        <v>1663</v>
      </c>
      <c r="GD148" s="214">
        <v>102829.84275542604</v>
      </c>
      <c r="GE148" s="214">
        <v>119827</v>
      </c>
      <c r="GF148" s="73" t="s">
        <v>1664</v>
      </c>
      <c r="GG148" s="156">
        <v>43924</v>
      </c>
      <c r="GH148" s="25">
        <v>65</v>
      </c>
      <c r="GI148" s="19" t="s">
        <v>1665</v>
      </c>
      <c r="GJ148" s="62"/>
      <c r="GK148" s="62" t="s">
        <v>1666</v>
      </c>
      <c r="GM148" s="25" t="s">
        <v>1667</v>
      </c>
      <c r="GN148" s="20">
        <v>19811.027527486156</v>
      </c>
      <c r="GO148" s="156">
        <v>43904</v>
      </c>
      <c r="GP148" s="218">
        <v>21</v>
      </c>
      <c r="GQ148" s="156">
        <v>43903</v>
      </c>
      <c r="GR148" s="25">
        <v>22</v>
      </c>
      <c r="GS148" s="25"/>
      <c r="GT148" s="11"/>
      <c r="GU148" s="12"/>
      <c r="GV148" s="26"/>
      <c r="GW148" s="25"/>
      <c r="GX148" s="219"/>
      <c r="GY148" s="25"/>
      <c r="GZ148" s="25"/>
    </row>
    <row r="149" spans="14:209" x14ac:dyDescent="0.25">
      <c r="N149" s="25"/>
      <c r="FF149" s="25"/>
      <c r="FG149" s="25"/>
      <c r="FH149" s="25"/>
      <c r="FI149" s="25"/>
      <c r="FJ149" s="25"/>
      <c r="FK149" s="25"/>
      <c r="FM149" s="25"/>
      <c r="FN149" s="25"/>
      <c r="FO149" s="267" t="s">
        <v>58</v>
      </c>
      <c r="FP149" s="250">
        <v>43926.549571759257</v>
      </c>
      <c r="FQ149" s="243">
        <v>43860</v>
      </c>
      <c r="FR149" s="160">
        <v>43860</v>
      </c>
      <c r="FS149" s="211">
        <v>2</v>
      </c>
      <c r="FT149" s="72">
        <v>0.25615111549961311</v>
      </c>
      <c r="FU149" s="72">
        <v>2.4910192278408084E-6</v>
      </c>
      <c r="FV149" s="21">
        <v>0.44314035530427015</v>
      </c>
      <c r="FW149" s="212">
        <v>102829.84275542604</v>
      </c>
      <c r="FX149" s="212">
        <v>7378.7357336819687</v>
      </c>
      <c r="FY149" s="212">
        <v>0.96285322731953638</v>
      </c>
      <c r="FZ149" s="213">
        <v>0.57803359265844567</v>
      </c>
      <c r="GA149" s="213">
        <v>2.4910192278408084E-3</v>
      </c>
      <c r="GB149" s="246">
        <v>43925</v>
      </c>
      <c r="GC149" s="160" t="s">
        <v>1663</v>
      </c>
      <c r="GD149" s="212">
        <v>102829.84275542604</v>
      </c>
      <c r="GE149" s="212">
        <v>124632</v>
      </c>
      <c r="GF149" s="74" t="s">
        <v>1664</v>
      </c>
      <c r="GG149" s="156">
        <v>43925</v>
      </c>
      <c r="GH149" s="25">
        <v>66</v>
      </c>
      <c r="GI149" s="23" t="s">
        <v>1886</v>
      </c>
      <c r="GJ149" s="21"/>
      <c r="GK149" s="161" t="s">
        <v>1666</v>
      </c>
      <c r="GL149" s="23"/>
      <c r="GM149" s="23" t="s">
        <v>1887</v>
      </c>
      <c r="GN149" s="165">
        <v>20605.439365131853</v>
      </c>
      <c r="GO149" s="156">
        <v>43904</v>
      </c>
      <c r="GP149" s="218">
        <v>22</v>
      </c>
      <c r="GQ149" s="156">
        <v>43903</v>
      </c>
      <c r="GR149" s="23">
        <v>23</v>
      </c>
      <c r="GS149" s="23"/>
      <c r="GT149" s="11"/>
      <c r="GU149" s="34"/>
      <c r="GV149" s="26"/>
      <c r="GW149" s="25"/>
      <c r="GX149" s="219"/>
      <c r="GY149" s="25"/>
      <c r="GZ149" s="25"/>
      <c r="HA149" s="25"/>
    </row>
    <row r="150" spans="14:209" x14ac:dyDescent="0.25">
      <c r="N150" s="25"/>
      <c r="FF150" s="25"/>
      <c r="FG150" s="25"/>
      <c r="FH150" s="25"/>
      <c r="FI150" s="25"/>
      <c r="FJ150" s="25"/>
      <c r="FK150" s="25"/>
      <c r="FM150" s="25"/>
      <c r="FN150" s="25"/>
      <c r="FO150" s="267" t="s">
        <v>58</v>
      </c>
      <c r="FP150" s="250">
        <v>43927.804247685184</v>
      </c>
      <c r="FQ150" s="243">
        <v>43860</v>
      </c>
      <c r="FR150" s="160">
        <v>43860</v>
      </c>
      <c r="FS150" s="211">
        <v>2</v>
      </c>
      <c r="FT150" s="72">
        <v>0.25567442427490933</v>
      </c>
      <c r="FU150" s="72">
        <v>2.3609615666830834E-6</v>
      </c>
      <c r="FV150" s="21">
        <v>0.44309288640317562</v>
      </c>
      <c r="FW150" s="212">
        <v>108292.49738025448</v>
      </c>
      <c r="FX150" s="212">
        <v>7903.7300694539972</v>
      </c>
      <c r="FY150" s="212">
        <v>0.96100703268812604</v>
      </c>
      <c r="FZ150" s="213">
        <v>0.5770198213405614</v>
      </c>
      <c r="GA150" s="213">
        <v>2.3609615666830832E-3</v>
      </c>
      <c r="GB150" s="246">
        <v>43926</v>
      </c>
      <c r="GC150" s="160" t="s">
        <v>1923</v>
      </c>
      <c r="GD150" s="212">
        <v>108292.49738025448</v>
      </c>
      <c r="GE150" s="212">
        <v>128948</v>
      </c>
      <c r="GF150" s="74" t="s">
        <v>1924</v>
      </c>
      <c r="GG150" s="156">
        <v>43926</v>
      </c>
      <c r="GH150" s="25">
        <v>67</v>
      </c>
      <c r="GI150" s="23" t="s">
        <v>1925</v>
      </c>
      <c r="GJ150" s="21"/>
      <c r="GK150" s="161" t="s">
        <v>1926</v>
      </c>
      <c r="GL150" s="23"/>
      <c r="GM150" s="23" t="s">
        <v>1927</v>
      </c>
      <c r="GN150" s="165">
        <v>21319.004711912046</v>
      </c>
      <c r="GO150" s="156">
        <v>43904</v>
      </c>
      <c r="GP150" s="218">
        <v>23</v>
      </c>
      <c r="GQ150" s="243">
        <v>43903</v>
      </c>
      <c r="GR150" s="23">
        <v>24</v>
      </c>
      <c r="GS150" s="23"/>
      <c r="GT150" s="11"/>
      <c r="GU150" s="34"/>
      <c r="GV150" s="26"/>
      <c r="GW150" s="25"/>
      <c r="GX150" s="219"/>
      <c r="GY150" s="25"/>
      <c r="GZ150" s="25"/>
      <c r="HA150" s="25"/>
    </row>
    <row r="151" spans="14:209" x14ac:dyDescent="0.25">
      <c r="N151" s="25"/>
      <c r="FF151" s="25"/>
      <c r="FG151" s="25"/>
      <c r="FH151" s="25"/>
      <c r="FI151" s="25"/>
      <c r="FJ151" s="25"/>
      <c r="FK151" s="25"/>
      <c r="FM151" s="25"/>
      <c r="FN151" s="25"/>
      <c r="FO151" s="263" t="s">
        <v>58</v>
      </c>
      <c r="FP151" s="250">
        <v>43928.749085648145</v>
      </c>
      <c r="FQ151" s="243">
        <v>43860</v>
      </c>
      <c r="FR151" s="26">
        <v>43860</v>
      </c>
      <c r="FS151" s="211">
        <v>2</v>
      </c>
      <c r="FT151" s="72">
        <v>0.25567442427490933</v>
      </c>
      <c r="FU151" s="72">
        <v>2.3609615666830834E-6</v>
      </c>
      <c r="FV151" s="74">
        <v>0.44309288640317562</v>
      </c>
      <c r="FW151" s="212">
        <v>108292.49738025448</v>
      </c>
      <c r="FX151" s="214">
        <v>8427.3836577652964</v>
      </c>
      <c r="FY151" s="214">
        <v>0.95919806315672118</v>
      </c>
      <c r="FZ151" s="213">
        <v>0.5770198213405614</v>
      </c>
      <c r="GA151" s="213">
        <v>2.3609615666830832E-3</v>
      </c>
      <c r="GB151" s="246">
        <v>43927</v>
      </c>
      <c r="GC151" s="26" t="s">
        <v>1923</v>
      </c>
      <c r="GD151" s="214">
        <v>108292.49738025448</v>
      </c>
      <c r="GE151" s="214">
        <v>132547</v>
      </c>
      <c r="GF151" s="73" t="s">
        <v>1924</v>
      </c>
      <c r="GG151" s="156">
        <v>43927</v>
      </c>
      <c r="GH151" s="25">
        <v>68</v>
      </c>
      <c r="GI151" s="25" t="s">
        <v>1972</v>
      </c>
      <c r="GK151" s="62" t="s">
        <v>1971</v>
      </c>
      <c r="GM151" s="25" t="s">
        <v>1973</v>
      </c>
      <c r="GN151" s="165">
        <v>21914.028271472267</v>
      </c>
      <c r="GO151" s="156">
        <v>43904</v>
      </c>
      <c r="GP151" s="218">
        <v>24</v>
      </c>
      <c r="GQ151" s="156">
        <v>43903</v>
      </c>
      <c r="GR151" s="25">
        <v>25</v>
      </c>
      <c r="GS151" s="25"/>
      <c r="GT151" s="11">
        <v>107947.65738450921</v>
      </c>
      <c r="GU151" s="12">
        <v>0.38456570163031523</v>
      </c>
      <c r="GV151" s="26">
        <v>43888</v>
      </c>
      <c r="GW151" s="25" t="s">
        <v>1648</v>
      </c>
      <c r="GX151" s="219">
        <v>-24994.345531825544</v>
      </c>
      <c r="GY151" s="25" t="s">
        <v>58</v>
      </c>
      <c r="GZ151" s="25"/>
      <c r="HA151" s="25"/>
    </row>
    <row r="152" spans="14:209" x14ac:dyDescent="0.25">
      <c r="N152" s="25"/>
      <c r="FF152" s="46"/>
      <c r="FG152" s="46"/>
      <c r="FH152" s="46"/>
      <c r="FI152" s="46"/>
      <c r="FJ152" s="46"/>
      <c r="FK152" s="46"/>
      <c r="FL152" s="46"/>
      <c r="FM152" s="46"/>
      <c r="FN152" s="46"/>
      <c r="FO152" s="267" t="s">
        <v>58</v>
      </c>
      <c r="FP152" s="251">
        <v>43930.810532407406</v>
      </c>
      <c r="FQ152" s="243">
        <v>43860</v>
      </c>
      <c r="FR152" s="160">
        <v>43860</v>
      </c>
      <c r="FS152" s="211">
        <v>2</v>
      </c>
      <c r="FT152" s="72">
        <v>0.25529060500314532</v>
      </c>
      <c r="FU152" s="72">
        <v>2.2173160070555176E-6</v>
      </c>
      <c r="FV152" s="74">
        <v>0.44305634338172512</v>
      </c>
      <c r="FW152" s="212">
        <v>115134.96686570995</v>
      </c>
      <c r="FX152" s="212">
        <v>9490.784367496879</v>
      </c>
      <c r="FY152" s="212">
        <v>0.95544553320625336</v>
      </c>
      <c r="FZ152" s="213">
        <v>0.57620125841934433</v>
      </c>
      <c r="GA152" s="213">
        <v>2.2173160070555176E-3</v>
      </c>
      <c r="GB152" s="246">
        <v>43929</v>
      </c>
      <c r="GC152" s="160" t="s">
        <v>2022</v>
      </c>
      <c r="GD152" s="212">
        <v>115134.96686570995</v>
      </c>
      <c r="GE152" s="212">
        <v>139422</v>
      </c>
      <c r="GF152" s="74" t="s">
        <v>2023</v>
      </c>
      <c r="GG152" s="156">
        <v>43929</v>
      </c>
      <c r="GH152" s="25">
        <v>70</v>
      </c>
      <c r="GI152" s="23" t="s">
        <v>2024</v>
      </c>
      <c r="GJ152" s="21"/>
      <c r="GK152" s="161" t="s">
        <v>2025</v>
      </c>
      <c r="GL152" s="23"/>
      <c r="GM152" s="23" t="s">
        <v>2026</v>
      </c>
      <c r="GN152" s="23">
        <v>23050.673720757215</v>
      </c>
      <c r="GO152" s="243">
        <v>43904</v>
      </c>
      <c r="GP152" s="218">
        <v>26</v>
      </c>
      <c r="GQ152" s="243">
        <v>43903</v>
      </c>
      <c r="GR152" s="23">
        <v>27</v>
      </c>
      <c r="GS152" s="23"/>
      <c r="GT152" s="11">
        <v>114734.48927132903</v>
      </c>
      <c r="GU152" s="34">
        <v>0.41173566041804643</v>
      </c>
      <c r="GV152" s="160">
        <v>43888</v>
      </c>
      <c r="GW152" s="23" t="s">
        <v>1648</v>
      </c>
      <c r="GX152" s="220">
        <v>-24803.461873655731</v>
      </c>
      <c r="GY152" s="23" t="s">
        <v>58</v>
      </c>
      <c r="GZ152" s="23"/>
      <c r="HA152" s="25"/>
    </row>
    <row r="153" spans="14:209" x14ac:dyDescent="0.25">
      <c r="N153" s="25"/>
      <c r="FF153" s="25"/>
      <c r="FG153" s="25"/>
      <c r="FH153" s="25"/>
      <c r="FI153" s="25"/>
      <c r="FJ153" s="25"/>
      <c r="FK153" s="25"/>
      <c r="FM153" s="25"/>
      <c r="FN153" s="25"/>
      <c r="FO153" s="267" t="s">
        <v>58</v>
      </c>
      <c r="FP153" s="251">
        <v>43931.864618055559</v>
      </c>
      <c r="FQ153" s="243">
        <v>43860</v>
      </c>
      <c r="FR153" s="160">
        <v>43860</v>
      </c>
      <c r="FS153" s="211">
        <v>2</v>
      </c>
      <c r="FT153" s="72">
        <v>0.25529060500314532</v>
      </c>
      <c r="FU153" s="72">
        <v>2.2173160070555176E-6</v>
      </c>
      <c r="FV153" s="74">
        <v>0.44305634338172512</v>
      </c>
      <c r="FW153" s="212">
        <v>115134.96686570995</v>
      </c>
      <c r="FX153" s="212">
        <v>10040.352163832193</v>
      </c>
      <c r="FY153" s="212">
        <v>0.95349793806978267</v>
      </c>
      <c r="FZ153" s="213">
        <v>0.57620125841934433</v>
      </c>
      <c r="GA153" s="213">
        <v>2.2173160070555176E-3</v>
      </c>
      <c r="GB153" s="246">
        <v>43930</v>
      </c>
      <c r="GC153" s="160" t="s">
        <v>2022</v>
      </c>
      <c r="GD153" s="212">
        <v>115134.96686570995</v>
      </c>
      <c r="GE153" s="212">
        <v>143626</v>
      </c>
      <c r="GF153" s="74" t="s">
        <v>2023</v>
      </c>
      <c r="GG153" s="243">
        <v>43930</v>
      </c>
      <c r="GH153" s="160">
        <v>71</v>
      </c>
      <c r="GI153" s="23" t="s">
        <v>2088</v>
      </c>
      <c r="GJ153" s="21"/>
      <c r="GK153" s="161" t="s">
        <v>2087</v>
      </c>
      <c r="GL153" s="23"/>
      <c r="GM153" s="23" t="s">
        <v>2089</v>
      </c>
      <c r="GN153" s="23">
        <v>23745.72207985451</v>
      </c>
      <c r="GO153" s="243">
        <v>43904</v>
      </c>
      <c r="GP153" s="218">
        <v>27</v>
      </c>
      <c r="GQ153" s="243">
        <v>43903</v>
      </c>
      <c r="GR153" s="23">
        <v>28</v>
      </c>
      <c r="GS153" s="23"/>
      <c r="GT153" s="11">
        <v>114990.40270887813</v>
      </c>
      <c r="GU153" s="34">
        <v>0.42282783105384136</v>
      </c>
      <c r="GV153" s="160">
        <v>43888</v>
      </c>
      <c r="GW153" s="23" t="s">
        <v>1648</v>
      </c>
      <c r="GX153" s="220">
        <v>-28891.510728670968</v>
      </c>
      <c r="GY153" s="23" t="s">
        <v>58</v>
      </c>
      <c r="GZ153" s="23"/>
      <c r="HA153" s="25"/>
    </row>
    <row r="154" spans="14:209" x14ac:dyDescent="0.25">
      <c r="N154" s="25"/>
      <c r="FF154" s="25"/>
      <c r="FG154" s="25"/>
      <c r="FH154" s="25"/>
      <c r="FI154" s="25"/>
      <c r="FJ154" s="25"/>
      <c r="FK154" s="25"/>
      <c r="FM154" s="25"/>
      <c r="FN154" s="25"/>
      <c r="FO154" s="267" t="s">
        <v>58</v>
      </c>
      <c r="FP154" s="251">
        <v>43933.907511574071</v>
      </c>
      <c r="FQ154" s="244">
        <v>43860</v>
      </c>
      <c r="FR154" s="160">
        <v>43860</v>
      </c>
      <c r="FS154" s="211">
        <v>2</v>
      </c>
      <c r="FT154" s="72">
        <v>0.25491166864785775</v>
      </c>
      <c r="FU154" s="72">
        <v>2.087841811979336E-6</v>
      </c>
      <c r="FV154" s="74">
        <v>0.44302183277353419</v>
      </c>
      <c r="FW154" s="212">
        <v>122093.38235553101</v>
      </c>
      <c r="FX154" s="212">
        <v>11255.346695640492</v>
      </c>
      <c r="FY154" s="212">
        <v>0.94876079741924546</v>
      </c>
      <c r="FZ154" s="213">
        <v>0.57539092846166351</v>
      </c>
      <c r="GA154" s="213">
        <v>2.0878418119793362E-3</v>
      </c>
      <c r="GB154" s="246">
        <v>43932</v>
      </c>
      <c r="GC154" s="160" t="s">
        <v>2220</v>
      </c>
      <c r="GD154" s="212">
        <v>122093.38235553101</v>
      </c>
      <c r="GE154" s="212">
        <v>152271</v>
      </c>
      <c r="GF154" s="74" t="s">
        <v>2221</v>
      </c>
      <c r="GG154" s="243">
        <v>43932</v>
      </c>
      <c r="GH154" s="160">
        <v>73</v>
      </c>
      <c r="GI154" s="23" t="s">
        <v>2222</v>
      </c>
      <c r="GJ154" s="21"/>
      <c r="GK154" s="161" t="s">
        <v>2223</v>
      </c>
      <c r="GL154" s="23"/>
      <c r="GM154" s="23" t="s">
        <v>2224</v>
      </c>
      <c r="GN154" s="23">
        <v>25175.002066628091</v>
      </c>
      <c r="GO154" s="243">
        <v>43905</v>
      </c>
      <c r="GP154" s="218">
        <v>28</v>
      </c>
      <c r="GQ154" s="243">
        <v>43903</v>
      </c>
      <c r="GR154" s="23">
        <v>30</v>
      </c>
      <c r="GS154" s="23"/>
      <c r="GT154" s="11">
        <v>122032.99987457421</v>
      </c>
      <c r="GU154" s="34">
        <v>0.44708424117909196</v>
      </c>
      <c r="GV154" s="160">
        <v>43888</v>
      </c>
      <c r="GW154" s="23" t="s">
        <v>1648</v>
      </c>
      <c r="GX154" s="220">
        <v>-30455.829370034073</v>
      </c>
      <c r="GY154" s="23" t="s">
        <v>58</v>
      </c>
      <c r="GZ154" s="23"/>
      <c r="HA154" s="25"/>
    </row>
    <row r="155" spans="14:209" x14ac:dyDescent="0.25">
      <c r="N155" s="25"/>
      <c r="FF155" s="25"/>
      <c r="FG155" s="25"/>
      <c r="FH155" s="25"/>
      <c r="FI155" s="25"/>
      <c r="FJ155" s="25"/>
      <c r="FK155" s="25"/>
      <c r="FM155" s="25"/>
      <c r="FN155" s="25"/>
      <c r="FO155" s="267" t="s">
        <v>58</v>
      </c>
      <c r="FP155" s="251">
        <v>43933.916967592595</v>
      </c>
      <c r="FQ155" s="244">
        <v>43860</v>
      </c>
      <c r="FR155" s="160">
        <v>43860</v>
      </c>
      <c r="FS155" s="211">
        <v>2</v>
      </c>
      <c r="FT155" s="72">
        <v>0.25491166864785775</v>
      </c>
      <c r="FU155" s="72">
        <v>2.087841811979336E-6</v>
      </c>
      <c r="FV155" s="74">
        <v>0.44302183277353419</v>
      </c>
      <c r="FW155" s="212">
        <v>122093.38235553101</v>
      </c>
      <c r="FX155" s="212">
        <v>11255.346695640492</v>
      </c>
      <c r="FY155" s="212">
        <v>0.94876079741924546</v>
      </c>
      <c r="FZ155" s="213">
        <v>0.57539092846166351</v>
      </c>
      <c r="GA155" s="213">
        <v>2.0878418119793362E-3</v>
      </c>
      <c r="GB155" s="246">
        <v>43932</v>
      </c>
      <c r="GC155" s="160" t="s">
        <v>2220</v>
      </c>
      <c r="GD155" s="212">
        <v>122093.38235553101</v>
      </c>
      <c r="GE155" s="212">
        <v>152271</v>
      </c>
      <c r="GF155" s="74" t="s">
        <v>2221</v>
      </c>
      <c r="GG155" s="243">
        <v>43932</v>
      </c>
      <c r="GH155" s="160">
        <v>73</v>
      </c>
      <c r="GI155" s="23" t="s">
        <v>2269</v>
      </c>
      <c r="GJ155" s="21"/>
      <c r="GK155" s="161" t="s">
        <v>2223</v>
      </c>
      <c r="GL155" s="23"/>
      <c r="GM155" s="23" t="s">
        <v>2270</v>
      </c>
      <c r="GN155" s="23">
        <v>25175.002066628091</v>
      </c>
      <c r="GO155" s="243">
        <v>43905</v>
      </c>
      <c r="GP155" s="218">
        <v>28</v>
      </c>
      <c r="GQ155" s="243">
        <v>43903</v>
      </c>
      <c r="GR155" s="23">
        <v>30</v>
      </c>
      <c r="GS155" s="23"/>
      <c r="GT155" s="11">
        <v>122032.99987457421</v>
      </c>
      <c r="GU155" s="34">
        <v>0.44708424117909196</v>
      </c>
      <c r="GV155" s="160">
        <v>43888</v>
      </c>
      <c r="GW155" s="23" t="s">
        <v>1648</v>
      </c>
      <c r="GX155" s="220">
        <v>-30455.829370034073</v>
      </c>
      <c r="GY155" s="23" t="s">
        <v>58</v>
      </c>
      <c r="GZ155" s="23"/>
      <c r="HA155" s="25"/>
    </row>
    <row r="156" spans="14:209" x14ac:dyDescent="0.25">
      <c r="N156" s="25"/>
      <c r="FI156" s="59"/>
      <c r="FK156" s="59"/>
      <c r="FL156" s="26"/>
      <c r="FN156" s="59"/>
      <c r="FO156" s="267" t="s">
        <v>58</v>
      </c>
      <c r="FP156" s="251">
        <v>43933.921469907407</v>
      </c>
      <c r="FQ156" s="244">
        <v>43860</v>
      </c>
      <c r="FR156" s="160">
        <v>43860</v>
      </c>
      <c r="FS156" s="211">
        <v>2</v>
      </c>
      <c r="FT156" s="72">
        <v>0.25491166864785775</v>
      </c>
      <c r="FU156" s="72">
        <v>2.087841811979336E-6</v>
      </c>
      <c r="FV156" s="74">
        <v>0.44302183277353419</v>
      </c>
      <c r="FW156" s="212">
        <v>122093.38235553101</v>
      </c>
      <c r="FX156" s="212">
        <v>11255.346695640492</v>
      </c>
      <c r="FY156" s="212">
        <v>0.94876079741924546</v>
      </c>
      <c r="FZ156" s="213">
        <v>0.57539092846166351</v>
      </c>
      <c r="GA156" s="213">
        <v>2.0878418119793362E-3</v>
      </c>
      <c r="GB156" s="246">
        <v>43932</v>
      </c>
      <c r="GC156" s="160" t="s">
        <v>2220</v>
      </c>
      <c r="GD156" s="212">
        <v>122093.38235553101</v>
      </c>
      <c r="GE156" s="212">
        <v>152271</v>
      </c>
      <c r="GF156" s="74" t="s">
        <v>2221</v>
      </c>
      <c r="GG156" s="243">
        <v>43932</v>
      </c>
      <c r="GH156" s="160">
        <v>73</v>
      </c>
      <c r="GI156" s="23" t="s">
        <v>2222</v>
      </c>
      <c r="GJ156" s="21"/>
      <c r="GK156" s="161" t="s">
        <v>2223</v>
      </c>
      <c r="GL156" s="23"/>
      <c r="GM156" s="23" t="s">
        <v>2224</v>
      </c>
      <c r="GN156" s="23">
        <v>25175.002066628091</v>
      </c>
      <c r="GO156" s="243">
        <v>43905</v>
      </c>
      <c r="GP156" s="218">
        <v>28</v>
      </c>
      <c r="GQ156" s="243">
        <v>43903</v>
      </c>
      <c r="GR156" s="23">
        <v>30</v>
      </c>
      <c r="GS156" s="23"/>
      <c r="GT156" s="11">
        <v>122032.99987457421</v>
      </c>
      <c r="GU156" s="34">
        <v>0.44708424117909196</v>
      </c>
      <c r="GV156" s="160">
        <v>43888</v>
      </c>
      <c r="GW156" s="23" t="s">
        <v>1648</v>
      </c>
      <c r="GX156" s="220">
        <v>-30455.829370034073</v>
      </c>
      <c r="GY156" s="23" t="s">
        <v>58</v>
      </c>
      <c r="GZ156" s="23"/>
      <c r="HA156" s="25"/>
    </row>
    <row r="157" spans="14:209" x14ac:dyDescent="0.25">
      <c r="N157" s="25"/>
      <c r="FF157" s="25"/>
      <c r="FG157" s="25"/>
      <c r="FH157" s="25"/>
      <c r="FI157" s="25"/>
      <c r="FJ157" s="25"/>
      <c r="FK157" s="25"/>
      <c r="FM157" s="25"/>
      <c r="FN157" s="25"/>
      <c r="FO157" s="263" t="s">
        <v>58</v>
      </c>
      <c r="FP157" s="252">
        <v>43934.704317129632</v>
      </c>
      <c r="FQ157" s="244">
        <v>43860</v>
      </c>
      <c r="FR157" s="160">
        <v>43860</v>
      </c>
      <c r="FS157" s="211">
        <v>2</v>
      </c>
      <c r="FT157" s="72">
        <v>0.25491166864785775</v>
      </c>
      <c r="FU157" s="72">
        <v>2.087841811979336E-6</v>
      </c>
      <c r="FV157" s="74">
        <v>0.44302183277353419</v>
      </c>
      <c r="FW157" s="212">
        <v>122093.38235553101</v>
      </c>
      <c r="FX157" s="214">
        <v>11886.86175815332</v>
      </c>
      <c r="FY157" s="214">
        <v>0.94629818432102542</v>
      </c>
      <c r="FZ157" s="213">
        <v>0.57539092846166351</v>
      </c>
      <c r="GA157" s="213">
        <v>2.0878418119793362E-3</v>
      </c>
      <c r="GB157" s="246">
        <v>43933</v>
      </c>
      <c r="GC157" s="26" t="s">
        <v>2220</v>
      </c>
      <c r="GD157" s="214">
        <v>122093.38235553101</v>
      </c>
      <c r="GE157" s="214">
        <v>156363</v>
      </c>
      <c r="GF157" s="73" t="s">
        <v>2221</v>
      </c>
      <c r="GG157" s="156">
        <v>43933</v>
      </c>
      <c r="GH157" s="26">
        <v>74</v>
      </c>
      <c r="GI157" s="25" t="s">
        <v>2320</v>
      </c>
      <c r="GK157" s="62" t="s">
        <v>2319</v>
      </c>
      <c r="GM157" s="25" t="s">
        <v>2321</v>
      </c>
      <c r="GN157" s="25">
        <v>25851.53343804249</v>
      </c>
      <c r="GO157" s="156">
        <v>43905</v>
      </c>
      <c r="GP157" s="218">
        <v>29</v>
      </c>
      <c r="GQ157" s="156">
        <v>43903</v>
      </c>
      <c r="GR157" s="25">
        <v>31</v>
      </c>
      <c r="GS157" s="25"/>
      <c r="GT157" s="11">
        <v>122032.99987457421</v>
      </c>
      <c r="GU157" s="12">
        <v>0.45981263690380941</v>
      </c>
      <c r="GV157" s="26">
        <v>43888</v>
      </c>
      <c r="GW157" s="25" t="s">
        <v>1648</v>
      </c>
      <c r="GX157" s="219">
        <v>-34485.338152748911</v>
      </c>
      <c r="GY157" s="25" t="s">
        <v>58</v>
      </c>
      <c r="GZ157" s="25" t="s">
        <v>58</v>
      </c>
      <c r="HA157" s="25"/>
    </row>
    <row r="158" spans="14:209" x14ac:dyDescent="0.25">
      <c r="N158" s="25"/>
      <c r="FF158" s="25"/>
      <c r="FG158" s="25"/>
      <c r="FH158" s="25"/>
      <c r="FI158" s="25"/>
      <c r="FJ158" s="25"/>
      <c r="FK158" s="25"/>
      <c r="FM158" s="25"/>
      <c r="FN158" s="25"/>
      <c r="FO158" s="263" t="s">
        <v>58</v>
      </c>
      <c r="FP158" s="252">
        <v>43934.880104166667</v>
      </c>
      <c r="FQ158" s="244">
        <v>43860</v>
      </c>
      <c r="FR158" s="160">
        <v>43860</v>
      </c>
      <c r="FS158" s="211">
        <v>2</v>
      </c>
      <c r="FT158" s="72">
        <v>0.25491166864785775</v>
      </c>
      <c r="FU158" s="72">
        <v>2.087841811979336E-6</v>
      </c>
      <c r="FV158" s="74">
        <v>0.44302183277353419</v>
      </c>
      <c r="FW158" s="212">
        <v>122093.38235553101</v>
      </c>
      <c r="FX158" s="214">
        <v>11886.86175815332</v>
      </c>
      <c r="FY158" s="214">
        <v>0.94629818432102542</v>
      </c>
      <c r="FZ158" s="213">
        <v>0.57539092846166351</v>
      </c>
      <c r="GA158" s="213">
        <v>2.0878418119793362E-3</v>
      </c>
      <c r="GB158" s="246">
        <v>43933</v>
      </c>
      <c r="GC158" s="26" t="s">
        <v>2220</v>
      </c>
      <c r="GD158" s="214">
        <v>122093.38235553101</v>
      </c>
      <c r="GE158" s="214">
        <v>156363</v>
      </c>
      <c r="GF158" s="73" t="s">
        <v>2221</v>
      </c>
      <c r="GG158" s="156">
        <v>43933</v>
      </c>
      <c r="GH158" s="26">
        <v>74</v>
      </c>
      <c r="GI158" s="25" t="s">
        <v>2320</v>
      </c>
      <c r="GK158" s="62" t="s">
        <v>2319</v>
      </c>
      <c r="GM158" s="25" t="s">
        <v>2321</v>
      </c>
      <c r="GN158" s="25">
        <v>25851.53343804249</v>
      </c>
      <c r="GO158" s="156">
        <v>43905</v>
      </c>
      <c r="GP158" s="218">
        <v>29</v>
      </c>
      <c r="GQ158" s="156">
        <v>43903</v>
      </c>
      <c r="GR158" s="25">
        <v>31</v>
      </c>
      <c r="GS158" s="25"/>
      <c r="GT158" s="11">
        <v>122046.5816333777</v>
      </c>
      <c r="GU158" s="12">
        <v>0.45981263690380941</v>
      </c>
      <c r="GV158" s="26">
        <v>43888</v>
      </c>
      <c r="GW158" s="25" t="s">
        <v>1648</v>
      </c>
      <c r="GX158" s="219">
        <v>-34485.338152748911</v>
      </c>
      <c r="GY158" t="s">
        <v>58</v>
      </c>
      <c r="GZ158" t="s">
        <v>58</v>
      </c>
      <c r="HA158" s="25"/>
    </row>
    <row r="159" spans="14:209" x14ac:dyDescent="0.25">
      <c r="N159" s="25"/>
      <c r="FI159" s="59"/>
      <c r="FK159" s="59"/>
      <c r="FL159" s="26"/>
      <c r="FN159" s="59"/>
      <c r="FO159" s="263" t="s">
        <v>58</v>
      </c>
      <c r="FP159" s="250">
        <v>43935.629791666666</v>
      </c>
      <c r="FQ159" s="156">
        <v>43860</v>
      </c>
      <c r="FR159" s="26">
        <v>43860</v>
      </c>
      <c r="FS159" s="211">
        <v>2</v>
      </c>
      <c r="FT159" s="44">
        <v>0.25491166864785775</v>
      </c>
      <c r="FU159" s="71">
        <v>2.087841811979336E-6</v>
      </c>
      <c r="FV159" s="73">
        <v>0.44302183277353419</v>
      </c>
      <c r="FW159" s="212">
        <v>122093.38235553101</v>
      </c>
      <c r="FX159" s="212">
        <v>11886.86175815332</v>
      </c>
      <c r="FY159" s="212">
        <v>0.94629818432102542</v>
      </c>
      <c r="FZ159" s="213">
        <v>0.57539092846166351</v>
      </c>
      <c r="GA159" s="213">
        <v>2.0878418119793362E-3</v>
      </c>
      <c r="GB159" s="246">
        <v>43933</v>
      </c>
      <c r="GC159" s="26" t="s">
        <v>2220</v>
      </c>
      <c r="GD159" s="214">
        <v>122093.38235553101</v>
      </c>
      <c r="GE159" s="214">
        <v>156363</v>
      </c>
      <c r="GF159" s="73" t="s">
        <v>2221</v>
      </c>
      <c r="GG159" s="156">
        <v>43933</v>
      </c>
      <c r="GH159" s="26">
        <v>74</v>
      </c>
      <c r="GI159" s="26" t="s">
        <v>2320</v>
      </c>
      <c r="GJ159" s="25"/>
      <c r="GK159" s="62" t="s">
        <v>2319</v>
      </c>
      <c r="GM159" s="18" t="s">
        <v>2321</v>
      </c>
      <c r="GN159" s="11">
        <v>25851.53343804249</v>
      </c>
      <c r="GO159" s="156">
        <v>43905</v>
      </c>
      <c r="GP159" s="218">
        <v>29</v>
      </c>
      <c r="GQ159" s="156">
        <v>43902</v>
      </c>
      <c r="GR159" s="11">
        <v>141</v>
      </c>
      <c r="GS159" s="25"/>
      <c r="GT159" s="11">
        <v>122046.5816333777</v>
      </c>
      <c r="GU159" s="12">
        <v>0.45981263690380941</v>
      </c>
      <c r="GV159" s="240">
        <v>43888</v>
      </c>
      <c r="GW159" s="162" t="s">
        <v>1648</v>
      </c>
      <c r="GX159" s="231">
        <v>-34485.338152748911</v>
      </c>
      <c r="GY159" s="25" t="s">
        <v>58</v>
      </c>
      <c r="GZ159" s="25" t="s">
        <v>58</v>
      </c>
      <c r="HA159" s="25"/>
    </row>
    <row r="160" spans="14:209" x14ac:dyDescent="0.25">
      <c r="N160" s="25"/>
      <c r="FI160" s="59"/>
      <c r="FK160" s="59"/>
      <c r="FL160" s="26"/>
      <c r="FN160" s="59"/>
      <c r="FO160" s="263" t="s">
        <v>58</v>
      </c>
      <c r="FP160" s="250">
        <v>43938.512476851851</v>
      </c>
      <c r="FQ160" s="156">
        <v>43860</v>
      </c>
      <c r="FR160" s="26">
        <v>43860</v>
      </c>
      <c r="FS160" s="211">
        <v>2</v>
      </c>
      <c r="FT160" s="44">
        <v>0.25464947697819595</v>
      </c>
      <c r="FU160" s="71">
        <v>1.9245221515361366E-6</v>
      </c>
      <c r="FV160" s="73">
        <v>0.44299940910999619</v>
      </c>
      <c r="FW160" s="212">
        <v>132318.28834754485</v>
      </c>
      <c r="FX160" s="212">
        <v>14417.950830539858</v>
      </c>
      <c r="FY160" s="212">
        <v>0.93642795408852175</v>
      </c>
      <c r="FZ160" s="213">
        <v>0.57482836134616844</v>
      </c>
      <c r="GA160" s="213">
        <v>1.9245221515361366E-3</v>
      </c>
      <c r="GB160" s="246">
        <v>43937</v>
      </c>
      <c r="GC160" s="26" t="s">
        <v>2442</v>
      </c>
      <c r="GD160" s="214">
        <v>132318.28834754485</v>
      </c>
      <c r="GE160" s="214">
        <v>168941</v>
      </c>
      <c r="GF160" s="73" t="s">
        <v>2443</v>
      </c>
      <c r="GG160" s="156">
        <v>43937</v>
      </c>
      <c r="GH160" s="26">
        <v>78</v>
      </c>
      <c r="GI160" s="26" t="s">
        <v>2444</v>
      </c>
      <c r="GJ160" s="25"/>
      <c r="GK160" s="62" t="s">
        <v>2445</v>
      </c>
      <c r="GM160" s="18" t="s">
        <v>2446</v>
      </c>
      <c r="GN160" s="11">
        <v>27931.057286930645</v>
      </c>
      <c r="GO160" s="156">
        <v>43905</v>
      </c>
      <c r="GP160" s="218">
        <v>33</v>
      </c>
      <c r="GQ160" s="156">
        <v>43902</v>
      </c>
      <c r="GR160" s="11">
        <v>141</v>
      </c>
      <c r="GS160" s="25"/>
      <c r="GT160" s="11">
        <v>132298.01300825528</v>
      </c>
      <c r="GU160" s="12">
        <v>0.51619781816444987</v>
      </c>
      <c r="GV160" s="240">
        <v>43888</v>
      </c>
      <c r="GW160" s="162" t="s">
        <v>1648</v>
      </c>
      <c r="GX160" s="231">
        <v>-36716.098397272988</v>
      </c>
      <c r="GY160" s="25" t="s">
        <v>58</v>
      </c>
      <c r="GZ160" s="25" t="s">
        <v>58</v>
      </c>
      <c r="HA160" s="25" t="s">
        <v>2446</v>
      </c>
    </row>
    <row r="161" spans="14:209" x14ac:dyDescent="0.25">
      <c r="N161" s="25"/>
      <c r="FI161" s="59"/>
      <c r="FK161" s="59"/>
      <c r="FL161" s="26"/>
      <c r="FN161" s="59"/>
      <c r="FO161" s="263" t="s">
        <v>58</v>
      </c>
      <c r="FP161" s="250">
        <v>43939.897731481484</v>
      </c>
      <c r="FQ161" s="156">
        <v>43860</v>
      </c>
      <c r="FR161" s="26">
        <v>43860</v>
      </c>
      <c r="FS161" s="211">
        <v>2</v>
      </c>
      <c r="FT161" s="44">
        <v>0.25464947697819595</v>
      </c>
      <c r="FU161" s="71">
        <v>1.9245221515361366E-6</v>
      </c>
      <c r="FV161" s="73">
        <v>0.44299940910999619</v>
      </c>
      <c r="FW161" s="212">
        <v>132318.28834754485</v>
      </c>
      <c r="FX161" s="212">
        <v>15031.302452913515</v>
      </c>
      <c r="FY161" s="212">
        <v>0.93418977145919746</v>
      </c>
      <c r="FZ161" s="213">
        <v>0.57482836134616844</v>
      </c>
      <c r="GA161" s="213">
        <v>1.9245221515361366E-3</v>
      </c>
      <c r="GB161" s="246">
        <v>43938</v>
      </c>
      <c r="GC161" s="26" t="s">
        <v>2442</v>
      </c>
      <c r="GD161" s="214">
        <v>132318.28834754485</v>
      </c>
      <c r="GE161" s="214">
        <v>172434</v>
      </c>
      <c r="GF161" s="73" t="s">
        <v>2443</v>
      </c>
      <c r="GG161" s="156">
        <v>43938</v>
      </c>
      <c r="GH161" s="26">
        <v>79</v>
      </c>
      <c r="GI161" s="26" t="s">
        <v>2897</v>
      </c>
      <c r="GJ161" s="25"/>
      <c r="GK161" s="62" t="s">
        <v>2896</v>
      </c>
      <c r="GM161" s="18" t="s">
        <v>2898</v>
      </c>
      <c r="GN161" s="11">
        <v>28508.555840290981</v>
      </c>
      <c r="GO161" s="156">
        <v>43905</v>
      </c>
      <c r="GP161" s="218">
        <v>34</v>
      </c>
      <c r="GQ161" s="156">
        <v>43902</v>
      </c>
      <c r="GR161" s="11">
        <v>141</v>
      </c>
      <c r="GS161" s="25"/>
      <c r="GT161" s="11">
        <v>132298.01300825528</v>
      </c>
      <c r="GU161" s="12">
        <v>0.52725583635737383</v>
      </c>
      <c r="GV161" s="240">
        <v>43888</v>
      </c>
      <c r="GW161" s="162" t="s">
        <v>1648</v>
      </c>
      <c r="GX161" s="231">
        <v>-40188.115440462891</v>
      </c>
      <c r="GY161" s="25" t="s">
        <v>58</v>
      </c>
      <c r="GZ161" s="25" t="s">
        <v>58</v>
      </c>
      <c r="HA161" s="25" t="s">
        <v>2898</v>
      </c>
    </row>
    <row r="162" spans="14:209" x14ac:dyDescent="0.25">
      <c r="N162" s="25"/>
      <c r="FI162" s="59"/>
      <c r="FK162" s="59"/>
      <c r="FL162" s="26"/>
      <c r="FN162" s="59"/>
      <c r="FO162" s="263" t="s">
        <v>58</v>
      </c>
      <c r="FP162" s="250">
        <v>43942.945324074077</v>
      </c>
      <c r="FQ162" s="156">
        <v>43860</v>
      </c>
      <c r="FR162" s="26">
        <v>43860</v>
      </c>
      <c r="FS162" s="211">
        <v>2</v>
      </c>
      <c r="FT162" s="44">
        <v>0.25432850375155175</v>
      </c>
      <c r="FU162" s="71">
        <v>1.8082926488890696E-6</v>
      </c>
      <c r="FV162" s="73">
        <v>0.44297343431657277</v>
      </c>
      <c r="FW162" s="212">
        <v>140645.65484342331</v>
      </c>
      <c r="FX162" s="212">
        <v>16891.040208602135</v>
      </c>
      <c r="FY162" s="212">
        <v>0.92735385671656145</v>
      </c>
      <c r="FZ162" s="213">
        <v>0.57413759612543835</v>
      </c>
      <c r="GA162" s="213">
        <v>1.8082926488890696E-3</v>
      </c>
      <c r="GB162" s="246">
        <v>43941</v>
      </c>
      <c r="GC162" s="26" t="s">
        <v>1620</v>
      </c>
      <c r="GD162" s="214">
        <v>140645.65484334971</v>
      </c>
      <c r="GE162" s="214">
        <v>181228</v>
      </c>
      <c r="GF162" s="73" t="s">
        <v>3335</v>
      </c>
      <c r="GG162" s="156">
        <v>43941</v>
      </c>
      <c r="GH162" s="26">
        <v>82</v>
      </c>
      <c r="GI162" s="26" t="s">
        <v>3336</v>
      </c>
      <c r="GJ162" s="25"/>
      <c r="GK162" s="62" t="s">
        <v>3337</v>
      </c>
      <c r="GM162" s="18" t="s">
        <v>3338</v>
      </c>
      <c r="GN162" s="11">
        <v>29962.470033892703</v>
      </c>
      <c r="GO162" s="156">
        <v>43905</v>
      </c>
      <c r="GP162" s="218">
        <v>37</v>
      </c>
      <c r="GQ162" s="156">
        <v>43902</v>
      </c>
      <c r="GR162" s="11">
        <v>41</v>
      </c>
      <c r="GS162" s="25"/>
      <c r="GT162" s="11">
        <v>140637.14459334541</v>
      </c>
      <c r="GU162" s="12">
        <v>0.5637399116126095</v>
      </c>
      <c r="GV162" s="240">
        <v>43888</v>
      </c>
      <c r="GW162" s="162" t="s">
        <v>1648</v>
      </c>
      <c r="GX162" s="231">
        <v>-40621.480444643035</v>
      </c>
      <c r="GY162" s="25" t="s">
        <v>58</v>
      </c>
      <c r="GZ162" s="25" t="s">
        <v>58</v>
      </c>
      <c r="HA162" s="26" t="s">
        <v>3338</v>
      </c>
    </row>
    <row r="163" spans="14:209" x14ac:dyDescent="0.25">
      <c r="N163" s="25"/>
      <c r="FI163" s="59"/>
      <c r="FK163" s="59"/>
      <c r="FL163" s="26"/>
      <c r="FN163" s="59"/>
      <c r="FO163" s="263" t="s">
        <v>58</v>
      </c>
      <c r="FP163" s="250">
        <v>43945.843460648146</v>
      </c>
      <c r="FQ163" s="156">
        <v>43860</v>
      </c>
      <c r="FR163" s="26">
        <v>43860</v>
      </c>
      <c r="FS163" s="211">
        <v>2</v>
      </c>
      <c r="FT163" s="44">
        <v>0.25399824641941582</v>
      </c>
      <c r="FU163" s="71">
        <v>1.7349791394764979E-6</v>
      </c>
      <c r="FV163" s="73">
        <v>0.44294778908545018</v>
      </c>
      <c r="FW163" s="212">
        <v>146398.44401590657</v>
      </c>
      <c r="FX163" s="212">
        <v>18612.34535065516</v>
      </c>
      <c r="FY163" s="212">
        <v>0.92161075323674091</v>
      </c>
      <c r="FZ163" s="213">
        <v>0.5734253204845382</v>
      </c>
      <c r="GA163" s="213">
        <v>1.7349791394764978E-3</v>
      </c>
      <c r="GB163" s="246">
        <v>43944</v>
      </c>
      <c r="GC163" s="26" t="s">
        <v>3412</v>
      </c>
      <c r="GD163" s="214">
        <v>146398.44401582246</v>
      </c>
      <c r="GE163" s="214">
        <v>189973</v>
      </c>
      <c r="GF163" s="73" t="s">
        <v>3413</v>
      </c>
      <c r="GG163" s="156">
        <v>43944</v>
      </c>
      <c r="GH163" s="26">
        <v>85</v>
      </c>
      <c r="GI163" s="26" t="s">
        <v>3414</v>
      </c>
      <c r="GJ163" s="25"/>
      <c r="GK163" s="62" t="s">
        <v>3415</v>
      </c>
      <c r="GM163" s="18" t="s">
        <v>3416</v>
      </c>
      <c r="GN163" s="11">
        <v>31408.283045383156</v>
      </c>
      <c r="GO163" s="156">
        <v>43905</v>
      </c>
      <c r="GP163" s="218">
        <v>40</v>
      </c>
      <c r="GQ163" s="156">
        <v>43902</v>
      </c>
      <c r="GR163" s="11">
        <v>44</v>
      </c>
      <c r="GS163" s="25"/>
      <c r="GT163" s="11">
        <v>146394.01310953608</v>
      </c>
      <c r="GU163" s="12">
        <v>0.59259353094091116</v>
      </c>
      <c r="GV163" s="240">
        <v>43888</v>
      </c>
      <c r="GW163" s="162" t="s">
        <v>1648</v>
      </c>
      <c r="GX163" s="231">
        <v>-43594.893860399461</v>
      </c>
      <c r="GY163" s="25" t="s">
        <v>58</v>
      </c>
      <c r="GZ163" s="25" t="s">
        <v>58</v>
      </c>
      <c r="HA163" s="26" t="s">
        <v>3416</v>
      </c>
    </row>
    <row r="164" spans="14:209" x14ac:dyDescent="0.25">
      <c r="N164" s="25"/>
      <c r="FI164" s="59"/>
      <c r="FK164" s="59"/>
      <c r="FL164" s="26"/>
      <c r="FN164" s="59"/>
      <c r="FO164" s="263" t="s">
        <v>58</v>
      </c>
      <c r="FP164" s="250">
        <v>43947.950509259259</v>
      </c>
      <c r="FQ164" s="156">
        <v>43860</v>
      </c>
      <c r="FR164" s="26">
        <v>43860</v>
      </c>
      <c r="FS164" s="211">
        <v>2</v>
      </c>
      <c r="FT164" s="44">
        <v>0.2537255178789955</v>
      </c>
      <c r="FU164" s="71">
        <v>1.6945667255994312E-6</v>
      </c>
      <c r="FV164" s="73">
        <v>0.44292717677451715</v>
      </c>
      <c r="FW164" s="212">
        <v>149728.8445748534</v>
      </c>
      <c r="FX164" s="212">
        <v>19704.377077928031</v>
      </c>
      <c r="FY164" s="212">
        <v>0.91821284589277097</v>
      </c>
      <c r="FZ164" s="213">
        <v>0.57283630495878246</v>
      </c>
      <c r="GA164" s="213">
        <v>1.6945667255994312E-3</v>
      </c>
      <c r="GB164" s="246">
        <v>43946</v>
      </c>
      <c r="GC164" s="26" t="s">
        <v>3505</v>
      </c>
      <c r="GD164" s="214">
        <v>149728.84457485334</v>
      </c>
      <c r="GE164" s="214">
        <v>195351</v>
      </c>
      <c r="GF164" s="73" t="s">
        <v>3506</v>
      </c>
      <c r="GG164" s="156">
        <v>43946</v>
      </c>
      <c r="GH164" s="26">
        <v>87</v>
      </c>
      <c r="GI164" s="26" t="s">
        <v>3507</v>
      </c>
      <c r="GJ164" s="25"/>
      <c r="GK164" s="62" t="s">
        <v>3508</v>
      </c>
      <c r="GM164" s="18" t="s">
        <v>3509</v>
      </c>
      <c r="GN164" s="11">
        <v>32297.429114656527</v>
      </c>
      <c r="GO164" s="156">
        <v>43905</v>
      </c>
      <c r="GP164" s="218">
        <v>42</v>
      </c>
      <c r="GQ164" s="156">
        <v>43902</v>
      </c>
      <c r="GR164" s="11">
        <v>46</v>
      </c>
      <c r="GS164" s="25"/>
      <c r="GT164" s="11">
        <v>149724.09309765827</v>
      </c>
      <c r="GU164" s="12">
        <v>0.61009119357386288</v>
      </c>
      <c r="GV164" s="240">
        <v>43888</v>
      </c>
      <c r="GW164" s="162" t="s">
        <v>1648</v>
      </c>
      <c r="GX164" s="231">
        <v>-45635.264461735875</v>
      </c>
      <c r="GY164" s="25" t="s">
        <v>58</v>
      </c>
      <c r="GZ164" s="25" t="s">
        <v>58</v>
      </c>
      <c r="HA164" s="26" t="s">
        <v>3509</v>
      </c>
    </row>
    <row r="165" spans="14:209" x14ac:dyDescent="0.25">
      <c r="N165" s="25"/>
      <c r="FI165" s="59"/>
      <c r="FK165" s="59"/>
      <c r="FL165" s="26"/>
      <c r="FN165" s="59"/>
      <c r="FO165" s="263" t="s">
        <v>58</v>
      </c>
      <c r="FP165" s="250">
        <v>43949.717210648145</v>
      </c>
      <c r="FQ165" s="156">
        <v>43860</v>
      </c>
      <c r="FR165" s="26">
        <v>43860</v>
      </c>
      <c r="FS165" s="211">
        <v>2</v>
      </c>
      <c r="FT165" s="44">
        <v>0.25345308217861484</v>
      </c>
      <c r="FU165" s="71">
        <v>1.6528359574759065E-6</v>
      </c>
      <c r="FV165" s="73">
        <v>0.4429070675903537</v>
      </c>
      <c r="FW165" s="212">
        <v>153344.36610737242</v>
      </c>
      <c r="FX165" s="212">
        <v>20740.913500678947</v>
      </c>
      <c r="FY165" s="212">
        <v>0.91511277014389292</v>
      </c>
      <c r="FZ165" s="213">
        <v>0.57224724704620589</v>
      </c>
      <c r="GA165" s="213">
        <v>1.6528359574759066E-3</v>
      </c>
      <c r="GB165" s="246">
        <v>43948</v>
      </c>
      <c r="GC165" s="26" t="s">
        <v>3564</v>
      </c>
      <c r="GD165" s="214">
        <v>153344.36610737233</v>
      </c>
      <c r="GE165" s="214">
        <v>199414</v>
      </c>
      <c r="GF165" s="73" t="s">
        <v>2474</v>
      </c>
      <c r="GG165" s="156">
        <v>43948</v>
      </c>
      <c r="GH165" s="26">
        <v>89</v>
      </c>
      <c r="GI165" s="26" t="s">
        <v>3565</v>
      </c>
      <c r="GJ165" s="25"/>
      <c r="GK165" s="62" t="s">
        <v>3566</v>
      </c>
      <c r="GM165" s="18" t="s">
        <v>3567</v>
      </c>
      <c r="GN165" s="11">
        <v>32969.165908903036</v>
      </c>
      <c r="GO165" s="156">
        <v>43905</v>
      </c>
      <c r="GP165" s="218">
        <v>44</v>
      </c>
      <c r="GQ165" s="156">
        <v>43902</v>
      </c>
      <c r="GR165" s="11">
        <v>47</v>
      </c>
      <c r="GS165" s="25"/>
      <c r="GT165" s="11">
        <v>153339.25706754296</v>
      </c>
      <c r="GU165" s="12">
        <v>0.62910034054207131</v>
      </c>
      <c r="GV165" s="240">
        <v>43888</v>
      </c>
      <c r="GW165" s="162" t="s">
        <v>1648</v>
      </c>
      <c r="GX165" s="231">
        <v>-46078.115463325463</v>
      </c>
      <c r="GY165" s="25" t="s">
        <v>58</v>
      </c>
      <c r="GZ165" s="25" t="s">
        <v>58</v>
      </c>
      <c r="HA165" s="26" t="s">
        <v>3567</v>
      </c>
    </row>
    <row r="166" spans="14:209" x14ac:dyDescent="0.25">
      <c r="N166" s="25"/>
      <c r="FI166" s="59"/>
      <c r="FK166" s="59"/>
      <c r="FL166" s="26"/>
      <c r="FN166" s="59"/>
      <c r="FO166" s="263" t="s">
        <v>58</v>
      </c>
      <c r="FP166" s="250">
        <v>43950.659212962964</v>
      </c>
      <c r="FQ166" s="156">
        <v>43860</v>
      </c>
      <c r="FR166" s="26">
        <v>43860</v>
      </c>
      <c r="FS166" s="211">
        <v>2</v>
      </c>
      <c r="FT166" s="44">
        <v>0.25345308217861484</v>
      </c>
      <c r="FU166" s="71">
        <v>1.6528359574759065E-6</v>
      </c>
      <c r="FV166" s="73">
        <v>0.4429070675903537</v>
      </c>
      <c r="FW166" s="212">
        <v>153344.36610737242</v>
      </c>
      <c r="FX166" s="212">
        <v>21246.70154299225</v>
      </c>
      <c r="FY166" s="212">
        <v>0.91359437101546292</v>
      </c>
      <c r="FZ166" s="213">
        <v>0.57224724704620589</v>
      </c>
      <c r="GA166" s="213">
        <v>1.6528359574759066E-3</v>
      </c>
      <c r="GB166" s="246">
        <v>43949</v>
      </c>
      <c r="GC166" s="26" t="s">
        <v>3564</v>
      </c>
      <c r="GD166" s="214">
        <v>153344.36610737233</v>
      </c>
      <c r="GE166" s="214">
        <v>201505</v>
      </c>
      <c r="GF166" s="73" t="s">
        <v>2474</v>
      </c>
      <c r="GG166" s="156">
        <v>43949</v>
      </c>
      <c r="GH166" s="26">
        <v>90</v>
      </c>
      <c r="GI166" s="26" t="s">
        <v>3630</v>
      </c>
      <c r="GJ166" s="25"/>
      <c r="GK166" s="62" t="s">
        <v>3629</v>
      </c>
      <c r="GM166" s="18" t="s">
        <v>3631</v>
      </c>
      <c r="GN166" s="11">
        <v>33314.871455732828</v>
      </c>
      <c r="GO166" s="156">
        <v>43905</v>
      </c>
      <c r="GP166" s="218">
        <v>45</v>
      </c>
      <c r="GQ166" s="156">
        <v>43902</v>
      </c>
      <c r="GR166" s="11">
        <v>48</v>
      </c>
      <c r="GS166" s="25"/>
      <c r="GT166" s="11">
        <v>153339.25706754296</v>
      </c>
      <c r="GU166" s="12">
        <v>0.63775427052821831</v>
      </c>
      <c r="GV166" s="240">
        <v>43888</v>
      </c>
      <c r="GW166" s="162" t="s">
        <v>1648</v>
      </c>
      <c r="GX166" s="231">
        <v>-48167.216658204678</v>
      </c>
      <c r="GY166" s="25" t="s">
        <v>58</v>
      </c>
      <c r="GZ166" s="25" t="s">
        <v>58</v>
      </c>
      <c r="HA166" s="26" t="s">
        <v>3631</v>
      </c>
    </row>
    <row r="167" spans="14:209" x14ac:dyDescent="0.25">
      <c r="N167" s="25"/>
      <c r="FI167" s="59"/>
      <c r="FK167" s="59"/>
      <c r="FL167" s="26"/>
      <c r="FN167" s="59"/>
      <c r="FO167" s="263" t="s">
        <v>58</v>
      </c>
      <c r="FP167" s="250">
        <v>43951.665405092594</v>
      </c>
      <c r="FQ167" s="156">
        <v>43860</v>
      </c>
      <c r="FR167" s="26">
        <v>43860</v>
      </c>
      <c r="FS167" s="211">
        <v>2</v>
      </c>
      <c r="FT167" s="44">
        <v>0.25345308217860157</v>
      </c>
      <c r="FU167" s="71">
        <v>1.6422610363383368E-6</v>
      </c>
      <c r="FV167" s="73">
        <v>0.44290706759035198</v>
      </c>
      <c r="FW167" s="212">
        <v>154331.78804735732</v>
      </c>
      <c r="FX167" s="212">
        <v>21774.263029846392</v>
      </c>
      <c r="FY167" s="212">
        <v>0.91186300911080453</v>
      </c>
      <c r="FZ167" s="213">
        <v>0.57224725762109918</v>
      </c>
      <c r="GA167" s="213">
        <v>1.6422610363383367E-3</v>
      </c>
      <c r="GB167" s="246">
        <v>43950</v>
      </c>
      <c r="GC167" s="26" t="s">
        <v>1406</v>
      </c>
      <c r="GD167" s="214">
        <v>154331.78804735726</v>
      </c>
      <c r="GE167" s="214">
        <v>203591</v>
      </c>
      <c r="GF167" s="73" t="s">
        <v>3696</v>
      </c>
      <c r="GG167" s="156">
        <v>43950</v>
      </c>
      <c r="GH167" s="26">
        <v>91</v>
      </c>
      <c r="GI167" s="26" t="s">
        <v>3697</v>
      </c>
      <c r="GJ167" s="25"/>
      <c r="GK167" s="62" t="s">
        <v>3698</v>
      </c>
      <c r="GM167" s="18" t="s">
        <v>3699</v>
      </c>
      <c r="GN167" s="11">
        <v>33659.750351326773</v>
      </c>
      <c r="GO167" s="156">
        <v>43905</v>
      </c>
      <c r="GP167" s="218">
        <v>46</v>
      </c>
      <c r="GQ167" s="156">
        <v>43902</v>
      </c>
      <c r="GR167" s="11">
        <v>50</v>
      </c>
      <c r="GS167" s="25"/>
      <c r="GT167" s="11">
        <v>154326.61299998371</v>
      </c>
      <c r="GU167" s="12">
        <v>0.64689318258678385</v>
      </c>
      <c r="GV167" s="240">
        <v>43888</v>
      </c>
      <c r="GW167" s="162" t="s">
        <v>1648</v>
      </c>
      <c r="GX167" s="231">
        <v>-49264.387000016286</v>
      </c>
      <c r="GY167" s="25" t="s">
        <v>58</v>
      </c>
      <c r="GZ167" s="25" t="s">
        <v>58</v>
      </c>
      <c r="HA167" s="26" t="s">
        <v>3699</v>
      </c>
    </row>
    <row r="168" spans="14:209" x14ac:dyDescent="0.25">
      <c r="N168" s="25"/>
      <c r="FI168" s="59"/>
      <c r="FK168" s="59"/>
      <c r="FL168" s="26"/>
      <c r="FN168" s="59"/>
      <c r="FO168" s="263" t="s">
        <v>58</v>
      </c>
      <c r="FP168" s="250">
        <v>43954.72388888889</v>
      </c>
      <c r="FQ168" s="156">
        <v>43860</v>
      </c>
      <c r="FR168" s="26">
        <v>43860</v>
      </c>
      <c r="FS168" s="211">
        <v>2</v>
      </c>
      <c r="FT168" s="44">
        <v>0.25318224467706324</v>
      </c>
      <c r="FU168" s="71">
        <v>1.5688082555194651E-6</v>
      </c>
      <c r="FV168" s="73">
        <v>0.4428880815754267</v>
      </c>
      <c r="FW168" s="212">
        <v>161385.07927039772</v>
      </c>
      <c r="FX168" s="212">
        <v>23215.218654653261</v>
      </c>
      <c r="FY168" s="212">
        <v>0.90756802440136131</v>
      </c>
      <c r="FZ168" s="213">
        <v>0.57166033678299866</v>
      </c>
      <c r="GA168" s="213">
        <v>1.5688082555194651E-3</v>
      </c>
      <c r="GB168" s="246">
        <v>43953</v>
      </c>
      <c r="GC168" s="26" t="s">
        <v>3592</v>
      </c>
      <c r="GD168" s="214">
        <v>161385.07926951419</v>
      </c>
      <c r="GE168" s="214">
        <v>209328</v>
      </c>
      <c r="GF168" s="73" t="s">
        <v>3753</v>
      </c>
      <c r="GG168" s="156">
        <v>43953</v>
      </c>
      <c r="GH168" s="26">
        <v>94</v>
      </c>
      <c r="GI168" s="26" t="s">
        <v>3754</v>
      </c>
      <c r="GJ168" s="25"/>
      <c r="GK168" s="62" t="s">
        <v>3755</v>
      </c>
      <c r="GM168" s="18" t="s">
        <v>3756</v>
      </c>
      <c r="GN168" s="11">
        <v>34608.249979333719</v>
      </c>
      <c r="GO168" s="156">
        <v>43905</v>
      </c>
      <c r="GP168" s="218">
        <v>49</v>
      </c>
      <c r="GQ168" s="156">
        <v>43902</v>
      </c>
      <c r="GR168" s="11">
        <v>53</v>
      </c>
      <c r="GS168" s="25"/>
      <c r="GT168" s="11">
        <v>161383.80948615031</v>
      </c>
      <c r="GU168" s="12">
        <v>0.67080013200656508</v>
      </c>
      <c r="GV168" s="240">
        <v>43888</v>
      </c>
      <c r="GW168" s="162" t="s">
        <v>1648</v>
      </c>
      <c r="GX168" s="231">
        <v>-47945.634624372731</v>
      </c>
      <c r="GY168" s="25" t="s">
        <v>58</v>
      </c>
      <c r="GZ168" s="25" t="s">
        <v>58</v>
      </c>
      <c r="HA168" s="26" t="s">
        <v>3756</v>
      </c>
    </row>
    <row r="169" spans="14:209" x14ac:dyDescent="0.25">
      <c r="N169" s="25"/>
      <c r="FI169" s="59"/>
      <c r="FK169" s="59"/>
      <c r="FL169" s="26"/>
      <c r="FN169" s="59"/>
      <c r="FO169" s="265" t="s">
        <v>58</v>
      </c>
      <c r="FP169" s="250"/>
      <c r="FQ169" s="243">
        <v>43860</v>
      </c>
      <c r="FR169" s="26"/>
      <c r="FS169" s="211">
        <v>2</v>
      </c>
      <c r="FT169" s="22">
        <v>0.26238091349277259</v>
      </c>
      <c r="FU169" s="24">
        <v>6.5504048686306527E-6</v>
      </c>
      <c r="FV169" s="21">
        <v>0.44060114064329331</v>
      </c>
      <c r="FW169" s="212">
        <f>betaItaly/deltaItaly</f>
        <v>161385.07927039772</v>
      </c>
      <c r="FX169" s="212">
        <f ca="1">SQRT(SUM(tblData[Italy Sq Err])/COUNT(tblData[Italy Sq Err]))</f>
        <v>23215.218654653261</v>
      </c>
      <c r="FY169" s="212"/>
      <c r="FZ169" s="213">
        <f>(betaItaly/PoItaly)-deltaItaly</f>
        <v>0.57166033678299866</v>
      </c>
      <c r="GA169" s="213">
        <f>deltaItaly*1000</f>
        <v>1.5688082555194651E-3</v>
      </c>
      <c r="GB169" s="246">
        <f t="array" ref="GB169">MAX(IF(ISNUMBER(tblData[Italy]),tblData[Dates]))</f>
        <v>43953</v>
      </c>
      <c r="GC169" s="26" t="str">
        <f>Cengnotation(FW169,3)</f>
        <v>161 k</v>
      </c>
      <c r="GD169" s="212"/>
      <c r="GE169" s="212"/>
      <c r="GF169" s="19"/>
      <c r="GG169" s="156"/>
      <c r="GH169" s="25"/>
      <c r="GI169" s="18"/>
      <c r="GJ169" s="25"/>
      <c r="GK169" s="25"/>
      <c r="GM169" s="25"/>
      <c r="GN169" s="19"/>
      <c r="GO169" s="156"/>
      <c r="GP169" s="218"/>
      <c r="GQ169" s="156"/>
      <c r="GR169" s="25"/>
      <c r="GS169" s="25"/>
      <c r="GT169" s="11"/>
      <c r="GU169" s="12"/>
      <c r="GV169" s="26"/>
      <c r="GW169" s="25"/>
      <c r="GX169" s="219"/>
      <c r="GY169" s="25"/>
      <c r="GZ169" s="25"/>
    </row>
    <row r="170" spans="14:209" x14ac:dyDescent="0.25">
      <c r="N170" s="25"/>
      <c r="FO170" s="265" t="s">
        <v>208</v>
      </c>
      <c r="FP170" s="250"/>
      <c r="FQ170" s="243">
        <v>43852</v>
      </c>
      <c r="FR170" s="26"/>
      <c r="FS170" s="211">
        <v>3</v>
      </c>
      <c r="FT170" s="22">
        <v>0.23690262188948924</v>
      </c>
      <c r="FU170" s="24">
        <v>1.0000000000010001E-8</v>
      </c>
      <c r="FV170" s="21">
        <v>1</v>
      </c>
      <c r="FW170" s="212">
        <v>23690262.188925233</v>
      </c>
      <c r="FX170" s="212">
        <v>70.768652159383493</v>
      </c>
      <c r="FY170" s="212"/>
      <c r="FZ170" s="213">
        <v>0.23690261188948925</v>
      </c>
      <c r="GA170" s="213">
        <v>1.0000000000010001E-5</v>
      </c>
      <c r="GB170" s="246">
        <v>43904</v>
      </c>
      <c r="GC170" s="26" t="s">
        <v>215</v>
      </c>
      <c r="GD170" s="212"/>
      <c r="GE170" s="212"/>
      <c r="GF170" s="19"/>
      <c r="GG170" s="156"/>
      <c r="GH170" s="25"/>
      <c r="GI170" s="18"/>
      <c r="GJ170" s="25"/>
      <c r="GK170" s="25"/>
      <c r="GM170" s="25"/>
      <c r="GN170" s="19"/>
      <c r="GO170" s="156"/>
      <c r="GP170" s="218"/>
      <c r="GQ170" s="156"/>
      <c r="GR170" s="25"/>
      <c r="GS170" s="25"/>
      <c r="GT170" s="11"/>
      <c r="GU170" s="12"/>
      <c r="GV170" s="26"/>
      <c r="GW170" s="25"/>
      <c r="GX170" s="219"/>
      <c r="GY170" s="25"/>
      <c r="GZ170" s="25"/>
    </row>
    <row r="171" spans="14:209" x14ac:dyDescent="0.25">
      <c r="N171" s="25"/>
      <c r="FO171" s="265" t="s">
        <v>208</v>
      </c>
      <c r="FP171" s="250"/>
      <c r="FQ171" s="243">
        <v>43852</v>
      </c>
      <c r="FR171" s="26"/>
      <c r="FS171" s="211">
        <v>3</v>
      </c>
      <c r="FT171" s="22">
        <v>0.32325497596799352</v>
      </c>
      <c r="FU171" s="24">
        <v>3.2192747767709561E-5</v>
      </c>
      <c r="FV171" s="21">
        <v>8.8068098227311528E-2</v>
      </c>
      <c r="FW171" s="212">
        <v>10041.235942345667</v>
      </c>
      <c r="FX171" s="212">
        <v>0</v>
      </c>
      <c r="FY171" s="212"/>
      <c r="FZ171" s="213">
        <v>3.6704794053753567</v>
      </c>
      <c r="GA171" s="213">
        <v>3.2192747767709563E-2</v>
      </c>
      <c r="GB171" s="246">
        <v>43905</v>
      </c>
      <c r="GC171" s="26" t="s">
        <v>461</v>
      </c>
      <c r="GD171" s="212"/>
      <c r="GE171" s="212"/>
      <c r="GF171" s="19"/>
      <c r="GG171" s="156"/>
      <c r="GH171" s="25"/>
      <c r="GI171" s="18"/>
      <c r="GJ171" s="25"/>
      <c r="GK171" s="25"/>
      <c r="GM171" s="25"/>
      <c r="GN171" s="19"/>
      <c r="GO171" s="156"/>
      <c r="GP171" s="218"/>
      <c r="GQ171" s="156"/>
      <c r="GR171" s="25"/>
      <c r="GS171" s="25"/>
      <c r="GT171" s="11"/>
      <c r="GU171" s="12"/>
      <c r="GV171" s="26"/>
      <c r="GW171" s="25"/>
      <c r="GX171" s="219"/>
      <c r="GY171" s="25"/>
      <c r="GZ171" s="25"/>
    </row>
    <row r="172" spans="14:209" x14ac:dyDescent="0.25">
      <c r="N172" s="25"/>
      <c r="FO172" s="265" t="s">
        <v>208</v>
      </c>
      <c r="FP172" s="250"/>
      <c r="FQ172" s="243">
        <v>43852</v>
      </c>
      <c r="FR172" s="26"/>
      <c r="FS172" s="211">
        <v>3</v>
      </c>
      <c r="FT172" s="22">
        <v>0.36149962702652205</v>
      </c>
      <c r="FU172" s="24">
        <v>4.559608796995672E-5</v>
      </c>
      <c r="FV172" s="21">
        <v>2.9311946911653858E-2</v>
      </c>
      <c r="FW172" s="212">
        <v>7928.3035699184175</v>
      </c>
      <c r="FX172" s="212">
        <v>80.421636650241254</v>
      </c>
      <c r="FY172" s="212"/>
      <c r="FZ172" s="213">
        <v>12.332796985678472</v>
      </c>
      <c r="GA172" s="213">
        <v>4.559608796995672E-2</v>
      </c>
      <c r="GB172" s="246">
        <v>43907</v>
      </c>
      <c r="GC172" s="26" t="s">
        <v>554</v>
      </c>
      <c r="GD172" s="212"/>
      <c r="GE172" s="212">
        <v>4736</v>
      </c>
      <c r="GF172" s="19" t="s">
        <v>555</v>
      </c>
      <c r="GG172" s="156">
        <v>43906</v>
      </c>
      <c r="GH172" s="25">
        <v>38</v>
      </c>
      <c r="GI172" s="18" t="s">
        <v>556</v>
      </c>
      <c r="GJ172" s="25"/>
      <c r="GK172" s="25" t="s">
        <v>557</v>
      </c>
      <c r="GM172" s="25"/>
      <c r="GN172" s="19"/>
      <c r="GO172" s="156"/>
      <c r="GP172" s="218"/>
      <c r="GQ172" s="156"/>
      <c r="GR172" s="23"/>
      <c r="GS172" s="25"/>
      <c r="GT172" s="11"/>
      <c r="GU172" s="12"/>
      <c r="GV172" s="26"/>
      <c r="GW172" s="25"/>
      <c r="GX172" s="219"/>
      <c r="GY172" s="25"/>
      <c r="GZ172" s="25"/>
    </row>
    <row r="173" spans="14:209" x14ac:dyDescent="0.25">
      <c r="N173" s="25"/>
      <c r="FO173" s="265" t="s">
        <v>208</v>
      </c>
      <c r="FP173" s="250"/>
      <c r="FQ173" s="243">
        <v>43852</v>
      </c>
      <c r="FR173" s="26"/>
      <c r="FS173" s="211">
        <v>3</v>
      </c>
      <c r="FT173" s="22">
        <v>0.27693699134998795</v>
      </c>
      <c r="FU173" s="24">
        <v>9.9999999999976868E-11</v>
      </c>
      <c r="FV173" s="21">
        <v>0.29473541562593031</v>
      </c>
      <c r="FW173" s="212">
        <v>2769369913.5005202</v>
      </c>
      <c r="FX173" s="212">
        <v>50.62824539226316</v>
      </c>
      <c r="FY173" s="212"/>
      <c r="FZ173" s="213">
        <v>0.93961219669642571</v>
      </c>
      <c r="GA173" s="213">
        <v>9.9999999999976874E-8</v>
      </c>
      <c r="GB173" s="246">
        <v>43907</v>
      </c>
      <c r="GC173" s="26" t="s">
        <v>589</v>
      </c>
      <c r="GD173" s="212"/>
      <c r="GE173" s="212">
        <v>6421</v>
      </c>
      <c r="GF173" s="19" t="s">
        <v>590</v>
      </c>
      <c r="GG173" s="156">
        <v>43907</v>
      </c>
      <c r="GH173" s="25">
        <v>38</v>
      </c>
      <c r="GI173" s="18" t="s">
        <v>591</v>
      </c>
      <c r="GJ173" s="25"/>
      <c r="GK173" s="25" t="s">
        <v>592</v>
      </c>
      <c r="GL173" s="25" t="s">
        <v>561</v>
      </c>
      <c r="GM173" s="25" t="s">
        <v>593</v>
      </c>
      <c r="GN173" s="19"/>
      <c r="GO173" s="156"/>
      <c r="GP173" s="218"/>
      <c r="GQ173" s="156"/>
      <c r="GR173" s="25"/>
      <c r="GS173" s="25"/>
      <c r="GT173" s="11"/>
      <c r="GU173" s="12"/>
      <c r="GV173" s="26"/>
      <c r="GW173" s="25"/>
      <c r="GX173" s="219"/>
      <c r="GY173" s="25"/>
      <c r="GZ173" s="25"/>
    </row>
    <row r="174" spans="14:209" x14ac:dyDescent="0.25">
      <c r="N174" s="25"/>
      <c r="FO174" s="265" t="s">
        <v>208</v>
      </c>
      <c r="FP174" s="250"/>
      <c r="FQ174" s="243">
        <v>43852</v>
      </c>
      <c r="FR174" s="26"/>
      <c r="FS174" s="211">
        <v>3</v>
      </c>
      <c r="FT174" s="22">
        <v>0.26960395783553237</v>
      </c>
      <c r="FU174" s="24">
        <v>9.0234118240884196E-8</v>
      </c>
      <c r="FV174" s="21">
        <v>0.28960505152543209</v>
      </c>
      <c r="FW174" s="212">
        <v>2987827.2552718031</v>
      </c>
      <c r="FX174" s="212">
        <v>77.269010204642242</v>
      </c>
      <c r="FY174" s="212"/>
      <c r="FZ174" s="213">
        <v>0.9309365644114127</v>
      </c>
      <c r="GA174" s="213">
        <v>9.0234118240884196E-5</v>
      </c>
      <c r="GB174" s="246">
        <v>43907</v>
      </c>
      <c r="GC174" s="26" t="s">
        <v>603</v>
      </c>
      <c r="GD174" s="212"/>
      <c r="GE174" s="212">
        <v>7786</v>
      </c>
      <c r="GF174" s="25" t="s">
        <v>604</v>
      </c>
      <c r="GG174" s="156">
        <v>43907</v>
      </c>
      <c r="GH174" s="25">
        <v>39</v>
      </c>
      <c r="GI174" s="26" t="s">
        <v>605</v>
      </c>
      <c r="GJ174" s="25"/>
      <c r="GK174" s="25" t="s">
        <v>606</v>
      </c>
      <c r="GL174" s="30" t="s">
        <v>561</v>
      </c>
      <c r="GM174" s="18" t="s">
        <v>607</v>
      </c>
      <c r="GN174" s="165">
        <v>236.49282585071069</v>
      </c>
      <c r="GO174" s="156">
        <v>43907</v>
      </c>
      <c r="GP174" s="218">
        <v>-2</v>
      </c>
      <c r="GQ174" s="156">
        <v>43909</v>
      </c>
      <c r="GR174" s="11">
        <v>0</v>
      </c>
      <c r="GS174" s="25"/>
      <c r="GT174" s="11"/>
      <c r="GU174" s="12"/>
      <c r="GV174" s="26"/>
      <c r="GW174" s="25"/>
      <c r="GX174" s="219"/>
      <c r="GY174" s="25"/>
      <c r="GZ174" s="25"/>
    </row>
    <row r="175" spans="14:209" x14ac:dyDescent="0.25">
      <c r="N175" s="25"/>
      <c r="FO175" s="265" t="s">
        <v>208</v>
      </c>
      <c r="FP175" s="250">
        <v>43911.866307870368</v>
      </c>
      <c r="FQ175" s="243">
        <v>43852</v>
      </c>
      <c r="FR175" s="26">
        <v>43870</v>
      </c>
      <c r="FS175" s="211">
        <v>3</v>
      </c>
      <c r="FT175" s="25">
        <v>0.34769529201458815</v>
      </c>
      <c r="FU175" s="24">
        <v>1.0000000000000751E-9</v>
      </c>
      <c r="FV175" s="21">
        <v>1.709986186409522E-2</v>
      </c>
      <c r="FW175" s="212">
        <v>347695292.01456201</v>
      </c>
      <c r="FX175" s="213">
        <v>315.73237932545749</v>
      </c>
      <c r="FY175" s="212"/>
      <c r="FZ175" s="213">
        <v>20.333222265821231</v>
      </c>
      <c r="GA175" s="213">
        <v>1.0000000000000751E-6</v>
      </c>
      <c r="GB175" s="246">
        <v>43910</v>
      </c>
      <c r="GC175" s="25" t="s">
        <v>772</v>
      </c>
      <c r="GD175" s="212"/>
      <c r="GE175" s="212">
        <v>19100</v>
      </c>
      <c r="GF175" s="25" t="s">
        <v>773</v>
      </c>
      <c r="GG175" s="156">
        <v>43910</v>
      </c>
      <c r="GH175" s="25">
        <v>41</v>
      </c>
      <c r="GI175" s="25" t="s">
        <v>774</v>
      </c>
      <c r="GJ175" s="25"/>
      <c r="GK175" s="25" t="s">
        <v>775</v>
      </c>
      <c r="GL175" s="25" t="s">
        <v>561</v>
      </c>
      <c r="GM175" s="25" t="s">
        <v>776</v>
      </c>
      <c r="GN175" s="165">
        <v>580.14551422406544</v>
      </c>
      <c r="GO175" s="156">
        <v>43910</v>
      </c>
      <c r="GP175" s="218">
        <v>1</v>
      </c>
      <c r="GQ175" s="156">
        <v>43910</v>
      </c>
      <c r="GR175" s="23">
        <v>1</v>
      </c>
      <c r="GS175" s="25"/>
      <c r="GT175" s="11"/>
      <c r="GU175" s="12"/>
      <c r="GV175" s="26"/>
      <c r="GW175" s="25"/>
      <c r="GX175" s="219"/>
      <c r="GY175" s="25"/>
      <c r="GZ175" s="25"/>
    </row>
    <row r="176" spans="14:209" x14ac:dyDescent="0.25">
      <c r="N176" s="25"/>
      <c r="FO176" s="265" t="s">
        <v>208</v>
      </c>
      <c r="FP176" s="250"/>
      <c r="FQ176" s="243">
        <v>43852</v>
      </c>
      <c r="FR176" s="26"/>
      <c r="FS176" s="211">
        <v>3</v>
      </c>
      <c r="FT176" s="25">
        <v>0.26960395737241599</v>
      </c>
      <c r="FU176" s="24">
        <v>2.2999968774326208E-6</v>
      </c>
      <c r="FV176" s="21">
        <v>0.28960505147680476</v>
      </c>
      <c r="FW176" s="212">
        <v>117219.27104238607</v>
      </c>
      <c r="FX176" s="212">
        <v>681.80877800845474</v>
      </c>
      <c r="FY176" s="212"/>
      <c r="FZ176" s="213">
        <v>0.9309343532058354</v>
      </c>
      <c r="GA176" s="213">
        <v>2.2999968774326208E-3</v>
      </c>
      <c r="GB176" s="246">
        <v>43910</v>
      </c>
      <c r="GC176" s="25" t="s">
        <v>704</v>
      </c>
      <c r="GD176" s="212"/>
      <c r="GE176" s="212">
        <v>14366</v>
      </c>
      <c r="GF176" s="25" t="s">
        <v>705</v>
      </c>
      <c r="GG176" s="156">
        <v>43909</v>
      </c>
      <c r="GH176" s="25">
        <v>41</v>
      </c>
      <c r="GI176" s="25" t="s">
        <v>706</v>
      </c>
      <c r="GJ176" s="25"/>
      <c r="GK176" s="25" t="s">
        <v>707</v>
      </c>
      <c r="GL176" s="25" t="s">
        <v>561</v>
      </c>
      <c r="GM176" s="25" t="s">
        <v>708</v>
      </c>
      <c r="GN176" s="165">
        <v>436.35447420643584</v>
      </c>
      <c r="GO176" s="156">
        <v>43910</v>
      </c>
      <c r="GP176" s="218">
        <v>0</v>
      </c>
      <c r="GQ176" s="156">
        <v>43909</v>
      </c>
      <c r="GR176" s="25">
        <v>1</v>
      </c>
      <c r="GS176" s="25"/>
      <c r="GT176" s="11"/>
      <c r="GU176" s="12"/>
      <c r="GV176" s="26"/>
      <c r="GW176" s="25"/>
      <c r="GX176" s="219"/>
      <c r="GY176" s="25"/>
      <c r="GZ176" s="25"/>
    </row>
    <row r="177" spans="14:209" x14ac:dyDescent="0.25">
      <c r="N177" s="25"/>
      <c r="FO177" s="271" t="s">
        <v>208</v>
      </c>
      <c r="FP177" s="250">
        <v>43912.326689814814</v>
      </c>
      <c r="FQ177" s="243">
        <v>43852</v>
      </c>
      <c r="FR177" s="26">
        <v>43870</v>
      </c>
      <c r="FS177" s="211">
        <v>3</v>
      </c>
      <c r="FT177" s="46">
        <v>0.34769529183841918</v>
      </c>
      <c r="FU177" s="24">
        <v>9.0410268503126118E-7</v>
      </c>
      <c r="FV177" s="21">
        <v>1.7099861863491616E-2</v>
      </c>
      <c r="FW177" s="212">
        <v>384575.00192734954</v>
      </c>
      <c r="FX177" s="212">
        <v>373.46102354388694</v>
      </c>
      <c r="FY177" s="212"/>
      <c r="FZ177" s="213">
        <v>20.333221353133922</v>
      </c>
      <c r="GA177" s="213">
        <v>9.0410268503126115E-4</v>
      </c>
      <c r="GB177" s="246">
        <v>43911</v>
      </c>
      <c r="GC177" s="46" t="s">
        <v>788</v>
      </c>
      <c r="GD177" s="212"/>
      <c r="GE177" s="212">
        <v>24148</v>
      </c>
      <c r="GF177" s="46" t="s">
        <v>789</v>
      </c>
      <c r="GG177" s="156">
        <v>43911</v>
      </c>
      <c r="GH177" s="25">
        <v>42</v>
      </c>
      <c r="GI177" s="46" t="s">
        <v>790</v>
      </c>
      <c r="GJ177" s="46"/>
      <c r="GK177" s="46" t="s">
        <v>791</v>
      </c>
      <c r="GL177" s="46" t="s">
        <v>561</v>
      </c>
      <c r="GM177" s="46" t="s">
        <v>792</v>
      </c>
      <c r="GN177" s="165">
        <v>733.47402499909595</v>
      </c>
      <c r="GO177" s="156">
        <v>43910</v>
      </c>
      <c r="GP177" s="218">
        <v>1</v>
      </c>
      <c r="GQ177" s="156">
        <v>43910</v>
      </c>
      <c r="GR177" s="46">
        <v>2</v>
      </c>
      <c r="GS177" s="25"/>
      <c r="GT177" s="11"/>
      <c r="GU177" s="12"/>
      <c r="GV177" s="26"/>
      <c r="GW177" s="25"/>
      <c r="GX177" s="219"/>
      <c r="GY177" s="25"/>
      <c r="GZ177" s="25"/>
    </row>
    <row r="178" spans="14:209" x14ac:dyDescent="0.25">
      <c r="N178" s="25"/>
      <c r="FO178" s="265" t="s">
        <v>208</v>
      </c>
      <c r="FP178" s="250">
        <v>43912.588553240741</v>
      </c>
      <c r="FQ178" s="243">
        <v>43852</v>
      </c>
      <c r="FR178" s="26">
        <v>43870</v>
      </c>
      <c r="FS178" s="211">
        <v>3</v>
      </c>
      <c r="FT178" s="25">
        <v>0.33723338075349552</v>
      </c>
      <c r="FU178" s="24">
        <v>1.0000000000011339E-10</v>
      </c>
      <c r="FV178" s="21">
        <v>2.5463658145862197E-2</v>
      </c>
      <c r="FW178" s="212">
        <v>3372333807.5311313</v>
      </c>
      <c r="FX178" s="212">
        <v>322.06292198936342</v>
      </c>
      <c r="FY178" s="212"/>
      <c r="FZ178" s="213">
        <v>13.243713013236043</v>
      </c>
      <c r="GA178" s="213">
        <v>1.0000000000011339E-7</v>
      </c>
      <c r="GB178" s="246">
        <v>43911</v>
      </c>
      <c r="GC178" s="25" t="s">
        <v>818</v>
      </c>
      <c r="GD178" s="212"/>
      <c r="GE178" s="212">
        <v>25489</v>
      </c>
      <c r="GF178" s="25" t="s">
        <v>819</v>
      </c>
      <c r="GG178" s="156">
        <v>43911</v>
      </c>
      <c r="GH178" s="25">
        <v>42</v>
      </c>
      <c r="GI178" s="25" t="s">
        <v>820</v>
      </c>
      <c r="GJ178" s="25"/>
      <c r="GK178" s="25" t="s">
        <v>821</v>
      </c>
      <c r="GL178" s="25" t="s">
        <v>561</v>
      </c>
      <c r="GM178" s="25" t="s">
        <v>822</v>
      </c>
      <c r="GN178" s="165">
        <v>774.20570743755002</v>
      </c>
      <c r="GO178" s="156">
        <v>43911</v>
      </c>
      <c r="GP178" s="218">
        <v>1</v>
      </c>
      <c r="GQ178" s="156">
        <v>43910</v>
      </c>
      <c r="GR178" s="23">
        <v>2</v>
      </c>
      <c r="GS178" s="25"/>
      <c r="GT178" s="11"/>
      <c r="GU178" s="12"/>
      <c r="GV178" s="26"/>
      <c r="GW178" s="25"/>
      <c r="GX178" s="219"/>
      <c r="GY178" s="25"/>
      <c r="GZ178" s="25"/>
    </row>
    <row r="179" spans="14:209" x14ac:dyDescent="0.25">
      <c r="N179" s="25"/>
      <c r="FO179" s="265" t="s">
        <v>208</v>
      </c>
      <c r="FP179" s="250">
        <v>43912.873854166668</v>
      </c>
      <c r="FQ179" s="243">
        <v>43852</v>
      </c>
      <c r="FR179" s="26">
        <v>43870</v>
      </c>
      <c r="FS179" s="211">
        <v>3</v>
      </c>
      <c r="FT179" s="25">
        <v>0.33723338069623404</v>
      </c>
      <c r="FU179" s="24">
        <v>9.9999999999795755E-11</v>
      </c>
      <c r="FV179" s="21">
        <v>2.5463658145686113E-2</v>
      </c>
      <c r="FW179" s="212">
        <v>3372333806.9692283</v>
      </c>
      <c r="FX179" s="212">
        <v>322.06292198158718</v>
      </c>
      <c r="FY179" s="212"/>
      <c r="FZ179" s="213">
        <v>13.243713011078873</v>
      </c>
      <c r="GA179" s="213">
        <v>9.9999999999795755E-8</v>
      </c>
      <c r="GB179" s="246">
        <v>43911</v>
      </c>
      <c r="GC179" s="25" t="s">
        <v>818</v>
      </c>
      <c r="GD179" s="212">
        <v>3372333806.9692283</v>
      </c>
      <c r="GE179" s="212">
        <v>25489</v>
      </c>
      <c r="GF179" s="25" t="s">
        <v>819</v>
      </c>
      <c r="GG179" s="156">
        <v>43911</v>
      </c>
      <c r="GH179" s="25">
        <v>42</v>
      </c>
      <c r="GI179" s="25" t="s">
        <v>838</v>
      </c>
      <c r="GJ179" s="25"/>
      <c r="GK179" s="25" t="s">
        <v>821</v>
      </c>
      <c r="GM179" s="25" t="s">
        <v>839</v>
      </c>
      <c r="GN179" s="165">
        <v>774.20570743755002</v>
      </c>
      <c r="GO179" s="156">
        <v>43911</v>
      </c>
      <c r="GP179" s="218">
        <v>1</v>
      </c>
      <c r="GQ179" s="156">
        <v>43910</v>
      </c>
      <c r="GR179" s="25">
        <v>2</v>
      </c>
      <c r="GS179" s="25"/>
      <c r="GT179" s="11"/>
      <c r="GU179" s="12"/>
      <c r="GV179" s="26"/>
      <c r="GW179" s="25"/>
      <c r="GX179" s="219"/>
      <c r="GY179" s="25"/>
      <c r="GZ179" s="25"/>
    </row>
    <row r="180" spans="14:209" x14ac:dyDescent="0.25">
      <c r="N180" s="25"/>
      <c r="FO180" s="265" t="s">
        <v>208</v>
      </c>
      <c r="FP180" s="250">
        <v>43913.581689814811</v>
      </c>
      <c r="FQ180" s="243">
        <v>43852</v>
      </c>
      <c r="FR180" s="26">
        <v>43870</v>
      </c>
      <c r="FS180" s="211">
        <v>3</v>
      </c>
      <c r="FT180" s="25">
        <v>0.33723338069623404</v>
      </c>
      <c r="FU180" s="71">
        <v>9.9999999999795755E-11</v>
      </c>
      <c r="FV180" s="21">
        <v>2.5463658145686113E-2</v>
      </c>
      <c r="FW180" s="212">
        <v>3372333806.9692283</v>
      </c>
      <c r="FX180" s="212">
        <v>322.06292198158718</v>
      </c>
      <c r="FY180" s="212"/>
      <c r="FZ180" s="213">
        <v>13.243713011078873</v>
      </c>
      <c r="GA180" s="213">
        <v>9.9999999999795755E-8</v>
      </c>
      <c r="GB180" s="246">
        <v>43911</v>
      </c>
      <c r="GC180" s="25" t="s">
        <v>818</v>
      </c>
      <c r="GD180" s="212">
        <v>3372333806.9692283</v>
      </c>
      <c r="GE180" s="212">
        <v>25489</v>
      </c>
      <c r="GF180" s="25" t="s">
        <v>819</v>
      </c>
      <c r="GG180" s="156">
        <v>43911</v>
      </c>
      <c r="GH180" s="25">
        <v>42</v>
      </c>
      <c r="GI180" s="25" t="s">
        <v>838</v>
      </c>
      <c r="GJ180" s="25"/>
      <c r="GK180" s="25" t="s">
        <v>821</v>
      </c>
      <c r="GM180" s="25" t="s">
        <v>839</v>
      </c>
      <c r="GN180" s="165">
        <v>774.20570743755002</v>
      </c>
      <c r="GO180" s="156">
        <v>43913</v>
      </c>
      <c r="GP180" s="218">
        <v>0</v>
      </c>
      <c r="GQ180" s="156">
        <v>43911</v>
      </c>
      <c r="GR180" s="25">
        <v>1</v>
      </c>
      <c r="GS180" s="25"/>
      <c r="GT180" s="11"/>
      <c r="GU180" s="12"/>
      <c r="GV180" s="26"/>
      <c r="GW180" s="25"/>
      <c r="GX180" s="219"/>
      <c r="GY180" s="25"/>
      <c r="GZ180" s="25"/>
    </row>
    <row r="181" spans="14:209" x14ac:dyDescent="0.25">
      <c r="N181" s="25"/>
      <c r="FO181" s="265" t="s">
        <v>208</v>
      </c>
      <c r="FP181" s="250">
        <v>43912.787546296298</v>
      </c>
      <c r="FQ181" s="243">
        <v>43852</v>
      </c>
      <c r="FR181" s="26">
        <v>43870</v>
      </c>
      <c r="FS181" s="211">
        <v>3</v>
      </c>
      <c r="FT181" s="25">
        <v>0.33723338054496799</v>
      </c>
      <c r="FU181" s="24">
        <v>2.0602986212095161E-6</v>
      </c>
      <c r="FV181" s="21">
        <v>2.5463658144854667E-2</v>
      </c>
      <c r="FW181" s="212">
        <v>163681.79693630635</v>
      </c>
      <c r="FX181" s="212">
        <v>828.39707151439563</v>
      </c>
      <c r="FY181" s="212"/>
      <c r="FZ181" s="213">
        <v>13.24371094537222</v>
      </c>
      <c r="GA181" s="213">
        <v>2.060298621209516E-3</v>
      </c>
      <c r="GB181" s="246">
        <v>43912</v>
      </c>
      <c r="GC181" s="25" t="s">
        <v>840</v>
      </c>
      <c r="GD181" s="212">
        <v>163681.79693630635</v>
      </c>
      <c r="GE181" s="212">
        <v>26747</v>
      </c>
      <c r="GF181" s="25" t="s">
        <v>841</v>
      </c>
      <c r="GG181" s="156">
        <v>43911</v>
      </c>
      <c r="GH181" s="25">
        <v>43</v>
      </c>
      <c r="GI181" s="25" t="s">
        <v>842</v>
      </c>
      <c r="GJ181" s="25"/>
      <c r="GK181" s="25" t="s">
        <v>843</v>
      </c>
      <c r="GM181" s="25" t="s">
        <v>844</v>
      </c>
      <c r="GN181" s="165">
        <v>812.41633868853819</v>
      </c>
      <c r="GO181" s="156">
        <v>43911</v>
      </c>
      <c r="GP181" s="218">
        <v>1</v>
      </c>
      <c r="GQ181" s="156">
        <v>43910</v>
      </c>
      <c r="GR181" s="23">
        <v>2</v>
      </c>
      <c r="GS181" s="25"/>
      <c r="GT181" s="11"/>
      <c r="GU181" s="12"/>
      <c r="GV181" s="26"/>
      <c r="GW181" s="25"/>
      <c r="GX181" s="219"/>
      <c r="GY181" s="25"/>
      <c r="GZ181" s="25"/>
    </row>
    <row r="182" spans="14:209" x14ac:dyDescent="0.25">
      <c r="N182" s="25"/>
      <c r="FO182" s="265" t="s">
        <v>208</v>
      </c>
      <c r="FP182" s="250">
        <v>43913.686736111114</v>
      </c>
      <c r="FQ182" s="243">
        <v>43852</v>
      </c>
      <c r="FR182" s="26">
        <v>43870</v>
      </c>
      <c r="FS182" s="211">
        <v>3</v>
      </c>
      <c r="FT182" s="25">
        <v>0.33723338048188056</v>
      </c>
      <c r="FU182" s="71">
        <v>5.5706351680568401E-7</v>
      </c>
      <c r="FV182" s="21">
        <v>2.5463658144544234E-2</v>
      </c>
      <c r="FW182" s="212">
        <v>605376.89205648517</v>
      </c>
      <c r="FX182" s="212">
        <v>389.60916165331662</v>
      </c>
      <c r="FY182" s="212"/>
      <c r="FZ182" s="213">
        <v>13.243712446291234</v>
      </c>
      <c r="GA182" s="213">
        <v>5.5706351680568397E-4</v>
      </c>
      <c r="GB182" s="246">
        <v>43912</v>
      </c>
      <c r="GC182" s="25" t="s">
        <v>1005</v>
      </c>
      <c r="GD182" s="212">
        <v>605376.89205648517</v>
      </c>
      <c r="GE182" s="212">
        <v>33272</v>
      </c>
      <c r="GF182" s="25" t="s">
        <v>1006</v>
      </c>
      <c r="GG182" s="156">
        <v>43912</v>
      </c>
      <c r="GH182" s="25">
        <v>43</v>
      </c>
      <c r="GI182" s="25" t="s">
        <v>1007</v>
      </c>
      <c r="GJ182" s="25"/>
      <c r="GK182" s="25" t="s">
        <v>1008</v>
      </c>
      <c r="GM182" s="25" t="s">
        <v>1009</v>
      </c>
      <c r="GN182" s="165">
        <v>1010.6074109561836</v>
      </c>
      <c r="GO182" s="156">
        <v>43912</v>
      </c>
      <c r="GP182" s="218">
        <v>1</v>
      </c>
      <c r="GQ182" s="156">
        <v>43911</v>
      </c>
      <c r="GR182" s="25">
        <v>2</v>
      </c>
      <c r="GS182" s="25" t="s">
        <v>1004</v>
      </c>
      <c r="GT182" s="11"/>
      <c r="GU182" s="12"/>
      <c r="GV182" s="26"/>
      <c r="GW182" s="25"/>
      <c r="GX182" s="219"/>
      <c r="GY182" s="25"/>
      <c r="GZ182" s="25"/>
    </row>
    <row r="183" spans="14:209" x14ac:dyDescent="0.25">
      <c r="N183" s="25"/>
      <c r="FO183" s="265" t="s">
        <v>208</v>
      </c>
      <c r="FP183" s="250">
        <v>43914.307881944442</v>
      </c>
      <c r="FQ183" s="243">
        <v>43852</v>
      </c>
      <c r="FR183" s="26">
        <v>43870</v>
      </c>
      <c r="FS183" s="211">
        <v>3</v>
      </c>
      <c r="FT183" s="25">
        <v>0.33723338032075978</v>
      </c>
      <c r="FU183" s="25">
        <v>5.5704542546099318E-7</v>
      </c>
      <c r="FV183" s="21">
        <v>2.5463658143704725E-2</v>
      </c>
      <c r="FW183" s="212">
        <v>605396.5527886278</v>
      </c>
      <c r="FX183" s="212">
        <v>389.60916095152731</v>
      </c>
      <c r="FY183" s="212"/>
      <c r="FZ183" s="213">
        <v>13.243712440418475</v>
      </c>
      <c r="GA183" s="213">
        <v>5.570454254609932E-4</v>
      </c>
      <c r="GB183" s="246">
        <v>43912</v>
      </c>
      <c r="GC183" s="25" t="s">
        <v>1005</v>
      </c>
      <c r="GD183" s="212">
        <v>605396.5527886278</v>
      </c>
      <c r="GE183" s="212">
        <v>33272</v>
      </c>
      <c r="GF183" s="25" t="s">
        <v>1006</v>
      </c>
      <c r="GG183" s="156">
        <v>43912</v>
      </c>
      <c r="GH183" s="25">
        <v>43</v>
      </c>
      <c r="GI183" s="25" t="s">
        <v>1007</v>
      </c>
      <c r="GJ183" s="25"/>
      <c r="GK183" s="25" t="s">
        <v>1008</v>
      </c>
      <c r="GM183" s="25" t="s">
        <v>1009</v>
      </c>
      <c r="GN183" s="165">
        <v>1010.6074109561836</v>
      </c>
      <c r="GO183" s="156">
        <v>43912</v>
      </c>
      <c r="GP183" s="218">
        <v>1</v>
      </c>
      <c r="GQ183" s="156">
        <v>43911</v>
      </c>
      <c r="GR183" s="25">
        <v>2</v>
      </c>
      <c r="GS183" s="25" t="s">
        <v>1024</v>
      </c>
      <c r="GT183" s="11"/>
      <c r="GU183" s="12"/>
      <c r="GV183" s="26"/>
      <c r="GW183" s="25"/>
      <c r="GX183" s="219"/>
      <c r="GY183" s="25"/>
      <c r="GZ183" s="25"/>
    </row>
    <row r="184" spans="14:209" x14ac:dyDescent="0.25">
      <c r="N184" s="25"/>
      <c r="FO184" s="263" t="s">
        <v>208</v>
      </c>
      <c r="FP184" s="250">
        <v>43914.462731481479</v>
      </c>
      <c r="FQ184" s="243">
        <v>43852</v>
      </c>
      <c r="FR184" s="26">
        <v>43870</v>
      </c>
      <c r="FS184" s="211">
        <v>3</v>
      </c>
      <c r="FT184" s="25">
        <v>0.33723338032076405</v>
      </c>
      <c r="FU184" s="25">
        <v>5.5671059648604149E-7</v>
      </c>
      <c r="FV184" s="21">
        <v>2.546365814370475E-2</v>
      </c>
      <c r="FW184" s="212">
        <v>605760.66352855845</v>
      </c>
      <c r="FX184" s="212">
        <v>389.60910580191603</v>
      </c>
      <c r="FY184" s="212"/>
      <c r="FZ184" s="216">
        <v>13.243712440753461</v>
      </c>
      <c r="GA184" s="213">
        <v>5.5671059648604152E-4</v>
      </c>
      <c r="GB184" s="246">
        <v>43912</v>
      </c>
      <c r="GC184" s="25" t="s">
        <v>1061</v>
      </c>
      <c r="GD184" s="212">
        <v>605760.66352855845</v>
      </c>
      <c r="GE184" s="212">
        <v>33272</v>
      </c>
      <c r="GF184" s="74" t="s">
        <v>1006</v>
      </c>
      <c r="GG184" s="156">
        <v>43912</v>
      </c>
      <c r="GH184" s="25">
        <v>43</v>
      </c>
      <c r="GI184" s="25" t="s">
        <v>1062</v>
      </c>
      <c r="GJ184" s="25"/>
      <c r="GK184" s="25" t="s">
        <v>1008</v>
      </c>
      <c r="GM184" s="25" t="s">
        <v>1063</v>
      </c>
      <c r="GN184" s="165">
        <v>1010.6074109561836</v>
      </c>
      <c r="GO184" s="156">
        <v>43914</v>
      </c>
      <c r="GP184" s="218">
        <v>0</v>
      </c>
      <c r="GQ184" s="156">
        <v>43911</v>
      </c>
      <c r="GR184" s="23">
        <v>2</v>
      </c>
      <c r="GS184" s="25" t="s">
        <v>1060</v>
      </c>
      <c r="GT184" s="11"/>
      <c r="GU184" s="12"/>
      <c r="GV184" s="26"/>
      <c r="GW184" s="25"/>
      <c r="GX184" s="219"/>
      <c r="GY184" s="25"/>
      <c r="GZ184" s="25"/>
      <c r="HA184" s="25"/>
    </row>
    <row r="185" spans="14:209" x14ac:dyDescent="0.25">
      <c r="N185" s="25"/>
      <c r="FO185" s="265" t="s">
        <v>208</v>
      </c>
      <c r="FP185" s="250">
        <v>43913.916192129633</v>
      </c>
      <c r="FQ185" s="243">
        <v>43852</v>
      </c>
      <c r="FR185" s="26">
        <v>43870</v>
      </c>
      <c r="FS185" s="211">
        <v>3</v>
      </c>
      <c r="FT185" s="25">
        <v>0.33723338041194412</v>
      </c>
      <c r="FU185" s="25">
        <v>2.0829424230556546E-6</v>
      </c>
      <c r="FV185" s="21">
        <v>2.5463658144183617E-2</v>
      </c>
      <c r="FW185" s="212">
        <v>161902.4014678362</v>
      </c>
      <c r="FX185" s="212">
        <v>1033.5727100803306</v>
      </c>
      <c r="FY185" s="212"/>
      <c r="FZ185" s="216">
        <v>13.243710917853365</v>
      </c>
      <c r="GA185" s="213">
        <v>2.0829424230556547E-3</v>
      </c>
      <c r="GB185" s="246">
        <v>43913</v>
      </c>
      <c r="GC185" s="25" t="s">
        <v>1025</v>
      </c>
      <c r="GD185" s="212">
        <v>161902.4014678362</v>
      </c>
      <c r="GE185" s="212">
        <v>35224</v>
      </c>
      <c r="GF185" s="25" t="s">
        <v>1026</v>
      </c>
      <c r="GG185" s="156">
        <v>43912</v>
      </c>
      <c r="GH185" s="25">
        <v>44</v>
      </c>
      <c r="GI185" s="25" t="s">
        <v>1027</v>
      </c>
      <c r="GJ185" s="25"/>
      <c r="GK185" s="25" t="s">
        <v>1028</v>
      </c>
      <c r="GM185" s="25" t="s">
        <v>1029</v>
      </c>
      <c r="GN185" s="165">
        <v>1069.8976750276693</v>
      </c>
      <c r="GO185" s="156">
        <v>43912</v>
      </c>
      <c r="GP185" s="218">
        <v>1</v>
      </c>
      <c r="GQ185" s="156">
        <v>43911</v>
      </c>
      <c r="GR185" s="25">
        <v>2</v>
      </c>
      <c r="GS185" s="25" t="s">
        <v>1024</v>
      </c>
      <c r="GT185" s="11"/>
      <c r="GU185" s="12"/>
      <c r="GV185" s="26"/>
      <c r="GW185" s="25"/>
      <c r="GX185" s="219"/>
      <c r="GY185" s="25"/>
      <c r="GZ185" s="25"/>
    </row>
    <row r="186" spans="14:209" x14ac:dyDescent="0.25">
      <c r="N186" s="25"/>
      <c r="FO186" s="263" t="s">
        <v>208</v>
      </c>
      <c r="FP186" s="250">
        <v>43915.92359953704</v>
      </c>
      <c r="FQ186" s="243">
        <v>43852</v>
      </c>
      <c r="FR186" s="26">
        <v>43870</v>
      </c>
      <c r="FS186" s="211">
        <v>3</v>
      </c>
      <c r="FT186" s="25">
        <v>0.27733988858891551</v>
      </c>
      <c r="FU186" s="25">
        <v>1.4801916494471641E-6</v>
      </c>
      <c r="FV186" s="21">
        <v>2.2710910481900958E-3</v>
      </c>
      <c r="FW186" s="212">
        <v>187367.55385189413</v>
      </c>
      <c r="FX186" s="212">
        <v>1271.9851373331508</v>
      </c>
      <c r="FY186" s="212"/>
      <c r="FZ186" s="216">
        <v>122.11746660191646</v>
      </c>
      <c r="GA186" s="213">
        <v>1.4801916494471641E-3</v>
      </c>
      <c r="GB186" s="246">
        <v>43915</v>
      </c>
      <c r="GC186" s="25" t="s">
        <v>1181</v>
      </c>
      <c r="GD186" s="212">
        <v>187367.55385189413</v>
      </c>
      <c r="GE186" s="212">
        <v>54916</v>
      </c>
      <c r="GF186" s="25" t="s">
        <v>1182</v>
      </c>
      <c r="GG186" s="156">
        <v>43914</v>
      </c>
      <c r="GH186" s="25">
        <v>64</v>
      </c>
      <c r="GI186" s="25" t="s">
        <v>1183</v>
      </c>
      <c r="GJ186" s="25"/>
      <c r="GK186" s="25" t="s">
        <v>1184</v>
      </c>
      <c r="GM186" s="62" t="s">
        <v>1185</v>
      </c>
      <c r="GN186" s="165">
        <v>1668.0246627816116</v>
      </c>
      <c r="GO186" s="156">
        <v>43913</v>
      </c>
      <c r="GP186" s="218">
        <v>2</v>
      </c>
      <c r="GQ186" s="156">
        <v>43912</v>
      </c>
      <c r="GR186" s="25">
        <v>3</v>
      </c>
      <c r="GS186" s="25" t="s">
        <v>1180</v>
      </c>
      <c r="GT186" s="11"/>
      <c r="GU186" s="12"/>
      <c r="GV186" s="26"/>
      <c r="GW186" s="25"/>
      <c r="GX186" s="219"/>
      <c r="GY186" s="25"/>
      <c r="GZ186" s="25"/>
    </row>
    <row r="187" spans="14:209" x14ac:dyDescent="0.25">
      <c r="N187" s="25"/>
      <c r="FO187" s="263" t="s">
        <v>208</v>
      </c>
      <c r="FP187" s="250">
        <v>43915.930520833332</v>
      </c>
      <c r="FQ187" s="243">
        <v>43852</v>
      </c>
      <c r="FR187" s="26">
        <v>43885</v>
      </c>
      <c r="FS187" s="211">
        <v>3</v>
      </c>
      <c r="FT187" s="25">
        <v>0.27733988858891551</v>
      </c>
      <c r="FU187" s="25">
        <v>1.4801916494471641E-6</v>
      </c>
      <c r="FV187" s="21">
        <v>2.2710910481900958E-3</v>
      </c>
      <c r="FW187" s="212">
        <v>187367.55385189413</v>
      </c>
      <c r="FX187" s="212">
        <v>1827.6216298380521</v>
      </c>
      <c r="FY187" s="212"/>
      <c r="FZ187" s="216">
        <v>122.11746660191646</v>
      </c>
      <c r="GA187" s="213">
        <v>1.4801916494471641E-3</v>
      </c>
      <c r="GB187" s="246">
        <v>43915</v>
      </c>
      <c r="GC187" s="25" t="s">
        <v>1181</v>
      </c>
      <c r="GD187" s="212">
        <v>187367.55385189413</v>
      </c>
      <c r="GE187" s="212">
        <v>54916</v>
      </c>
      <c r="GF187" s="25" t="s">
        <v>1182</v>
      </c>
      <c r="GG187" s="156">
        <v>43914</v>
      </c>
      <c r="GH187" s="25">
        <v>64</v>
      </c>
      <c r="GI187" s="25" t="s">
        <v>1183</v>
      </c>
      <c r="GJ187" s="25"/>
      <c r="GK187" s="25" t="s">
        <v>1184</v>
      </c>
      <c r="GM187" s="62" t="s">
        <v>1185</v>
      </c>
      <c r="GN187" s="165">
        <v>1668.0246627816116</v>
      </c>
      <c r="GO187" s="156">
        <v>43913</v>
      </c>
      <c r="GP187" s="218">
        <v>2</v>
      </c>
      <c r="GQ187" s="156">
        <v>43912</v>
      </c>
      <c r="GR187" s="25">
        <v>3</v>
      </c>
      <c r="GS187" s="25" t="s">
        <v>1180</v>
      </c>
      <c r="GT187" s="11"/>
      <c r="GU187" s="12"/>
      <c r="GV187" s="26"/>
      <c r="GW187" s="25"/>
      <c r="GX187" s="219"/>
      <c r="GY187" s="25"/>
      <c r="GZ187" s="25"/>
    </row>
    <row r="188" spans="14:209" x14ac:dyDescent="0.25">
      <c r="N188" s="25"/>
      <c r="FO188" s="263" t="s">
        <v>208</v>
      </c>
      <c r="FP188" s="250">
        <v>43916.899108796293</v>
      </c>
      <c r="FQ188" s="243">
        <v>43852</v>
      </c>
      <c r="FR188" s="26">
        <v>43885</v>
      </c>
      <c r="FS188" s="211">
        <v>3</v>
      </c>
      <c r="FT188" s="25">
        <v>0.27733988858891551</v>
      </c>
      <c r="FU188" s="71">
        <v>1.4801916494471641E-6</v>
      </c>
      <c r="FV188" s="21">
        <v>2.2710910481900958E-3</v>
      </c>
      <c r="FW188" s="212">
        <v>187367.55385189413</v>
      </c>
      <c r="FX188" s="212">
        <v>1827.6216298380521</v>
      </c>
      <c r="FY188" s="212"/>
      <c r="FZ188" s="216">
        <v>122.11746660191646</v>
      </c>
      <c r="GA188" s="213">
        <v>1.4801916494471641E-3</v>
      </c>
      <c r="GB188" s="246">
        <v>43915</v>
      </c>
      <c r="GC188" s="74" t="s">
        <v>1181</v>
      </c>
      <c r="GD188" s="212">
        <v>187367.55385189413</v>
      </c>
      <c r="GE188" s="212">
        <v>54916</v>
      </c>
      <c r="GF188" s="25" t="s">
        <v>1182</v>
      </c>
      <c r="GG188" s="156">
        <v>43915</v>
      </c>
      <c r="GH188" s="25">
        <v>64</v>
      </c>
      <c r="GI188" s="25" t="s">
        <v>1183</v>
      </c>
      <c r="GJ188" s="25"/>
      <c r="GK188" s="62" t="s">
        <v>1184</v>
      </c>
      <c r="GM188" s="62" t="s">
        <v>1221</v>
      </c>
      <c r="GN188" s="165">
        <v>1668.0246627816116</v>
      </c>
      <c r="GO188" s="156">
        <v>43914</v>
      </c>
      <c r="GP188" s="218">
        <v>2</v>
      </c>
      <c r="GQ188" s="156">
        <v>43913</v>
      </c>
      <c r="GR188" s="23">
        <v>3</v>
      </c>
      <c r="GS188" s="25" t="s">
        <v>1222</v>
      </c>
      <c r="GT188" s="11"/>
      <c r="GU188" s="12"/>
      <c r="GV188" s="26"/>
      <c r="GW188" s="25"/>
      <c r="GX188" s="219"/>
      <c r="GY188" s="25"/>
      <c r="GZ188" s="25"/>
      <c r="HA188" s="25"/>
    </row>
    <row r="189" spans="14:209" x14ac:dyDescent="0.25">
      <c r="N189" s="25"/>
      <c r="FO189" s="263" t="s">
        <v>208</v>
      </c>
      <c r="FP189" s="250">
        <v>43918.900833333333</v>
      </c>
      <c r="FQ189" s="243">
        <v>43852</v>
      </c>
      <c r="FR189" s="26">
        <v>43851</v>
      </c>
      <c r="FS189" s="211">
        <v>3</v>
      </c>
      <c r="FT189" s="25">
        <v>0.28524835167315121</v>
      </c>
      <c r="FU189" s="71">
        <v>8.9420331531557431E-7</v>
      </c>
      <c r="FV189" s="21">
        <v>1.0000000000000002E-3</v>
      </c>
      <c r="FW189" s="212">
        <v>318997.19760319148</v>
      </c>
      <c r="FX189" s="212">
        <v>678.74969889432623</v>
      </c>
      <c r="FY189" s="212"/>
      <c r="FZ189" s="216">
        <v>285.24835077894784</v>
      </c>
      <c r="GA189" s="213">
        <v>8.9420331531557431E-4</v>
      </c>
      <c r="GB189" s="246">
        <v>43917</v>
      </c>
      <c r="GC189" s="74" t="s">
        <v>1337</v>
      </c>
      <c r="GD189" s="212">
        <v>318997.19760319148</v>
      </c>
      <c r="GE189" s="212">
        <v>101657</v>
      </c>
      <c r="GF189" s="25" t="s">
        <v>1338</v>
      </c>
      <c r="GG189" s="156">
        <v>43917</v>
      </c>
      <c r="GH189" s="25">
        <v>66</v>
      </c>
      <c r="GI189" s="25" t="s">
        <v>1339</v>
      </c>
      <c r="GJ189" s="25"/>
      <c r="GK189" s="62" t="s">
        <v>1340</v>
      </c>
      <c r="GM189" s="62" t="s">
        <v>1341</v>
      </c>
      <c r="GN189" s="165">
        <v>3087.7409706531844</v>
      </c>
      <c r="GO189" s="156">
        <v>43916</v>
      </c>
      <c r="GP189" s="218">
        <v>2</v>
      </c>
      <c r="GQ189" s="156">
        <v>43914</v>
      </c>
      <c r="GR189" s="25">
        <v>4</v>
      </c>
      <c r="GS189" s="25" t="s">
        <v>1369</v>
      </c>
      <c r="GT189" s="11"/>
      <c r="GU189" s="12"/>
      <c r="GV189" s="26"/>
      <c r="GW189" s="25"/>
      <c r="GX189" s="219"/>
      <c r="GY189" s="25"/>
      <c r="GZ189" s="25"/>
      <c r="HA189" s="25"/>
    </row>
    <row r="190" spans="14:209" x14ac:dyDescent="0.25">
      <c r="N190" s="25"/>
      <c r="FO190" s="266" t="s">
        <v>208</v>
      </c>
      <c r="FP190" s="250">
        <v>43919.68277777778</v>
      </c>
      <c r="FQ190" s="243">
        <v>43852</v>
      </c>
      <c r="FR190" s="26">
        <v>43852</v>
      </c>
      <c r="FS190" s="211">
        <v>3</v>
      </c>
      <c r="FT190" s="25">
        <v>0.28376913971179885</v>
      </c>
      <c r="FU190" s="25">
        <v>1.0000000000276037E-12</v>
      </c>
      <c r="FV190" s="21">
        <v>1.0000000000000002E-3</v>
      </c>
      <c r="FW190" s="212">
        <v>283769139703.96576</v>
      </c>
      <c r="FX190" s="212">
        <v>3235.4891944274982</v>
      </c>
      <c r="FY190" s="212"/>
      <c r="FZ190" s="216">
        <v>283.76913971179778</v>
      </c>
      <c r="GA190" s="213">
        <v>1.0000000000276037E-9</v>
      </c>
      <c r="GB190" s="246">
        <v>43918</v>
      </c>
      <c r="GC190" s="26" t="s">
        <v>1425</v>
      </c>
      <c r="GD190" s="212">
        <v>283769139703.96576</v>
      </c>
      <c r="GE190" s="212">
        <v>121478</v>
      </c>
      <c r="GF190" s="26" t="s">
        <v>1426</v>
      </c>
      <c r="GG190" s="156">
        <v>43918</v>
      </c>
      <c r="GH190" s="25">
        <v>67</v>
      </c>
      <c r="GI190" s="25" t="s">
        <v>1427</v>
      </c>
      <c r="GJ190" s="25"/>
      <c r="GK190" s="25" t="s">
        <v>1428</v>
      </c>
      <c r="GL190" s="62"/>
      <c r="GM190" s="25" t="s">
        <v>1429</v>
      </c>
      <c r="GN190" s="165">
        <v>3689.7862186864413</v>
      </c>
      <c r="GO190" s="156">
        <v>43916</v>
      </c>
      <c r="GP190" s="218">
        <v>3</v>
      </c>
      <c r="GQ190" s="156">
        <v>43914</v>
      </c>
      <c r="GR190" s="25">
        <v>5</v>
      </c>
      <c r="GS190" s="25" t="s">
        <v>1424</v>
      </c>
      <c r="GT190" s="11"/>
      <c r="GU190" s="12"/>
      <c r="GV190" s="26"/>
      <c r="GW190" s="25"/>
      <c r="GX190" s="219"/>
      <c r="GY190" s="25"/>
      <c r="GZ190" s="25"/>
    </row>
    <row r="191" spans="14:209" x14ac:dyDescent="0.25">
      <c r="N191" s="25"/>
      <c r="FO191" s="265" t="s">
        <v>208</v>
      </c>
      <c r="FP191" s="250">
        <v>43925.970405092594</v>
      </c>
      <c r="FQ191" s="243">
        <v>43852</v>
      </c>
      <c r="FR191" s="160">
        <v>43852</v>
      </c>
      <c r="FS191" s="211">
        <v>3</v>
      </c>
      <c r="FT191" s="72">
        <v>0.2837691396608879</v>
      </c>
      <c r="FU191" s="72">
        <v>4.4816758643210343E-7</v>
      </c>
      <c r="FV191" s="74">
        <v>1.0000000000000002E-3</v>
      </c>
      <c r="FW191" s="212">
        <v>633176.40153317607</v>
      </c>
      <c r="FX191" s="212">
        <v>12341.081470521047</v>
      </c>
      <c r="FY191" s="212">
        <v>0.9578138954437434</v>
      </c>
      <c r="FZ191" s="216">
        <v>283.76913921272023</v>
      </c>
      <c r="GA191" s="213">
        <v>4.4816758643210342E-4</v>
      </c>
      <c r="GB191" s="246">
        <v>43924</v>
      </c>
      <c r="GC191" s="160" t="s">
        <v>1493</v>
      </c>
      <c r="GD191" s="212">
        <v>633176.40153317607</v>
      </c>
      <c r="GE191" s="212">
        <v>275586</v>
      </c>
      <c r="GF191" s="74" t="s">
        <v>1494</v>
      </c>
      <c r="GG191" s="156">
        <v>43924</v>
      </c>
      <c r="GH191" s="25">
        <v>73</v>
      </c>
      <c r="GI191" s="23" t="s">
        <v>1668</v>
      </c>
      <c r="GJ191" s="21"/>
      <c r="GK191" s="161" t="s">
        <v>1495</v>
      </c>
      <c r="GL191" s="23"/>
      <c r="GM191" s="23" t="s">
        <v>1669</v>
      </c>
      <c r="GN191" s="165">
        <v>8370.6796692645712</v>
      </c>
      <c r="GO191" s="156">
        <v>43917</v>
      </c>
      <c r="GP191" s="218">
        <v>8</v>
      </c>
      <c r="GQ191" s="156">
        <v>43916</v>
      </c>
      <c r="GR191" s="25">
        <v>9</v>
      </c>
      <c r="GS191" s="23" t="s">
        <v>1709</v>
      </c>
      <c r="GT191" s="11"/>
      <c r="GU191" s="34"/>
      <c r="GV191" s="26"/>
      <c r="GW191" s="25"/>
      <c r="GX191" s="219"/>
      <c r="GY191" s="25"/>
      <c r="GZ191" s="25"/>
      <c r="HA191" s="25"/>
    </row>
    <row r="192" spans="14:209" x14ac:dyDescent="0.25">
      <c r="N192" s="25"/>
      <c r="FO192" s="267" t="s">
        <v>208</v>
      </c>
      <c r="FP192" s="250">
        <v>43926.54965277778</v>
      </c>
      <c r="FQ192" s="243">
        <v>43852</v>
      </c>
      <c r="FR192" s="160">
        <v>43852</v>
      </c>
      <c r="FS192" s="211">
        <v>3</v>
      </c>
      <c r="FT192" s="72">
        <v>0.2837691396608879</v>
      </c>
      <c r="FU192" s="72">
        <v>4.4816758643210343E-7</v>
      </c>
      <c r="FV192" s="74">
        <v>1.0000000000000002E-3</v>
      </c>
      <c r="FW192" s="212">
        <v>633176.40153317607</v>
      </c>
      <c r="FX192" s="212">
        <v>15256.431225744685</v>
      </c>
      <c r="FY192" s="212">
        <v>0.94991589564324497</v>
      </c>
      <c r="FZ192" s="216">
        <v>283.76913921272023</v>
      </c>
      <c r="GA192" s="213">
        <v>4.4816758643210342E-4</v>
      </c>
      <c r="GB192" s="246">
        <v>43925</v>
      </c>
      <c r="GC192" s="160" t="s">
        <v>1493</v>
      </c>
      <c r="GD192" s="212">
        <v>633176.40153317607</v>
      </c>
      <c r="GE192" s="212">
        <v>308850</v>
      </c>
      <c r="GF192" s="74" t="s">
        <v>1494</v>
      </c>
      <c r="GG192" s="156">
        <v>43925</v>
      </c>
      <c r="GH192" s="25">
        <v>74</v>
      </c>
      <c r="GI192" s="23" t="s">
        <v>1889</v>
      </c>
      <c r="GJ192" s="21"/>
      <c r="GK192" s="161" t="s">
        <v>1495</v>
      </c>
      <c r="GL192" s="23"/>
      <c r="GM192" s="23" t="s">
        <v>1890</v>
      </c>
      <c r="GN192" s="165">
        <v>9381.0440873352163</v>
      </c>
      <c r="GO192" s="156">
        <v>43918</v>
      </c>
      <c r="GP192" s="218">
        <v>8</v>
      </c>
      <c r="GQ192" s="156">
        <v>43916</v>
      </c>
      <c r="GR192" s="23">
        <v>10</v>
      </c>
      <c r="GS192" s="23" t="s">
        <v>1888</v>
      </c>
      <c r="GT192" s="11"/>
      <c r="GU192" s="34"/>
      <c r="GV192" s="26"/>
      <c r="GW192" s="25"/>
      <c r="GX192" s="219"/>
      <c r="GY192" s="25"/>
      <c r="GZ192" s="25"/>
      <c r="HA192" s="25"/>
    </row>
    <row r="193" spans="14:209" x14ac:dyDescent="0.25">
      <c r="N193" s="25"/>
      <c r="FO193" s="267" t="s">
        <v>208</v>
      </c>
      <c r="FP193" s="250">
        <v>43927.804409722223</v>
      </c>
      <c r="FQ193" s="243">
        <v>43852</v>
      </c>
      <c r="FR193" s="160">
        <v>43852</v>
      </c>
      <c r="FS193" s="211">
        <v>3</v>
      </c>
      <c r="FT193" s="72">
        <v>0.2837691396608879</v>
      </c>
      <c r="FU193" s="72">
        <v>4.4816758643210343E-7</v>
      </c>
      <c r="FV193" s="74">
        <v>1.0000000000000002E-3</v>
      </c>
      <c r="FW193" s="212">
        <v>633176.40153317607</v>
      </c>
      <c r="FX193" s="212">
        <v>18451.507247491067</v>
      </c>
      <c r="FY193" s="212">
        <v>0.9417875955469619</v>
      </c>
      <c r="FZ193" s="216">
        <v>283.76913921272023</v>
      </c>
      <c r="GA193" s="213">
        <v>4.4816758643210342E-4</v>
      </c>
      <c r="GB193" s="246">
        <v>43926</v>
      </c>
      <c r="GC193" s="160" t="s">
        <v>1493</v>
      </c>
      <c r="GD193" s="212">
        <v>633176.40153317607</v>
      </c>
      <c r="GE193" s="212">
        <v>337072</v>
      </c>
      <c r="GF193" s="74" t="s">
        <v>1494</v>
      </c>
      <c r="GG193" s="156">
        <v>43926</v>
      </c>
      <c r="GH193" s="25">
        <v>75</v>
      </c>
      <c r="GI193" s="23" t="s">
        <v>1930</v>
      </c>
      <c r="GJ193" s="21"/>
      <c r="GK193" s="161" t="s">
        <v>1928</v>
      </c>
      <c r="GL193" s="23"/>
      <c r="GM193" s="23" t="s">
        <v>1931</v>
      </c>
      <c r="GN193" s="165">
        <v>10238.262239294985</v>
      </c>
      <c r="GO193" s="156">
        <v>43918</v>
      </c>
      <c r="GP193" s="218">
        <v>9</v>
      </c>
      <c r="GQ193" s="243">
        <v>43916</v>
      </c>
      <c r="GR193" s="23">
        <v>11</v>
      </c>
      <c r="GS193" s="23" t="s">
        <v>1929</v>
      </c>
      <c r="GT193" s="11"/>
      <c r="GU193" s="34"/>
      <c r="GV193" s="26"/>
      <c r="GW193" s="25"/>
      <c r="GX193" s="219"/>
      <c r="GY193" s="25"/>
      <c r="GZ193" s="25"/>
      <c r="HA193" s="25"/>
    </row>
    <row r="194" spans="14:209" x14ac:dyDescent="0.25">
      <c r="N194" s="25"/>
      <c r="FO194" s="263" t="s">
        <v>208</v>
      </c>
      <c r="FP194" s="250">
        <v>43928.749201388891</v>
      </c>
      <c r="FQ194" s="243">
        <v>43852</v>
      </c>
      <c r="FR194" s="26">
        <v>43852</v>
      </c>
      <c r="FS194" s="211">
        <v>3</v>
      </c>
      <c r="FT194" s="72">
        <v>0.2837691396608879</v>
      </c>
      <c r="FU194" s="72">
        <v>4.4816758643210343E-7</v>
      </c>
      <c r="FV194" s="74">
        <v>1.0000000000000002E-3</v>
      </c>
      <c r="FW194" s="212">
        <v>633176.40153317607</v>
      </c>
      <c r="FX194" s="214">
        <v>21558.965205511369</v>
      </c>
      <c r="FY194" s="214">
        <v>0.93573205044037278</v>
      </c>
      <c r="FZ194" s="216">
        <v>283.76913921272023</v>
      </c>
      <c r="GA194" s="213">
        <v>4.4816758643210342E-4</v>
      </c>
      <c r="GB194" s="246">
        <v>43927</v>
      </c>
      <c r="GC194" s="26" t="s">
        <v>1493</v>
      </c>
      <c r="GD194" s="214">
        <v>633176.40153317607</v>
      </c>
      <c r="GE194" s="214">
        <v>366614</v>
      </c>
      <c r="GF194" s="73" t="s">
        <v>1494</v>
      </c>
      <c r="GG194" s="156">
        <v>43927</v>
      </c>
      <c r="GH194" s="25">
        <v>76</v>
      </c>
      <c r="GI194" s="25" t="s">
        <v>1976</v>
      </c>
      <c r="GK194" s="62" t="s">
        <v>1974</v>
      </c>
      <c r="GM194" s="25" t="s">
        <v>1977</v>
      </c>
      <c r="GN194" s="165">
        <v>11135.574217368667</v>
      </c>
      <c r="GO194" s="156">
        <v>43918</v>
      </c>
      <c r="GP194" s="218">
        <v>10</v>
      </c>
      <c r="GQ194" s="156">
        <v>43916</v>
      </c>
      <c r="GR194" s="25">
        <v>12</v>
      </c>
      <c r="GS194" s="25" t="s">
        <v>1975</v>
      </c>
      <c r="GT194" s="11">
        <v>567205.17526610324</v>
      </c>
      <c r="GU194" s="12">
        <v>1.9360443192848431</v>
      </c>
      <c r="GV194" s="26">
        <v>43904</v>
      </c>
      <c r="GW194" s="25" t="s">
        <v>1649</v>
      </c>
      <c r="GX194" s="219">
        <v>130978.94520662428</v>
      </c>
      <c r="GY194" s="25" t="s">
        <v>208</v>
      </c>
      <c r="GZ194" s="25"/>
      <c r="HA194" s="25"/>
    </row>
    <row r="195" spans="14:209" x14ac:dyDescent="0.25">
      <c r="N195" s="25"/>
      <c r="FO195" s="267" t="s">
        <v>208</v>
      </c>
      <c r="FP195" s="251">
        <v>43930.810717592591</v>
      </c>
      <c r="FQ195" s="243">
        <v>43852</v>
      </c>
      <c r="FR195" s="160">
        <v>43852</v>
      </c>
      <c r="FS195" s="211">
        <v>3</v>
      </c>
      <c r="FT195" s="72">
        <v>0.2837691396608879</v>
      </c>
      <c r="FU195" s="72">
        <v>4.4816758643210343E-7</v>
      </c>
      <c r="FV195" s="74">
        <v>1.0000000000000002E-3</v>
      </c>
      <c r="FW195" s="212">
        <v>633176.40153317607</v>
      </c>
      <c r="FX195" s="212">
        <v>26577.689329063684</v>
      </c>
      <c r="FY195" s="212">
        <v>0.93341072117608559</v>
      </c>
      <c r="FZ195" s="216">
        <v>283.76913921272023</v>
      </c>
      <c r="GA195" s="213">
        <v>4.4816758643210342E-4</v>
      </c>
      <c r="GB195" s="246">
        <v>43929</v>
      </c>
      <c r="GC195" s="160" t="s">
        <v>1493</v>
      </c>
      <c r="GD195" s="212">
        <v>633176.40153317607</v>
      </c>
      <c r="GE195" s="212">
        <v>429052</v>
      </c>
      <c r="GF195" s="74" t="s">
        <v>1494</v>
      </c>
      <c r="GG195" s="156">
        <v>43929</v>
      </c>
      <c r="GH195" s="25">
        <v>78</v>
      </c>
      <c r="GI195" s="23" t="s">
        <v>2029</v>
      </c>
      <c r="GJ195" s="21"/>
      <c r="GK195" s="161" t="s">
        <v>2027</v>
      </c>
      <c r="GL195" s="23"/>
      <c r="GM195" s="23" t="s">
        <v>2030</v>
      </c>
      <c r="GN195" s="23">
        <v>13032.072940778207</v>
      </c>
      <c r="GO195" s="243">
        <v>43918</v>
      </c>
      <c r="GP195" s="218">
        <v>12</v>
      </c>
      <c r="GQ195" s="243">
        <v>43916</v>
      </c>
      <c r="GR195" s="23">
        <v>14</v>
      </c>
      <c r="GS195" s="23" t="s">
        <v>2028</v>
      </c>
      <c r="GT195" s="11">
        <v>567205.17526610324</v>
      </c>
      <c r="GU195" s="34">
        <v>2.0394061213316537</v>
      </c>
      <c r="GV195" s="160">
        <v>43904</v>
      </c>
      <c r="GW195" s="23" t="s">
        <v>1649</v>
      </c>
      <c r="GX195" s="220">
        <v>119402.72761482187</v>
      </c>
      <c r="GY195" s="23" t="s">
        <v>208</v>
      </c>
      <c r="GZ195" s="23"/>
      <c r="HA195" s="25"/>
    </row>
    <row r="196" spans="14:209" x14ac:dyDescent="0.25">
      <c r="N196" s="25"/>
      <c r="FO196" s="267" t="s">
        <v>208</v>
      </c>
      <c r="FP196" s="251">
        <v>43931.864733796298</v>
      </c>
      <c r="FQ196" s="243">
        <v>43852</v>
      </c>
      <c r="FR196" s="160">
        <v>43852</v>
      </c>
      <c r="FS196" s="211">
        <v>3</v>
      </c>
      <c r="FT196" s="72">
        <v>0.2837691396608879</v>
      </c>
      <c r="FU196" s="72">
        <v>4.4816758643210343E-7</v>
      </c>
      <c r="FV196" s="74">
        <v>1.0000000000000002E-3</v>
      </c>
      <c r="FW196" s="212">
        <v>633176.40153317607</v>
      </c>
      <c r="FX196" s="212">
        <v>28181.298566873051</v>
      </c>
      <c r="FY196" s="212">
        <v>0.93717484711698285</v>
      </c>
      <c r="FZ196" s="216">
        <v>283.76913921272023</v>
      </c>
      <c r="GA196" s="213">
        <v>4.4816758643210342E-4</v>
      </c>
      <c r="GB196" s="246">
        <v>43930</v>
      </c>
      <c r="GC196" s="160" t="s">
        <v>1493</v>
      </c>
      <c r="GD196" s="212">
        <v>633176.40153317607</v>
      </c>
      <c r="GE196" s="212">
        <v>461437</v>
      </c>
      <c r="GF196" s="74" t="s">
        <v>1494</v>
      </c>
      <c r="GG196" s="243">
        <v>43930</v>
      </c>
      <c r="GH196" s="160">
        <v>79</v>
      </c>
      <c r="GI196" s="23" t="s">
        <v>2092</v>
      </c>
      <c r="GJ196" s="21"/>
      <c r="GK196" s="161" t="s">
        <v>2090</v>
      </c>
      <c r="GL196" s="23"/>
      <c r="GM196" s="23" t="s">
        <v>2093</v>
      </c>
      <c r="GN196" s="23">
        <v>14015.738515550267</v>
      </c>
      <c r="GO196" s="243">
        <v>43918</v>
      </c>
      <c r="GP196" s="218">
        <v>13</v>
      </c>
      <c r="GQ196" s="243">
        <v>43916</v>
      </c>
      <c r="GR196" s="23">
        <v>15</v>
      </c>
      <c r="GS196" s="23" t="s">
        <v>2091</v>
      </c>
      <c r="GT196" s="11">
        <v>610360.21273914236</v>
      </c>
      <c r="GU196" s="34">
        <v>2.0106895213267779</v>
      </c>
      <c r="GV196" s="160">
        <v>43904</v>
      </c>
      <c r="GW196" s="23" t="s">
        <v>1649</v>
      </c>
      <c r="GX196" s="220">
        <v>105768.17526610324</v>
      </c>
      <c r="GY196" s="23" t="s">
        <v>37</v>
      </c>
      <c r="GZ196" s="23"/>
      <c r="HA196" s="25"/>
    </row>
    <row r="197" spans="14:209" x14ac:dyDescent="0.25">
      <c r="N197" s="25"/>
      <c r="FO197" s="267" t="s">
        <v>208</v>
      </c>
      <c r="FP197" s="251">
        <v>43933.907650462963</v>
      </c>
      <c r="FQ197" s="244">
        <v>43852</v>
      </c>
      <c r="FR197" s="160">
        <v>43852</v>
      </c>
      <c r="FS197" s="211">
        <v>3</v>
      </c>
      <c r="FT197" s="72">
        <v>0.2837691396608879</v>
      </c>
      <c r="FU197" s="72">
        <v>4.4816758643210343E-7</v>
      </c>
      <c r="FV197" s="74">
        <v>1.0000000000000002E-3</v>
      </c>
      <c r="FW197" s="212">
        <v>633176.40153317607</v>
      </c>
      <c r="FX197" s="212">
        <v>29591.784364018025</v>
      </c>
      <c r="FY197" s="212">
        <v>0.94984263765652599</v>
      </c>
      <c r="FZ197" s="216">
        <v>283.76913921272023</v>
      </c>
      <c r="GA197" s="213">
        <v>4.4816758643210342E-4</v>
      </c>
      <c r="GB197" s="246">
        <v>43932</v>
      </c>
      <c r="GC197" s="160" t="s">
        <v>1493</v>
      </c>
      <c r="GD197" s="212">
        <v>633176.40153317607</v>
      </c>
      <c r="GE197" s="212">
        <v>526396</v>
      </c>
      <c r="GF197" s="74" t="s">
        <v>1494</v>
      </c>
      <c r="GG197" s="243">
        <v>43932</v>
      </c>
      <c r="GH197" s="160">
        <v>81</v>
      </c>
      <c r="GI197" s="23" t="s">
        <v>2227</v>
      </c>
      <c r="GJ197" s="21"/>
      <c r="GK197" s="161" t="s">
        <v>2225</v>
      </c>
      <c r="GL197" s="23"/>
      <c r="GM197" s="23" t="s">
        <v>2228</v>
      </c>
      <c r="GN197" s="23">
        <v>15988.810372015245</v>
      </c>
      <c r="GO197" s="243">
        <v>43918</v>
      </c>
      <c r="GP197" s="218">
        <v>15</v>
      </c>
      <c r="GQ197" s="243">
        <v>43916</v>
      </c>
      <c r="GR197" s="23">
        <v>17</v>
      </c>
      <c r="GS197" s="23" t="s">
        <v>2226</v>
      </c>
      <c r="GT197" s="11">
        <v>625659.52425031562</v>
      </c>
      <c r="GU197" s="34">
        <v>1.850780869589377</v>
      </c>
      <c r="GV197" s="160">
        <v>43904</v>
      </c>
      <c r="GW197" s="23" t="s">
        <v>1649</v>
      </c>
      <c r="GX197" s="220">
        <v>67612.670544911874</v>
      </c>
      <c r="GY197" s="23" t="s">
        <v>37</v>
      </c>
      <c r="GZ197" s="23"/>
      <c r="HA197" s="25"/>
    </row>
    <row r="198" spans="14:209" x14ac:dyDescent="0.25">
      <c r="N198" s="25"/>
      <c r="FO198" s="267" t="s">
        <v>208</v>
      </c>
      <c r="FP198" s="251">
        <v>43933.916979166665</v>
      </c>
      <c r="FQ198" s="244">
        <v>43852</v>
      </c>
      <c r="FR198" s="160">
        <v>43852</v>
      </c>
      <c r="FS198" s="211">
        <v>3</v>
      </c>
      <c r="FT198" s="72">
        <v>0.2837691396608879</v>
      </c>
      <c r="FU198" s="72">
        <v>4.4816758643210343E-7</v>
      </c>
      <c r="FV198" s="74">
        <v>1.0000000000000002E-3</v>
      </c>
      <c r="FW198" s="212">
        <v>633176.40153317607</v>
      </c>
      <c r="FX198" s="212">
        <v>29591.784364018025</v>
      </c>
      <c r="FY198" s="212">
        <v>0.94984263765652599</v>
      </c>
      <c r="FZ198" s="216">
        <v>283.76913921272023</v>
      </c>
      <c r="GA198" s="213">
        <v>4.4816758643210342E-4</v>
      </c>
      <c r="GB198" s="246">
        <v>43932</v>
      </c>
      <c r="GC198" s="160" t="s">
        <v>1493</v>
      </c>
      <c r="GD198" s="212">
        <v>633176.40153317607</v>
      </c>
      <c r="GE198" s="212">
        <v>526396</v>
      </c>
      <c r="GF198" s="74" t="s">
        <v>1494</v>
      </c>
      <c r="GG198" s="243">
        <v>43932</v>
      </c>
      <c r="GH198" s="160">
        <v>81</v>
      </c>
      <c r="GI198" s="23" t="s">
        <v>2271</v>
      </c>
      <c r="GJ198" s="21"/>
      <c r="GK198" s="161" t="s">
        <v>2225</v>
      </c>
      <c r="GL198" s="23"/>
      <c r="GM198" s="23" t="s">
        <v>2272</v>
      </c>
      <c r="GN198" s="23">
        <v>15988.810372015245</v>
      </c>
      <c r="GO198" s="243">
        <v>43918</v>
      </c>
      <c r="GP198" s="218">
        <v>15</v>
      </c>
      <c r="GQ198" s="243">
        <v>43916</v>
      </c>
      <c r="GR198" s="23">
        <v>17</v>
      </c>
      <c r="GS198" s="23" t="s">
        <v>2226</v>
      </c>
      <c r="GT198" s="11">
        <v>625659.52425031562</v>
      </c>
      <c r="GU198" s="34">
        <v>1.850780869589377</v>
      </c>
      <c r="GV198" s="160">
        <v>43904</v>
      </c>
      <c r="GW198" s="23" t="s">
        <v>1649</v>
      </c>
      <c r="GX198" s="220">
        <v>67612.670544911874</v>
      </c>
      <c r="GY198" s="23" t="s">
        <v>37</v>
      </c>
      <c r="GZ198" s="23"/>
      <c r="HA198" s="25"/>
    </row>
    <row r="199" spans="14:209" x14ac:dyDescent="0.25">
      <c r="N199" s="25"/>
      <c r="FO199" s="267" t="s">
        <v>208</v>
      </c>
      <c r="FP199" s="251">
        <v>43933.921493055554</v>
      </c>
      <c r="FQ199" s="244">
        <v>43852</v>
      </c>
      <c r="FR199" s="160">
        <v>43852</v>
      </c>
      <c r="FS199" s="211">
        <v>3</v>
      </c>
      <c r="FT199" s="72">
        <v>0.2837691396608879</v>
      </c>
      <c r="FU199" s="72">
        <v>4.4816758643210343E-7</v>
      </c>
      <c r="FV199" s="74">
        <v>1.0000000000000002E-3</v>
      </c>
      <c r="FW199" s="212">
        <v>633176.40153317607</v>
      </c>
      <c r="FX199" s="212">
        <v>29591.784364018025</v>
      </c>
      <c r="FY199" s="212">
        <v>0.94984263765652599</v>
      </c>
      <c r="FZ199" s="216">
        <v>283.76913921272023</v>
      </c>
      <c r="GA199" s="213">
        <v>4.4816758643210342E-4</v>
      </c>
      <c r="GB199" s="246">
        <v>43932</v>
      </c>
      <c r="GC199" s="160" t="s">
        <v>1493</v>
      </c>
      <c r="GD199" s="212">
        <v>633176.40153317607</v>
      </c>
      <c r="GE199" s="212">
        <v>526396</v>
      </c>
      <c r="GF199" s="74" t="s">
        <v>1494</v>
      </c>
      <c r="GG199" s="243">
        <v>43932</v>
      </c>
      <c r="GH199" s="160">
        <v>81</v>
      </c>
      <c r="GI199" s="23" t="s">
        <v>2227</v>
      </c>
      <c r="GJ199" s="21"/>
      <c r="GK199" s="161" t="s">
        <v>2225</v>
      </c>
      <c r="GL199" s="23"/>
      <c r="GM199" s="23" t="s">
        <v>2228</v>
      </c>
      <c r="GN199" s="23">
        <v>15988.810372015245</v>
      </c>
      <c r="GO199" s="243">
        <v>43918</v>
      </c>
      <c r="GP199" s="218">
        <v>15</v>
      </c>
      <c r="GQ199" s="243">
        <v>43916</v>
      </c>
      <c r="GR199" s="23">
        <v>17</v>
      </c>
      <c r="GS199" s="23" t="s">
        <v>2226</v>
      </c>
      <c r="GT199" s="11">
        <v>625659.52425031562</v>
      </c>
      <c r="GU199" s="34">
        <v>1.850780869589377</v>
      </c>
      <c r="GV199" s="160">
        <v>43904</v>
      </c>
      <c r="GW199" s="23" t="s">
        <v>1649</v>
      </c>
      <c r="GX199" s="220">
        <v>67612.670544911874</v>
      </c>
      <c r="GY199" s="23" t="s">
        <v>37</v>
      </c>
      <c r="GZ199" s="23"/>
      <c r="HA199" s="25"/>
    </row>
    <row r="200" spans="14:209" x14ac:dyDescent="0.25">
      <c r="N200" s="25"/>
      <c r="FO200" s="263" t="s">
        <v>208</v>
      </c>
      <c r="FP200" s="252">
        <v>43934.704398148147</v>
      </c>
      <c r="FQ200" s="244">
        <v>43852</v>
      </c>
      <c r="FR200" s="160">
        <v>43852</v>
      </c>
      <c r="FS200" s="211">
        <v>3</v>
      </c>
      <c r="FT200" s="72">
        <v>0.2837691396608879</v>
      </c>
      <c r="FU200" s="72">
        <v>4.4816758643210343E-7</v>
      </c>
      <c r="FV200" s="74">
        <v>1.0000000000000002E-3</v>
      </c>
      <c r="FW200" s="212">
        <v>633176.40153317607</v>
      </c>
      <c r="FX200" s="212">
        <v>29721.184004015377</v>
      </c>
      <c r="FY200" s="214">
        <v>0.956233195715946</v>
      </c>
      <c r="FZ200" s="216">
        <v>283.76913921272023</v>
      </c>
      <c r="GA200" s="213">
        <v>4.4816758643210342E-4</v>
      </c>
      <c r="GB200" s="246">
        <v>43933</v>
      </c>
      <c r="GC200" s="26" t="s">
        <v>1493</v>
      </c>
      <c r="GD200" s="214">
        <v>633176.40153317607</v>
      </c>
      <c r="GE200" s="214">
        <v>555313</v>
      </c>
      <c r="GF200" s="73" t="s">
        <v>1494</v>
      </c>
      <c r="GG200" s="156">
        <v>43933</v>
      </c>
      <c r="GH200" s="26">
        <v>82</v>
      </c>
      <c r="GI200" s="25" t="s">
        <v>2324</v>
      </c>
      <c r="GK200" s="62" t="s">
        <v>2322</v>
      </c>
      <c r="GM200" s="25" t="s">
        <v>2325</v>
      </c>
      <c r="GN200" s="25">
        <v>16867.138530906203</v>
      </c>
      <c r="GO200" s="156">
        <v>43918</v>
      </c>
      <c r="GP200" s="218">
        <v>16</v>
      </c>
      <c r="GQ200" s="156">
        <v>43916</v>
      </c>
      <c r="GR200" s="25">
        <v>18</v>
      </c>
      <c r="GS200" s="25" t="s">
        <v>2323</v>
      </c>
      <c r="GT200" s="11">
        <v>625659.52425031562</v>
      </c>
      <c r="GU200" s="12">
        <v>1.7620762377421808</v>
      </c>
      <c r="GV200" s="26">
        <v>43904</v>
      </c>
      <c r="GW200" s="25" t="s">
        <v>1649</v>
      </c>
      <c r="GX200" s="219">
        <v>47914.73049587186</v>
      </c>
      <c r="GY200" s="25" t="s">
        <v>37</v>
      </c>
      <c r="GZ200" s="25" t="s">
        <v>37</v>
      </c>
      <c r="HA200" s="25"/>
    </row>
    <row r="201" spans="14:209" x14ac:dyDescent="0.25">
      <c r="N201" s="25"/>
      <c r="FO201" s="263" t="s">
        <v>208</v>
      </c>
      <c r="FP201" s="252">
        <v>43934.880208333336</v>
      </c>
      <c r="FQ201" s="244">
        <v>43852</v>
      </c>
      <c r="FR201" s="160">
        <v>43852</v>
      </c>
      <c r="FS201" s="211">
        <v>3</v>
      </c>
      <c r="FT201" s="72">
        <v>0.2837691396608879</v>
      </c>
      <c r="FU201" s="72">
        <v>4.4816758643210343E-7</v>
      </c>
      <c r="FV201" s="74">
        <v>1.0000000000000002E-3</v>
      </c>
      <c r="FW201" s="212">
        <v>633176.40153317607</v>
      </c>
      <c r="FX201" s="214">
        <v>29721.184004015377</v>
      </c>
      <c r="FY201" s="214">
        <v>0.956233195715946</v>
      </c>
      <c r="FZ201" s="216">
        <v>283.76913921272023</v>
      </c>
      <c r="GA201" s="213">
        <v>4.4816758643210342E-4</v>
      </c>
      <c r="GB201" s="246">
        <v>43933</v>
      </c>
      <c r="GC201" s="26" t="s">
        <v>1493</v>
      </c>
      <c r="GD201" s="214">
        <v>633176.40153317607</v>
      </c>
      <c r="GE201" s="214">
        <v>555313</v>
      </c>
      <c r="GF201" s="73" t="s">
        <v>1494</v>
      </c>
      <c r="GG201" s="156">
        <v>43933</v>
      </c>
      <c r="GH201" s="26">
        <v>82</v>
      </c>
      <c r="GI201" s="25" t="s">
        <v>2324</v>
      </c>
      <c r="GK201" s="62" t="s">
        <v>2322</v>
      </c>
      <c r="GM201" s="25" t="s">
        <v>2325</v>
      </c>
      <c r="GN201" s="25">
        <v>16867.138530906203</v>
      </c>
      <c r="GO201" s="156">
        <v>43918</v>
      </c>
      <c r="GP201" s="218">
        <v>16</v>
      </c>
      <c r="GQ201" s="156">
        <v>43916</v>
      </c>
      <c r="GR201" s="25">
        <v>18</v>
      </c>
      <c r="GS201" s="25" t="s">
        <v>2370</v>
      </c>
      <c r="GT201" s="11">
        <v>627499.99157923553</v>
      </c>
      <c r="GU201" s="12">
        <v>1.7620762377421808</v>
      </c>
      <c r="GV201" s="26">
        <v>43904</v>
      </c>
      <c r="GW201" s="25" t="s">
        <v>1649</v>
      </c>
      <c r="GX201" s="219">
        <v>47914.73049587186</v>
      </c>
      <c r="GY201" s="25" t="s">
        <v>37</v>
      </c>
      <c r="GZ201" s="25" t="s">
        <v>37</v>
      </c>
      <c r="HA201" s="25"/>
    </row>
    <row r="202" spans="14:209" x14ac:dyDescent="0.25">
      <c r="N202" s="25"/>
      <c r="FO202" s="263" t="s">
        <v>208</v>
      </c>
      <c r="FP202" s="250">
        <v>43935.629826388889</v>
      </c>
      <c r="FQ202" s="156">
        <v>43852</v>
      </c>
      <c r="FR202" s="26">
        <v>43852</v>
      </c>
      <c r="FS202" s="211">
        <v>3</v>
      </c>
      <c r="FT202" s="44">
        <v>0.2837691396608879</v>
      </c>
      <c r="FU202" s="71">
        <v>4.4816758643210343E-7</v>
      </c>
      <c r="FV202" s="73">
        <v>1.0000000000000002E-3</v>
      </c>
      <c r="FW202" s="212">
        <v>633176.40153317607</v>
      </c>
      <c r="FX202" s="212">
        <v>29721.184004015377</v>
      </c>
      <c r="FY202" s="212">
        <v>0.956233195715946</v>
      </c>
      <c r="FZ202" s="216">
        <v>283.76913921272023</v>
      </c>
      <c r="GA202" s="213">
        <v>4.4816758643210342E-4</v>
      </c>
      <c r="GB202" s="246">
        <v>43933</v>
      </c>
      <c r="GC202" s="26" t="s">
        <v>1493</v>
      </c>
      <c r="GD202" s="214">
        <v>633176.40153317607</v>
      </c>
      <c r="GE202" s="214">
        <v>555313</v>
      </c>
      <c r="GF202" s="73" t="s">
        <v>1494</v>
      </c>
      <c r="GG202" s="156">
        <v>43933</v>
      </c>
      <c r="GH202" s="26">
        <v>82</v>
      </c>
      <c r="GI202" s="26" t="s">
        <v>2324</v>
      </c>
      <c r="GJ202" s="25"/>
      <c r="GK202" s="62" t="s">
        <v>2322</v>
      </c>
      <c r="GL202" s="30"/>
      <c r="GM202" s="18" t="s">
        <v>2325</v>
      </c>
      <c r="GN202" s="11">
        <v>16867.138530906203</v>
      </c>
      <c r="GO202" s="156">
        <v>43918</v>
      </c>
      <c r="GP202" s="218">
        <v>16</v>
      </c>
      <c r="GQ202" s="156">
        <v>43916</v>
      </c>
      <c r="GR202" s="11">
        <v>127</v>
      </c>
      <c r="GS202" s="25" t="s">
        <v>2390</v>
      </c>
      <c r="GT202" s="11">
        <v>627499.99157923553</v>
      </c>
      <c r="GU202" s="12">
        <v>1.7620762377421808</v>
      </c>
      <c r="GV202" s="240">
        <v>43905</v>
      </c>
      <c r="GW202" s="162" t="s">
        <v>2391</v>
      </c>
      <c r="GX202" s="231">
        <v>47914.73049587186</v>
      </c>
      <c r="GY202" s="25" t="s">
        <v>37</v>
      </c>
      <c r="GZ202" s="25" t="s">
        <v>37</v>
      </c>
      <c r="HA202" s="25"/>
    </row>
    <row r="203" spans="14:209" x14ac:dyDescent="0.25">
      <c r="N203" s="25"/>
      <c r="FO203" s="263" t="s">
        <v>208</v>
      </c>
      <c r="FP203" s="250">
        <v>43938.512592592589</v>
      </c>
      <c r="FQ203" s="156">
        <v>43852</v>
      </c>
      <c r="FR203" s="26">
        <v>43852</v>
      </c>
      <c r="FS203" s="211">
        <v>3</v>
      </c>
      <c r="FT203" s="44">
        <v>0.2837691396608879</v>
      </c>
      <c r="FU203" s="71">
        <v>4.4816758643210343E-7</v>
      </c>
      <c r="FV203" s="73">
        <v>1.0000000000000002E-3</v>
      </c>
      <c r="FW203" s="212">
        <v>633176.40153317607</v>
      </c>
      <c r="FX203" s="212">
        <v>29659.130088342816</v>
      </c>
      <c r="FY203" s="212">
        <v>0.97333202802353525</v>
      </c>
      <c r="FZ203" s="216">
        <v>283.76913921272023</v>
      </c>
      <c r="GA203" s="213">
        <v>4.4816758643210342E-4</v>
      </c>
      <c r="GB203" s="246">
        <v>43937</v>
      </c>
      <c r="GC203" s="26" t="s">
        <v>1493</v>
      </c>
      <c r="GD203" s="214">
        <v>633176.40153317607</v>
      </c>
      <c r="GE203" s="214">
        <v>667801</v>
      </c>
      <c r="GF203" s="73" t="s">
        <v>1494</v>
      </c>
      <c r="GG203" s="156">
        <v>43937</v>
      </c>
      <c r="GH203" s="26">
        <v>86</v>
      </c>
      <c r="GI203" s="26" t="s">
        <v>2449</v>
      </c>
      <c r="GJ203" s="25"/>
      <c r="GK203" s="62" t="s">
        <v>2447</v>
      </c>
      <c r="GL203" s="30"/>
      <c r="GM203" s="18" t="s">
        <v>2450</v>
      </c>
      <c r="GN203" s="11">
        <v>20283.861494468332</v>
      </c>
      <c r="GO203" s="156">
        <v>43918</v>
      </c>
      <c r="GP203" s="218">
        <v>20</v>
      </c>
      <c r="GQ203" s="156">
        <v>43917</v>
      </c>
      <c r="GR203" s="11">
        <v>126</v>
      </c>
      <c r="GS203" s="25" t="s">
        <v>2448</v>
      </c>
      <c r="GT203" s="11">
        <v>631340.85062602407</v>
      </c>
      <c r="GU203" s="12">
        <v>1.4622033431075852</v>
      </c>
      <c r="GV203" s="240">
        <v>43905</v>
      </c>
      <c r="GW203" s="162" t="s">
        <v>2391</v>
      </c>
      <c r="GX203" s="231">
        <v>-44569.22231797874</v>
      </c>
      <c r="GY203" s="25" t="s">
        <v>37</v>
      </c>
      <c r="GZ203" s="25" t="s">
        <v>37</v>
      </c>
      <c r="HA203" s="25" t="s">
        <v>2450</v>
      </c>
    </row>
    <row r="204" spans="14:209" x14ac:dyDescent="0.25">
      <c r="N204" s="25"/>
      <c r="FO204" s="263" t="s">
        <v>208</v>
      </c>
      <c r="FP204" s="250">
        <v>43938.923715277779</v>
      </c>
      <c r="FQ204" s="156">
        <v>43852</v>
      </c>
      <c r="FR204" s="26">
        <v>43852</v>
      </c>
      <c r="FS204" s="211">
        <v>3</v>
      </c>
      <c r="FT204" s="44">
        <v>0.2837691396608879</v>
      </c>
      <c r="FU204" s="71">
        <v>4.4816758643210343E-7</v>
      </c>
      <c r="FV204" s="73">
        <v>1.0000000000000002E-3</v>
      </c>
      <c r="FW204" s="212">
        <v>633176.40153317607</v>
      </c>
      <c r="FX204" s="212">
        <v>29659.130088342816</v>
      </c>
      <c r="FY204" s="212">
        <v>0.97333202802353525</v>
      </c>
      <c r="FZ204" s="216">
        <v>283.76913921272023</v>
      </c>
      <c r="GA204" s="213">
        <v>4.4816758643210342E-4</v>
      </c>
      <c r="GB204" s="246">
        <v>43937</v>
      </c>
      <c r="GC204" s="26" t="s">
        <v>1493</v>
      </c>
      <c r="GD204" s="214">
        <v>633176.40153317607</v>
      </c>
      <c r="GE204" s="214">
        <v>667801</v>
      </c>
      <c r="GF204" s="73" t="s">
        <v>1494</v>
      </c>
      <c r="GG204" s="156">
        <v>43937</v>
      </c>
      <c r="GH204" s="26">
        <v>86</v>
      </c>
      <c r="GI204" s="26" t="s">
        <v>2449</v>
      </c>
      <c r="GJ204" s="25"/>
      <c r="GK204" s="62" t="s">
        <v>2447</v>
      </c>
      <c r="GL204" s="30"/>
      <c r="GM204" s="18" t="s">
        <v>2450</v>
      </c>
      <c r="GN204" s="11">
        <v>20283.861494468332</v>
      </c>
      <c r="GO204" s="156">
        <v>43918</v>
      </c>
      <c r="GP204" s="218">
        <v>20</v>
      </c>
      <c r="GQ204" s="156">
        <v>43917</v>
      </c>
      <c r="GR204" s="11">
        <v>126</v>
      </c>
      <c r="GS204" s="25" t="s">
        <v>2498</v>
      </c>
      <c r="GT204" s="11">
        <v>631340.85062602407</v>
      </c>
      <c r="GU204" s="12">
        <v>1.4622033431075852</v>
      </c>
      <c r="GV204" s="240">
        <v>43905</v>
      </c>
      <c r="GW204" s="162" t="s">
        <v>2391</v>
      </c>
      <c r="GX204" s="231">
        <v>-44569.22231797874</v>
      </c>
      <c r="GY204" s="25" t="s">
        <v>37</v>
      </c>
      <c r="GZ204" s="25" t="s">
        <v>37</v>
      </c>
      <c r="HA204" s="25" t="s">
        <v>2450</v>
      </c>
    </row>
    <row r="205" spans="14:209" x14ac:dyDescent="0.25">
      <c r="N205" s="25"/>
      <c r="FO205" s="263" t="s">
        <v>208</v>
      </c>
      <c r="FP205" s="250">
        <v>43939.897835648146</v>
      </c>
      <c r="FQ205" s="156">
        <v>43852</v>
      </c>
      <c r="FR205" s="26">
        <v>43852</v>
      </c>
      <c r="FS205" s="211">
        <v>3</v>
      </c>
      <c r="FT205" s="44">
        <v>0.2837691396608879</v>
      </c>
      <c r="FU205" s="71">
        <v>4.4816758643210343E-7</v>
      </c>
      <c r="FV205" s="73">
        <v>1.0000000000000002E-3</v>
      </c>
      <c r="FW205" s="212">
        <v>633176.40153317607</v>
      </c>
      <c r="FX205" s="212">
        <v>30617.624213823281</v>
      </c>
      <c r="FY205" s="212">
        <v>0.97451651539363227</v>
      </c>
      <c r="FZ205" s="212">
        <v>283.76913921272023</v>
      </c>
      <c r="GA205" s="216">
        <v>4.4816758643210342E-4</v>
      </c>
      <c r="GB205" s="246">
        <v>43938</v>
      </c>
      <c r="GC205" s="26" t="s">
        <v>1493</v>
      </c>
      <c r="GD205" s="214">
        <v>633176.40153317607</v>
      </c>
      <c r="GE205" s="214">
        <v>699706</v>
      </c>
      <c r="GF205" s="73" t="s">
        <v>1494</v>
      </c>
      <c r="GG205" s="156">
        <v>43938</v>
      </c>
      <c r="GH205" s="26">
        <v>87</v>
      </c>
      <c r="GI205" s="26" t="s">
        <v>2901</v>
      </c>
      <c r="GJ205" s="25"/>
      <c r="GK205" s="62" t="s">
        <v>2899</v>
      </c>
      <c r="GL205" s="30"/>
      <c r="GM205" s="18" t="s">
        <v>2902</v>
      </c>
      <c r="GN205" s="11">
        <v>21252.94749610806</v>
      </c>
      <c r="GO205" s="156">
        <v>43918</v>
      </c>
      <c r="GP205" s="218">
        <v>21</v>
      </c>
      <c r="GQ205" s="156">
        <v>43917</v>
      </c>
      <c r="GR205" s="11">
        <v>126</v>
      </c>
      <c r="GS205" s="25" t="s">
        <v>2900</v>
      </c>
      <c r="GT205" s="11">
        <v>631340.85062602407</v>
      </c>
      <c r="GU205" s="12">
        <v>1.4406295512389575</v>
      </c>
      <c r="GV205" s="240">
        <v>43905</v>
      </c>
      <c r="GW205" s="162" t="s">
        <v>2391</v>
      </c>
      <c r="GX205" s="231">
        <v>-74046.475749684381</v>
      </c>
      <c r="GY205" s="25" t="s">
        <v>37</v>
      </c>
      <c r="GZ205" s="25" t="s">
        <v>37</v>
      </c>
      <c r="HA205" s="25" t="s">
        <v>2902</v>
      </c>
    </row>
    <row r="206" spans="14:209" x14ac:dyDescent="0.25">
      <c r="N206" s="25"/>
      <c r="FO206" s="263" t="s">
        <v>208</v>
      </c>
      <c r="FP206" s="250">
        <v>43942.945347222223</v>
      </c>
      <c r="FQ206" s="246">
        <v>43852</v>
      </c>
      <c r="FR206" s="26">
        <v>43852</v>
      </c>
      <c r="FS206" s="211">
        <v>3</v>
      </c>
      <c r="FT206" s="44">
        <v>0.28376913966088729</v>
      </c>
      <c r="FU206" s="71">
        <v>4.4764879579580062E-7</v>
      </c>
      <c r="FV206" s="73">
        <v>1.0000000000000002E-3</v>
      </c>
      <c r="FW206" s="212">
        <v>633910.20444145543</v>
      </c>
      <c r="FX206" s="212">
        <v>38646.780466229517</v>
      </c>
      <c r="FY206" s="212">
        <v>0.96986248145467224</v>
      </c>
      <c r="FZ206" s="212">
        <v>283.76913921323842</v>
      </c>
      <c r="GA206" s="216">
        <v>4.476487957958006E-4</v>
      </c>
      <c r="GB206" s="246">
        <v>43941</v>
      </c>
      <c r="GC206" s="26" t="s">
        <v>3340</v>
      </c>
      <c r="GD206" s="214">
        <v>633910.20444085752</v>
      </c>
      <c r="GE206" s="214">
        <v>784326</v>
      </c>
      <c r="GF206" s="73" t="s">
        <v>3341</v>
      </c>
      <c r="GG206" s="156">
        <v>43941</v>
      </c>
      <c r="GH206" s="26">
        <v>90</v>
      </c>
      <c r="GI206" s="26" t="s">
        <v>3342</v>
      </c>
      <c r="GJ206" s="25"/>
      <c r="GK206" s="62" t="s">
        <v>3343</v>
      </c>
      <c r="GL206" s="30"/>
      <c r="GM206" s="18" t="s">
        <v>3344</v>
      </c>
      <c r="GN206" s="11">
        <v>23823.204742895519</v>
      </c>
      <c r="GO206" s="156">
        <v>43918</v>
      </c>
      <c r="GP206" s="218">
        <v>24</v>
      </c>
      <c r="GQ206" s="156">
        <v>43917</v>
      </c>
      <c r="GR206" s="11">
        <v>26</v>
      </c>
      <c r="GS206" s="25" t="s">
        <v>3339</v>
      </c>
      <c r="GT206" s="11">
        <v>633317.72985616152</v>
      </c>
      <c r="GU206" s="12">
        <v>1.6222326459984204</v>
      </c>
      <c r="GV206" s="240">
        <v>43905</v>
      </c>
      <c r="GW206" s="162" t="s">
        <v>2391</v>
      </c>
      <c r="GX206" s="231">
        <v>-153653.87830092653</v>
      </c>
      <c r="GY206" s="25" t="s">
        <v>37</v>
      </c>
      <c r="GZ206" s="25" t="s">
        <v>37</v>
      </c>
      <c r="HA206" s="26" t="s">
        <v>3344</v>
      </c>
    </row>
    <row r="207" spans="14:209" x14ac:dyDescent="0.25">
      <c r="N207" s="25"/>
      <c r="FO207" s="263" t="s">
        <v>208</v>
      </c>
      <c r="FP207" s="250">
        <v>43945.843553240738</v>
      </c>
      <c r="FQ207" s="246">
        <v>43852</v>
      </c>
      <c r="FR207" s="26">
        <v>43852</v>
      </c>
      <c r="FS207" s="211">
        <v>3</v>
      </c>
      <c r="FT207" s="44">
        <v>0.28376913966086947</v>
      </c>
      <c r="FU207" s="71">
        <v>4.1871231204739455E-7</v>
      </c>
      <c r="FV207" s="73">
        <v>1.0000000000000002E-3</v>
      </c>
      <c r="FW207" s="212">
        <v>677718.64236165409</v>
      </c>
      <c r="FX207" s="212">
        <v>50946.636282556596</v>
      </c>
      <c r="FY207" s="212">
        <v>0.95949141952341366</v>
      </c>
      <c r="FZ207" s="212">
        <v>283.76913924215711</v>
      </c>
      <c r="GA207" s="216">
        <v>4.1871231204739455E-4</v>
      </c>
      <c r="GB207" s="246">
        <v>43944</v>
      </c>
      <c r="GC207" s="26" t="s">
        <v>3418</v>
      </c>
      <c r="GD207" s="214">
        <v>677718.64236097073</v>
      </c>
      <c r="GE207" s="214">
        <v>869170</v>
      </c>
      <c r="GF207" s="73" t="s">
        <v>3419</v>
      </c>
      <c r="GG207" s="156">
        <v>43944</v>
      </c>
      <c r="GH207" s="26">
        <v>93</v>
      </c>
      <c r="GI207" s="26" t="s">
        <v>3420</v>
      </c>
      <c r="GJ207" s="25"/>
      <c r="GK207" s="62" t="s">
        <v>3421</v>
      </c>
      <c r="GL207" s="30"/>
      <c r="GM207" s="18" t="s">
        <v>3422</v>
      </c>
      <c r="GN207" s="11">
        <v>26400.265790478064</v>
      </c>
      <c r="GO207" s="156">
        <v>43919</v>
      </c>
      <c r="GP207" s="218">
        <v>26</v>
      </c>
      <c r="GQ207" s="156">
        <v>43917</v>
      </c>
      <c r="GR207" s="11">
        <v>29</v>
      </c>
      <c r="GS207" s="25" t="s">
        <v>3417</v>
      </c>
      <c r="GT207" s="11">
        <v>677429.43075730326</v>
      </c>
      <c r="GU207" s="12">
        <v>1.9297774002310164</v>
      </c>
      <c r="GV207" s="240">
        <v>43905</v>
      </c>
      <c r="GW207" s="162" t="s">
        <v>2391</v>
      </c>
      <c r="GX207" s="231">
        <v>-193035.5974286847</v>
      </c>
      <c r="GY207" s="25" t="s">
        <v>37</v>
      </c>
      <c r="GZ207" s="25" t="s">
        <v>37</v>
      </c>
      <c r="HA207" s="26" t="s">
        <v>3422</v>
      </c>
    </row>
    <row r="208" spans="14:209" x14ac:dyDescent="0.25">
      <c r="N208" s="25"/>
      <c r="FO208" s="263" t="s">
        <v>208</v>
      </c>
      <c r="FP208" s="250">
        <v>43947.950532407405</v>
      </c>
      <c r="FQ208" s="246">
        <v>43852</v>
      </c>
      <c r="FR208" s="26">
        <v>43852</v>
      </c>
      <c r="FS208" s="211">
        <v>3</v>
      </c>
      <c r="FT208" s="44">
        <v>0.28376913966085532</v>
      </c>
      <c r="FU208" s="71">
        <v>4.0053229105862193E-7</v>
      </c>
      <c r="FV208" s="73">
        <v>1.0000000000000002E-3</v>
      </c>
      <c r="FW208" s="212">
        <v>708480.05515570985</v>
      </c>
      <c r="FX208" s="212">
        <v>60563.027659311949</v>
      </c>
      <c r="FY208" s="212">
        <v>0.95119886000847476</v>
      </c>
      <c r="FZ208" s="212">
        <v>283.76913926032296</v>
      </c>
      <c r="GA208" s="216">
        <v>4.0053229105862191E-4</v>
      </c>
      <c r="GB208" s="246">
        <v>43946</v>
      </c>
      <c r="GC208" s="26" t="s">
        <v>3511</v>
      </c>
      <c r="GD208" s="214">
        <v>708480.05515570962</v>
      </c>
      <c r="GE208" s="214">
        <v>938154</v>
      </c>
      <c r="GF208" s="73" t="s">
        <v>3512</v>
      </c>
      <c r="GG208" s="156">
        <v>43946</v>
      </c>
      <c r="GH208" s="26">
        <v>95</v>
      </c>
      <c r="GI208" s="26" t="s">
        <v>3513</v>
      </c>
      <c r="GJ208" s="25"/>
      <c r="GK208" s="62" t="s">
        <v>3514</v>
      </c>
      <c r="GL208" s="30"/>
      <c r="GM208" s="18" t="s">
        <v>3515</v>
      </c>
      <c r="GN208" s="11">
        <v>28495.593442479789</v>
      </c>
      <c r="GO208" s="156">
        <v>43919</v>
      </c>
      <c r="GP208" s="218">
        <v>28</v>
      </c>
      <c r="GQ208" s="156">
        <v>43917</v>
      </c>
      <c r="GR208" s="11">
        <v>31</v>
      </c>
      <c r="GS208" s="25" t="s">
        <v>3510</v>
      </c>
      <c r="GT208" s="11">
        <v>708163.99940589524</v>
      </c>
      <c r="GU208" s="12">
        <v>2.1253471271466013</v>
      </c>
      <c r="GV208" s="240">
        <v>43905</v>
      </c>
      <c r="GW208" s="162" t="s">
        <v>2391</v>
      </c>
      <c r="GX208" s="231">
        <v>-230656.39903196786</v>
      </c>
      <c r="GY208" s="25" t="s">
        <v>37</v>
      </c>
      <c r="GZ208" s="25" t="s">
        <v>37</v>
      </c>
      <c r="HA208" s="26" t="s">
        <v>3515</v>
      </c>
    </row>
    <row r="209" spans="14:209" x14ac:dyDescent="0.25">
      <c r="N209" s="25"/>
      <c r="FO209" s="263" t="s">
        <v>208</v>
      </c>
      <c r="FP209" s="250">
        <v>43949.717349537037</v>
      </c>
      <c r="FQ209" s="246">
        <v>43852</v>
      </c>
      <c r="FR209" s="26">
        <v>43852</v>
      </c>
      <c r="FS209" s="211">
        <v>3</v>
      </c>
      <c r="FT209" s="44">
        <v>0.28376913966084261</v>
      </c>
      <c r="FU209" s="71">
        <v>3.8404830512438207E-7</v>
      </c>
      <c r="FV209" s="73">
        <v>1.0000000000000002E-3</v>
      </c>
      <c r="FW209" s="212">
        <v>738889.18626769632</v>
      </c>
      <c r="FX209" s="212">
        <v>70255.301938108445</v>
      </c>
      <c r="FY209" s="212">
        <v>0.9432925115156866</v>
      </c>
      <c r="FZ209" s="212">
        <v>283.76913927679425</v>
      </c>
      <c r="GA209" s="216">
        <v>3.8404830512438209E-4</v>
      </c>
      <c r="GB209" s="246">
        <v>43948</v>
      </c>
      <c r="GC209" s="26" t="s">
        <v>3569</v>
      </c>
      <c r="GD209" s="214">
        <v>738889.18626769597</v>
      </c>
      <c r="GE209" s="214">
        <v>988197</v>
      </c>
      <c r="GF209" s="73" t="s">
        <v>3570</v>
      </c>
      <c r="GG209" s="156">
        <v>43948</v>
      </c>
      <c r="GH209" s="26">
        <v>97</v>
      </c>
      <c r="GI209" s="26" t="s">
        <v>3571</v>
      </c>
      <c r="GJ209" s="25"/>
      <c r="GK209" s="62" t="s">
        <v>3572</v>
      </c>
      <c r="GL209" s="30"/>
      <c r="GM209" s="18" t="s">
        <v>3573</v>
      </c>
      <c r="GN209" s="11">
        <v>30015.605063857533</v>
      </c>
      <c r="GO209" s="156">
        <v>43919</v>
      </c>
      <c r="GP209" s="218">
        <v>30</v>
      </c>
      <c r="GQ209" s="156">
        <v>43917</v>
      </c>
      <c r="GR209" s="11">
        <v>32</v>
      </c>
      <c r="GS209" s="25" t="s">
        <v>3568</v>
      </c>
      <c r="GT209" s="11">
        <v>738545.42357382772</v>
      </c>
      <c r="GU209" s="12">
        <v>2.3406258773941704</v>
      </c>
      <c r="GV209" s="240">
        <v>43905</v>
      </c>
      <c r="GW209" s="162" t="s">
        <v>2391</v>
      </c>
      <c r="GX209" s="231">
        <v>-249913.96799377259</v>
      </c>
      <c r="GY209" s="25" t="s">
        <v>37</v>
      </c>
      <c r="GZ209" s="25" t="s">
        <v>37</v>
      </c>
      <c r="HA209" s="26" t="s">
        <v>3573</v>
      </c>
    </row>
    <row r="210" spans="14:209" x14ac:dyDescent="0.25">
      <c r="N210" s="25"/>
      <c r="FO210" s="263" t="s">
        <v>208</v>
      </c>
      <c r="FP210" s="250">
        <v>43950.659282407411</v>
      </c>
      <c r="FQ210" s="246">
        <v>43852</v>
      </c>
      <c r="FR210" s="26">
        <v>43852</v>
      </c>
      <c r="FS210" s="211">
        <v>3</v>
      </c>
      <c r="FT210" s="44">
        <v>0.28376913966083595</v>
      </c>
      <c r="FU210" s="71">
        <v>3.7651417640078686E-7</v>
      </c>
      <c r="FV210" s="73">
        <v>1.0000000000000002E-3</v>
      </c>
      <c r="FW210" s="212">
        <v>753674.51598628017</v>
      </c>
      <c r="FX210" s="212">
        <v>74959.231588085211</v>
      </c>
      <c r="FY210" s="212">
        <v>0.93969812414496789</v>
      </c>
      <c r="FZ210" s="212">
        <v>283.76913928432174</v>
      </c>
      <c r="GA210" s="216">
        <v>3.7651417640078687E-4</v>
      </c>
      <c r="GB210" s="246">
        <v>43949</v>
      </c>
      <c r="GC210" s="26" t="s">
        <v>3633</v>
      </c>
      <c r="GD210" s="214">
        <v>753674.51598627982</v>
      </c>
      <c r="GE210" s="214">
        <v>1012582</v>
      </c>
      <c r="GF210" s="73" t="s">
        <v>3634</v>
      </c>
      <c r="GG210" s="156">
        <v>43949</v>
      </c>
      <c r="GH210" s="26">
        <v>98</v>
      </c>
      <c r="GI210" s="26" t="s">
        <v>3635</v>
      </c>
      <c r="GJ210" s="25"/>
      <c r="GK210" s="62" t="s">
        <v>3636</v>
      </c>
      <c r="GL210" s="30"/>
      <c r="GM210" s="18" t="s">
        <v>3637</v>
      </c>
      <c r="GN210" s="11">
        <v>30756.277753090715</v>
      </c>
      <c r="GO210" s="156">
        <v>43919</v>
      </c>
      <c r="GP210" s="218">
        <v>31</v>
      </c>
      <c r="GQ210" s="156">
        <v>43917</v>
      </c>
      <c r="GR210" s="11">
        <v>33</v>
      </c>
      <c r="GS210" s="25" t="s">
        <v>3632</v>
      </c>
      <c r="GT210" s="11">
        <v>753316.86144729226</v>
      </c>
      <c r="GU210" s="12">
        <v>2.4372010224986513</v>
      </c>
      <c r="GV210" s="240">
        <v>43905</v>
      </c>
      <c r="GW210" s="162" t="s">
        <v>2391</v>
      </c>
      <c r="GX210" s="231">
        <v>-259382.42045431817</v>
      </c>
      <c r="GY210" s="25" t="s">
        <v>37</v>
      </c>
      <c r="GZ210" s="25" t="s">
        <v>37</v>
      </c>
      <c r="HA210" s="26" t="s">
        <v>3637</v>
      </c>
    </row>
    <row r="211" spans="14:209" x14ac:dyDescent="0.25">
      <c r="N211" s="25"/>
      <c r="FO211" s="263" t="s">
        <v>208</v>
      </c>
      <c r="FP211" s="250">
        <v>43951.665486111109</v>
      </c>
      <c r="FQ211" s="246">
        <v>43852</v>
      </c>
      <c r="FR211" s="26">
        <v>43852</v>
      </c>
      <c r="FS211" s="211">
        <v>3</v>
      </c>
      <c r="FT211" s="44">
        <v>0.28376913966082962</v>
      </c>
      <c r="FU211" s="71">
        <v>3.6929116457198947E-7</v>
      </c>
      <c r="FV211" s="73">
        <v>1.0000000000000002E-3</v>
      </c>
      <c r="FW211" s="212">
        <v>768415.7296038199</v>
      </c>
      <c r="FX211" s="212">
        <v>79732.751235716496</v>
      </c>
      <c r="FY211" s="212">
        <v>0.93611552426321154</v>
      </c>
      <c r="FZ211" s="214">
        <v>283.76913929153835</v>
      </c>
      <c r="GA211" s="216">
        <v>3.692911645719895E-4</v>
      </c>
      <c r="GB211" s="246">
        <v>43950</v>
      </c>
      <c r="GC211" s="26" t="s">
        <v>3701</v>
      </c>
      <c r="GD211" s="214">
        <v>768415.72960381955</v>
      </c>
      <c r="GE211" s="214">
        <v>1039909</v>
      </c>
      <c r="GF211" s="73" t="s">
        <v>3335</v>
      </c>
      <c r="GG211" s="156">
        <v>43950</v>
      </c>
      <c r="GH211" s="26">
        <v>99</v>
      </c>
      <c r="GI211" s="26" t="s">
        <v>3702</v>
      </c>
      <c r="GJ211" s="25"/>
      <c r="GK211" s="62" t="s">
        <v>3703</v>
      </c>
      <c r="GL211" s="30"/>
      <c r="GM211" s="18" t="s">
        <v>3704</v>
      </c>
      <c r="GN211" s="11">
        <v>31586.311075980822</v>
      </c>
      <c r="GO211" s="156">
        <v>43919</v>
      </c>
      <c r="GP211" s="218">
        <v>32</v>
      </c>
      <c r="GQ211" s="156">
        <v>43917</v>
      </c>
      <c r="GR211" s="11">
        <v>35</v>
      </c>
      <c r="GS211" s="25" t="s">
        <v>3700</v>
      </c>
      <c r="GT211" s="11">
        <v>768043.95087224536</v>
      </c>
      <c r="GU211" s="12">
        <v>2.52428183347905</v>
      </c>
      <c r="GV211" s="240">
        <v>43905</v>
      </c>
      <c r="GW211" s="162" t="s">
        <v>2391</v>
      </c>
      <c r="GX211" s="231">
        <v>-271865.04912775464</v>
      </c>
      <c r="GY211" s="25" t="s">
        <v>37</v>
      </c>
      <c r="GZ211" s="25" t="s">
        <v>37</v>
      </c>
      <c r="HA211" s="26" t="s">
        <v>3704</v>
      </c>
    </row>
    <row r="212" spans="14:209" x14ac:dyDescent="0.25">
      <c r="N212" s="25"/>
      <c r="FO212" s="263" t="s">
        <v>208</v>
      </c>
      <c r="FP212" s="250">
        <v>43954.723958333336</v>
      </c>
      <c r="FQ212" s="246">
        <v>43852</v>
      </c>
      <c r="FR212" s="26">
        <v>43852</v>
      </c>
      <c r="FS212" s="211">
        <v>3</v>
      </c>
      <c r="FT212" s="44">
        <v>0.28376913966081674</v>
      </c>
      <c r="FU212" s="71">
        <v>3.4886803124023049E-7</v>
      </c>
      <c r="FV212" s="73">
        <v>1.0000000000000002E-3</v>
      </c>
      <c r="FW212" s="212">
        <v>813399.66477299074</v>
      </c>
      <c r="FX212" s="212">
        <v>95135.30164695681</v>
      </c>
      <c r="FY212" s="212">
        <v>0.92460853864118842</v>
      </c>
      <c r="FZ212" s="214">
        <v>283.76913931194866</v>
      </c>
      <c r="GA212" s="216">
        <v>3.4886803124023046E-4</v>
      </c>
      <c r="GB212" s="246">
        <v>43953</v>
      </c>
      <c r="GC212" s="26" t="s">
        <v>3758</v>
      </c>
      <c r="GD212" s="214">
        <v>813399.66476346122</v>
      </c>
      <c r="GE212" s="214">
        <v>1132539</v>
      </c>
      <c r="GF212" s="73" t="s">
        <v>3759</v>
      </c>
      <c r="GG212" s="156">
        <v>43953</v>
      </c>
      <c r="GH212" s="26">
        <v>102</v>
      </c>
      <c r="GI212" s="26" t="s">
        <v>3760</v>
      </c>
      <c r="GJ212" s="25"/>
      <c r="GK212" s="62" t="s">
        <v>3761</v>
      </c>
      <c r="GL212" s="30"/>
      <c r="GM212" s="18" t="s">
        <v>3762</v>
      </c>
      <c r="GN212" s="11">
        <v>34399.864949414077</v>
      </c>
      <c r="GO212" s="156">
        <v>43919</v>
      </c>
      <c r="GP212" s="218">
        <v>35</v>
      </c>
      <c r="GQ212" s="156">
        <v>43917</v>
      </c>
      <c r="GR212" s="11">
        <v>38</v>
      </c>
      <c r="GS212" s="25" t="s">
        <v>3757</v>
      </c>
      <c r="GT212" s="11">
        <v>813323.73127153597</v>
      </c>
      <c r="GU212" s="12">
        <v>2.7655719517171309</v>
      </c>
      <c r="GV212" s="240">
        <v>43905</v>
      </c>
      <c r="GW212" s="162" t="s">
        <v>2391</v>
      </c>
      <c r="GX212" s="231">
        <v>-319317.20293440938</v>
      </c>
      <c r="GY212" s="25" t="s">
        <v>37</v>
      </c>
      <c r="GZ212" s="25" t="s">
        <v>37</v>
      </c>
      <c r="HA212" s="26" t="s">
        <v>3762</v>
      </c>
    </row>
    <row r="213" spans="14:209" x14ac:dyDescent="0.25">
      <c r="N213" s="25"/>
      <c r="FO213" s="263" t="s">
        <v>176</v>
      </c>
      <c r="FP213" s="250">
        <v>43912.32671296296</v>
      </c>
      <c r="FQ213" s="246">
        <v>43852</v>
      </c>
      <c r="FR213" s="26">
        <v>43852</v>
      </c>
      <c r="FS213" s="211">
        <v>4</v>
      </c>
      <c r="FT213" s="25">
        <v>0.2221429979133962</v>
      </c>
      <c r="FU213" s="61">
        <v>2.7441363716222279E-6</v>
      </c>
      <c r="FV213" s="74">
        <v>1537.6493038446686</v>
      </c>
      <c r="FW213" s="212">
        <v>80951.879873985206</v>
      </c>
      <c r="FX213" s="212">
        <v>2077.0848925572823</v>
      </c>
      <c r="FY213" s="212"/>
      <c r="FZ213" s="212">
        <v>1.4172508515890487E-4</v>
      </c>
      <c r="GA213" s="216">
        <v>2.7441363716222281E-3</v>
      </c>
      <c r="GB213" s="246">
        <v>43911</v>
      </c>
      <c r="GC213" s="26" t="s">
        <v>751</v>
      </c>
      <c r="GD213" s="212"/>
      <c r="GE213" s="212">
        <v>81304</v>
      </c>
      <c r="GF213" s="73" t="s">
        <v>558</v>
      </c>
      <c r="GG213" s="156">
        <v>43911</v>
      </c>
      <c r="GH213" s="25">
        <v>60</v>
      </c>
      <c r="GI213" s="25" t="s">
        <v>750</v>
      </c>
      <c r="GJ213" s="25"/>
      <c r="GK213" s="62" t="s">
        <v>559</v>
      </c>
      <c r="GM213" s="25" t="s">
        <v>793</v>
      </c>
      <c r="GN213" s="165">
        <v>564.87637705777752</v>
      </c>
      <c r="GO213" s="156">
        <v>43886</v>
      </c>
      <c r="GP213" s="218">
        <v>25</v>
      </c>
      <c r="GQ213" s="156">
        <v>43875</v>
      </c>
      <c r="GR213" s="25">
        <v>37</v>
      </c>
      <c r="GS213" s="25"/>
      <c r="GT213" s="11"/>
      <c r="GU213" s="12"/>
      <c r="GV213" s="26"/>
      <c r="GW213" s="25"/>
      <c r="GX213" s="219"/>
      <c r="GY213" s="25"/>
      <c r="GZ213" s="25"/>
    </row>
    <row r="214" spans="14:209" x14ac:dyDescent="0.25">
      <c r="N214" s="25"/>
      <c r="FO214" s="263" t="s">
        <v>176</v>
      </c>
      <c r="FP214" s="250">
        <v>43912.588449074072</v>
      </c>
      <c r="FQ214" s="246">
        <v>43852</v>
      </c>
      <c r="FR214" s="26">
        <v>43852</v>
      </c>
      <c r="FS214" s="211">
        <v>4</v>
      </c>
      <c r="FT214" s="25">
        <v>0.2221429979133962</v>
      </c>
      <c r="FU214" s="61">
        <v>2.744135355706393E-6</v>
      </c>
      <c r="FV214" s="74">
        <v>1537.6493038446686</v>
      </c>
      <c r="FW214" s="212">
        <v>80951.909843460453</v>
      </c>
      <c r="FX214" s="212">
        <v>2077.087790047718</v>
      </c>
      <c r="FY214" s="212"/>
      <c r="FZ214" s="212">
        <v>1.4172508617482069E-4</v>
      </c>
      <c r="GA214" s="216">
        <v>2.7441353557063931E-3</v>
      </c>
      <c r="GB214" s="257">
        <v>43911</v>
      </c>
      <c r="GC214" s="26" t="s">
        <v>751</v>
      </c>
      <c r="GD214" s="212"/>
      <c r="GE214" s="212">
        <v>81305</v>
      </c>
      <c r="GF214" s="73" t="s">
        <v>558</v>
      </c>
      <c r="GG214" s="156">
        <v>43911</v>
      </c>
      <c r="GH214" s="25">
        <v>60</v>
      </c>
      <c r="GI214" s="25" t="s">
        <v>750</v>
      </c>
      <c r="GJ214" s="25"/>
      <c r="GK214" s="62" t="s">
        <v>559</v>
      </c>
      <c r="GM214" s="25" t="s">
        <v>793</v>
      </c>
      <c r="GN214" s="165">
        <v>564.88332476486516</v>
      </c>
      <c r="GO214" s="156">
        <v>43912</v>
      </c>
      <c r="GP214" s="218">
        <v>0</v>
      </c>
      <c r="GQ214" s="156">
        <v>43878</v>
      </c>
      <c r="GR214" s="25">
        <v>34</v>
      </c>
      <c r="GS214" s="25"/>
      <c r="GT214" s="11"/>
      <c r="GU214" s="12"/>
      <c r="GV214" s="26"/>
      <c r="GW214" s="25"/>
      <c r="GX214" s="219"/>
      <c r="GY214" s="25"/>
      <c r="GZ214" s="25"/>
    </row>
    <row r="215" spans="14:209" x14ac:dyDescent="0.25">
      <c r="N215" s="25"/>
      <c r="FO215" s="263" t="s">
        <v>176</v>
      </c>
      <c r="FP215" s="250">
        <v>43912.787581018521</v>
      </c>
      <c r="FQ215" s="246">
        <v>43852</v>
      </c>
      <c r="FR215" s="26">
        <v>43852</v>
      </c>
      <c r="FS215" s="211">
        <v>4</v>
      </c>
      <c r="FT215" s="25">
        <v>0.2221429979133962</v>
      </c>
      <c r="FU215" s="61">
        <v>2.7437387950754286E-6</v>
      </c>
      <c r="FV215" s="74">
        <v>1537.6493038446686</v>
      </c>
      <c r="FW215" s="212">
        <v>80963.610060880164</v>
      </c>
      <c r="FX215" s="212">
        <v>2060.619161619702</v>
      </c>
      <c r="FY215" s="212"/>
      <c r="FZ215" s="212">
        <v>1.4172548273545167E-4</v>
      </c>
      <c r="GA215" s="216">
        <v>2.7437387950754286E-3</v>
      </c>
      <c r="GB215" s="257">
        <v>43911</v>
      </c>
      <c r="GC215" s="26" t="s">
        <v>751</v>
      </c>
      <c r="GD215" s="212">
        <v>80963.609812570081</v>
      </c>
      <c r="GE215" s="212">
        <v>81348</v>
      </c>
      <c r="GF215" s="73" t="s">
        <v>845</v>
      </c>
      <c r="GG215" s="156">
        <v>43912</v>
      </c>
      <c r="GH215" s="25">
        <v>61</v>
      </c>
      <c r="GI215" s="25" t="s">
        <v>846</v>
      </c>
      <c r="GJ215" s="25"/>
      <c r="GK215" s="62" t="s">
        <v>847</v>
      </c>
      <c r="GM215" s="25" t="s">
        <v>848</v>
      </c>
      <c r="GN215" s="165">
        <v>565.18207616963593</v>
      </c>
      <c r="GO215" s="156">
        <v>43912</v>
      </c>
      <c r="GP215" s="218">
        <v>0</v>
      </c>
      <c r="GQ215" s="156">
        <v>43883</v>
      </c>
      <c r="GR215" s="25">
        <v>29</v>
      </c>
      <c r="GS215" s="25"/>
      <c r="GT215" s="11"/>
      <c r="GU215" s="12"/>
      <c r="GV215" s="26"/>
      <c r="GW215" s="25"/>
      <c r="GX215" s="219"/>
      <c r="GY215" s="25"/>
      <c r="GZ215" s="25"/>
    </row>
    <row r="216" spans="14:209" x14ac:dyDescent="0.25">
      <c r="N216" s="25"/>
      <c r="FO216" s="263" t="s">
        <v>176</v>
      </c>
      <c r="FP216" s="250">
        <v>43912.862349537034</v>
      </c>
      <c r="FQ216" s="246">
        <v>43852</v>
      </c>
      <c r="FR216" s="26">
        <v>43852</v>
      </c>
      <c r="FS216" s="211">
        <v>4</v>
      </c>
      <c r="FT216" s="25">
        <v>0.2221429979133962</v>
      </c>
      <c r="FU216" s="61">
        <v>2.7437378104594008E-6</v>
      </c>
      <c r="FV216" s="74">
        <v>1537.6493038446686</v>
      </c>
      <c r="FW216" s="212">
        <v>80963.639115430429</v>
      </c>
      <c r="FX216" s="212">
        <v>2060.6222776666727</v>
      </c>
      <c r="FY216" s="212"/>
      <c r="FZ216" s="212">
        <v>1.4172548372006768E-4</v>
      </c>
      <c r="GA216" s="216">
        <v>2.743737810459401E-3</v>
      </c>
      <c r="GB216" s="257">
        <v>43911</v>
      </c>
      <c r="GC216" s="26" t="s">
        <v>751</v>
      </c>
      <c r="GD216" s="212">
        <v>80963.638867120171</v>
      </c>
      <c r="GE216" s="212">
        <v>81349</v>
      </c>
      <c r="GF216" s="73" t="s">
        <v>845</v>
      </c>
      <c r="GG216" s="156">
        <v>43912</v>
      </c>
      <c r="GH216" s="25">
        <v>61</v>
      </c>
      <c r="GI216" s="25" t="s">
        <v>846</v>
      </c>
      <c r="GJ216" s="25"/>
      <c r="GK216" s="62" t="s">
        <v>847</v>
      </c>
      <c r="GM216" s="25" t="s">
        <v>848</v>
      </c>
      <c r="GN216" s="165">
        <v>565.1890238767237</v>
      </c>
      <c r="GO216" s="156">
        <v>43912</v>
      </c>
      <c r="GP216" s="218">
        <v>0</v>
      </c>
      <c r="GQ216" s="156">
        <v>43883</v>
      </c>
      <c r="GR216" s="25">
        <v>29</v>
      </c>
      <c r="GS216" s="25"/>
      <c r="GT216" s="11"/>
      <c r="GU216" s="12"/>
      <c r="GV216" s="26"/>
      <c r="GW216" s="25"/>
      <c r="GX216" s="219"/>
      <c r="GY216" s="25"/>
      <c r="GZ216" s="25"/>
      <c r="HA216" s="25"/>
    </row>
    <row r="217" spans="14:209" x14ac:dyDescent="0.25">
      <c r="N217" s="25"/>
      <c r="FO217" s="263" t="s">
        <v>176</v>
      </c>
      <c r="FP217" s="250">
        <v>43913.581712962965</v>
      </c>
      <c r="FQ217" s="246">
        <v>43852</v>
      </c>
      <c r="FR217" s="26">
        <v>43852</v>
      </c>
      <c r="FS217" s="211">
        <v>4</v>
      </c>
      <c r="FT217" s="25">
        <v>0.2221429979133962</v>
      </c>
      <c r="FU217" s="71">
        <v>2.7437378104594008E-6</v>
      </c>
      <c r="FV217" s="74">
        <v>1537.6493038446686</v>
      </c>
      <c r="FW217" s="212">
        <v>80963.639115430429</v>
      </c>
      <c r="FX217" s="212">
        <v>2077.1062416181903</v>
      </c>
      <c r="FY217" s="212"/>
      <c r="FZ217" s="212">
        <v>1.4172548372006768E-4</v>
      </c>
      <c r="GA217" s="216">
        <v>2.743737810459401E-3</v>
      </c>
      <c r="GB217" s="257">
        <v>43911</v>
      </c>
      <c r="GC217" s="26" t="s">
        <v>751</v>
      </c>
      <c r="GD217" s="212">
        <v>80963.638867120171</v>
      </c>
      <c r="GE217" s="212">
        <v>81305</v>
      </c>
      <c r="GF217" s="73" t="s">
        <v>845</v>
      </c>
      <c r="GG217" s="156">
        <v>43911</v>
      </c>
      <c r="GH217" s="25">
        <v>60</v>
      </c>
      <c r="GI217" s="25" t="s">
        <v>846</v>
      </c>
      <c r="GJ217" s="25"/>
      <c r="GK217" s="62" t="s">
        <v>847</v>
      </c>
      <c r="GM217" s="25" t="s">
        <v>969</v>
      </c>
      <c r="GN217" s="165">
        <v>564.88332476486516</v>
      </c>
      <c r="GO217" s="156">
        <v>43912</v>
      </c>
      <c r="GP217" s="218">
        <v>-1</v>
      </c>
      <c r="GQ217" s="156">
        <v>43913</v>
      </c>
      <c r="GR217" s="25">
        <v>1</v>
      </c>
      <c r="GS217" s="25"/>
      <c r="GT217" s="11"/>
      <c r="GU217" s="12"/>
      <c r="GV217" s="26"/>
      <c r="GW217" s="25"/>
      <c r="GX217" s="219"/>
      <c r="GY217" s="25"/>
      <c r="GZ217" s="25"/>
    </row>
    <row r="218" spans="14:209" x14ac:dyDescent="0.25">
      <c r="N218" s="25"/>
      <c r="FO218" s="263" t="s">
        <v>176</v>
      </c>
      <c r="FP218" s="250">
        <v>43913.686747685184</v>
      </c>
      <c r="FQ218" s="246">
        <v>43852</v>
      </c>
      <c r="FR218" s="26">
        <v>43852</v>
      </c>
      <c r="FS218" s="211">
        <v>4</v>
      </c>
      <c r="FT218" s="25">
        <v>0.2221429979133962</v>
      </c>
      <c r="FU218" s="71">
        <v>2.7436905724700776E-6</v>
      </c>
      <c r="FV218" s="74">
        <v>1537.6493038446686</v>
      </c>
      <c r="FW218" s="212">
        <v>80965.033062531642</v>
      </c>
      <c r="FX218" s="212">
        <v>2060.7809258065713</v>
      </c>
      <c r="FY218" s="212"/>
      <c r="FZ218" s="212">
        <v>1.4172553095805702E-4</v>
      </c>
      <c r="GA218" s="216">
        <v>2.7436905724700774E-3</v>
      </c>
      <c r="GB218" s="257">
        <v>43912</v>
      </c>
      <c r="GC218" s="26" t="s">
        <v>751</v>
      </c>
      <c r="GD218" s="212">
        <v>80965.03281421274</v>
      </c>
      <c r="GE218" s="212">
        <v>81397</v>
      </c>
      <c r="GF218" s="73" t="s">
        <v>845</v>
      </c>
      <c r="GG218" s="156">
        <v>43912</v>
      </c>
      <c r="GH218" s="25">
        <v>61</v>
      </c>
      <c r="GI218" s="25" t="s">
        <v>846</v>
      </c>
      <c r="GJ218" s="25"/>
      <c r="GK218" s="62" t="s">
        <v>847</v>
      </c>
      <c r="GM218" s="25" t="s">
        <v>848</v>
      </c>
      <c r="GN218" s="165">
        <v>565.52251381693293</v>
      </c>
      <c r="GO218" s="156">
        <v>43912</v>
      </c>
      <c r="GP218" s="218">
        <v>-1</v>
      </c>
      <c r="GQ218" s="156">
        <v>43913</v>
      </c>
      <c r="GR218" s="25">
        <v>0</v>
      </c>
      <c r="GS218" s="25"/>
      <c r="GT218" s="11"/>
      <c r="GU218" s="12"/>
      <c r="GV218" s="26"/>
      <c r="GW218" s="25"/>
      <c r="GX218" s="219"/>
      <c r="GY218" s="25"/>
      <c r="GZ218" s="25"/>
    </row>
    <row r="219" spans="14:209" x14ac:dyDescent="0.25">
      <c r="N219" s="25"/>
      <c r="FO219" s="263" t="s">
        <v>176</v>
      </c>
      <c r="FP219" s="250">
        <v>43913.916203703702</v>
      </c>
      <c r="FQ219" s="246">
        <v>43852</v>
      </c>
      <c r="FR219" s="26">
        <v>43852</v>
      </c>
      <c r="FS219" s="211">
        <v>4</v>
      </c>
      <c r="FT219" s="25">
        <v>0.2221429979133962</v>
      </c>
      <c r="FU219" s="25">
        <v>2.7432177917623539E-6</v>
      </c>
      <c r="FV219" s="74">
        <v>1537.6493038446686</v>
      </c>
      <c r="FW219" s="212">
        <v>80978.987005870425</v>
      </c>
      <c r="FX219" s="212">
        <v>2045.0311506785802</v>
      </c>
      <c r="FY219" s="212"/>
      <c r="FZ219" s="212">
        <v>1.4172600373876473E-4</v>
      </c>
      <c r="GA219" s="216">
        <v>2.7432177917623541E-3</v>
      </c>
      <c r="GB219" s="257">
        <v>43912</v>
      </c>
      <c r="GC219" s="26" t="s">
        <v>751</v>
      </c>
      <c r="GD219" s="212">
        <v>80978.9867574651</v>
      </c>
      <c r="GE219" s="212">
        <v>81454</v>
      </c>
      <c r="GF219" s="73" t="s">
        <v>845</v>
      </c>
      <c r="GG219" s="156">
        <v>43913</v>
      </c>
      <c r="GH219" s="25">
        <v>62</v>
      </c>
      <c r="GI219" s="25" t="s">
        <v>846</v>
      </c>
      <c r="GJ219" s="25"/>
      <c r="GK219" s="62" t="s">
        <v>847</v>
      </c>
      <c r="GM219" s="25" t="s">
        <v>1030</v>
      </c>
      <c r="GN219" s="165">
        <v>565.91853312093133</v>
      </c>
      <c r="GO219" s="156">
        <v>43912</v>
      </c>
      <c r="GP219" s="218">
        <v>-1</v>
      </c>
      <c r="GQ219" s="156">
        <v>43913</v>
      </c>
      <c r="GR219" s="25">
        <v>0</v>
      </c>
      <c r="GS219" s="25"/>
      <c r="GT219" s="11"/>
      <c r="GU219" s="12"/>
      <c r="GV219" s="26"/>
      <c r="GW219" s="25"/>
      <c r="GX219" s="219"/>
      <c r="GY219" s="25"/>
      <c r="GZ219" s="25"/>
    </row>
    <row r="220" spans="14:209" x14ac:dyDescent="0.25">
      <c r="N220" s="25"/>
      <c r="FO220" s="263" t="s">
        <v>176</v>
      </c>
      <c r="FP220" s="250">
        <v>43914.307893518519</v>
      </c>
      <c r="FQ220" s="246">
        <v>43852</v>
      </c>
      <c r="FR220" s="26">
        <v>43852</v>
      </c>
      <c r="FS220" s="211">
        <v>4</v>
      </c>
      <c r="FT220" s="25">
        <v>0.2221429979133962</v>
      </c>
      <c r="FU220" s="25">
        <v>2.7432177917623539E-6</v>
      </c>
      <c r="FV220" s="74">
        <v>1537.6493038446686</v>
      </c>
      <c r="FW220" s="212">
        <v>80978.987005870425</v>
      </c>
      <c r="FX220" s="212">
        <v>2060.8075886844472</v>
      </c>
      <c r="FY220" s="212"/>
      <c r="FZ220" s="212">
        <v>1.4172600373876473E-4</v>
      </c>
      <c r="GA220" s="216">
        <v>2.7432177917623541E-3</v>
      </c>
      <c r="GB220" s="257">
        <v>43912</v>
      </c>
      <c r="GC220" s="26" t="s">
        <v>751</v>
      </c>
      <c r="GD220" s="212">
        <v>80978.9867574651</v>
      </c>
      <c r="GE220" s="212">
        <v>81397</v>
      </c>
      <c r="GF220" s="73" t="s">
        <v>845</v>
      </c>
      <c r="GG220" s="156">
        <v>43912</v>
      </c>
      <c r="GH220" s="25">
        <v>61</v>
      </c>
      <c r="GI220" s="25" t="s">
        <v>846</v>
      </c>
      <c r="GJ220" s="25"/>
      <c r="GK220" s="62" t="s">
        <v>847</v>
      </c>
      <c r="GM220" s="25" t="s">
        <v>848</v>
      </c>
      <c r="GN220" s="165">
        <v>565.52251381693293</v>
      </c>
      <c r="GO220" s="156">
        <v>43912</v>
      </c>
      <c r="GP220" s="218">
        <v>-1</v>
      </c>
      <c r="GQ220" s="156">
        <v>43913</v>
      </c>
      <c r="GR220" s="25">
        <v>0</v>
      </c>
      <c r="GS220" s="25"/>
      <c r="GT220" s="11"/>
      <c r="GU220" s="12"/>
      <c r="GV220" s="26"/>
      <c r="GW220" s="25"/>
      <c r="GX220" s="219"/>
      <c r="GY220" s="25"/>
      <c r="GZ220" s="25"/>
    </row>
    <row r="221" spans="14:209" x14ac:dyDescent="0.25">
      <c r="N221" s="25"/>
      <c r="FO221" s="263" t="s">
        <v>176</v>
      </c>
      <c r="FP221" s="250">
        <v>43914.462754629632</v>
      </c>
      <c r="FQ221" s="246">
        <v>43852</v>
      </c>
      <c r="FR221" s="26">
        <v>43852</v>
      </c>
      <c r="FS221" s="211">
        <v>4</v>
      </c>
      <c r="FT221" s="25">
        <v>0.2221429979133962</v>
      </c>
      <c r="FU221" s="25">
        <v>2.7432177917623539E-6</v>
      </c>
      <c r="FV221" s="74">
        <v>1537.6493038446686</v>
      </c>
      <c r="FW221" s="212">
        <v>80978.987005870425</v>
      </c>
      <c r="FX221" s="212">
        <v>2060.8075886844472</v>
      </c>
      <c r="FY221" s="212"/>
      <c r="FZ221" s="212">
        <v>1.4172600373876473E-4</v>
      </c>
      <c r="GA221" s="216">
        <v>2.7432177917623541E-3</v>
      </c>
      <c r="GB221" s="257">
        <v>43912</v>
      </c>
      <c r="GC221" s="26" t="s">
        <v>751</v>
      </c>
      <c r="GD221" s="212">
        <v>80978.9867574651</v>
      </c>
      <c r="GE221" s="212">
        <v>81397</v>
      </c>
      <c r="GF221" s="74" t="s">
        <v>845</v>
      </c>
      <c r="GG221" s="156">
        <v>43912</v>
      </c>
      <c r="GH221" s="25">
        <v>61</v>
      </c>
      <c r="GI221" s="25" t="s">
        <v>846</v>
      </c>
      <c r="GJ221" s="25"/>
      <c r="GK221" s="62" t="s">
        <v>847</v>
      </c>
      <c r="GM221" s="25" t="s">
        <v>848</v>
      </c>
      <c r="GN221" s="165">
        <v>565.52251381693293</v>
      </c>
      <c r="GO221" s="156">
        <v>43912</v>
      </c>
      <c r="GP221" s="218">
        <v>-2</v>
      </c>
      <c r="GQ221" s="156">
        <v>43913</v>
      </c>
      <c r="GR221" s="25">
        <v>0</v>
      </c>
      <c r="GS221" s="25"/>
      <c r="GT221" s="11"/>
      <c r="GU221" s="12"/>
      <c r="GV221" s="26"/>
      <c r="GW221" s="25"/>
      <c r="GX221" s="219"/>
      <c r="GY221" s="25"/>
      <c r="GZ221" s="25"/>
      <c r="HA221" s="25"/>
    </row>
    <row r="222" spans="14:209" x14ac:dyDescent="0.25">
      <c r="N222" s="25"/>
      <c r="FO222" s="263" t="s">
        <v>176</v>
      </c>
      <c r="FP222" s="250">
        <v>43915.87363425926</v>
      </c>
      <c r="FQ222" s="246">
        <v>43852</v>
      </c>
      <c r="FR222" s="26">
        <v>43852</v>
      </c>
      <c r="FS222" s="211">
        <v>4</v>
      </c>
      <c r="FT222" s="25">
        <v>0.2221429979133962</v>
      </c>
      <c r="FU222" s="25">
        <v>2.7432177917623539E-6</v>
      </c>
      <c r="FV222" s="74">
        <v>1537.6493038446686</v>
      </c>
      <c r="FW222" s="212">
        <v>80978.987005870425</v>
      </c>
      <c r="FX222" s="212">
        <v>2044.3563776813351</v>
      </c>
      <c r="FY222" s="212"/>
      <c r="FZ222" s="212">
        <v>1.4172600373876473E-4</v>
      </c>
      <c r="GA222" s="216">
        <v>2.7432177917623541E-3</v>
      </c>
      <c r="GB222" s="257">
        <v>43914</v>
      </c>
      <c r="GC222" s="26" t="s">
        <v>751</v>
      </c>
      <c r="GD222" s="212">
        <v>80978.9867574651</v>
      </c>
      <c r="GE222" s="212">
        <v>81397</v>
      </c>
      <c r="GF222" s="74" t="s">
        <v>845</v>
      </c>
      <c r="GG222" s="156">
        <v>43913</v>
      </c>
      <c r="GH222" s="25">
        <v>62</v>
      </c>
      <c r="GI222" s="25" t="s">
        <v>846</v>
      </c>
      <c r="GJ222" s="25"/>
      <c r="GK222" s="62" t="s">
        <v>847</v>
      </c>
      <c r="GM222" s="25" t="s">
        <v>1030</v>
      </c>
      <c r="GN222" s="165">
        <v>565.52251381693293</v>
      </c>
      <c r="GO222" s="156">
        <v>43912</v>
      </c>
      <c r="GP222" s="218">
        <v>-3</v>
      </c>
      <c r="GQ222" s="156">
        <v>43912</v>
      </c>
      <c r="GR222" s="25">
        <v>-3</v>
      </c>
      <c r="GS222" s="25"/>
      <c r="GT222" s="11"/>
      <c r="GU222" s="12"/>
      <c r="GV222" s="26"/>
      <c r="GW222" s="25"/>
      <c r="GX222" s="219"/>
      <c r="GY222" s="25"/>
      <c r="GZ222" s="25"/>
      <c r="HA222" s="25"/>
    </row>
    <row r="223" spans="14:209" x14ac:dyDescent="0.25">
      <c r="N223" s="25"/>
      <c r="FO223" s="263" t="s">
        <v>176</v>
      </c>
      <c r="FP223" s="250">
        <v>43916.89912037037</v>
      </c>
      <c r="FQ223" s="246">
        <v>43852</v>
      </c>
      <c r="FR223" s="26">
        <v>43852</v>
      </c>
      <c r="FS223" s="211">
        <v>4</v>
      </c>
      <c r="FT223" s="25">
        <v>0.2221429979133962</v>
      </c>
      <c r="FU223" s="71">
        <v>2.7419658379043434E-6</v>
      </c>
      <c r="FV223" s="74">
        <v>1537.6493038446686</v>
      </c>
      <c r="FW223" s="212">
        <v>81015.961191981085</v>
      </c>
      <c r="FX223" s="212">
        <v>2021.5829170643694</v>
      </c>
      <c r="FY223" s="212"/>
      <c r="FZ223" s="212">
        <v>1.4172725569262275E-4</v>
      </c>
      <c r="GA223" s="213">
        <v>2.7419658379043434E-3</v>
      </c>
      <c r="GB223" s="246">
        <v>43915</v>
      </c>
      <c r="GC223" s="160" t="s">
        <v>751</v>
      </c>
      <c r="GD223" s="212">
        <v>81015.961191981085</v>
      </c>
      <c r="GE223" s="212">
        <v>81661</v>
      </c>
      <c r="GF223" s="73" t="s">
        <v>845</v>
      </c>
      <c r="GG223" s="156">
        <v>43915</v>
      </c>
      <c r="GH223" s="25">
        <v>64</v>
      </c>
      <c r="GI223" s="25" t="s">
        <v>846</v>
      </c>
      <c r="GJ223" s="25"/>
      <c r="GK223" s="62" t="s">
        <v>847</v>
      </c>
      <c r="GM223" s="62" t="s">
        <v>1223</v>
      </c>
      <c r="GN223" s="165">
        <v>567.35670848808377</v>
      </c>
      <c r="GO223" s="156">
        <v>43912</v>
      </c>
      <c r="GP223" s="218">
        <v>-4</v>
      </c>
      <c r="GQ223" s="156">
        <v>43912</v>
      </c>
      <c r="GR223" s="25">
        <v>-4</v>
      </c>
      <c r="GS223" s="25"/>
      <c r="GT223" s="11"/>
      <c r="GU223" s="12"/>
      <c r="GV223" s="26"/>
      <c r="GW223" s="25"/>
      <c r="GX223" s="219"/>
      <c r="GY223" s="25"/>
      <c r="GZ223" s="25"/>
    </row>
    <row r="224" spans="14:209" x14ac:dyDescent="0.25">
      <c r="N224" s="25"/>
      <c r="FO224" s="263" t="s">
        <v>176</v>
      </c>
      <c r="FP224" s="250">
        <v>43918.900983796295</v>
      </c>
      <c r="FQ224" s="246">
        <v>43852</v>
      </c>
      <c r="FR224" s="26">
        <v>43852</v>
      </c>
      <c r="FS224" s="211">
        <v>4</v>
      </c>
      <c r="FT224" s="25">
        <v>0.94828892292093736</v>
      </c>
      <c r="FU224" s="71">
        <v>1.4233401180346329E-5</v>
      </c>
      <c r="FV224" s="74">
        <v>1.2266031119106437E-2</v>
      </c>
      <c r="FW224" s="212">
        <v>66624.196908771701</v>
      </c>
      <c r="FX224" s="212">
        <v>12710.229945295172</v>
      </c>
      <c r="FY224" s="212"/>
      <c r="FZ224" s="212">
        <v>77.310153473887254</v>
      </c>
      <c r="GA224" s="213">
        <v>1.423340118034633E-2</v>
      </c>
      <c r="GB224" s="246">
        <v>43917</v>
      </c>
      <c r="GC224" s="160" t="s">
        <v>1370</v>
      </c>
      <c r="GD224" s="212">
        <v>66624.196908771701</v>
      </c>
      <c r="GE224" s="212">
        <v>81897</v>
      </c>
      <c r="GF224" s="73" t="s">
        <v>1371</v>
      </c>
      <c r="GG224" s="156">
        <v>43917</v>
      </c>
      <c r="GH224" s="25">
        <v>66</v>
      </c>
      <c r="GI224" s="25" t="s">
        <v>1372</v>
      </c>
      <c r="GJ224" s="25"/>
      <c r="GK224" s="62" t="s">
        <v>1373</v>
      </c>
      <c r="GM224" s="62" t="s">
        <v>1374</v>
      </c>
      <c r="GN224" s="165">
        <v>568.99636736077935</v>
      </c>
      <c r="GO224" s="156">
        <v>43912</v>
      </c>
      <c r="GP224" s="218">
        <v>-6</v>
      </c>
      <c r="GQ224" s="156">
        <v>43912</v>
      </c>
      <c r="GR224" s="25">
        <v>-6</v>
      </c>
      <c r="GS224" s="25"/>
      <c r="GT224" s="11"/>
      <c r="GU224" s="12"/>
      <c r="GV224" s="26"/>
      <c r="GW224" s="25"/>
      <c r="GX224" s="219"/>
      <c r="GY224" s="25"/>
      <c r="GZ224" s="25"/>
    </row>
    <row r="225" spans="14:209" x14ac:dyDescent="0.25">
      <c r="N225" s="25"/>
      <c r="FO225" s="263" t="s">
        <v>176</v>
      </c>
      <c r="FP225" s="250">
        <v>43919.682939814818</v>
      </c>
      <c r="FQ225" s="246">
        <v>43852</v>
      </c>
      <c r="FR225" s="26">
        <v>43852</v>
      </c>
      <c r="FS225" s="211">
        <v>4</v>
      </c>
      <c r="FT225" s="25">
        <v>0.22086046237004009</v>
      </c>
      <c r="FU225" s="25">
        <v>2.7225251030594298E-6</v>
      </c>
      <c r="FV225" s="74">
        <v>1564.3318847176652</v>
      </c>
      <c r="FW225" s="212">
        <v>81123.388769436424</v>
      </c>
      <c r="FX225" s="212">
        <v>1977.7306086429485</v>
      </c>
      <c r="FY225" s="212"/>
      <c r="FZ225" s="212">
        <v>1.3846264444291679E-4</v>
      </c>
      <c r="GA225" s="213">
        <v>2.7225251030594299E-3</v>
      </c>
      <c r="GB225" s="246">
        <v>43918</v>
      </c>
      <c r="GC225" s="26" t="s">
        <v>1430</v>
      </c>
      <c r="GD225" s="212">
        <v>81123.388769436424</v>
      </c>
      <c r="GE225" s="212">
        <v>81999</v>
      </c>
      <c r="GF225" s="73" t="s">
        <v>1431</v>
      </c>
      <c r="GG225" s="156">
        <v>43918</v>
      </c>
      <c r="GH225" s="25">
        <v>67</v>
      </c>
      <c r="GI225" s="25" t="s">
        <v>1432</v>
      </c>
      <c r="GJ225" s="25"/>
      <c r="GK225" s="62" t="s">
        <v>1433</v>
      </c>
      <c r="GL225" s="62"/>
      <c r="GM225" s="25" t="s">
        <v>1434</v>
      </c>
      <c r="GN225" s="165">
        <v>569.70503348372392</v>
      </c>
      <c r="GO225" s="156">
        <v>43912</v>
      </c>
      <c r="GP225" s="218">
        <v>-7</v>
      </c>
      <c r="GQ225" s="156">
        <v>43912</v>
      </c>
      <c r="GR225" s="25">
        <v>-7</v>
      </c>
      <c r="GS225" s="25"/>
      <c r="GT225" s="11"/>
      <c r="GU225" s="12"/>
      <c r="GV225" s="26"/>
      <c r="GW225" s="25"/>
      <c r="GX225" s="219"/>
      <c r="GY225" s="25"/>
      <c r="GZ225" s="25"/>
      <c r="HA225" s="25"/>
    </row>
    <row r="226" spans="14:209" x14ac:dyDescent="0.25">
      <c r="N226" s="25"/>
      <c r="FO226" s="263" t="s">
        <v>176</v>
      </c>
      <c r="FP226" s="250">
        <v>43921.5859375</v>
      </c>
      <c r="FQ226" s="246">
        <v>43852</v>
      </c>
      <c r="FR226" s="26">
        <v>43852</v>
      </c>
      <c r="FS226" s="211">
        <v>4</v>
      </c>
      <c r="FT226" s="25">
        <v>0.22086046237004014</v>
      </c>
      <c r="FU226" s="73">
        <v>2.7200371732727601E-6</v>
      </c>
      <c r="FV226" s="74">
        <v>1564.3318847176652</v>
      </c>
      <c r="FW226" s="212">
        <v>81197.589702165686</v>
      </c>
      <c r="FX226" s="212">
        <v>1946.5658127657914</v>
      </c>
      <c r="FY226" s="212"/>
      <c r="FZ226" s="212">
        <v>1.3846513237270351E-4</v>
      </c>
      <c r="GA226" s="213">
        <v>2.7200371732727601E-3</v>
      </c>
      <c r="GB226" s="246">
        <v>43920</v>
      </c>
      <c r="GC226" s="26" t="s">
        <v>1496</v>
      </c>
      <c r="GD226" s="212">
        <v>81197.589702165686</v>
      </c>
      <c r="GE226" s="212">
        <v>82240</v>
      </c>
      <c r="GF226" s="73" t="s">
        <v>1431</v>
      </c>
      <c r="GG226" s="156">
        <v>43921</v>
      </c>
      <c r="GH226" s="25">
        <v>70</v>
      </c>
      <c r="GI226" s="25" t="s">
        <v>1497</v>
      </c>
      <c r="GJ226" s="62"/>
      <c r="GK226" s="62" t="s">
        <v>1433</v>
      </c>
      <c r="GM226" s="25" t="s">
        <v>1498</v>
      </c>
      <c r="GN226" s="165">
        <v>571.37943089185796</v>
      </c>
      <c r="GO226" s="156">
        <v>43912</v>
      </c>
      <c r="GP226" s="218">
        <v>-9</v>
      </c>
      <c r="GQ226" s="156">
        <v>43912</v>
      </c>
      <c r="GR226" s="25">
        <v>-9</v>
      </c>
      <c r="GS226" s="25"/>
      <c r="GT226" s="11"/>
      <c r="GU226" s="12"/>
      <c r="GV226" s="26"/>
      <c r="GW226" s="25"/>
      <c r="GX226" s="219"/>
      <c r="GY226" s="25"/>
      <c r="GZ226" s="25"/>
      <c r="HA226" s="25"/>
    </row>
    <row r="227" spans="14:209" x14ac:dyDescent="0.25">
      <c r="N227" s="25"/>
      <c r="FO227" s="263" t="s">
        <v>176</v>
      </c>
      <c r="FP227" s="250">
        <v>43922.849675925929</v>
      </c>
      <c r="FQ227" s="246">
        <v>43852</v>
      </c>
      <c r="FR227" s="26">
        <v>43852</v>
      </c>
      <c r="FS227" s="211">
        <v>4</v>
      </c>
      <c r="FT227" s="72">
        <v>0.22086046237004014</v>
      </c>
      <c r="FU227" s="74">
        <v>2.7200335546735049E-6</v>
      </c>
      <c r="FV227" s="74">
        <v>1564.3318847176652</v>
      </c>
      <c r="FW227" s="212">
        <v>81197.69772345724</v>
      </c>
      <c r="FX227" s="214">
        <v>1946.8700102123714</v>
      </c>
      <c r="FY227" s="214"/>
      <c r="FZ227" s="212">
        <v>1.3846513599130277E-4</v>
      </c>
      <c r="GA227" s="213">
        <v>2.7200335546735048E-3</v>
      </c>
      <c r="GB227" s="246">
        <v>43921</v>
      </c>
      <c r="GC227" s="26" t="s">
        <v>1496</v>
      </c>
      <c r="GD227" s="214">
        <v>81197.69772345724</v>
      </c>
      <c r="GE227" s="214">
        <v>82279</v>
      </c>
      <c r="GF227" s="73" t="s">
        <v>1431</v>
      </c>
      <c r="GG227" s="156">
        <v>43921</v>
      </c>
      <c r="GH227" s="25">
        <v>70</v>
      </c>
      <c r="GI227" s="25" t="s">
        <v>1558</v>
      </c>
      <c r="GJ227" s="62"/>
      <c r="GK227" s="62" t="s">
        <v>1433</v>
      </c>
      <c r="GM227" s="25" t="s">
        <v>1559</v>
      </c>
      <c r="GN227" s="165">
        <v>571.65039146827792</v>
      </c>
      <c r="GO227" s="156">
        <v>43912</v>
      </c>
      <c r="GP227" s="218">
        <v>-10</v>
      </c>
      <c r="GQ227" s="156"/>
      <c r="GR227" s="25"/>
      <c r="GS227" s="25"/>
      <c r="GT227" s="11"/>
      <c r="GU227" s="12"/>
      <c r="GV227" s="26"/>
      <c r="GW227" s="25"/>
      <c r="GX227" s="219"/>
      <c r="GY227" s="25"/>
      <c r="GZ227" s="25"/>
      <c r="HA227" s="25"/>
    </row>
    <row r="228" spans="14:209" x14ac:dyDescent="0.25">
      <c r="N228" s="25"/>
      <c r="FO228" s="263" t="s">
        <v>176</v>
      </c>
      <c r="FP228" s="250">
        <v>43923.637442129628</v>
      </c>
      <c r="FQ228" s="246">
        <v>43852</v>
      </c>
      <c r="FR228" s="26">
        <v>43852</v>
      </c>
      <c r="FS228" s="211">
        <v>4</v>
      </c>
      <c r="FT228" s="72">
        <v>0.22086046237004014</v>
      </c>
      <c r="FU228" s="74">
        <v>2.7191543730999233E-6</v>
      </c>
      <c r="FV228" s="74">
        <v>1564.3318847176652</v>
      </c>
      <c r="FW228" s="212">
        <v>81223.951297127758</v>
      </c>
      <c r="FX228" s="214">
        <v>1937.9303872174585</v>
      </c>
      <c r="FY228" s="212">
        <v>0.99538885199554139</v>
      </c>
      <c r="FZ228" s="212">
        <v>1.3846601517287634E-4</v>
      </c>
      <c r="GA228" s="213">
        <v>2.7191543730999235E-3</v>
      </c>
      <c r="GB228" s="246">
        <v>43922</v>
      </c>
      <c r="GC228" s="26" t="s">
        <v>1496</v>
      </c>
      <c r="GD228" s="214">
        <v>81223.951297127758</v>
      </c>
      <c r="GE228" s="214">
        <v>82361</v>
      </c>
      <c r="GF228" s="73" t="s">
        <v>1431</v>
      </c>
      <c r="GG228" s="156">
        <v>43922</v>
      </c>
      <c r="GH228" s="25">
        <v>71</v>
      </c>
      <c r="GI228" s="62" t="s">
        <v>1611</v>
      </c>
      <c r="GJ228" s="62"/>
      <c r="GK228" s="62" t="s">
        <v>1433</v>
      </c>
      <c r="GM228" s="25" t="s">
        <v>1612</v>
      </c>
      <c r="GN228" s="165">
        <v>572.22010344946875</v>
      </c>
      <c r="GO228" s="156">
        <v>43912</v>
      </c>
      <c r="GP228" s="218">
        <v>-11</v>
      </c>
      <c r="GQ228" s="156"/>
      <c r="GR228" s="25"/>
      <c r="GS228" s="25"/>
      <c r="GT228" s="11"/>
      <c r="GU228" s="12"/>
      <c r="GV228" s="26"/>
      <c r="GW228" s="25"/>
      <c r="GX228" s="219"/>
      <c r="GY228" s="25"/>
      <c r="GZ228" s="25"/>
    </row>
    <row r="229" spans="14:209" x14ac:dyDescent="0.25">
      <c r="N229" s="25"/>
      <c r="FO229" s="267" t="s">
        <v>176</v>
      </c>
      <c r="FP229" s="250">
        <v>43925.469259259262</v>
      </c>
      <c r="FQ229" s="246">
        <v>43852</v>
      </c>
      <c r="FR229" s="160">
        <v>43852</v>
      </c>
      <c r="FS229" s="211">
        <v>4</v>
      </c>
      <c r="FT229" s="72">
        <v>0.2208604623700402</v>
      </c>
      <c r="FU229" s="74">
        <v>2.7173387051977592E-6</v>
      </c>
      <c r="FV229" s="74">
        <v>1564.3318847176652</v>
      </c>
      <c r="FW229" s="212">
        <v>81278.223413067928</v>
      </c>
      <c r="FX229" s="212">
        <v>1921.8642739733159</v>
      </c>
      <c r="FY229" s="212">
        <v>0.99540852372309752</v>
      </c>
      <c r="FZ229" s="212">
        <v>1.3846783084077853E-4</v>
      </c>
      <c r="GA229" s="213">
        <v>2.7173387051977593E-3</v>
      </c>
      <c r="GB229" s="246">
        <v>43924</v>
      </c>
      <c r="GC229" s="160" t="s">
        <v>1670</v>
      </c>
      <c r="GD229" s="212">
        <v>81278.223413067928</v>
      </c>
      <c r="GE229" s="212">
        <v>82511</v>
      </c>
      <c r="GF229" s="74" t="s">
        <v>1671</v>
      </c>
      <c r="GG229" s="156">
        <v>43924</v>
      </c>
      <c r="GH229" s="25">
        <v>73</v>
      </c>
      <c r="GI229" s="21" t="s">
        <v>1672</v>
      </c>
      <c r="GJ229" s="161"/>
      <c r="GK229" s="161" t="s">
        <v>1673</v>
      </c>
      <c r="GL229" s="23"/>
      <c r="GM229" s="23" t="s">
        <v>1674</v>
      </c>
      <c r="GN229" s="165">
        <v>573.26225951262268</v>
      </c>
      <c r="GO229" s="156">
        <v>43912</v>
      </c>
      <c r="GP229" s="218">
        <v>-12</v>
      </c>
      <c r="GQ229" s="156"/>
      <c r="GR229" s="25"/>
      <c r="GS229" s="23"/>
      <c r="GT229" s="11"/>
      <c r="GU229" s="12"/>
      <c r="GV229" s="26"/>
      <c r="GW229" s="25"/>
      <c r="GX229" s="219"/>
      <c r="GY229" s="25"/>
      <c r="GZ229" s="25"/>
      <c r="HA229" s="25"/>
    </row>
    <row r="230" spans="14:209" x14ac:dyDescent="0.25">
      <c r="N230" s="25"/>
      <c r="FO230" s="265" t="s">
        <v>176</v>
      </c>
      <c r="FP230" s="250">
        <v>43925.97047453704</v>
      </c>
      <c r="FQ230" s="246">
        <v>43852</v>
      </c>
      <c r="FR230" s="26">
        <v>43852</v>
      </c>
      <c r="FS230" s="211">
        <v>4</v>
      </c>
      <c r="FT230" s="25">
        <v>0.2208604623700402</v>
      </c>
      <c r="FU230" s="22">
        <v>2.7173387051977592E-6</v>
      </c>
      <c r="FV230" s="24">
        <v>1564.3318847176652</v>
      </c>
      <c r="FW230" s="212">
        <v>81278.223413067928</v>
      </c>
      <c r="FX230" s="212">
        <v>1921.8642739733159</v>
      </c>
      <c r="FY230" s="212">
        <v>0.99540852372309752</v>
      </c>
      <c r="FZ230" s="212">
        <v>1.3846783084077853E-4</v>
      </c>
      <c r="GA230" s="213">
        <v>2.7173387051977593E-3</v>
      </c>
      <c r="GB230" s="246">
        <v>43924</v>
      </c>
      <c r="GC230" s="26" t="s">
        <v>1670</v>
      </c>
      <c r="GD230" s="214">
        <v>81278.223413067928</v>
      </c>
      <c r="GE230" s="212">
        <v>82511</v>
      </c>
      <c r="GF230" s="74" t="s">
        <v>1671</v>
      </c>
      <c r="GG230" s="156">
        <v>43924</v>
      </c>
      <c r="GH230" s="25">
        <v>73</v>
      </c>
      <c r="GI230" s="25" t="s">
        <v>1672</v>
      </c>
      <c r="GJ230" s="18"/>
      <c r="GK230" s="25" t="s">
        <v>1673</v>
      </c>
      <c r="GM230" s="18" t="s">
        <v>1674</v>
      </c>
      <c r="GN230" s="165">
        <v>573.26225951262268</v>
      </c>
      <c r="GO230" s="156">
        <v>43912</v>
      </c>
      <c r="GP230" s="218">
        <v>-13</v>
      </c>
      <c r="GQ230" s="156">
        <v>43912</v>
      </c>
      <c r="GR230" s="25">
        <v>-13</v>
      </c>
      <c r="GS230" s="25"/>
      <c r="GT230" s="11"/>
      <c r="GU230" s="12"/>
      <c r="GV230" s="26"/>
      <c r="GW230" s="25"/>
      <c r="GX230" s="219"/>
      <c r="GY230" s="25"/>
      <c r="GZ230" s="25"/>
      <c r="HA230" s="25"/>
    </row>
    <row r="231" spans="14:209" x14ac:dyDescent="0.25">
      <c r="N231" s="25"/>
      <c r="FO231" s="267" t="s">
        <v>176</v>
      </c>
      <c r="FP231" s="250">
        <v>43926.549675925926</v>
      </c>
      <c r="FQ231" s="246">
        <v>43852</v>
      </c>
      <c r="FR231" s="160">
        <v>43852</v>
      </c>
      <c r="FS231" s="211">
        <v>4</v>
      </c>
      <c r="FT231" s="72">
        <v>0.2208604623700402</v>
      </c>
      <c r="FU231" s="72">
        <v>2.7164584692379123E-6</v>
      </c>
      <c r="FV231" s="74">
        <v>1564.3318847176652</v>
      </c>
      <c r="FW231" s="212">
        <v>81304.560651722903</v>
      </c>
      <c r="FX231" s="212">
        <v>1914.3763272922524</v>
      </c>
      <c r="FY231" s="212">
        <v>0.99541565426384826</v>
      </c>
      <c r="FZ231" s="212">
        <v>1.3846871107673839E-4</v>
      </c>
      <c r="GA231" s="213">
        <v>2.7164584692379121E-3</v>
      </c>
      <c r="GB231" s="246">
        <v>43925</v>
      </c>
      <c r="GC231" s="160" t="s">
        <v>1670</v>
      </c>
      <c r="GD231" s="212">
        <v>81304.560651722903</v>
      </c>
      <c r="GE231" s="212">
        <v>82543</v>
      </c>
      <c r="GF231" s="74" t="s">
        <v>1671</v>
      </c>
      <c r="GG231" s="156">
        <v>43925</v>
      </c>
      <c r="GH231" s="25">
        <v>74</v>
      </c>
      <c r="GI231" s="23" t="s">
        <v>1672</v>
      </c>
      <c r="GJ231" s="21"/>
      <c r="GK231" s="161" t="s">
        <v>1673</v>
      </c>
      <c r="GL231" s="23"/>
      <c r="GM231" s="23" t="s">
        <v>1891</v>
      </c>
      <c r="GN231" s="165">
        <v>573.48458613942887</v>
      </c>
      <c r="GO231" s="156">
        <v>43912</v>
      </c>
      <c r="GP231" s="218">
        <v>-14</v>
      </c>
      <c r="GQ231" s="156">
        <v>43912</v>
      </c>
      <c r="GR231" s="23">
        <v>-14</v>
      </c>
      <c r="GS231" s="23"/>
      <c r="GT231" s="11"/>
      <c r="GU231" s="34"/>
      <c r="GV231" s="26"/>
      <c r="GW231" s="25"/>
      <c r="GX231" s="219"/>
      <c r="GY231" s="25"/>
      <c r="GZ231" s="25"/>
      <c r="HA231" s="25"/>
    </row>
    <row r="232" spans="14:209" x14ac:dyDescent="0.25">
      <c r="N232" s="25"/>
      <c r="FO232" s="267" t="s">
        <v>176</v>
      </c>
      <c r="FP232" s="250">
        <v>43927.804479166669</v>
      </c>
      <c r="FQ232" s="246">
        <v>43852</v>
      </c>
      <c r="FR232" s="160">
        <v>43852</v>
      </c>
      <c r="FS232" s="211">
        <v>4</v>
      </c>
      <c r="FT232" s="72">
        <v>0.2208604623700402</v>
      </c>
      <c r="FU232" s="72">
        <v>2.7155616262292171E-6</v>
      </c>
      <c r="FV232" s="74">
        <v>1564.3318847176652</v>
      </c>
      <c r="FW232" s="212">
        <v>81331.412344607073</v>
      </c>
      <c r="FX232" s="212">
        <v>1907.3446741548678</v>
      </c>
      <c r="FY232" s="212">
        <v>0.99542059809407513</v>
      </c>
      <c r="FZ232" s="212">
        <v>1.3846960791974707E-4</v>
      </c>
      <c r="GA232" s="213">
        <v>2.7155616262292169E-3</v>
      </c>
      <c r="GB232" s="246">
        <v>43926</v>
      </c>
      <c r="GC232" s="160" t="s">
        <v>1670</v>
      </c>
      <c r="GD232" s="212">
        <v>81331.412344607073</v>
      </c>
      <c r="GE232" s="212">
        <v>82602</v>
      </c>
      <c r="GF232" s="74" t="s">
        <v>1671</v>
      </c>
      <c r="GG232" s="156">
        <v>43926</v>
      </c>
      <c r="GH232" s="25">
        <v>75</v>
      </c>
      <c r="GI232" s="23" t="s">
        <v>1672</v>
      </c>
      <c r="GJ232" s="21"/>
      <c r="GK232" s="161" t="s">
        <v>1932</v>
      </c>
      <c r="GL232" s="23"/>
      <c r="GM232" s="23" t="s">
        <v>1933</v>
      </c>
      <c r="GN232" s="165">
        <v>573.89450085760279</v>
      </c>
      <c r="GO232" s="156">
        <v>43912</v>
      </c>
      <c r="GP232" s="218">
        <v>-15</v>
      </c>
      <c r="GQ232" s="243">
        <v>43912</v>
      </c>
      <c r="GR232" s="23">
        <v>-15</v>
      </c>
      <c r="GS232" s="23"/>
      <c r="GT232" s="11"/>
      <c r="GU232" s="34"/>
      <c r="GV232" s="26"/>
      <c r="GW232" s="25"/>
      <c r="GX232" s="219"/>
      <c r="GY232" s="25"/>
      <c r="GZ232" s="25"/>
      <c r="HA232" s="25"/>
    </row>
    <row r="233" spans="14:209" x14ac:dyDescent="0.25">
      <c r="N233" s="25"/>
      <c r="FO233" s="263" t="s">
        <v>176</v>
      </c>
      <c r="FP233" s="250">
        <v>43928.74927083333</v>
      </c>
      <c r="FQ233" s="246">
        <v>43852</v>
      </c>
      <c r="FR233" s="26">
        <v>43852</v>
      </c>
      <c r="FS233" s="211">
        <v>4</v>
      </c>
      <c r="FT233" s="72">
        <v>0.2208604623700402</v>
      </c>
      <c r="FU233" s="72">
        <v>2.7146590903979683E-6</v>
      </c>
      <c r="FV233" s="74">
        <v>1564.3318847176652</v>
      </c>
      <c r="FW233" s="212">
        <v>81358.452393247702</v>
      </c>
      <c r="FX233" s="214">
        <v>1900.7975298779611</v>
      </c>
      <c r="FY233" s="214">
        <v>0.99542324107353097</v>
      </c>
      <c r="FZ233" s="212">
        <v>1.3847051045557833E-4</v>
      </c>
      <c r="GA233" s="216">
        <v>2.7146590903979685E-3</v>
      </c>
      <c r="GB233" s="246">
        <v>43927</v>
      </c>
      <c r="GC233" s="26" t="s">
        <v>1979</v>
      </c>
      <c r="GD233" s="214">
        <v>81358.452393247702</v>
      </c>
      <c r="GE233" s="214">
        <v>82665</v>
      </c>
      <c r="GF233" s="73" t="s">
        <v>1671</v>
      </c>
      <c r="GG233" s="156">
        <v>43927</v>
      </c>
      <c r="GH233" s="25">
        <v>76</v>
      </c>
      <c r="GI233" s="25" t="s">
        <v>1980</v>
      </c>
      <c r="GK233" s="62" t="s">
        <v>1932</v>
      </c>
      <c r="GM233" s="25" t="s">
        <v>1981</v>
      </c>
      <c r="GN233" s="165">
        <v>574.33220640412742</v>
      </c>
      <c r="GO233" s="156">
        <v>43912</v>
      </c>
      <c r="GP233" s="218">
        <v>-16</v>
      </c>
      <c r="GQ233" s="156">
        <v>43912</v>
      </c>
      <c r="GR233" s="25">
        <v>-16</v>
      </c>
      <c r="GS233" s="25"/>
      <c r="GT233" s="11">
        <v>2810.245407927302</v>
      </c>
      <c r="GU233" s="12">
        <v>3.3095785134161004</v>
      </c>
      <c r="GV233" s="26">
        <v>43852</v>
      </c>
      <c r="GW233" s="25" t="s">
        <v>1978</v>
      </c>
      <c r="GX233" s="219">
        <v>-1306.7605378295411</v>
      </c>
      <c r="GY233" s="25" t="s">
        <v>176</v>
      </c>
      <c r="GZ233" s="25"/>
      <c r="HA233" s="25"/>
    </row>
    <row r="234" spans="14:209" x14ac:dyDescent="0.25">
      <c r="N234" s="25"/>
      <c r="FO234" s="267" t="s">
        <v>176</v>
      </c>
      <c r="FP234" s="251">
        <v>43930.811018518521</v>
      </c>
      <c r="FQ234" s="246">
        <v>43852</v>
      </c>
      <c r="FR234" s="160">
        <v>43852</v>
      </c>
      <c r="FS234" s="211">
        <v>4</v>
      </c>
      <c r="FT234" s="72">
        <v>0.2208604623700402</v>
      </c>
      <c r="FU234" s="72">
        <v>2.712817073897027E-6</v>
      </c>
      <c r="FV234" s="74">
        <v>1564.3318847176652</v>
      </c>
      <c r="FW234" s="212">
        <v>81413.695193523992</v>
      </c>
      <c r="FX234" s="212">
        <v>1889.206947881122</v>
      </c>
      <c r="FY234" s="212">
        <v>0.99542141463300249</v>
      </c>
      <c r="FZ234" s="212">
        <v>1.3847235247207927E-4</v>
      </c>
      <c r="GA234" s="216">
        <v>2.7128170738970271E-3</v>
      </c>
      <c r="GB234" s="246">
        <v>43929</v>
      </c>
      <c r="GC234" s="160" t="s">
        <v>1979</v>
      </c>
      <c r="GD234" s="212">
        <v>81413.695193523992</v>
      </c>
      <c r="GE234" s="212">
        <v>82809</v>
      </c>
      <c r="GF234" s="74" t="s">
        <v>2032</v>
      </c>
      <c r="GG234" s="156">
        <v>43929</v>
      </c>
      <c r="GH234" s="25">
        <v>78</v>
      </c>
      <c r="GI234" s="23" t="s">
        <v>2033</v>
      </c>
      <c r="GJ234" s="21"/>
      <c r="GK234" s="161" t="s">
        <v>2034</v>
      </c>
      <c r="GL234" s="23"/>
      <c r="GM234" s="23" t="s">
        <v>2035</v>
      </c>
      <c r="GN234" s="23">
        <v>575.33267622475512</v>
      </c>
      <c r="GO234" s="243">
        <v>43912</v>
      </c>
      <c r="GP234" s="218">
        <v>-18</v>
      </c>
      <c r="GQ234" s="243">
        <v>43912</v>
      </c>
      <c r="GR234" s="23">
        <v>-18</v>
      </c>
      <c r="GS234" s="23"/>
      <c r="GT234" s="11">
        <v>2806.5119453888437</v>
      </c>
      <c r="GU234" s="34">
        <v>3.2836774720980713</v>
      </c>
      <c r="GV234" s="160">
        <v>43862</v>
      </c>
      <c r="GW234" s="23" t="s">
        <v>2031</v>
      </c>
      <c r="GX234" s="220">
        <v>-1395.4418939738971</v>
      </c>
      <c r="GY234" s="23" t="s">
        <v>176</v>
      </c>
      <c r="GZ234" s="23"/>
      <c r="HA234" s="25"/>
    </row>
    <row r="235" spans="14:209" x14ac:dyDescent="0.25">
      <c r="N235" s="25"/>
      <c r="FO235" s="267" t="s">
        <v>176</v>
      </c>
      <c r="FP235" s="251">
        <v>43931.867326388892</v>
      </c>
      <c r="FQ235" s="246">
        <v>43852</v>
      </c>
      <c r="FR235" s="160">
        <v>43852</v>
      </c>
      <c r="FS235" s="211">
        <v>4</v>
      </c>
      <c r="FT235" s="72">
        <v>0.2208604623700402</v>
      </c>
      <c r="FU235" s="72">
        <v>2.7118973989886462E-6</v>
      </c>
      <c r="FV235" s="74">
        <v>1564.3318847176652</v>
      </c>
      <c r="FW235" s="212">
        <v>81441.304694051549</v>
      </c>
      <c r="FX235" s="212">
        <v>1884.3438960754179</v>
      </c>
      <c r="FY235" s="212">
        <v>0.99541612182888106</v>
      </c>
      <c r="FZ235" s="212">
        <v>1.3847327214698766E-4</v>
      </c>
      <c r="GA235" s="216">
        <v>2.7118973989886464E-3</v>
      </c>
      <c r="GB235" s="246">
        <v>43930</v>
      </c>
      <c r="GC235" s="160" t="s">
        <v>1979</v>
      </c>
      <c r="GD235" s="212">
        <v>81441.304694051549</v>
      </c>
      <c r="GE235" s="212">
        <v>82883</v>
      </c>
      <c r="GF235" s="74" t="s">
        <v>2032</v>
      </c>
      <c r="GG235" s="243">
        <v>43930</v>
      </c>
      <c r="GH235" s="160">
        <v>79</v>
      </c>
      <c r="GI235" s="23" t="s">
        <v>2094</v>
      </c>
      <c r="GJ235" s="21"/>
      <c r="GK235" s="161" t="s">
        <v>2034</v>
      </c>
      <c r="GL235" s="23"/>
      <c r="GM235" s="23" t="s">
        <v>2095</v>
      </c>
      <c r="GN235" s="23">
        <v>575.84680654924443</v>
      </c>
      <c r="GO235" s="243">
        <v>44103</v>
      </c>
      <c r="GP235" s="218">
        <v>172</v>
      </c>
      <c r="GQ235" s="243">
        <v>44103</v>
      </c>
      <c r="GR235" s="23">
        <v>172</v>
      </c>
      <c r="GS235" s="23"/>
      <c r="GT235" s="11">
        <v>81441.259226315116</v>
      </c>
      <c r="GU235" s="34">
        <v>3.2723006790075431</v>
      </c>
      <c r="GV235" s="160">
        <v>43862</v>
      </c>
      <c r="GW235" s="23" t="s">
        <v>2031</v>
      </c>
      <c r="GX235" s="220">
        <v>-1441.8053019529179</v>
      </c>
      <c r="GY235" s="23" t="s">
        <v>176</v>
      </c>
      <c r="GZ235" s="23"/>
      <c r="HA235" s="25"/>
    </row>
    <row r="236" spans="14:209" x14ac:dyDescent="0.25">
      <c r="N236" s="25"/>
      <c r="FO236" s="267" t="s">
        <v>176</v>
      </c>
      <c r="FP236" s="251">
        <v>43933.907743055555</v>
      </c>
      <c r="FQ236" s="247">
        <v>43852</v>
      </c>
      <c r="FR236" s="160">
        <v>43852</v>
      </c>
      <c r="FS236" s="211">
        <v>4</v>
      </c>
      <c r="FT236" s="72">
        <v>0.2208604623700402</v>
      </c>
      <c r="FU236" s="72">
        <v>2.7099960465855837E-6</v>
      </c>
      <c r="FV236" s="74">
        <v>1564.3318847176652</v>
      </c>
      <c r="FW236" s="212">
        <v>81498.44448972898</v>
      </c>
      <c r="FX236" s="212">
        <v>1875.9645438465202</v>
      </c>
      <c r="FY236" s="212">
        <v>0.99539908200669025</v>
      </c>
      <c r="FZ236" s="212">
        <v>1.3847517349939071E-4</v>
      </c>
      <c r="GA236" s="216">
        <v>2.7099960465855836E-3</v>
      </c>
      <c r="GB236" s="246">
        <v>43932</v>
      </c>
      <c r="GC236" s="160" t="s">
        <v>2229</v>
      </c>
      <c r="GD236" s="212">
        <v>81498.44448972898</v>
      </c>
      <c r="GE236" s="212">
        <v>83014</v>
      </c>
      <c r="GF236" s="74" t="s">
        <v>2032</v>
      </c>
      <c r="GG236" s="243">
        <v>43932</v>
      </c>
      <c r="GH236" s="160">
        <v>81</v>
      </c>
      <c r="GI236" s="23" t="s">
        <v>2230</v>
      </c>
      <c r="GJ236" s="21"/>
      <c r="GK236" s="161" t="s">
        <v>2034</v>
      </c>
      <c r="GL236" s="23"/>
      <c r="GM236" s="23" t="s">
        <v>2231</v>
      </c>
      <c r="GN236" s="23">
        <v>576.75695617773215</v>
      </c>
      <c r="GO236" s="243">
        <v>43912</v>
      </c>
      <c r="GP236" s="218">
        <v>-21</v>
      </c>
      <c r="GQ236" s="243">
        <v>44079</v>
      </c>
      <c r="GR236" s="23">
        <v>146</v>
      </c>
      <c r="GS236" s="23"/>
      <c r="GT236" s="11">
        <v>81498.425668641517</v>
      </c>
      <c r="GU236" s="34">
        <v>3.2526084406139821</v>
      </c>
      <c r="GV236" s="160">
        <v>43862</v>
      </c>
      <c r="GW236" s="23" t="s">
        <v>2031</v>
      </c>
      <c r="GX236" s="220">
        <v>-1515.6263301722356</v>
      </c>
      <c r="GY236" s="23" t="s">
        <v>176</v>
      </c>
      <c r="GZ236" s="23"/>
      <c r="HA236" s="25"/>
    </row>
    <row r="237" spans="14:209" x14ac:dyDescent="0.25">
      <c r="N237" s="25"/>
      <c r="FO237" s="267" t="s">
        <v>176</v>
      </c>
      <c r="FP237" s="251">
        <v>43933.916990740741</v>
      </c>
      <c r="FQ237" s="247">
        <v>43852</v>
      </c>
      <c r="FR237" s="160">
        <v>43852</v>
      </c>
      <c r="FS237" s="211">
        <v>4</v>
      </c>
      <c r="FT237" s="72">
        <v>0.2208604623700402</v>
      </c>
      <c r="FU237" s="72">
        <v>2.7099960465855837E-6</v>
      </c>
      <c r="FV237" s="74">
        <v>1564.3318847176652</v>
      </c>
      <c r="FW237" s="212">
        <v>81498.44448972898</v>
      </c>
      <c r="FX237" s="212">
        <v>1875.9645438465202</v>
      </c>
      <c r="FY237" s="212">
        <v>0.99539908200669025</v>
      </c>
      <c r="FZ237" s="212">
        <v>1.3847517349939071E-4</v>
      </c>
      <c r="GA237" s="216">
        <v>2.7099960465855836E-3</v>
      </c>
      <c r="GB237" s="246">
        <v>43932</v>
      </c>
      <c r="GC237" s="160" t="s">
        <v>2229</v>
      </c>
      <c r="GD237" s="212">
        <v>81498.44448972898</v>
      </c>
      <c r="GE237" s="212">
        <v>83014</v>
      </c>
      <c r="GF237" s="74" t="s">
        <v>2032</v>
      </c>
      <c r="GG237" s="243">
        <v>43932</v>
      </c>
      <c r="GH237" s="160">
        <v>81</v>
      </c>
      <c r="GI237" s="23" t="s">
        <v>2273</v>
      </c>
      <c r="GJ237" s="21"/>
      <c r="GK237" s="161" t="s">
        <v>2034</v>
      </c>
      <c r="GL237" s="23"/>
      <c r="GM237" s="23" t="s">
        <v>2274</v>
      </c>
      <c r="GN237" s="23">
        <v>576.75695617773215</v>
      </c>
      <c r="GO237" s="243">
        <v>43912</v>
      </c>
      <c r="GP237" s="218">
        <v>-21</v>
      </c>
      <c r="GQ237" s="243">
        <v>44079</v>
      </c>
      <c r="GR237" s="23">
        <v>146</v>
      </c>
      <c r="GS237" s="23"/>
      <c r="GT237" s="11">
        <v>81498.425668641517</v>
      </c>
      <c r="GU237" s="34">
        <v>3.2526084406139821</v>
      </c>
      <c r="GV237" s="160">
        <v>43862</v>
      </c>
      <c r="GW237" s="23" t="s">
        <v>2031</v>
      </c>
      <c r="GX237" s="220">
        <v>-1515.6263301722356</v>
      </c>
      <c r="GY237" s="23" t="s">
        <v>176</v>
      </c>
      <c r="GZ237" s="23"/>
      <c r="HA237" s="25"/>
    </row>
    <row r="238" spans="14:209" x14ac:dyDescent="0.25">
      <c r="N238" s="25"/>
      <c r="FO238" s="267" t="s">
        <v>176</v>
      </c>
      <c r="FP238" s="251">
        <v>43933.92150462963</v>
      </c>
      <c r="FQ238" s="247">
        <v>43852</v>
      </c>
      <c r="FR238" s="160">
        <v>43852</v>
      </c>
      <c r="FS238" s="211">
        <v>4</v>
      </c>
      <c r="FT238" s="72">
        <v>0.2208604623700402</v>
      </c>
      <c r="FU238" s="72">
        <v>2.7099960465855837E-6</v>
      </c>
      <c r="FV238" s="74">
        <v>1564.3318847176652</v>
      </c>
      <c r="FW238" s="212">
        <v>81498.44448972898</v>
      </c>
      <c r="FX238" s="212">
        <v>1875.9645438465202</v>
      </c>
      <c r="FY238" s="212">
        <v>0.99539908200669025</v>
      </c>
      <c r="FZ238" s="212">
        <v>1.3847517349939071E-4</v>
      </c>
      <c r="GA238" s="216">
        <v>2.7099960465855836E-3</v>
      </c>
      <c r="GB238" s="246">
        <v>43932</v>
      </c>
      <c r="GC238" s="160" t="s">
        <v>2229</v>
      </c>
      <c r="GD238" s="212">
        <v>81498.44448972898</v>
      </c>
      <c r="GE238" s="212">
        <v>83014</v>
      </c>
      <c r="GF238" s="74" t="s">
        <v>2032</v>
      </c>
      <c r="GG238" s="243">
        <v>43932</v>
      </c>
      <c r="GH238" s="160">
        <v>81</v>
      </c>
      <c r="GI238" s="23" t="s">
        <v>2230</v>
      </c>
      <c r="GJ238" s="21"/>
      <c r="GK238" s="161" t="s">
        <v>2034</v>
      </c>
      <c r="GL238" s="23"/>
      <c r="GM238" s="23" t="s">
        <v>2231</v>
      </c>
      <c r="GN238" s="23">
        <v>576.75695617773215</v>
      </c>
      <c r="GO238" s="243">
        <v>43912</v>
      </c>
      <c r="GP238" s="218">
        <v>-21</v>
      </c>
      <c r="GQ238" s="243">
        <v>44079</v>
      </c>
      <c r="GR238" s="23">
        <v>146</v>
      </c>
      <c r="GS238" s="23"/>
      <c r="GT238" s="11">
        <v>81498.425668641517</v>
      </c>
      <c r="GU238" s="34">
        <v>3.2526084406139821</v>
      </c>
      <c r="GV238" s="160">
        <v>43862</v>
      </c>
      <c r="GW238" s="23" t="s">
        <v>2031</v>
      </c>
      <c r="GX238" s="220">
        <v>-1515.6263301722356</v>
      </c>
      <c r="GY238" s="23" t="s">
        <v>176</v>
      </c>
      <c r="GZ238" s="23"/>
      <c r="HA238" s="25"/>
    </row>
    <row r="239" spans="14:209" x14ac:dyDescent="0.25">
      <c r="N239" s="25"/>
      <c r="FO239" s="263" t="s">
        <v>176</v>
      </c>
      <c r="FP239" s="252">
        <v>43934.704444444447</v>
      </c>
      <c r="FQ239" s="247">
        <v>43852</v>
      </c>
      <c r="FR239" s="160">
        <v>43852</v>
      </c>
      <c r="FS239" s="211">
        <v>4</v>
      </c>
      <c r="FT239" s="72">
        <v>0.2208604623700402</v>
      </c>
      <c r="FU239" s="72">
        <v>2.7090318540136757E-6</v>
      </c>
      <c r="FV239" s="74">
        <v>1564.3318847176652</v>
      </c>
      <c r="FW239" s="212">
        <v>81527.451234216918</v>
      </c>
      <c r="FX239" s="214">
        <v>1873.0678285310858</v>
      </c>
      <c r="FY239" s="214">
        <v>0.99538443547724742</v>
      </c>
      <c r="FZ239" s="212">
        <v>1.3847613769196263E-4</v>
      </c>
      <c r="GA239" s="216">
        <v>2.7090318540136755E-3</v>
      </c>
      <c r="GB239" s="246">
        <v>43933</v>
      </c>
      <c r="GC239" s="26" t="s">
        <v>2229</v>
      </c>
      <c r="GD239" s="214">
        <v>81527.451234216918</v>
      </c>
      <c r="GE239" s="214">
        <v>83134</v>
      </c>
      <c r="GF239" s="73" t="s">
        <v>2032</v>
      </c>
      <c r="GG239" s="156">
        <v>43933</v>
      </c>
      <c r="GH239" s="26">
        <v>82</v>
      </c>
      <c r="GI239" s="25" t="s">
        <v>2230</v>
      </c>
      <c r="GK239" s="62" t="s">
        <v>2034</v>
      </c>
      <c r="GM239" s="25" t="s">
        <v>2326</v>
      </c>
      <c r="GN239" s="25">
        <v>577.59068102825529</v>
      </c>
      <c r="GO239" s="156">
        <v>43912</v>
      </c>
      <c r="GP239" s="218">
        <v>-22</v>
      </c>
      <c r="GQ239" s="156">
        <v>44079</v>
      </c>
      <c r="GR239" s="25">
        <v>145</v>
      </c>
      <c r="GS239" s="25"/>
      <c r="GT239" s="11">
        <v>81527.432399598387</v>
      </c>
      <c r="GU239" s="12">
        <v>3.2428982842946121</v>
      </c>
      <c r="GV239" s="26">
        <v>43862</v>
      </c>
      <c r="GW239" s="25" t="s">
        <v>2031</v>
      </c>
      <c r="GX239" s="219">
        <v>-1606.6055920368526</v>
      </c>
      <c r="GY239" s="25" t="s">
        <v>176</v>
      </c>
      <c r="GZ239" s="25" t="s">
        <v>176</v>
      </c>
      <c r="HA239" s="25"/>
    </row>
    <row r="240" spans="14:209" x14ac:dyDescent="0.25">
      <c r="N240" s="25"/>
      <c r="FO240" s="263" t="s">
        <v>176</v>
      </c>
      <c r="FP240" s="252">
        <v>43934.880266203705</v>
      </c>
      <c r="FQ240" s="247">
        <v>43852</v>
      </c>
      <c r="FR240" s="160">
        <v>43852</v>
      </c>
      <c r="FS240" s="211">
        <v>4</v>
      </c>
      <c r="FT240" s="72">
        <v>0.2208604623700402</v>
      </c>
      <c r="FU240" s="72">
        <v>2.7090318540136757E-6</v>
      </c>
      <c r="FV240" s="74">
        <v>1564.3318847176652</v>
      </c>
      <c r="FW240" s="212">
        <v>81527.451234216918</v>
      </c>
      <c r="FX240" s="214">
        <v>1873.0678285310858</v>
      </c>
      <c r="FY240" s="214">
        <v>0.99538443547724742</v>
      </c>
      <c r="FZ240" s="212">
        <v>1.3847613769196263E-4</v>
      </c>
      <c r="GA240" s="216">
        <v>2.7090318540136755E-3</v>
      </c>
      <c r="GB240" s="246">
        <v>43933</v>
      </c>
      <c r="GC240" s="26" t="s">
        <v>2229</v>
      </c>
      <c r="GD240" s="214">
        <v>81527.451234216918</v>
      </c>
      <c r="GE240" s="214">
        <v>83134</v>
      </c>
      <c r="GF240" s="73" t="s">
        <v>2032</v>
      </c>
      <c r="GG240" s="156">
        <v>43933</v>
      </c>
      <c r="GH240" s="26">
        <v>82</v>
      </c>
      <c r="GI240" s="25" t="s">
        <v>2230</v>
      </c>
      <c r="GK240" s="62" t="s">
        <v>2034</v>
      </c>
      <c r="GM240" s="25" t="s">
        <v>2326</v>
      </c>
      <c r="GN240" s="25">
        <v>577.59068102825529</v>
      </c>
      <c r="GO240" s="156">
        <v>43912</v>
      </c>
      <c r="GP240" s="218">
        <v>-22</v>
      </c>
      <c r="GQ240" s="156">
        <v>43912</v>
      </c>
      <c r="GR240" s="25">
        <v>-22</v>
      </c>
      <c r="GS240" s="25"/>
      <c r="GT240" s="11">
        <v>81527.436132081217</v>
      </c>
      <c r="GU240" s="12">
        <v>3.2428982842946121</v>
      </c>
      <c r="GV240" s="26">
        <v>43862</v>
      </c>
      <c r="GW240" s="25" t="s">
        <v>2031</v>
      </c>
      <c r="GX240" s="219">
        <v>-1606.6055920368526</v>
      </c>
      <c r="GY240" s="25" t="s">
        <v>176</v>
      </c>
      <c r="GZ240" s="25" t="s">
        <v>176</v>
      </c>
      <c r="HA240" s="25"/>
    </row>
    <row r="241" spans="14:209" x14ac:dyDescent="0.25">
      <c r="N241" s="25"/>
      <c r="FO241" s="263" t="s">
        <v>176</v>
      </c>
      <c r="FP241" s="250">
        <v>43935.629861111112</v>
      </c>
      <c r="FQ241" s="246">
        <v>43852</v>
      </c>
      <c r="FR241" s="26">
        <v>43852</v>
      </c>
      <c r="FS241" s="211">
        <v>4</v>
      </c>
      <c r="FT241" s="44">
        <v>0.2208604623700402</v>
      </c>
      <c r="FU241" s="71">
        <v>2.7090318540136757E-6</v>
      </c>
      <c r="FV241" s="73">
        <v>1564.3318847176652</v>
      </c>
      <c r="FW241" s="212">
        <v>81527.451234216918</v>
      </c>
      <c r="FX241" s="212">
        <v>1873.0678285310858</v>
      </c>
      <c r="FY241" s="227">
        <v>0.99538443547724742</v>
      </c>
      <c r="FZ241" s="212">
        <v>1.3847613769196263E-4</v>
      </c>
      <c r="GA241" s="216">
        <v>2.7090318540136755E-3</v>
      </c>
      <c r="GB241" s="246">
        <v>43933</v>
      </c>
      <c r="GC241" s="26" t="s">
        <v>2229</v>
      </c>
      <c r="GD241" s="214">
        <v>81527.451234216918</v>
      </c>
      <c r="GE241" s="214">
        <v>83134</v>
      </c>
      <c r="GF241" s="73" t="s">
        <v>2032</v>
      </c>
      <c r="GG241" s="156">
        <v>43933</v>
      </c>
      <c r="GH241" s="26">
        <v>82</v>
      </c>
      <c r="GI241" s="26" t="s">
        <v>2230</v>
      </c>
      <c r="GJ241" s="25"/>
      <c r="GK241" s="62" t="s">
        <v>2034</v>
      </c>
      <c r="GM241" s="18" t="s">
        <v>2326</v>
      </c>
      <c r="GN241" s="11">
        <v>577.59068102825529</v>
      </c>
      <c r="GO241" s="156">
        <v>43912</v>
      </c>
      <c r="GP241" s="218">
        <v>-22</v>
      </c>
      <c r="GQ241" s="156">
        <v>43912</v>
      </c>
      <c r="GR241" s="11">
        <v>-131</v>
      </c>
      <c r="GS241" s="25"/>
      <c r="GT241" s="11">
        <v>81527.436132081217</v>
      </c>
      <c r="GU241" s="12">
        <v>3.2428982842946121</v>
      </c>
      <c r="GV241" s="240">
        <v>43863</v>
      </c>
      <c r="GW241" s="162" t="s">
        <v>2392</v>
      </c>
      <c r="GX241" s="231">
        <v>-1606.6055920368526</v>
      </c>
      <c r="GY241" s="25" t="s">
        <v>176</v>
      </c>
      <c r="GZ241" s="25" t="s">
        <v>176</v>
      </c>
      <c r="HA241" s="25"/>
    </row>
    <row r="242" spans="14:209" x14ac:dyDescent="0.25">
      <c r="N242" s="25"/>
      <c r="FO242" s="263" t="s">
        <v>176</v>
      </c>
      <c r="FP242" s="250">
        <v>43938.512627314813</v>
      </c>
      <c r="FQ242" s="246">
        <v>43852</v>
      </c>
      <c r="FR242" s="26">
        <v>43852</v>
      </c>
      <c r="FS242" s="211">
        <v>4</v>
      </c>
      <c r="FT242" s="44">
        <v>0.22086046237004031</v>
      </c>
      <c r="FU242" s="71">
        <v>2.7049501835527603E-6</v>
      </c>
      <c r="FV242" s="73">
        <v>1564.3318847176649</v>
      </c>
      <c r="FW242" s="212">
        <v>81650.473163226896</v>
      </c>
      <c r="FX242" s="212">
        <v>1866.7453355471075</v>
      </c>
      <c r="FY242" s="227">
        <v>0.99529983483318318</v>
      </c>
      <c r="FZ242" s="212">
        <v>1.3848021936242361E-4</v>
      </c>
      <c r="GA242" s="216">
        <v>2.7049501835527605E-3</v>
      </c>
      <c r="GB242" s="246">
        <v>43937</v>
      </c>
      <c r="GC242" s="26" t="s">
        <v>2451</v>
      </c>
      <c r="GD242" s="214">
        <v>81650.473163226896</v>
      </c>
      <c r="GE242" s="214">
        <v>83403</v>
      </c>
      <c r="GF242" s="73" t="s">
        <v>2452</v>
      </c>
      <c r="GG242" s="156">
        <v>43937</v>
      </c>
      <c r="GH242" s="26">
        <v>86</v>
      </c>
      <c r="GI242" s="26" t="s">
        <v>2453</v>
      </c>
      <c r="GJ242" s="25"/>
      <c r="GK242" s="62" t="s">
        <v>2454</v>
      </c>
      <c r="GM242" s="18" t="s">
        <v>2455</v>
      </c>
      <c r="GN242" s="11">
        <v>579.45961423484471</v>
      </c>
      <c r="GO242" s="156">
        <v>43912</v>
      </c>
      <c r="GP242" s="218">
        <v>-26</v>
      </c>
      <c r="GQ242" s="156">
        <v>43912</v>
      </c>
      <c r="GR242" s="11">
        <v>-131</v>
      </c>
      <c r="GS242" s="25"/>
      <c r="GT242" s="11">
        <v>81650.466901603009</v>
      </c>
      <c r="GU242" s="12">
        <v>3.221527936872834</v>
      </c>
      <c r="GV242" s="240">
        <v>43863</v>
      </c>
      <c r="GW242" s="162" t="s">
        <v>2392</v>
      </c>
      <c r="GX242" s="231">
        <v>-1752.5503979926143</v>
      </c>
      <c r="GY242" s="25" t="s">
        <v>176</v>
      </c>
      <c r="GZ242" s="25" t="s">
        <v>176</v>
      </c>
      <c r="HA242" s="25" t="s">
        <v>2455</v>
      </c>
    </row>
    <row r="243" spans="14:209" x14ac:dyDescent="0.25">
      <c r="N243" s="25"/>
      <c r="FO243" s="263" t="s">
        <v>176</v>
      </c>
      <c r="FP243" s="250">
        <v>43939.897893518515</v>
      </c>
      <c r="FQ243" s="246">
        <v>43852</v>
      </c>
      <c r="FR243" s="26">
        <v>43852</v>
      </c>
      <c r="FS243" s="211">
        <v>4</v>
      </c>
      <c r="FT243" s="44">
        <v>0.22086046237004028</v>
      </c>
      <c r="FU243" s="71">
        <v>2.7038619012437336E-6</v>
      </c>
      <c r="FV243" s="73">
        <v>1564.3318847176649</v>
      </c>
      <c r="FW243" s="212">
        <v>81683.33681111745</v>
      </c>
      <c r="FX243" s="212">
        <v>1869.5151419802796</v>
      </c>
      <c r="FY243" s="227">
        <v>0.99525733746304279</v>
      </c>
      <c r="FZ243" s="214">
        <v>1.3848130764473264E-4</v>
      </c>
      <c r="GA243" s="216">
        <v>2.7038619012437334E-3</v>
      </c>
      <c r="GB243" s="246">
        <v>43938</v>
      </c>
      <c r="GC243" s="26" t="s">
        <v>2451</v>
      </c>
      <c r="GD243" s="214">
        <v>81683.33681111745</v>
      </c>
      <c r="GE243" s="214">
        <v>83760</v>
      </c>
      <c r="GF243" s="73" t="s">
        <v>2903</v>
      </c>
      <c r="GG243" s="156">
        <v>43938</v>
      </c>
      <c r="GH243" s="26">
        <v>87</v>
      </c>
      <c r="GI243" s="26" t="s">
        <v>2904</v>
      </c>
      <c r="GJ243" s="25"/>
      <c r="GK243" s="62" t="s">
        <v>2905</v>
      </c>
      <c r="GM243" s="18" t="s">
        <v>2906</v>
      </c>
      <c r="GN243" s="11">
        <v>581.93994566515107</v>
      </c>
      <c r="GO243" s="156">
        <v>43912</v>
      </c>
      <c r="GP243" s="218">
        <v>-27</v>
      </c>
      <c r="GQ243" s="156">
        <v>43912</v>
      </c>
      <c r="GR243" s="11">
        <v>-131</v>
      </c>
      <c r="GS243" s="25"/>
      <c r="GT243" s="11">
        <v>81683.330544402808</v>
      </c>
      <c r="GU243" s="12">
        <v>3.2125568212084907</v>
      </c>
      <c r="GV243" s="240">
        <v>43863</v>
      </c>
      <c r="GW243" s="162" t="s">
        <v>2392</v>
      </c>
      <c r="GX243" s="231">
        <v>-2076.6820963017235</v>
      </c>
      <c r="GY243" s="25" t="s">
        <v>176</v>
      </c>
      <c r="GZ243" s="25" t="s">
        <v>176</v>
      </c>
      <c r="HA243" s="25" t="s">
        <v>2906</v>
      </c>
    </row>
    <row r="244" spans="14:209" x14ac:dyDescent="0.25">
      <c r="N244" s="25"/>
      <c r="FO244" s="263" t="s">
        <v>176</v>
      </c>
      <c r="FP244" s="250">
        <v>43942.945370370369</v>
      </c>
      <c r="FQ244" s="246">
        <v>43852</v>
      </c>
      <c r="FR244" s="26">
        <v>43852</v>
      </c>
      <c r="FS244" s="211">
        <v>4</v>
      </c>
      <c r="FT244" s="44">
        <v>0.22086046237004034</v>
      </c>
      <c r="FU244" s="71">
        <v>2.7004793715209986E-6</v>
      </c>
      <c r="FV244" s="73">
        <v>1564.3318847176647</v>
      </c>
      <c r="FW244" s="212">
        <v>81785.650614188722</v>
      </c>
      <c r="FX244" s="212">
        <v>1876.5023437012208</v>
      </c>
      <c r="FY244" s="227">
        <v>0.99513422159951503</v>
      </c>
      <c r="FZ244" s="214">
        <v>1.3848469017445543E-4</v>
      </c>
      <c r="GA244" s="216">
        <v>2.7004793715209984E-3</v>
      </c>
      <c r="GB244" s="246">
        <v>43941</v>
      </c>
      <c r="GC244" s="26" t="s">
        <v>3346</v>
      </c>
      <c r="GD244" s="214">
        <v>81785.650614188475</v>
      </c>
      <c r="GE244" s="214">
        <v>83817</v>
      </c>
      <c r="GF244" s="73" t="s">
        <v>2903</v>
      </c>
      <c r="GG244" s="156">
        <v>43941</v>
      </c>
      <c r="GH244" s="26">
        <v>90</v>
      </c>
      <c r="GI244" s="26" t="s">
        <v>3347</v>
      </c>
      <c r="GJ244" s="25"/>
      <c r="GK244" s="62" t="s">
        <v>3345</v>
      </c>
      <c r="GM244" s="18" t="s">
        <v>3348</v>
      </c>
      <c r="GN244" s="11">
        <v>582.33596496914959</v>
      </c>
      <c r="GO244" s="156">
        <v>43912</v>
      </c>
      <c r="GP244" s="218">
        <v>-30</v>
      </c>
      <c r="GQ244" s="156">
        <v>43912</v>
      </c>
      <c r="GR244" s="11">
        <v>-31</v>
      </c>
      <c r="GS244" s="25"/>
      <c r="GT244" s="11">
        <v>81785.648017236788</v>
      </c>
      <c r="GU244" s="12">
        <v>3.2223706873413396</v>
      </c>
      <c r="GV244" s="240">
        <v>43863</v>
      </c>
      <c r="GW244" s="162" t="s">
        <v>2392</v>
      </c>
      <c r="GX244" s="231">
        <v>-2031.359157615414</v>
      </c>
      <c r="GY244" s="25" t="s">
        <v>176</v>
      </c>
      <c r="GZ244" s="25" t="s">
        <v>176</v>
      </c>
      <c r="HA244" s="26" t="s">
        <v>3348</v>
      </c>
    </row>
    <row r="245" spans="14:209" x14ac:dyDescent="0.25">
      <c r="N245" s="25"/>
      <c r="FO245" s="263" t="s">
        <v>176</v>
      </c>
      <c r="FP245" s="250">
        <v>43945.843599537038</v>
      </c>
      <c r="FQ245" s="246">
        <v>43852</v>
      </c>
      <c r="FR245" s="26">
        <v>43852</v>
      </c>
      <c r="FS245" s="211">
        <v>4</v>
      </c>
      <c r="FT245" s="44">
        <v>0.22086046237004034</v>
      </c>
      <c r="FU245" s="71">
        <v>2.697372773265433E-6</v>
      </c>
      <c r="FV245" s="73">
        <v>1564.3318847176645</v>
      </c>
      <c r="FW245" s="212">
        <v>81879.844179885898</v>
      </c>
      <c r="FX245" s="212">
        <v>1881.888509036957</v>
      </c>
      <c r="FY245" s="227">
        <v>0.99501637355725681</v>
      </c>
      <c r="FZ245" s="214">
        <v>1.3848779677271103E-4</v>
      </c>
      <c r="GA245" s="216">
        <v>2.697372773265433E-3</v>
      </c>
      <c r="GB245" s="257">
        <v>43944</v>
      </c>
      <c r="GC245" s="26" t="s">
        <v>2041</v>
      </c>
      <c r="GD245" s="214">
        <v>81879.844179885637</v>
      </c>
      <c r="GE245" s="214">
        <v>83884</v>
      </c>
      <c r="GF245" s="73" t="s">
        <v>3423</v>
      </c>
      <c r="GG245" s="156">
        <v>43944</v>
      </c>
      <c r="GH245" s="26">
        <v>93</v>
      </c>
      <c r="GI245" s="26" t="s">
        <v>3424</v>
      </c>
      <c r="GJ245" s="25"/>
      <c r="GK245" s="62" t="s">
        <v>3425</v>
      </c>
      <c r="GM245" s="18" t="s">
        <v>3426</v>
      </c>
      <c r="GN245" s="11">
        <v>582.80146134402491</v>
      </c>
      <c r="GO245" s="156">
        <v>43912</v>
      </c>
      <c r="GP245" s="218">
        <v>-33</v>
      </c>
      <c r="GQ245" s="156">
        <v>43912</v>
      </c>
      <c r="GR245" s="11">
        <v>-34</v>
      </c>
      <c r="GS245" s="25"/>
      <c r="GT245" s="11">
        <v>81879.842837992517</v>
      </c>
      <c r="GU245" s="12">
        <v>3.2290387616685936</v>
      </c>
      <c r="GV245" s="240">
        <v>43863</v>
      </c>
      <c r="GW245" s="162" t="s">
        <v>2392</v>
      </c>
      <c r="GX245" s="231">
        <v>-2004.1608693873131</v>
      </c>
      <c r="GY245" s="25" t="s">
        <v>176</v>
      </c>
      <c r="GZ245" s="25" t="s">
        <v>176</v>
      </c>
      <c r="HA245" s="26" t="s">
        <v>3426</v>
      </c>
    </row>
    <row r="246" spans="14:209" x14ac:dyDescent="0.25">
      <c r="N246" s="25"/>
      <c r="FO246" s="263" t="s">
        <v>176</v>
      </c>
      <c r="FP246" s="250">
        <v>43947.950590277775</v>
      </c>
      <c r="FQ246" s="246">
        <v>43852</v>
      </c>
      <c r="FR246" s="26">
        <v>43852</v>
      </c>
      <c r="FS246" s="211">
        <v>4</v>
      </c>
      <c r="FT246" s="44">
        <v>0.22086046237004031</v>
      </c>
      <c r="FU246" s="71">
        <v>2.6954531200071825E-6</v>
      </c>
      <c r="FV246" s="73">
        <v>1564.3318847176643</v>
      </c>
      <c r="FW246" s="212">
        <v>81938.157533027988</v>
      </c>
      <c r="FX246" s="212">
        <v>1884.3611476330154</v>
      </c>
      <c r="FY246" s="227">
        <v>0.99494224212626514</v>
      </c>
      <c r="FZ246" s="214">
        <v>1.3848971642596927E-4</v>
      </c>
      <c r="GA246" s="216">
        <v>2.6954531200071826E-3</v>
      </c>
      <c r="GB246" s="257">
        <v>43946</v>
      </c>
      <c r="GC246" s="26" t="s">
        <v>2041</v>
      </c>
      <c r="GD246" s="214">
        <v>81938.157533027988</v>
      </c>
      <c r="GE246" s="214">
        <v>83909</v>
      </c>
      <c r="GF246" s="73" t="s">
        <v>3423</v>
      </c>
      <c r="GG246" s="156">
        <v>43946</v>
      </c>
      <c r="GH246" s="26">
        <v>95</v>
      </c>
      <c r="GI246" s="26" t="s">
        <v>3517</v>
      </c>
      <c r="GJ246" s="25"/>
      <c r="GK246" s="62" t="s">
        <v>3516</v>
      </c>
      <c r="GM246" s="18" t="s">
        <v>3518</v>
      </c>
      <c r="GN246" s="11">
        <v>582.97515402121724</v>
      </c>
      <c r="GO246" s="156">
        <v>43912</v>
      </c>
      <c r="GP246" s="218">
        <v>-35</v>
      </c>
      <c r="GQ246" s="156">
        <v>43912</v>
      </c>
      <c r="GR246" s="11">
        <v>-36</v>
      </c>
      <c r="GS246" s="25"/>
      <c r="GT246" s="11">
        <v>81938.156189203961</v>
      </c>
      <c r="GU246" s="12">
        <v>3.2323181093313536</v>
      </c>
      <c r="GV246" s="240">
        <v>43863</v>
      </c>
      <c r="GW246" s="162" t="s">
        <v>2392</v>
      </c>
      <c r="GX246" s="231">
        <v>-1970.845717967095</v>
      </c>
      <c r="GY246" s="25" t="s">
        <v>176</v>
      </c>
      <c r="GZ246" s="25" t="s">
        <v>176</v>
      </c>
      <c r="HA246" s="26" t="s">
        <v>3518</v>
      </c>
    </row>
    <row r="247" spans="14:209" x14ac:dyDescent="0.25">
      <c r="N247" s="25"/>
      <c r="FO247" s="263" t="s">
        <v>176</v>
      </c>
      <c r="FP247" s="250">
        <v>43949.717407407406</v>
      </c>
      <c r="FQ247" s="246">
        <v>43852</v>
      </c>
      <c r="FR247" s="26">
        <v>43852</v>
      </c>
      <c r="FS247" s="211">
        <v>4</v>
      </c>
      <c r="FT247" s="44">
        <v>0.22086046237004028</v>
      </c>
      <c r="FU247" s="71">
        <v>2.6936052759666815E-6</v>
      </c>
      <c r="FV247" s="73">
        <v>1564.331884717664</v>
      </c>
      <c r="FW247" s="212">
        <v>81994.368046661126</v>
      </c>
      <c r="FX247" s="212">
        <v>1885.7201496008038</v>
      </c>
      <c r="FY247" s="227">
        <v>0.99487306073653714</v>
      </c>
      <c r="FZ247" s="214">
        <v>1.3849156427000979E-4</v>
      </c>
      <c r="GA247" s="216">
        <v>2.6936052759666818E-3</v>
      </c>
      <c r="GB247" s="257">
        <v>43948</v>
      </c>
      <c r="GC247" s="26" t="s">
        <v>3574</v>
      </c>
      <c r="GD247" s="214">
        <v>81994.368046661126</v>
      </c>
      <c r="GE247" s="214">
        <v>83918</v>
      </c>
      <c r="GF247" s="73" t="s">
        <v>3575</v>
      </c>
      <c r="GG247" s="156">
        <v>43948</v>
      </c>
      <c r="GH247" s="26">
        <v>97</v>
      </c>
      <c r="GI247" s="26" t="s">
        <v>3576</v>
      </c>
      <c r="GJ247" s="25"/>
      <c r="GK247" s="62" t="s">
        <v>3577</v>
      </c>
      <c r="GM247" s="18" t="s">
        <v>3578</v>
      </c>
      <c r="GN247" s="11">
        <v>583.03768338500652</v>
      </c>
      <c r="GO247" s="156">
        <v>43912</v>
      </c>
      <c r="GP247" s="218">
        <v>-37</v>
      </c>
      <c r="GQ247" s="156">
        <v>43912</v>
      </c>
      <c r="GR247" s="11">
        <v>-37</v>
      </c>
      <c r="GS247" s="25"/>
      <c r="GT247" s="11">
        <v>81994.366700974759</v>
      </c>
      <c r="GU247" s="12">
        <v>3.234302350154572</v>
      </c>
      <c r="GV247" s="240">
        <v>43863</v>
      </c>
      <c r="GW247" s="162" t="s">
        <v>2392</v>
      </c>
      <c r="GX247" s="231">
        <v>-1923.6340463947126</v>
      </c>
      <c r="GY247" s="25" t="s">
        <v>176</v>
      </c>
      <c r="GZ247" s="25" t="s">
        <v>176</v>
      </c>
      <c r="HA247" s="26" t="s">
        <v>3578</v>
      </c>
    </row>
    <row r="248" spans="14:209" x14ac:dyDescent="0.25">
      <c r="N248" s="25"/>
      <c r="FO248" s="263" t="s">
        <v>176</v>
      </c>
      <c r="FP248" s="250">
        <v>43950.659328703703</v>
      </c>
      <c r="FQ248" s="246">
        <v>43852</v>
      </c>
      <c r="FR248" s="26">
        <v>43852</v>
      </c>
      <c r="FS248" s="211">
        <v>4</v>
      </c>
      <c r="FT248" s="44">
        <v>0.22086046237004026</v>
      </c>
      <c r="FU248" s="71">
        <v>2.6927285005926614E-6</v>
      </c>
      <c r="FV248" s="73">
        <v>1564.331884717664</v>
      </c>
      <c r="FW248" s="212">
        <v>82021.066112469023</v>
      </c>
      <c r="FX248" s="212">
        <v>1886.2037146360735</v>
      </c>
      <c r="FY248" s="227">
        <v>0.99483924925634082</v>
      </c>
      <c r="FZ248" s="214">
        <v>1.3849244104538377E-4</v>
      </c>
      <c r="GA248" s="216">
        <v>2.6927285005926616E-3</v>
      </c>
      <c r="GB248" s="257">
        <v>43949</v>
      </c>
      <c r="GC248" s="26" t="s">
        <v>3574</v>
      </c>
      <c r="GD248" s="214">
        <v>82021.066112469023</v>
      </c>
      <c r="GE248" s="214">
        <v>83940</v>
      </c>
      <c r="GF248" s="73" t="s">
        <v>3575</v>
      </c>
      <c r="GG248" s="156">
        <v>43949</v>
      </c>
      <c r="GH248" s="26">
        <v>98</v>
      </c>
      <c r="GI248" s="26" t="s">
        <v>3639</v>
      </c>
      <c r="GJ248" s="25"/>
      <c r="GK248" s="62" t="s">
        <v>3638</v>
      </c>
      <c r="GM248" s="18" t="s">
        <v>3640</v>
      </c>
      <c r="GN248" s="11">
        <v>583.19053294093578</v>
      </c>
      <c r="GO248" s="156">
        <v>43912</v>
      </c>
      <c r="GP248" s="218">
        <v>-38</v>
      </c>
      <c r="GQ248" s="156">
        <v>43912</v>
      </c>
      <c r="GR248" s="11">
        <v>-38</v>
      </c>
      <c r="GS248" s="25"/>
      <c r="GT248" s="11">
        <v>82021.064765897652</v>
      </c>
      <c r="GU248" s="12">
        <v>3.234283837092232</v>
      </c>
      <c r="GV248" s="240">
        <v>43863</v>
      </c>
      <c r="GW248" s="162" t="s">
        <v>2392</v>
      </c>
      <c r="GX248" s="231">
        <v>-1918.9355669066426</v>
      </c>
      <c r="GY248" s="25" t="s">
        <v>176</v>
      </c>
      <c r="GZ248" s="25" t="s">
        <v>176</v>
      </c>
      <c r="HA248" s="26" t="s">
        <v>3640</v>
      </c>
    </row>
    <row r="249" spans="14:209" x14ac:dyDescent="0.25">
      <c r="N249" s="25"/>
      <c r="FO249" s="263" t="s">
        <v>176</v>
      </c>
      <c r="FP249" s="250">
        <v>43951.665532407409</v>
      </c>
      <c r="FQ249" s="246">
        <v>43852</v>
      </c>
      <c r="FR249" s="26">
        <v>43852</v>
      </c>
      <c r="FS249" s="211">
        <v>4</v>
      </c>
      <c r="FT249" s="44">
        <v>0.22086046237004023</v>
      </c>
      <c r="FU249" s="71">
        <v>2.6918552725761251E-6</v>
      </c>
      <c r="FV249" s="73">
        <v>1564.331884717664</v>
      </c>
      <c r="FW249" s="212">
        <v>82047.67344667649</v>
      </c>
      <c r="FX249" s="212">
        <v>1886.4413444837035</v>
      </c>
      <c r="FY249" s="227">
        <v>0.99480658727971716</v>
      </c>
      <c r="FZ249" s="214">
        <v>1.3849331427340028E-4</v>
      </c>
      <c r="GA249" s="216">
        <v>2.6918552725761252E-3</v>
      </c>
      <c r="GB249" s="257">
        <v>43950</v>
      </c>
      <c r="GC249" s="26" t="s">
        <v>3574</v>
      </c>
      <c r="GD249" s="214">
        <v>82047.67344667649</v>
      </c>
      <c r="GE249" s="214">
        <v>83944</v>
      </c>
      <c r="GF249" s="73" t="s">
        <v>3575</v>
      </c>
      <c r="GG249" s="156">
        <v>43950</v>
      </c>
      <c r="GH249" s="26">
        <v>99</v>
      </c>
      <c r="GI249" s="26" t="s">
        <v>3639</v>
      </c>
      <c r="GJ249" s="25"/>
      <c r="GK249" s="62" t="s">
        <v>3638</v>
      </c>
      <c r="GM249" s="18" t="s">
        <v>3705</v>
      </c>
      <c r="GN249" s="11">
        <v>583.21832376928649</v>
      </c>
      <c r="GO249" s="156">
        <v>43912</v>
      </c>
      <c r="GP249" s="218">
        <v>-39</v>
      </c>
      <c r="GQ249" s="156">
        <v>43912</v>
      </c>
      <c r="GR249" s="11">
        <v>-40</v>
      </c>
      <c r="GS249" s="25"/>
      <c r="GT249" s="11">
        <v>82047.672099222837</v>
      </c>
      <c r="GU249" s="12">
        <v>3.2345371666167932</v>
      </c>
      <c r="GV249" s="240">
        <v>43863</v>
      </c>
      <c r="GW249" s="162" t="s">
        <v>2392</v>
      </c>
      <c r="GX249" s="231">
        <v>-1896.3279007771634</v>
      </c>
      <c r="GY249" s="25" t="s">
        <v>176</v>
      </c>
      <c r="GZ249" s="25" t="s">
        <v>176</v>
      </c>
      <c r="HA249" s="26" t="s">
        <v>3705</v>
      </c>
    </row>
    <row r="250" spans="14:209" x14ac:dyDescent="0.25">
      <c r="N250" s="25"/>
      <c r="FO250" s="263" t="s">
        <v>176</v>
      </c>
      <c r="FP250" s="250">
        <v>43954.723993055559</v>
      </c>
      <c r="FQ250" s="246">
        <v>43852</v>
      </c>
      <c r="FR250" s="26">
        <v>43852</v>
      </c>
      <c r="FS250" s="211">
        <v>4</v>
      </c>
      <c r="FT250" s="44">
        <v>0.2208604623700402</v>
      </c>
      <c r="FU250" s="71">
        <v>2.6893154417452961E-6</v>
      </c>
      <c r="FV250" s="73">
        <v>1564.3318847176638</v>
      </c>
      <c r="FW250" s="212">
        <v>82125.160530334615</v>
      </c>
      <c r="FX250" s="212">
        <v>1886.0147478008641</v>
      </c>
      <c r="FY250" s="227">
        <v>0.99471397905167969</v>
      </c>
      <c r="FZ250" s="214">
        <v>1.3849585410423114E-4</v>
      </c>
      <c r="GA250" s="216">
        <v>2.689315441745296E-3</v>
      </c>
      <c r="GB250" s="257">
        <v>43953</v>
      </c>
      <c r="GC250" s="26" t="s">
        <v>3763</v>
      </c>
      <c r="GD250" s="214">
        <v>82125.160530333087</v>
      </c>
      <c r="GE250" s="214">
        <v>83959</v>
      </c>
      <c r="GF250" s="73" t="s">
        <v>3764</v>
      </c>
      <c r="GG250" s="156">
        <v>43953</v>
      </c>
      <c r="GH250" s="26">
        <v>102</v>
      </c>
      <c r="GI250" s="26" t="s">
        <v>3765</v>
      </c>
      <c r="GJ250" s="25"/>
      <c r="GK250" s="62" t="s">
        <v>3766</v>
      </c>
      <c r="GM250" s="18" t="s">
        <v>3767</v>
      </c>
      <c r="GN250" s="11">
        <v>583.32253937560188</v>
      </c>
      <c r="GO250" s="156">
        <v>43912</v>
      </c>
      <c r="GP250" s="218">
        <v>-42</v>
      </c>
      <c r="GQ250" s="156">
        <v>43912</v>
      </c>
      <c r="GR250" s="11">
        <v>-43</v>
      </c>
      <c r="GS250" s="25"/>
      <c r="GT250" s="11">
        <v>82125.160171552459</v>
      </c>
      <c r="GU250" s="12">
        <v>3.2332279665032071</v>
      </c>
      <c r="GV250" s="240">
        <v>43863</v>
      </c>
      <c r="GW250" s="162" t="s">
        <v>2392</v>
      </c>
      <c r="GX250" s="231">
        <v>-1833.8401656286005</v>
      </c>
      <c r="GY250" s="25" t="s">
        <v>176</v>
      </c>
      <c r="GZ250" s="25" t="s">
        <v>176</v>
      </c>
      <c r="HA250" s="26" t="s">
        <v>3767</v>
      </c>
    </row>
    <row r="251" spans="14:209" x14ac:dyDescent="0.25">
      <c r="N251" s="25"/>
      <c r="FO251" s="263" t="s">
        <v>677</v>
      </c>
      <c r="FP251" s="250">
        <v>43911.866331018522</v>
      </c>
      <c r="FQ251" s="246">
        <v>43852</v>
      </c>
      <c r="FR251" s="26">
        <v>43880</v>
      </c>
      <c r="FS251" s="211">
        <v>5</v>
      </c>
      <c r="FT251" s="25">
        <v>0.32566109072274135</v>
      </c>
      <c r="FU251" s="61">
        <v>3.9144727914542807E-5</v>
      </c>
      <c r="FV251" s="74">
        <v>174.6164952155498</v>
      </c>
      <c r="FW251" s="212">
        <v>8319.4112738168697</v>
      </c>
      <c r="FX251" s="212">
        <v>139.72665717739883</v>
      </c>
      <c r="FY251" s="212"/>
      <c r="FZ251" s="212">
        <v>1.8258628724312283E-3</v>
      </c>
      <c r="GA251" s="216">
        <v>3.9144727914542807E-2</v>
      </c>
      <c r="GB251" s="257">
        <v>43910</v>
      </c>
      <c r="GC251" s="26" t="s">
        <v>752</v>
      </c>
      <c r="GD251" s="212"/>
      <c r="GE251" s="212">
        <v>8652</v>
      </c>
      <c r="GF251" s="73" t="s">
        <v>753</v>
      </c>
      <c r="GG251" s="156">
        <v>43910</v>
      </c>
      <c r="GH251" s="25">
        <v>59</v>
      </c>
      <c r="GI251" s="25" t="s">
        <v>754</v>
      </c>
      <c r="GJ251" s="25"/>
      <c r="GK251" s="62" t="s">
        <v>755</v>
      </c>
      <c r="GL251" s="25" t="s">
        <v>686</v>
      </c>
      <c r="GM251" s="25" t="s">
        <v>777</v>
      </c>
      <c r="GN251" s="165">
        <v>1683.2684824902724</v>
      </c>
      <c r="GO251" s="156">
        <v>43890</v>
      </c>
      <c r="GP251" s="218">
        <v>21</v>
      </c>
      <c r="GQ251" s="156">
        <v>43889</v>
      </c>
      <c r="GR251" s="25">
        <v>22</v>
      </c>
      <c r="GS251" s="25"/>
      <c r="GT251" s="11"/>
      <c r="GU251" s="12"/>
      <c r="GV251" s="26"/>
      <c r="GW251" s="25"/>
      <c r="GX251" s="219"/>
      <c r="GY251" s="25"/>
      <c r="GZ251" s="25"/>
      <c r="HA251" s="25"/>
    </row>
    <row r="252" spans="14:209" x14ac:dyDescent="0.25">
      <c r="N252" s="25"/>
      <c r="FO252" s="263" t="s">
        <v>677</v>
      </c>
      <c r="FP252" s="250"/>
      <c r="FQ252" s="246">
        <v>43852</v>
      </c>
      <c r="FR252" s="26"/>
      <c r="FS252" s="211">
        <v>5</v>
      </c>
      <c r="FT252" s="25">
        <v>0.33457917057724718</v>
      </c>
      <c r="FU252" s="61">
        <v>4.0721909397092568E-5</v>
      </c>
      <c r="FV252" s="74">
        <v>161.50151869158597</v>
      </c>
      <c r="FW252" s="212">
        <v>8216.19554512184</v>
      </c>
      <c r="FX252" s="212">
        <v>148.73667220847148</v>
      </c>
      <c r="FY252" s="212"/>
      <c r="FZ252" s="212">
        <v>2.0309562598725215E-3</v>
      </c>
      <c r="GA252" s="216">
        <v>4.0721909397092568E-2</v>
      </c>
      <c r="GB252" s="257">
        <v>43910</v>
      </c>
      <c r="GC252" s="26" t="s">
        <v>709</v>
      </c>
      <c r="GD252" s="212"/>
      <c r="GE252" s="212">
        <v>8652</v>
      </c>
      <c r="GF252" s="73" t="s">
        <v>710</v>
      </c>
      <c r="GG252" s="156">
        <v>43910</v>
      </c>
      <c r="GH252" s="25">
        <v>59</v>
      </c>
      <c r="GI252" s="25" t="s">
        <v>711</v>
      </c>
      <c r="GJ252" s="25"/>
      <c r="GK252" s="62" t="s">
        <v>712</v>
      </c>
      <c r="GL252" s="25" t="s">
        <v>686</v>
      </c>
      <c r="GM252" s="25" t="s">
        <v>713</v>
      </c>
      <c r="GN252" s="165">
        <v>1683.2684824902724</v>
      </c>
      <c r="GO252" s="156">
        <v>43890</v>
      </c>
      <c r="GP252" s="218">
        <v>20</v>
      </c>
      <c r="GQ252" s="156">
        <v>43889</v>
      </c>
      <c r="GR252" s="25">
        <v>21</v>
      </c>
      <c r="GS252" s="25"/>
      <c r="GT252" s="11"/>
      <c r="GU252" s="12"/>
      <c r="GV252" s="26"/>
      <c r="GW252" s="25"/>
      <c r="GX252" s="219"/>
      <c r="GY252" s="25"/>
      <c r="GZ252" s="25"/>
    </row>
    <row r="253" spans="14:209" x14ac:dyDescent="0.25">
      <c r="N253" s="25"/>
      <c r="FO253" s="263" t="s">
        <v>677</v>
      </c>
      <c r="FP253" s="250">
        <v>43912.32671296296</v>
      </c>
      <c r="FQ253" s="246">
        <v>43852</v>
      </c>
      <c r="FR253" s="26">
        <v>43880</v>
      </c>
      <c r="FS253" s="211">
        <v>5</v>
      </c>
      <c r="FT253" s="25">
        <v>0.32050342361704887</v>
      </c>
      <c r="FU253" s="61">
        <v>3.8255187244755717E-5</v>
      </c>
      <c r="FV253" s="74">
        <v>182.78805705771839</v>
      </c>
      <c r="FW253" s="212">
        <v>8378.0382923360467</v>
      </c>
      <c r="FX253" s="212">
        <v>160.37089883020292</v>
      </c>
      <c r="FY253" s="212"/>
      <c r="FZ253" s="212">
        <v>1.7151603737940299E-3</v>
      </c>
      <c r="GA253" s="216">
        <v>3.8255187244755719E-2</v>
      </c>
      <c r="GB253" s="257">
        <v>43911</v>
      </c>
      <c r="GC253" s="26" t="s">
        <v>794</v>
      </c>
      <c r="GD253" s="212"/>
      <c r="GE253" s="212">
        <v>8799</v>
      </c>
      <c r="GF253" s="73" t="s">
        <v>795</v>
      </c>
      <c r="GG253" s="156">
        <v>43911</v>
      </c>
      <c r="GH253" s="25">
        <v>60</v>
      </c>
      <c r="GI253" s="25" t="s">
        <v>796</v>
      </c>
      <c r="GJ253" s="25"/>
      <c r="GK253" s="62" t="s">
        <v>797</v>
      </c>
      <c r="GL253" s="25" t="s">
        <v>686</v>
      </c>
      <c r="GM253" s="25" t="s">
        <v>798</v>
      </c>
      <c r="GN253" s="165">
        <v>1711.8677042801557</v>
      </c>
      <c r="GO253" s="156">
        <v>43890</v>
      </c>
      <c r="GP253" s="218">
        <v>21</v>
      </c>
      <c r="GQ253" s="156">
        <v>43889</v>
      </c>
      <c r="GR253" s="25">
        <v>23</v>
      </c>
      <c r="GS253" s="25"/>
      <c r="GT253" s="11"/>
      <c r="GU253" s="12"/>
      <c r="GV253" s="26"/>
      <c r="GW253" s="25"/>
      <c r="GX253" s="219"/>
      <c r="GY253" s="25"/>
      <c r="GZ253" s="25"/>
    </row>
    <row r="254" spans="14:209" x14ac:dyDescent="0.25">
      <c r="N254" s="25"/>
      <c r="FO254" s="263" t="s">
        <v>677</v>
      </c>
      <c r="FP254" s="250">
        <v>43912.588761574072</v>
      </c>
      <c r="FQ254" s="246">
        <v>43852</v>
      </c>
      <c r="FR254" s="26">
        <v>43880</v>
      </c>
      <c r="FS254" s="211">
        <v>5</v>
      </c>
      <c r="FT254" s="25">
        <v>0.32050342361704887</v>
      </c>
      <c r="FU254" s="61">
        <v>3.8255187244755717E-5</v>
      </c>
      <c r="FV254" s="74">
        <v>182.78805705771839</v>
      </c>
      <c r="FW254" s="212">
        <v>8378.0382923360467</v>
      </c>
      <c r="FX254" s="212">
        <v>160.37089883020292</v>
      </c>
      <c r="FY254" s="212"/>
      <c r="FZ254" s="212">
        <v>1.7151603737940299E-3</v>
      </c>
      <c r="GA254" s="216">
        <v>3.8255187244755719E-2</v>
      </c>
      <c r="GB254" s="257">
        <v>43911</v>
      </c>
      <c r="GC254" s="26" t="s">
        <v>794</v>
      </c>
      <c r="GD254" s="212"/>
      <c r="GE254" s="212">
        <v>8799</v>
      </c>
      <c r="GF254" s="73" t="s">
        <v>795</v>
      </c>
      <c r="GG254" s="156">
        <v>43911</v>
      </c>
      <c r="GH254" s="25">
        <v>60</v>
      </c>
      <c r="GI254" s="25" t="s">
        <v>796</v>
      </c>
      <c r="GJ254" s="25"/>
      <c r="GK254" s="62" t="s">
        <v>797</v>
      </c>
      <c r="GL254" s="25" t="s">
        <v>686</v>
      </c>
      <c r="GM254" s="25" t="s">
        <v>798</v>
      </c>
      <c r="GN254" s="165">
        <v>1711.8677042801557</v>
      </c>
      <c r="GO254" s="156">
        <v>43891</v>
      </c>
      <c r="GP254" s="218">
        <v>21</v>
      </c>
      <c r="GQ254" s="156">
        <v>43890</v>
      </c>
      <c r="GR254" s="25">
        <v>22</v>
      </c>
      <c r="GS254" s="25"/>
      <c r="GT254" s="11"/>
      <c r="GU254" s="12"/>
      <c r="GV254" s="26"/>
      <c r="GW254" s="25"/>
      <c r="GX254" s="219"/>
      <c r="GY254" s="25"/>
      <c r="GZ254" s="25"/>
    </row>
    <row r="255" spans="14:209" x14ac:dyDescent="0.25">
      <c r="N255" s="25"/>
      <c r="FO255" s="263" t="s">
        <v>677</v>
      </c>
      <c r="FP255" s="250">
        <v>43913.581724537034</v>
      </c>
      <c r="FQ255" s="246">
        <v>43852</v>
      </c>
      <c r="FR255" s="26">
        <v>43880</v>
      </c>
      <c r="FS255" s="211">
        <v>5</v>
      </c>
      <c r="FT255" s="25">
        <v>0.32049770084288381</v>
      </c>
      <c r="FU255" s="71">
        <v>3.8254432735924097E-5</v>
      </c>
      <c r="FV255" s="74">
        <v>182.80037759483983</v>
      </c>
      <c r="FW255" s="212">
        <v>8378.0539383586201</v>
      </c>
      <c r="FX255" s="212">
        <v>160.3709022384939</v>
      </c>
      <c r="FY255" s="212"/>
      <c r="FZ255" s="212">
        <v>1.7150116439525903E-3</v>
      </c>
      <c r="GA255" s="216">
        <v>3.8254432735924097E-2</v>
      </c>
      <c r="GB255" s="257">
        <v>43911</v>
      </c>
      <c r="GC255" s="26" t="s">
        <v>794</v>
      </c>
      <c r="GD255" s="212">
        <v>8378.0539383586201</v>
      </c>
      <c r="GE255" s="212">
        <v>8799</v>
      </c>
      <c r="GF255" s="73" t="s">
        <v>795</v>
      </c>
      <c r="GG255" s="156">
        <v>43911</v>
      </c>
      <c r="GH255" s="25">
        <v>60</v>
      </c>
      <c r="GI255" s="25" t="s">
        <v>970</v>
      </c>
      <c r="GJ255" s="25"/>
      <c r="GK255" s="62" t="s">
        <v>797</v>
      </c>
      <c r="GL255" s="25" t="s">
        <v>849</v>
      </c>
      <c r="GM255" s="25" t="s">
        <v>971</v>
      </c>
      <c r="GN255" s="165">
        <v>1711.8677042801557</v>
      </c>
      <c r="GO255" s="156">
        <v>43892</v>
      </c>
      <c r="GP255" s="218">
        <v>21</v>
      </c>
      <c r="GQ255" s="156">
        <v>43891</v>
      </c>
      <c r="GR255" s="25">
        <v>21</v>
      </c>
      <c r="GS255" s="25"/>
      <c r="GT255" s="11"/>
      <c r="GU255" s="12"/>
      <c r="GV255" s="26"/>
      <c r="GW255" s="25"/>
      <c r="GX255" s="219"/>
      <c r="GY255" s="25"/>
      <c r="GZ255" s="25"/>
    </row>
    <row r="256" spans="14:209" x14ac:dyDescent="0.25">
      <c r="N256" s="25"/>
      <c r="FO256" s="263" t="s">
        <v>677</v>
      </c>
      <c r="FP256" s="250">
        <v>43912.787604166668</v>
      </c>
      <c r="FQ256" s="246">
        <v>43852</v>
      </c>
      <c r="FR256" s="26">
        <v>43880</v>
      </c>
      <c r="FS256" s="211">
        <v>5</v>
      </c>
      <c r="FT256" s="25">
        <v>0.31530859841320269</v>
      </c>
      <c r="FU256" s="61">
        <v>3.7372701209800403E-5</v>
      </c>
      <c r="FV256" s="74">
        <v>191.45875124820066</v>
      </c>
      <c r="FW256" s="212">
        <v>8436.8693780827907</v>
      </c>
      <c r="FX256" s="212">
        <v>180.57430626108624</v>
      </c>
      <c r="FY256" s="212"/>
      <c r="FZ256" s="212">
        <v>1.6095021287865954E-3</v>
      </c>
      <c r="GA256" s="216">
        <v>3.7372701209800401E-2</v>
      </c>
      <c r="GB256" s="257">
        <v>43912</v>
      </c>
      <c r="GC256" s="26" t="s">
        <v>850</v>
      </c>
      <c r="GD256" s="212">
        <v>8436.8693780827907</v>
      </c>
      <c r="GE256" s="212">
        <v>8897</v>
      </c>
      <c r="GF256" s="73" t="s">
        <v>851</v>
      </c>
      <c r="GG256" s="156">
        <v>43912</v>
      </c>
      <c r="GH256" s="25">
        <v>61</v>
      </c>
      <c r="GI256" s="25" t="s">
        <v>852</v>
      </c>
      <c r="GJ256" s="25"/>
      <c r="GK256" s="62" t="s">
        <v>853</v>
      </c>
      <c r="GL256" s="25" t="s">
        <v>849</v>
      </c>
      <c r="GM256" s="25" t="s">
        <v>854</v>
      </c>
      <c r="GN256" s="165">
        <v>1730.933852140078</v>
      </c>
      <c r="GO256" s="156">
        <v>43891</v>
      </c>
      <c r="GP256" s="218">
        <v>21</v>
      </c>
      <c r="GQ256" s="156">
        <v>43890</v>
      </c>
      <c r="GR256" s="25">
        <v>22</v>
      </c>
      <c r="GS256" s="25"/>
      <c r="GT256" s="11"/>
      <c r="GU256" s="12"/>
      <c r="GV256" s="26"/>
      <c r="GW256" s="25"/>
      <c r="GX256" s="219"/>
      <c r="GY256" s="25"/>
      <c r="GZ256" s="25"/>
    </row>
    <row r="257" spans="14:209" x14ac:dyDescent="0.25">
      <c r="N257" s="25"/>
      <c r="FO257" s="263" t="s">
        <v>677</v>
      </c>
      <c r="FP257" s="250">
        <v>43913.686759259261</v>
      </c>
      <c r="FQ257" s="246">
        <v>43852</v>
      </c>
      <c r="FR257" s="26">
        <v>43880</v>
      </c>
      <c r="FS257" s="211">
        <v>5</v>
      </c>
      <c r="FT257" s="25">
        <v>0.31530846480479197</v>
      </c>
      <c r="FU257" s="71">
        <v>3.7372683191517248E-5</v>
      </c>
      <c r="FV257" s="74">
        <v>191.45902658948677</v>
      </c>
      <c r="FW257" s="212">
        <v>8436.8698706749492</v>
      </c>
      <c r="FX257" s="212">
        <v>180.57430629595535</v>
      </c>
      <c r="FY257" s="212"/>
      <c r="FZ257" s="212">
        <v>1.6094990805559013E-3</v>
      </c>
      <c r="GA257" s="216">
        <v>3.737268319151725E-2</v>
      </c>
      <c r="GB257" s="257">
        <v>43912</v>
      </c>
      <c r="GC257" s="26" t="s">
        <v>850</v>
      </c>
      <c r="GD257" s="212">
        <v>8436.8698706749492</v>
      </c>
      <c r="GE257" s="212">
        <v>8897</v>
      </c>
      <c r="GF257" s="73" t="s">
        <v>851</v>
      </c>
      <c r="GG257" s="156">
        <v>43912</v>
      </c>
      <c r="GH257" s="25">
        <v>61</v>
      </c>
      <c r="GI257" s="25" t="s">
        <v>852</v>
      </c>
      <c r="GJ257" s="25"/>
      <c r="GK257" s="62" t="s">
        <v>853</v>
      </c>
      <c r="GL257" s="25" t="s">
        <v>849</v>
      </c>
      <c r="GM257" s="25" t="s">
        <v>854</v>
      </c>
      <c r="GN257" s="165">
        <v>1730.933852140078</v>
      </c>
      <c r="GO257" s="156">
        <v>43892</v>
      </c>
      <c r="GP257" s="218">
        <v>21</v>
      </c>
      <c r="GQ257" s="156">
        <v>43891</v>
      </c>
      <c r="GR257" s="25">
        <v>22</v>
      </c>
      <c r="GS257" s="25"/>
      <c r="GT257" s="11"/>
      <c r="GU257" s="12"/>
      <c r="GV257" s="26"/>
      <c r="GW257" s="25"/>
      <c r="GX257" s="219"/>
      <c r="GY257" s="25"/>
      <c r="GZ257" s="25"/>
      <c r="HA257" s="25"/>
    </row>
    <row r="258" spans="14:209" x14ac:dyDescent="0.25">
      <c r="N258" s="25"/>
      <c r="FO258" s="263" t="s">
        <v>677</v>
      </c>
      <c r="FP258" s="250">
        <v>43914.307905092595</v>
      </c>
      <c r="FQ258" s="246">
        <v>43852</v>
      </c>
      <c r="FR258" s="26">
        <v>43880</v>
      </c>
      <c r="FS258" s="211">
        <v>5</v>
      </c>
      <c r="FT258" s="25">
        <v>0.31529909536225609</v>
      </c>
      <c r="FU258" s="25">
        <v>3.7371446043826805E-5</v>
      </c>
      <c r="FV258" s="74">
        <v>191.4796358534154</v>
      </c>
      <c r="FW258" s="212">
        <v>8436.8984543036895</v>
      </c>
      <c r="FX258" s="212">
        <v>180.57431132119893</v>
      </c>
      <c r="FY258" s="212"/>
      <c r="FZ258" s="212">
        <v>1.6092741304269209E-3</v>
      </c>
      <c r="GA258" s="216">
        <v>3.7371446043826806E-2</v>
      </c>
      <c r="GB258" s="257">
        <v>43912</v>
      </c>
      <c r="GC258" s="26" t="s">
        <v>850</v>
      </c>
      <c r="GD258" s="212">
        <v>8436.8984543036895</v>
      </c>
      <c r="GE258" s="212">
        <v>8897</v>
      </c>
      <c r="GF258" s="73" t="s">
        <v>851</v>
      </c>
      <c r="GG258" s="156">
        <v>43912</v>
      </c>
      <c r="GH258" s="25">
        <v>61</v>
      </c>
      <c r="GI258" s="25" t="s">
        <v>1036</v>
      </c>
      <c r="GJ258" s="25"/>
      <c r="GK258" s="62" t="s">
        <v>853</v>
      </c>
      <c r="GL258" s="25" t="s">
        <v>849</v>
      </c>
      <c r="GM258" s="25" t="s">
        <v>1037</v>
      </c>
      <c r="GN258" s="165">
        <v>1730.933852140078</v>
      </c>
      <c r="GO258" s="156">
        <v>43893</v>
      </c>
      <c r="GP258" s="218">
        <v>20</v>
      </c>
      <c r="GQ258" s="156">
        <v>43891</v>
      </c>
      <c r="GR258" s="25">
        <v>22</v>
      </c>
      <c r="GS258" s="25"/>
      <c r="GT258" s="11"/>
      <c r="GU258" s="12"/>
      <c r="GV258" s="26"/>
      <c r="GW258" s="25"/>
      <c r="GX258" s="219"/>
      <c r="GY258" s="25"/>
      <c r="GZ258" s="25"/>
      <c r="HA258" s="25"/>
    </row>
    <row r="259" spans="14:209" x14ac:dyDescent="0.25">
      <c r="N259" s="25"/>
      <c r="FO259" s="263" t="s">
        <v>677</v>
      </c>
      <c r="FP259" s="250">
        <v>43914.462766203702</v>
      </c>
      <c r="FQ259" s="246">
        <v>43852</v>
      </c>
      <c r="FR259" s="26">
        <v>43880</v>
      </c>
      <c r="FS259" s="211">
        <v>5</v>
      </c>
      <c r="FT259" s="25">
        <v>0.31529909536225609</v>
      </c>
      <c r="FU259" s="25">
        <v>3.7371446043826805E-5</v>
      </c>
      <c r="FV259" s="74">
        <v>191.4796358534154</v>
      </c>
      <c r="FW259" s="212">
        <v>8436.8984543036895</v>
      </c>
      <c r="FX259" s="212">
        <v>180.57431132119893</v>
      </c>
      <c r="FY259" s="212"/>
      <c r="FZ259" s="212">
        <v>1.6092741304269209E-3</v>
      </c>
      <c r="GA259" s="216">
        <v>3.7371446043826806E-2</v>
      </c>
      <c r="GB259" s="257">
        <v>43912</v>
      </c>
      <c r="GC259" s="26" t="s">
        <v>850</v>
      </c>
      <c r="GD259" s="212">
        <v>8436.8984543036895</v>
      </c>
      <c r="GE259" s="212">
        <v>8897</v>
      </c>
      <c r="GF259" s="74" t="s">
        <v>851</v>
      </c>
      <c r="GG259" s="156">
        <v>43912</v>
      </c>
      <c r="GH259" s="25">
        <v>61</v>
      </c>
      <c r="GI259" s="25" t="s">
        <v>1036</v>
      </c>
      <c r="GJ259" s="25"/>
      <c r="GK259" s="62" t="s">
        <v>853</v>
      </c>
      <c r="GL259" s="25" t="s">
        <v>849</v>
      </c>
      <c r="GM259" s="25" t="s">
        <v>1037</v>
      </c>
      <c r="GN259" s="165">
        <v>1730.933852140078</v>
      </c>
      <c r="GO259" s="156">
        <v>43894</v>
      </c>
      <c r="GP259" s="218">
        <v>20</v>
      </c>
      <c r="GQ259" s="156">
        <v>43892</v>
      </c>
      <c r="GR259" s="25">
        <v>21</v>
      </c>
      <c r="GS259" s="25"/>
      <c r="GT259" s="11"/>
      <c r="GU259" s="12"/>
      <c r="GV259" s="26"/>
      <c r="GW259" s="25"/>
      <c r="GX259" s="219"/>
      <c r="GY259" s="25"/>
      <c r="GZ259" s="25"/>
    </row>
    <row r="260" spans="14:209" x14ac:dyDescent="0.25">
      <c r="N260" s="25"/>
      <c r="FO260" s="263" t="s">
        <v>677</v>
      </c>
      <c r="FP260" s="250">
        <v>43913.916215277779</v>
      </c>
      <c r="FQ260" s="246">
        <v>43852</v>
      </c>
      <c r="FR260" s="26">
        <v>43880</v>
      </c>
      <c r="FS260" s="211">
        <v>5</v>
      </c>
      <c r="FT260" s="25">
        <v>0.31038865067069232</v>
      </c>
      <c r="FU260" s="25">
        <v>3.6548995738742622E-5</v>
      </c>
      <c r="FV260" s="74">
        <v>200.10242498173187</v>
      </c>
      <c r="FW260" s="212">
        <v>8492.3988853043793</v>
      </c>
      <c r="FX260" s="212">
        <v>198.05252918764555</v>
      </c>
      <c r="FY260" s="212"/>
      <c r="FZ260" s="212">
        <v>1.5145998756406467E-3</v>
      </c>
      <c r="GA260" s="216">
        <v>3.6548995738742623E-2</v>
      </c>
      <c r="GB260" s="257">
        <v>43913</v>
      </c>
      <c r="GC260" s="26" t="s">
        <v>1031</v>
      </c>
      <c r="GD260" s="212">
        <v>8492.3988853043793</v>
      </c>
      <c r="GE260" s="212">
        <v>8961</v>
      </c>
      <c r="GF260" s="73" t="s">
        <v>1032</v>
      </c>
      <c r="GG260" s="156">
        <v>43913</v>
      </c>
      <c r="GH260" s="25">
        <v>62</v>
      </c>
      <c r="GI260" s="25" t="s">
        <v>1033</v>
      </c>
      <c r="GJ260" s="25"/>
      <c r="GK260" s="62" t="s">
        <v>1034</v>
      </c>
      <c r="GL260" s="25" t="s">
        <v>849</v>
      </c>
      <c r="GM260" s="25" t="s">
        <v>1035</v>
      </c>
      <c r="GN260" s="165">
        <v>1743.3852140077822</v>
      </c>
      <c r="GO260" s="156">
        <v>43893</v>
      </c>
      <c r="GP260" s="218">
        <v>20</v>
      </c>
      <c r="GQ260" s="156">
        <v>43891</v>
      </c>
      <c r="GR260" s="25">
        <v>22</v>
      </c>
      <c r="GS260" s="25"/>
      <c r="GT260" s="11"/>
      <c r="GU260" s="12"/>
      <c r="GV260" s="26"/>
      <c r="GW260" s="25"/>
      <c r="GX260" s="219"/>
      <c r="GY260" s="25"/>
      <c r="GZ260" s="25"/>
    </row>
    <row r="261" spans="14:209" x14ac:dyDescent="0.25">
      <c r="N261" s="25"/>
      <c r="FO261" s="263" t="s">
        <v>677</v>
      </c>
      <c r="FP261" s="250">
        <v>43915.873668981483</v>
      </c>
      <c r="FQ261" s="246">
        <v>43852</v>
      </c>
      <c r="FR261" s="26">
        <v>43880</v>
      </c>
      <c r="FS261" s="211">
        <v>5</v>
      </c>
      <c r="FT261" s="25">
        <v>0.30019712593019904</v>
      </c>
      <c r="FU261" s="25">
        <v>3.4875999994484985E-5</v>
      </c>
      <c r="FV261" s="74">
        <v>219.42182753498074</v>
      </c>
      <c r="FW261" s="212">
        <v>8607.5560837730773</v>
      </c>
      <c r="FX261" s="212">
        <v>234.59788490584211</v>
      </c>
      <c r="FY261" s="212"/>
      <c r="FZ261" s="212">
        <v>1.3332519082572176E-3</v>
      </c>
      <c r="GA261" s="216">
        <v>3.4875999994484985E-2</v>
      </c>
      <c r="GB261" s="257">
        <v>43915</v>
      </c>
      <c r="GC261" s="26" t="s">
        <v>1151</v>
      </c>
      <c r="GD261" s="212">
        <v>8607.5560837730773</v>
      </c>
      <c r="GE261" s="212">
        <v>9137</v>
      </c>
      <c r="GF261" s="74" t="s">
        <v>1152</v>
      </c>
      <c r="GG261" s="156">
        <v>43915</v>
      </c>
      <c r="GH261" s="25">
        <v>64</v>
      </c>
      <c r="GI261" s="25" t="s">
        <v>1153</v>
      </c>
      <c r="GJ261" s="25"/>
      <c r="GK261" s="62" t="s">
        <v>1154</v>
      </c>
      <c r="GL261" s="25" t="s">
        <v>849</v>
      </c>
      <c r="GM261" s="25" t="s">
        <v>1155</v>
      </c>
      <c r="GN261" s="165">
        <v>1777.626459143969</v>
      </c>
      <c r="GO261" s="156">
        <v>43896</v>
      </c>
      <c r="GP261" s="218">
        <v>19</v>
      </c>
      <c r="GQ261" s="156">
        <v>43893</v>
      </c>
      <c r="GR261" s="25">
        <v>22</v>
      </c>
      <c r="GS261" s="25"/>
      <c r="GT261" s="11"/>
      <c r="GU261" s="12"/>
      <c r="GV261" s="26"/>
      <c r="GW261" s="25"/>
      <c r="GX261" s="219"/>
      <c r="GY261" s="25"/>
      <c r="GZ261" s="25"/>
    </row>
    <row r="262" spans="14:209" x14ac:dyDescent="0.25">
      <c r="N262" s="25"/>
      <c r="FO262" s="263" t="s">
        <v>677</v>
      </c>
      <c r="FP262" s="250">
        <v>43916.899131944447</v>
      </c>
      <c r="FQ262" s="246">
        <v>43852</v>
      </c>
      <c r="FR262" s="26">
        <v>43880</v>
      </c>
      <c r="FS262" s="211">
        <v>5</v>
      </c>
      <c r="FT262" s="25">
        <v>0.30019712593019904</v>
      </c>
      <c r="FU262" s="71">
        <v>3.4875999994484985E-5</v>
      </c>
      <c r="FV262" s="74">
        <v>219.42182753498074</v>
      </c>
      <c r="FW262" s="212">
        <v>8607.5560837730773</v>
      </c>
      <c r="FX262" s="212">
        <v>234.59788490584211</v>
      </c>
      <c r="FY262" s="212"/>
      <c r="FZ262" s="212">
        <v>1.3332519082572176E-3</v>
      </c>
      <c r="GA262" s="216">
        <v>3.4875999994484985E-2</v>
      </c>
      <c r="GB262" s="257">
        <v>43915</v>
      </c>
      <c r="GC262" s="160" t="s">
        <v>1151</v>
      </c>
      <c r="GD262" s="212">
        <v>8607.5560837730773</v>
      </c>
      <c r="GE262" s="212">
        <v>9137</v>
      </c>
      <c r="GF262" s="73" t="s">
        <v>1152</v>
      </c>
      <c r="GG262" s="156">
        <v>43915</v>
      </c>
      <c r="GH262" s="25">
        <v>64</v>
      </c>
      <c r="GI262" s="25" t="s">
        <v>1153</v>
      </c>
      <c r="GJ262" s="25"/>
      <c r="GK262" s="62" t="s">
        <v>1154</v>
      </c>
      <c r="GL262" s="25" t="s">
        <v>849</v>
      </c>
      <c r="GM262" s="62" t="s">
        <v>1155</v>
      </c>
      <c r="GN262" s="165">
        <v>1777.626459143969</v>
      </c>
      <c r="GO262" s="156">
        <v>43901</v>
      </c>
      <c r="GP262" s="218">
        <v>15</v>
      </c>
      <c r="GQ262" s="156">
        <v>43895</v>
      </c>
      <c r="GR262" s="25">
        <v>21</v>
      </c>
      <c r="GS262" s="25"/>
      <c r="GT262" s="11"/>
      <c r="GU262" s="12"/>
      <c r="GV262" s="26"/>
      <c r="GW262" s="25"/>
      <c r="GX262" s="219"/>
      <c r="GY262" s="25"/>
      <c r="GZ262" s="25"/>
      <c r="HA262" s="25"/>
    </row>
    <row r="263" spans="14:209" x14ac:dyDescent="0.25">
      <c r="N263" s="25"/>
      <c r="FO263" s="263" t="s">
        <v>677</v>
      </c>
      <c r="FP263" s="250">
        <v>43918.901099537034</v>
      </c>
      <c r="FQ263" s="246">
        <v>43852</v>
      </c>
      <c r="FR263" s="26">
        <v>43880</v>
      </c>
      <c r="FS263" s="211">
        <v>5</v>
      </c>
      <c r="FT263" s="25">
        <v>0.28892478455434589</v>
      </c>
      <c r="FU263" s="71">
        <v>3.3118463909478883E-5</v>
      </c>
      <c r="FV263" s="74">
        <v>244.08243764614269</v>
      </c>
      <c r="FW263" s="212">
        <v>8723.9790270481808</v>
      </c>
      <c r="FX263" s="212">
        <v>271.55130809584188</v>
      </c>
      <c r="FY263" s="212"/>
      <c r="FZ263" s="212">
        <v>1.1505995755391977E-3</v>
      </c>
      <c r="GA263" s="216">
        <v>3.3118463909478882E-2</v>
      </c>
      <c r="GB263" s="257">
        <v>43917</v>
      </c>
      <c r="GC263" s="160" t="s">
        <v>1334</v>
      </c>
      <c r="GD263" s="212">
        <v>8723.9790270481808</v>
      </c>
      <c r="GE263" s="212">
        <v>9332</v>
      </c>
      <c r="GF263" s="73" t="s">
        <v>1335</v>
      </c>
      <c r="GG263" s="156">
        <v>43917</v>
      </c>
      <c r="GH263" s="25">
        <v>66</v>
      </c>
      <c r="GI263" s="25" t="s">
        <v>1375</v>
      </c>
      <c r="GJ263" s="25"/>
      <c r="GK263" s="62" t="s">
        <v>1236</v>
      </c>
      <c r="GL263" s="25" t="s">
        <v>849</v>
      </c>
      <c r="GM263" s="62" t="s">
        <v>1376</v>
      </c>
      <c r="GN263" s="165">
        <v>1815.5642023346304</v>
      </c>
      <c r="GO263" s="156">
        <v>43918</v>
      </c>
      <c r="GP263" s="218">
        <v>0</v>
      </c>
      <c r="GQ263" s="156">
        <v>43899</v>
      </c>
      <c r="GR263" s="25">
        <v>19</v>
      </c>
      <c r="GS263" s="25"/>
      <c r="GT263" s="11"/>
      <c r="GU263" s="12"/>
      <c r="GV263" s="26"/>
      <c r="GW263" s="25"/>
      <c r="GX263" s="219"/>
      <c r="GY263" s="25"/>
      <c r="GZ263" s="25"/>
      <c r="HA263" s="25"/>
    </row>
    <row r="264" spans="14:209" x14ac:dyDescent="0.25">
      <c r="N264" s="25"/>
      <c r="FO264" s="263" t="s">
        <v>677</v>
      </c>
      <c r="FP264" s="250">
        <v>43919.68309027778</v>
      </c>
      <c r="FQ264" s="246">
        <v>43852</v>
      </c>
      <c r="FR264" s="26">
        <v>43880</v>
      </c>
      <c r="FS264" s="211">
        <v>5</v>
      </c>
      <c r="FT264" s="25">
        <v>0.28348873442288769</v>
      </c>
      <c r="FU264" s="25">
        <v>3.2268604542758705E-5</v>
      </c>
      <c r="FV264" s="74">
        <v>256.64767487584066</v>
      </c>
      <c r="FW264" s="212">
        <v>8785.2802573857971</v>
      </c>
      <c r="FX264" s="212">
        <v>292.86260516877491</v>
      </c>
      <c r="FY264" s="212"/>
      <c r="FZ264" s="212">
        <v>1.0723146906693722E-3</v>
      </c>
      <c r="GA264" s="216">
        <v>3.2268604542758705E-2</v>
      </c>
      <c r="GB264" s="257">
        <v>43918</v>
      </c>
      <c r="GC264" s="26" t="s">
        <v>1435</v>
      </c>
      <c r="GD264" s="212">
        <v>8785.2802573857971</v>
      </c>
      <c r="GE264" s="212">
        <v>9478</v>
      </c>
      <c r="GF264" s="73" t="s">
        <v>1436</v>
      </c>
      <c r="GG264" s="156">
        <v>43918</v>
      </c>
      <c r="GH264" s="25">
        <v>67</v>
      </c>
      <c r="GI264" s="25" t="s">
        <v>1437</v>
      </c>
      <c r="GJ264" s="25"/>
      <c r="GK264" s="62" t="s">
        <v>1438</v>
      </c>
      <c r="GL264" s="62" t="s">
        <v>849</v>
      </c>
      <c r="GM264" s="25" t="s">
        <v>1439</v>
      </c>
      <c r="GN264" s="165">
        <v>1843.9688715953309</v>
      </c>
      <c r="GO264" s="156">
        <v>43918</v>
      </c>
      <c r="GP264" s="218">
        <v>-1</v>
      </c>
      <c r="GQ264" s="156">
        <v>43904</v>
      </c>
      <c r="GR264" s="25">
        <v>15</v>
      </c>
      <c r="GS264" s="25"/>
      <c r="GT264" s="11"/>
      <c r="GU264" s="12"/>
      <c r="GV264" s="26"/>
      <c r="GW264" s="25"/>
      <c r="GX264" s="219"/>
      <c r="GY264" s="25"/>
      <c r="GZ264" s="25"/>
      <c r="HA264" s="25"/>
    </row>
    <row r="265" spans="14:209" x14ac:dyDescent="0.25">
      <c r="N265" s="25"/>
      <c r="FO265" s="263" t="s">
        <v>677</v>
      </c>
      <c r="FP265" s="250">
        <v>43921.5859837963</v>
      </c>
      <c r="FQ265" s="246">
        <v>43852</v>
      </c>
      <c r="FR265" s="26">
        <v>43880</v>
      </c>
      <c r="FS265" s="211">
        <v>5</v>
      </c>
      <c r="FT265" s="25">
        <v>0.266993349344058</v>
      </c>
      <c r="FU265" s="73">
        <v>2.9756017504010419E-5</v>
      </c>
      <c r="FV265" s="74">
        <v>299.31852033840948</v>
      </c>
      <c r="FW265" s="212">
        <v>8972.7514546620187</v>
      </c>
      <c r="FX265" s="212">
        <v>355.91752082038369</v>
      </c>
      <c r="FY265" s="212"/>
      <c r="FZ265" s="212">
        <v>8.622480891653508E-4</v>
      </c>
      <c r="GA265" s="216">
        <v>2.9756017504010419E-2</v>
      </c>
      <c r="GB265" s="257">
        <v>43921</v>
      </c>
      <c r="GC265" s="26" t="s">
        <v>1499</v>
      </c>
      <c r="GD265" s="212">
        <v>8972.7514546620187</v>
      </c>
      <c r="GE265" s="212">
        <v>9786</v>
      </c>
      <c r="GF265" s="73" t="s">
        <v>1500</v>
      </c>
      <c r="GG265" s="156">
        <v>43921</v>
      </c>
      <c r="GH265" s="25">
        <v>70</v>
      </c>
      <c r="GI265" s="25" t="s">
        <v>1501</v>
      </c>
      <c r="GJ265" s="62"/>
      <c r="GK265" s="62" t="s">
        <v>1502</v>
      </c>
      <c r="GL265" s="25" t="s">
        <v>849</v>
      </c>
      <c r="GM265" s="25" t="s">
        <v>1503</v>
      </c>
      <c r="GN265" s="165">
        <v>1903.8910505836577</v>
      </c>
      <c r="GO265" s="156">
        <v>43918</v>
      </c>
      <c r="GP265" s="218">
        <v>-3</v>
      </c>
      <c r="GQ265" s="156">
        <v>43916</v>
      </c>
      <c r="GR265" s="25">
        <v>5</v>
      </c>
      <c r="GS265" s="25"/>
      <c r="GT265" s="11"/>
      <c r="GU265" s="12"/>
      <c r="GV265" s="26"/>
      <c r="GW265" s="25"/>
      <c r="GX265" s="219"/>
      <c r="GY265" s="25"/>
      <c r="GZ265" s="25"/>
    </row>
    <row r="266" spans="14:209" x14ac:dyDescent="0.25">
      <c r="N266" s="25"/>
      <c r="FO266" s="263" t="s">
        <v>677</v>
      </c>
      <c r="FP266" s="250">
        <v>43922.849756944444</v>
      </c>
      <c r="FQ266" s="246">
        <v>43852</v>
      </c>
      <c r="FR266" s="26">
        <v>43880</v>
      </c>
      <c r="FS266" s="211">
        <v>5</v>
      </c>
      <c r="FT266" s="72">
        <v>0.26699426755941774</v>
      </c>
      <c r="FU266" s="74">
        <v>2.9755923302391593E-5</v>
      </c>
      <c r="FV266" s="74">
        <v>299.31859540813809</v>
      </c>
      <c r="FW266" s="212">
        <v>8972.8107189319999</v>
      </c>
      <c r="FX266" s="214">
        <v>355.91751715940762</v>
      </c>
      <c r="FY266" s="214"/>
      <c r="FZ266" s="212">
        <v>8.6225102733612693E-4</v>
      </c>
      <c r="GA266" s="216">
        <v>2.9755923302391591E-2</v>
      </c>
      <c r="GB266" s="257">
        <v>43921</v>
      </c>
      <c r="GC266" s="26" t="s">
        <v>1499</v>
      </c>
      <c r="GD266" s="214">
        <v>8972.8107189319999</v>
      </c>
      <c r="GE266" s="214">
        <v>9786</v>
      </c>
      <c r="GF266" s="73" t="s">
        <v>1500</v>
      </c>
      <c r="GG266" s="156">
        <v>43921</v>
      </c>
      <c r="GH266" s="25">
        <v>70</v>
      </c>
      <c r="GI266" s="25" t="s">
        <v>1501</v>
      </c>
      <c r="GJ266" s="62"/>
      <c r="GK266" s="62" t="s">
        <v>1502</v>
      </c>
      <c r="GL266" s="25" t="s">
        <v>849</v>
      </c>
      <c r="GM266" s="25" t="s">
        <v>1503</v>
      </c>
      <c r="GN266" s="165">
        <v>1903.8910505836577</v>
      </c>
      <c r="GO266" s="156">
        <v>43918</v>
      </c>
      <c r="GP266" s="218">
        <v>-4</v>
      </c>
      <c r="GQ266" s="156"/>
      <c r="GR266" s="25"/>
      <c r="GS266" s="25"/>
      <c r="GT266" s="11"/>
      <c r="GU266" s="12"/>
      <c r="GV266" s="26"/>
      <c r="GW266" s="25"/>
      <c r="GX266" s="219"/>
      <c r="GY266" s="25"/>
      <c r="GZ266" s="25"/>
    </row>
    <row r="267" spans="14:209" x14ac:dyDescent="0.25">
      <c r="N267" s="25"/>
      <c r="FO267" s="263" t="s">
        <v>677</v>
      </c>
      <c r="FP267" s="250">
        <v>43923.637476851851</v>
      </c>
      <c r="FQ267" s="246">
        <v>43852</v>
      </c>
      <c r="FR267" s="26">
        <v>43880</v>
      </c>
      <c r="FS267" s="211">
        <v>5</v>
      </c>
      <c r="FT267" s="72">
        <v>0.26140045311663107</v>
      </c>
      <c r="FU267" s="74">
        <v>2.8924508592152886E-5</v>
      </c>
      <c r="FV267" s="74">
        <v>315.48073733841915</v>
      </c>
      <c r="FW267" s="212">
        <v>9037.3342829253143</v>
      </c>
      <c r="FX267" s="214">
        <v>377.26423913694936</v>
      </c>
      <c r="FY267" s="212">
        <v>0.99166725623290242</v>
      </c>
      <c r="FZ267" s="212">
        <v>7.996536649025551E-4</v>
      </c>
      <c r="GA267" s="216">
        <v>2.8924508592152887E-2</v>
      </c>
      <c r="GB267" s="257">
        <v>43922</v>
      </c>
      <c r="GC267" s="26" t="s">
        <v>1613</v>
      </c>
      <c r="GD267" s="214">
        <v>9037.3342829253143</v>
      </c>
      <c r="GE267" s="214">
        <v>9887</v>
      </c>
      <c r="GF267" s="73" t="s">
        <v>1614</v>
      </c>
      <c r="GG267" s="156">
        <v>43922</v>
      </c>
      <c r="GH267" s="25">
        <v>71</v>
      </c>
      <c r="GI267" s="62" t="s">
        <v>1615</v>
      </c>
      <c r="GJ267" s="62"/>
      <c r="GK267" s="62" t="s">
        <v>1616</v>
      </c>
      <c r="GL267" s="25" t="s">
        <v>849</v>
      </c>
      <c r="GM267" s="25" t="s">
        <v>1617</v>
      </c>
      <c r="GN267" s="165">
        <v>1923.5408560311284</v>
      </c>
      <c r="GO267" s="156">
        <v>43918</v>
      </c>
      <c r="GP267" s="218">
        <v>-5</v>
      </c>
      <c r="GQ267" s="156"/>
      <c r="GR267" s="25"/>
      <c r="GS267" s="25"/>
      <c r="GT267" s="11"/>
      <c r="GU267" s="12"/>
      <c r="GV267" s="26"/>
      <c r="GW267" s="25"/>
      <c r="GX267" s="219"/>
      <c r="GY267" s="25"/>
      <c r="GZ267" s="25"/>
      <c r="HA267" s="25"/>
    </row>
    <row r="268" spans="14:209" x14ac:dyDescent="0.25">
      <c r="N268" s="25"/>
      <c r="FO268" s="267" t="s">
        <v>677</v>
      </c>
      <c r="FP268" s="250">
        <v>43925.469340277778</v>
      </c>
      <c r="FQ268" s="246">
        <v>43852</v>
      </c>
      <c r="FR268" s="160">
        <v>43880</v>
      </c>
      <c r="FS268" s="211">
        <v>5</v>
      </c>
      <c r="FT268" s="72">
        <v>0.2503684059324624</v>
      </c>
      <c r="FU268" s="74">
        <v>2.7314855600749419E-5</v>
      </c>
      <c r="FV268" s="74">
        <v>350.19037756035016</v>
      </c>
      <c r="FW268" s="212">
        <v>9166.0160899987768</v>
      </c>
      <c r="FX268" s="212">
        <v>417.58167102514858</v>
      </c>
      <c r="FY268" s="212">
        <v>0.98984464824052143</v>
      </c>
      <c r="FZ268" s="212">
        <v>6.8763456041887007E-4</v>
      </c>
      <c r="GA268" s="216">
        <v>2.7314855600749418E-2</v>
      </c>
      <c r="GB268" s="257">
        <v>43924</v>
      </c>
      <c r="GC268" s="160" t="s">
        <v>726</v>
      </c>
      <c r="GD268" s="212">
        <v>9166.0160899987768</v>
      </c>
      <c r="GE268" s="212">
        <v>10062</v>
      </c>
      <c r="GF268" s="74" t="s">
        <v>1675</v>
      </c>
      <c r="GG268" s="156">
        <v>43924</v>
      </c>
      <c r="GH268" s="25">
        <v>73</v>
      </c>
      <c r="GI268" s="21" t="s">
        <v>1676</v>
      </c>
      <c r="GJ268" s="161"/>
      <c r="GK268" s="161" t="s">
        <v>1677</v>
      </c>
      <c r="GL268" s="23" t="s">
        <v>849</v>
      </c>
      <c r="GM268" s="23" t="s">
        <v>1678</v>
      </c>
      <c r="GN268" s="165">
        <v>1957.5875486381324</v>
      </c>
      <c r="GO268" s="156">
        <v>43918</v>
      </c>
      <c r="GP268" s="218">
        <v>-6</v>
      </c>
      <c r="GQ268" s="156"/>
      <c r="GR268" s="25"/>
      <c r="GS268" s="23"/>
      <c r="GT268" s="11"/>
      <c r="GU268" s="12"/>
      <c r="GV268" s="26"/>
      <c r="GW268" s="25"/>
      <c r="GX268" s="219"/>
      <c r="GY268" s="25"/>
      <c r="GZ268" s="25"/>
      <c r="HA268" s="25"/>
    </row>
    <row r="269" spans="14:209" x14ac:dyDescent="0.25">
      <c r="N269" s="25"/>
      <c r="FO269" s="267" t="s">
        <v>677</v>
      </c>
      <c r="FP269" s="250">
        <v>43925.482245370367</v>
      </c>
      <c r="FQ269" s="246">
        <v>43852</v>
      </c>
      <c r="FR269" s="160">
        <v>43880</v>
      </c>
      <c r="FS269" s="211">
        <v>5</v>
      </c>
      <c r="FT269" s="72">
        <v>0.25036884033248069</v>
      </c>
      <c r="FU269" s="74">
        <v>2.7314795718518142E-5</v>
      </c>
      <c r="FV269" s="74">
        <v>350.19042845601115</v>
      </c>
      <c r="FW269" s="212">
        <v>9166.0520881268185</v>
      </c>
      <c r="FX269" s="212">
        <v>417.58166992114502</v>
      </c>
      <c r="FY269" s="212">
        <v>0.98984464829421892</v>
      </c>
      <c r="FZ269" s="212">
        <v>6.8763575686042115E-4</v>
      </c>
      <c r="GA269" s="216">
        <v>2.731479571851814E-2</v>
      </c>
      <c r="GB269" s="257">
        <v>43924</v>
      </c>
      <c r="GC269" s="160" t="s">
        <v>726</v>
      </c>
      <c r="GD269" s="212">
        <v>9166.0520881268185</v>
      </c>
      <c r="GE269" s="212">
        <v>10062</v>
      </c>
      <c r="GF269" s="74" t="s">
        <v>1675</v>
      </c>
      <c r="GG269" s="156">
        <v>43924</v>
      </c>
      <c r="GH269" s="25">
        <v>73</v>
      </c>
      <c r="GI269" s="21" t="s">
        <v>1676</v>
      </c>
      <c r="GJ269" s="161"/>
      <c r="GK269" s="161" t="s">
        <v>1677</v>
      </c>
      <c r="GL269" s="23" t="s">
        <v>849</v>
      </c>
      <c r="GM269" s="23" t="s">
        <v>1678</v>
      </c>
      <c r="GN269" s="165">
        <v>1957.5875486381324</v>
      </c>
      <c r="GO269" s="156">
        <v>43918</v>
      </c>
      <c r="GP269" s="218">
        <v>-6</v>
      </c>
      <c r="GQ269" s="156"/>
      <c r="GR269" s="25"/>
      <c r="GS269" s="23"/>
      <c r="GT269" s="11"/>
      <c r="GU269" s="12"/>
      <c r="GV269" s="26"/>
      <c r="GW269" s="25"/>
      <c r="GX269" s="219"/>
      <c r="GY269" s="25"/>
      <c r="GZ269" s="25"/>
      <c r="HA269" s="25"/>
    </row>
    <row r="270" spans="14:209" x14ac:dyDescent="0.25">
      <c r="N270" s="25"/>
      <c r="FO270" s="265" t="s">
        <v>677</v>
      </c>
      <c r="FP270" s="250">
        <v>43925.970578703702</v>
      </c>
      <c r="FQ270" s="246">
        <v>43852</v>
      </c>
      <c r="FR270" s="26">
        <v>43880</v>
      </c>
      <c r="FS270" s="211">
        <v>5</v>
      </c>
      <c r="FT270" s="25">
        <v>0.25036884033248069</v>
      </c>
      <c r="FU270" s="22">
        <v>2.7314795718518142E-5</v>
      </c>
      <c r="FV270" s="24">
        <v>350.19042845601115</v>
      </c>
      <c r="FW270" s="212">
        <v>9166.0520881268185</v>
      </c>
      <c r="FX270" s="212">
        <v>417.58166992114502</v>
      </c>
      <c r="FY270" s="212">
        <v>0.98984464829421892</v>
      </c>
      <c r="FZ270" s="212">
        <v>6.8763575686042115E-4</v>
      </c>
      <c r="GA270" s="216">
        <v>2.731479571851814E-2</v>
      </c>
      <c r="GB270" s="257">
        <v>43924</v>
      </c>
      <c r="GC270" s="26" t="s">
        <v>726</v>
      </c>
      <c r="GD270" s="214">
        <v>9166.0520881268185</v>
      </c>
      <c r="GE270" s="212">
        <v>10062</v>
      </c>
      <c r="GF270" s="74" t="s">
        <v>1675</v>
      </c>
      <c r="GG270" s="156">
        <v>43924</v>
      </c>
      <c r="GH270" s="25">
        <v>73</v>
      </c>
      <c r="GI270" s="25" t="s">
        <v>1676</v>
      </c>
      <c r="GJ270" s="18"/>
      <c r="GK270" s="25" t="s">
        <v>1677</v>
      </c>
      <c r="GL270" s="25" t="s">
        <v>849</v>
      </c>
      <c r="GM270" s="25" t="s">
        <v>1678</v>
      </c>
      <c r="GN270" s="165">
        <v>1957.5875486381324</v>
      </c>
      <c r="GO270" s="156">
        <v>43918</v>
      </c>
      <c r="GP270" s="218">
        <v>-7</v>
      </c>
      <c r="GQ270" s="156">
        <v>43923</v>
      </c>
      <c r="GR270" s="25">
        <v>-2</v>
      </c>
      <c r="GS270" s="25"/>
      <c r="GT270" s="11"/>
      <c r="GU270" s="12"/>
      <c r="GV270" s="26"/>
      <c r="GW270" s="25"/>
      <c r="GX270" s="219"/>
      <c r="GY270" s="25"/>
      <c r="GZ270" s="25"/>
      <c r="HA270" s="25"/>
    </row>
    <row r="271" spans="14:209" x14ac:dyDescent="0.25">
      <c r="N271" s="25"/>
      <c r="FO271" s="267" t="s">
        <v>677</v>
      </c>
      <c r="FP271" s="250">
        <v>43926.549756944441</v>
      </c>
      <c r="FQ271" s="246">
        <v>43852</v>
      </c>
      <c r="FR271" s="160">
        <v>43880</v>
      </c>
      <c r="FS271" s="211">
        <v>5</v>
      </c>
      <c r="FT271" s="72">
        <v>0.24490710732500739</v>
      </c>
      <c r="FU271" s="72">
        <v>2.6531771494773262E-5</v>
      </c>
      <c r="FV271" s="74">
        <v>368.87393996085882</v>
      </c>
      <c r="FW271" s="212">
        <v>9230.7107112411959</v>
      </c>
      <c r="FX271" s="212">
        <v>437.04047825391081</v>
      </c>
      <c r="FY271" s="212">
        <v>0.98890123080599945</v>
      </c>
      <c r="FZ271" s="212">
        <v>6.3739994282203233E-4</v>
      </c>
      <c r="GA271" s="216">
        <v>2.6531771494773263E-2</v>
      </c>
      <c r="GB271" s="257">
        <v>43925</v>
      </c>
      <c r="GC271" s="160" t="s">
        <v>1892</v>
      </c>
      <c r="GD271" s="212">
        <v>9230.7107112411959</v>
      </c>
      <c r="GE271" s="212">
        <v>10156</v>
      </c>
      <c r="GF271" s="74" t="s">
        <v>1893</v>
      </c>
      <c r="GG271" s="156">
        <v>43925</v>
      </c>
      <c r="GH271" s="25">
        <v>74</v>
      </c>
      <c r="GI271" s="23" t="s">
        <v>1894</v>
      </c>
      <c r="GJ271" s="21"/>
      <c r="GK271" s="161" t="s">
        <v>1895</v>
      </c>
      <c r="GL271" s="23" t="s">
        <v>849</v>
      </c>
      <c r="GM271" s="23" t="s">
        <v>1896</v>
      </c>
      <c r="GN271" s="165">
        <v>1975.8754863813231</v>
      </c>
      <c r="GO271" s="156">
        <v>43918</v>
      </c>
      <c r="GP271" s="218">
        <v>-8</v>
      </c>
      <c r="GQ271" s="156">
        <v>43923</v>
      </c>
      <c r="GR271" s="23">
        <v>-3</v>
      </c>
      <c r="GS271" s="23"/>
      <c r="GT271" s="11"/>
      <c r="GU271" s="34"/>
      <c r="GV271" s="26"/>
      <c r="GW271" s="25"/>
      <c r="GX271" s="219"/>
      <c r="GY271" s="25"/>
      <c r="GZ271" s="25"/>
      <c r="HA271" s="25"/>
    </row>
    <row r="272" spans="14:209" x14ac:dyDescent="0.25">
      <c r="N272" s="25"/>
      <c r="FO272" s="267" t="s">
        <v>677</v>
      </c>
      <c r="FP272" s="250">
        <v>43927.804560185185</v>
      </c>
      <c r="FQ272" s="246">
        <v>43852</v>
      </c>
      <c r="FR272" s="160">
        <v>43880</v>
      </c>
      <c r="FS272" s="211">
        <v>5</v>
      </c>
      <c r="FT272" s="72">
        <v>0.2395317444582592</v>
      </c>
      <c r="FU272" s="72">
        <v>2.5769914607627369E-5</v>
      </c>
      <c r="FV272" s="74">
        <v>388.31087239676117</v>
      </c>
      <c r="FW272" s="212">
        <v>9295.0150633158355</v>
      </c>
      <c r="FX272" s="212">
        <v>455.63393746842826</v>
      </c>
      <c r="FY272" s="212">
        <v>0.98796021526397126</v>
      </c>
      <c r="FZ272" s="212">
        <v>5.910857067140307E-4</v>
      </c>
      <c r="GA272" s="216">
        <v>2.576991460762737E-2</v>
      </c>
      <c r="GB272" s="257">
        <v>43926</v>
      </c>
      <c r="GC272" s="160" t="s">
        <v>1934</v>
      </c>
      <c r="GD272" s="212">
        <v>9295.0150633158355</v>
      </c>
      <c r="GE272" s="212">
        <v>10237</v>
      </c>
      <c r="GF272" s="74" t="s">
        <v>1935</v>
      </c>
      <c r="GG272" s="156">
        <v>43926</v>
      </c>
      <c r="GH272" s="25">
        <v>75</v>
      </c>
      <c r="GI272" s="23" t="s">
        <v>1936</v>
      </c>
      <c r="GJ272" s="21"/>
      <c r="GK272" s="161" t="s">
        <v>1937</v>
      </c>
      <c r="GL272" s="23" t="s">
        <v>849</v>
      </c>
      <c r="GM272" s="23" t="s">
        <v>1938</v>
      </c>
      <c r="GN272" s="165">
        <v>1991.6342412451363</v>
      </c>
      <c r="GO272" s="156">
        <v>43918</v>
      </c>
      <c r="GP272" s="218">
        <v>-9</v>
      </c>
      <c r="GQ272" s="243">
        <v>43923</v>
      </c>
      <c r="GR272" s="23">
        <v>-4</v>
      </c>
      <c r="GS272" s="23"/>
      <c r="GT272" s="11"/>
      <c r="GU272" s="34"/>
      <c r="GV272" s="26"/>
      <c r="GW272" s="25"/>
      <c r="GX272" s="219"/>
      <c r="GY272" s="25"/>
      <c r="GZ272" s="25"/>
      <c r="HA272" s="25"/>
    </row>
    <row r="273" spans="14:209" x14ac:dyDescent="0.25">
      <c r="N273" s="25"/>
      <c r="FO273" s="263" t="s">
        <v>677</v>
      </c>
      <c r="FP273" s="250">
        <v>43928.749363425923</v>
      </c>
      <c r="FQ273" s="246">
        <v>43852</v>
      </c>
      <c r="FR273" s="26">
        <v>43880</v>
      </c>
      <c r="FS273" s="211">
        <v>5</v>
      </c>
      <c r="FT273" s="72">
        <v>0.23441567229685117</v>
      </c>
      <c r="FU273" s="72">
        <v>2.5052713544878504E-5</v>
      </c>
      <c r="FV273" s="74">
        <v>407.83309379867188</v>
      </c>
      <c r="FW273" s="212">
        <v>9356.8974824594388</v>
      </c>
      <c r="FX273" s="214">
        <v>472.04523602259763</v>
      </c>
      <c r="FY273" s="214">
        <v>0.98709405921259163</v>
      </c>
      <c r="FZ273" s="212">
        <v>5.4973063744176616E-4</v>
      </c>
      <c r="GA273" s="216">
        <v>2.5052713544878504E-2</v>
      </c>
      <c r="GB273" s="257">
        <v>43927</v>
      </c>
      <c r="GC273" s="26" t="s">
        <v>1982</v>
      </c>
      <c r="GD273" s="214">
        <v>9356.8974824594388</v>
      </c>
      <c r="GE273" s="214">
        <v>10284</v>
      </c>
      <c r="GF273" s="73" t="s">
        <v>1953</v>
      </c>
      <c r="GG273" s="156">
        <v>43927</v>
      </c>
      <c r="GH273" s="25">
        <v>76</v>
      </c>
      <c r="GI273" s="25" t="s">
        <v>1983</v>
      </c>
      <c r="GK273" s="62" t="s">
        <v>1984</v>
      </c>
      <c r="GL273" s="25" t="s">
        <v>849</v>
      </c>
      <c r="GM273" s="25" t="s">
        <v>1985</v>
      </c>
      <c r="GN273" s="165">
        <v>2000.7782101167315</v>
      </c>
      <c r="GO273" s="156">
        <v>43918</v>
      </c>
      <c r="GP273" s="218">
        <v>-10</v>
      </c>
      <c r="GQ273" s="156">
        <v>43923</v>
      </c>
      <c r="GR273" s="25">
        <v>-5</v>
      </c>
      <c r="GS273" s="25"/>
      <c r="GT273" s="11">
        <v>2810.245407927302</v>
      </c>
      <c r="GU273" s="12">
        <v>0.23593081613731542</v>
      </c>
      <c r="GV273" s="26">
        <v>43883</v>
      </c>
      <c r="GW273" s="25" t="s">
        <v>1645</v>
      </c>
      <c r="GX273" s="219">
        <v>-929.76718220100702</v>
      </c>
      <c r="GY273" s="25" t="s">
        <v>677</v>
      </c>
      <c r="GZ273" s="25"/>
    </row>
    <row r="274" spans="14:209" x14ac:dyDescent="0.25">
      <c r="N274" s="25"/>
      <c r="FO274" s="267" t="s">
        <v>677</v>
      </c>
      <c r="FP274" s="251">
        <v>43930.812222222223</v>
      </c>
      <c r="FQ274" s="246">
        <v>43852</v>
      </c>
      <c r="FR274" s="160">
        <v>43880</v>
      </c>
      <c r="FS274" s="211">
        <v>5</v>
      </c>
      <c r="FT274" s="72">
        <v>0.22484747763379645</v>
      </c>
      <c r="FU274" s="72">
        <v>2.3731556333769814E-5</v>
      </c>
      <c r="FV274" s="74">
        <v>447.21470486251786</v>
      </c>
      <c r="FW274" s="212">
        <v>9474.619973146906</v>
      </c>
      <c r="FX274" s="212">
        <v>500.1019586067992</v>
      </c>
      <c r="FY274" s="212">
        <v>0.98552906152119613</v>
      </c>
      <c r="FZ274" s="212">
        <v>4.7904144104098952E-4</v>
      </c>
      <c r="GA274" s="216">
        <v>2.3731556333769815E-2</v>
      </c>
      <c r="GB274" s="257">
        <v>43929</v>
      </c>
      <c r="GC274" s="160" t="s">
        <v>2036</v>
      </c>
      <c r="GD274" s="212">
        <v>9474.619973146906</v>
      </c>
      <c r="GE274" s="212">
        <v>10384</v>
      </c>
      <c r="GF274" s="74" t="s">
        <v>2037</v>
      </c>
      <c r="GG274" s="156">
        <v>43929</v>
      </c>
      <c r="GH274" s="25">
        <v>78</v>
      </c>
      <c r="GI274" s="23" t="s">
        <v>2038</v>
      </c>
      <c r="GJ274" s="21"/>
      <c r="GK274" s="161" t="s">
        <v>2039</v>
      </c>
      <c r="GL274" s="23" t="s">
        <v>849</v>
      </c>
      <c r="GM274" s="23" t="s">
        <v>2040</v>
      </c>
      <c r="GN274" s="23">
        <v>2020.2334630350197</v>
      </c>
      <c r="GO274" s="243">
        <v>43919</v>
      </c>
      <c r="GP274" s="218">
        <v>-11</v>
      </c>
      <c r="GQ274" s="243">
        <v>43923</v>
      </c>
      <c r="GR274" s="23">
        <v>-7</v>
      </c>
      <c r="GS274" s="23"/>
      <c r="GT274" s="11">
        <v>2806.5119453888437</v>
      </c>
      <c r="GU274" s="34">
        <v>0.24754661664473687</v>
      </c>
      <c r="GV274" s="160">
        <v>43883</v>
      </c>
      <c r="GW274" s="23" t="s">
        <v>1645</v>
      </c>
      <c r="GX274" s="220">
        <v>-911.88609476761121</v>
      </c>
      <c r="GY274" s="23" t="s">
        <v>677</v>
      </c>
      <c r="GZ274" s="23"/>
      <c r="HA274" s="25"/>
    </row>
    <row r="275" spans="14:209" x14ac:dyDescent="0.25">
      <c r="N275" s="25"/>
      <c r="FO275" s="267" t="s">
        <v>678</v>
      </c>
      <c r="FP275" s="251">
        <v>43931.867511574077</v>
      </c>
      <c r="FQ275" s="246">
        <v>43852</v>
      </c>
      <c r="FR275" s="160">
        <v>43880</v>
      </c>
      <c r="FS275" s="211">
        <v>5</v>
      </c>
      <c r="FT275" s="72">
        <v>0.2203869395085282</v>
      </c>
      <c r="FU275" s="72">
        <v>2.3124522945975068E-5</v>
      </c>
      <c r="FV275" s="74">
        <v>466.96313831558922</v>
      </c>
      <c r="FW275" s="212">
        <v>9530.4426397642765</v>
      </c>
      <c r="FX275" s="212">
        <v>511.99457991377551</v>
      </c>
      <c r="FY275" s="212">
        <v>0.98482901515712618</v>
      </c>
      <c r="FZ275" s="212">
        <v>4.4883337142551463E-4</v>
      </c>
      <c r="GA275" s="216">
        <v>2.3124522945975067E-2</v>
      </c>
      <c r="GB275" s="257">
        <v>43930</v>
      </c>
      <c r="GC275" s="160" t="s">
        <v>2096</v>
      </c>
      <c r="GD275" s="212">
        <v>9530.4426397642765</v>
      </c>
      <c r="GE275" s="212">
        <v>10423</v>
      </c>
      <c r="GF275" s="74" t="s">
        <v>2097</v>
      </c>
      <c r="GG275" s="243">
        <v>43930</v>
      </c>
      <c r="GH275" s="160">
        <v>79</v>
      </c>
      <c r="GI275" s="23" t="s">
        <v>2098</v>
      </c>
      <c r="GJ275" s="21"/>
      <c r="GK275" s="161" t="s">
        <v>2099</v>
      </c>
      <c r="GL275" s="23" t="s">
        <v>849</v>
      </c>
      <c r="GM275" s="23" t="s">
        <v>2100</v>
      </c>
      <c r="GN275" s="23">
        <v>2027.8210116731518</v>
      </c>
      <c r="GO275" s="243">
        <v>44103</v>
      </c>
      <c r="GP275" s="218">
        <v>172</v>
      </c>
      <c r="GQ275" s="243">
        <v>44103</v>
      </c>
      <c r="GR275" s="23">
        <v>172</v>
      </c>
      <c r="GS275" s="23"/>
      <c r="GT275" s="11">
        <v>9529.4360006271763</v>
      </c>
      <c r="GU275" s="34">
        <v>0.25248509457515167</v>
      </c>
      <c r="GV275" s="160">
        <v>43883</v>
      </c>
      <c r="GW275" s="23" t="s">
        <v>2101</v>
      </c>
      <c r="GX275" s="220">
        <v>-894.98766227498709</v>
      </c>
      <c r="GY275" s="23" t="s">
        <v>678</v>
      </c>
      <c r="GZ275" s="23"/>
      <c r="HA275" s="25"/>
    </row>
    <row r="276" spans="14:209" x14ac:dyDescent="0.25">
      <c r="N276" s="25"/>
      <c r="FO276" s="267" t="s">
        <v>678</v>
      </c>
      <c r="FP276" s="251">
        <v>43933.907835648148</v>
      </c>
      <c r="FQ276" s="247">
        <v>43852</v>
      </c>
      <c r="FR276" s="160">
        <v>43880</v>
      </c>
      <c r="FS276" s="211">
        <v>5</v>
      </c>
      <c r="FT276" s="72">
        <v>0.21228421705360878</v>
      </c>
      <c r="FU276" s="72">
        <v>2.2035239220669208E-5</v>
      </c>
      <c r="FV276" s="74">
        <v>505.2232657487358</v>
      </c>
      <c r="FW276" s="212">
        <v>9633.8512565130077</v>
      </c>
      <c r="FX276" s="212">
        <v>531.18862429007845</v>
      </c>
      <c r="FY276" s="212">
        <v>0.98363518465398703</v>
      </c>
      <c r="FZ276" s="212">
        <v>3.9814378151188889E-4</v>
      </c>
      <c r="GA276" s="216">
        <v>2.203523922066921E-2</v>
      </c>
      <c r="GB276" s="257">
        <v>43932</v>
      </c>
      <c r="GC276" s="160" t="s">
        <v>2232</v>
      </c>
      <c r="GD276" s="212">
        <v>9633.8512565130077</v>
      </c>
      <c r="GE276" s="212">
        <v>10480</v>
      </c>
      <c r="GF276" s="74" t="s">
        <v>2233</v>
      </c>
      <c r="GG276" s="243">
        <v>43932</v>
      </c>
      <c r="GH276" s="160">
        <v>81</v>
      </c>
      <c r="GI276" s="23" t="s">
        <v>2234</v>
      </c>
      <c r="GJ276" s="21"/>
      <c r="GK276" s="161" t="s">
        <v>2235</v>
      </c>
      <c r="GL276" s="23" t="s">
        <v>849</v>
      </c>
      <c r="GM276" s="23" t="s">
        <v>2236</v>
      </c>
      <c r="GN276" s="23">
        <v>2038.910505836576</v>
      </c>
      <c r="GO276" s="243">
        <v>43919</v>
      </c>
      <c r="GP276" s="218">
        <v>-14</v>
      </c>
      <c r="GQ276" s="243">
        <v>44079</v>
      </c>
      <c r="GR276" s="23">
        <v>146</v>
      </c>
      <c r="GS276" s="23"/>
      <c r="GT276" s="11">
        <v>9633.2184723556311</v>
      </c>
      <c r="GU276" s="34">
        <v>0.26052571840181327</v>
      </c>
      <c r="GV276" s="160">
        <v>43883</v>
      </c>
      <c r="GW276" s="23" t="s">
        <v>2101</v>
      </c>
      <c r="GX276" s="220">
        <v>-848.40997672336925</v>
      </c>
      <c r="GY276" s="23" t="s">
        <v>678</v>
      </c>
      <c r="GZ276" s="23"/>
      <c r="HA276" s="25"/>
    </row>
    <row r="277" spans="14:209" x14ac:dyDescent="0.25">
      <c r="N277" s="25"/>
      <c r="FO277" s="267" t="s">
        <v>678</v>
      </c>
      <c r="FP277" s="251">
        <v>43933.917013888888</v>
      </c>
      <c r="FQ277" s="247">
        <v>43852</v>
      </c>
      <c r="FR277" s="160">
        <v>43880</v>
      </c>
      <c r="FS277" s="211">
        <v>5</v>
      </c>
      <c r="FT277" s="72">
        <v>0.21228435404151508</v>
      </c>
      <c r="FU277" s="72">
        <v>2.2035207271098791E-5</v>
      </c>
      <c r="FV277" s="74">
        <v>505.22332334523782</v>
      </c>
      <c r="FW277" s="212">
        <v>9633.8714417243355</v>
      </c>
      <c r="FX277" s="212">
        <v>531.18862403042192</v>
      </c>
      <c r="FY277" s="212">
        <v>0.98363518466998601</v>
      </c>
      <c r="FZ277" s="212">
        <v>3.98144036703458E-4</v>
      </c>
      <c r="GA277" s="216">
        <v>2.203520727109879E-2</v>
      </c>
      <c r="GB277" s="257">
        <v>43932</v>
      </c>
      <c r="GC277" s="160" t="s">
        <v>2232</v>
      </c>
      <c r="GD277" s="212">
        <v>9633.8714417243355</v>
      </c>
      <c r="GE277" s="212">
        <v>10480</v>
      </c>
      <c r="GF277" s="74" t="s">
        <v>2233</v>
      </c>
      <c r="GG277" s="243">
        <v>43932</v>
      </c>
      <c r="GH277" s="160">
        <v>81</v>
      </c>
      <c r="GI277" s="23" t="s">
        <v>2275</v>
      </c>
      <c r="GJ277" s="21"/>
      <c r="GK277" s="161" t="s">
        <v>2235</v>
      </c>
      <c r="GL277" s="23" t="s">
        <v>849</v>
      </c>
      <c r="GM277" s="23" t="s">
        <v>2276</v>
      </c>
      <c r="GN277" s="23">
        <v>2038.910505836576</v>
      </c>
      <c r="GO277" s="243">
        <v>43919</v>
      </c>
      <c r="GP277" s="218">
        <v>-14</v>
      </c>
      <c r="GQ277" s="243">
        <v>44079</v>
      </c>
      <c r="GR277" s="23">
        <v>146</v>
      </c>
      <c r="GS277" s="23"/>
      <c r="GT277" s="11">
        <v>9633.2386600321352</v>
      </c>
      <c r="GU277" s="34">
        <v>0.26052571827446264</v>
      </c>
      <c r="GV277" s="160">
        <v>43883</v>
      </c>
      <c r="GW277" s="23" t="s">
        <v>2101</v>
      </c>
      <c r="GX277" s="220">
        <v>-848.38978456322729</v>
      </c>
      <c r="GY277" s="23" t="s">
        <v>678</v>
      </c>
      <c r="GZ277" s="23"/>
      <c r="HA277" s="25"/>
    </row>
    <row r="278" spans="14:209" x14ac:dyDescent="0.25">
      <c r="N278" s="25"/>
      <c r="FO278" s="267" t="s">
        <v>678</v>
      </c>
      <c r="FP278" s="251">
        <v>43933.921527777777</v>
      </c>
      <c r="FQ278" s="247">
        <v>43852</v>
      </c>
      <c r="FR278" s="160">
        <v>43880</v>
      </c>
      <c r="FS278" s="211">
        <v>5</v>
      </c>
      <c r="FT278" s="72">
        <v>0.21228435404151508</v>
      </c>
      <c r="FU278" s="72">
        <v>2.2035207271098791E-5</v>
      </c>
      <c r="FV278" s="74">
        <v>505.22332334523782</v>
      </c>
      <c r="FW278" s="212">
        <v>9633.8714417243355</v>
      </c>
      <c r="FX278" s="212">
        <v>531.18862403042192</v>
      </c>
      <c r="FY278" s="212">
        <v>0.98363518466998601</v>
      </c>
      <c r="FZ278" s="212">
        <v>3.98144036703458E-4</v>
      </c>
      <c r="GA278" s="216">
        <v>2.203520727109879E-2</v>
      </c>
      <c r="GB278" s="257">
        <v>43932</v>
      </c>
      <c r="GC278" s="160" t="s">
        <v>2232</v>
      </c>
      <c r="GD278" s="212">
        <v>9633.8714417243355</v>
      </c>
      <c r="GE278" s="212">
        <v>10480</v>
      </c>
      <c r="GF278" s="74" t="s">
        <v>2233</v>
      </c>
      <c r="GG278" s="243">
        <v>43932</v>
      </c>
      <c r="GH278" s="160">
        <v>81</v>
      </c>
      <c r="GI278" s="23" t="s">
        <v>2234</v>
      </c>
      <c r="GJ278" s="21"/>
      <c r="GK278" s="161" t="s">
        <v>2235</v>
      </c>
      <c r="GL278" s="23" t="s">
        <v>849</v>
      </c>
      <c r="GM278" s="23" t="s">
        <v>2236</v>
      </c>
      <c r="GN278" s="23">
        <v>2038.910505836576</v>
      </c>
      <c r="GO278" s="243">
        <v>43919</v>
      </c>
      <c r="GP278" s="218">
        <v>-14</v>
      </c>
      <c r="GQ278" s="243">
        <v>44079</v>
      </c>
      <c r="GR278" s="23">
        <v>146</v>
      </c>
      <c r="GS278" s="23"/>
      <c r="GT278" s="11">
        <v>9633.2386600321352</v>
      </c>
      <c r="GU278" s="34">
        <v>0.26052571827446264</v>
      </c>
      <c r="GV278" s="160">
        <v>43883</v>
      </c>
      <c r="GW278" s="23" t="s">
        <v>2101</v>
      </c>
      <c r="GX278" s="220">
        <v>-848.38978456322729</v>
      </c>
      <c r="GY278" s="23" t="s">
        <v>678</v>
      </c>
      <c r="GZ278" s="23"/>
      <c r="HA278" s="25"/>
    </row>
    <row r="279" spans="14:209" x14ac:dyDescent="0.25">
      <c r="N279" s="25"/>
      <c r="FO279" s="263" t="s">
        <v>2302</v>
      </c>
      <c r="FP279" s="252">
        <v>43934.70449074074</v>
      </c>
      <c r="FQ279" s="247">
        <v>43852</v>
      </c>
      <c r="FR279" s="160">
        <v>43880</v>
      </c>
      <c r="FS279" s="211">
        <v>5</v>
      </c>
      <c r="FT279" s="72">
        <v>0.20853424410133478</v>
      </c>
      <c r="FU279" s="72">
        <v>2.1537499167879608E-5</v>
      </c>
      <c r="FV279" s="74">
        <v>524.081817046232</v>
      </c>
      <c r="FW279" s="212">
        <v>9682.3796707250312</v>
      </c>
      <c r="FX279" s="214">
        <v>539.1369277885758</v>
      </c>
      <c r="FY279" s="214">
        <v>0.98311244879503579</v>
      </c>
      <c r="FZ279" s="212">
        <v>3.7636648703918025E-4</v>
      </c>
      <c r="GA279" s="216">
        <v>2.1537499167879608E-2</v>
      </c>
      <c r="GB279" s="257">
        <v>43933</v>
      </c>
      <c r="GC279" s="26" t="s">
        <v>2328</v>
      </c>
      <c r="GD279" s="214">
        <v>9682.3796707250312</v>
      </c>
      <c r="GE279" s="214">
        <v>10512</v>
      </c>
      <c r="GF279" s="73" t="s">
        <v>2329</v>
      </c>
      <c r="GG279" s="156">
        <v>43933</v>
      </c>
      <c r="GH279" s="26">
        <v>82</v>
      </c>
      <c r="GI279" s="25" t="s">
        <v>2330</v>
      </c>
      <c r="GK279" s="62" t="s">
        <v>2331</v>
      </c>
      <c r="GL279" s="25" t="s">
        <v>849</v>
      </c>
      <c r="GM279" s="25" t="s">
        <v>2332</v>
      </c>
      <c r="GN279" s="25">
        <v>2045.1361867704281</v>
      </c>
      <c r="GO279" s="156">
        <v>43919</v>
      </c>
      <c r="GP279" s="218">
        <v>-15</v>
      </c>
      <c r="GQ279" s="156">
        <v>44079</v>
      </c>
      <c r="GR279" s="25">
        <v>145</v>
      </c>
      <c r="GS279" s="25"/>
      <c r="GT279" s="11">
        <v>9681.612287431728</v>
      </c>
      <c r="GU279" s="12">
        <v>0.26361908379312021</v>
      </c>
      <c r="GV279" s="26">
        <v>43883</v>
      </c>
      <c r="GW279" s="25" t="s">
        <v>2327</v>
      </c>
      <c r="GX279" s="219">
        <v>-831.79691351065412</v>
      </c>
      <c r="GY279" s="25" t="s">
        <v>678</v>
      </c>
      <c r="GZ279" s="25" t="s">
        <v>678</v>
      </c>
      <c r="HA279" s="25"/>
    </row>
    <row r="280" spans="14:209" x14ac:dyDescent="0.25">
      <c r="N280" s="25"/>
      <c r="FO280" s="263" t="s">
        <v>2302</v>
      </c>
      <c r="FP280" s="252">
        <v>43934.880312499998</v>
      </c>
      <c r="FQ280" s="247">
        <v>43852</v>
      </c>
      <c r="FR280" s="160">
        <v>43880</v>
      </c>
      <c r="FS280" s="211">
        <v>5</v>
      </c>
      <c r="FT280" s="72">
        <v>0.20853424410133478</v>
      </c>
      <c r="FU280" s="72">
        <v>2.1537499167879608E-5</v>
      </c>
      <c r="FV280" s="74">
        <v>524.081817046232</v>
      </c>
      <c r="FW280" s="212">
        <v>9682.3796707250312</v>
      </c>
      <c r="FX280" s="214">
        <v>539.1369277885758</v>
      </c>
      <c r="FY280" s="214">
        <v>0.98311244879503579</v>
      </c>
      <c r="FZ280" s="212">
        <v>3.7636648703918025E-4</v>
      </c>
      <c r="GA280" s="216">
        <v>2.1537499167879608E-2</v>
      </c>
      <c r="GB280" s="257">
        <v>43933</v>
      </c>
      <c r="GC280" s="26" t="s">
        <v>2328</v>
      </c>
      <c r="GD280" s="214">
        <v>9682.3796707250258</v>
      </c>
      <c r="GE280" s="214">
        <v>10512</v>
      </c>
      <c r="GF280" s="73" t="s">
        <v>2329</v>
      </c>
      <c r="GG280" s="156">
        <v>43933</v>
      </c>
      <c r="GH280" s="26">
        <v>82</v>
      </c>
      <c r="GI280" s="25" t="s">
        <v>2330</v>
      </c>
      <c r="GK280" s="62" t="s">
        <v>2331</v>
      </c>
      <c r="GL280" s="25" t="s">
        <v>849</v>
      </c>
      <c r="GM280" s="25" t="s">
        <v>2332</v>
      </c>
      <c r="GN280" s="25">
        <v>2045.1361867704281</v>
      </c>
      <c r="GO280" s="156">
        <v>43919</v>
      </c>
      <c r="GP280" s="218">
        <v>-15</v>
      </c>
      <c r="GQ280" s="156">
        <v>43924</v>
      </c>
      <c r="GR280" s="25">
        <v>-10</v>
      </c>
      <c r="GS280" s="25"/>
      <c r="GT280" s="11">
        <v>9681.7567202127429</v>
      </c>
      <c r="GU280" s="12">
        <v>0.26361908379312021</v>
      </c>
      <c r="GV280" s="26">
        <v>43883</v>
      </c>
      <c r="GW280" s="25" t="s">
        <v>2327</v>
      </c>
      <c r="GX280" s="219">
        <v>-831.79691351065412</v>
      </c>
      <c r="GY280" s="25" t="s">
        <v>678</v>
      </c>
      <c r="GZ280" s="25" t="s">
        <v>678</v>
      </c>
      <c r="HA280" s="25"/>
    </row>
    <row r="281" spans="14:209" x14ac:dyDescent="0.25">
      <c r="N281" s="25"/>
      <c r="FO281" s="263" t="s">
        <v>2302</v>
      </c>
      <c r="FP281" s="250">
        <v>43935.629884259259</v>
      </c>
      <c r="FQ281" s="246">
        <v>43852</v>
      </c>
      <c r="FR281" s="26">
        <v>43852</v>
      </c>
      <c r="FS281" s="211">
        <v>5</v>
      </c>
      <c r="FT281" s="44">
        <v>0.21657519395520997</v>
      </c>
      <c r="FU281" s="71">
        <v>2.2442582881699704E-5</v>
      </c>
      <c r="FV281" s="73">
        <v>1.1597820138904291</v>
      </c>
      <c r="FW281" s="212">
        <v>9650.1902252886994</v>
      </c>
      <c r="FX281" s="212">
        <v>444.50471491818547</v>
      </c>
      <c r="FY281" s="212">
        <v>0.98939964354059495</v>
      </c>
      <c r="FZ281" s="214">
        <v>0.18671540242707807</v>
      </c>
      <c r="GA281" s="216">
        <v>2.2442582881699702E-2</v>
      </c>
      <c r="GB281" s="257">
        <v>43933</v>
      </c>
      <c r="GC281" s="26" t="s">
        <v>2394</v>
      </c>
      <c r="GD281" s="214">
        <v>9650.1902252886975</v>
      </c>
      <c r="GE281" s="214">
        <v>10512</v>
      </c>
      <c r="GF281" s="73" t="s">
        <v>2329</v>
      </c>
      <c r="GG281" s="156">
        <v>43933</v>
      </c>
      <c r="GH281" s="26">
        <v>82</v>
      </c>
      <c r="GI281" s="26" t="s">
        <v>2395</v>
      </c>
      <c r="GJ281" s="25"/>
      <c r="GK281" s="62" t="s">
        <v>2396</v>
      </c>
      <c r="GL281" s="30" t="s">
        <v>849</v>
      </c>
      <c r="GM281" s="18" t="s">
        <v>2397</v>
      </c>
      <c r="GN281" s="11">
        <v>2045.1361867704281</v>
      </c>
      <c r="GO281" s="156">
        <v>43919</v>
      </c>
      <c r="GP281" s="218">
        <v>-15</v>
      </c>
      <c r="GQ281" s="156">
        <v>43924</v>
      </c>
      <c r="GR281" s="11">
        <v>-119</v>
      </c>
      <c r="GS281" s="25"/>
      <c r="GT281" s="11">
        <v>9649.7660241156518</v>
      </c>
      <c r="GU281" s="12">
        <v>0.21734724454713406</v>
      </c>
      <c r="GV281" s="240">
        <v>43884</v>
      </c>
      <c r="GW281" s="162" t="s">
        <v>2393</v>
      </c>
      <c r="GX281" s="231">
        <v>-863.36525824453747</v>
      </c>
      <c r="GY281" s="25" t="s">
        <v>678</v>
      </c>
      <c r="GZ281" s="25" t="s">
        <v>678</v>
      </c>
      <c r="HA281" s="25"/>
    </row>
    <row r="282" spans="14:209" x14ac:dyDescent="0.25">
      <c r="N282" s="25"/>
      <c r="FO282" s="263" t="s">
        <v>2302</v>
      </c>
      <c r="FP282" s="250">
        <v>43938.512673611112</v>
      </c>
      <c r="FQ282" s="246">
        <v>43852</v>
      </c>
      <c r="FR282" s="26">
        <v>43852</v>
      </c>
      <c r="FS282" s="211">
        <v>5</v>
      </c>
      <c r="FT282" s="44">
        <v>0.20449808688155655</v>
      </c>
      <c r="FU282" s="71">
        <v>2.0828941306233641E-5</v>
      </c>
      <c r="FV282" s="73">
        <v>1.8332095814815133</v>
      </c>
      <c r="FW282" s="212">
        <v>9817.9779699295032</v>
      </c>
      <c r="FX282" s="212">
        <v>470.71224583508263</v>
      </c>
      <c r="FY282" s="212">
        <v>0.98852792340838636</v>
      </c>
      <c r="FZ282" s="214">
        <v>0.11153111195368455</v>
      </c>
      <c r="GA282" s="216">
        <v>2.0828941306233639E-2</v>
      </c>
      <c r="GB282" s="257">
        <v>43937</v>
      </c>
      <c r="GC282" s="26" t="s">
        <v>2456</v>
      </c>
      <c r="GD282" s="214">
        <v>9817.9779699294941</v>
      </c>
      <c r="GE282" s="214">
        <v>10613</v>
      </c>
      <c r="GF282" s="73" t="s">
        <v>2366</v>
      </c>
      <c r="GG282" s="156">
        <v>43937</v>
      </c>
      <c r="GH282" s="26">
        <v>86</v>
      </c>
      <c r="GI282" s="26" t="s">
        <v>2457</v>
      </c>
      <c r="GJ282" s="25"/>
      <c r="GK282" s="62" t="s">
        <v>2458</v>
      </c>
      <c r="GL282" s="30" t="s">
        <v>849</v>
      </c>
      <c r="GM282" s="18" t="s">
        <v>2459</v>
      </c>
      <c r="GN282" s="11">
        <v>2064.7859922178991</v>
      </c>
      <c r="GO282" s="156">
        <v>43919</v>
      </c>
      <c r="GP282" s="218">
        <v>-19</v>
      </c>
      <c r="GQ282" s="156">
        <v>43924</v>
      </c>
      <c r="GR282" s="11">
        <v>-119</v>
      </c>
      <c r="GS282" s="25"/>
      <c r="GT282" s="11">
        <v>9817.6231604206678</v>
      </c>
      <c r="GU282" s="12">
        <v>0.2279714447933972</v>
      </c>
      <c r="GV282" s="240">
        <v>43884</v>
      </c>
      <c r="GW282" s="162" t="s">
        <v>2393</v>
      </c>
      <c r="GX282" s="231">
        <v>-796.23215931589402</v>
      </c>
      <c r="GY282" s="25" t="s">
        <v>678</v>
      </c>
      <c r="GZ282" s="25" t="s">
        <v>678</v>
      </c>
      <c r="HA282" s="25" t="s">
        <v>2459</v>
      </c>
    </row>
    <row r="283" spans="14:209" x14ac:dyDescent="0.25">
      <c r="N283" s="25"/>
      <c r="FO283" s="263" t="s">
        <v>2302</v>
      </c>
      <c r="FP283" s="250">
        <v>43938.923773148148</v>
      </c>
      <c r="FQ283" s="246">
        <v>43852</v>
      </c>
      <c r="FR283" s="26">
        <v>43852</v>
      </c>
      <c r="FS283" s="211">
        <v>5</v>
      </c>
      <c r="FT283" s="44">
        <v>0.20450076769597472</v>
      </c>
      <c r="FU283" s="71">
        <v>2.0829541716161834E-5</v>
      </c>
      <c r="FV283" s="73">
        <v>1.8332220746104209</v>
      </c>
      <c r="FW283" s="212">
        <v>9817.8236699898534</v>
      </c>
      <c r="FX283" s="212">
        <v>470.71223060413075</v>
      </c>
      <c r="FY283" s="212">
        <v>0.98852792415079593</v>
      </c>
      <c r="FZ283" s="214">
        <v>0.11153181349496193</v>
      </c>
      <c r="GA283" s="216">
        <v>2.0829541716161835E-2</v>
      </c>
      <c r="GB283" s="257">
        <v>43937</v>
      </c>
      <c r="GC283" s="26" t="s">
        <v>2456</v>
      </c>
      <c r="GD283" s="214">
        <v>9817.8236699898443</v>
      </c>
      <c r="GE283" s="214">
        <v>10613</v>
      </c>
      <c r="GF283" s="73" t="s">
        <v>2366</v>
      </c>
      <c r="GG283" s="156">
        <v>43937</v>
      </c>
      <c r="GH283" s="26">
        <v>86</v>
      </c>
      <c r="GI283" s="26" t="s">
        <v>2499</v>
      </c>
      <c r="GJ283" s="25"/>
      <c r="GK283" s="62" t="s">
        <v>2458</v>
      </c>
      <c r="GL283" s="30" t="s">
        <v>849</v>
      </c>
      <c r="GM283" s="18" t="s">
        <v>2500</v>
      </c>
      <c r="GN283" s="11">
        <v>2064.7859922178991</v>
      </c>
      <c r="GO283" s="156">
        <v>43919</v>
      </c>
      <c r="GP283" s="218">
        <v>-19</v>
      </c>
      <c r="GQ283" s="156">
        <v>43924</v>
      </c>
      <c r="GR283" s="11">
        <v>-119</v>
      </c>
      <c r="GS283" s="25"/>
      <c r="GT283" s="11">
        <v>9817.4689615435655</v>
      </c>
      <c r="GU283" s="12">
        <v>0.22797143741686909</v>
      </c>
      <c r="GV283" s="240">
        <v>43884</v>
      </c>
      <c r="GW283" s="162" t="s">
        <v>2393</v>
      </c>
      <c r="GX283" s="231">
        <v>-796.38613405245269</v>
      </c>
      <c r="GY283" s="25" t="s">
        <v>678</v>
      </c>
      <c r="GZ283" s="25" t="s">
        <v>678</v>
      </c>
      <c r="HA283" s="25" t="s">
        <v>2500</v>
      </c>
    </row>
    <row r="284" spans="14:209" x14ac:dyDescent="0.25">
      <c r="N284" s="25"/>
      <c r="FO284" s="263" t="s">
        <v>2302</v>
      </c>
      <c r="FP284" s="250">
        <v>43939.897939814815</v>
      </c>
      <c r="FQ284" s="246">
        <v>43852</v>
      </c>
      <c r="FR284" s="26">
        <v>43852</v>
      </c>
      <c r="FS284" s="211">
        <v>5</v>
      </c>
      <c r="FT284" s="44">
        <v>0.20192821410739897</v>
      </c>
      <c r="FU284" s="71">
        <v>2.0490105127351853E-5</v>
      </c>
      <c r="FV284" s="73">
        <v>2.0209391970314825</v>
      </c>
      <c r="FW284" s="212">
        <v>9854.9135230081774</v>
      </c>
      <c r="FX284" s="212">
        <v>475.84956074795485</v>
      </c>
      <c r="FY284" s="212">
        <v>0.98836297899998182</v>
      </c>
      <c r="FZ284" s="214">
        <v>9.9897515544922544E-2</v>
      </c>
      <c r="GA284" s="216">
        <v>2.0490105127351853E-2</v>
      </c>
      <c r="GB284" s="257">
        <v>43938</v>
      </c>
      <c r="GC284" s="26" t="s">
        <v>2907</v>
      </c>
      <c r="GD284" s="214">
        <v>9854.9135230081629</v>
      </c>
      <c r="GE284" s="214">
        <v>10635</v>
      </c>
      <c r="GF284" s="73" t="s">
        <v>2908</v>
      </c>
      <c r="GG284" s="156">
        <v>43938</v>
      </c>
      <c r="GH284" s="26">
        <v>87</v>
      </c>
      <c r="GI284" s="26" t="s">
        <v>2909</v>
      </c>
      <c r="GJ284" s="25"/>
      <c r="GK284" s="62" t="s">
        <v>2910</v>
      </c>
      <c r="GL284" s="30" t="s">
        <v>849</v>
      </c>
      <c r="GM284" s="18" t="s">
        <v>2911</v>
      </c>
      <c r="GN284" s="11">
        <v>2069.0661478599222</v>
      </c>
      <c r="GO284" s="156">
        <v>43919</v>
      </c>
      <c r="GP284" s="218">
        <v>-20</v>
      </c>
      <c r="GQ284" s="156">
        <v>43924</v>
      </c>
      <c r="GR284" s="11">
        <v>-119</v>
      </c>
      <c r="GS284" s="25"/>
      <c r="GT284" s="11">
        <v>9854.5027661939748</v>
      </c>
      <c r="GU284" s="12">
        <v>0.22998276842919491</v>
      </c>
      <c r="GV284" s="240">
        <v>43884</v>
      </c>
      <c r="GW284" s="162" t="s">
        <v>2393</v>
      </c>
      <c r="GX284" s="231">
        <v>-781.2137646268493</v>
      </c>
      <c r="GY284" s="25" t="s">
        <v>678</v>
      </c>
      <c r="GZ284" s="25" t="s">
        <v>678</v>
      </c>
      <c r="HA284" s="25" t="s">
        <v>2911</v>
      </c>
    </row>
    <row r="285" spans="14:209" x14ac:dyDescent="0.25">
      <c r="N285" s="25"/>
      <c r="FO285" s="263" t="s">
        <v>2302</v>
      </c>
      <c r="FP285" s="250">
        <v>43942.945393518516</v>
      </c>
      <c r="FQ285" s="246">
        <v>43852</v>
      </c>
      <c r="FR285" s="26">
        <v>43852</v>
      </c>
      <c r="FS285" s="211">
        <v>5</v>
      </c>
      <c r="FT285" s="44">
        <v>0.19514449777121529</v>
      </c>
      <c r="FU285" s="71">
        <v>1.960270013377698E-5</v>
      </c>
      <c r="FV285" s="73">
        <v>2.6145969652867618</v>
      </c>
      <c r="FW285" s="212">
        <v>9954.9805098005909</v>
      </c>
      <c r="FX285" s="212">
        <v>488.01038937790997</v>
      </c>
      <c r="FY285" s="212">
        <v>0.98799200300864887</v>
      </c>
      <c r="FZ285" s="214">
        <v>7.4616947545311937E-2</v>
      </c>
      <c r="GA285" s="216">
        <v>1.960270013377698E-2</v>
      </c>
      <c r="GB285" s="257">
        <v>43941</v>
      </c>
      <c r="GC285" s="26" t="s">
        <v>3349</v>
      </c>
      <c r="GD285" s="214">
        <v>9954.9805096203818</v>
      </c>
      <c r="GE285" s="214">
        <v>10674</v>
      </c>
      <c r="GF285" s="73" t="s">
        <v>3350</v>
      </c>
      <c r="GG285" s="156">
        <v>43941</v>
      </c>
      <c r="GH285" s="26">
        <v>90</v>
      </c>
      <c r="GI285" s="26" t="s">
        <v>3351</v>
      </c>
      <c r="GJ285" s="25"/>
      <c r="GK285" s="62" t="s">
        <v>3352</v>
      </c>
      <c r="GL285" s="30" t="s">
        <v>849</v>
      </c>
      <c r="GM285" s="18" t="s">
        <v>3353</v>
      </c>
      <c r="GN285" s="11">
        <v>2076.6536964980546</v>
      </c>
      <c r="GO285" s="156">
        <v>43919</v>
      </c>
      <c r="GP285" s="218">
        <v>-23</v>
      </c>
      <c r="GQ285" s="156">
        <v>43924</v>
      </c>
      <c r="GR285" s="11">
        <v>-19</v>
      </c>
      <c r="GS285" s="25"/>
      <c r="GT285" s="11">
        <v>9954.7034759942853</v>
      </c>
      <c r="GU285" s="12">
        <v>0.23499844495057684</v>
      </c>
      <c r="GV285" s="240">
        <v>43884</v>
      </c>
      <c r="GW285" s="162" t="s">
        <v>2393</v>
      </c>
      <c r="GX285" s="231">
        <v>-719.9128099845675</v>
      </c>
      <c r="GY285" s="25" t="s">
        <v>678</v>
      </c>
      <c r="GZ285" s="25" t="s">
        <v>678</v>
      </c>
      <c r="HA285" s="26" t="s">
        <v>3353</v>
      </c>
    </row>
    <row r="286" spans="14:209" x14ac:dyDescent="0.25">
      <c r="N286" s="25"/>
      <c r="FO286" s="263" t="s">
        <v>2302</v>
      </c>
      <c r="FP286" s="250">
        <v>43945.843657407408</v>
      </c>
      <c r="FQ286" s="246">
        <v>43852</v>
      </c>
      <c r="FR286" s="26">
        <v>43852</v>
      </c>
      <c r="FS286" s="211">
        <v>5</v>
      </c>
      <c r="FT286" s="44">
        <v>0.18955491669774011</v>
      </c>
      <c r="FU286" s="71">
        <v>1.8879611763382357E-5</v>
      </c>
      <c r="FV286" s="73">
        <v>3.2333435424910304</v>
      </c>
      <c r="FW286" s="212">
        <v>10040.191454857575</v>
      </c>
      <c r="FX286" s="212">
        <v>496.23482235999802</v>
      </c>
      <c r="FY286" s="212">
        <v>0.98776680591193844</v>
      </c>
      <c r="FZ286" s="214">
        <v>5.8606167249697964E-2</v>
      </c>
      <c r="GA286" s="216">
        <v>1.8879611763382358E-2</v>
      </c>
      <c r="GB286" s="257">
        <v>43944</v>
      </c>
      <c r="GC286" s="26" t="s">
        <v>461</v>
      </c>
      <c r="GD286" s="214">
        <v>10040.191454476366</v>
      </c>
      <c r="GE286" s="214">
        <v>10708</v>
      </c>
      <c r="GF286" s="73" t="s">
        <v>2417</v>
      </c>
      <c r="GG286" s="156">
        <v>43944</v>
      </c>
      <c r="GH286" s="26">
        <v>93</v>
      </c>
      <c r="GI286" s="26" t="s">
        <v>3427</v>
      </c>
      <c r="GJ286" s="25"/>
      <c r="GK286" s="62" t="s">
        <v>3428</v>
      </c>
      <c r="GL286" s="30" t="s">
        <v>849</v>
      </c>
      <c r="GM286" s="18" t="s">
        <v>3429</v>
      </c>
      <c r="GN286" s="11">
        <v>2083.2684824902726</v>
      </c>
      <c r="GO286" s="156">
        <v>43919</v>
      </c>
      <c r="GP286" s="218">
        <v>-26</v>
      </c>
      <c r="GQ286" s="156">
        <v>43924</v>
      </c>
      <c r="GR286" s="11">
        <v>-22</v>
      </c>
      <c r="GS286" s="25"/>
      <c r="GT286" s="11">
        <v>10039.970786567184</v>
      </c>
      <c r="GU286" s="12">
        <v>0.23820012952282307</v>
      </c>
      <c r="GV286" s="240">
        <v>43884</v>
      </c>
      <c r="GW286" s="162" t="s">
        <v>2393</v>
      </c>
      <c r="GX286" s="231">
        <v>-668.4966516041859</v>
      </c>
      <c r="GY286" s="25" t="s">
        <v>678</v>
      </c>
      <c r="GZ286" s="25" t="s">
        <v>678</v>
      </c>
      <c r="HA286" s="26" t="s">
        <v>3429</v>
      </c>
    </row>
    <row r="287" spans="14:209" x14ac:dyDescent="0.25">
      <c r="N287" s="25"/>
      <c r="FO287" s="263" t="s">
        <v>2302</v>
      </c>
      <c r="FP287" s="250">
        <v>43947.950648148151</v>
      </c>
      <c r="FQ287" s="246">
        <v>43852</v>
      </c>
      <c r="FR287" s="26">
        <v>43852</v>
      </c>
      <c r="FS287" s="211">
        <v>5</v>
      </c>
      <c r="FT287" s="44">
        <v>0.18630862974260312</v>
      </c>
      <c r="FU287" s="71">
        <v>1.8464146869007876E-5</v>
      </c>
      <c r="FV287" s="73">
        <v>3.6581416826146822</v>
      </c>
      <c r="FW287" s="212">
        <v>10090.291799797298</v>
      </c>
      <c r="FX287" s="212">
        <v>500.22499033589821</v>
      </c>
      <c r="FY287" s="212">
        <v>0.98766771391122432</v>
      </c>
      <c r="FZ287" s="214">
        <v>5.0911392022462774E-2</v>
      </c>
      <c r="GA287" s="216">
        <v>1.8464146869007877E-2</v>
      </c>
      <c r="GB287" s="257">
        <v>43946</v>
      </c>
      <c r="GC287" s="26" t="s">
        <v>3519</v>
      </c>
      <c r="GD287" s="214">
        <v>10090.291799794102</v>
      </c>
      <c r="GE287" s="214">
        <v>10728</v>
      </c>
      <c r="GF287" s="73" t="s">
        <v>3520</v>
      </c>
      <c r="GG287" s="156">
        <v>43946</v>
      </c>
      <c r="GH287" s="26">
        <v>95</v>
      </c>
      <c r="GI287" s="26" t="s">
        <v>3521</v>
      </c>
      <c r="GJ287" s="25"/>
      <c r="GK287" s="62" t="s">
        <v>3522</v>
      </c>
      <c r="GL287" s="30" t="s">
        <v>849</v>
      </c>
      <c r="GM287" s="18" t="s">
        <v>3523</v>
      </c>
      <c r="GN287" s="11">
        <v>2087.1595330739301</v>
      </c>
      <c r="GO287" s="156">
        <v>43919</v>
      </c>
      <c r="GP287" s="218">
        <v>-28</v>
      </c>
      <c r="GQ287" s="156">
        <v>43924</v>
      </c>
      <c r="GR287" s="11">
        <v>-24</v>
      </c>
      <c r="GS287" s="25"/>
      <c r="GT287" s="11">
        <v>10090.020149874304</v>
      </c>
      <c r="GU287" s="12">
        <v>0.23966782721164398</v>
      </c>
      <c r="GV287" s="240">
        <v>43884</v>
      </c>
      <c r="GW287" s="162" t="s">
        <v>2393</v>
      </c>
      <c r="GX287" s="231">
        <v>-638.28053201127841</v>
      </c>
      <c r="GY287" s="25" t="s">
        <v>678</v>
      </c>
      <c r="GZ287" s="25" t="s">
        <v>678</v>
      </c>
      <c r="HA287" s="26" t="s">
        <v>3523</v>
      </c>
    </row>
    <row r="288" spans="14:209" x14ac:dyDescent="0.25">
      <c r="N288" s="25"/>
      <c r="FO288" s="263" t="s">
        <v>2302</v>
      </c>
      <c r="FP288" s="250">
        <v>43949.717476851853</v>
      </c>
      <c r="FQ288" s="246">
        <v>43852</v>
      </c>
      <c r="FR288" s="26">
        <v>43852</v>
      </c>
      <c r="FS288" s="211">
        <v>5</v>
      </c>
      <c r="FT288" s="44">
        <v>0.18338239738614698</v>
      </c>
      <c r="FU288" s="71">
        <v>1.8091742654209986E-5</v>
      </c>
      <c r="FV288" s="73">
        <v>4.0890961261049874</v>
      </c>
      <c r="FW288" s="212">
        <v>10136.248391941033</v>
      </c>
      <c r="FX288" s="212">
        <v>503.32409644633373</v>
      </c>
      <c r="FY288" s="212">
        <v>0.9875967261521712</v>
      </c>
      <c r="FZ288" s="214">
        <v>4.4828591174733055E-2</v>
      </c>
      <c r="GA288" s="216">
        <v>1.8091742654209986E-2</v>
      </c>
      <c r="GB288" s="257">
        <v>43948</v>
      </c>
      <c r="GC288" s="26" t="s">
        <v>3519</v>
      </c>
      <c r="GD288" s="214">
        <v>10136.248391935898</v>
      </c>
      <c r="GE288" s="214">
        <v>10752</v>
      </c>
      <c r="GF288" s="73" t="s">
        <v>3579</v>
      </c>
      <c r="GG288" s="156">
        <v>43948</v>
      </c>
      <c r="GH288" s="26">
        <v>97</v>
      </c>
      <c r="GI288" s="26" t="s">
        <v>3580</v>
      </c>
      <c r="GJ288" s="25"/>
      <c r="GK288" s="62" t="s">
        <v>3581</v>
      </c>
      <c r="GL288" s="30" t="s">
        <v>849</v>
      </c>
      <c r="GM288" s="18" t="s">
        <v>3582</v>
      </c>
      <c r="GN288" s="11">
        <v>2091.8287937743194</v>
      </c>
      <c r="GO288" s="156">
        <v>43919</v>
      </c>
      <c r="GP288" s="218">
        <v>-30</v>
      </c>
      <c r="GQ288" s="156">
        <v>43924</v>
      </c>
      <c r="GR288" s="11">
        <v>-25</v>
      </c>
      <c r="GS288" s="25"/>
      <c r="GT288" s="11">
        <v>10135.92076203839</v>
      </c>
      <c r="GU288" s="12">
        <v>0.24061438390384626</v>
      </c>
      <c r="GV288" s="240">
        <v>43884</v>
      </c>
      <c r="GW288" s="162" t="s">
        <v>2393</v>
      </c>
      <c r="GX288" s="231">
        <v>-616.22439039251367</v>
      </c>
      <c r="GY288" s="25" t="s">
        <v>678</v>
      </c>
      <c r="GZ288" s="25" t="s">
        <v>678</v>
      </c>
      <c r="HA288" s="26" t="s">
        <v>3582</v>
      </c>
    </row>
    <row r="289" spans="14:209" x14ac:dyDescent="0.25">
      <c r="N289" s="25"/>
      <c r="FO289" s="263" t="s">
        <v>2302</v>
      </c>
      <c r="FP289" s="250">
        <v>43950.659363425926</v>
      </c>
      <c r="FQ289" s="246">
        <v>43852</v>
      </c>
      <c r="FR289" s="26">
        <v>43852</v>
      </c>
      <c r="FS289" s="211">
        <v>5</v>
      </c>
      <c r="FT289" s="44">
        <v>0.18207220289413489</v>
      </c>
      <c r="FU289" s="71">
        <v>1.7924798639875559E-5</v>
      </c>
      <c r="FV289" s="73">
        <v>4.2983261579092682</v>
      </c>
      <c r="FW289" s="212">
        <v>10157.559175537768</v>
      </c>
      <c r="FX289" s="212">
        <v>504.59630208916849</v>
      </c>
      <c r="FY289" s="212">
        <v>0.98756947043029775</v>
      </c>
      <c r="FZ289" s="214">
        <v>4.2340936815225161E-2</v>
      </c>
      <c r="GA289" s="216">
        <v>1.7924798639875558E-2</v>
      </c>
      <c r="GB289" s="257">
        <v>43949</v>
      </c>
      <c r="GC289" s="26" t="s">
        <v>3641</v>
      </c>
      <c r="GD289" s="214">
        <v>10157.559175531418</v>
      </c>
      <c r="GE289" s="214">
        <v>10761</v>
      </c>
      <c r="GF289" s="73" t="s">
        <v>3642</v>
      </c>
      <c r="GG289" s="156">
        <v>43949</v>
      </c>
      <c r="GH289" s="26">
        <v>98</v>
      </c>
      <c r="GI289" s="26" t="s">
        <v>3643</v>
      </c>
      <c r="GJ289" s="25"/>
      <c r="GK289" s="62" t="s">
        <v>3644</v>
      </c>
      <c r="GL289" s="30" t="s">
        <v>849</v>
      </c>
      <c r="GM289" s="18" t="s">
        <v>3645</v>
      </c>
      <c r="GN289" s="11">
        <v>2093.5797665369651</v>
      </c>
      <c r="GO289" s="156">
        <v>43919</v>
      </c>
      <c r="GP289" s="218">
        <v>-31</v>
      </c>
      <c r="GQ289" s="156">
        <v>43924</v>
      </c>
      <c r="GR289" s="11">
        <v>-26</v>
      </c>
      <c r="GS289" s="25"/>
      <c r="GT289" s="11">
        <v>10157.202840971549</v>
      </c>
      <c r="GU289" s="12">
        <v>0.24102081523448807</v>
      </c>
      <c r="GV289" s="240">
        <v>43884</v>
      </c>
      <c r="GW289" s="162" t="s">
        <v>2393</v>
      </c>
      <c r="GX289" s="231">
        <v>-603.86831633603106</v>
      </c>
      <c r="GY289" s="25" t="s">
        <v>678</v>
      </c>
      <c r="GZ289" s="25" t="s">
        <v>678</v>
      </c>
      <c r="HA289" s="26" t="s">
        <v>3645</v>
      </c>
    </row>
    <row r="290" spans="14:209" x14ac:dyDescent="0.25">
      <c r="N290" s="25"/>
      <c r="FO290" s="263" t="s">
        <v>2302</v>
      </c>
      <c r="FP290" s="250">
        <v>43951.665601851855</v>
      </c>
      <c r="FQ290" s="246">
        <v>43852</v>
      </c>
      <c r="FR290" s="26">
        <v>43852</v>
      </c>
      <c r="FS290" s="211">
        <v>5</v>
      </c>
      <c r="FT290" s="44">
        <v>0.18080483007544138</v>
      </c>
      <c r="FU290" s="71">
        <v>1.7764474495224892E-5</v>
      </c>
      <c r="FV290" s="73">
        <v>4.5107585016707183</v>
      </c>
      <c r="FW290" s="212">
        <v>10177.887903413179</v>
      </c>
      <c r="FX290" s="212">
        <v>505.63247013283012</v>
      </c>
      <c r="FY290" s="212">
        <v>0.98755006886915309</v>
      </c>
      <c r="FZ290" s="214">
        <v>4.0065257041392612E-2</v>
      </c>
      <c r="GA290" s="216">
        <v>1.7764474495224891E-2</v>
      </c>
      <c r="GB290" s="257">
        <v>43950</v>
      </c>
      <c r="GC290" s="26" t="s">
        <v>3641</v>
      </c>
      <c r="GD290" s="214">
        <v>10177.887903405383</v>
      </c>
      <c r="GE290" s="214">
        <v>10765</v>
      </c>
      <c r="GF290" s="73" t="s">
        <v>3642</v>
      </c>
      <c r="GG290" s="156">
        <v>43950</v>
      </c>
      <c r="GH290" s="26">
        <v>99</v>
      </c>
      <c r="GI290" s="26" t="s">
        <v>3706</v>
      </c>
      <c r="GJ290" s="25"/>
      <c r="GK290" s="62" t="s">
        <v>3644</v>
      </c>
      <c r="GL290" s="30" t="s">
        <v>849</v>
      </c>
      <c r="GM290" s="18" t="s">
        <v>3707</v>
      </c>
      <c r="GN290" s="11">
        <v>2094.3579766536968</v>
      </c>
      <c r="GO290" s="156">
        <v>43919</v>
      </c>
      <c r="GP290" s="218">
        <v>-32</v>
      </c>
      <c r="GQ290" s="156">
        <v>43924</v>
      </c>
      <c r="GR290" s="11">
        <v>-28</v>
      </c>
      <c r="GS290" s="25"/>
      <c r="GT290" s="11">
        <v>10177.501424965541</v>
      </c>
      <c r="GU290" s="12">
        <v>0.2414260006022059</v>
      </c>
      <c r="GV290" s="240">
        <v>43884</v>
      </c>
      <c r="GW290" s="162" t="s">
        <v>2393</v>
      </c>
      <c r="GX290" s="231">
        <v>-587.49857503445855</v>
      </c>
      <c r="GY290" s="25" t="s">
        <v>678</v>
      </c>
      <c r="GZ290" s="25" t="s">
        <v>678</v>
      </c>
      <c r="HA290" s="26" t="s">
        <v>3707</v>
      </c>
    </row>
    <row r="291" spans="14:209" x14ac:dyDescent="0.25">
      <c r="N291" s="25"/>
      <c r="FO291" s="263" t="s">
        <v>2302</v>
      </c>
      <c r="FP291" s="250">
        <v>43954.724027777775</v>
      </c>
      <c r="FQ291" s="246">
        <v>43852</v>
      </c>
      <c r="FR291" s="26">
        <v>43852</v>
      </c>
      <c r="FS291" s="211">
        <v>5</v>
      </c>
      <c r="FT291" s="44">
        <v>0.17731911744864057</v>
      </c>
      <c r="FU291" s="71">
        <v>1.7326146115585089E-5</v>
      </c>
      <c r="FV291" s="73">
        <v>5.1514710272591699</v>
      </c>
      <c r="FW291" s="212">
        <v>10234.192662679889</v>
      </c>
      <c r="FX291" s="212">
        <v>507.87303791598583</v>
      </c>
      <c r="FY291" s="212">
        <v>0.98751560463952381</v>
      </c>
      <c r="FZ291" s="214">
        <v>3.4403738538195151E-2</v>
      </c>
      <c r="GA291" s="216">
        <v>1.7326146115585087E-2</v>
      </c>
      <c r="GB291" s="257">
        <v>43953</v>
      </c>
      <c r="GC291" s="26" t="s">
        <v>3641</v>
      </c>
      <c r="GD291" s="214">
        <v>10234.192654559922</v>
      </c>
      <c r="GE291" s="214">
        <v>10793</v>
      </c>
      <c r="GF291" s="73" t="s">
        <v>3768</v>
      </c>
      <c r="GG291" s="156">
        <v>43953</v>
      </c>
      <c r="GH291" s="26">
        <v>102</v>
      </c>
      <c r="GI291" s="26" t="s">
        <v>3769</v>
      </c>
      <c r="GJ291" s="25"/>
      <c r="GK291" s="62" t="s">
        <v>3770</v>
      </c>
      <c r="GL291" s="30" t="s">
        <v>849</v>
      </c>
      <c r="GM291" s="18" t="s">
        <v>3771</v>
      </c>
      <c r="GN291" s="11">
        <v>2099.8054474708174</v>
      </c>
      <c r="GO291" s="156">
        <v>43919</v>
      </c>
      <c r="GP291" s="218">
        <v>-35</v>
      </c>
      <c r="GQ291" s="156">
        <v>43924</v>
      </c>
      <c r="GR291" s="11">
        <v>-31</v>
      </c>
      <c r="GS291" s="25"/>
      <c r="GT291" s="11">
        <v>10234.025924451398</v>
      </c>
      <c r="GU291" s="12">
        <v>0.24186671128399581</v>
      </c>
      <c r="GV291" s="240">
        <v>43884</v>
      </c>
      <c r="GW291" s="162" t="s">
        <v>2393</v>
      </c>
      <c r="GX291" s="231">
        <v>-559.09116605200506</v>
      </c>
      <c r="GY291" s="25" t="s">
        <v>678</v>
      </c>
      <c r="GZ291" s="25" t="s">
        <v>678</v>
      </c>
      <c r="HA291" s="26" t="s">
        <v>3771</v>
      </c>
    </row>
    <row r="292" spans="14:209" x14ac:dyDescent="0.25">
      <c r="N292" s="25"/>
      <c r="FO292" s="263" t="s">
        <v>658</v>
      </c>
      <c r="FP292" s="250">
        <v>43911.866331018522</v>
      </c>
      <c r="FQ292" s="246">
        <v>43860</v>
      </c>
      <c r="FR292" s="26">
        <v>43860</v>
      </c>
      <c r="FS292" s="211">
        <v>6</v>
      </c>
      <c r="FT292" s="25">
        <v>0.23059524064806408</v>
      </c>
      <c r="FU292" s="25">
        <v>9.9999999999999903E-10</v>
      </c>
      <c r="FV292" s="74">
        <v>3.8070710556030042E-2</v>
      </c>
      <c r="FW292" s="212">
        <v>230595240.64806432</v>
      </c>
      <c r="FX292" s="212">
        <v>70.671251275874369</v>
      </c>
      <c r="FY292" s="212"/>
      <c r="FZ292" s="212">
        <v>6.0570248687798465</v>
      </c>
      <c r="GA292" s="216">
        <v>9.9999999999999911E-7</v>
      </c>
      <c r="GB292" s="257">
        <v>43910</v>
      </c>
      <c r="GC292" s="26" t="s">
        <v>756</v>
      </c>
      <c r="GD292" s="212"/>
      <c r="GE292" s="212">
        <v>4014</v>
      </c>
      <c r="GF292" s="73" t="s">
        <v>757</v>
      </c>
      <c r="GG292" s="156">
        <v>43910</v>
      </c>
      <c r="GH292" s="25">
        <v>51</v>
      </c>
      <c r="GI292" s="25" t="s">
        <v>758</v>
      </c>
      <c r="GJ292" s="25"/>
      <c r="GK292" s="62" t="s">
        <v>759</v>
      </c>
      <c r="GM292" s="25" t="s">
        <v>765</v>
      </c>
      <c r="GN292" s="165">
        <v>604.15412402167362</v>
      </c>
      <c r="GO292" s="156">
        <v>43910</v>
      </c>
      <c r="GP292" s="218">
        <v>1</v>
      </c>
      <c r="GQ292" s="156">
        <v>43910</v>
      </c>
      <c r="GR292" s="25">
        <v>1</v>
      </c>
      <c r="GS292" s="25"/>
      <c r="GT292" s="11"/>
      <c r="GU292" s="12"/>
      <c r="GV292" s="26"/>
      <c r="GW292" s="25"/>
      <c r="GX292" s="219"/>
      <c r="GY292" s="25"/>
      <c r="GZ292" s="25"/>
    </row>
    <row r="293" spans="14:209" x14ac:dyDescent="0.25">
      <c r="N293" s="25"/>
      <c r="FO293" s="263" t="s">
        <v>658</v>
      </c>
      <c r="FP293" s="250"/>
      <c r="FQ293" s="246">
        <v>43860</v>
      </c>
      <c r="FR293" s="26"/>
      <c r="FS293" s="211">
        <v>6</v>
      </c>
      <c r="FT293" s="25">
        <v>0.24137990934722836</v>
      </c>
      <c r="FU293" s="71">
        <v>9.9999999999999995E-7</v>
      </c>
      <c r="FV293" s="74">
        <v>2.4074005303217398E-2</v>
      </c>
      <c r="FW293" s="212">
        <v>241379.90934722839</v>
      </c>
      <c r="FX293" s="212">
        <v>146.85588583547002</v>
      </c>
      <c r="FY293" s="212"/>
      <c r="FZ293" s="212">
        <v>10.026577722858754</v>
      </c>
      <c r="GA293" s="216">
        <v>1E-3</v>
      </c>
      <c r="GB293" s="257">
        <v>43910</v>
      </c>
      <c r="GC293" s="26" t="s">
        <v>714</v>
      </c>
      <c r="GD293" s="212"/>
      <c r="GE293" s="212">
        <v>3269</v>
      </c>
      <c r="GF293" s="73" t="s">
        <v>715</v>
      </c>
      <c r="GG293" s="156">
        <v>43910</v>
      </c>
      <c r="GH293" s="25">
        <v>51</v>
      </c>
      <c r="GI293" s="25" t="s">
        <v>716</v>
      </c>
      <c r="GJ293" s="25"/>
      <c r="GK293" s="62" t="s">
        <v>717</v>
      </c>
      <c r="GM293" s="25" t="s">
        <v>718</v>
      </c>
      <c r="GN293" s="165">
        <v>492.0228777844672</v>
      </c>
      <c r="GO293" s="156">
        <v>43910</v>
      </c>
      <c r="GP293" s="218">
        <v>0</v>
      </c>
      <c r="GQ293" s="156">
        <v>43908</v>
      </c>
      <c r="GR293" s="25">
        <v>2</v>
      </c>
      <c r="GS293" s="25"/>
      <c r="GT293" s="11"/>
      <c r="GU293" s="12"/>
      <c r="GV293" s="26"/>
      <c r="GW293" s="25"/>
      <c r="GX293" s="219"/>
      <c r="GY293" s="25"/>
      <c r="GZ293" s="25"/>
    </row>
    <row r="294" spans="14:209" x14ac:dyDescent="0.25">
      <c r="N294" s="25"/>
      <c r="FO294" s="263" t="s">
        <v>658</v>
      </c>
      <c r="FP294" s="250">
        <v>43912.326736111114</v>
      </c>
      <c r="FQ294" s="246">
        <v>43860</v>
      </c>
      <c r="FR294" s="26">
        <v>43860</v>
      </c>
      <c r="FS294" s="211">
        <v>6</v>
      </c>
      <c r="FT294" s="25">
        <v>0.23552292998723806</v>
      </c>
      <c r="FU294" s="71">
        <v>9.9999999999999903E-10</v>
      </c>
      <c r="FV294" s="74">
        <v>3.0253807305994522E-2</v>
      </c>
      <c r="FW294" s="212">
        <v>235522929.98723829</v>
      </c>
      <c r="FX294" s="212">
        <v>71.58354260153051</v>
      </c>
      <c r="FY294" s="212"/>
      <c r="FZ294" s="212">
        <v>7.7849021637127134</v>
      </c>
      <c r="GA294" s="216">
        <v>9.9999999999999911E-7</v>
      </c>
      <c r="GB294" s="257">
        <v>43911</v>
      </c>
      <c r="GC294" s="26" t="s">
        <v>799</v>
      </c>
      <c r="GD294" s="212"/>
      <c r="GE294" s="212">
        <v>5049</v>
      </c>
      <c r="GF294" s="73" t="s">
        <v>800</v>
      </c>
      <c r="GG294" s="156">
        <v>43911</v>
      </c>
      <c r="GH294" s="25">
        <v>52</v>
      </c>
      <c r="GI294" s="25" t="s">
        <v>801</v>
      </c>
      <c r="GJ294" s="25"/>
      <c r="GK294" s="62" t="s">
        <v>802</v>
      </c>
      <c r="GM294" s="25" t="s">
        <v>803</v>
      </c>
      <c r="GN294" s="165">
        <v>759.93377483443703</v>
      </c>
      <c r="GO294" s="156">
        <v>43910</v>
      </c>
      <c r="GP294" s="218">
        <v>1</v>
      </c>
      <c r="GQ294" s="156">
        <v>43910</v>
      </c>
      <c r="GR294" s="25">
        <v>2</v>
      </c>
      <c r="GS294" s="25"/>
      <c r="GT294" s="11"/>
      <c r="GU294" s="12"/>
      <c r="GV294" s="26"/>
      <c r="GW294" s="25"/>
      <c r="GX294" s="219"/>
      <c r="GY294" s="25"/>
      <c r="GZ294" s="25"/>
      <c r="HA294" s="25"/>
    </row>
    <row r="295" spans="14:209" x14ac:dyDescent="0.25">
      <c r="N295" s="25"/>
      <c r="FO295" s="263" t="s">
        <v>658</v>
      </c>
      <c r="FP295" s="250">
        <v>43912.588784722226</v>
      </c>
      <c r="FQ295" s="246">
        <v>43860</v>
      </c>
      <c r="FR295" s="26">
        <v>43860</v>
      </c>
      <c r="FS295" s="211">
        <v>6</v>
      </c>
      <c r="FT295" s="25">
        <v>0.23594006316216126</v>
      </c>
      <c r="FU295" s="71">
        <v>9.9999999999999903E-10</v>
      </c>
      <c r="FV295" s="74">
        <v>2.9674631046950263E-2</v>
      </c>
      <c r="FW295" s="212">
        <v>235940063.1621615</v>
      </c>
      <c r="FX295" s="212">
        <v>71.927182904252248</v>
      </c>
      <c r="FY295" s="212"/>
      <c r="FZ295" s="212">
        <v>7.9509013190152125</v>
      </c>
      <c r="GA295" s="216">
        <v>9.9999999999999911E-7</v>
      </c>
      <c r="GB295" s="257">
        <v>43911</v>
      </c>
      <c r="GC295" s="26" t="s">
        <v>799</v>
      </c>
      <c r="GD295" s="212"/>
      <c r="GE295" s="212">
        <v>5067</v>
      </c>
      <c r="GF295" s="73" t="s">
        <v>823</v>
      </c>
      <c r="GG295" s="156">
        <v>43911</v>
      </c>
      <c r="GH295" s="25">
        <v>52</v>
      </c>
      <c r="GI295" s="25" t="s">
        <v>824</v>
      </c>
      <c r="GJ295" s="25"/>
      <c r="GK295" s="62" t="s">
        <v>825</v>
      </c>
      <c r="GM295" s="25" t="s">
        <v>826</v>
      </c>
      <c r="GN295" s="165">
        <v>762.64298615291989</v>
      </c>
      <c r="GO295" s="156">
        <v>43911</v>
      </c>
      <c r="GP295" s="218">
        <v>1</v>
      </c>
      <c r="GQ295" s="156">
        <v>43910</v>
      </c>
      <c r="GR295" s="25">
        <v>2</v>
      </c>
      <c r="GS295" s="25"/>
      <c r="GT295" s="11"/>
      <c r="GU295" s="12"/>
      <c r="GV295" s="26"/>
      <c r="GW295" s="25"/>
      <c r="GX295" s="219"/>
      <c r="GY295" s="25"/>
      <c r="GZ295" s="25"/>
      <c r="HA295" s="25"/>
    </row>
    <row r="296" spans="14:209" x14ac:dyDescent="0.25">
      <c r="N296" s="25"/>
      <c r="FO296" s="263" t="s">
        <v>658</v>
      </c>
      <c r="FP296" s="250">
        <v>43912.787627314814</v>
      </c>
      <c r="FQ296" s="246">
        <v>43860</v>
      </c>
      <c r="FR296" s="26">
        <v>43860</v>
      </c>
      <c r="FS296" s="211">
        <v>6</v>
      </c>
      <c r="FT296" s="25">
        <v>0.23594006316216126</v>
      </c>
      <c r="FU296" s="71">
        <v>9.9999999999999903E-10</v>
      </c>
      <c r="FV296" s="74">
        <v>2.9674631046950263E-2</v>
      </c>
      <c r="FW296" s="212">
        <v>235940063.1621615</v>
      </c>
      <c r="FX296" s="212">
        <v>71.927182904252248</v>
      </c>
      <c r="FY296" s="212"/>
      <c r="FZ296" s="212">
        <v>7.9509013190152125</v>
      </c>
      <c r="GA296" s="216">
        <v>9.9999999999999911E-7</v>
      </c>
      <c r="GB296" s="257">
        <v>43911</v>
      </c>
      <c r="GC296" s="26" t="s">
        <v>799</v>
      </c>
      <c r="GD296" s="212">
        <v>235940063.1621615</v>
      </c>
      <c r="GE296" s="212">
        <v>5067</v>
      </c>
      <c r="GF296" s="73" t="s">
        <v>823</v>
      </c>
      <c r="GG296" s="156">
        <v>43911</v>
      </c>
      <c r="GH296" s="25">
        <v>52</v>
      </c>
      <c r="GI296" s="25" t="s">
        <v>855</v>
      </c>
      <c r="GJ296" s="25"/>
      <c r="GK296" s="62" t="s">
        <v>825</v>
      </c>
      <c r="GM296" s="25" t="s">
        <v>856</v>
      </c>
      <c r="GN296" s="165">
        <v>762.64298615291989</v>
      </c>
      <c r="GO296" s="156">
        <v>43911</v>
      </c>
      <c r="GP296" s="218">
        <v>1</v>
      </c>
      <c r="GQ296" s="156">
        <v>43910</v>
      </c>
      <c r="GR296" s="25">
        <v>2</v>
      </c>
      <c r="GS296" s="25"/>
      <c r="GT296" s="11"/>
      <c r="GU296" s="12"/>
      <c r="GV296" s="26"/>
      <c r="GW296" s="25"/>
      <c r="GX296" s="219"/>
      <c r="GY296" s="25"/>
      <c r="GZ296" s="25"/>
      <c r="HA296" s="25"/>
    </row>
    <row r="297" spans="14:209" x14ac:dyDescent="0.25">
      <c r="N297" s="25"/>
      <c r="FO297" s="263" t="s">
        <v>658</v>
      </c>
      <c r="FP297" s="250">
        <v>43913.581747685188</v>
      </c>
      <c r="FQ297" s="246">
        <v>43860</v>
      </c>
      <c r="FR297" s="26">
        <v>43860</v>
      </c>
      <c r="FS297" s="211">
        <v>6</v>
      </c>
      <c r="FT297" s="25">
        <v>0.23594006316216143</v>
      </c>
      <c r="FU297" s="71">
        <v>9.9999999999999655E-12</v>
      </c>
      <c r="FV297" s="74">
        <v>2.9674631046950263E-2</v>
      </c>
      <c r="FW297" s="212">
        <v>23594006316.216225</v>
      </c>
      <c r="FX297" s="212">
        <v>71.926727825145534</v>
      </c>
      <c r="FY297" s="212"/>
      <c r="FZ297" s="212">
        <v>7.9509013200052188</v>
      </c>
      <c r="GA297" s="216">
        <v>9.9999999999999655E-9</v>
      </c>
      <c r="GB297" s="257">
        <v>43911</v>
      </c>
      <c r="GC297" s="26" t="s">
        <v>972</v>
      </c>
      <c r="GD297" s="212">
        <v>23594006316.216225</v>
      </c>
      <c r="GE297" s="212">
        <v>5067</v>
      </c>
      <c r="GF297" s="73" t="s">
        <v>973</v>
      </c>
      <c r="GG297" s="156">
        <v>43911</v>
      </c>
      <c r="GH297" s="25">
        <v>52</v>
      </c>
      <c r="GI297" s="25" t="s">
        <v>974</v>
      </c>
      <c r="GJ297" s="25"/>
      <c r="GK297" s="62" t="s">
        <v>975</v>
      </c>
      <c r="GM297" s="25" t="s">
        <v>976</v>
      </c>
      <c r="GN297" s="165">
        <v>762.64298615291989</v>
      </c>
      <c r="GO297" s="156">
        <v>43913</v>
      </c>
      <c r="GP297" s="218">
        <v>0</v>
      </c>
      <c r="GQ297" s="156">
        <v>43911</v>
      </c>
      <c r="GR297" s="25">
        <v>1</v>
      </c>
      <c r="GS297" s="25"/>
      <c r="GT297" s="11"/>
      <c r="GU297" s="12"/>
      <c r="GV297" s="26"/>
      <c r="GW297" s="25"/>
      <c r="GX297" s="219"/>
      <c r="GY297" s="25"/>
      <c r="GZ297" s="25"/>
      <c r="HA297" s="25"/>
    </row>
    <row r="298" spans="14:209" x14ac:dyDescent="0.25">
      <c r="N298" s="25"/>
      <c r="FO298" s="263" t="s">
        <v>658</v>
      </c>
      <c r="FP298" s="250">
        <v>43913.686782407407</v>
      </c>
      <c r="FQ298" s="246">
        <v>43860</v>
      </c>
      <c r="FR298" s="26">
        <v>43860</v>
      </c>
      <c r="FS298" s="211">
        <v>6</v>
      </c>
      <c r="FT298" s="25">
        <v>0.23594006273685905</v>
      </c>
      <c r="FU298" s="71">
        <v>2.1301242429612073E-6</v>
      </c>
      <c r="FV298" s="74">
        <v>2.9674631042839659E-2</v>
      </c>
      <c r="FW298" s="212">
        <v>110763.52166616597</v>
      </c>
      <c r="FX298" s="212">
        <v>87.808162964545772</v>
      </c>
      <c r="FY298" s="212"/>
      <c r="FZ298" s="212">
        <v>7.9508991766601662</v>
      </c>
      <c r="GA298" s="216">
        <v>2.1301242429612073E-3</v>
      </c>
      <c r="GB298" s="257">
        <v>43912</v>
      </c>
      <c r="GC298" s="26" t="s">
        <v>1010</v>
      </c>
      <c r="GD298" s="212">
        <v>110763.52166616597</v>
      </c>
      <c r="GE298" s="212">
        <v>5741</v>
      </c>
      <c r="GF298" s="73" t="s">
        <v>1011</v>
      </c>
      <c r="GG298" s="156">
        <v>43912</v>
      </c>
      <c r="GH298" s="25">
        <v>53</v>
      </c>
      <c r="GI298" s="25" t="s">
        <v>1012</v>
      </c>
      <c r="GJ298" s="25"/>
      <c r="GK298" s="62" t="s">
        <v>1013</v>
      </c>
      <c r="GM298" s="25" t="s">
        <v>1014</v>
      </c>
      <c r="GN298" s="165">
        <v>864.08789885611077</v>
      </c>
      <c r="GO298" s="156">
        <v>43912</v>
      </c>
      <c r="GP298" s="218">
        <v>1</v>
      </c>
      <c r="GQ298" s="156">
        <v>43911</v>
      </c>
      <c r="GR298" s="25">
        <v>2</v>
      </c>
      <c r="GS298" s="25"/>
      <c r="GT298" s="11"/>
      <c r="GU298" s="12"/>
      <c r="GV298" s="26"/>
      <c r="GW298" s="25"/>
      <c r="GX298" s="219"/>
      <c r="GY298" s="25"/>
      <c r="GZ298" s="25"/>
      <c r="HA298" s="25"/>
    </row>
    <row r="299" spans="14:209" x14ac:dyDescent="0.25">
      <c r="N299" s="25"/>
      <c r="FO299" s="263" t="s">
        <v>658</v>
      </c>
      <c r="FP299" s="250">
        <v>43913.916226851848</v>
      </c>
      <c r="FQ299" s="246">
        <v>43860</v>
      </c>
      <c r="FR299" s="26">
        <v>43860</v>
      </c>
      <c r="FS299" s="211">
        <v>6</v>
      </c>
      <c r="FT299" s="25">
        <v>0.23594006273685905</v>
      </c>
      <c r="FU299" s="25">
        <v>2.1301242429612073E-6</v>
      </c>
      <c r="FV299" s="74">
        <v>2.9674631042839659E-2</v>
      </c>
      <c r="FW299" s="212">
        <v>110763.52166616597</v>
      </c>
      <c r="FX299" s="212">
        <v>87.808162964545772</v>
      </c>
      <c r="FY299" s="212"/>
      <c r="FZ299" s="212">
        <v>7.9508991766601662</v>
      </c>
      <c r="GA299" s="216">
        <v>2.1301242429612073E-3</v>
      </c>
      <c r="GB299" s="257">
        <v>43912</v>
      </c>
      <c r="GC299" s="26" t="s">
        <v>1010</v>
      </c>
      <c r="GD299" s="212">
        <v>110763.52166616597</v>
      </c>
      <c r="GE299" s="212">
        <v>5741</v>
      </c>
      <c r="GF299" s="73" t="s">
        <v>1011</v>
      </c>
      <c r="GG299" s="156">
        <v>43912</v>
      </c>
      <c r="GH299" s="25">
        <v>53</v>
      </c>
      <c r="GI299" s="25" t="s">
        <v>1012</v>
      </c>
      <c r="GJ299" s="25"/>
      <c r="GK299" s="62" t="s">
        <v>1013</v>
      </c>
      <c r="GM299" s="25" t="s">
        <v>1014</v>
      </c>
      <c r="GN299" s="165">
        <v>864.08789885611077</v>
      </c>
      <c r="GO299" s="156">
        <v>43913</v>
      </c>
      <c r="GP299" s="218">
        <v>0</v>
      </c>
      <c r="GQ299" s="156">
        <v>43911</v>
      </c>
      <c r="GR299" s="25">
        <v>2</v>
      </c>
      <c r="GS299" s="25"/>
      <c r="GT299" s="11"/>
      <c r="GU299" s="12"/>
      <c r="GV299" s="26"/>
      <c r="GW299" s="25"/>
      <c r="GX299" s="219"/>
      <c r="GY299" s="25"/>
      <c r="GZ299" s="25"/>
    </row>
    <row r="300" spans="14:209" x14ac:dyDescent="0.25">
      <c r="N300" s="25"/>
      <c r="FO300" s="272" t="s">
        <v>658</v>
      </c>
      <c r="FP300" s="254">
        <v>43914.462789351855</v>
      </c>
      <c r="FQ300" s="246">
        <v>43860</v>
      </c>
      <c r="FR300" s="26">
        <v>43860</v>
      </c>
      <c r="FS300" s="211">
        <v>6</v>
      </c>
      <c r="FT300" s="25">
        <v>0.23594006273685905</v>
      </c>
      <c r="FU300" s="25">
        <v>2.1301242429612073E-6</v>
      </c>
      <c r="FV300" s="74">
        <v>2.9674631042839659E-2</v>
      </c>
      <c r="FW300" s="212">
        <v>110763.52166616597</v>
      </c>
      <c r="FX300" s="212">
        <v>87.808162964545772</v>
      </c>
      <c r="FY300" s="212"/>
      <c r="FZ300" s="212">
        <v>7.9508991766601662</v>
      </c>
      <c r="GA300" s="213">
        <v>2.1301242429612073E-3</v>
      </c>
      <c r="GB300" s="246">
        <v>43912</v>
      </c>
      <c r="GC300" s="26" t="s">
        <v>1010</v>
      </c>
      <c r="GD300" s="212">
        <v>110763.52166616597</v>
      </c>
      <c r="GE300" s="212">
        <v>5741</v>
      </c>
      <c r="GF300" s="74" t="s">
        <v>1011</v>
      </c>
      <c r="GG300" s="156">
        <v>43912</v>
      </c>
      <c r="GH300" s="25">
        <v>53</v>
      </c>
      <c r="GI300" s="25" t="s">
        <v>1012</v>
      </c>
      <c r="GJ300" s="25"/>
      <c r="GK300" s="62" t="s">
        <v>1013</v>
      </c>
      <c r="GM300" s="25" t="s">
        <v>1014</v>
      </c>
      <c r="GN300" s="165">
        <v>864.08789885611077</v>
      </c>
      <c r="GO300" s="156">
        <v>43913</v>
      </c>
      <c r="GP300" s="218">
        <v>-1</v>
      </c>
      <c r="GQ300" s="156">
        <v>43911</v>
      </c>
      <c r="GR300" s="25">
        <v>2</v>
      </c>
      <c r="GS300" s="25"/>
      <c r="GT300" s="11"/>
      <c r="GU300" s="12"/>
      <c r="GV300" s="26"/>
      <c r="GW300" s="25"/>
      <c r="GX300" s="219"/>
      <c r="GY300" s="25"/>
      <c r="GZ300" s="25"/>
      <c r="HA300" s="25"/>
    </row>
    <row r="301" spans="14:209" x14ac:dyDescent="0.25">
      <c r="N301" s="25"/>
      <c r="FO301" s="263" t="s">
        <v>658</v>
      </c>
      <c r="FP301" s="254">
        <v>43915.873703703706</v>
      </c>
      <c r="FQ301" s="246">
        <v>43860</v>
      </c>
      <c r="FR301" s="26">
        <v>43860</v>
      </c>
      <c r="FS301" s="211">
        <v>6</v>
      </c>
      <c r="FT301" s="25">
        <v>0.23594006261087228</v>
      </c>
      <c r="FU301" s="25">
        <v>3.6560031492112057E-6</v>
      </c>
      <c r="FV301" s="74">
        <v>2.9674631041599814E-2</v>
      </c>
      <c r="FW301" s="212">
        <v>64534.972477191957</v>
      </c>
      <c r="FX301" s="212">
        <v>142.9972758907426</v>
      </c>
      <c r="FY301" s="212"/>
      <c r="FZ301" s="212">
        <v>7.9508976468678538</v>
      </c>
      <c r="GA301" s="213">
        <v>3.6560031492112056E-3</v>
      </c>
      <c r="GB301" s="246">
        <v>43914</v>
      </c>
      <c r="GC301" s="26" t="s">
        <v>1156</v>
      </c>
      <c r="GD301" s="212">
        <v>64534.972477191957</v>
      </c>
      <c r="GE301" s="212">
        <v>8077</v>
      </c>
      <c r="GF301" s="74" t="s">
        <v>1157</v>
      </c>
      <c r="GG301" s="156">
        <v>43914</v>
      </c>
      <c r="GH301" s="25">
        <v>55</v>
      </c>
      <c r="GI301" s="25" t="s">
        <v>1158</v>
      </c>
      <c r="GJ301" s="25"/>
      <c r="GK301" s="62" t="s">
        <v>1159</v>
      </c>
      <c r="GM301" s="25" t="s">
        <v>1160</v>
      </c>
      <c r="GN301" s="165">
        <v>1215.6833232992174</v>
      </c>
      <c r="GO301" s="156">
        <v>43915</v>
      </c>
      <c r="GP301" s="218">
        <v>0</v>
      </c>
      <c r="GQ301" s="156">
        <v>43913</v>
      </c>
      <c r="GR301" s="25">
        <v>2</v>
      </c>
      <c r="GS301" s="25"/>
      <c r="GT301" s="11"/>
      <c r="GU301" s="12"/>
      <c r="GV301" s="26"/>
      <c r="GW301" s="25"/>
      <c r="GX301" s="219"/>
      <c r="GY301" s="25"/>
      <c r="GZ301" s="25"/>
      <c r="HA301" s="25"/>
    </row>
    <row r="302" spans="14:209" x14ac:dyDescent="0.25">
      <c r="N302" s="25"/>
      <c r="FO302" s="263" t="s">
        <v>658</v>
      </c>
      <c r="FP302" s="254">
        <v>43916.899143518516</v>
      </c>
      <c r="FQ302" s="246">
        <v>43860</v>
      </c>
      <c r="FR302" s="26">
        <v>43860</v>
      </c>
      <c r="FS302" s="211">
        <v>6</v>
      </c>
      <c r="FT302" s="25">
        <v>0.23736203305370973</v>
      </c>
      <c r="FU302" s="71">
        <v>1.0775301857048374E-5</v>
      </c>
      <c r="FV302" s="74">
        <v>3.2261693235413211E-2</v>
      </c>
      <c r="FW302" s="212">
        <v>22028.341869461943</v>
      </c>
      <c r="FX302" s="212">
        <v>142.35237698746531</v>
      </c>
      <c r="FY302" s="212"/>
      <c r="FZ302" s="212">
        <v>7.3573846137647259</v>
      </c>
      <c r="GA302" s="213">
        <v>1.0775301857048374E-2</v>
      </c>
      <c r="GB302" s="246">
        <v>43915</v>
      </c>
      <c r="GC302" s="160" t="s">
        <v>1224</v>
      </c>
      <c r="GD302" s="212">
        <v>22028.341869461943</v>
      </c>
      <c r="GE302" s="212">
        <v>8365</v>
      </c>
      <c r="GF302" s="73" t="s">
        <v>1225</v>
      </c>
      <c r="GG302" s="156">
        <v>43915</v>
      </c>
      <c r="GH302" s="25">
        <v>56</v>
      </c>
      <c r="GI302" s="25" t="s">
        <v>1226</v>
      </c>
      <c r="GJ302" s="25"/>
      <c r="GK302" s="62" t="s">
        <v>1227</v>
      </c>
      <c r="GM302" s="62" t="s">
        <v>1228</v>
      </c>
      <c r="GN302" s="165">
        <v>1259.0307043949429</v>
      </c>
      <c r="GO302" s="156">
        <v>43915</v>
      </c>
      <c r="GP302" s="218">
        <v>-1</v>
      </c>
      <c r="GQ302" s="156">
        <v>43914</v>
      </c>
      <c r="GR302" s="25">
        <v>2</v>
      </c>
      <c r="GS302" s="25"/>
      <c r="GT302" s="11"/>
      <c r="GU302" s="12"/>
      <c r="GV302" s="26"/>
      <c r="GW302" s="25"/>
      <c r="GX302" s="219"/>
      <c r="GY302" s="25"/>
      <c r="GZ302" s="25"/>
      <c r="HA302" s="25"/>
    </row>
    <row r="303" spans="14:209" x14ac:dyDescent="0.25">
      <c r="N303" s="25"/>
      <c r="FO303" s="263" t="s">
        <v>658</v>
      </c>
      <c r="FP303" s="254">
        <v>43918.90116898148</v>
      </c>
      <c r="FQ303" s="246">
        <v>43860</v>
      </c>
      <c r="FR303" s="26">
        <v>43860</v>
      </c>
      <c r="FS303" s="211">
        <v>6</v>
      </c>
      <c r="FT303" s="25">
        <v>0.21367580546414575</v>
      </c>
      <c r="FU303" s="71">
        <v>2.2841892378130075E-6</v>
      </c>
      <c r="FV303" s="74">
        <v>8.7970151993943466E-2</v>
      </c>
      <c r="FW303" s="212">
        <v>93545.579292164606</v>
      </c>
      <c r="FX303" s="212">
        <v>128.33286028180987</v>
      </c>
      <c r="FY303" s="212"/>
      <c r="FZ303" s="212">
        <v>2.4289557273742393</v>
      </c>
      <c r="GA303" s="213">
        <v>2.2841892378130074E-3</v>
      </c>
      <c r="GB303" s="246">
        <v>43917</v>
      </c>
      <c r="GC303" s="160" t="s">
        <v>1377</v>
      </c>
      <c r="GD303" s="212">
        <v>93545.579292164606</v>
      </c>
      <c r="GE303" s="212">
        <v>14745</v>
      </c>
      <c r="GF303" s="73" t="s">
        <v>1378</v>
      </c>
      <c r="GG303" s="156">
        <v>43917</v>
      </c>
      <c r="GH303" s="25">
        <v>58</v>
      </c>
      <c r="GI303" s="25" t="s">
        <v>1379</v>
      </c>
      <c r="GJ303" s="25"/>
      <c r="GK303" s="62" t="s">
        <v>1380</v>
      </c>
      <c r="GM303" s="62" t="s">
        <v>1381</v>
      </c>
      <c r="GN303" s="165">
        <v>2219.2956050571943</v>
      </c>
      <c r="GO303" s="156">
        <v>43917</v>
      </c>
      <c r="GP303" s="218">
        <v>1</v>
      </c>
      <c r="GQ303" s="156">
        <v>43915</v>
      </c>
      <c r="GR303" s="25">
        <v>3</v>
      </c>
      <c r="GS303" s="25"/>
      <c r="GT303" s="11"/>
      <c r="GU303" s="12"/>
      <c r="GV303" s="26"/>
      <c r="GW303" s="25"/>
      <c r="GX303" s="219"/>
      <c r="GY303" s="25"/>
      <c r="GZ303" s="25"/>
      <c r="HA303" s="25"/>
    </row>
    <row r="304" spans="14:209" x14ac:dyDescent="0.25">
      <c r="N304" s="25"/>
      <c r="FO304" s="263" t="s">
        <v>658</v>
      </c>
      <c r="FP304" s="254">
        <v>43919.683206018519</v>
      </c>
      <c r="FQ304" s="246">
        <v>43860</v>
      </c>
      <c r="FR304" s="26">
        <v>43860</v>
      </c>
      <c r="FS304" s="211">
        <v>6</v>
      </c>
      <c r="FT304" s="25">
        <v>0.21367580546415826</v>
      </c>
      <c r="FU304" s="25">
        <v>2.2771524099040523E-6</v>
      </c>
      <c r="FV304" s="74">
        <v>8.7970151993943951E-2</v>
      </c>
      <c r="FW304" s="212">
        <v>93834.652671825985</v>
      </c>
      <c r="FX304" s="212">
        <v>127.23403204384789</v>
      </c>
      <c r="FY304" s="212"/>
      <c r="FZ304" s="212">
        <v>2.4289557344111961</v>
      </c>
      <c r="GA304" s="213">
        <v>2.2771524099040523E-3</v>
      </c>
      <c r="GB304" s="246">
        <v>43918</v>
      </c>
      <c r="GC304" s="26" t="s">
        <v>1440</v>
      </c>
      <c r="GD304" s="212">
        <v>93834.652671825985</v>
      </c>
      <c r="GE304" s="212">
        <v>17312</v>
      </c>
      <c r="GF304" s="73" t="s">
        <v>1378</v>
      </c>
      <c r="GG304" s="156">
        <v>43918</v>
      </c>
      <c r="GH304" s="25">
        <v>59</v>
      </c>
      <c r="GI304" s="25" t="s">
        <v>1441</v>
      </c>
      <c r="GJ304" s="25"/>
      <c r="GK304" s="62" t="s">
        <v>1380</v>
      </c>
      <c r="GL304" s="62"/>
      <c r="GM304" s="25" t="s">
        <v>1442</v>
      </c>
      <c r="GN304" s="165">
        <v>2605.6592414208308</v>
      </c>
      <c r="GO304" s="156">
        <v>43917</v>
      </c>
      <c r="GP304" s="218">
        <v>2</v>
      </c>
      <c r="GQ304" s="156">
        <v>43916</v>
      </c>
      <c r="GR304" s="25">
        <v>3</v>
      </c>
      <c r="GS304" s="25"/>
      <c r="GT304" s="11"/>
      <c r="GU304" s="12"/>
      <c r="GV304" s="26"/>
      <c r="GW304" s="25"/>
      <c r="GX304" s="219"/>
      <c r="GY304" s="25"/>
      <c r="GZ304" s="25"/>
      <c r="HA304" s="25"/>
    </row>
    <row r="305" spans="14:209" x14ac:dyDescent="0.25">
      <c r="N305" s="25"/>
      <c r="FO305" s="263" t="s">
        <v>658</v>
      </c>
      <c r="FP305" s="254">
        <v>43921.586018518516</v>
      </c>
      <c r="FQ305" s="246">
        <v>43860</v>
      </c>
      <c r="FR305" s="26">
        <v>43860</v>
      </c>
      <c r="FS305" s="211">
        <v>6</v>
      </c>
      <c r="FT305" s="25">
        <v>0.21367580546415826</v>
      </c>
      <c r="FU305" s="73">
        <v>2.2771524099040523E-6</v>
      </c>
      <c r="FV305" s="74">
        <v>8.7970151993943951E-2</v>
      </c>
      <c r="FW305" s="212">
        <v>93834.652671825985</v>
      </c>
      <c r="FX305" s="212">
        <v>270.27252226155485</v>
      </c>
      <c r="FY305" s="212"/>
      <c r="FZ305" s="212">
        <v>2.4289557344111961</v>
      </c>
      <c r="GA305" s="213">
        <v>2.2771524099040523E-3</v>
      </c>
      <c r="GB305" s="246">
        <v>43920</v>
      </c>
      <c r="GC305" s="26" t="s">
        <v>1440</v>
      </c>
      <c r="GD305" s="212">
        <v>93834.652671825985</v>
      </c>
      <c r="GE305" s="212">
        <v>22453</v>
      </c>
      <c r="GF305" s="73" t="s">
        <v>1378</v>
      </c>
      <c r="GG305" s="156">
        <v>43920</v>
      </c>
      <c r="GH305" s="25">
        <v>61</v>
      </c>
      <c r="GI305" s="25" t="s">
        <v>1504</v>
      </c>
      <c r="GJ305" s="62"/>
      <c r="GK305" s="62" t="s">
        <v>1380</v>
      </c>
      <c r="GM305" s="25" t="s">
        <v>1505</v>
      </c>
      <c r="GN305" s="165">
        <v>3379.4400963275134</v>
      </c>
      <c r="GO305" s="156">
        <v>43918</v>
      </c>
      <c r="GP305" s="218">
        <v>3</v>
      </c>
      <c r="GQ305" s="156">
        <v>43917</v>
      </c>
      <c r="GR305" s="25">
        <v>4</v>
      </c>
      <c r="GS305" s="25"/>
      <c r="GT305" s="11"/>
      <c r="GU305" s="12"/>
      <c r="GV305" s="26"/>
      <c r="GW305" s="25"/>
      <c r="GX305" s="219"/>
      <c r="GY305" s="25"/>
      <c r="GZ305" s="25"/>
      <c r="HA305" s="25"/>
    </row>
    <row r="306" spans="14:209" x14ac:dyDescent="0.25">
      <c r="N306" s="25"/>
      <c r="FO306" s="267" t="s">
        <v>658</v>
      </c>
      <c r="FP306" s="254">
        <v>43922.849895833337</v>
      </c>
      <c r="FQ306" s="246">
        <v>43860</v>
      </c>
      <c r="FR306" s="26">
        <v>43860</v>
      </c>
      <c r="FS306" s="211">
        <v>6</v>
      </c>
      <c r="FT306" s="72">
        <v>0.2136758054067901</v>
      </c>
      <c r="FU306" s="74">
        <v>2.8661371579282545E-6</v>
      </c>
      <c r="FV306" s="74">
        <v>8.7970151992173964E-2</v>
      </c>
      <c r="FW306" s="212">
        <v>74551.8422995648</v>
      </c>
      <c r="FX306" s="214">
        <v>212.70850130063454</v>
      </c>
      <c r="FY306" s="214"/>
      <c r="FZ306" s="212">
        <v>2.428955144823187</v>
      </c>
      <c r="GA306" s="213">
        <v>2.8661371579282546E-3</v>
      </c>
      <c r="GB306" s="246">
        <v>43921</v>
      </c>
      <c r="GC306" s="26" t="s">
        <v>1560</v>
      </c>
      <c r="GD306" s="214">
        <v>74551.8422995648</v>
      </c>
      <c r="GE306" s="214">
        <v>25481</v>
      </c>
      <c r="GF306" s="73" t="s">
        <v>1448</v>
      </c>
      <c r="GG306" s="156">
        <v>43921</v>
      </c>
      <c r="GH306" s="25">
        <v>62</v>
      </c>
      <c r="GI306" s="25" t="s">
        <v>1561</v>
      </c>
      <c r="GJ306" s="62"/>
      <c r="GK306" s="62" t="s">
        <v>1562</v>
      </c>
      <c r="GM306" s="25" t="s">
        <v>1563</v>
      </c>
      <c r="GN306" s="165">
        <v>3835.1896447922936</v>
      </c>
      <c r="GO306" s="156">
        <v>43919</v>
      </c>
      <c r="GP306" s="218">
        <v>3</v>
      </c>
      <c r="GQ306" s="156">
        <v>43917</v>
      </c>
      <c r="GR306" s="25">
        <v>5</v>
      </c>
      <c r="GS306" s="25"/>
      <c r="GT306" s="11"/>
      <c r="GU306" s="12"/>
      <c r="GV306" s="26"/>
      <c r="GW306" s="25"/>
      <c r="GX306" s="219"/>
      <c r="GY306" s="25"/>
      <c r="GZ306" s="25"/>
      <c r="HA306" s="25"/>
    </row>
    <row r="307" spans="14:209" x14ac:dyDescent="0.25">
      <c r="N307" s="25"/>
      <c r="FO307" s="263" t="s">
        <v>658</v>
      </c>
      <c r="FP307" s="254">
        <v>43923.637604166666</v>
      </c>
      <c r="FQ307" s="246">
        <v>43860</v>
      </c>
      <c r="FR307" s="26">
        <v>43860</v>
      </c>
      <c r="FS307" s="211">
        <v>6</v>
      </c>
      <c r="FT307" s="72">
        <v>0.2136758054067901</v>
      </c>
      <c r="FU307" s="74">
        <v>2.8661371579282545E-6</v>
      </c>
      <c r="FV307" s="74">
        <v>8.7970151992173964E-2</v>
      </c>
      <c r="FW307" s="212">
        <v>74551.8422995648</v>
      </c>
      <c r="FX307" s="212">
        <v>210.99573745361451</v>
      </c>
      <c r="FY307" s="212">
        <v>0.99900733455914803</v>
      </c>
      <c r="FZ307" s="212">
        <v>2.428955144823187</v>
      </c>
      <c r="GA307" s="213">
        <v>2.8661371579282546E-3</v>
      </c>
      <c r="GB307" s="246">
        <v>43922</v>
      </c>
      <c r="GC307" s="26" t="s">
        <v>1560</v>
      </c>
      <c r="GD307" s="214">
        <v>74551.8422995648</v>
      </c>
      <c r="GE307" s="214">
        <v>29865</v>
      </c>
      <c r="GF307" s="73" t="s">
        <v>1448</v>
      </c>
      <c r="GG307" s="156">
        <v>43922</v>
      </c>
      <c r="GH307" s="25">
        <v>63</v>
      </c>
      <c r="GI307" s="62" t="s">
        <v>1618</v>
      </c>
      <c r="GJ307" s="62"/>
      <c r="GK307" s="62" t="s">
        <v>1562</v>
      </c>
      <c r="GM307" s="25" t="s">
        <v>1619</v>
      </c>
      <c r="GN307" s="165">
        <v>4495.0331125827815</v>
      </c>
      <c r="GO307" s="156">
        <v>43919</v>
      </c>
      <c r="GP307" s="218">
        <v>4</v>
      </c>
      <c r="GQ307" s="156">
        <v>43917</v>
      </c>
      <c r="GR307" s="25">
        <v>6</v>
      </c>
      <c r="GS307" s="25"/>
      <c r="GT307" s="11"/>
      <c r="GU307" s="12"/>
      <c r="GV307" s="26"/>
      <c r="GW307" s="25"/>
      <c r="GX307" s="219"/>
      <c r="GY307" s="25"/>
      <c r="GZ307" s="25"/>
      <c r="HA307" s="25"/>
    </row>
    <row r="308" spans="14:209" x14ac:dyDescent="0.25">
      <c r="N308" s="25"/>
      <c r="FO308" s="267" t="s">
        <v>658</v>
      </c>
      <c r="FP308" s="254">
        <v>43925.469421296293</v>
      </c>
      <c r="FQ308" s="246">
        <v>43860</v>
      </c>
      <c r="FR308" s="160">
        <v>43860</v>
      </c>
      <c r="FS308" s="211">
        <v>6</v>
      </c>
      <c r="FT308" s="72">
        <v>0.21367580540740239</v>
      </c>
      <c r="FU308" s="74">
        <v>2.7826477958248234E-6</v>
      </c>
      <c r="FV308" s="74">
        <v>8.7970151992192935E-2</v>
      </c>
      <c r="FW308" s="212">
        <v>76788.663562815462</v>
      </c>
      <c r="FX308" s="212">
        <v>223.62721150665627</v>
      </c>
      <c r="FY308" s="212">
        <v>0.99935162017949253</v>
      </c>
      <c r="FZ308" s="212">
        <v>2.4289552283189857</v>
      </c>
      <c r="GA308" s="213">
        <v>2.7826477958248232E-3</v>
      </c>
      <c r="GB308" s="246">
        <v>43924</v>
      </c>
      <c r="GC308" s="160" t="s">
        <v>1679</v>
      </c>
      <c r="GD308" s="212">
        <v>76788.663562815462</v>
      </c>
      <c r="GE308" s="212">
        <v>38689</v>
      </c>
      <c r="GF308" s="74" t="s">
        <v>1680</v>
      </c>
      <c r="GG308" s="156">
        <v>43924</v>
      </c>
      <c r="GH308" s="25">
        <v>65</v>
      </c>
      <c r="GI308" s="21" t="s">
        <v>1681</v>
      </c>
      <c r="GJ308" s="161"/>
      <c r="GK308" s="161" t="s">
        <v>1682</v>
      </c>
      <c r="GL308" s="23"/>
      <c r="GM308" s="23" t="s">
        <v>1683</v>
      </c>
      <c r="GN308" s="165">
        <v>5823.1487055990365</v>
      </c>
      <c r="GO308" s="156">
        <v>43919</v>
      </c>
      <c r="GP308" s="218">
        <v>5</v>
      </c>
      <c r="GQ308" s="156">
        <v>43917</v>
      </c>
      <c r="GR308" s="25">
        <v>8</v>
      </c>
      <c r="GS308" s="23"/>
      <c r="GT308" s="11"/>
      <c r="GU308" s="12"/>
      <c r="GV308" s="26"/>
      <c r="GW308" s="25"/>
      <c r="GX308" s="219"/>
      <c r="GY308" s="25"/>
      <c r="GZ308" s="25"/>
      <c r="HA308" s="25"/>
    </row>
    <row r="309" spans="14:209" x14ac:dyDescent="0.25">
      <c r="N309" s="25"/>
      <c r="FO309" s="265" t="s">
        <v>658</v>
      </c>
      <c r="FP309" s="254">
        <v>43925.970613425925</v>
      </c>
      <c r="FQ309" s="246">
        <v>43860</v>
      </c>
      <c r="FR309" s="26">
        <v>43860</v>
      </c>
      <c r="FS309" s="211">
        <v>6</v>
      </c>
      <c r="FT309" s="25">
        <v>0.21367580540740239</v>
      </c>
      <c r="FU309" s="22">
        <v>2.7826477958248234E-6</v>
      </c>
      <c r="FV309" s="24">
        <v>8.7970151992192935E-2</v>
      </c>
      <c r="FW309" s="212">
        <v>76788.663562815462</v>
      </c>
      <c r="FX309" s="212">
        <v>223.62721150665627</v>
      </c>
      <c r="FY309" s="212">
        <v>0.99935162017949253</v>
      </c>
      <c r="FZ309" s="212">
        <v>2.4289552283189857</v>
      </c>
      <c r="GA309" s="213">
        <v>2.7826477958248232E-3</v>
      </c>
      <c r="GB309" s="246">
        <v>43924</v>
      </c>
      <c r="GC309" s="26" t="s">
        <v>1679</v>
      </c>
      <c r="GD309" s="214">
        <v>76788.663562815462</v>
      </c>
      <c r="GE309" s="212">
        <v>38689</v>
      </c>
      <c r="GF309" s="74" t="s">
        <v>1680</v>
      </c>
      <c r="GG309" s="156">
        <v>43924</v>
      </c>
      <c r="GH309" s="25">
        <v>65</v>
      </c>
      <c r="GI309" s="25" t="s">
        <v>1681</v>
      </c>
      <c r="GJ309" s="18"/>
      <c r="GK309" s="25" t="s">
        <v>1682</v>
      </c>
      <c r="GM309" s="25" t="s">
        <v>1683</v>
      </c>
      <c r="GN309" s="165">
        <v>5823.1487055990365</v>
      </c>
      <c r="GO309" s="156">
        <v>43920</v>
      </c>
      <c r="GP309" s="218">
        <v>5</v>
      </c>
      <c r="GQ309" s="156">
        <v>43917</v>
      </c>
      <c r="GR309" s="25">
        <v>8</v>
      </c>
      <c r="GS309" s="25"/>
      <c r="GT309" s="11"/>
      <c r="GU309" s="12"/>
      <c r="GV309" s="26"/>
      <c r="GW309" s="25"/>
      <c r="GX309" s="219"/>
      <c r="GY309" s="25"/>
      <c r="GZ309" s="25"/>
      <c r="HA309" s="25"/>
    </row>
    <row r="310" spans="14:209" x14ac:dyDescent="0.25">
      <c r="N310" s="25"/>
      <c r="FO310" s="267" t="s">
        <v>658</v>
      </c>
      <c r="FP310" s="254">
        <v>43926.549814814818</v>
      </c>
      <c r="FQ310" s="246">
        <v>43860</v>
      </c>
      <c r="FR310" s="160">
        <v>43860</v>
      </c>
      <c r="FS310" s="211">
        <v>6</v>
      </c>
      <c r="FT310" s="72">
        <v>0.21367580540740239</v>
      </c>
      <c r="FU310" s="72">
        <v>2.7826477958248234E-6</v>
      </c>
      <c r="FV310" s="74">
        <v>8.7970151992192935E-2</v>
      </c>
      <c r="FW310" s="212">
        <v>76788.663562815462</v>
      </c>
      <c r="FX310" s="212">
        <v>222.11219187339142</v>
      </c>
      <c r="FY310" s="212">
        <v>0.99949733019543086</v>
      </c>
      <c r="FZ310" s="212">
        <v>2.4289552283189857</v>
      </c>
      <c r="GA310" s="213">
        <v>2.7826477958248232E-3</v>
      </c>
      <c r="GB310" s="246">
        <v>43925</v>
      </c>
      <c r="GC310" s="160" t="s">
        <v>1679</v>
      </c>
      <c r="GD310" s="212">
        <v>76788.663562815462</v>
      </c>
      <c r="GE310" s="212">
        <v>42477</v>
      </c>
      <c r="GF310" s="74" t="s">
        <v>1680</v>
      </c>
      <c r="GG310" s="156">
        <v>43925</v>
      </c>
      <c r="GH310" s="25">
        <v>66</v>
      </c>
      <c r="GI310" s="23" t="s">
        <v>1897</v>
      </c>
      <c r="GJ310" s="21"/>
      <c r="GK310" s="161" t="s">
        <v>1682</v>
      </c>
      <c r="GL310" s="23"/>
      <c r="GM310" s="23" t="s">
        <v>1898</v>
      </c>
      <c r="GN310" s="165">
        <v>6393.2871763997591</v>
      </c>
      <c r="GO310" s="156">
        <v>43920</v>
      </c>
      <c r="GP310" s="218">
        <v>6</v>
      </c>
      <c r="GQ310" s="156">
        <v>43917</v>
      </c>
      <c r="GR310" s="23">
        <v>9</v>
      </c>
      <c r="GS310" s="23"/>
      <c r="GT310" s="11"/>
      <c r="GU310" s="34"/>
      <c r="GV310" s="26"/>
      <c r="GW310" s="25"/>
      <c r="GX310" s="219"/>
      <c r="GY310" s="25"/>
      <c r="GZ310" s="25"/>
      <c r="HA310" s="25"/>
    </row>
    <row r="311" spans="14:209" x14ac:dyDescent="0.25">
      <c r="N311" s="25"/>
      <c r="FO311" s="267" t="s">
        <v>658</v>
      </c>
      <c r="FP311" s="254">
        <v>43927.804699074077</v>
      </c>
      <c r="FQ311" s="246">
        <v>43860</v>
      </c>
      <c r="FR311" s="160">
        <v>43860</v>
      </c>
      <c r="FS311" s="211">
        <v>6</v>
      </c>
      <c r="FT311" s="72">
        <v>0.21367580540770101</v>
      </c>
      <c r="FU311" s="72">
        <v>2.7029286097626544E-6</v>
      </c>
      <c r="FV311" s="74">
        <v>8.7970151992201193E-2</v>
      </c>
      <c r="FW311" s="212">
        <v>79053.440270649255</v>
      </c>
      <c r="FX311" s="212">
        <v>302.15638257611857</v>
      </c>
      <c r="FY311" s="212">
        <v>0.99927014954839755</v>
      </c>
      <c r="FZ311" s="212">
        <v>2.428955308041338</v>
      </c>
      <c r="GA311" s="213">
        <v>2.7029286097626543E-3</v>
      </c>
      <c r="GB311" s="246">
        <v>43926</v>
      </c>
      <c r="GC311" s="160" t="s">
        <v>1939</v>
      </c>
      <c r="GD311" s="212">
        <v>79053.440270649255</v>
      </c>
      <c r="GE311" s="212">
        <v>48436</v>
      </c>
      <c r="GF311" s="74" t="s">
        <v>1147</v>
      </c>
      <c r="GG311" s="156">
        <v>43926</v>
      </c>
      <c r="GH311" s="25">
        <v>67</v>
      </c>
      <c r="GI311" s="23" t="s">
        <v>1940</v>
      </c>
      <c r="GJ311" s="21"/>
      <c r="GK311" s="161" t="s">
        <v>1941</v>
      </c>
      <c r="GL311" s="23"/>
      <c r="GM311" s="23" t="s">
        <v>1942</v>
      </c>
      <c r="GN311" s="165">
        <v>7290.1866345574954</v>
      </c>
      <c r="GO311" s="156">
        <v>43920</v>
      </c>
      <c r="GP311" s="218">
        <v>7</v>
      </c>
      <c r="GQ311" s="243">
        <v>43918</v>
      </c>
      <c r="GR311" s="23">
        <v>9</v>
      </c>
      <c r="GS311" s="23"/>
      <c r="GT311" s="11"/>
      <c r="GU311" s="34"/>
      <c r="GV311" s="26"/>
      <c r="GW311" s="25"/>
      <c r="GX311" s="219"/>
      <c r="GY311" s="25"/>
      <c r="GZ311" s="25"/>
      <c r="HA311" s="25"/>
    </row>
    <row r="312" spans="14:209" x14ac:dyDescent="0.25">
      <c r="N312" s="25"/>
      <c r="FO312" s="267" t="s">
        <v>658</v>
      </c>
      <c r="FP312" s="254">
        <v>43928.749444444446</v>
      </c>
      <c r="FQ312" s="247">
        <v>43860</v>
      </c>
      <c r="FR312" s="26">
        <v>43860</v>
      </c>
      <c r="FS312" s="211">
        <v>6</v>
      </c>
      <c r="FT312" s="72">
        <v>0.21367502777130704</v>
      </c>
      <c r="FU312" s="72">
        <v>2.6792605959010828E-6</v>
      </c>
      <c r="FV312" s="74">
        <v>8.7970130294008769E-2</v>
      </c>
      <c r="FW312" s="212">
        <v>79751.49117566309</v>
      </c>
      <c r="FX312" s="214">
        <v>323.62318033093158</v>
      </c>
      <c r="FY312" s="214">
        <v>0.99932637625917398</v>
      </c>
      <c r="FZ312" s="212">
        <v>2.4289470910441029</v>
      </c>
      <c r="GA312" s="213">
        <v>2.679260595901083E-3</v>
      </c>
      <c r="GB312" s="246">
        <v>43927</v>
      </c>
      <c r="GC312" s="26" t="s">
        <v>1986</v>
      </c>
      <c r="GD312" s="214">
        <v>79751.49117566309</v>
      </c>
      <c r="GE312" s="214">
        <v>52279</v>
      </c>
      <c r="GF312" s="73" t="s">
        <v>1987</v>
      </c>
      <c r="GG312" s="156">
        <v>43927</v>
      </c>
      <c r="GH312" s="25">
        <v>68</v>
      </c>
      <c r="GI312" s="25" t="s">
        <v>1988</v>
      </c>
      <c r="GK312" s="62" t="s">
        <v>1989</v>
      </c>
      <c r="GM312" s="25" t="s">
        <v>1990</v>
      </c>
      <c r="GN312" s="165">
        <v>7868.6032510535824</v>
      </c>
      <c r="GO312" s="156">
        <v>43920</v>
      </c>
      <c r="GP312" s="218">
        <v>8</v>
      </c>
      <c r="GQ312" s="156">
        <v>43918</v>
      </c>
      <c r="GR312" s="25">
        <v>10</v>
      </c>
      <c r="GS312" s="25"/>
      <c r="GT312" s="11">
        <v>2810.245407927302</v>
      </c>
      <c r="GU312" s="12">
        <v>4.1128415044639516E-2</v>
      </c>
      <c r="GV312" s="26">
        <v>43902</v>
      </c>
      <c r="GW312" s="25" t="s">
        <v>1647</v>
      </c>
      <c r="GX312" s="219">
        <v>2959.7950421037967</v>
      </c>
      <c r="GY312" s="25" t="s">
        <v>658</v>
      </c>
      <c r="GZ312" s="25"/>
      <c r="HA312" s="25"/>
    </row>
    <row r="313" spans="14:209" x14ac:dyDescent="0.25">
      <c r="N313" s="25"/>
      <c r="FO313" s="267" t="s">
        <v>658</v>
      </c>
      <c r="FP313" s="254">
        <v>43930.812384259261</v>
      </c>
      <c r="FQ313" s="247">
        <v>43860</v>
      </c>
      <c r="FR313" s="160">
        <v>43860</v>
      </c>
      <c r="FS313" s="211">
        <v>6</v>
      </c>
      <c r="FT313" s="72">
        <v>0.21367502777139841</v>
      </c>
      <c r="FU313" s="72">
        <v>2.6082510705482864E-6</v>
      </c>
      <c r="FV313" s="74">
        <v>8.7970130294010407E-2</v>
      </c>
      <c r="FW313" s="212">
        <v>81922.722158216653</v>
      </c>
      <c r="FX313" s="212">
        <v>420.6654580759016</v>
      </c>
      <c r="FY313" s="212">
        <v>0.9992271464222986</v>
      </c>
      <c r="FZ313" s="212">
        <v>2.4289471620546217</v>
      </c>
      <c r="GA313" s="213">
        <v>2.6082510705482862E-3</v>
      </c>
      <c r="GB313" s="246">
        <v>43929</v>
      </c>
      <c r="GC313" s="160" t="s">
        <v>2041</v>
      </c>
      <c r="GD313" s="212">
        <v>81922.722158216653</v>
      </c>
      <c r="GE313" s="212">
        <v>61474</v>
      </c>
      <c r="GF313" s="74" t="s">
        <v>2042</v>
      </c>
      <c r="GG313" s="156">
        <v>43929</v>
      </c>
      <c r="GH313" s="25">
        <v>70</v>
      </c>
      <c r="GI313" s="23" t="s">
        <v>2043</v>
      </c>
      <c r="GJ313" s="21"/>
      <c r="GK313" s="161" t="s">
        <v>2044</v>
      </c>
      <c r="GL313" s="23"/>
      <c r="GM313" s="23" t="s">
        <v>2045</v>
      </c>
      <c r="GN313" s="23">
        <v>9252.558699578567</v>
      </c>
      <c r="GO313" s="243">
        <v>43921</v>
      </c>
      <c r="GP313" s="218">
        <v>9</v>
      </c>
      <c r="GQ313" s="243">
        <v>43918</v>
      </c>
      <c r="GR313" s="23">
        <v>12</v>
      </c>
      <c r="GS313" s="23"/>
      <c r="GT313" s="11">
        <v>2806.5119453888437</v>
      </c>
      <c r="GU313" s="34">
        <v>4.5464770528293105E-2</v>
      </c>
      <c r="GV313" s="160">
        <v>43902</v>
      </c>
      <c r="GW313" s="23" t="s">
        <v>1647</v>
      </c>
      <c r="GX313" s="220">
        <v>1673.9076597477979</v>
      </c>
      <c r="GY313" s="23" t="s">
        <v>658</v>
      </c>
      <c r="GZ313" s="23"/>
      <c r="HA313" s="25"/>
    </row>
    <row r="314" spans="14:209" x14ac:dyDescent="0.25">
      <c r="N314" s="25"/>
      <c r="FO314" s="267" t="s">
        <v>658</v>
      </c>
      <c r="FP314" s="254">
        <v>43931.868414351855</v>
      </c>
      <c r="FQ314" s="247">
        <v>43860</v>
      </c>
      <c r="FR314" s="160">
        <v>43860</v>
      </c>
      <c r="FS314" s="211">
        <v>6</v>
      </c>
      <c r="FT314" s="72">
        <v>0.21367502777136479</v>
      </c>
      <c r="FU314" s="72">
        <v>2.5762009429337249E-6</v>
      </c>
      <c r="FV314" s="74">
        <v>8.7970130294009075E-2</v>
      </c>
      <c r="FW314" s="212">
        <v>82941.910396180523</v>
      </c>
      <c r="FX314" s="212">
        <v>515.63645465012269</v>
      </c>
      <c r="FY314" s="212">
        <v>0.99902751996388139</v>
      </c>
      <c r="FZ314" s="212">
        <v>2.4289471941044041</v>
      </c>
      <c r="GA314" s="213">
        <v>2.5762009429337249E-3</v>
      </c>
      <c r="GB314" s="246">
        <v>43930</v>
      </c>
      <c r="GC314" s="160" t="s">
        <v>2102</v>
      </c>
      <c r="GD314" s="212">
        <v>82941.910396180523</v>
      </c>
      <c r="GE314" s="212">
        <v>65872</v>
      </c>
      <c r="GF314" s="74" t="s">
        <v>2103</v>
      </c>
      <c r="GG314" s="243">
        <v>43930</v>
      </c>
      <c r="GH314" s="160">
        <v>71</v>
      </c>
      <c r="GI314" s="23" t="s">
        <v>2104</v>
      </c>
      <c r="GJ314" s="21"/>
      <c r="GK314" s="161" t="s">
        <v>2105</v>
      </c>
      <c r="GL314" s="23"/>
      <c r="GM314" s="23" t="s">
        <v>2106</v>
      </c>
      <c r="GN314" s="23">
        <v>9914.5093317278752</v>
      </c>
      <c r="GO314" s="243">
        <v>43921</v>
      </c>
      <c r="GP314" s="218">
        <v>10</v>
      </c>
      <c r="GQ314" s="243">
        <v>43918</v>
      </c>
      <c r="GR314" s="23">
        <v>13</v>
      </c>
      <c r="GS314" s="23"/>
      <c r="GT314" s="11">
        <v>75168.155866109431</v>
      </c>
      <c r="GU314" s="34">
        <v>5.2008267620467195E-2</v>
      </c>
      <c r="GV314" s="160">
        <v>43902</v>
      </c>
      <c r="GW314" s="23" t="s">
        <v>1647</v>
      </c>
      <c r="GX314" s="220">
        <v>849.72736785051529</v>
      </c>
      <c r="GY314" s="23" t="s">
        <v>658</v>
      </c>
      <c r="GZ314" s="23"/>
      <c r="HA314" s="25"/>
    </row>
    <row r="315" spans="14:209" x14ac:dyDescent="0.25">
      <c r="N315" s="25"/>
      <c r="FO315" s="267" t="s">
        <v>658</v>
      </c>
      <c r="FP315" s="254">
        <v>43933.907986111109</v>
      </c>
      <c r="FQ315" s="247">
        <v>43860</v>
      </c>
      <c r="FR315" s="160">
        <v>43860</v>
      </c>
      <c r="FS315" s="211">
        <v>6</v>
      </c>
      <c r="FT315" s="72">
        <v>0.21366545139884255</v>
      </c>
      <c r="FU315" s="72">
        <v>2.4051245066127375E-6</v>
      </c>
      <c r="FV315" s="74">
        <v>8.796988206556175E-2</v>
      </c>
      <c r="FW315" s="212">
        <v>88837.584420840969</v>
      </c>
      <c r="FX315" s="212">
        <v>1308.6449045682832</v>
      </c>
      <c r="FY315" s="212">
        <v>0.9956492200571434</v>
      </c>
      <c r="FZ315" s="212">
        <v>2.428845359382021</v>
      </c>
      <c r="GA315" s="213">
        <v>2.4051245066127377E-3</v>
      </c>
      <c r="GB315" s="246">
        <v>43932</v>
      </c>
      <c r="GC315" s="160" t="s">
        <v>2237</v>
      </c>
      <c r="GD315" s="212">
        <v>88837.584420840954</v>
      </c>
      <c r="GE315" s="212">
        <v>79874</v>
      </c>
      <c r="GF315" s="74" t="s">
        <v>2238</v>
      </c>
      <c r="GG315" s="243">
        <v>43932</v>
      </c>
      <c r="GH315" s="160">
        <v>73</v>
      </c>
      <c r="GI315" s="23" t="s">
        <v>2239</v>
      </c>
      <c r="GJ315" s="21"/>
      <c r="GK315" s="161" t="s">
        <v>2240</v>
      </c>
      <c r="GL315" s="23"/>
      <c r="GM315" s="23" t="s">
        <v>2241</v>
      </c>
      <c r="GN315" s="23">
        <v>12021.974714027694</v>
      </c>
      <c r="GO315" s="243">
        <v>43921</v>
      </c>
      <c r="GP315" s="218">
        <v>12</v>
      </c>
      <c r="GQ315" s="243">
        <v>43918</v>
      </c>
      <c r="GR315" s="23">
        <v>15</v>
      </c>
      <c r="GS315" s="23"/>
      <c r="GT315" s="11">
        <v>84836.826083833817</v>
      </c>
      <c r="GU315" s="34">
        <v>0.10885440501229028</v>
      </c>
      <c r="GV315" s="160">
        <v>43902</v>
      </c>
      <c r="GW315" s="23" t="s">
        <v>1647</v>
      </c>
      <c r="GX315" s="220">
        <v>-3941.1727342661616</v>
      </c>
      <c r="GY315" s="23" t="s">
        <v>658</v>
      </c>
      <c r="GZ315" s="23"/>
      <c r="HA315" s="25"/>
    </row>
    <row r="316" spans="14:209" x14ac:dyDescent="0.25">
      <c r="N316" s="25"/>
      <c r="FO316" s="267" t="s">
        <v>658</v>
      </c>
      <c r="FP316" s="254">
        <v>43933.917025462964</v>
      </c>
      <c r="FQ316" s="247">
        <v>43860</v>
      </c>
      <c r="FR316" s="160">
        <v>43860</v>
      </c>
      <c r="FS316" s="211">
        <v>6</v>
      </c>
      <c r="FT316" s="72">
        <v>0.21366545139884255</v>
      </c>
      <c r="FU316" s="72">
        <v>2.4051245066127375E-6</v>
      </c>
      <c r="FV316" s="74">
        <v>8.796988206556175E-2</v>
      </c>
      <c r="FW316" s="212">
        <v>88837.584420840969</v>
      </c>
      <c r="FX316" s="212">
        <v>1308.6449045682832</v>
      </c>
      <c r="FY316" s="212">
        <v>0.9956492200571434</v>
      </c>
      <c r="FZ316" s="212">
        <v>2.428845359382021</v>
      </c>
      <c r="GA316" s="213">
        <v>2.4051245066127377E-3</v>
      </c>
      <c r="GB316" s="246">
        <v>43932</v>
      </c>
      <c r="GC316" s="160" t="s">
        <v>2237</v>
      </c>
      <c r="GD316" s="212">
        <v>88837.584420840954</v>
      </c>
      <c r="GE316" s="212">
        <v>79874</v>
      </c>
      <c r="GF316" s="74" t="s">
        <v>2238</v>
      </c>
      <c r="GG316" s="243">
        <v>43932</v>
      </c>
      <c r="GH316" s="160">
        <v>73</v>
      </c>
      <c r="GI316" s="23" t="s">
        <v>2277</v>
      </c>
      <c r="GJ316" s="21"/>
      <c r="GK316" s="161" t="s">
        <v>2240</v>
      </c>
      <c r="GL316" s="23"/>
      <c r="GM316" s="23" t="s">
        <v>2278</v>
      </c>
      <c r="GN316" s="23">
        <v>12021.974714027694</v>
      </c>
      <c r="GO316" s="243">
        <v>43921</v>
      </c>
      <c r="GP316" s="218">
        <v>12</v>
      </c>
      <c r="GQ316" s="243">
        <v>43918</v>
      </c>
      <c r="GR316" s="23">
        <v>15</v>
      </c>
      <c r="GS316" s="23"/>
      <c r="GT316" s="11">
        <v>84836.826083833817</v>
      </c>
      <c r="GU316" s="34">
        <v>0.10885440501229028</v>
      </c>
      <c r="GV316" s="160">
        <v>43902</v>
      </c>
      <c r="GW316" s="23" t="s">
        <v>1647</v>
      </c>
      <c r="GX316" s="220">
        <v>-3941.1727342661616</v>
      </c>
      <c r="GY316" s="23" t="s">
        <v>658</v>
      </c>
      <c r="GZ316" s="23"/>
      <c r="HA316" s="25"/>
    </row>
    <row r="317" spans="14:209" x14ac:dyDescent="0.25">
      <c r="N317" s="25"/>
      <c r="FO317" s="267" t="s">
        <v>658</v>
      </c>
      <c r="FP317" s="254">
        <v>43933.921550925923</v>
      </c>
      <c r="FQ317" s="247">
        <v>43860</v>
      </c>
      <c r="FR317" s="160">
        <v>43860</v>
      </c>
      <c r="FS317" s="211">
        <v>6</v>
      </c>
      <c r="FT317" s="72">
        <v>0.21366545139884255</v>
      </c>
      <c r="FU317" s="72">
        <v>2.4051245066127375E-6</v>
      </c>
      <c r="FV317" s="74">
        <v>8.796988206556175E-2</v>
      </c>
      <c r="FW317" s="212">
        <v>88837.584420840969</v>
      </c>
      <c r="FX317" s="212">
        <v>1308.6449045682832</v>
      </c>
      <c r="FY317" s="212">
        <v>0.9956492200571434</v>
      </c>
      <c r="FZ317" s="212">
        <v>2.428845359382021</v>
      </c>
      <c r="GA317" s="213">
        <v>2.4051245066127377E-3</v>
      </c>
      <c r="GB317" s="246">
        <v>43932</v>
      </c>
      <c r="GC317" s="160" t="s">
        <v>2237</v>
      </c>
      <c r="GD317" s="212">
        <v>88837.584420840954</v>
      </c>
      <c r="GE317" s="212">
        <v>79874</v>
      </c>
      <c r="GF317" s="74" t="s">
        <v>2238</v>
      </c>
      <c r="GG317" s="243">
        <v>43932</v>
      </c>
      <c r="GH317" s="160">
        <v>73</v>
      </c>
      <c r="GI317" s="23" t="s">
        <v>2239</v>
      </c>
      <c r="GJ317" s="21"/>
      <c r="GK317" s="161" t="s">
        <v>2240</v>
      </c>
      <c r="GL317" s="23"/>
      <c r="GM317" s="23" t="s">
        <v>2241</v>
      </c>
      <c r="GN317" s="23">
        <v>12021.974714027694</v>
      </c>
      <c r="GO317" s="243">
        <v>43921</v>
      </c>
      <c r="GP317" s="218">
        <v>12</v>
      </c>
      <c r="GQ317" s="243">
        <v>43918</v>
      </c>
      <c r="GR317" s="23">
        <v>15</v>
      </c>
      <c r="GS317" s="23"/>
      <c r="GT317" s="11">
        <v>84836.826083833817</v>
      </c>
      <c r="GU317" s="34">
        <v>0.10885440501229028</v>
      </c>
      <c r="GV317" s="160">
        <v>43902</v>
      </c>
      <c r="GW317" s="23" t="s">
        <v>1647</v>
      </c>
      <c r="GX317" s="220">
        <v>-3941.1727342661616</v>
      </c>
      <c r="GY317" s="23" t="s">
        <v>658</v>
      </c>
      <c r="GZ317" s="23"/>
      <c r="HA317" s="25"/>
    </row>
    <row r="318" spans="14:209" x14ac:dyDescent="0.25">
      <c r="N318" s="25"/>
      <c r="FO318" s="263" t="s">
        <v>609</v>
      </c>
      <c r="FP318" s="255">
        <v>43934.704560185186</v>
      </c>
      <c r="FQ318" s="247">
        <v>43860</v>
      </c>
      <c r="FR318" s="160">
        <v>43860</v>
      </c>
      <c r="FS318" s="211">
        <v>6</v>
      </c>
      <c r="FT318" s="72">
        <v>0.21365066501252541</v>
      </c>
      <c r="FU318" s="72">
        <v>2.3272784520291082E-6</v>
      </c>
      <c r="FV318" s="74">
        <v>8.7969508630768981E-2</v>
      </c>
      <c r="FW318" s="212">
        <v>91802.794300891503</v>
      </c>
      <c r="FX318" s="214">
        <v>1626.4521608666755</v>
      </c>
      <c r="FY318" s="214">
        <v>0.99429660920372476</v>
      </c>
      <c r="FZ318" s="212">
        <v>2.4286876624459772</v>
      </c>
      <c r="GA318" s="213">
        <v>2.3272784520291081E-3</v>
      </c>
      <c r="GB318" s="246">
        <v>43933</v>
      </c>
      <c r="GC318" s="26" t="s">
        <v>2334</v>
      </c>
      <c r="GD318" s="214">
        <v>91802.794300891488</v>
      </c>
      <c r="GE318" s="214">
        <v>85206</v>
      </c>
      <c r="GF318" s="73" t="s">
        <v>2335</v>
      </c>
      <c r="GG318" s="156">
        <v>43933</v>
      </c>
      <c r="GH318" s="26">
        <v>74</v>
      </c>
      <c r="GI318" s="25" t="s">
        <v>2336</v>
      </c>
      <c r="GK318" s="62" t="s">
        <v>2337</v>
      </c>
      <c r="GM318" s="25" t="s">
        <v>2338</v>
      </c>
      <c r="GN318" s="25">
        <v>12824.503311258279</v>
      </c>
      <c r="GO318" s="156">
        <v>43921</v>
      </c>
      <c r="GP318" s="218">
        <v>13</v>
      </c>
      <c r="GQ318" s="156">
        <v>43918</v>
      </c>
      <c r="GR318" s="25">
        <v>16</v>
      </c>
      <c r="GS318" s="25"/>
      <c r="GT318" s="11">
        <v>87532.145981974812</v>
      </c>
      <c r="GU318" s="12">
        <v>0.12682379359197934</v>
      </c>
      <c r="GV318" s="26">
        <v>43902</v>
      </c>
      <c r="GW318" s="25" t="s">
        <v>2333</v>
      </c>
      <c r="GX318" s="219">
        <v>-4817.6753002289624</v>
      </c>
      <c r="GY318" s="25" t="s">
        <v>658</v>
      </c>
      <c r="GZ318" s="25" t="s">
        <v>658</v>
      </c>
      <c r="HA318" s="25"/>
    </row>
    <row r="319" spans="14:209" x14ac:dyDescent="0.25">
      <c r="N319" s="25"/>
      <c r="FO319" s="267" t="s">
        <v>609</v>
      </c>
      <c r="FP319" s="255">
        <v>43934.880347222221</v>
      </c>
      <c r="FQ319" s="247">
        <v>43860</v>
      </c>
      <c r="FR319" s="160">
        <v>43860</v>
      </c>
      <c r="FS319" s="211">
        <v>6</v>
      </c>
      <c r="FT319" s="72">
        <v>0.21365066501252541</v>
      </c>
      <c r="FU319" s="72">
        <v>2.3272784520291082E-6</v>
      </c>
      <c r="FV319" s="74">
        <v>8.7969508630768981E-2</v>
      </c>
      <c r="FW319" s="212">
        <v>91802.794300891503</v>
      </c>
      <c r="FX319" s="214">
        <v>1626.4521608666755</v>
      </c>
      <c r="FY319" s="214">
        <v>0.99429660920372476</v>
      </c>
      <c r="FZ319" s="212">
        <v>2.4286876624459772</v>
      </c>
      <c r="GA319" s="213">
        <v>2.3272784520291081E-3</v>
      </c>
      <c r="GB319" s="246">
        <v>43933</v>
      </c>
      <c r="GC319" s="26" t="s">
        <v>2334</v>
      </c>
      <c r="GD319" s="214">
        <v>91802.794300877518</v>
      </c>
      <c r="GE319" s="214">
        <v>85206</v>
      </c>
      <c r="GF319" s="73" t="s">
        <v>2335</v>
      </c>
      <c r="GG319" s="156">
        <v>43933</v>
      </c>
      <c r="GH319" s="26">
        <v>74</v>
      </c>
      <c r="GI319" s="25" t="s">
        <v>2336</v>
      </c>
      <c r="GK319" s="62" t="s">
        <v>2337</v>
      </c>
      <c r="GM319" s="25" t="s">
        <v>2338</v>
      </c>
      <c r="GN319" s="25">
        <v>12824.503311258279</v>
      </c>
      <c r="GO319" s="156">
        <v>43921</v>
      </c>
      <c r="GP319" s="218">
        <v>13</v>
      </c>
      <c r="GQ319" s="156">
        <v>43918</v>
      </c>
      <c r="GR319" s="25">
        <v>16</v>
      </c>
      <c r="GS319" s="25"/>
      <c r="GT319" s="11">
        <v>88322.543856012446</v>
      </c>
      <c r="GU319" s="12">
        <v>0.12682379359197934</v>
      </c>
      <c r="GV319" s="26">
        <v>43902</v>
      </c>
      <c r="GW319" s="25" t="s">
        <v>2333</v>
      </c>
      <c r="GX319" s="219">
        <v>-4817.6753002289624</v>
      </c>
      <c r="GY319" s="25" t="s">
        <v>658</v>
      </c>
      <c r="GZ319" s="25" t="s">
        <v>658</v>
      </c>
      <c r="HA319" s="25"/>
    </row>
    <row r="320" spans="14:209" x14ac:dyDescent="0.25">
      <c r="N320" s="25"/>
      <c r="FO320" s="267" t="s">
        <v>609</v>
      </c>
      <c r="FP320" s="254">
        <v>43935.63008101852</v>
      </c>
      <c r="FQ320" s="246">
        <v>43860</v>
      </c>
      <c r="FR320" s="26">
        <v>43860</v>
      </c>
      <c r="FS320" s="211">
        <v>6</v>
      </c>
      <c r="FT320" s="44">
        <v>0.21365066501252541</v>
      </c>
      <c r="FU320" s="71">
        <v>2.3272784520291082E-6</v>
      </c>
      <c r="FV320" s="73">
        <v>8.7969508630768981E-2</v>
      </c>
      <c r="FW320" s="212">
        <v>91802.794300891503</v>
      </c>
      <c r="FX320" s="212">
        <v>1626.4521608666755</v>
      </c>
      <c r="FY320" s="212">
        <v>0.99429660920372476</v>
      </c>
      <c r="FZ320" s="214">
        <v>2.4286876624459772</v>
      </c>
      <c r="GA320" s="213">
        <v>2.3272784520291081E-3</v>
      </c>
      <c r="GB320" s="246">
        <v>43933</v>
      </c>
      <c r="GC320" s="26" t="s">
        <v>2334</v>
      </c>
      <c r="GD320" s="214">
        <v>91802.794300877518</v>
      </c>
      <c r="GE320" s="214">
        <v>85206</v>
      </c>
      <c r="GF320" s="73" t="s">
        <v>2335</v>
      </c>
      <c r="GG320" s="156">
        <v>43933</v>
      </c>
      <c r="GH320" s="26">
        <v>74</v>
      </c>
      <c r="GI320" s="26" t="s">
        <v>2336</v>
      </c>
      <c r="GJ320" s="25"/>
      <c r="GK320" s="62" t="s">
        <v>2337</v>
      </c>
      <c r="GM320" s="18" t="s">
        <v>2338</v>
      </c>
      <c r="GN320" s="11">
        <v>12824.503311258279</v>
      </c>
      <c r="GO320" s="156">
        <v>43921</v>
      </c>
      <c r="GP320" s="218">
        <v>13</v>
      </c>
      <c r="GQ320" s="156">
        <v>43918</v>
      </c>
      <c r="GR320" s="11">
        <v>125</v>
      </c>
      <c r="GS320" s="25"/>
      <c r="GT320" s="11">
        <v>88322.543856012446</v>
      </c>
      <c r="GU320" s="12">
        <v>0.12682379359197934</v>
      </c>
      <c r="GV320" s="240">
        <v>43902</v>
      </c>
      <c r="GW320" s="162" t="s">
        <v>2333</v>
      </c>
      <c r="GX320" s="231">
        <v>-4817.6753002289624</v>
      </c>
      <c r="GY320" s="102" t="s">
        <v>658</v>
      </c>
      <c r="GZ320" s="102" t="s">
        <v>658</v>
      </c>
      <c r="HA320" s="25"/>
    </row>
    <row r="321" spans="14:209" x14ac:dyDescent="0.25">
      <c r="N321" s="25"/>
      <c r="FO321" s="267" t="s">
        <v>609</v>
      </c>
      <c r="FP321" s="254">
        <v>43938.512754629628</v>
      </c>
      <c r="FQ321" s="246">
        <v>43860</v>
      </c>
      <c r="FR321" s="26">
        <v>43860</v>
      </c>
      <c r="FS321" s="211">
        <v>6</v>
      </c>
      <c r="FT321" s="44">
        <v>0.21364560709315464</v>
      </c>
      <c r="FU321" s="71">
        <v>2.1117456859536262E-6</v>
      </c>
      <c r="FV321" s="73">
        <v>8.7969386688964132E-2</v>
      </c>
      <c r="FW321" s="212">
        <v>101170.1401898099</v>
      </c>
      <c r="FX321" s="212">
        <v>2840.3315833056499</v>
      </c>
      <c r="FY321" s="212">
        <v>0.98994006461413819</v>
      </c>
      <c r="FZ321" s="214">
        <v>2.4286337482330529</v>
      </c>
      <c r="GA321" s="213">
        <v>2.1117456859536263E-3</v>
      </c>
      <c r="GB321" s="246">
        <v>43937</v>
      </c>
      <c r="GC321" s="26" t="s">
        <v>2460</v>
      </c>
      <c r="GD321" s="214">
        <v>101170.1401897929</v>
      </c>
      <c r="GE321" s="214">
        <v>104145</v>
      </c>
      <c r="GF321" s="73" t="s">
        <v>1050</v>
      </c>
      <c r="GG321" s="156">
        <v>43937</v>
      </c>
      <c r="GH321" s="26">
        <v>78</v>
      </c>
      <c r="GI321" s="26" t="s">
        <v>2461</v>
      </c>
      <c r="GJ321" s="25"/>
      <c r="GK321" s="62" t="s">
        <v>2462</v>
      </c>
      <c r="GM321" s="18" t="s">
        <v>2463</v>
      </c>
      <c r="GN321" s="11">
        <v>15675.045153521974</v>
      </c>
      <c r="GO321" s="156">
        <v>43921</v>
      </c>
      <c r="GP321" s="218">
        <v>17</v>
      </c>
      <c r="GQ321" s="156">
        <v>43918</v>
      </c>
      <c r="GR321" s="11">
        <v>125</v>
      </c>
      <c r="GS321" s="25"/>
      <c r="GT321" s="11">
        <v>99334.151904631581</v>
      </c>
      <c r="GU321" s="12">
        <v>0.1812008549568653</v>
      </c>
      <c r="GV321" s="240">
        <v>43902</v>
      </c>
      <c r="GW321" s="162" t="s">
        <v>2333</v>
      </c>
      <c r="GX321" s="231">
        <v>-9292.1707906702504</v>
      </c>
      <c r="GY321" s="102" t="s">
        <v>658</v>
      </c>
      <c r="GZ321" s="102" t="s">
        <v>658</v>
      </c>
      <c r="HA321" s="102" t="s">
        <v>2463</v>
      </c>
    </row>
    <row r="322" spans="14:209" x14ac:dyDescent="0.25">
      <c r="N322" s="25"/>
      <c r="FO322" s="263" t="s">
        <v>609</v>
      </c>
      <c r="FP322" s="254">
        <v>43939.897974537038</v>
      </c>
      <c r="FQ322" s="246">
        <v>43860</v>
      </c>
      <c r="FR322" s="26">
        <v>43860</v>
      </c>
      <c r="FS322" s="211">
        <v>6</v>
      </c>
      <c r="FT322" s="44">
        <v>0.21360813212202787</v>
      </c>
      <c r="FU322" s="71">
        <v>2.0506479033481082E-6</v>
      </c>
      <c r="FV322" s="73">
        <v>8.7968516170448027E-2</v>
      </c>
      <c r="FW322" s="212">
        <v>104166.1670798133</v>
      </c>
      <c r="FX322" s="212">
        <v>3232.8130025522892</v>
      </c>
      <c r="FY322" s="212">
        <v>0.98842927369161193</v>
      </c>
      <c r="FZ322" s="214">
        <v>2.428231838260035</v>
      </c>
      <c r="GA322" s="213">
        <v>2.0506479033481082E-3</v>
      </c>
      <c r="GB322" s="246">
        <v>43938</v>
      </c>
      <c r="GC322" s="26" t="s">
        <v>2912</v>
      </c>
      <c r="GD322" s="214">
        <v>104166.16707979514</v>
      </c>
      <c r="GE322" s="214">
        <v>109769</v>
      </c>
      <c r="GF322" s="73" t="s">
        <v>2913</v>
      </c>
      <c r="GG322" s="156">
        <v>43938</v>
      </c>
      <c r="GH322" s="26">
        <v>79</v>
      </c>
      <c r="GI322" s="26" t="s">
        <v>2914</v>
      </c>
      <c r="GJ322" s="25"/>
      <c r="GK322" s="62" t="s">
        <v>2915</v>
      </c>
      <c r="GM322" s="18" t="s">
        <v>2916</v>
      </c>
      <c r="GN322" s="11">
        <v>16521.523178807947</v>
      </c>
      <c r="GO322" s="156">
        <v>43921</v>
      </c>
      <c r="GP322" s="218">
        <v>18</v>
      </c>
      <c r="GQ322" s="156">
        <v>43918</v>
      </c>
      <c r="GR322" s="11">
        <v>125</v>
      </c>
      <c r="GS322" s="25"/>
      <c r="GT322" s="11">
        <v>102214.83579160053</v>
      </c>
      <c r="GU322" s="12">
        <v>0.19567281827253058</v>
      </c>
      <c r="GV322" s="240">
        <v>43902</v>
      </c>
      <c r="GW322" s="162" t="s">
        <v>2333</v>
      </c>
      <c r="GX322" s="231">
        <v>-11084.470434354109</v>
      </c>
      <c r="GY322" s="102" t="s">
        <v>658</v>
      </c>
      <c r="GZ322" s="102" t="s">
        <v>658</v>
      </c>
      <c r="HA322" s="102" t="s">
        <v>2916</v>
      </c>
    </row>
    <row r="323" spans="14:209" x14ac:dyDescent="0.25">
      <c r="N323" s="25"/>
      <c r="FO323" s="263" t="s">
        <v>609</v>
      </c>
      <c r="FP323" s="254">
        <v>43942.945439814815</v>
      </c>
      <c r="FQ323" s="246">
        <v>43860</v>
      </c>
      <c r="FR323" s="26">
        <v>43860</v>
      </c>
      <c r="FS323" s="211">
        <v>6</v>
      </c>
      <c r="FT323" s="44">
        <v>0.21357477087415311</v>
      </c>
      <c r="FU323" s="71">
        <v>1.9093797294523562E-6</v>
      </c>
      <c r="FV323" s="73">
        <v>8.7967763951132386E-2</v>
      </c>
      <c r="FW323" s="212">
        <v>111855.57675078604</v>
      </c>
      <c r="FX323" s="212">
        <v>4733.2807496184814</v>
      </c>
      <c r="FY323" s="212">
        <v>0.98213413793585402</v>
      </c>
      <c r="FZ323" s="214">
        <v>2.4278734995348086</v>
      </c>
      <c r="GA323" s="213">
        <v>1.9093797294523563E-3</v>
      </c>
      <c r="GB323" s="246">
        <v>43941</v>
      </c>
      <c r="GC323" s="26" t="s">
        <v>3354</v>
      </c>
      <c r="GD323" s="214">
        <v>111855.5765850023</v>
      </c>
      <c r="GE323" s="214">
        <v>125856</v>
      </c>
      <c r="GF323" s="73" t="s">
        <v>3355</v>
      </c>
      <c r="GG323" s="156">
        <v>43941</v>
      </c>
      <c r="GH323" s="26">
        <v>82</v>
      </c>
      <c r="GI323" s="26" t="s">
        <v>3356</v>
      </c>
      <c r="GJ323" s="25"/>
      <c r="GK323" s="62" t="s">
        <v>3357</v>
      </c>
      <c r="GM323" s="18" t="s">
        <v>3358</v>
      </c>
      <c r="GN323" s="11">
        <v>18942.805538832028</v>
      </c>
      <c r="GO323" s="156">
        <v>43921</v>
      </c>
      <c r="GP323" s="218">
        <v>21</v>
      </c>
      <c r="GQ323" s="156">
        <v>43919</v>
      </c>
      <c r="GR323" s="11">
        <v>103</v>
      </c>
      <c r="GS323" s="25"/>
      <c r="GT323" s="11">
        <v>110885.45549768041</v>
      </c>
      <c r="GU323" s="12">
        <v>0.24987221348577099</v>
      </c>
      <c r="GV323" s="240">
        <v>43902</v>
      </c>
      <c r="GW323" s="162" t="s">
        <v>2333</v>
      </c>
      <c r="GX323" s="231">
        <v>-17417.547818206469</v>
      </c>
      <c r="GY323" s="102" t="s">
        <v>658</v>
      </c>
      <c r="GZ323" s="102" t="s">
        <v>658</v>
      </c>
      <c r="HA323" s="26" t="s">
        <v>3358</v>
      </c>
    </row>
    <row r="324" spans="14:209" x14ac:dyDescent="0.25">
      <c r="N324" s="25"/>
      <c r="FO324" s="263" t="s">
        <v>609</v>
      </c>
      <c r="FP324" s="258">
        <v>43945.843761574077</v>
      </c>
      <c r="FQ324" s="246">
        <v>43860</v>
      </c>
      <c r="FR324" s="239">
        <v>43860</v>
      </c>
      <c r="FS324" s="211">
        <v>6</v>
      </c>
      <c r="FT324" s="44">
        <v>0.21352902404912685</v>
      </c>
      <c r="FU324" s="71">
        <v>1.7858559777842712E-6</v>
      </c>
      <c r="FV324" s="73">
        <v>8.7966777096842558E-2</v>
      </c>
      <c r="FW324" s="212">
        <v>119566.76613645765</v>
      </c>
      <c r="FX324" s="212">
        <v>6308.8089130361586</v>
      </c>
      <c r="FY324" s="212">
        <v>0.97595734269296852</v>
      </c>
      <c r="FZ324" s="214">
        <v>2.4273808135321175</v>
      </c>
      <c r="GA324" s="216">
        <v>1.7858559777842711E-3</v>
      </c>
      <c r="GB324" s="257">
        <v>43944</v>
      </c>
      <c r="GC324" s="26" t="s">
        <v>3430</v>
      </c>
      <c r="GD324" s="214">
        <v>119566.76594562565</v>
      </c>
      <c r="GE324" s="214">
        <v>139246</v>
      </c>
      <c r="GF324" s="73" t="s">
        <v>3431</v>
      </c>
      <c r="GG324" s="156">
        <v>43944</v>
      </c>
      <c r="GH324" s="26">
        <v>85</v>
      </c>
      <c r="GI324" s="26" t="s">
        <v>3432</v>
      </c>
      <c r="GJ324" s="25"/>
      <c r="GK324" s="62" t="s">
        <v>3433</v>
      </c>
      <c r="GM324" s="18" t="s">
        <v>3434</v>
      </c>
      <c r="GN324" s="11">
        <v>20958.15773630343</v>
      </c>
      <c r="GO324" s="156">
        <v>43921</v>
      </c>
      <c r="GP324" s="218">
        <v>24</v>
      </c>
      <c r="GQ324" s="156">
        <v>43919</v>
      </c>
      <c r="GR324" s="11">
        <v>103</v>
      </c>
      <c r="GS324" s="25"/>
      <c r="GT324" s="11">
        <v>118978.02977332177</v>
      </c>
      <c r="GU324" s="12">
        <v>0.30101924951677062</v>
      </c>
      <c r="GV324" s="240">
        <v>43902</v>
      </c>
      <c r="GW324" s="162" t="s">
        <v>2333</v>
      </c>
      <c r="GX324" s="231">
        <v>-21772.388289463575</v>
      </c>
      <c r="GY324" s="102" t="s">
        <v>658</v>
      </c>
      <c r="GZ324" s="102" t="s">
        <v>658</v>
      </c>
      <c r="HA324" s="26" t="s">
        <v>3434</v>
      </c>
    </row>
    <row r="325" spans="14:209" x14ac:dyDescent="0.25">
      <c r="N325" s="25"/>
      <c r="FO325" s="263" t="s">
        <v>609</v>
      </c>
      <c r="FP325" s="251">
        <v>43947.950775462959</v>
      </c>
      <c r="FQ325" s="243">
        <v>43860</v>
      </c>
      <c r="FR325" s="26">
        <v>43860</v>
      </c>
      <c r="FS325" s="211">
        <v>6</v>
      </c>
      <c r="FT325" s="44">
        <v>0.2134582785368315</v>
      </c>
      <c r="FU325" s="71">
        <v>1.7062976470284083E-6</v>
      </c>
      <c r="FV325" s="73">
        <v>8.7965303330631586E-2</v>
      </c>
      <c r="FW325" s="212">
        <v>125100.25956407921</v>
      </c>
      <c r="FX325" s="212">
        <v>7513.3779401276888</v>
      </c>
      <c r="FY325" s="212">
        <v>0.97113730747691407</v>
      </c>
      <c r="FZ325" s="214">
        <v>2.4266173179614361</v>
      </c>
      <c r="GA325" s="213">
        <v>1.7062976470284083E-3</v>
      </c>
      <c r="GB325" s="246">
        <v>43946</v>
      </c>
      <c r="GC325" s="26" t="s">
        <v>3524</v>
      </c>
      <c r="GD325" s="214">
        <v>125100.25956354318</v>
      </c>
      <c r="GE325" s="214">
        <v>149569</v>
      </c>
      <c r="GF325" s="73" t="s">
        <v>3525</v>
      </c>
      <c r="GG325" s="156">
        <v>43946</v>
      </c>
      <c r="GH325" s="26">
        <v>87</v>
      </c>
      <c r="GI325" s="26" t="s">
        <v>3526</v>
      </c>
      <c r="GJ325" s="25"/>
      <c r="GK325" s="62" t="s">
        <v>3527</v>
      </c>
      <c r="GM325" s="18" t="s">
        <v>3528</v>
      </c>
      <c r="GN325" s="11">
        <v>22511.890427453342</v>
      </c>
      <c r="GO325" s="156">
        <v>43921</v>
      </c>
      <c r="GP325" s="218">
        <v>26</v>
      </c>
      <c r="GQ325" s="156">
        <v>43919</v>
      </c>
      <c r="GR325" s="11">
        <v>131</v>
      </c>
      <c r="GS325" s="25"/>
      <c r="GT325" s="11">
        <v>124451.76537897867</v>
      </c>
      <c r="GU325" s="12">
        <v>0.33375153296611171</v>
      </c>
      <c r="GV325" s="132">
        <v>43902</v>
      </c>
      <c r="GW325" s="133" t="s">
        <v>2333</v>
      </c>
      <c r="GX325" s="231">
        <v>-25981.240816306876</v>
      </c>
      <c r="GY325" s="102" t="s">
        <v>658</v>
      </c>
      <c r="GZ325" s="102" t="s">
        <v>609</v>
      </c>
      <c r="HA325" s="26" t="s">
        <v>3528</v>
      </c>
    </row>
    <row r="326" spans="14:209" x14ac:dyDescent="0.25">
      <c r="N326" s="25"/>
      <c r="FO326" s="263" t="s">
        <v>609</v>
      </c>
      <c r="FP326" s="251">
        <v>43949.717546296299</v>
      </c>
      <c r="FQ326" s="243">
        <v>43860</v>
      </c>
      <c r="FR326" s="26">
        <v>43860</v>
      </c>
      <c r="FS326" s="211">
        <v>6</v>
      </c>
      <c r="FT326" s="44">
        <v>0.21337752803262125</v>
      </c>
      <c r="FU326" s="71">
        <v>1.6369507043814698E-6</v>
      </c>
      <c r="FV326" s="73">
        <v>8.7963666581428943E-2</v>
      </c>
      <c r="FW326" s="212">
        <v>130350.61316232308</v>
      </c>
      <c r="FX326" s="212">
        <v>8756.7667419127229</v>
      </c>
      <c r="FY326" s="212">
        <v>0.96633110374718711</v>
      </c>
      <c r="FZ326" s="214">
        <v>2.4257445412749985</v>
      </c>
      <c r="GA326" s="213">
        <v>1.6369507043814699E-3</v>
      </c>
      <c r="GB326" s="246">
        <v>43948</v>
      </c>
      <c r="GC326" s="26" t="s">
        <v>1948</v>
      </c>
      <c r="GD326" s="214">
        <v>130350.61316173214</v>
      </c>
      <c r="GE326" s="214">
        <v>158348</v>
      </c>
      <c r="GF326" s="73" t="s">
        <v>3583</v>
      </c>
      <c r="GG326" s="156">
        <v>43948</v>
      </c>
      <c r="GH326" s="26">
        <v>89</v>
      </c>
      <c r="GI326" s="26" t="s">
        <v>3584</v>
      </c>
      <c r="GJ326" s="25"/>
      <c r="GK326" s="62" t="s">
        <v>3585</v>
      </c>
      <c r="GM326" s="18" t="s">
        <v>3586</v>
      </c>
      <c r="GN326" s="11">
        <v>23833.232992173391</v>
      </c>
      <c r="GO326" s="156">
        <v>43921</v>
      </c>
      <c r="GP326" s="218">
        <v>28</v>
      </c>
      <c r="GQ326" s="156">
        <v>43919</v>
      </c>
      <c r="GR326" s="11">
        <v>131</v>
      </c>
      <c r="GS326" s="25"/>
      <c r="GT326" s="11">
        <v>129641.51979442417</v>
      </c>
      <c r="GU326" s="12">
        <v>0.36741833324871881</v>
      </c>
      <c r="GV326" s="132">
        <v>43902</v>
      </c>
      <c r="GW326" s="133" t="s">
        <v>2333</v>
      </c>
      <c r="GX326" s="231">
        <v>-29080.777512675792</v>
      </c>
      <c r="GY326" s="102" t="s">
        <v>658</v>
      </c>
      <c r="GZ326" s="102" t="s">
        <v>609</v>
      </c>
      <c r="HA326" s="26" t="s">
        <v>3586</v>
      </c>
    </row>
    <row r="327" spans="14:209" x14ac:dyDescent="0.25">
      <c r="N327" s="25"/>
      <c r="FO327" s="263" t="s">
        <v>609</v>
      </c>
      <c r="FP327" s="251">
        <v>43950.659398148149</v>
      </c>
      <c r="FQ327" s="243">
        <v>43860</v>
      </c>
      <c r="FR327" s="26">
        <v>43860</v>
      </c>
      <c r="FS327" s="211">
        <v>6</v>
      </c>
      <c r="FT327" s="44">
        <v>0.21327490815619873</v>
      </c>
      <c r="FU327" s="71">
        <v>1.6001599930460318E-6</v>
      </c>
      <c r="FV327" s="73">
        <v>8.7961626893266087E-2</v>
      </c>
      <c r="FW327" s="212">
        <v>133283.48982792214</v>
      </c>
      <c r="FX327" s="212">
        <v>9350.7319260155182</v>
      </c>
      <c r="FY327" s="212">
        <v>0.96422918772821098</v>
      </c>
      <c r="FZ327" s="214">
        <v>2.4246341835208796</v>
      </c>
      <c r="GA327" s="213">
        <v>1.6001599930460318E-3</v>
      </c>
      <c r="GB327" s="246">
        <v>43949</v>
      </c>
      <c r="GC327" s="26" t="s">
        <v>2051</v>
      </c>
      <c r="GD327" s="214">
        <v>133283.48982729219</v>
      </c>
      <c r="GE327" s="214">
        <v>162350</v>
      </c>
      <c r="GF327" s="73" t="s">
        <v>3646</v>
      </c>
      <c r="GG327" s="156">
        <v>43949</v>
      </c>
      <c r="GH327" s="26">
        <v>90</v>
      </c>
      <c r="GI327" s="26" t="s">
        <v>3647</v>
      </c>
      <c r="GJ327" s="25"/>
      <c r="GK327" s="62" t="s">
        <v>3648</v>
      </c>
      <c r="GM327" s="18" t="s">
        <v>3649</v>
      </c>
      <c r="GN327" s="11">
        <v>24435.580975316076</v>
      </c>
      <c r="GO327" s="156">
        <v>43921</v>
      </c>
      <c r="GP327" s="218">
        <v>29</v>
      </c>
      <c r="GQ327" s="156">
        <v>43919</v>
      </c>
      <c r="GR327" s="11">
        <v>131</v>
      </c>
      <c r="GS327" s="25"/>
      <c r="GT327" s="11">
        <v>132535.28621054106</v>
      </c>
      <c r="GU327" s="12">
        <v>0.38266869674436155</v>
      </c>
      <c r="GV327" s="132">
        <v>43902</v>
      </c>
      <c r="GW327" s="133" t="s">
        <v>2333</v>
      </c>
      <c r="GX327" s="231">
        <v>-29991.346201294713</v>
      </c>
      <c r="GY327" s="102" t="s">
        <v>658</v>
      </c>
      <c r="GZ327" s="102" t="s">
        <v>609</v>
      </c>
      <c r="HA327" s="26" t="s">
        <v>3649</v>
      </c>
    </row>
    <row r="328" spans="14:209" x14ac:dyDescent="0.25">
      <c r="N328" s="25"/>
      <c r="FO328" s="263" t="s">
        <v>609</v>
      </c>
      <c r="FP328" s="251">
        <v>43951.665671296294</v>
      </c>
      <c r="FQ328" s="243">
        <v>43860</v>
      </c>
      <c r="FR328" s="26">
        <v>43860</v>
      </c>
      <c r="FS328" s="211">
        <v>6</v>
      </c>
      <c r="FT328" s="44">
        <v>0.21327490815618669</v>
      </c>
      <c r="FU328" s="71">
        <v>1.5930986818221412E-6</v>
      </c>
      <c r="FV328" s="73">
        <v>8.796162689326574E-2</v>
      </c>
      <c r="FW328" s="212">
        <v>133874.26064043245</v>
      </c>
      <c r="FX328" s="212">
        <v>9965.6413256737851</v>
      </c>
      <c r="FY328" s="212">
        <v>0.96202336024426349</v>
      </c>
      <c r="FZ328" s="214">
        <v>2.4246341905820632</v>
      </c>
      <c r="GA328" s="213">
        <v>1.5930986818221413E-3</v>
      </c>
      <c r="GB328" s="246">
        <v>43950</v>
      </c>
      <c r="GC328" s="26" t="s">
        <v>1564</v>
      </c>
      <c r="GD328" s="214">
        <v>133874.26063979691</v>
      </c>
      <c r="GE328" s="214">
        <v>166441</v>
      </c>
      <c r="GF328" s="73" t="s">
        <v>3646</v>
      </c>
      <c r="GG328" s="156">
        <v>43950</v>
      </c>
      <c r="GH328" s="26">
        <v>91</v>
      </c>
      <c r="GI328" s="26" t="s">
        <v>3709</v>
      </c>
      <c r="GJ328" s="25"/>
      <c r="GK328" s="62" t="s">
        <v>3708</v>
      </c>
      <c r="GM328" s="18" t="s">
        <v>3710</v>
      </c>
      <c r="GN328" s="11">
        <v>25051.324503311258</v>
      </c>
      <c r="GO328" s="156">
        <v>43921</v>
      </c>
      <c r="GP328" s="218">
        <v>30</v>
      </c>
      <c r="GQ328" s="156">
        <v>43919</v>
      </c>
      <c r="GR328" s="11">
        <v>131</v>
      </c>
      <c r="GS328" s="25"/>
      <c r="GT328" s="11">
        <v>133119.42837067545</v>
      </c>
      <c r="GU328" s="12">
        <v>0.39780895913733172</v>
      </c>
      <c r="GV328" s="132">
        <v>43902</v>
      </c>
      <c r="GW328" s="133" t="s">
        <v>2333</v>
      </c>
      <c r="GX328" s="231">
        <v>-33321.57162932455</v>
      </c>
      <c r="GY328" s="102" t="s">
        <v>658</v>
      </c>
      <c r="GZ328" s="102" t="s">
        <v>609</v>
      </c>
      <c r="HA328" s="26" t="s">
        <v>3710</v>
      </c>
    </row>
    <row r="329" spans="14:209" x14ac:dyDescent="0.25">
      <c r="N329" s="25"/>
      <c r="FO329" s="263" t="s">
        <v>609</v>
      </c>
      <c r="FP329" s="250">
        <v>43954.724097222221</v>
      </c>
      <c r="FQ329" s="156">
        <v>43860</v>
      </c>
      <c r="FR329" s="26">
        <v>43860</v>
      </c>
      <c r="FS329" s="211">
        <v>6</v>
      </c>
      <c r="FT329" s="44">
        <v>0.21320765569136632</v>
      </c>
      <c r="FU329" s="71">
        <v>1.4927317132333329E-6</v>
      </c>
      <c r="FV329" s="73">
        <v>8.7960332998513288E-2</v>
      </c>
      <c r="FW329" s="212">
        <v>142830.52594196427</v>
      </c>
      <c r="FX329" s="212">
        <v>12265.496795749195</v>
      </c>
      <c r="FY329" s="212">
        <v>0.95274112664898136</v>
      </c>
      <c r="FZ329" s="214">
        <v>2.4239053800966328</v>
      </c>
      <c r="GA329" s="213">
        <v>1.4927317132333328E-3</v>
      </c>
      <c r="GB329" s="246">
        <v>43953</v>
      </c>
      <c r="GC329" s="26" t="s">
        <v>2922</v>
      </c>
      <c r="GD329" s="214">
        <v>142830.52436313941</v>
      </c>
      <c r="GE329" s="214">
        <v>183500</v>
      </c>
      <c r="GF329" s="73" t="s">
        <v>3512</v>
      </c>
      <c r="GG329" s="156">
        <v>43953</v>
      </c>
      <c r="GH329" s="26">
        <v>94</v>
      </c>
      <c r="GI329" s="26" t="s">
        <v>3772</v>
      </c>
      <c r="GJ329" s="25"/>
      <c r="GK329" s="62" t="s">
        <v>3773</v>
      </c>
      <c r="GM329" s="18" t="s">
        <v>3774</v>
      </c>
      <c r="GN329" s="11">
        <v>27618.904274533412</v>
      </c>
      <c r="GO329" s="156">
        <v>43921</v>
      </c>
      <c r="GP329" s="218">
        <v>33</v>
      </c>
      <c r="GQ329" s="156">
        <v>43919</v>
      </c>
      <c r="GR329" s="11">
        <v>95</v>
      </c>
      <c r="GS329" s="25"/>
      <c r="GT329" s="11">
        <v>142589.02774128955</v>
      </c>
      <c r="GU329" s="12">
        <v>0.4440978785338292</v>
      </c>
      <c r="GV329" s="132">
        <v>43902</v>
      </c>
      <c r="GW329" s="133" t="s">
        <v>2333</v>
      </c>
      <c r="GX329" s="231">
        <v>-41126.605775786738</v>
      </c>
      <c r="GY329" s="102" t="s">
        <v>658</v>
      </c>
      <c r="GZ329" s="102" t="s">
        <v>609</v>
      </c>
      <c r="HA329" s="26" t="s">
        <v>3774</v>
      </c>
    </row>
    <row r="330" spans="14:209" x14ac:dyDescent="0.25">
      <c r="N330" s="25"/>
      <c r="FO330" s="263" t="s">
        <v>40</v>
      </c>
      <c r="FP330" s="251">
        <v>43918.894409722219</v>
      </c>
      <c r="FQ330" s="244">
        <v>43853</v>
      </c>
      <c r="FR330" s="26">
        <v>43853</v>
      </c>
      <c r="FS330" s="211">
        <v>7</v>
      </c>
      <c r="FT330" s="25">
        <v>7.9288996441386733E-2</v>
      </c>
      <c r="FU330" s="71">
        <v>1.00000004177659E-12</v>
      </c>
      <c r="FV330" s="74">
        <v>4.3592027316327435</v>
      </c>
      <c r="FW330" s="212">
        <v>79288993128.962982</v>
      </c>
      <c r="FX330" s="212">
        <v>26.644747082692508</v>
      </c>
      <c r="FY330" s="212"/>
      <c r="FZ330" s="212">
        <v>1.8188875654179489E-2</v>
      </c>
      <c r="GA330" s="213">
        <v>1.00000004177659E-9</v>
      </c>
      <c r="GB330" s="246">
        <v>43917</v>
      </c>
      <c r="GC330" s="160" t="s">
        <v>1348</v>
      </c>
      <c r="GD330" s="212">
        <v>47478674826.894157</v>
      </c>
      <c r="GE330" s="212">
        <v>732</v>
      </c>
      <c r="GF330" s="73" t="s">
        <v>1349</v>
      </c>
      <c r="GG330" s="156">
        <v>43917</v>
      </c>
      <c r="GH330" s="25">
        <v>66</v>
      </c>
      <c r="GI330" s="25" t="s">
        <v>1350</v>
      </c>
      <c r="GJ330" s="25"/>
      <c r="GK330" s="62" t="s">
        <v>1351</v>
      </c>
      <c r="GM330" s="62" t="s">
        <v>1352</v>
      </c>
      <c r="GN330" s="165">
        <v>1251.2820512820513</v>
      </c>
      <c r="GO330" s="156">
        <v>43915</v>
      </c>
      <c r="GP330" s="218">
        <v>-3</v>
      </c>
      <c r="GQ330" s="156">
        <v>43918</v>
      </c>
      <c r="GR330" s="25">
        <v>0</v>
      </c>
      <c r="GS330" s="25"/>
      <c r="GT330" s="11"/>
      <c r="GU330" s="12"/>
      <c r="GV330" s="241"/>
      <c r="GW330" s="242"/>
      <c r="GX330" s="219"/>
      <c r="GY330" s="25"/>
      <c r="GZ330" s="25"/>
      <c r="HA330" s="25"/>
    </row>
    <row r="331" spans="14:209" x14ac:dyDescent="0.25">
      <c r="N331" s="25"/>
      <c r="FO331" s="267" t="s">
        <v>40</v>
      </c>
      <c r="FP331" s="251">
        <v>43918.901365740741</v>
      </c>
      <c r="FQ331" s="244">
        <v>43853</v>
      </c>
      <c r="FR331" s="160">
        <v>43853</v>
      </c>
      <c r="FS331" s="211">
        <v>7</v>
      </c>
      <c r="FT331" s="25">
        <v>7.9292109458288282E-2</v>
      </c>
      <c r="FU331" s="71">
        <v>1.00000004177659E-12</v>
      </c>
      <c r="FV331" s="74">
        <v>4.3593386220422348</v>
      </c>
      <c r="FW331" s="212">
        <v>79292106145.734467</v>
      </c>
      <c r="FX331" s="212">
        <v>26.644703404832686</v>
      </c>
      <c r="FY331" s="212"/>
      <c r="FZ331" s="212">
        <v>1.818902276895909E-2</v>
      </c>
      <c r="GA331" s="213">
        <v>1.00000004177659E-9</v>
      </c>
      <c r="GB331" s="246">
        <v>43917</v>
      </c>
      <c r="GC331" s="160" t="s">
        <v>1348</v>
      </c>
      <c r="GD331" s="212">
        <v>47498350998.554237</v>
      </c>
      <c r="GE331" s="212">
        <v>732</v>
      </c>
      <c r="GF331" s="73" t="s">
        <v>1349</v>
      </c>
      <c r="GG331" s="156">
        <v>43917</v>
      </c>
      <c r="GH331" s="25">
        <v>66</v>
      </c>
      <c r="GI331" s="25" t="s">
        <v>1350</v>
      </c>
      <c r="GJ331" s="25"/>
      <c r="GK331" s="62" t="s">
        <v>1351</v>
      </c>
      <c r="GM331" s="62" t="s">
        <v>1352</v>
      </c>
      <c r="GN331" s="165">
        <v>1251.2820512820513</v>
      </c>
      <c r="GO331" s="156">
        <v>43915</v>
      </c>
      <c r="GP331" s="218">
        <v>-3</v>
      </c>
      <c r="GQ331" s="156">
        <v>43918</v>
      </c>
      <c r="GR331" s="25">
        <v>0</v>
      </c>
      <c r="GS331" s="25"/>
      <c r="GT331" s="11"/>
      <c r="GU331" s="12"/>
      <c r="GV331" s="241"/>
      <c r="GW331" s="242"/>
      <c r="GX331" s="219"/>
      <c r="GY331" s="25"/>
      <c r="GZ331" s="25"/>
      <c r="HA331" s="25"/>
    </row>
    <row r="332" spans="14:209" x14ac:dyDescent="0.25">
      <c r="N332" s="25"/>
      <c r="FO332" s="263" t="s">
        <v>40</v>
      </c>
      <c r="FP332" s="251">
        <v>43919.683310185188</v>
      </c>
      <c r="FQ332" s="244">
        <v>43853</v>
      </c>
      <c r="FR332" s="26">
        <v>43853</v>
      </c>
      <c r="FS332" s="211">
        <v>7</v>
      </c>
      <c r="FT332" s="25">
        <v>8.095296589353207E-2</v>
      </c>
      <c r="FU332" s="25">
        <v>1.00000004177659E-12</v>
      </c>
      <c r="FV332" s="74">
        <v>3.9873399113855723</v>
      </c>
      <c r="FW332" s="212">
        <v>80952962511.593338</v>
      </c>
      <c r="FX332" s="212">
        <v>26.886794774134039</v>
      </c>
      <c r="FY332" s="212"/>
      <c r="FZ332" s="212">
        <v>2.0302499332547286E-2</v>
      </c>
      <c r="GA332" s="213">
        <v>1.00000004177659E-9</v>
      </c>
      <c r="GB332" s="246">
        <v>43918</v>
      </c>
      <c r="GC332" s="26" t="s">
        <v>1443</v>
      </c>
      <c r="GD332" s="212">
        <v>55764282397.732033</v>
      </c>
      <c r="GE332" s="212">
        <v>802</v>
      </c>
      <c r="GF332" s="73" t="s">
        <v>1444</v>
      </c>
      <c r="GG332" s="156">
        <v>43918</v>
      </c>
      <c r="GH332" s="25">
        <v>67</v>
      </c>
      <c r="GI332" s="25" t="s">
        <v>1445</v>
      </c>
      <c r="GJ332" s="25"/>
      <c r="GK332" s="62" t="s">
        <v>1446</v>
      </c>
      <c r="GL332" s="62"/>
      <c r="GM332" s="25" t="s">
        <v>1447</v>
      </c>
      <c r="GN332" s="165">
        <v>1370.9401709401711</v>
      </c>
      <c r="GO332" s="156">
        <v>43916</v>
      </c>
      <c r="GP332" s="218">
        <v>-3</v>
      </c>
      <c r="GQ332" s="156">
        <v>43918</v>
      </c>
      <c r="GR332" s="25">
        <v>-1</v>
      </c>
      <c r="GS332" s="25"/>
      <c r="GT332" s="11"/>
      <c r="GU332" s="12"/>
      <c r="GV332" s="241"/>
      <c r="GW332" s="242"/>
      <c r="GX332" s="219"/>
      <c r="GY332" s="25"/>
      <c r="GZ332" s="25"/>
      <c r="HA332" s="25"/>
    </row>
    <row r="333" spans="14:209" x14ac:dyDescent="0.25">
      <c r="N333" s="25"/>
      <c r="FO333" s="263" t="s">
        <v>40</v>
      </c>
      <c r="FP333" s="251">
        <v>43921.586145833331</v>
      </c>
      <c r="FQ333" s="244">
        <v>43853</v>
      </c>
      <c r="FR333" s="26">
        <v>43853</v>
      </c>
      <c r="FS333" s="211">
        <v>7</v>
      </c>
      <c r="FT333" s="25">
        <v>8.0459398067671467E-2</v>
      </c>
      <c r="FU333" s="73">
        <v>1.00000004177659E-12</v>
      </c>
      <c r="FV333" s="74">
        <v>4.0990999471410756</v>
      </c>
      <c r="FW333" s="212">
        <v>80459394706.352325</v>
      </c>
      <c r="FX333" s="212">
        <v>26.669304909700436</v>
      </c>
      <c r="FY333" s="212"/>
      <c r="FZ333" s="212">
        <v>1.9628552389821311E-2</v>
      </c>
      <c r="GA333" s="213">
        <v>1.00000004177659E-9</v>
      </c>
      <c r="GB333" s="246">
        <v>43920</v>
      </c>
      <c r="GC333" s="26" t="s">
        <v>1506</v>
      </c>
      <c r="GD333" s="212">
        <v>53385093185.577705</v>
      </c>
      <c r="GE333" s="212">
        <v>879</v>
      </c>
      <c r="GF333" s="73" t="s">
        <v>1444</v>
      </c>
      <c r="GG333" s="156">
        <v>43920</v>
      </c>
      <c r="GH333" s="25">
        <v>69</v>
      </c>
      <c r="GI333" s="25" t="s">
        <v>1507</v>
      </c>
      <c r="GJ333" s="62"/>
      <c r="GK333" s="62" t="s">
        <v>1446</v>
      </c>
      <c r="GM333" s="25" t="s">
        <v>1508</v>
      </c>
      <c r="GN333" s="165">
        <v>1502.5641025641028</v>
      </c>
      <c r="GO333" s="156">
        <v>43916</v>
      </c>
      <c r="GP333" s="218">
        <v>-5</v>
      </c>
      <c r="GQ333" s="156">
        <v>43919</v>
      </c>
      <c r="GR333" s="25">
        <v>-2</v>
      </c>
      <c r="GS333" s="25"/>
      <c r="GT333" s="11"/>
      <c r="GU333" s="12"/>
      <c r="GV333" s="160"/>
      <c r="GW333" s="242"/>
      <c r="GX333" s="219"/>
      <c r="GY333" s="25"/>
      <c r="GZ333" s="25"/>
      <c r="HA333" s="25"/>
    </row>
    <row r="334" spans="14:209" x14ac:dyDescent="0.25">
      <c r="N334" s="25"/>
      <c r="FO334" s="263" t="s">
        <v>40</v>
      </c>
      <c r="FP334" s="251">
        <v>43922.85</v>
      </c>
      <c r="FQ334" s="244">
        <v>43853</v>
      </c>
      <c r="FR334" s="26">
        <v>43853</v>
      </c>
      <c r="FS334" s="211">
        <v>7</v>
      </c>
      <c r="FT334" s="72">
        <v>8.0459397909935865E-2</v>
      </c>
      <c r="FU334" s="74">
        <v>5.9898542999018425E-7</v>
      </c>
      <c r="FV334" s="74">
        <v>4.0990999456730037</v>
      </c>
      <c r="FW334" s="212">
        <v>134326.13529723816</v>
      </c>
      <c r="FX334" s="214">
        <v>27.056625716390272</v>
      </c>
      <c r="FY334" s="214"/>
      <c r="FZ334" s="212">
        <v>1.9627953373940642E-2</v>
      </c>
      <c r="GA334" s="213">
        <v>5.989854299901842E-4</v>
      </c>
      <c r="GB334" s="246">
        <v>43921</v>
      </c>
      <c r="GC334" s="26" t="s">
        <v>1564</v>
      </c>
      <c r="GD334" s="214">
        <v>134326.02156909858</v>
      </c>
      <c r="GE334" s="214">
        <v>926</v>
      </c>
      <c r="GF334" s="73" t="s">
        <v>1565</v>
      </c>
      <c r="GG334" s="156">
        <v>43921</v>
      </c>
      <c r="GH334" s="25">
        <v>70</v>
      </c>
      <c r="GI334" s="25" t="s">
        <v>1566</v>
      </c>
      <c r="GJ334" s="62"/>
      <c r="GK334" s="62" t="s">
        <v>1567</v>
      </c>
      <c r="GM334" s="25" t="s">
        <v>1568</v>
      </c>
      <c r="GN334" s="165">
        <v>1582.9059829059829</v>
      </c>
      <c r="GO334" s="156">
        <v>43917</v>
      </c>
      <c r="GP334" s="218">
        <v>-5</v>
      </c>
      <c r="GQ334" s="156"/>
      <c r="GR334" s="25"/>
      <c r="GS334" s="25"/>
      <c r="GT334" s="11"/>
      <c r="GU334" s="12"/>
      <c r="GV334" s="160"/>
      <c r="GW334" s="242"/>
      <c r="GX334" s="219"/>
      <c r="GY334" s="25"/>
      <c r="GZ334" s="25"/>
      <c r="HA334" s="25"/>
    </row>
    <row r="335" spans="14:209" x14ac:dyDescent="0.25">
      <c r="N335" s="25"/>
      <c r="FO335" s="263" t="s">
        <v>40</v>
      </c>
      <c r="FP335" s="251">
        <v>43923.334027777775</v>
      </c>
      <c r="FQ335" s="244">
        <v>43853</v>
      </c>
      <c r="FR335" s="26">
        <v>43883</v>
      </c>
      <c r="FS335" s="211">
        <v>7</v>
      </c>
      <c r="FT335" s="72">
        <v>8.0459397909935865E-2</v>
      </c>
      <c r="FU335" s="74">
        <v>5.9898542999018425E-7</v>
      </c>
      <c r="FV335" s="74">
        <v>4.0990999456730037</v>
      </c>
      <c r="FW335" s="212">
        <v>134326.13529723816</v>
      </c>
      <c r="FX335" s="212">
        <v>26.78706597620755</v>
      </c>
      <c r="FY335" s="214"/>
      <c r="FZ335" s="212">
        <v>1.9627953373940642E-2</v>
      </c>
      <c r="GA335" s="216">
        <v>5.989854299901842E-4</v>
      </c>
      <c r="GB335" s="257">
        <v>43921</v>
      </c>
      <c r="GC335" s="26" t="s">
        <v>1564</v>
      </c>
      <c r="GD335" s="214">
        <v>134326.02156909858</v>
      </c>
      <c r="GE335" s="214">
        <v>926</v>
      </c>
      <c r="GF335" s="73" t="s">
        <v>1565</v>
      </c>
      <c r="GG335" s="156">
        <v>43921</v>
      </c>
      <c r="GH335" s="25">
        <v>70</v>
      </c>
      <c r="GI335" s="25" t="s">
        <v>1575</v>
      </c>
      <c r="GJ335" s="62"/>
      <c r="GK335" s="62" t="s">
        <v>1567</v>
      </c>
      <c r="GM335" s="25" t="s">
        <v>1576</v>
      </c>
      <c r="GN335" s="165">
        <v>1582.9059829059829</v>
      </c>
      <c r="GO335" s="156">
        <v>43917</v>
      </c>
      <c r="GP335" s="218">
        <v>-5</v>
      </c>
      <c r="GQ335" s="156"/>
      <c r="GR335" s="25"/>
      <c r="GS335" s="25"/>
      <c r="GT335" s="11"/>
      <c r="GU335" s="12"/>
      <c r="GV335" s="160"/>
      <c r="GW335" s="260"/>
      <c r="GX335" s="219"/>
      <c r="GY335" s="25"/>
      <c r="GZ335" s="25"/>
      <c r="HA335" s="25"/>
    </row>
    <row r="336" spans="14:209" x14ac:dyDescent="0.25">
      <c r="N336" s="25"/>
      <c r="FO336" s="263" t="s">
        <v>40</v>
      </c>
      <c r="FP336" s="251">
        <v>43923.334976851853</v>
      </c>
      <c r="FQ336" s="244">
        <v>43853</v>
      </c>
      <c r="FR336" s="26">
        <v>43898</v>
      </c>
      <c r="FS336" s="211">
        <v>7</v>
      </c>
      <c r="FT336" s="72">
        <v>8.0459397909935865E-2</v>
      </c>
      <c r="FU336" s="74">
        <v>5.9898542999018425E-7</v>
      </c>
      <c r="FV336" s="74">
        <v>4.0990999456730037</v>
      </c>
      <c r="FW336" s="212">
        <v>134326.13529723816</v>
      </c>
      <c r="FX336" s="212">
        <v>28.620448034295105</v>
      </c>
      <c r="FY336" s="214"/>
      <c r="FZ336" s="212">
        <v>1.9627953373940642E-2</v>
      </c>
      <c r="GA336" s="213">
        <v>5.989854299901842E-4</v>
      </c>
      <c r="GB336" s="246">
        <v>43921</v>
      </c>
      <c r="GC336" s="26" t="s">
        <v>1564</v>
      </c>
      <c r="GD336" s="214">
        <v>134326.02156909858</v>
      </c>
      <c r="GE336" s="214">
        <v>926</v>
      </c>
      <c r="GF336" s="73" t="s">
        <v>1565</v>
      </c>
      <c r="GG336" s="156">
        <v>43921</v>
      </c>
      <c r="GH336" s="25">
        <v>70</v>
      </c>
      <c r="GI336" s="25" t="s">
        <v>1577</v>
      </c>
      <c r="GJ336" s="62"/>
      <c r="GK336" s="62" t="s">
        <v>1567</v>
      </c>
      <c r="GM336" s="25" t="s">
        <v>1578</v>
      </c>
      <c r="GN336" s="165">
        <v>1582.9059829059829</v>
      </c>
      <c r="GO336" s="156">
        <v>43917</v>
      </c>
      <c r="GP336" s="218">
        <v>-5</v>
      </c>
      <c r="GQ336" s="156"/>
      <c r="GR336" s="25"/>
      <c r="GS336" s="25"/>
      <c r="GT336" s="11"/>
      <c r="GU336" s="12"/>
      <c r="GV336" s="241"/>
      <c r="GW336" s="242"/>
      <c r="GX336" s="219"/>
      <c r="GY336" s="25"/>
      <c r="GZ336" s="25"/>
      <c r="HA336" s="25"/>
    </row>
    <row r="337" spans="14:210" x14ac:dyDescent="0.25">
      <c r="N337" s="25"/>
      <c r="FO337" s="263" t="s">
        <v>40</v>
      </c>
      <c r="FP337" s="251">
        <v>43923.341678240744</v>
      </c>
      <c r="FQ337" s="244">
        <v>43853</v>
      </c>
      <c r="FR337" s="26">
        <v>43871</v>
      </c>
      <c r="FS337" s="211">
        <v>7</v>
      </c>
      <c r="FT337" s="72">
        <v>7.9589178575463923E-2</v>
      </c>
      <c r="FU337" s="74">
        <v>1.0000000008849455E-12</v>
      </c>
      <c r="FV337" s="74">
        <v>4.2941138790411228</v>
      </c>
      <c r="FW337" s="212">
        <v>79589178505.03183</v>
      </c>
      <c r="FX337" s="214">
        <v>30.706297687512748</v>
      </c>
      <c r="FY337" s="214"/>
      <c r="FZ337" s="212">
        <v>1.8534482506305145E-2</v>
      </c>
      <c r="GA337" s="216">
        <v>1.0000000008849456E-9</v>
      </c>
      <c r="GB337" s="257">
        <v>43921</v>
      </c>
      <c r="GC337" s="26" t="s">
        <v>1579</v>
      </c>
      <c r="GD337" s="214">
        <v>49027271796.291786</v>
      </c>
      <c r="GE337" s="214">
        <v>926</v>
      </c>
      <c r="GF337" s="73" t="s">
        <v>1349</v>
      </c>
      <c r="GG337" s="156">
        <v>43921</v>
      </c>
      <c r="GH337" s="25">
        <v>70</v>
      </c>
      <c r="GI337" s="25" t="s">
        <v>1580</v>
      </c>
      <c r="GJ337" s="62"/>
      <c r="GK337" s="62" t="s">
        <v>1351</v>
      </c>
      <c r="GM337" s="25" t="s">
        <v>1581</v>
      </c>
      <c r="GN337" s="165">
        <v>1582.9059829059829</v>
      </c>
      <c r="GO337" s="156">
        <v>43917</v>
      </c>
      <c r="GP337" s="218">
        <v>-5</v>
      </c>
      <c r="GQ337" s="156"/>
      <c r="GR337" s="25"/>
      <c r="GS337" s="25"/>
      <c r="GT337" s="11"/>
      <c r="GU337" s="12"/>
      <c r="GV337" s="259"/>
      <c r="GW337" s="260"/>
      <c r="GX337" s="219"/>
      <c r="GY337" s="25"/>
      <c r="GZ337" s="25"/>
      <c r="HA337" s="25"/>
    </row>
    <row r="338" spans="14:210" x14ac:dyDescent="0.25">
      <c r="N338" s="25"/>
      <c r="FO338" s="267" t="s">
        <v>40</v>
      </c>
      <c r="FP338" s="251">
        <v>43923.637627314813</v>
      </c>
      <c r="FQ338" s="244">
        <v>43853</v>
      </c>
      <c r="FR338" s="160">
        <v>43871</v>
      </c>
      <c r="FS338" s="211">
        <v>7</v>
      </c>
      <c r="FT338" s="72">
        <v>7.9589178401888852E-2</v>
      </c>
      <c r="FU338" s="74">
        <v>5.6559545117512708E-7</v>
      </c>
      <c r="FV338" s="74">
        <v>4.2941138773370202</v>
      </c>
      <c r="FW338" s="212">
        <v>140717.50088606248</v>
      </c>
      <c r="FX338" s="214">
        <v>30.889778798380085</v>
      </c>
      <c r="FY338" s="212">
        <v>0.98717307555794154</v>
      </c>
      <c r="FZ338" s="212">
        <v>1.8533916878787679E-2</v>
      </c>
      <c r="GA338" s="213">
        <v>5.6559545117512711E-4</v>
      </c>
      <c r="GB338" s="246">
        <v>43922</v>
      </c>
      <c r="GC338" s="26" t="s">
        <v>1620</v>
      </c>
      <c r="GD338" s="214">
        <v>140717.34580055511</v>
      </c>
      <c r="GE338" s="214">
        <v>1000</v>
      </c>
      <c r="GF338" s="73" t="s">
        <v>714</v>
      </c>
      <c r="GG338" s="156">
        <v>43922</v>
      </c>
      <c r="GH338" s="25">
        <v>71</v>
      </c>
      <c r="GI338" s="62" t="s">
        <v>1621</v>
      </c>
      <c r="GJ338" s="62"/>
      <c r="GK338" s="62" t="s">
        <v>1622</v>
      </c>
      <c r="GM338" s="25" t="s">
        <v>1623</v>
      </c>
      <c r="GN338" s="165">
        <v>1709.4017094017095</v>
      </c>
      <c r="GO338" s="156">
        <v>43917</v>
      </c>
      <c r="GP338" s="218">
        <v>-6</v>
      </c>
      <c r="GQ338" s="156"/>
      <c r="GR338" s="25"/>
      <c r="GS338" s="25"/>
      <c r="GT338" s="11"/>
      <c r="GU338" s="12"/>
      <c r="GV338" s="241"/>
      <c r="GW338" s="242"/>
      <c r="GX338" s="219"/>
      <c r="GY338" s="25"/>
      <c r="GZ338" s="25"/>
      <c r="HA338" s="25"/>
    </row>
    <row r="339" spans="14:210" x14ac:dyDescent="0.25">
      <c r="N339" s="25"/>
      <c r="FO339" s="267" t="s">
        <v>40</v>
      </c>
      <c r="FP339" s="251">
        <v>43925.469502314816</v>
      </c>
      <c r="FQ339" s="244">
        <v>43853</v>
      </c>
      <c r="FR339" s="160">
        <v>43871</v>
      </c>
      <c r="FS339" s="211">
        <v>7</v>
      </c>
      <c r="FT339" s="72">
        <v>7.9589178299230373E-2</v>
      </c>
      <c r="FU339" s="74">
        <v>2.9529109562987321E-6</v>
      </c>
      <c r="FV339" s="74">
        <v>4.2941138764265645</v>
      </c>
      <c r="FW339" s="212">
        <v>26952.786412154419</v>
      </c>
      <c r="FX339" s="212">
        <v>32.578225345609432</v>
      </c>
      <c r="FY339" s="212">
        <v>0.98897310699207575</v>
      </c>
      <c r="FZ339" s="212">
        <v>1.8531529543305524E-2</v>
      </c>
      <c r="GA339" s="213">
        <v>2.952910956298732E-3</v>
      </c>
      <c r="GB339" s="246">
        <v>43924</v>
      </c>
      <c r="GC339" s="160" t="s">
        <v>1684</v>
      </c>
      <c r="GD339" s="212">
        <v>26952.780723274274</v>
      </c>
      <c r="GE339" s="212">
        <v>1114</v>
      </c>
      <c r="GF339" s="74" t="s">
        <v>1685</v>
      </c>
      <c r="GG339" s="156">
        <v>43924</v>
      </c>
      <c r="GH339" s="25">
        <v>73</v>
      </c>
      <c r="GI339" s="21" t="s">
        <v>1686</v>
      </c>
      <c r="GJ339" s="161"/>
      <c r="GK339" s="161" t="s">
        <v>1687</v>
      </c>
      <c r="GL339" s="23"/>
      <c r="GM339" s="23" t="s">
        <v>1688</v>
      </c>
      <c r="GN339" s="165">
        <v>1904.2735042735044</v>
      </c>
      <c r="GO339" s="156">
        <v>43918</v>
      </c>
      <c r="GP339" s="218">
        <v>-6</v>
      </c>
      <c r="GQ339" s="156"/>
      <c r="GR339" s="25"/>
      <c r="GS339" s="23"/>
      <c r="GT339" s="11"/>
      <c r="GU339" s="12"/>
      <c r="GV339" s="241"/>
      <c r="GW339" s="242"/>
      <c r="GX339" s="219"/>
      <c r="GY339" s="25"/>
      <c r="GZ339" s="25"/>
      <c r="HA339" s="25"/>
    </row>
    <row r="340" spans="14:210" x14ac:dyDescent="0.25">
      <c r="N340" s="25"/>
      <c r="FO340" s="267" t="s">
        <v>40</v>
      </c>
      <c r="FP340" s="251">
        <v>43925.482303240744</v>
      </c>
      <c r="FQ340" s="244">
        <v>43853</v>
      </c>
      <c r="FR340" s="160">
        <v>43871</v>
      </c>
      <c r="FS340" s="211">
        <v>7</v>
      </c>
      <c r="FT340" s="72">
        <v>7.9589178299338065E-2</v>
      </c>
      <c r="FU340" s="74">
        <v>2.9482615817435408E-6</v>
      </c>
      <c r="FV340" s="74">
        <v>4.2941138764280709</v>
      </c>
      <c r="FW340" s="212">
        <v>26995.290645910285</v>
      </c>
      <c r="FX340" s="212">
        <v>32.578218481057831</v>
      </c>
      <c r="FY340" s="212">
        <v>0.98897311163902435</v>
      </c>
      <c r="FZ340" s="212">
        <v>1.8531534192698654E-2</v>
      </c>
      <c r="GA340" s="213">
        <v>2.9482615817435407E-3</v>
      </c>
      <c r="GB340" s="246">
        <v>43924</v>
      </c>
      <c r="GC340" s="160" t="s">
        <v>1684</v>
      </c>
      <c r="GD340" s="212">
        <v>26995.190475575953</v>
      </c>
      <c r="GE340" s="212">
        <v>1114</v>
      </c>
      <c r="GF340" s="74" t="s">
        <v>1685</v>
      </c>
      <c r="GG340" s="156">
        <v>43924</v>
      </c>
      <c r="GH340" s="25">
        <v>73</v>
      </c>
      <c r="GI340" s="21" t="s">
        <v>1686</v>
      </c>
      <c r="GJ340" s="161"/>
      <c r="GK340" s="161" t="s">
        <v>1687</v>
      </c>
      <c r="GL340" s="23"/>
      <c r="GM340" s="23" t="s">
        <v>1688</v>
      </c>
      <c r="GN340" s="165">
        <v>1904.2735042735044</v>
      </c>
      <c r="GO340" s="156">
        <v>43918</v>
      </c>
      <c r="GP340" s="218">
        <v>-6</v>
      </c>
      <c r="GQ340" s="156"/>
      <c r="GR340" s="25"/>
      <c r="GS340" s="23"/>
      <c r="GT340" s="11"/>
      <c r="GU340" s="12"/>
      <c r="GV340" s="241"/>
      <c r="GW340" s="242"/>
      <c r="GX340" s="219"/>
      <c r="GY340" s="25"/>
      <c r="GZ340" s="25"/>
      <c r="HA340" s="25"/>
    </row>
    <row r="341" spans="14:210" x14ac:dyDescent="0.25">
      <c r="N341" s="25"/>
      <c r="FO341" s="265" t="s">
        <v>40</v>
      </c>
      <c r="FP341" s="251">
        <v>43925.970706018517</v>
      </c>
      <c r="FQ341" s="244">
        <v>43853</v>
      </c>
      <c r="FR341" s="26">
        <v>43871</v>
      </c>
      <c r="FS341" s="211">
        <v>7</v>
      </c>
      <c r="FT341" s="25">
        <v>7.9589178299338065E-2</v>
      </c>
      <c r="FU341" s="22">
        <v>2.9482615817435408E-6</v>
      </c>
      <c r="FV341" s="24">
        <v>4.2941138764280709</v>
      </c>
      <c r="FW341" s="212">
        <v>26995.290645910285</v>
      </c>
      <c r="FX341" s="212">
        <v>32.578218481057831</v>
      </c>
      <c r="FY341" s="212">
        <v>0.98897311163902435</v>
      </c>
      <c r="FZ341" s="212">
        <v>1.8531534192698654E-2</v>
      </c>
      <c r="GA341" s="213">
        <v>2.9482615817435407E-3</v>
      </c>
      <c r="GB341" s="246">
        <v>43924</v>
      </c>
      <c r="GC341" s="26" t="s">
        <v>1684</v>
      </c>
      <c r="GD341" s="214">
        <v>26995.190475575953</v>
      </c>
      <c r="GE341" s="212">
        <v>1114</v>
      </c>
      <c r="GF341" s="74" t="s">
        <v>1685</v>
      </c>
      <c r="GG341" s="156">
        <v>43924</v>
      </c>
      <c r="GH341" s="25">
        <v>73</v>
      </c>
      <c r="GI341" s="25" t="s">
        <v>1686</v>
      </c>
      <c r="GJ341" s="26"/>
      <c r="GK341" s="25" t="s">
        <v>1687</v>
      </c>
      <c r="GM341" s="25" t="s">
        <v>1688</v>
      </c>
      <c r="GN341" s="165">
        <v>1904.2735042735044</v>
      </c>
      <c r="GO341" s="156">
        <v>43918</v>
      </c>
      <c r="GP341" s="218">
        <v>-7</v>
      </c>
      <c r="GQ341" s="156">
        <v>43922</v>
      </c>
      <c r="GR341" s="25">
        <v>-3</v>
      </c>
      <c r="GS341" s="11"/>
      <c r="GT341" s="11"/>
      <c r="GU341" s="12"/>
      <c r="GV341" s="241"/>
      <c r="GW341" s="242"/>
      <c r="GX341" s="219"/>
      <c r="GY341" s="25"/>
      <c r="GZ341" s="25"/>
      <c r="HA341" s="25"/>
    </row>
    <row r="342" spans="14:210" x14ac:dyDescent="0.25">
      <c r="N342" s="25"/>
      <c r="FO342" s="267" t="s">
        <v>40</v>
      </c>
      <c r="FP342" s="251">
        <v>43926.549849537034</v>
      </c>
      <c r="FQ342" s="244">
        <v>43853</v>
      </c>
      <c r="FR342" s="160">
        <v>43871</v>
      </c>
      <c r="FS342" s="211">
        <v>7</v>
      </c>
      <c r="FT342" s="72">
        <v>7.9589178276635253E-2</v>
      </c>
      <c r="FU342" s="72">
        <v>3.5137945427085376E-6</v>
      </c>
      <c r="FV342" s="74">
        <v>4.2941138762646354</v>
      </c>
      <c r="FW342" s="212">
        <v>22650.492881489179</v>
      </c>
      <c r="FX342" s="212">
        <v>33.415622475810011</v>
      </c>
      <c r="FY342" s="212">
        <v>0.98977579287319917</v>
      </c>
      <c r="FZ342" s="212">
        <v>1.8530968655156157E-2</v>
      </c>
      <c r="GA342" s="213">
        <v>3.5137945427085376E-3</v>
      </c>
      <c r="GB342" s="246">
        <v>43925</v>
      </c>
      <c r="GC342" s="160" t="s">
        <v>1899</v>
      </c>
      <c r="GD342" s="212">
        <v>22650.42236260531</v>
      </c>
      <c r="GE342" s="212">
        <v>1189</v>
      </c>
      <c r="GF342" s="74" t="s">
        <v>1900</v>
      </c>
      <c r="GG342" s="156">
        <v>43925</v>
      </c>
      <c r="GH342" s="25">
        <v>74</v>
      </c>
      <c r="GI342" s="23" t="s">
        <v>1901</v>
      </c>
      <c r="GJ342" s="21"/>
      <c r="GK342" s="161" t="s">
        <v>1902</v>
      </c>
      <c r="GL342" s="23"/>
      <c r="GM342" s="23" t="s">
        <v>1903</v>
      </c>
      <c r="GN342" s="165">
        <v>2032.4786324786326</v>
      </c>
      <c r="GO342" s="156">
        <v>43919</v>
      </c>
      <c r="GP342" s="218">
        <v>-7</v>
      </c>
      <c r="GQ342" s="156">
        <v>43924</v>
      </c>
      <c r="GR342" s="23">
        <v>-2</v>
      </c>
      <c r="GS342" s="23"/>
      <c r="GT342" s="11"/>
      <c r="GU342" s="34"/>
      <c r="GV342" s="241"/>
      <c r="GW342" s="242"/>
      <c r="GX342" s="219"/>
      <c r="GY342" s="25"/>
      <c r="GZ342" s="25"/>
      <c r="HA342" s="25"/>
    </row>
    <row r="343" spans="14:210" x14ac:dyDescent="0.25">
      <c r="N343" s="25"/>
      <c r="FO343" s="267" t="s">
        <v>40</v>
      </c>
      <c r="FP343" s="251">
        <v>43927.804849537039</v>
      </c>
      <c r="FQ343" s="244">
        <v>43853</v>
      </c>
      <c r="FR343" s="160">
        <v>43871</v>
      </c>
      <c r="FS343" s="211">
        <v>7</v>
      </c>
      <c r="FT343" s="72">
        <v>7.9589178250708131E-2</v>
      </c>
      <c r="FU343" s="72">
        <v>4.0793094282107604E-6</v>
      </c>
      <c r="FV343" s="74">
        <v>4.2941138761164348</v>
      </c>
      <c r="FW343" s="212">
        <v>19510.453828362075</v>
      </c>
      <c r="FX343" s="212">
        <v>33.246566594118001</v>
      </c>
      <c r="FY343" s="212">
        <v>0.99117320140484244</v>
      </c>
      <c r="FZ343" s="212">
        <v>1.8530403134872499E-2</v>
      </c>
      <c r="GA343" s="213">
        <v>4.07930942821076E-3</v>
      </c>
      <c r="GB343" s="246">
        <v>43926</v>
      </c>
      <c r="GC343" s="160" t="s">
        <v>1943</v>
      </c>
      <c r="GD343" s="212">
        <v>19510.401507872855</v>
      </c>
      <c r="GE343" s="212">
        <v>1309</v>
      </c>
      <c r="GF343" s="74" t="s">
        <v>1944</v>
      </c>
      <c r="GG343" s="156">
        <v>43926</v>
      </c>
      <c r="GH343" s="25">
        <v>75</v>
      </c>
      <c r="GI343" s="23" t="s">
        <v>1945</v>
      </c>
      <c r="GJ343" s="21"/>
      <c r="GK343" s="161" t="s">
        <v>1946</v>
      </c>
      <c r="GL343" s="23"/>
      <c r="GM343" s="23" t="s">
        <v>1947</v>
      </c>
      <c r="GN343" s="165">
        <v>2237.6068376068379</v>
      </c>
      <c r="GO343" s="156">
        <v>43920</v>
      </c>
      <c r="GP343" s="218">
        <v>-7</v>
      </c>
      <c r="GQ343" s="243">
        <v>43926</v>
      </c>
      <c r="GR343" s="23">
        <v>-1</v>
      </c>
      <c r="GS343" s="23"/>
      <c r="GT343" s="11"/>
      <c r="GU343" s="34"/>
      <c r="GV343" s="241"/>
      <c r="GW343" s="242"/>
      <c r="GX343" s="219"/>
      <c r="GY343" s="25"/>
      <c r="GZ343" s="25"/>
      <c r="HA343" s="25"/>
      <c r="HB343" s="25"/>
    </row>
    <row r="344" spans="14:210" x14ac:dyDescent="0.25">
      <c r="N344" s="25"/>
      <c r="FO344" s="263" t="s">
        <v>40</v>
      </c>
      <c r="FP344" s="251">
        <v>43928.749502314815</v>
      </c>
      <c r="FQ344" s="244">
        <v>43853</v>
      </c>
      <c r="FR344" s="26">
        <v>43871</v>
      </c>
      <c r="FS344" s="211">
        <v>7</v>
      </c>
      <c r="FT344" s="72">
        <v>7.9589178228771984E-2</v>
      </c>
      <c r="FU344" s="72">
        <v>4.644807843448679E-6</v>
      </c>
      <c r="FV344" s="74">
        <v>4.2941138760009858</v>
      </c>
      <c r="FW344" s="212">
        <v>17135.085220162429</v>
      </c>
      <c r="FX344" s="214">
        <v>33.619473776794855</v>
      </c>
      <c r="FY344" s="214">
        <v>0.99206365637202509</v>
      </c>
      <c r="FZ344" s="212">
        <v>1.8529837631847144E-2</v>
      </c>
      <c r="GA344" s="213">
        <v>4.6448078434486789E-3</v>
      </c>
      <c r="GB344" s="246">
        <v>43927</v>
      </c>
      <c r="GC344" s="26" t="s">
        <v>1991</v>
      </c>
      <c r="GD344" s="214">
        <v>17135.044865243315</v>
      </c>
      <c r="GE344" s="214">
        <v>1375</v>
      </c>
      <c r="GF344" s="73" t="s">
        <v>1992</v>
      </c>
      <c r="GG344" s="156">
        <v>43927</v>
      </c>
      <c r="GH344" s="25">
        <v>76</v>
      </c>
      <c r="GI344" s="25" t="s">
        <v>1993</v>
      </c>
      <c r="GK344" s="62" t="s">
        <v>1994</v>
      </c>
      <c r="GM344" s="25" t="s">
        <v>1995</v>
      </c>
      <c r="GN344" s="165">
        <v>2350.4273504273506</v>
      </c>
      <c r="GO344" s="156">
        <v>43920</v>
      </c>
      <c r="GP344" s="218">
        <v>-8</v>
      </c>
      <c r="GQ344" s="156">
        <v>43927</v>
      </c>
      <c r="GR344" s="25">
        <v>1</v>
      </c>
      <c r="GS344" s="25"/>
      <c r="GT344" s="11">
        <v>2810.245407927302</v>
      </c>
      <c r="GU344" s="12">
        <v>1.4303557934127265E-2</v>
      </c>
      <c r="GV344" s="241">
        <v>43872</v>
      </c>
      <c r="GW344" s="242" t="s">
        <v>1644</v>
      </c>
      <c r="GX344" s="219">
        <v>155.18103090825161</v>
      </c>
      <c r="GY344" s="25" t="s">
        <v>40</v>
      </c>
      <c r="GZ344" s="25"/>
      <c r="HA344" s="25"/>
      <c r="HB344" s="25"/>
    </row>
    <row r="345" spans="14:210" x14ac:dyDescent="0.25">
      <c r="N345" s="25"/>
      <c r="FO345" s="267" t="s">
        <v>40</v>
      </c>
      <c r="FP345" s="251">
        <v>43930.812557870369</v>
      </c>
      <c r="FQ345" s="244">
        <v>43853</v>
      </c>
      <c r="FR345" s="160">
        <v>43871</v>
      </c>
      <c r="FS345" s="211">
        <v>7</v>
      </c>
      <c r="FT345" s="72">
        <v>7.958917818692543E-2</v>
      </c>
      <c r="FU345" s="72">
        <v>5.2102847397750408E-6</v>
      </c>
      <c r="FV345" s="74">
        <v>4.2941138757985273</v>
      </c>
      <c r="FW345" s="212">
        <v>15275.398977592493</v>
      </c>
      <c r="FX345" s="212">
        <v>33.389410821148651</v>
      </c>
      <c r="FY345" s="212">
        <v>0.99402275052971423</v>
      </c>
      <c r="FZ345" s="212">
        <v>1.8529272146079585E-2</v>
      </c>
      <c r="GA345" s="213">
        <v>5.2102847397750406E-3</v>
      </c>
      <c r="GB345" s="246">
        <v>43929</v>
      </c>
      <c r="GC345" s="160" t="s">
        <v>2046</v>
      </c>
      <c r="GD345" s="212">
        <v>15275.366907816177</v>
      </c>
      <c r="GE345" s="212">
        <v>1623</v>
      </c>
      <c r="GF345" s="74" t="s">
        <v>2047</v>
      </c>
      <c r="GG345" s="156">
        <v>43929</v>
      </c>
      <c r="GH345" s="25">
        <v>78</v>
      </c>
      <c r="GI345" s="23" t="s">
        <v>2048</v>
      </c>
      <c r="GJ345" s="21"/>
      <c r="GK345" s="161" t="s">
        <v>2049</v>
      </c>
      <c r="GL345" s="23"/>
      <c r="GM345" s="23" t="s">
        <v>2050</v>
      </c>
      <c r="GN345" s="23">
        <v>2774.3589743589746</v>
      </c>
      <c r="GO345" s="243">
        <v>43923</v>
      </c>
      <c r="GP345" s="218">
        <v>-7</v>
      </c>
      <c r="GQ345" s="243">
        <v>43928</v>
      </c>
      <c r="GR345" s="23">
        <v>2</v>
      </c>
      <c r="GS345" s="23"/>
      <c r="GT345" s="11">
        <v>2806.5119453888437</v>
      </c>
      <c r="GU345" s="34">
        <v>1.2035000203556351E-2</v>
      </c>
      <c r="GV345" s="241">
        <v>43872</v>
      </c>
      <c r="GW345" s="242" t="s">
        <v>1644</v>
      </c>
      <c r="GX345" s="220">
        <v>122.1214351091337</v>
      </c>
      <c r="GY345" s="23" t="s">
        <v>40</v>
      </c>
      <c r="GZ345" s="23"/>
      <c r="HA345" s="25"/>
      <c r="HB345" s="25"/>
    </row>
    <row r="346" spans="14:210" x14ac:dyDescent="0.25">
      <c r="N346" s="25"/>
      <c r="FO346" s="267" t="s">
        <v>40</v>
      </c>
      <c r="FP346" s="251">
        <v>43931.868576388886</v>
      </c>
      <c r="FQ346" s="244">
        <v>43853</v>
      </c>
      <c r="FR346" s="160">
        <v>43871</v>
      </c>
      <c r="FS346" s="211">
        <v>7</v>
      </c>
      <c r="FT346" s="72">
        <v>7.9589178206698558E-2</v>
      </c>
      <c r="FU346" s="72">
        <v>4.1869535037272255E-6</v>
      </c>
      <c r="FV346" s="74">
        <v>4.2941138759881312</v>
      </c>
      <c r="FW346" s="212">
        <v>19008.851695116336</v>
      </c>
      <c r="FX346" s="212">
        <v>37.933453362795454</v>
      </c>
      <c r="FY346" s="212">
        <v>0.99352367552604437</v>
      </c>
      <c r="FZ346" s="212">
        <v>1.8530295481101959E-2</v>
      </c>
      <c r="GA346" s="213">
        <v>4.1869535037272259E-3</v>
      </c>
      <c r="GB346" s="246">
        <v>43930</v>
      </c>
      <c r="GC346" s="160" t="s">
        <v>2023</v>
      </c>
      <c r="GD346" s="212">
        <v>19008.788636934172</v>
      </c>
      <c r="GE346" s="212">
        <v>1910</v>
      </c>
      <c r="GF346" s="74" t="s">
        <v>2107</v>
      </c>
      <c r="GG346" s="243">
        <v>43930</v>
      </c>
      <c r="GH346" s="160">
        <v>79</v>
      </c>
      <c r="GI346" s="23" t="s">
        <v>2108</v>
      </c>
      <c r="GJ346" s="21"/>
      <c r="GK346" s="161" t="s">
        <v>2109</v>
      </c>
      <c r="GL346" s="23"/>
      <c r="GM346" s="23" t="s">
        <v>2110</v>
      </c>
      <c r="GN346" s="23">
        <v>3264.9572649572651</v>
      </c>
      <c r="GO346" s="243">
        <v>44103</v>
      </c>
      <c r="GP346" s="218">
        <v>172</v>
      </c>
      <c r="GQ346" s="243">
        <v>43928</v>
      </c>
      <c r="GR346" s="23">
        <v>3</v>
      </c>
      <c r="GS346" s="23"/>
      <c r="GT346" s="11">
        <v>2540.9474406747659</v>
      </c>
      <c r="GU346" s="34">
        <v>1.1618361370280283E-2</v>
      </c>
      <c r="GV346" s="241">
        <v>43872</v>
      </c>
      <c r="GW346" s="242" t="s">
        <v>1644</v>
      </c>
      <c r="GX346" s="220">
        <v>8.0472032063460119</v>
      </c>
      <c r="GY346" s="23" t="s">
        <v>40</v>
      </c>
      <c r="GZ346" s="23"/>
      <c r="HA346" s="25"/>
      <c r="HB346" s="25"/>
    </row>
    <row r="347" spans="14:210" x14ac:dyDescent="0.25">
      <c r="N347" s="25"/>
      <c r="FO347" s="267" t="s">
        <v>40</v>
      </c>
      <c r="FP347" s="251">
        <v>43933.908229166664</v>
      </c>
      <c r="FQ347" s="244">
        <v>43853</v>
      </c>
      <c r="FR347" s="160">
        <v>43871</v>
      </c>
      <c r="FS347" s="211">
        <v>7</v>
      </c>
      <c r="FT347" s="72">
        <v>7.8329142272314953E-2</v>
      </c>
      <c r="FU347" s="72">
        <v>9.9999999981584546E-13</v>
      </c>
      <c r="FV347" s="74">
        <v>4.4779331925283961</v>
      </c>
      <c r="FW347" s="212">
        <v>78329142286.739624</v>
      </c>
      <c r="FX347" s="212">
        <v>44.919601326952829</v>
      </c>
      <c r="FY347" s="212">
        <v>0.99364115863939106</v>
      </c>
      <c r="FZ347" s="212">
        <v>1.7492253434806086E-2</v>
      </c>
      <c r="GA347" s="213">
        <v>9.9999999981584546E-10</v>
      </c>
      <c r="GB347" s="246">
        <v>43932</v>
      </c>
      <c r="GC347" s="160" t="s">
        <v>2242</v>
      </c>
      <c r="GD347" s="212">
        <v>648287514.28724241</v>
      </c>
      <c r="GE347" s="212">
        <v>2299</v>
      </c>
      <c r="GF347" s="74" t="s">
        <v>2243</v>
      </c>
      <c r="GG347" s="243">
        <v>43932</v>
      </c>
      <c r="GH347" s="160">
        <v>81</v>
      </c>
      <c r="GI347" s="23" t="s">
        <v>2244</v>
      </c>
      <c r="GJ347" s="21"/>
      <c r="GK347" s="161" t="s">
        <v>2245</v>
      </c>
      <c r="GL347" s="23"/>
      <c r="GM347" s="23" t="s">
        <v>2246</v>
      </c>
      <c r="GN347" s="23">
        <v>3929.9145299145302</v>
      </c>
      <c r="GO347" s="243">
        <v>43931</v>
      </c>
      <c r="GP347" s="218">
        <v>2</v>
      </c>
      <c r="GQ347" s="243">
        <v>43928</v>
      </c>
      <c r="GR347" s="23">
        <v>5</v>
      </c>
      <c r="GS347" s="23"/>
      <c r="GT347" s="11">
        <v>3772.4041634814498</v>
      </c>
      <c r="GU347" s="34">
        <v>1.14301725864582E-2</v>
      </c>
      <c r="GV347" s="160">
        <v>43872</v>
      </c>
      <c r="GW347" s="242" t="s">
        <v>1644</v>
      </c>
      <c r="GX347" s="220">
        <v>58.820491506792678</v>
      </c>
      <c r="GY347" s="23" t="s">
        <v>40</v>
      </c>
      <c r="GZ347" s="23"/>
      <c r="HA347" s="25"/>
      <c r="HB347" s="25"/>
    </row>
    <row r="348" spans="14:210" x14ac:dyDescent="0.25">
      <c r="N348" s="25"/>
      <c r="FO348" s="267" t="s">
        <v>40</v>
      </c>
      <c r="FP348" s="251">
        <v>43933.917048611111</v>
      </c>
      <c r="FQ348" s="244">
        <v>43853</v>
      </c>
      <c r="FR348" s="160">
        <v>43871</v>
      </c>
      <c r="FS348" s="211">
        <v>7</v>
      </c>
      <c r="FT348" s="72">
        <v>7.4575957863000725E-2</v>
      </c>
      <c r="FU348" s="72">
        <v>-6.3980592486831661E-6</v>
      </c>
      <c r="FV348" s="74">
        <v>5.1746353536162477</v>
      </c>
      <c r="FW348" s="212">
        <v>-11656.02801792587</v>
      </c>
      <c r="FX348" s="212">
        <v>43.58386155268105</v>
      </c>
      <c r="FY348" s="212">
        <v>0.99401371186332887</v>
      </c>
      <c r="FZ348" s="212">
        <v>1.4418226674550819E-2</v>
      </c>
      <c r="GA348" s="213">
        <v>-6.3980592486831663E-3</v>
      </c>
      <c r="GB348" s="246">
        <v>43932</v>
      </c>
      <c r="GC348" s="160" t="s">
        <v>2279</v>
      </c>
      <c r="GD348" s="212">
        <v>38804.037993783255</v>
      </c>
      <c r="GE348" s="212">
        <v>2299</v>
      </c>
      <c r="GF348" s="74" t="s">
        <v>2280</v>
      </c>
      <c r="GG348" s="243">
        <v>43932</v>
      </c>
      <c r="GH348" s="160">
        <v>81</v>
      </c>
      <c r="GI348" s="23" t="s">
        <v>2281</v>
      </c>
      <c r="GJ348" s="21"/>
      <c r="GK348" s="161" t="s">
        <v>2282</v>
      </c>
      <c r="GL348" s="23"/>
      <c r="GM348" s="23" t="s">
        <v>2283</v>
      </c>
      <c r="GN348" s="23">
        <v>3929.9145299145302</v>
      </c>
      <c r="GO348" s="243">
        <v>43931</v>
      </c>
      <c r="GP348" s="218">
        <v>2</v>
      </c>
      <c r="GQ348" s="243">
        <v>43928</v>
      </c>
      <c r="GR348" s="23">
        <v>5</v>
      </c>
      <c r="GS348" s="23"/>
      <c r="GT348" s="11">
        <v>4326.5941923860246</v>
      </c>
      <c r="GU348" s="34">
        <v>1.1090282300268992E-2</v>
      </c>
      <c r="GV348" s="160">
        <v>43872</v>
      </c>
      <c r="GW348" s="242" t="s">
        <v>1644</v>
      </c>
      <c r="GX348" s="220">
        <v>140.16781824321879</v>
      </c>
      <c r="GY348" s="23" t="s">
        <v>40</v>
      </c>
      <c r="GZ348" s="23"/>
      <c r="HA348" s="25"/>
      <c r="HB348" s="25"/>
    </row>
    <row r="349" spans="14:210" x14ac:dyDescent="0.25">
      <c r="N349" s="25"/>
      <c r="FO349" s="267" t="s">
        <v>40</v>
      </c>
      <c r="FP349" s="251">
        <v>43933.9215625</v>
      </c>
      <c r="FQ349" s="244">
        <v>43853</v>
      </c>
      <c r="FR349" s="160">
        <v>43871</v>
      </c>
      <c r="FS349" s="211">
        <v>7</v>
      </c>
      <c r="FT349" s="72">
        <v>6.945355209973933E-2</v>
      </c>
      <c r="FU349" s="72">
        <v>1.3789635028034819E-4</v>
      </c>
      <c r="FV349" s="74">
        <v>483.16302077592456</v>
      </c>
      <c r="FW349" s="212">
        <v>503.66490453545566</v>
      </c>
      <c r="FX349" s="212">
        <v>554.40306230814133</v>
      </c>
      <c r="FY349" s="212">
        <v>3.1371049578785892E-2</v>
      </c>
      <c r="FZ349" s="212">
        <v>5.8513065419847437E-6</v>
      </c>
      <c r="GA349" s="216">
        <v>0.13789635028034819</v>
      </c>
      <c r="GB349" s="257">
        <v>43932</v>
      </c>
      <c r="GC349" s="160" t="s">
        <v>2290</v>
      </c>
      <c r="GD349" s="212">
        <v>503.66490330334108</v>
      </c>
      <c r="GE349" s="212">
        <v>2299</v>
      </c>
      <c r="GF349" s="74" t="s">
        <v>2291</v>
      </c>
      <c r="GG349" s="243">
        <v>43932</v>
      </c>
      <c r="GH349" s="160">
        <v>81</v>
      </c>
      <c r="GI349" s="23" t="s">
        <v>2292</v>
      </c>
      <c r="GJ349" s="21"/>
      <c r="GK349" s="161" t="s">
        <v>2293</v>
      </c>
      <c r="GL349" s="23"/>
      <c r="GM349" s="23" t="s">
        <v>2294</v>
      </c>
      <c r="GN349" s="23">
        <v>3929.9145299145302</v>
      </c>
      <c r="GO349" s="243">
        <v>43931</v>
      </c>
      <c r="GP349" s="218">
        <v>2</v>
      </c>
      <c r="GQ349" s="243">
        <v>43928</v>
      </c>
      <c r="GR349" s="23">
        <v>5</v>
      </c>
      <c r="GS349" s="23"/>
      <c r="GT349" s="11">
        <v>503.61048541451049</v>
      </c>
      <c r="GU349" s="34">
        <v>0.14107254956514251</v>
      </c>
      <c r="GV349" s="160">
        <v>43872</v>
      </c>
      <c r="GW349" s="260" t="s">
        <v>1644</v>
      </c>
      <c r="GX349" s="220">
        <v>-1795.417643554865</v>
      </c>
      <c r="GY349" s="23" t="s">
        <v>40</v>
      </c>
      <c r="GZ349" s="23"/>
      <c r="HA349" s="25"/>
      <c r="HB349" s="102"/>
    </row>
    <row r="350" spans="14:210" x14ac:dyDescent="0.25">
      <c r="N350" s="25"/>
      <c r="FO350" s="267" t="s">
        <v>40</v>
      </c>
      <c r="FP350" s="251">
        <v>43933.928680555553</v>
      </c>
      <c r="FQ350" s="244">
        <v>43853</v>
      </c>
      <c r="FR350" s="160">
        <v>43871</v>
      </c>
      <c r="FS350" s="211">
        <v>7</v>
      </c>
      <c r="FT350" s="72">
        <v>7.8390508450614044E-2</v>
      </c>
      <c r="FU350" s="72">
        <v>9.9999999989469137E-13</v>
      </c>
      <c r="FV350" s="74">
        <v>4.4578779592771944</v>
      </c>
      <c r="FW350" s="212">
        <v>78390508458.869247</v>
      </c>
      <c r="FX350" s="212">
        <v>44.920455793726092</v>
      </c>
      <c r="FY350" s="212">
        <v>0.99364091671959764</v>
      </c>
      <c r="FZ350" s="212">
        <v>1.7584713884555625E-2</v>
      </c>
      <c r="GA350" s="213">
        <v>9.9999999989469128E-10</v>
      </c>
      <c r="GB350" s="246">
        <v>43932</v>
      </c>
      <c r="GC350" s="160" t="s">
        <v>2295</v>
      </c>
      <c r="GD350" s="212">
        <v>654908024.52358735</v>
      </c>
      <c r="GE350" s="212">
        <v>2299</v>
      </c>
      <c r="GF350" s="74" t="s">
        <v>2243</v>
      </c>
      <c r="GG350" s="243">
        <v>43932</v>
      </c>
      <c r="GH350" s="160">
        <v>81</v>
      </c>
      <c r="GI350" s="23" t="s">
        <v>2296</v>
      </c>
      <c r="GJ350" s="21"/>
      <c r="GK350" s="161" t="s">
        <v>2245</v>
      </c>
      <c r="GL350" s="23"/>
      <c r="GM350" s="23" t="s">
        <v>2297</v>
      </c>
      <c r="GN350" s="23">
        <v>3929.9145299145302</v>
      </c>
      <c r="GO350" s="243">
        <v>43931</v>
      </c>
      <c r="GP350" s="218">
        <v>2</v>
      </c>
      <c r="GQ350" s="243">
        <v>43928</v>
      </c>
      <c r="GR350" s="23">
        <v>5</v>
      </c>
      <c r="GS350" s="23"/>
      <c r="GT350" s="11">
        <v>3775.3808256829025</v>
      </c>
      <c r="GU350" s="34">
        <v>1.1430390012757616E-2</v>
      </c>
      <c r="GV350" s="241">
        <v>43872</v>
      </c>
      <c r="GW350" s="242" t="s">
        <v>1644</v>
      </c>
      <c r="GX350" s="220">
        <v>59.812291293519593</v>
      </c>
      <c r="GY350" s="23" t="s">
        <v>40</v>
      </c>
      <c r="GZ350" s="23"/>
      <c r="HA350" s="25"/>
      <c r="HB350" s="102"/>
    </row>
    <row r="351" spans="14:210" x14ac:dyDescent="0.25">
      <c r="N351" s="25"/>
      <c r="FO351" s="263" t="s">
        <v>40</v>
      </c>
      <c r="FP351" s="252">
        <v>43934.704618055555</v>
      </c>
      <c r="FQ351" s="244">
        <v>43853</v>
      </c>
      <c r="FR351" s="160">
        <v>43871</v>
      </c>
      <c r="FS351" s="211">
        <v>7</v>
      </c>
      <c r="FT351" s="72">
        <v>7.9981232848194236E-2</v>
      </c>
      <c r="FU351" s="72">
        <v>9.9999999989469137E-13</v>
      </c>
      <c r="FV351" s="74">
        <v>4.0041524374033797</v>
      </c>
      <c r="FW351" s="212">
        <v>79981232856.616943</v>
      </c>
      <c r="FX351" s="214">
        <v>48.311533416270947</v>
      </c>
      <c r="FY351" s="214">
        <v>0.99385508043575277</v>
      </c>
      <c r="FZ351" s="212">
        <v>1.9974572420638527E-2</v>
      </c>
      <c r="GA351" s="213">
        <v>9.9999999989469128E-10</v>
      </c>
      <c r="GB351" s="246">
        <v>43933</v>
      </c>
      <c r="GC351" s="26" t="s">
        <v>2339</v>
      </c>
      <c r="GD351" s="214">
        <v>859637756.74426043</v>
      </c>
      <c r="GE351" s="214">
        <v>2532</v>
      </c>
      <c r="GF351" s="73" t="s">
        <v>2340</v>
      </c>
      <c r="GG351" s="156">
        <v>43933</v>
      </c>
      <c r="GH351" s="26">
        <v>82</v>
      </c>
      <c r="GI351" s="25" t="s">
        <v>2341</v>
      </c>
      <c r="GK351" s="62" t="s">
        <v>2342</v>
      </c>
      <c r="GM351" s="25" t="s">
        <v>2343</v>
      </c>
      <c r="GN351" s="25">
        <v>4328.2051282051289</v>
      </c>
      <c r="GO351" s="156">
        <v>43931</v>
      </c>
      <c r="GP351" s="218">
        <v>3</v>
      </c>
      <c r="GQ351" s="156">
        <v>43928</v>
      </c>
      <c r="GR351" s="25">
        <v>6</v>
      </c>
      <c r="GS351" s="25"/>
      <c r="GT351" s="11">
        <v>3888.2633929572853</v>
      </c>
      <c r="GU351" s="12">
        <v>1.1162024900678712E-2</v>
      </c>
      <c r="GV351" s="241">
        <v>43872</v>
      </c>
      <c r="GW351" s="242" t="s">
        <v>1644</v>
      </c>
      <c r="GX351" s="219">
        <v>74.625521539887359</v>
      </c>
      <c r="GY351" s="25" t="s">
        <v>40</v>
      </c>
      <c r="GZ351" s="25" t="s">
        <v>40</v>
      </c>
      <c r="HA351" s="25"/>
      <c r="HB351" s="102"/>
    </row>
    <row r="352" spans="14:210" x14ac:dyDescent="0.25">
      <c r="N352" s="25"/>
      <c r="FO352" s="263" t="s">
        <v>40</v>
      </c>
      <c r="FP352" s="252">
        <v>43934.880370370367</v>
      </c>
      <c r="FQ352" s="244">
        <v>43853</v>
      </c>
      <c r="FR352" s="160">
        <v>43871</v>
      </c>
      <c r="FS352" s="211">
        <v>7</v>
      </c>
      <c r="FT352" s="72">
        <v>7.9981232848194236E-2</v>
      </c>
      <c r="FU352" s="72">
        <v>9.9999999989469137E-13</v>
      </c>
      <c r="FV352" s="74">
        <v>4.0041524374033797</v>
      </c>
      <c r="FW352" s="212">
        <v>79981232856.616943</v>
      </c>
      <c r="FX352" s="214">
        <v>48.311533416270947</v>
      </c>
      <c r="FY352" s="214">
        <v>0.99385508043575277</v>
      </c>
      <c r="FZ352" s="212">
        <v>1.9974572420638527E-2</v>
      </c>
      <c r="GA352" s="213">
        <v>9.9999999989469128E-10</v>
      </c>
      <c r="GB352" s="246">
        <v>43933</v>
      </c>
      <c r="GC352" s="26" t="s">
        <v>2339</v>
      </c>
      <c r="GD352" s="214">
        <v>78798548.26014027</v>
      </c>
      <c r="GE352" s="214">
        <v>2532</v>
      </c>
      <c r="GF352" s="73" t="s">
        <v>2340</v>
      </c>
      <c r="GG352" s="156">
        <v>43933</v>
      </c>
      <c r="GH352" s="26">
        <v>82</v>
      </c>
      <c r="GI352" s="25" t="s">
        <v>2371</v>
      </c>
      <c r="GK352" s="62" t="s">
        <v>2342</v>
      </c>
      <c r="GM352" s="25" t="s">
        <v>2372</v>
      </c>
      <c r="GN352" s="25">
        <v>4328.2051282051289</v>
      </c>
      <c r="GO352" s="156">
        <v>43931</v>
      </c>
      <c r="GP352" s="218">
        <v>3</v>
      </c>
      <c r="GQ352" s="156">
        <v>43928</v>
      </c>
      <c r="GR352" s="25">
        <v>6</v>
      </c>
      <c r="GS352" s="25"/>
      <c r="GT352" s="11">
        <v>4212.0263837737275</v>
      </c>
      <c r="GU352" s="12">
        <v>1.1162024900678712E-2</v>
      </c>
      <c r="GV352" s="241">
        <v>43872</v>
      </c>
      <c r="GW352" s="242" t="s">
        <v>1644</v>
      </c>
      <c r="GX352" s="219">
        <v>74.625521539887359</v>
      </c>
      <c r="GY352" s="25" t="s">
        <v>40</v>
      </c>
      <c r="GZ352" s="25" t="s">
        <v>40</v>
      </c>
      <c r="HA352" s="25"/>
      <c r="HB352" s="102"/>
    </row>
    <row r="353" spans="14:210" x14ac:dyDescent="0.25">
      <c r="N353" s="25"/>
      <c r="FO353" s="267" t="s">
        <v>40</v>
      </c>
      <c r="FP353" s="251">
        <v>43935.63013888889</v>
      </c>
      <c r="FQ353" s="243">
        <v>43853</v>
      </c>
      <c r="FR353" s="26">
        <v>43871</v>
      </c>
      <c r="FS353" s="211">
        <v>7</v>
      </c>
      <c r="FT353" s="44">
        <v>7.9981232848194236E-2</v>
      </c>
      <c r="FU353" s="71">
        <v>9.9999999989469137E-13</v>
      </c>
      <c r="FV353" s="73">
        <v>4.0041524374033797</v>
      </c>
      <c r="FW353" s="212">
        <v>79981232856.616943</v>
      </c>
      <c r="FX353" s="212">
        <v>48.311533416270947</v>
      </c>
      <c r="FY353" s="212">
        <v>0.99385508043575277</v>
      </c>
      <c r="FZ353" s="214">
        <v>1.9974572420638527E-2</v>
      </c>
      <c r="GA353" s="213">
        <v>9.9999999989469128E-10</v>
      </c>
      <c r="GB353" s="246">
        <v>43933</v>
      </c>
      <c r="GC353" s="26" t="s">
        <v>2339</v>
      </c>
      <c r="GD353" s="214">
        <v>78798548.26014027</v>
      </c>
      <c r="GE353" s="214">
        <v>2532</v>
      </c>
      <c r="GF353" s="73" t="s">
        <v>2340</v>
      </c>
      <c r="GG353" s="156">
        <v>43933</v>
      </c>
      <c r="GH353" s="26">
        <v>82</v>
      </c>
      <c r="GI353" s="26" t="s">
        <v>2371</v>
      </c>
      <c r="GJ353" s="25"/>
      <c r="GK353" s="62" t="s">
        <v>2342</v>
      </c>
      <c r="GM353" s="18" t="s">
        <v>2372</v>
      </c>
      <c r="GN353" s="11">
        <v>4328.2051282051289</v>
      </c>
      <c r="GO353" s="156">
        <v>43931</v>
      </c>
      <c r="GP353" s="218">
        <v>3</v>
      </c>
      <c r="GQ353" s="156">
        <v>43928</v>
      </c>
      <c r="GR353" s="11">
        <v>115</v>
      </c>
      <c r="GS353" s="25"/>
      <c r="GT353" s="11">
        <v>4212.0263837737275</v>
      </c>
      <c r="GU353" s="12">
        <v>1.1162024900678712E-2</v>
      </c>
      <c r="GV353" s="132">
        <v>43875</v>
      </c>
      <c r="GW353" s="133" t="s">
        <v>2398</v>
      </c>
      <c r="GX353" s="231">
        <v>74.625521539887359</v>
      </c>
      <c r="GY353" s="102" t="s">
        <v>40</v>
      </c>
      <c r="GZ353" s="102" t="s">
        <v>40</v>
      </c>
      <c r="HA353" s="25"/>
      <c r="HB353" s="25"/>
    </row>
    <row r="354" spans="14:210" x14ac:dyDescent="0.25">
      <c r="N354" s="25"/>
      <c r="FO354" s="263" t="s">
        <v>40</v>
      </c>
      <c r="FP354" s="251">
        <v>43938.512789351851</v>
      </c>
      <c r="FQ354" s="243">
        <v>43853</v>
      </c>
      <c r="FR354" s="26">
        <v>43871</v>
      </c>
      <c r="FS354" s="211">
        <v>7</v>
      </c>
      <c r="FT354" s="44">
        <v>9.478512862004608E-2</v>
      </c>
      <c r="FU354" s="71">
        <v>9.9999999989469137E-13</v>
      </c>
      <c r="FV354" s="73">
        <v>1.3810977944482834</v>
      </c>
      <c r="FW354" s="212">
        <v>94785128630.027771</v>
      </c>
      <c r="FX354" s="212">
        <v>103.94224580660722</v>
      </c>
      <c r="FY354" s="212">
        <v>0.98816707105483326</v>
      </c>
      <c r="FZ354" s="214">
        <v>6.8630280201504079E-2</v>
      </c>
      <c r="GA354" s="213">
        <v>9.9999999989469128E-10</v>
      </c>
      <c r="GB354" s="246">
        <v>43937</v>
      </c>
      <c r="GC354" s="26" t="s">
        <v>2464</v>
      </c>
      <c r="GD354" s="214">
        <v>605368828.90449798</v>
      </c>
      <c r="GE354" s="214">
        <v>4427</v>
      </c>
      <c r="GF354" s="73" t="s">
        <v>2465</v>
      </c>
      <c r="GG354" s="156">
        <v>43937</v>
      </c>
      <c r="GH354" s="26">
        <v>86</v>
      </c>
      <c r="GI354" s="26" t="s">
        <v>2466</v>
      </c>
      <c r="GJ354" s="25"/>
      <c r="GK354" s="62" t="s">
        <v>2467</v>
      </c>
      <c r="GM354" s="18" t="s">
        <v>2468</v>
      </c>
      <c r="GN354" s="11">
        <v>7567.5213675213681</v>
      </c>
      <c r="GO354" s="156">
        <v>43932</v>
      </c>
      <c r="GP354" s="218">
        <v>6</v>
      </c>
      <c r="GQ354" s="156">
        <v>43929</v>
      </c>
      <c r="GR354" s="11">
        <v>114</v>
      </c>
      <c r="GS354" s="25"/>
      <c r="GT354" s="11">
        <v>7694.9943297854616</v>
      </c>
      <c r="GU354" s="12">
        <v>1.3735309192876716E-2</v>
      </c>
      <c r="GV354" s="132">
        <v>43875</v>
      </c>
      <c r="GW354" s="133" t="s">
        <v>2398</v>
      </c>
      <c r="GX354" s="231">
        <v>-69.670830254691282</v>
      </c>
      <c r="GY354" s="102" t="s">
        <v>40</v>
      </c>
      <c r="GZ354" s="102" t="s">
        <v>40</v>
      </c>
      <c r="HA354" s="102" t="s">
        <v>2468</v>
      </c>
      <c r="HB354" s="25"/>
    </row>
    <row r="355" spans="14:210" x14ac:dyDescent="0.25">
      <c r="N355" s="25"/>
      <c r="FO355" s="263" t="s">
        <v>40</v>
      </c>
      <c r="FP355" s="251">
        <v>43939.898043981484</v>
      </c>
      <c r="FQ355" s="243">
        <v>43853</v>
      </c>
      <c r="FR355" s="160">
        <v>43871</v>
      </c>
      <c r="FS355" s="211">
        <v>7</v>
      </c>
      <c r="FT355" s="44">
        <v>0.10046514551554526</v>
      </c>
      <c r="FU355" s="71">
        <v>9.9999999989469137E-13</v>
      </c>
      <c r="FV355" s="73">
        <v>0.8992774903439098</v>
      </c>
      <c r="FW355" s="212">
        <v>100465145526.12511</v>
      </c>
      <c r="FX355" s="212">
        <v>123.59207068208914</v>
      </c>
      <c r="FY355" s="212">
        <v>0.98703977402596743</v>
      </c>
      <c r="FZ355" s="214">
        <v>0.11171762508614021</v>
      </c>
      <c r="GA355" s="213">
        <v>9.9999999989469128E-10</v>
      </c>
      <c r="GB355" s="246">
        <v>43938</v>
      </c>
      <c r="GC355" s="26" t="s">
        <v>2917</v>
      </c>
      <c r="GD355" s="214">
        <v>1290873172.7187004</v>
      </c>
      <c r="GE355" s="214">
        <v>5050</v>
      </c>
      <c r="GF355" s="73" t="s">
        <v>2918</v>
      </c>
      <c r="GG355" s="156">
        <v>43938</v>
      </c>
      <c r="GH355" s="26">
        <v>87</v>
      </c>
      <c r="GI355" s="26" t="s">
        <v>2919</v>
      </c>
      <c r="GJ355" s="25"/>
      <c r="GK355" s="62" t="s">
        <v>2920</v>
      </c>
      <c r="GM355" s="18" t="s">
        <v>2921</v>
      </c>
      <c r="GN355" s="11">
        <v>8632.4786324786328</v>
      </c>
      <c r="GO355" s="156">
        <v>43932</v>
      </c>
      <c r="GP355" s="218">
        <v>7</v>
      </c>
      <c r="GQ355" s="156">
        <v>43929</v>
      </c>
      <c r="GR355" s="11">
        <v>114</v>
      </c>
      <c r="GS355" s="25"/>
      <c r="GT355" s="11">
        <v>8401.4915263168132</v>
      </c>
      <c r="GU355" s="12">
        <v>1.4317101257232108E-2</v>
      </c>
      <c r="GV355" s="132">
        <v>43875</v>
      </c>
      <c r="GW355" s="133" t="s">
        <v>2398</v>
      </c>
      <c r="GX355" s="231">
        <v>33.924782068653258</v>
      </c>
      <c r="GY355" s="102" t="s">
        <v>40</v>
      </c>
      <c r="GZ355" s="102" t="s">
        <v>40</v>
      </c>
      <c r="HA355" s="102" t="s">
        <v>2921</v>
      </c>
      <c r="HB355" s="25"/>
    </row>
    <row r="356" spans="14:210" x14ac:dyDescent="0.25">
      <c r="N356" s="25"/>
      <c r="FO356" s="263" t="s">
        <v>40</v>
      </c>
      <c r="FP356" s="251">
        <v>43942.945497685185</v>
      </c>
      <c r="FQ356" s="243">
        <v>43853</v>
      </c>
      <c r="FR356" s="26">
        <v>43853</v>
      </c>
      <c r="FS356" s="211">
        <v>7</v>
      </c>
      <c r="FT356" s="44">
        <v>0.11911488473165381</v>
      </c>
      <c r="FU356" s="71">
        <v>9.9999999989469137E-13</v>
      </c>
      <c r="FV356" s="73">
        <v>0.20743583470953669</v>
      </c>
      <c r="FW356" s="212">
        <v>119114884744.19763</v>
      </c>
      <c r="FX356" s="212">
        <v>163.88329649586419</v>
      </c>
      <c r="FY356" s="212">
        <v>0.98815253045828799</v>
      </c>
      <c r="FZ356" s="214">
        <v>0.57422520510131592</v>
      </c>
      <c r="GA356" s="213">
        <v>9.9999999989469128E-10</v>
      </c>
      <c r="GB356" s="246">
        <v>43941</v>
      </c>
      <c r="GC356" s="26" t="s">
        <v>3359</v>
      </c>
      <c r="GD356" s="214">
        <v>101697499.7556159</v>
      </c>
      <c r="GE356" s="214">
        <v>8014</v>
      </c>
      <c r="GF356" s="73" t="s">
        <v>3360</v>
      </c>
      <c r="GG356" s="156">
        <v>43941</v>
      </c>
      <c r="GH356" s="26">
        <v>90</v>
      </c>
      <c r="GI356" s="26" t="s">
        <v>3361</v>
      </c>
      <c r="GJ356" s="25"/>
      <c r="GK356" s="62" t="s">
        <v>3362</v>
      </c>
      <c r="GM356" s="18" t="s">
        <v>3363</v>
      </c>
      <c r="GN356" s="11">
        <v>13699.145299145301</v>
      </c>
      <c r="GO356" s="156">
        <v>43932</v>
      </c>
      <c r="GP356" s="218">
        <v>10</v>
      </c>
      <c r="GQ356" s="156">
        <v>43929</v>
      </c>
      <c r="GR356" s="11">
        <v>93</v>
      </c>
      <c r="GS356" s="25"/>
      <c r="GT356" s="11">
        <v>17034.239556832432</v>
      </c>
      <c r="GU356" s="12">
        <v>1.1963030752443291E-2</v>
      </c>
      <c r="GV356" s="132">
        <v>43875</v>
      </c>
      <c r="GW356" s="133" t="s">
        <v>2398</v>
      </c>
      <c r="GX356" s="231">
        <v>321.60563064989037</v>
      </c>
      <c r="GY356" s="102" t="s">
        <v>40</v>
      </c>
      <c r="GZ356" s="102" t="s">
        <v>40</v>
      </c>
      <c r="HA356" s="26" t="s">
        <v>3363</v>
      </c>
      <c r="HB356" s="25"/>
    </row>
    <row r="357" spans="14:210" x14ac:dyDescent="0.25">
      <c r="N357" s="25"/>
      <c r="FO357" s="263" t="s">
        <v>40</v>
      </c>
      <c r="FP357" s="251">
        <v>43945.843831018516</v>
      </c>
      <c r="FQ357" s="243">
        <v>43853</v>
      </c>
      <c r="FR357" s="26">
        <v>43853</v>
      </c>
      <c r="FS357" s="211">
        <v>7</v>
      </c>
      <c r="FT357" s="44">
        <v>0.1256050942400318</v>
      </c>
      <c r="FU357" s="71">
        <v>9.9999999989469137E-13</v>
      </c>
      <c r="FV357" s="73">
        <v>0.12214741563421772</v>
      </c>
      <c r="FW357" s="212">
        <v>125605094253.25909</v>
      </c>
      <c r="FX357" s="212">
        <v>175.1946459471861</v>
      </c>
      <c r="FY357" s="212">
        <v>0.99381276740256341</v>
      </c>
      <c r="FZ357" s="214">
        <v>1.0283074233518479</v>
      </c>
      <c r="GA357" s="213">
        <v>9.9999999989469128E-10</v>
      </c>
      <c r="GB357" s="246">
        <v>43944</v>
      </c>
      <c r="GC357" s="26" t="s">
        <v>3435</v>
      </c>
      <c r="GD357" s="214">
        <v>178074125.58806121</v>
      </c>
      <c r="GE357" s="214">
        <v>11178</v>
      </c>
      <c r="GF357" s="73" t="s">
        <v>1017</v>
      </c>
      <c r="GG357" s="156">
        <v>43944</v>
      </c>
      <c r="GH357" s="26">
        <v>93</v>
      </c>
      <c r="GI357" s="26" t="s">
        <v>3436</v>
      </c>
      <c r="GJ357" s="25"/>
      <c r="GK357" s="62" t="s">
        <v>3437</v>
      </c>
      <c r="GM357" s="18" t="s">
        <v>3438</v>
      </c>
      <c r="GN357" s="11">
        <v>19107.692307692309</v>
      </c>
      <c r="GO357" s="156">
        <v>43932</v>
      </c>
      <c r="GP357" s="218">
        <v>13</v>
      </c>
      <c r="GQ357" s="156">
        <v>43929</v>
      </c>
      <c r="GR357" s="11">
        <v>93</v>
      </c>
      <c r="GS357" s="25"/>
      <c r="GT357" s="11">
        <v>27086.003056639129</v>
      </c>
      <c r="GU357" s="12">
        <v>9.1688019215516066E-3</v>
      </c>
      <c r="GV357" s="132">
        <v>43875</v>
      </c>
      <c r="GW357" s="133" t="s">
        <v>2398</v>
      </c>
      <c r="GX357" s="231">
        <v>1570.1562179770899</v>
      </c>
      <c r="GY357" s="102" t="s">
        <v>40</v>
      </c>
      <c r="GZ357" s="102" t="s">
        <v>40</v>
      </c>
      <c r="HA357" s="26" t="s">
        <v>3438</v>
      </c>
      <c r="HB357" s="25"/>
    </row>
    <row r="358" spans="14:210" x14ac:dyDescent="0.25">
      <c r="N358" s="25"/>
      <c r="FO358" s="263" t="s">
        <v>40</v>
      </c>
      <c r="FP358" s="250">
        <v>43947.950868055559</v>
      </c>
      <c r="FQ358" s="156">
        <v>43853</v>
      </c>
      <c r="FR358" s="26">
        <v>43853</v>
      </c>
      <c r="FS358" s="211">
        <v>7</v>
      </c>
      <c r="FT358" s="44">
        <v>0.12560509415781246</v>
      </c>
      <c r="FU358" s="71">
        <v>5.3959652418276396E-7</v>
      </c>
      <c r="FV358" s="73">
        <v>0.12214741562735859</v>
      </c>
      <c r="FW358" s="212">
        <v>232775.9511572936</v>
      </c>
      <c r="FX358" s="212">
        <v>219.24958196523849</v>
      </c>
      <c r="FY358" s="212">
        <v>0.99358716704816741</v>
      </c>
      <c r="FZ358" s="214">
        <v>1.0283068831409523</v>
      </c>
      <c r="GA358" s="213">
        <v>5.3959652418276397E-4</v>
      </c>
      <c r="GB358" s="246">
        <v>43946</v>
      </c>
      <c r="GC358" s="26" t="s">
        <v>2357</v>
      </c>
      <c r="GD358" s="214">
        <v>232766.93018358335</v>
      </c>
      <c r="GE358" s="214">
        <v>12693</v>
      </c>
      <c r="GF358" s="73" t="s">
        <v>3529</v>
      </c>
      <c r="GG358" s="156">
        <v>43946</v>
      </c>
      <c r="GH358" s="26">
        <v>95</v>
      </c>
      <c r="GI358" s="26" t="s">
        <v>3530</v>
      </c>
      <c r="GJ358" s="25"/>
      <c r="GK358" s="62" t="s">
        <v>3531</v>
      </c>
      <c r="GM358" s="18" t="s">
        <v>3532</v>
      </c>
      <c r="GN358" s="11">
        <v>21697.435897435898</v>
      </c>
      <c r="GO358" s="156">
        <v>43932</v>
      </c>
      <c r="GP358" s="218">
        <v>15</v>
      </c>
      <c r="GQ358" s="156">
        <v>43929</v>
      </c>
      <c r="GR358" s="11">
        <v>121</v>
      </c>
      <c r="GS358" s="25"/>
      <c r="GT358" s="11">
        <v>24262.783212533115</v>
      </c>
      <c r="GU358" s="12">
        <v>1.0104861376322738E-2</v>
      </c>
      <c r="GV358" s="132">
        <v>43875</v>
      </c>
      <c r="GW358" s="133" t="s">
        <v>2398</v>
      </c>
      <c r="GX358" s="231">
        <v>2617.8171814384641</v>
      </c>
      <c r="GY358" s="102" t="s">
        <v>40</v>
      </c>
      <c r="GZ358" s="102" t="s">
        <v>40</v>
      </c>
      <c r="HA358" s="26" t="s">
        <v>3532</v>
      </c>
      <c r="HB358" s="25"/>
    </row>
    <row r="359" spans="14:210" x14ac:dyDescent="0.25">
      <c r="N359" s="25"/>
      <c r="FO359" s="263" t="s">
        <v>40</v>
      </c>
      <c r="FP359" s="250">
        <v>43949.717627314814</v>
      </c>
      <c r="FQ359" s="156">
        <v>43853</v>
      </c>
      <c r="FR359" s="26">
        <v>43853</v>
      </c>
      <c r="FS359" s="211">
        <v>7</v>
      </c>
      <c r="FT359" s="44">
        <v>0.12560509413261117</v>
      </c>
      <c r="FU359" s="71">
        <v>1.2933080324859109E-6</v>
      </c>
      <c r="FV359" s="73">
        <v>0.1221474156253395</v>
      </c>
      <c r="FW359" s="212">
        <v>97119.240720388465</v>
      </c>
      <c r="FX359" s="212">
        <v>305.32941196484489</v>
      </c>
      <c r="FY359" s="212">
        <v>0.99121311293905801</v>
      </c>
      <c r="FZ359" s="214">
        <v>1.0283061292401232</v>
      </c>
      <c r="GA359" s="213">
        <v>1.2933080324859108E-3</v>
      </c>
      <c r="GB359" s="246">
        <v>43948</v>
      </c>
      <c r="GC359" s="26" t="s">
        <v>3587</v>
      </c>
      <c r="GD359" s="214">
        <v>97117.670367540006</v>
      </c>
      <c r="GE359" s="214">
        <v>14423</v>
      </c>
      <c r="GF359" s="73" t="s">
        <v>3588</v>
      </c>
      <c r="GG359" s="156">
        <v>43948</v>
      </c>
      <c r="GH359" s="26">
        <v>97</v>
      </c>
      <c r="GI359" s="26" t="s">
        <v>3589</v>
      </c>
      <c r="GJ359" s="25"/>
      <c r="GK359" s="62" t="s">
        <v>3590</v>
      </c>
      <c r="GM359" s="18" t="s">
        <v>3591</v>
      </c>
      <c r="GN359" s="11">
        <v>24654.700854700855</v>
      </c>
      <c r="GO359" s="156">
        <v>43932</v>
      </c>
      <c r="GP359" s="218">
        <v>17</v>
      </c>
      <c r="GQ359" s="156">
        <v>43929</v>
      </c>
      <c r="GR359" s="11">
        <v>121</v>
      </c>
      <c r="GS359" s="25"/>
      <c r="GT359" s="11">
        <v>21179.259262844316</v>
      </c>
      <c r="GU359" s="12">
        <v>1.2384226998504767E-2</v>
      </c>
      <c r="GV359" s="132">
        <v>43875</v>
      </c>
      <c r="GW359" s="133" t="s">
        <v>2398</v>
      </c>
      <c r="GX359" s="231">
        <v>2890.1836496587566</v>
      </c>
      <c r="GY359" s="102" t="s">
        <v>40</v>
      </c>
      <c r="GZ359" s="102" t="s">
        <v>40</v>
      </c>
      <c r="HA359" s="26" t="s">
        <v>3591</v>
      </c>
      <c r="HB359" s="25"/>
    </row>
    <row r="360" spans="14:210" x14ac:dyDescent="0.25">
      <c r="N360" s="25"/>
      <c r="FO360" s="263" t="s">
        <v>40</v>
      </c>
      <c r="FP360" s="250">
        <v>43950.659444444442</v>
      </c>
      <c r="FQ360" s="156">
        <v>43853</v>
      </c>
      <c r="FR360" s="26">
        <v>43853</v>
      </c>
      <c r="FS360" s="211">
        <v>7</v>
      </c>
      <c r="FT360" s="44">
        <v>0.12560509413261117</v>
      </c>
      <c r="FU360" s="71">
        <v>1.2933080324859109E-6</v>
      </c>
      <c r="FV360" s="73">
        <v>0.1221474156253395</v>
      </c>
      <c r="FW360" s="212">
        <v>97119.240720388465</v>
      </c>
      <c r="FX360" s="212">
        <v>387.02689611313411</v>
      </c>
      <c r="FY360" s="212">
        <v>0.98783134607657919</v>
      </c>
      <c r="FZ360" s="214">
        <v>1.0283061292401232</v>
      </c>
      <c r="GA360" s="213">
        <v>1.2933080324859108E-3</v>
      </c>
      <c r="GB360" s="246">
        <v>43949</v>
      </c>
      <c r="GC360" s="26" t="s">
        <v>3587</v>
      </c>
      <c r="GD360" s="214">
        <v>97117.670367540006</v>
      </c>
      <c r="GE360" s="214">
        <v>14951</v>
      </c>
      <c r="GF360" s="73" t="s">
        <v>3588</v>
      </c>
      <c r="GG360" s="156">
        <v>43949</v>
      </c>
      <c r="GH360" s="26">
        <v>98</v>
      </c>
      <c r="GI360" s="26" t="s">
        <v>3651</v>
      </c>
      <c r="GJ360" s="25"/>
      <c r="GK360" s="62" t="s">
        <v>3650</v>
      </c>
      <c r="GM360" s="18" t="s">
        <v>3652</v>
      </c>
      <c r="GN360" s="11">
        <v>25557.264957264957</v>
      </c>
      <c r="GO360" s="156">
        <v>43932</v>
      </c>
      <c r="GP360" s="218">
        <v>18</v>
      </c>
      <c r="GQ360" s="156">
        <v>43929</v>
      </c>
      <c r="GR360" s="11">
        <v>121</v>
      </c>
      <c r="GS360" s="25"/>
      <c r="GT360" s="11">
        <v>21179.259262844316</v>
      </c>
      <c r="GU360" s="12">
        <v>1.5143517773137815E-2</v>
      </c>
      <c r="GV360" s="240">
        <v>43875</v>
      </c>
      <c r="GW360" s="133" t="s">
        <v>2398</v>
      </c>
      <c r="GX360" s="231">
        <v>4221.8505770981246</v>
      </c>
      <c r="GY360" s="102" t="s">
        <v>40</v>
      </c>
      <c r="GZ360" s="102" t="s">
        <v>40</v>
      </c>
      <c r="HA360" s="26" t="s">
        <v>3652</v>
      </c>
      <c r="HB360" s="25"/>
    </row>
    <row r="361" spans="14:210" x14ac:dyDescent="0.25">
      <c r="N361" s="25"/>
      <c r="FO361" s="263" t="s">
        <v>40</v>
      </c>
      <c r="FP361" s="250">
        <v>43951.665729166663</v>
      </c>
      <c r="FQ361" s="156">
        <v>43853</v>
      </c>
      <c r="FR361" s="26">
        <v>43853</v>
      </c>
      <c r="FS361" s="211">
        <v>7</v>
      </c>
      <c r="FT361" s="44">
        <v>0.12560509411230858</v>
      </c>
      <c r="FU361" s="71">
        <v>2.0104474397774154E-6</v>
      </c>
      <c r="FV361" s="73">
        <v>0.12214741562382381</v>
      </c>
      <c r="FW361" s="212">
        <v>62476.1889453896</v>
      </c>
      <c r="FX361" s="212">
        <v>429.14340517546958</v>
      </c>
      <c r="FY361" s="212">
        <v>0.98696289691359929</v>
      </c>
      <c r="FZ361" s="214">
        <v>1.0283054119472619</v>
      </c>
      <c r="GA361" s="213">
        <v>2.0104474397774153E-3</v>
      </c>
      <c r="GB361" s="246">
        <v>43950</v>
      </c>
      <c r="GC361" s="26" t="s">
        <v>3711</v>
      </c>
      <c r="GD361" s="214">
        <v>62475.539088162877</v>
      </c>
      <c r="GE361" s="214">
        <v>15641</v>
      </c>
      <c r="GF361" s="73" t="s">
        <v>3712</v>
      </c>
      <c r="GG361" s="156">
        <v>43950</v>
      </c>
      <c r="GH361" s="26">
        <v>99</v>
      </c>
      <c r="GI361" s="26" t="s">
        <v>3713</v>
      </c>
      <c r="GJ361" s="25"/>
      <c r="GK361" s="62" t="s">
        <v>3714</v>
      </c>
      <c r="GM361" s="18" t="s">
        <v>3715</v>
      </c>
      <c r="GN361" s="11">
        <v>26736.752136752137</v>
      </c>
      <c r="GO361" s="156">
        <v>43932</v>
      </c>
      <c r="GP361" s="218">
        <v>19</v>
      </c>
      <c r="GQ361" s="156">
        <v>43929</v>
      </c>
      <c r="GR361" s="11">
        <v>121</v>
      </c>
      <c r="GS361" s="25"/>
      <c r="GT361" s="11">
        <v>18894.499503749794</v>
      </c>
      <c r="GU361" s="12">
        <v>1.605069317995331E-2</v>
      </c>
      <c r="GV361" s="240">
        <v>43875</v>
      </c>
      <c r="GW361" s="133" t="s">
        <v>2398</v>
      </c>
      <c r="GX361" s="231">
        <v>3253.4995037497938</v>
      </c>
      <c r="GY361" s="102" t="s">
        <v>40</v>
      </c>
      <c r="GZ361" s="102" t="s">
        <v>40</v>
      </c>
      <c r="HA361" s="26" t="s">
        <v>3715</v>
      </c>
      <c r="HB361" s="25"/>
    </row>
    <row r="362" spans="14:210" x14ac:dyDescent="0.25">
      <c r="N362" s="25"/>
      <c r="FO362" s="263" t="s">
        <v>40</v>
      </c>
      <c r="FP362" s="250">
        <v>43954.724178240744</v>
      </c>
      <c r="FQ362" s="156">
        <v>43853</v>
      </c>
      <c r="FR362" s="26">
        <v>43853</v>
      </c>
      <c r="FS362" s="211">
        <v>7</v>
      </c>
      <c r="FT362" s="44">
        <v>0.12560509409067391</v>
      </c>
      <c r="FU362" s="71">
        <v>3.5363263460273354E-6</v>
      </c>
      <c r="FV362" s="73">
        <v>0.12214741562231426</v>
      </c>
      <c r="FW362" s="212">
        <v>35518.524536565215</v>
      </c>
      <c r="FX362" s="212">
        <v>727.02549535665173</v>
      </c>
      <c r="FY362" s="212">
        <v>0.97385854420363571</v>
      </c>
      <c r="FZ362" s="214">
        <v>1.0283038859039446</v>
      </c>
      <c r="GA362" s="213">
        <v>3.5363263460273355E-3</v>
      </c>
      <c r="GB362" s="246">
        <v>43953</v>
      </c>
      <c r="GC362" s="26" t="s">
        <v>3775</v>
      </c>
      <c r="GD362" s="214">
        <v>35499.211437670434</v>
      </c>
      <c r="GE362" s="214">
        <v>17548</v>
      </c>
      <c r="GF362" s="73" t="s">
        <v>3776</v>
      </c>
      <c r="GG362" s="156">
        <v>43953</v>
      </c>
      <c r="GH362" s="26">
        <v>102</v>
      </c>
      <c r="GI362" s="26" t="s">
        <v>3777</v>
      </c>
      <c r="GJ362" s="25"/>
      <c r="GK362" s="62" t="s">
        <v>3778</v>
      </c>
      <c r="GM362" s="18" t="s">
        <v>3779</v>
      </c>
      <c r="GN362" s="11">
        <v>29996.581196581199</v>
      </c>
      <c r="GO362" s="156">
        <v>43932</v>
      </c>
      <c r="GP362" s="218">
        <v>22</v>
      </c>
      <c r="GQ362" s="156">
        <v>43929</v>
      </c>
      <c r="GR362" s="11">
        <v>85</v>
      </c>
      <c r="GS362" s="25"/>
      <c r="GT362" s="11">
        <v>21963.267287384893</v>
      </c>
      <c r="GU362" s="12">
        <v>2.4236945223594781E-2</v>
      </c>
      <c r="GV362" s="132">
        <v>43875</v>
      </c>
      <c r="GW362" s="133" t="s">
        <v>2398</v>
      </c>
      <c r="GX362" s="231">
        <v>1149.6893638559559</v>
      </c>
      <c r="GY362" s="102" t="s">
        <v>40</v>
      </c>
      <c r="GZ362" s="102" t="s">
        <v>40</v>
      </c>
      <c r="HA362" s="26" t="s">
        <v>3779</v>
      </c>
      <c r="HB362" s="102"/>
    </row>
    <row r="363" spans="14:210" x14ac:dyDescent="0.25">
      <c r="N363" s="25"/>
      <c r="FO363" s="263" t="s">
        <v>568</v>
      </c>
      <c r="FP363" s="251">
        <v>43918.901817129627</v>
      </c>
      <c r="FQ363" s="244">
        <v>43895</v>
      </c>
      <c r="FR363" s="26">
        <v>43896</v>
      </c>
      <c r="FS363" s="211">
        <v>8</v>
      </c>
      <c r="FT363" s="25">
        <v>7.8965808116934317</v>
      </c>
      <c r="FU363" s="71">
        <v>2.1112413508304076E-4</v>
      </c>
      <c r="FV363" s="74">
        <v>9.9999999979467598E-4</v>
      </c>
      <c r="FW363" s="212">
        <v>37402.549019739003</v>
      </c>
      <c r="FX363" s="212">
        <v>23308.402218300991</v>
      </c>
      <c r="FY363" s="212"/>
      <c r="FZ363" s="212">
        <v>7896.5806021906546</v>
      </c>
      <c r="GA363" s="213">
        <v>0.21112413508304076</v>
      </c>
      <c r="GB363" s="246">
        <v>43918</v>
      </c>
      <c r="GC363" s="160" t="s">
        <v>1384</v>
      </c>
      <c r="GD363" s="212">
        <v>84907</v>
      </c>
      <c r="GE363" s="212">
        <v>84907</v>
      </c>
      <c r="GF363" s="73" t="s">
        <v>1385</v>
      </c>
      <c r="GG363" s="156">
        <v>43918</v>
      </c>
      <c r="GH363" s="25">
        <v>24</v>
      </c>
      <c r="GI363" s="25" t="s">
        <v>1386</v>
      </c>
      <c r="GJ363" s="25"/>
      <c r="GK363" s="62" t="s">
        <v>1387</v>
      </c>
      <c r="GM363" s="62" t="s">
        <v>1388</v>
      </c>
      <c r="GN363" s="165">
        <v>84907</v>
      </c>
      <c r="GO363" s="156"/>
      <c r="GP363" s="218"/>
      <c r="GQ363" s="156"/>
      <c r="GR363" s="25"/>
      <c r="GS363" s="25"/>
      <c r="GT363" s="11"/>
      <c r="GU363" s="12"/>
      <c r="GV363" s="241"/>
      <c r="GW363" s="242"/>
      <c r="GX363" s="219"/>
      <c r="GY363" s="25"/>
      <c r="GZ363" s="25"/>
      <c r="HA363" s="25"/>
      <c r="HB363" s="25"/>
    </row>
    <row r="364" spans="14:210" x14ac:dyDescent="0.25">
      <c r="N364" s="25"/>
      <c r="FO364" s="263" t="s">
        <v>568</v>
      </c>
      <c r="FP364" s="251">
        <v>43919.381145833337</v>
      </c>
      <c r="FQ364" s="244">
        <v>43895</v>
      </c>
      <c r="FR364" s="26">
        <v>43896</v>
      </c>
      <c r="FS364" s="211">
        <v>8</v>
      </c>
      <c r="FT364" s="25">
        <v>0.17572814813528401</v>
      </c>
      <c r="FU364" s="71">
        <v>1.4307622730528226E-6</v>
      </c>
      <c r="FV364" s="74">
        <v>4312.3186611562223</v>
      </c>
      <c r="FW364" s="212">
        <v>122821.34596709223</v>
      </c>
      <c r="FX364" s="212">
        <v>1360.972499773467</v>
      </c>
      <c r="FY364" s="212"/>
      <c r="FZ364" s="212">
        <v>3.9319507348294602E-5</v>
      </c>
      <c r="GA364" s="213">
        <v>1.4307622730528227E-3</v>
      </c>
      <c r="GB364" s="246">
        <v>43918</v>
      </c>
      <c r="GC364" s="160" t="s">
        <v>1393</v>
      </c>
      <c r="GD364" s="212">
        <v>84907</v>
      </c>
      <c r="GE364" s="212">
        <v>84907</v>
      </c>
      <c r="GF364" s="73" t="s">
        <v>1394</v>
      </c>
      <c r="GG364" s="156">
        <v>43918</v>
      </c>
      <c r="GH364" s="25">
        <v>24</v>
      </c>
      <c r="GI364" s="25" t="s">
        <v>1395</v>
      </c>
      <c r="GJ364" s="25"/>
      <c r="GK364" s="62" t="s">
        <v>1396</v>
      </c>
      <c r="GM364" s="62" t="s">
        <v>1397</v>
      </c>
      <c r="GN364" s="165">
        <v>84907</v>
      </c>
      <c r="GO364" s="156"/>
      <c r="GP364" s="218"/>
      <c r="GQ364" s="156"/>
      <c r="GR364" s="25"/>
      <c r="GS364" s="25"/>
      <c r="GT364" s="11"/>
      <c r="GU364" s="12"/>
      <c r="GV364" s="241"/>
      <c r="GW364" s="242"/>
      <c r="GX364" s="219"/>
      <c r="GY364" s="25"/>
      <c r="GZ364" s="25"/>
      <c r="HA364" s="25"/>
      <c r="HB364" s="25"/>
    </row>
    <row r="365" spans="14:210" x14ac:dyDescent="0.25">
      <c r="N365" s="25"/>
      <c r="FO365" s="263" t="s">
        <v>568</v>
      </c>
      <c r="FP365" s="251">
        <v>43919.676226851851</v>
      </c>
      <c r="FQ365" s="244">
        <v>43895</v>
      </c>
      <c r="FR365" s="26">
        <v>43896</v>
      </c>
      <c r="FS365" s="211">
        <v>8</v>
      </c>
      <c r="FT365" s="25">
        <v>0.17613904662372426</v>
      </c>
      <c r="FU365" s="25">
        <v>1.4152545792065197E-6</v>
      </c>
      <c r="FV365" s="74">
        <v>4294.878961595794</v>
      </c>
      <c r="FW365" s="212">
        <v>124457.49988138447</v>
      </c>
      <c r="FX365" s="212">
        <v>1502.4054038860456</v>
      </c>
      <c r="FY365" s="212"/>
      <c r="FZ365" s="212">
        <v>3.9596156498669003E-5</v>
      </c>
      <c r="GA365" s="213">
        <v>1.4152545792065197E-3</v>
      </c>
      <c r="GB365" s="246">
        <v>43919</v>
      </c>
      <c r="GC365" s="26" t="s">
        <v>1405</v>
      </c>
      <c r="GD365" s="212">
        <v>91308</v>
      </c>
      <c r="GE365" s="212">
        <v>91308</v>
      </c>
      <c r="GF365" s="74" t="s">
        <v>1406</v>
      </c>
      <c r="GG365" s="156">
        <v>43919</v>
      </c>
      <c r="GH365" s="25">
        <v>25</v>
      </c>
      <c r="GI365" s="25" t="s">
        <v>1407</v>
      </c>
      <c r="GJ365" s="25"/>
      <c r="GK365" s="62" t="s">
        <v>1408</v>
      </c>
      <c r="GM365" s="25" t="s">
        <v>1409</v>
      </c>
      <c r="GN365" s="165">
        <v>91308</v>
      </c>
      <c r="GO365" s="156"/>
      <c r="GP365" s="218"/>
      <c r="GQ365" s="156"/>
      <c r="GR365" s="25"/>
      <c r="GS365" s="25"/>
      <c r="GT365" s="11" t="s">
        <v>1016</v>
      </c>
      <c r="GU365" s="12"/>
      <c r="GV365" s="241"/>
      <c r="GW365" s="242"/>
      <c r="GX365" s="219"/>
      <c r="GY365" s="25"/>
      <c r="GZ365" s="25"/>
      <c r="HA365" s="25"/>
      <c r="HB365" s="25"/>
    </row>
    <row r="366" spans="14:210" x14ac:dyDescent="0.25">
      <c r="N366" s="25"/>
      <c r="FO366" s="263" t="s">
        <v>568</v>
      </c>
      <c r="FP366" s="251">
        <v>43919.68340277778</v>
      </c>
      <c r="FQ366" s="244">
        <v>43895</v>
      </c>
      <c r="FR366" s="26">
        <v>43896</v>
      </c>
      <c r="FS366" s="211">
        <v>8</v>
      </c>
      <c r="FT366" s="25">
        <v>0.17613904662372426</v>
      </c>
      <c r="FU366" s="25">
        <v>1.4152545792065197E-6</v>
      </c>
      <c r="FV366" s="74">
        <v>4294.878961595794</v>
      </c>
      <c r="FW366" s="212">
        <v>124457.49988138447</v>
      </c>
      <c r="FX366" s="212">
        <v>1502.4054038860456</v>
      </c>
      <c r="FY366" s="212"/>
      <c r="FZ366" s="212">
        <v>3.9596156498669003E-5</v>
      </c>
      <c r="GA366" s="213">
        <v>1.4152545792065197E-3</v>
      </c>
      <c r="GB366" s="246">
        <v>43919</v>
      </c>
      <c r="GC366" s="26" t="s">
        <v>1405</v>
      </c>
      <c r="GD366" s="212">
        <v>91308</v>
      </c>
      <c r="GE366" s="212">
        <v>91308</v>
      </c>
      <c r="GF366" s="73" t="s">
        <v>1406</v>
      </c>
      <c r="GG366" s="156">
        <v>43919</v>
      </c>
      <c r="GH366" s="25">
        <v>25</v>
      </c>
      <c r="GI366" s="25" t="s">
        <v>1407</v>
      </c>
      <c r="GJ366" s="25"/>
      <c r="GK366" s="62" t="s">
        <v>1408</v>
      </c>
      <c r="GL366" s="62"/>
      <c r="GM366" s="25" t="s">
        <v>1409</v>
      </c>
      <c r="GN366" s="165">
        <v>91308</v>
      </c>
      <c r="GO366" s="156"/>
      <c r="GP366" s="218"/>
      <c r="GQ366" s="156"/>
      <c r="GR366" s="25"/>
      <c r="GS366" s="25"/>
      <c r="GT366" s="11"/>
      <c r="GU366" s="12"/>
      <c r="GV366" s="241"/>
      <c r="GW366" s="242"/>
      <c r="GX366" s="219"/>
      <c r="GY366" s="25"/>
      <c r="GZ366" s="25"/>
      <c r="HA366" s="25"/>
      <c r="HB366" s="25"/>
    </row>
    <row r="367" spans="14:210" x14ac:dyDescent="0.25">
      <c r="N367" s="25"/>
      <c r="FO367" s="263" t="s">
        <v>568</v>
      </c>
      <c r="FP367" s="251">
        <v>43921.586284722223</v>
      </c>
      <c r="FQ367" s="244">
        <v>43895</v>
      </c>
      <c r="FR367" s="160">
        <v>43896</v>
      </c>
      <c r="FS367" s="211">
        <v>8</v>
      </c>
      <c r="FT367" s="25">
        <v>0.17613538531757694</v>
      </c>
      <c r="FU367" s="73">
        <v>1.3895802972759197E-6</v>
      </c>
      <c r="FV367" s="74">
        <v>4294.8607397935975</v>
      </c>
      <c r="FW367" s="212">
        <v>126754.37732016353</v>
      </c>
      <c r="FX367" s="212">
        <v>1729.9600760989704</v>
      </c>
      <c r="FY367" s="212"/>
      <c r="FZ367" s="212">
        <v>3.9621152294263625E-5</v>
      </c>
      <c r="GA367" s="213">
        <v>1.3895802972759197E-3</v>
      </c>
      <c r="GB367" s="246">
        <v>43920</v>
      </c>
      <c r="GC367" s="26" t="s">
        <v>1509</v>
      </c>
      <c r="GD367" s="212">
        <v>97919</v>
      </c>
      <c r="GE367" s="212">
        <v>97919</v>
      </c>
      <c r="GF367" s="73" t="s">
        <v>1510</v>
      </c>
      <c r="GG367" s="156">
        <v>43920</v>
      </c>
      <c r="GH367" s="25">
        <v>26</v>
      </c>
      <c r="GI367" s="25" t="s">
        <v>1511</v>
      </c>
      <c r="GJ367" s="62"/>
      <c r="GK367" s="62" t="s">
        <v>1512</v>
      </c>
      <c r="GM367" s="25" t="s">
        <v>1513</v>
      </c>
      <c r="GN367" s="165">
        <v>97919</v>
      </c>
      <c r="GO367" s="156"/>
      <c r="GP367" s="218"/>
      <c r="GQ367" s="156"/>
      <c r="GR367" s="25"/>
      <c r="GS367" s="25"/>
      <c r="GT367" s="11"/>
      <c r="GU367" s="12"/>
      <c r="GV367" s="241"/>
      <c r="GW367" s="242"/>
      <c r="GX367" s="219"/>
      <c r="GY367" s="25"/>
      <c r="GZ367" s="25"/>
      <c r="HA367" s="25"/>
      <c r="HB367" s="25"/>
    </row>
    <row r="368" spans="14:210" x14ac:dyDescent="0.25">
      <c r="N368" s="25"/>
      <c r="FO368" s="267" t="s">
        <v>568</v>
      </c>
      <c r="FP368" s="251">
        <v>43921.607824074075</v>
      </c>
      <c r="FQ368" s="244">
        <v>43895</v>
      </c>
      <c r="FR368" s="26">
        <v>43896</v>
      </c>
      <c r="FS368" s="211">
        <v>8</v>
      </c>
      <c r="FT368" s="25">
        <v>0.17613538531757694</v>
      </c>
      <c r="FU368" s="73">
        <v>1.3895802972759197E-6</v>
      </c>
      <c r="FV368" s="74">
        <v>4294.8607397935975</v>
      </c>
      <c r="FW368" s="212">
        <v>126754.37732016353</v>
      </c>
      <c r="FX368" s="212">
        <v>1513.5818490688509</v>
      </c>
      <c r="FY368" s="212"/>
      <c r="FZ368" s="212">
        <v>3.9621152294263625E-5</v>
      </c>
      <c r="GA368" s="213">
        <v>1.3895802972759197E-3</v>
      </c>
      <c r="GB368" s="246">
        <v>43921</v>
      </c>
      <c r="GC368" s="26" t="s">
        <v>1509</v>
      </c>
      <c r="GD368" s="212">
        <v>97919</v>
      </c>
      <c r="GE368" s="212">
        <v>97919</v>
      </c>
      <c r="GF368" s="73" t="s">
        <v>1510</v>
      </c>
      <c r="GG368" s="156">
        <v>43921</v>
      </c>
      <c r="GH368" s="25">
        <v>27</v>
      </c>
      <c r="GI368" s="25" t="s">
        <v>1516</v>
      </c>
      <c r="GJ368" s="62"/>
      <c r="GK368" s="62" t="s">
        <v>1512</v>
      </c>
      <c r="GM368" s="25" t="s">
        <v>1517</v>
      </c>
      <c r="GN368" s="165">
        <v>97919</v>
      </c>
      <c r="GO368" s="156"/>
      <c r="GP368" s="218"/>
      <c r="GQ368" s="156"/>
      <c r="GR368" s="25"/>
      <c r="GS368" s="25"/>
      <c r="GT368" s="11"/>
      <c r="GU368" s="12"/>
      <c r="GV368" s="241"/>
      <c r="GW368" s="242"/>
      <c r="GX368" s="219"/>
      <c r="GY368" s="25"/>
      <c r="GZ368" s="25"/>
      <c r="HA368" s="25"/>
      <c r="HB368" s="25"/>
    </row>
    <row r="369" spans="14:210" x14ac:dyDescent="0.25">
      <c r="N369" s="25"/>
      <c r="FO369" s="263" t="s">
        <v>568</v>
      </c>
      <c r="FP369" s="251">
        <v>43922.850104166668</v>
      </c>
      <c r="FQ369" s="244">
        <v>43895</v>
      </c>
      <c r="FR369" s="26">
        <v>43896</v>
      </c>
      <c r="FS369" s="211">
        <v>8</v>
      </c>
      <c r="FT369" s="72">
        <v>0.17613538531757694</v>
      </c>
      <c r="FU369" s="74">
        <v>1.3895802972759197E-6</v>
      </c>
      <c r="FV369" s="74">
        <v>4294.8607397935975</v>
      </c>
      <c r="FW369" s="212">
        <v>126754.37732016353</v>
      </c>
      <c r="FX369" s="212">
        <v>1515.8766081902991</v>
      </c>
      <c r="FY369" s="214"/>
      <c r="FZ369" s="212">
        <v>3.9621152294263625E-5</v>
      </c>
      <c r="GA369" s="213">
        <v>1.3895802972759197E-3</v>
      </c>
      <c r="GB369" s="246">
        <v>43922</v>
      </c>
      <c r="GC369" s="26" t="s">
        <v>1509</v>
      </c>
      <c r="GD369" s="214">
        <v>103361</v>
      </c>
      <c r="GE369" s="214">
        <v>103361</v>
      </c>
      <c r="GF369" s="73" t="s">
        <v>1510</v>
      </c>
      <c r="GG369" s="156">
        <v>43922</v>
      </c>
      <c r="GH369" s="25">
        <v>28</v>
      </c>
      <c r="GI369" s="25" t="s">
        <v>1569</v>
      </c>
      <c r="GJ369" s="62"/>
      <c r="GK369" s="62" t="s">
        <v>1512</v>
      </c>
      <c r="GM369" s="25" t="s">
        <v>1570</v>
      </c>
      <c r="GN369" s="165">
        <v>103361</v>
      </c>
      <c r="GO369" s="156"/>
      <c r="GP369" s="218"/>
      <c r="GQ369" s="156"/>
      <c r="GR369" s="25"/>
      <c r="GS369" s="25"/>
      <c r="GT369" s="11"/>
      <c r="GU369" s="12"/>
      <c r="GV369" s="241"/>
      <c r="GW369" s="242"/>
      <c r="GX369" s="219"/>
      <c r="GY369" s="25"/>
      <c r="GZ369" s="25"/>
      <c r="HA369" s="25"/>
      <c r="HB369" s="102"/>
    </row>
    <row r="370" spans="14:210" x14ac:dyDescent="0.25">
      <c r="N370" s="25"/>
      <c r="FO370" s="263" t="s">
        <v>568</v>
      </c>
      <c r="FP370" s="251">
        <v>43923.54346064815</v>
      </c>
      <c r="FQ370" s="244">
        <v>43895</v>
      </c>
      <c r="FR370" s="26">
        <v>43896</v>
      </c>
      <c r="FS370" s="211">
        <v>8</v>
      </c>
      <c r="FT370" s="72">
        <v>0.17613538531757658</v>
      </c>
      <c r="FU370" s="74">
        <v>1.3843601967426082E-6</v>
      </c>
      <c r="FV370" s="74">
        <v>4294.8607397935921</v>
      </c>
      <c r="FW370" s="212">
        <v>127232.33861535614</v>
      </c>
      <c r="FX370" s="214">
        <v>1594.0108269600785</v>
      </c>
      <c r="FY370" s="214"/>
      <c r="FZ370" s="212">
        <v>3.9626372394796907E-5</v>
      </c>
      <c r="GA370" s="213">
        <v>1.3843601967426082E-3</v>
      </c>
      <c r="GB370" s="246">
        <v>43923</v>
      </c>
      <c r="GC370" s="26" t="s">
        <v>1509</v>
      </c>
      <c r="GD370" s="214">
        <v>108239</v>
      </c>
      <c r="GE370" s="214">
        <v>108239</v>
      </c>
      <c r="GF370" s="73" t="s">
        <v>1510</v>
      </c>
      <c r="GG370" s="156">
        <v>43923</v>
      </c>
      <c r="GH370" s="25">
        <v>29</v>
      </c>
      <c r="GI370" s="25" t="s">
        <v>1587</v>
      </c>
      <c r="GJ370" s="62"/>
      <c r="GK370" s="62" t="s">
        <v>1512</v>
      </c>
      <c r="GM370" s="25" t="s">
        <v>1588</v>
      </c>
      <c r="GN370" s="165">
        <v>108239</v>
      </c>
      <c r="GO370" s="156"/>
      <c r="GP370" s="218"/>
      <c r="GQ370" s="156"/>
      <c r="GR370" s="25"/>
      <c r="GS370" s="25"/>
      <c r="GT370" s="11"/>
      <c r="GU370" s="12"/>
      <c r="GV370" s="241"/>
      <c r="GW370" s="242"/>
      <c r="GX370" s="219"/>
      <c r="GY370" s="25"/>
      <c r="GZ370" s="25"/>
      <c r="HA370" s="25"/>
      <c r="HB370" s="102"/>
    </row>
    <row r="371" spans="14:210" x14ac:dyDescent="0.25">
      <c r="N371" s="25"/>
      <c r="FO371" s="263" t="s">
        <v>568</v>
      </c>
      <c r="FP371" s="251">
        <v>43923.637685185182</v>
      </c>
      <c r="FQ371" s="244">
        <v>43895</v>
      </c>
      <c r="FR371" s="26">
        <v>43896</v>
      </c>
      <c r="FS371" s="211">
        <v>8</v>
      </c>
      <c r="FT371" s="72">
        <v>0.17613538531757658</v>
      </c>
      <c r="FU371" s="74">
        <v>1.3843601967426082E-6</v>
      </c>
      <c r="FV371" s="74">
        <v>4294.8607397935921</v>
      </c>
      <c r="FW371" s="212">
        <v>127232.33861535614</v>
      </c>
      <c r="FX371" s="214">
        <v>1594.0108269600785</v>
      </c>
      <c r="FY371" s="212">
        <v>0.99762921779286595</v>
      </c>
      <c r="FZ371" s="212">
        <v>3.9626372394796907E-5</v>
      </c>
      <c r="GA371" s="213">
        <v>1.3843601967426082E-3</v>
      </c>
      <c r="GB371" s="246">
        <v>43923</v>
      </c>
      <c r="GC371" s="26" t="s">
        <v>1509</v>
      </c>
      <c r="GD371" s="214">
        <v>108239</v>
      </c>
      <c r="GE371" s="214">
        <v>108239</v>
      </c>
      <c r="GF371" s="73" t="s">
        <v>1510</v>
      </c>
      <c r="GG371" s="156">
        <v>43923</v>
      </c>
      <c r="GH371" s="25">
        <v>29</v>
      </c>
      <c r="GI371" s="62" t="s">
        <v>1600</v>
      </c>
      <c r="GJ371" s="62"/>
      <c r="GK371" s="62" t="s">
        <v>1512</v>
      </c>
      <c r="GM371" s="25" t="s">
        <v>1624</v>
      </c>
      <c r="GN371" s="165">
        <v>108239</v>
      </c>
      <c r="GO371" s="156"/>
      <c r="GP371" s="218"/>
      <c r="GQ371" s="156"/>
      <c r="GR371" s="25"/>
      <c r="GS371" s="25"/>
      <c r="GT371" s="11"/>
      <c r="GU371" s="12"/>
      <c r="GV371" s="241"/>
      <c r="GW371" s="242"/>
      <c r="GX371" s="219"/>
      <c r="GY371" s="25"/>
      <c r="GZ371" s="25"/>
      <c r="HA371" s="25"/>
      <c r="HB371" s="102"/>
    </row>
    <row r="372" spans="14:210" x14ac:dyDescent="0.25">
      <c r="N372" s="25"/>
      <c r="FO372" s="267" t="s">
        <v>568</v>
      </c>
      <c r="FP372" s="251">
        <v>43924.886400462965</v>
      </c>
      <c r="FQ372" s="244">
        <v>43895</v>
      </c>
      <c r="FR372" s="160">
        <v>43896</v>
      </c>
      <c r="FS372" s="211">
        <v>8</v>
      </c>
      <c r="FT372" s="72">
        <v>0.17613538531757639</v>
      </c>
      <c r="FU372" s="74">
        <v>1.3748094042283806E-6</v>
      </c>
      <c r="FV372" s="74">
        <v>4294.860739793583</v>
      </c>
      <c r="FW372" s="212">
        <v>128116.22089276684</v>
      </c>
      <c r="FX372" s="212">
        <v>1680.3572466172877</v>
      </c>
      <c r="FY372" s="212">
        <v>0.99759339518231815</v>
      </c>
      <c r="FZ372" s="212">
        <v>3.9635923187311179E-5</v>
      </c>
      <c r="GA372" s="213">
        <v>1.3748094042283806E-3</v>
      </c>
      <c r="GB372" s="246">
        <v>43924</v>
      </c>
      <c r="GC372" s="160" t="s">
        <v>1636</v>
      </c>
      <c r="GD372" s="212">
        <v>112066</v>
      </c>
      <c r="GE372" s="212">
        <v>112066</v>
      </c>
      <c r="GF372" s="74" t="s">
        <v>1637</v>
      </c>
      <c r="GG372" s="156">
        <v>43924</v>
      </c>
      <c r="GH372" s="25">
        <v>30</v>
      </c>
      <c r="GI372" s="21" t="s">
        <v>1638</v>
      </c>
      <c r="GJ372" s="161"/>
      <c r="GK372" s="161" t="s">
        <v>1639</v>
      </c>
      <c r="GL372" s="23"/>
      <c r="GM372" s="23" t="s">
        <v>1640</v>
      </c>
      <c r="GN372" s="165">
        <v>112066</v>
      </c>
      <c r="GO372" s="156"/>
      <c r="GP372" s="218"/>
      <c r="GQ372" s="156"/>
      <c r="GR372" s="25"/>
      <c r="GS372" s="23"/>
      <c r="GT372" s="11"/>
      <c r="GU372" s="12"/>
      <c r="GV372" s="160"/>
      <c r="GW372" s="242"/>
      <c r="GX372" s="219"/>
      <c r="GY372" s="25"/>
      <c r="GZ372" s="25"/>
      <c r="HA372" s="25"/>
      <c r="HB372" s="102"/>
    </row>
    <row r="373" spans="14:210" x14ac:dyDescent="0.25">
      <c r="N373" s="25"/>
      <c r="FO373" s="265" t="s">
        <v>568</v>
      </c>
      <c r="FP373" s="251">
        <v>43925.970972222225</v>
      </c>
      <c r="FQ373" s="244">
        <v>43895</v>
      </c>
      <c r="FR373" s="26">
        <v>43896</v>
      </c>
      <c r="FS373" s="211">
        <v>8</v>
      </c>
      <c r="FT373" s="25">
        <v>0.17613538531757586</v>
      </c>
      <c r="FU373" s="25">
        <v>1.3670329327419839E-6</v>
      </c>
      <c r="FV373" s="61">
        <v>4294.8607397935739</v>
      </c>
      <c r="FW373" s="212">
        <v>128845.01982281062</v>
      </c>
      <c r="FX373" s="212">
        <v>1745.1534790567543</v>
      </c>
      <c r="FY373" s="212">
        <v>0.99760458929388751</v>
      </c>
      <c r="FZ373" s="212">
        <v>3.9643699658797539E-5</v>
      </c>
      <c r="GA373" s="213">
        <v>1.3670329327419839E-3</v>
      </c>
      <c r="GB373" s="246">
        <v>43925</v>
      </c>
      <c r="GC373" s="26" t="s">
        <v>1710</v>
      </c>
      <c r="GD373" s="214">
        <v>115140</v>
      </c>
      <c r="GE373" s="212">
        <v>115140</v>
      </c>
      <c r="GF373" s="74" t="s">
        <v>1637</v>
      </c>
      <c r="GG373" s="156">
        <v>43925</v>
      </c>
      <c r="GH373" s="25">
        <v>31</v>
      </c>
      <c r="GI373" s="25" t="s">
        <v>1711</v>
      </c>
      <c r="GJ373" s="25"/>
      <c r="GK373" s="25" t="s">
        <v>1639</v>
      </c>
      <c r="GM373" s="25" t="s">
        <v>1712</v>
      </c>
      <c r="GN373" s="165">
        <v>115140</v>
      </c>
      <c r="GO373" s="156"/>
      <c r="GP373" s="218"/>
      <c r="GQ373" s="156"/>
      <c r="GR373" s="25"/>
      <c r="GS373" s="25"/>
      <c r="GT373" s="11"/>
      <c r="GU373" s="12"/>
      <c r="GV373" s="160"/>
      <c r="GW373" s="242"/>
      <c r="GX373" s="219"/>
      <c r="GY373" s="25"/>
      <c r="GZ373" s="25"/>
      <c r="HA373" s="25"/>
      <c r="HB373" s="25"/>
    </row>
    <row r="374" spans="14:210" x14ac:dyDescent="0.25">
      <c r="N374" s="25"/>
      <c r="FO374" s="267" t="s">
        <v>568</v>
      </c>
      <c r="FP374" s="251">
        <v>43927.804988425924</v>
      </c>
      <c r="FQ374" s="244">
        <v>43895</v>
      </c>
      <c r="FR374" s="160">
        <v>43896</v>
      </c>
      <c r="FS374" s="211">
        <v>8</v>
      </c>
      <c r="FT374" s="72">
        <v>0.17613538531757522</v>
      </c>
      <c r="FU374" s="72">
        <v>1.3585744330502383E-6</v>
      </c>
      <c r="FV374" s="74">
        <v>4294.860739793563</v>
      </c>
      <c r="FW374" s="212">
        <v>129647.21036455863</v>
      </c>
      <c r="FX374" s="212">
        <v>1849.765872255236</v>
      </c>
      <c r="FY374" s="212">
        <v>0.99750144449782119</v>
      </c>
      <c r="FZ374" s="212">
        <v>3.9652158158489241E-5</v>
      </c>
      <c r="GA374" s="216">
        <v>1.3585744330502382E-3</v>
      </c>
      <c r="GB374" s="257">
        <v>43926</v>
      </c>
      <c r="GC374" s="160" t="s">
        <v>1948</v>
      </c>
      <c r="GD374" s="212">
        <v>118863</v>
      </c>
      <c r="GE374" s="212">
        <v>118863</v>
      </c>
      <c r="GF374" s="74" t="s">
        <v>1949</v>
      </c>
      <c r="GG374" s="156">
        <v>43926</v>
      </c>
      <c r="GH374" s="25">
        <v>32</v>
      </c>
      <c r="GI374" s="23" t="s">
        <v>1950</v>
      </c>
      <c r="GJ374" s="21"/>
      <c r="GK374" s="161" t="s">
        <v>1951</v>
      </c>
      <c r="GL374" s="23"/>
      <c r="GM374" s="23" t="s">
        <v>1952</v>
      </c>
      <c r="GN374" s="165">
        <v>118863</v>
      </c>
      <c r="GO374" s="156"/>
      <c r="GP374" s="218"/>
      <c r="GQ374" s="243"/>
      <c r="GR374" s="23"/>
      <c r="GS374" s="23"/>
      <c r="GT374" s="11"/>
      <c r="GU374" s="34"/>
      <c r="GV374" s="160"/>
      <c r="GW374" s="260"/>
      <c r="GX374" s="219"/>
      <c r="GY374" s="25"/>
      <c r="GZ374" s="25"/>
      <c r="HA374" s="25"/>
      <c r="HB374" s="25"/>
    </row>
    <row r="375" spans="14:210" x14ac:dyDescent="0.25">
      <c r="N375" s="25"/>
      <c r="FO375" s="263" t="s">
        <v>568</v>
      </c>
      <c r="FP375" s="251">
        <v>43928.749594907407</v>
      </c>
      <c r="FQ375" s="244">
        <v>43895</v>
      </c>
      <c r="FR375" s="26">
        <v>43896</v>
      </c>
      <c r="FS375" s="211">
        <v>8</v>
      </c>
      <c r="FT375" s="72">
        <v>0.17613538531757458</v>
      </c>
      <c r="FU375" s="72">
        <v>1.3476843843276327E-6</v>
      </c>
      <c r="FV375" s="74">
        <v>4294.8607397935493</v>
      </c>
      <c r="FW375" s="212">
        <v>130694.83283020269</v>
      </c>
      <c r="FX375" s="214">
        <v>2071.7387537503209</v>
      </c>
      <c r="FY375" s="214">
        <v>0.9970826815775371</v>
      </c>
      <c r="FZ375" s="212">
        <v>3.9663048207211826E-5</v>
      </c>
      <c r="GA375" s="213">
        <v>1.3476843843276327E-3</v>
      </c>
      <c r="GB375" s="246">
        <v>43927</v>
      </c>
      <c r="GC375" s="26" t="s">
        <v>1997</v>
      </c>
      <c r="GD375" s="214">
        <v>123460</v>
      </c>
      <c r="GE375" s="214">
        <v>123460</v>
      </c>
      <c r="GF375" s="73" t="s">
        <v>1025</v>
      </c>
      <c r="GG375" s="156">
        <v>43927</v>
      </c>
      <c r="GH375" s="25">
        <v>33</v>
      </c>
      <c r="GI375" s="25" t="s">
        <v>1998</v>
      </c>
      <c r="GK375" s="62" t="s">
        <v>1999</v>
      </c>
      <c r="GM375" s="25" t="s">
        <v>2000</v>
      </c>
      <c r="GN375" s="165">
        <v>123460</v>
      </c>
      <c r="GO375" s="156"/>
      <c r="GP375" s="218"/>
      <c r="GQ375" s="156"/>
      <c r="GR375" s="25"/>
      <c r="GS375" s="25"/>
      <c r="GT375" s="11">
        <v>2810.245407927302</v>
      </c>
      <c r="GU375" s="12">
        <v>1.6780647608539777E-2</v>
      </c>
      <c r="GV375" s="241">
        <v>43896</v>
      </c>
      <c r="GW375" s="242" t="s">
        <v>1996</v>
      </c>
      <c r="GX375" s="219">
        <v>1842.5492395553738</v>
      </c>
      <c r="GY375" s="25" t="s">
        <v>568</v>
      </c>
      <c r="GZ375" s="25"/>
      <c r="HA375" s="25"/>
      <c r="HB375" s="25"/>
    </row>
    <row r="376" spans="14:210" x14ac:dyDescent="0.25">
      <c r="N376" s="25"/>
      <c r="FO376" s="267" t="s">
        <v>568</v>
      </c>
      <c r="FP376" s="251">
        <v>43930.812662037039</v>
      </c>
      <c r="FQ376" s="244">
        <v>43895</v>
      </c>
      <c r="FR376" s="160">
        <v>43896</v>
      </c>
      <c r="FS376" s="211">
        <v>8</v>
      </c>
      <c r="FT376" s="72">
        <v>0.17613538531757536</v>
      </c>
      <c r="FU376" s="72">
        <v>1.3266268314475135E-6</v>
      </c>
      <c r="FV376" s="74">
        <v>4294.8607397935284</v>
      </c>
      <c r="FW376" s="212">
        <v>132769.35242248187</v>
      </c>
      <c r="FX376" s="212">
        <v>2560.0687193894005</v>
      </c>
      <c r="FY376" s="212">
        <v>0.99607400975687854</v>
      </c>
      <c r="FZ376" s="212">
        <v>3.9684105760092329E-5</v>
      </c>
      <c r="GA376" s="213">
        <v>1.3266268314475135E-3</v>
      </c>
      <c r="GB376" s="246">
        <v>43929</v>
      </c>
      <c r="GC376" s="160" t="s">
        <v>2051</v>
      </c>
      <c r="GD376" s="212">
        <v>130224</v>
      </c>
      <c r="GE376" s="212">
        <v>130224</v>
      </c>
      <c r="GF376" s="74" t="s">
        <v>840</v>
      </c>
      <c r="GG376" s="156">
        <v>43929</v>
      </c>
      <c r="GH376" s="25">
        <v>35</v>
      </c>
      <c r="GI376" s="23" t="s">
        <v>2052</v>
      </c>
      <c r="GJ376" s="21"/>
      <c r="GK376" s="161" t="s">
        <v>2053</v>
      </c>
      <c r="GL376" s="23"/>
      <c r="GM376" s="23" t="s">
        <v>2054</v>
      </c>
      <c r="GN376" s="23">
        <v>130224</v>
      </c>
      <c r="GO376" s="243"/>
      <c r="GP376" s="218"/>
      <c r="GQ376" s="243"/>
      <c r="GR376" s="23"/>
      <c r="GS376" s="23"/>
      <c r="GT376" s="11">
        <v>2806.5119453888437</v>
      </c>
      <c r="GU376" s="34">
        <v>1.9658962398554802E-2</v>
      </c>
      <c r="GV376" s="241">
        <v>43896</v>
      </c>
      <c r="GW376" s="242" t="s">
        <v>1996</v>
      </c>
      <c r="GX376" s="220">
        <v>1407.3898274713865</v>
      </c>
      <c r="GY376" s="23" t="s">
        <v>568</v>
      </c>
      <c r="GZ376" s="23"/>
      <c r="HA376" s="25"/>
      <c r="HB376" s="25"/>
    </row>
    <row r="377" spans="14:210" x14ac:dyDescent="0.25">
      <c r="N377" s="25"/>
      <c r="FO377" s="267" t="s">
        <v>568</v>
      </c>
      <c r="FP377" s="251">
        <v>43931.868680555555</v>
      </c>
      <c r="FQ377" s="244">
        <v>43895</v>
      </c>
      <c r="FR377" s="160">
        <v>43896</v>
      </c>
      <c r="FS377" s="211">
        <v>8</v>
      </c>
      <c r="FT377" s="72">
        <v>0.17613538531757536</v>
      </c>
      <c r="FU377" s="72">
        <v>1.3266268314475135E-6</v>
      </c>
      <c r="FV377" s="74">
        <v>4294.8607397935284</v>
      </c>
      <c r="FW377" s="212">
        <v>132769.35242248187</v>
      </c>
      <c r="FX377" s="212">
        <v>2560.0687193894005</v>
      </c>
      <c r="FY377" s="212">
        <v>0.99607400975687854</v>
      </c>
      <c r="FZ377" s="212">
        <v>3.9684105760092329E-5</v>
      </c>
      <c r="GA377" s="213">
        <v>1.3266268314475135E-3</v>
      </c>
      <c r="GB377" s="246">
        <v>43929</v>
      </c>
      <c r="GC377" s="160" t="s">
        <v>2051</v>
      </c>
      <c r="GD377" s="212">
        <v>130224</v>
      </c>
      <c r="GE377" s="212">
        <v>130224</v>
      </c>
      <c r="GF377" s="74" t="s">
        <v>840</v>
      </c>
      <c r="GG377" s="243">
        <v>43929</v>
      </c>
      <c r="GH377" s="160">
        <v>35</v>
      </c>
      <c r="GI377" s="23" t="s">
        <v>2111</v>
      </c>
      <c r="GJ377" s="21"/>
      <c r="GK377" s="161" t="s">
        <v>2053</v>
      </c>
      <c r="GL377" s="23"/>
      <c r="GM377" s="23" t="s">
        <v>2112</v>
      </c>
      <c r="GN377" s="23">
        <v>130224</v>
      </c>
      <c r="GO377" s="243"/>
      <c r="GP377" s="218"/>
      <c r="GQ377" s="243"/>
      <c r="GR377" s="23"/>
      <c r="GS377" s="23"/>
      <c r="GT377" s="11">
        <v>129396.43963465285</v>
      </c>
      <c r="GU377" s="34">
        <v>1.9658962398554802E-2</v>
      </c>
      <c r="GV377" s="241">
        <v>43896</v>
      </c>
      <c r="GW377" s="242" t="s">
        <v>1996</v>
      </c>
      <c r="GX377" s="220">
        <v>1407.3898274713865</v>
      </c>
      <c r="GY377" s="23" t="s">
        <v>568</v>
      </c>
      <c r="GZ377" s="23"/>
      <c r="HA377" s="25"/>
      <c r="HB377" s="25"/>
    </row>
    <row r="378" spans="14:210" x14ac:dyDescent="0.25">
      <c r="N378" s="25"/>
      <c r="FO378" s="267" t="s">
        <v>568</v>
      </c>
      <c r="FP378" s="251">
        <v>43933.908414351848</v>
      </c>
      <c r="FQ378" s="244">
        <v>43895</v>
      </c>
      <c r="FR378" s="160">
        <v>43896</v>
      </c>
      <c r="FS378" s="211">
        <v>8</v>
      </c>
      <c r="FT378" s="72">
        <v>0.17613538531757911</v>
      </c>
      <c r="FU378" s="72">
        <v>1.2886952894381903E-6</v>
      </c>
      <c r="FV378" s="74">
        <v>4294.8607397934993</v>
      </c>
      <c r="FW378" s="212">
        <v>136677.29428448965</v>
      </c>
      <c r="FX378" s="212">
        <v>3652.4847204083208</v>
      </c>
      <c r="FY378" s="212">
        <v>0.99321847764260229</v>
      </c>
      <c r="FZ378" s="212">
        <v>3.9722037302102796E-5</v>
      </c>
      <c r="GA378" s="213">
        <v>1.2886952894381903E-3</v>
      </c>
      <c r="GB378" s="246">
        <v>43932</v>
      </c>
      <c r="GC378" s="160" t="s">
        <v>1044</v>
      </c>
      <c r="GD378" s="212">
        <v>138923</v>
      </c>
      <c r="GE378" s="212">
        <v>138923</v>
      </c>
      <c r="GF378" s="74" t="s">
        <v>1045</v>
      </c>
      <c r="GG378" s="243">
        <v>43932</v>
      </c>
      <c r="GH378" s="160">
        <v>38</v>
      </c>
      <c r="GI378" s="23" t="s">
        <v>2247</v>
      </c>
      <c r="GJ378" s="21"/>
      <c r="GK378" s="161" t="s">
        <v>2248</v>
      </c>
      <c r="GL378" s="23"/>
      <c r="GM378" s="23" t="s">
        <v>2249</v>
      </c>
      <c r="GN378" s="23">
        <v>138923</v>
      </c>
      <c r="GO378" s="243"/>
      <c r="GP378" s="218"/>
      <c r="GQ378" s="243"/>
      <c r="GR378" s="23"/>
      <c r="GS378" s="23"/>
      <c r="GT378" s="11">
        <v>134886.33509922947</v>
      </c>
      <c r="GU378" s="34">
        <v>2.6291432811041519E-2</v>
      </c>
      <c r="GV378" s="241">
        <v>43896</v>
      </c>
      <c r="GW378" s="242" t="s">
        <v>1996</v>
      </c>
      <c r="GX378" s="220">
        <v>926.41673977384926</v>
      </c>
      <c r="GY378" s="23" t="s">
        <v>568</v>
      </c>
      <c r="GZ378" s="23"/>
      <c r="HA378" s="25"/>
      <c r="HB378" s="25"/>
    </row>
    <row r="379" spans="14:210" x14ac:dyDescent="0.25">
      <c r="N379" s="25"/>
      <c r="FO379" s="267" t="s">
        <v>568</v>
      </c>
      <c r="FP379" s="251">
        <v>43933.917696759258</v>
      </c>
      <c r="FQ379" s="244">
        <v>43895</v>
      </c>
      <c r="FR379" s="160">
        <v>43896</v>
      </c>
      <c r="FS379" s="211">
        <v>8</v>
      </c>
      <c r="FT379" s="72">
        <v>0.17613538531757911</v>
      </c>
      <c r="FU379" s="72">
        <v>1.2886952894381903E-6</v>
      </c>
      <c r="FV379" s="74">
        <v>4294.8607397934993</v>
      </c>
      <c r="FW379" s="212">
        <v>136677.29428448965</v>
      </c>
      <c r="FX379" s="212">
        <v>3652.4847204083208</v>
      </c>
      <c r="FY379" s="212">
        <v>0.99321847764260229</v>
      </c>
      <c r="FZ379" s="212">
        <v>3.9722037302102796E-5</v>
      </c>
      <c r="GA379" s="213">
        <v>1.2886952894381903E-3</v>
      </c>
      <c r="GB379" s="246">
        <v>43932</v>
      </c>
      <c r="GC379" s="160" t="s">
        <v>1044</v>
      </c>
      <c r="GD379" s="212">
        <v>138923</v>
      </c>
      <c r="GE379" s="212">
        <v>138923</v>
      </c>
      <c r="GF379" s="74" t="s">
        <v>1045</v>
      </c>
      <c r="GG379" s="243">
        <v>43932</v>
      </c>
      <c r="GH379" s="160">
        <v>38</v>
      </c>
      <c r="GI379" s="23" t="s">
        <v>2284</v>
      </c>
      <c r="GJ379" s="21"/>
      <c r="GK379" s="161" t="s">
        <v>2248</v>
      </c>
      <c r="GL379" s="23"/>
      <c r="GM379" s="23" t="s">
        <v>2285</v>
      </c>
      <c r="GN379" s="23">
        <v>138923</v>
      </c>
      <c r="GO379" s="243"/>
      <c r="GP379" s="218"/>
      <c r="GQ379" s="243"/>
      <c r="GR379" s="23"/>
      <c r="GS379" s="23"/>
      <c r="GT379" s="11">
        <v>134886.33509922947</v>
      </c>
      <c r="GU379" s="34">
        <v>2.6291432811041519E-2</v>
      </c>
      <c r="GV379" s="241">
        <v>43896</v>
      </c>
      <c r="GW379" s="242" t="s">
        <v>1996</v>
      </c>
      <c r="GX379" s="220">
        <v>926.41673977384926</v>
      </c>
      <c r="GY379" s="23" t="s">
        <v>568</v>
      </c>
      <c r="GZ379" s="23"/>
      <c r="HA379" s="25"/>
      <c r="HB379" s="25"/>
    </row>
    <row r="380" spans="14:210" x14ac:dyDescent="0.25">
      <c r="N380" s="25"/>
      <c r="FO380" s="267" t="s">
        <v>568</v>
      </c>
      <c r="FP380" s="251">
        <v>43933.921597222223</v>
      </c>
      <c r="FQ380" s="244">
        <v>43895</v>
      </c>
      <c r="FR380" s="160">
        <v>43896</v>
      </c>
      <c r="FS380" s="211">
        <v>8</v>
      </c>
      <c r="FT380" s="72">
        <v>0.17613538531757911</v>
      </c>
      <c r="FU380" s="72">
        <v>1.2886952894381903E-6</v>
      </c>
      <c r="FV380" s="74">
        <v>4294.8607397934993</v>
      </c>
      <c r="FW380" s="212">
        <v>136677.29428448965</v>
      </c>
      <c r="FX380" s="212">
        <v>3652.4847204083208</v>
      </c>
      <c r="FY380" s="212">
        <v>0.99321847764260229</v>
      </c>
      <c r="FZ380" s="212">
        <v>3.9722037302102796E-5</v>
      </c>
      <c r="GA380" s="213">
        <v>1.2886952894381903E-3</v>
      </c>
      <c r="GB380" s="246">
        <v>43932</v>
      </c>
      <c r="GC380" s="160" t="s">
        <v>1044</v>
      </c>
      <c r="GD380" s="212">
        <v>138923</v>
      </c>
      <c r="GE380" s="212">
        <v>138923</v>
      </c>
      <c r="GF380" s="74" t="s">
        <v>1045</v>
      </c>
      <c r="GG380" s="243">
        <v>43932</v>
      </c>
      <c r="GH380" s="160">
        <v>38</v>
      </c>
      <c r="GI380" s="23" t="s">
        <v>2247</v>
      </c>
      <c r="GJ380" s="21"/>
      <c r="GK380" s="161" t="s">
        <v>2248</v>
      </c>
      <c r="GL380" s="23"/>
      <c r="GM380" s="23" t="s">
        <v>2249</v>
      </c>
      <c r="GN380" s="23">
        <v>138923</v>
      </c>
      <c r="GO380" s="243"/>
      <c r="GP380" s="218"/>
      <c r="GQ380" s="243"/>
      <c r="GR380" s="23"/>
      <c r="GS380" s="23"/>
      <c r="GT380" s="11">
        <v>134886.33509922947</v>
      </c>
      <c r="GU380" s="34">
        <v>2.6291432811041519E-2</v>
      </c>
      <c r="GV380" s="241">
        <v>43896</v>
      </c>
      <c r="GW380" s="242" t="s">
        <v>1996</v>
      </c>
      <c r="GX380" s="220">
        <v>926.41673977384926</v>
      </c>
      <c r="GY380" s="23" t="s">
        <v>568</v>
      </c>
      <c r="GZ380" s="23"/>
      <c r="HA380" s="25"/>
      <c r="HB380" s="25"/>
    </row>
    <row r="381" spans="14:210" x14ac:dyDescent="0.25">
      <c r="N381" s="25"/>
      <c r="FO381" s="263" t="s">
        <v>568</v>
      </c>
      <c r="FP381" s="252">
        <v>43934.704780092594</v>
      </c>
      <c r="FQ381" s="244">
        <v>43895</v>
      </c>
      <c r="FR381" s="160">
        <v>43896</v>
      </c>
      <c r="FS381" s="211">
        <v>8</v>
      </c>
      <c r="FT381" s="72">
        <v>0.17613538531757789</v>
      </c>
      <c r="FU381" s="72">
        <v>1.2823164127633679E-6</v>
      </c>
      <c r="FV381" s="74">
        <v>4294.8607397934884</v>
      </c>
      <c r="FW381" s="212">
        <v>137357.19481123184</v>
      </c>
      <c r="FX381" s="214">
        <v>3929.5257755964776</v>
      </c>
      <c r="FY381" s="214">
        <v>0.99249204236505273</v>
      </c>
      <c r="FZ381" s="212">
        <v>3.9728416178777445E-5</v>
      </c>
      <c r="GA381" s="213">
        <v>1.2823164127633679E-3</v>
      </c>
      <c r="GB381" s="246">
        <v>43933</v>
      </c>
      <c r="GC381" s="26" t="s">
        <v>1044</v>
      </c>
      <c r="GD381" s="214">
        <v>141517</v>
      </c>
      <c r="GE381" s="214">
        <v>141517</v>
      </c>
      <c r="GF381" s="73" t="s">
        <v>2344</v>
      </c>
      <c r="GG381" s="156">
        <v>43933</v>
      </c>
      <c r="GH381" s="26">
        <v>39</v>
      </c>
      <c r="GI381" s="25" t="s">
        <v>2345</v>
      </c>
      <c r="GK381" s="62" t="s">
        <v>2346</v>
      </c>
      <c r="GM381" s="25" t="s">
        <v>2347</v>
      </c>
      <c r="GN381" s="25">
        <v>141517</v>
      </c>
      <c r="GO381" s="156"/>
      <c r="GP381" s="218"/>
      <c r="GQ381" s="156"/>
      <c r="GR381" s="25"/>
      <c r="GS381" s="25"/>
      <c r="GT381" s="11">
        <v>135548.20433958233</v>
      </c>
      <c r="GU381" s="12">
        <v>2.7767164196502735E-2</v>
      </c>
      <c r="GV381" s="241">
        <v>43896</v>
      </c>
      <c r="GW381" s="242" t="s">
        <v>1996</v>
      </c>
      <c r="GX381" s="219">
        <v>794.6862937520782</v>
      </c>
      <c r="GY381" s="25" t="s">
        <v>568</v>
      </c>
      <c r="GZ381" s="25" t="s">
        <v>568</v>
      </c>
      <c r="HA381" s="25"/>
      <c r="HB381" s="25"/>
    </row>
    <row r="382" spans="14:210" x14ac:dyDescent="0.25">
      <c r="N382" s="25"/>
      <c r="FO382" s="263" t="s">
        <v>568</v>
      </c>
      <c r="FP382" s="252">
        <v>43934.880428240744</v>
      </c>
      <c r="FQ382" s="244">
        <v>43895</v>
      </c>
      <c r="FR382" s="160">
        <v>43896</v>
      </c>
      <c r="FS382" s="211">
        <v>8</v>
      </c>
      <c r="FT382" s="72">
        <v>0.17613538531757789</v>
      </c>
      <c r="FU382" s="72">
        <v>1.2823164127633679E-6</v>
      </c>
      <c r="FV382" s="74">
        <v>4294.8607397934884</v>
      </c>
      <c r="FW382" s="212">
        <v>137357.19481123184</v>
      </c>
      <c r="FX382" s="214">
        <v>3929.5257755964776</v>
      </c>
      <c r="FY382" s="214">
        <v>0.99249204236505273</v>
      </c>
      <c r="FZ382" s="212">
        <v>3.9728416178777445E-5</v>
      </c>
      <c r="GA382" s="213">
        <v>1.2823164127633679E-3</v>
      </c>
      <c r="GB382" s="246">
        <v>43933</v>
      </c>
      <c r="GC382" s="26" t="s">
        <v>1044</v>
      </c>
      <c r="GD382" s="214">
        <v>141517</v>
      </c>
      <c r="GE382" s="214">
        <v>141517</v>
      </c>
      <c r="GF382" s="73" t="s">
        <v>2344</v>
      </c>
      <c r="GG382" s="156">
        <v>43933</v>
      </c>
      <c r="GH382" s="26">
        <v>39</v>
      </c>
      <c r="GI382" s="25" t="s">
        <v>2345</v>
      </c>
      <c r="GK382" s="62" t="s">
        <v>2346</v>
      </c>
      <c r="GM382" s="25" t="s">
        <v>2347</v>
      </c>
      <c r="GN382" s="25">
        <v>141517</v>
      </c>
      <c r="GO382" s="156"/>
      <c r="GP382" s="218"/>
      <c r="GQ382" s="156"/>
      <c r="GR382" s="25"/>
      <c r="GS382" s="25"/>
      <c r="GT382" s="11">
        <v>135837.11519768168</v>
      </c>
      <c r="GU382" s="12">
        <v>2.7767164196502735E-2</v>
      </c>
      <c r="GV382" s="241">
        <v>43896</v>
      </c>
      <c r="GW382" s="242" t="s">
        <v>1996</v>
      </c>
      <c r="GX382" s="219">
        <v>794.6862937520782</v>
      </c>
      <c r="GY382" s="25" t="s">
        <v>568</v>
      </c>
      <c r="GZ382" s="25" t="s">
        <v>568</v>
      </c>
      <c r="HA382" s="25"/>
      <c r="HB382" s="102"/>
    </row>
    <row r="383" spans="14:210" x14ac:dyDescent="0.25">
      <c r="N383" s="25"/>
      <c r="FO383" s="263" t="s">
        <v>568</v>
      </c>
      <c r="FP383" s="251">
        <v>43935.630162037036</v>
      </c>
      <c r="FQ383" s="243">
        <v>43895</v>
      </c>
      <c r="FR383" s="26">
        <v>43896</v>
      </c>
      <c r="FS383" s="211">
        <v>8</v>
      </c>
      <c r="FT383" s="44">
        <v>0.17613538531757789</v>
      </c>
      <c r="FU383" s="71">
        <v>1.2823164127633679E-6</v>
      </c>
      <c r="FV383" s="73">
        <v>4294.8607397934884</v>
      </c>
      <c r="FW383" s="212">
        <v>137357.19481123184</v>
      </c>
      <c r="FX383" s="212">
        <v>3929.5257755964776</v>
      </c>
      <c r="FY383" s="212">
        <v>0.99249204236505273</v>
      </c>
      <c r="FZ383" s="214">
        <v>3.9728416178777445E-5</v>
      </c>
      <c r="GA383" s="213">
        <v>1.2823164127633679E-3</v>
      </c>
      <c r="GB383" s="246">
        <v>43933</v>
      </c>
      <c r="GC383" s="26" t="s">
        <v>1044</v>
      </c>
      <c r="GD383" s="214">
        <v>141517</v>
      </c>
      <c r="GE383" s="214">
        <v>141517</v>
      </c>
      <c r="GF383" s="73" t="s">
        <v>2344</v>
      </c>
      <c r="GG383" s="156">
        <v>43933</v>
      </c>
      <c r="GH383" s="26">
        <v>39</v>
      </c>
      <c r="GI383" s="26" t="s">
        <v>2345</v>
      </c>
      <c r="GJ383" s="25"/>
      <c r="GK383" s="62" t="s">
        <v>2346</v>
      </c>
      <c r="GM383" s="18" t="s">
        <v>2399</v>
      </c>
      <c r="GN383" s="11">
        <v>141517</v>
      </c>
      <c r="GO383" s="156"/>
      <c r="GP383" s="218"/>
      <c r="GQ383" s="156"/>
      <c r="GR383" s="11"/>
      <c r="GS383" s="25"/>
      <c r="GT383" s="11">
        <v>135837.11519768168</v>
      </c>
      <c r="GU383" s="12">
        <v>2.7767164196502735E-2</v>
      </c>
      <c r="GV383" s="132">
        <v>43896</v>
      </c>
      <c r="GW383" s="133" t="s">
        <v>1996</v>
      </c>
      <c r="GX383" s="231">
        <v>794.6862937520782</v>
      </c>
      <c r="GY383" s="102" t="s">
        <v>568</v>
      </c>
      <c r="GZ383" s="102" t="s">
        <v>568</v>
      </c>
      <c r="HA383" s="25"/>
      <c r="HB383" s="102"/>
    </row>
    <row r="384" spans="14:210" x14ac:dyDescent="0.25">
      <c r="N384" s="25"/>
      <c r="FO384" s="263" t="s">
        <v>568</v>
      </c>
      <c r="FP384" s="251">
        <v>43938.512812499997</v>
      </c>
      <c r="FQ384" s="243">
        <v>43895</v>
      </c>
      <c r="FR384" s="160">
        <v>43896</v>
      </c>
      <c r="FS384" s="211">
        <v>8</v>
      </c>
      <c r="FT384" s="44">
        <v>0.17613538531757705</v>
      </c>
      <c r="FU384" s="71">
        <v>1.2551367919392924E-6</v>
      </c>
      <c r="FV384" s="73">
        <v>4294.8607397934566</v>
      </c>
      <c r="FW384" s="212">
        <v>140331.62476691723</v>
      </c>
      <c r="FX384" s="212">
        <v>4636.5002059634608</v>
      </c>
      <c r="FY384" s="212">
        <v>0.99062568581124788</v>
      </c>
      <c r="FZ384" s="214">
        <v>3.9755595799601625E-5</v>
      </c>
      <c r="GA384" s="213">
        <v>1.2551367919392924E-3</v>
      </c>
      <c r="GB384" s="246">
        <v>43936</v>
      </c>
      <c r="GC384" s="26" t="s">
        <v>2469</v>
      </c>
      <c r="GD384" s="214">
        <v>147417</v>
      </c>
      <c r="GE384" s="214">
        <v>147417</v>
      </c>
      <c r="GF384" s="73" t="s">
        <v>2470</v>
      </c>
      <c r="GG384" s="156">
        <v>43936</v>
      </c>
      <c r="GH384" s="26">
        <v>42</v>
      </c>
      <c r="GI384" s="26" t="s">
        <v>2471</v>
      </c>
      <c r="GJ384" s="25"/>
      <c r="GK384" s="62" t="s">
        <v>2472</v>
      </c>
      <c r="GM384" s="18" t="s">
        <v>2473</v>
      </c>
      <c r="GN384" s="11">
        <v>147417</v>
      </c>
      <c r="GO384" s="156"/>
      <c r="GP384" s="218"/>
      <c r="GQ384" s="156"/>
      <c r="GR384" s="11"/>
      <c r="GS384" s="25"/>
      <c r="GT384" s="11">
        <v>139391.46568200085</v>
      </c>
      <c r="GU384" s="12">
        <v>3.145159788873373E-2</v>
      </c>
      <c r="GV384" s="132">
        <v>43896</v>
      </c>
      <c r="GW384" s="133" t="s">
        <v>1996</v>
      </c>
      <c r="GX384" s="231">
        <v>502.87495094639598</v>
      </c>
      <c r="GY384" s="102" t="s">
        <v>568</v>
      </c>
      <c r="GZ384" s="102" t="s">
        <v>568</v>
      </c>
      <c r="HA384" s="102" t="s">
        <v>2473</v>
      </c>
      <c r="HB384" s="102"/>
    </row>
    <row r="385" spans="171:210" x14ac:dyDescent="0.25">
      <c r="FO385" s="263" t="s">
        <v>568</v>
      </c>
      <c r="FP385" s="251">
        <v>43938.923819444448</v>
      </c>
      <c r="FQ385" s="243">
        <v>43895</v>
      </c>
      <c r="FR385" s="26">
        <v>43896</v>
      </c>
      <c r="FS385" s="211">
        <v>8</v>
      </c>
      <c r="FT385" s="44">
        <v>0.17613538531757564</v>
      </c>
      <c r="FU385" s="71">
        <v>1.2474765086766402E-6</v>
      </c>
      <c r="FV385" s="73">
        <v>4294.8607397934447</v>
      </c>
      <c r="FW385" s="212">
        <v>141193.34840575495</v>
      </c>
      <c r="FX385" s="212">
        <v>5091.0622532613334</v>
      </c>
      <c r="FY385" s="212">
        <v>0.98910007378050413</v>
      </c>
      <c r="FZ385" s="214">
        <v>3.976325608286406E-5</v>
      </c>
      <c r="GA385" s="213">
        <v>1.2474765086766403E-3</v>
      </c>
      <c r="GB385" s="246">
        <v>43937</v>
      </c>
      <c r="GC385" s="26" t="s">
        <v>1620</v>
      </c>
      <c r="GD385" s="214">
        <v>152376</v>
      </c>
      <c r="GE385" s="214">
        <v>152376</v>
      </c>
      <c r="GF385" s="73" t="s">
        <v>2501</v>
      </c>
      <c r="GG385" s="156">
        <v>43937</v>
      </c>
      <c r="GH385" s="26">
        <v>43</v>
      </c>
      <c r="GI385" s="26" t="s">
        <v>2502</v>
      </c>
      <c r="GJ385" s="25"/>
      <c r="GK385" s="62" t="s">
        <v>2503</v>
      </c>
      <c r="GM385" s="18" t="s">
        <v>2504</v>
      </c>
      <c r="GN385" s="11">
        <v>152376</v>
      </c>
      <c r="GO385" s="156"/>
      <c r="GP385" s="218"/>
      <c r="GQ385" s="156"/>
      <c r="GR385" s="11"/>
      <c r="GS385" s="25"/>
      <c r="GT385" s="11">
        <v>140394.31961012943</v>
      </c>
      <c r="GU385" s="12">
        <v>3.3411181900439263E-2</v>
      </c>
      <c r="GV385" s="240">
        <v>43896</v>
      </c>
      <c r="GW385" s="133" t="s">
        <v>1996</v>
      </c>
      <c r="GX385" s="231">
        <v>429.73092163124238</v>
      </c>
      <c r="GY385" s="102" t="s">
        <v>568</v>
      </c>
      <c r="GZ385" s="102" t="s">
        <v>568</v>
      </c>
      <c r="HA385" s="102" t="s">
        <v>2504</v>
      </c>
      <c r="HB385" s="102"/>
    </row>
    <row r="386" spans="171:210" x14ac:dyDescent="0.25">
      <c r="FO386" s="263" t="s">
        <v>568</v>
      </c>
      <c r="FP386" s="250">
        <v>43939.898078703707</v>
      </c>
      <c r="FQ386" s="156">
        <v>43895</v>
      </c>
      <c r="FR386" s="26">
        <v>43896</v>
      </c>
      <c r="FS386" s="211">
        <v>8</v>
      </c>
      <c r="FT386" s="44">
        <v>0.17613538531757381</v>
      </c>
      <c r="FU386" s="71">
        <v>1.2354530395508586E-6</v>
      </c>
      <c r="FV386" s="73">
        <v>4294.8607397934284</v>
      </c>
      <c r="FW386" s="212">
        <v>142567.44666038197</v>
      </c>
      <c r="FX386" s="212">
        <v>5727.3934309682299</v>
      </c>
      <c r="FY386" s="212">
        <v>0.98672170797274728</v>
      </c>
      <c r="FZ386" s="214">
        <v>3.9775279551989574E-5</v>
      </c>
      <c r="GA386" s="213">
        <v>1.2354530395508585E-3</v>
      </c>
      <c r="GB386" s="246">
        <v>43938</v>
      </c>
      <c r="GC386" s="26" t="s">
        <v>2922</v>
      </c>
      <c r="GD386" s="214">
        <v>157518</v>
      </c>
      <c r="GE386" s="214">
        <v>157518</v>
      </c>
      <c r="GF386" s="73" t="s">
        <v>2923</v>
      </c>
      <c r="GG386" s="156">
        <v>43938</v>
      </c>
      <c r="GH386" s="26">
        <v>44</v>
      </c>
      <c r="GI386" s="26" t="s">
        <v>2924</v>
      </c>
      <c r="GJ386" s="25"/>
      <c r="GK386" s="62" t="s">
        <v>2925</v>
      </c>
      <c r="GM386" s="18" t="s">
        <v>2926</v>
      </c>
      <c r="GN386" s="11">
        <v>157518</v>
      </c>
      <c r="GO386" s="156"/>
      <c r="GP386" s="218"/>
      <c r="GQ386" s="156"/>
      <c r="GR386" s="11"/>
      <c r="GS386" s="25"/>
      <c r="GT386" s="11">
        <v>141752.58979129099</v>
      </c>
      <c r="GU386" s="12">
        <v>3.6360247279474282E-2</v>
      </c>
      <c r="GV386" s="240">
        <v>43896</v>
      </c>
      <c r="GW386" s="133" t="s">
        <v>1996</v>
      </c>
      <c r="GX386" s="231">
        <v>369.48198415356455</v>
      </c>
      <c r="GY386" s="102" t="s">
        <v>568</v>
      </c>
      <c r="GZ386" s="102" t="s">
        <v>568</v>
      </c>
      <c r="HA386" s="102" t="s">
        <v>2926</v>
      </c>
      <c r="HB386" s="25"/>
    </row>
    <row r="387" spans="171:210" x14ac:dyDescent="0.25">
      <c r="FO387" s="263" t="s">
        <v>568</v>
      </c>
      <c r="FP387" s="250">
        <v>43942.945555555554</v>
      </c>
      <c r="FQ387" s="156">
        <v>43895</v>
      </c>
      <c r="FR387" s="26">
        <v>43896</v>
      </c>
      <c r="FS387" s="211">
        <v>8</v>
      </c>
      <c r="FT387" s="44">
        <v>0.17613245791980231</v>
      </c>
      <c r="FU387" s="71">
        <v>1.1955568555873383E-6</v>
      </c>
      <c r="FV387" s="73">
        <v>4294.8541652944587</v>
      </c>
      <c r="FW387" s="212">
        <v>147322.52765450804</v>
      </c>
      <c r="FX387" s="212">
        <v>8135.6357778756501</v>
      </c>
      <c r="FY387" s="212">
        <v>0.97479867170546808</v>
      </c>
      <c r="FZ387" s="214">
        <v>3.9814556908712399E-5</v>
      </c>
      <c r="GA387" s="216">
        <v>1.1955568555873384E-3</v>
      </c>
      <c r="GB387" s="257">
        <v>43941</v>
      </c>
      <c r="GC387" s="26" t="s">
        <v>3364</v>
      </c>
      <c r="GD387" s="214">
        <v>168159</v>
      </c>
      <c r="GE387" s="214">
        <v>168159</v>
      </c>
      <c r="GF387" s="73" t="s">
        <v>3365</v>
      </c>
      <c r="GG387" s="156">
        <v>43941</v>
      </c>
      <c r="GH387" s="26">
        <v>47</v>
      </c>
      <c r="GI387" s="26" t="s">
        <v>3366</v>
      </c>
      <c r="GJ387" s="25"/>
      <c r="GK387" s="62" t="s">
        <v>3367</v>
      </c>
      <c r="GM387" s="18" t="s">
        <v>3368</v>
      </c>
      <c r="GN387" s="11">
        <v>168159</v>
      </c>
      <c r="GO387" s="156"/>
      <c r="GP387" s="218"/>
      <c r="GQ387" s="156"/>
      <c r="GR387" s="11"/>
      <c r="GS387" s="25"/>
      <c r="GT387" s="11">
        <v>146890.6923559946</v>
      </c>
      <c r="GU387" s="12">
        <v>4.8380614643733909E-2</v>
      </c>
      <c r="GV387" s="240">
        <v>43896</v>
      </c>
      <c r="GW387" s="237" t="s">
        <v>1996</v>
      </c>
      <c r="GX387" s="231">
        <v>235.60449091173359</v>
      </c>
      <c r="GY387" s="102" t="s">
        <v>568</v>
      </c>
      <c r="GZ387" s="102" t="s">
        <v>568</v>
      </c>
      <c r="HA387" s="26" t="s">
        <v>3368</v>
      </c>
      <c r="HB387" s="99"/>
    </row>
    <row r="388" spans="171:210" x14ac:dyDescent="0.25">
      <c r="FO388" s="263" t="s">
        <v>568</v>
      </c>
      <c r="FP388" s="250">
        <v>43945.843912037039</v>
      </c>
      <c r="FQ388" s="156">
        <v>43895</v>
      </c>
      <c r="FR388" s="26">
        <v>43896</v>
      </c>
      <c r="FS388" s="211">
        <v>8</v>
      </c>
      <c r="FT388" s="44">
        <v>0.17612581780072251</v>
      </c>
      <c r="FU388" s="71">
        <v>1.1569759948551679E-6</v>
      </c>
      <c r="FV388" s="73">
        <v>4294.8404206689211</v>
      </c>
      <c r="FW388" s="212">
        <v>152229.44865227753</v>
      </c>
      <c r="FX388" s="212">
        <v>10785.676130517422</v>
      </c>
      <c r="FY388" s="212">
        <v>0.96097362917816076</v>
      </c>
      <c r="FZ388" s="214">
        <v>3.9851722943786875E-5</v>
      </c>
      <c r="GA388" s="213">
        <v>1.1569759948551678E-3</v>
      </c>
      <c r="GB388" s="246">
        <v>43944</v>
      </c>
      <c r="GC388" s="26" t="s">
        <v>1394</v>
      </c>
      <c r="GD388" s="214">
        <v>185434</v>
      </c>
      <c r="GE388" s="214">
        <v>185434</v>
      </c>
      <c r="GF388" s="73" t="s">
        <v>3439</v>
      </c>
      <c r="GG388" s="156">
        <v>43944</v>
      </c>
      <c r="GH388" s="26">
        <v>50</v>
      </c>
      <c r="GI388" s="26" t="s">
        <v>3440</v>
      </c>
      <c r="GJ388" s="25"/>
      <c r="GK388" s="62" t="s">
        <v>3441</v>
      </c>
      <c r="GM388" s="18" t="s">
        <v>3442</v>
      </c>
      <c r="GN388" s="11">
        <v>185434</v>
      </c>
      <c r="GO388" s="156"/>
      <c r="GP388" s="218"/>
      <c r="GQ388" s="156"/>
      <c r="GR388" s="11"/>
      <c r="GS388" s="25"/>
      <c r="GT388" s="11">
        <v>151956.94210867392</v>
      </c>
      <c r="GU388" s="12">
        <v>5.8164501280873096E-2</v>
      </c>
      <c r="GV388" s="132">
        <v>43896</v>
      </c>
      <c r="GW388" s="133" t="s">
        <v>1996</v>
      </c>
      <c r="GX388" s="231">
        <v>149.56444070034195</v>
      </c>
      <c r="GY388" s="102" t="s">
        <v>568</v>
      </c>
      <c r="GZ388" s="102" t="s">
        <v>568</v>
      </c>
      <c r="HA388" s="26" t="s">
        <v>3442</v>
      </c>
      <c r="HB388" s="102"/>
    </row>
    <row r="389" spans="171:210" x14ac:dyDescent="0.25">
      <c r="FO389" s="263" t="s">
        <v>568</v>
      </c>
      <c r="FP389" s="250">
        <v>43947.951006944444</v>
      </c>
      <c r="FQ389" s="156">
        <v>43895</v>
      </c>
      <c r="FR389" s="26">
        <v>43896</v>
      </c>
      <c r="FS389" s="211">
        <v>8</v>
      </c>
      <c r="FT389" s="44">
        <v>0.17611629380211363</v>
      </c>
      <c r="FU389" s="71">
        <v>1.1267257917622043E-6</v>
      </c>
      <c r="FV389" s="73">
        <v>4294.8217859457018</v>
      </c>
      <c r="FW389" s="212">
        <v>156308.03438578159</v>
      </c>
      <c r="FX389" s="212">
        <v>13167.836545010185</v>
      </c>
      <c r="FY389" s="212">
        <v>0.94701880365320679</v>
      </c>
      <c r="FZ389" s="214">
        <v>3.987993352491386E-5</v>
      </c>
      <c r="GA389" s="213">
        <v>1.1267257917622043E-3</v>
      </c>
      <c r="GB389" s="246">
        <v>43946</v>
      </c>
      <c r="GC389" s="26" t="s">
        <v>3533</v>
      </c>
      <c r="GD389" s="214">
        <v>195713</v>
      </c>
      <c r="GE389" s="214">
        <v>195713</v>
      </c>
      <c r="GF389" s="73" t="s">
        <v>3534</v>
      </c>
      <c r="GG389" s="156">
        <v>43946</v>
      </c>
      <c r="GH389" s="26">
        <v>52</v>
      </c>
      <c r="GI389" s="26" t="s">
        <v>3535</v>
      </c>
      <c r="GJ389" s="25"/>
      <c r="GK389" s="62" t="s">
        <v>3536</v>
      </c>
      <c r="GM389" s="18" t="s">
        <v>3537</v>
      </c>
      <c r="GN389" s="11">
        <v>195713</v>
      </c>
      <c r="GO389" s="156"/>
      <c r="GP389" s="218"/>
      <c r="GQ389" s="156"/>
      <c r="GR389" s="11"/>
      <c r="GS389" s="25"/>
      <c r="GT389" s="11">
        <v>156020.37220831393</v>
      </c>
      <c r="GU389" s="12">
        <v>6.7281358647663589E-2</v>
      </c>
      <c r="GV389" s="132">
        <v>43896</v>
      </c>
      <c r="GW389" s="133" t="s">
        <v>1996</v>
      </c>
      <c r="GX389" s="231">
        <v>111.34941296512261</v>
      </c>
      <c r="GY389" s="102" t="s">
        <v>568</v>
      </c>
      <c r="GZ389" s="102" t="s">
        <v>568</v>
      </c>
      <c r="HA389" s="26" t="s">
        <v>3537</v>
      </c>
      <c r="HB389" s="25"/>
    </row>
    <row r="390" spans="171:210" x14ac:dyDescent="0.25">
      <c r="FO390" s="263" t="s">
        <v>568</v>
      </c>
      <c r="FP390" s="250">
        <v>43949.717719907407</v>
      </c>
      <c r="FQ390" s="156">
        <v>43895</v>
      </c>
      <c r="FR390" s="26">
        <v>43896</v>
      </c>
      <c r="FS390" s="211">
        <v>8</v>
      </c>
      <c r="FT390" s="44">
        <v>0.17610362400799703</v>
      </c>
      <c r="FU390" s="71">
        <v>1.0971924846738506E-6</v>
      </c>
      <c r="FV390" s="73">
        <v>4294.7979328836418</v>
      </c>
      <c r="FW390" s="212">
        <v>160503.85549290859</v>
      </c>
      <c r="FX390" s="212">
        <v>15544.052552976915</v>
      </c>
      <c r="FY390" s="212">
        <v>0.93253497165314569</v>
      </c>
      <c r="FZ390" s="214">
        <v>3.9906744547994967E-5</v>
      </c>
      <c r="GA390" s="213">
        <v>1.0971924846738506E-3</v>
      </c>
      <c r="GB390" s="246">
        <v>43948</v>
      </c>
      <c r="GC390" s="26" t="s">
        <v>3592</v>
      </c>
      <c r="GD390" s="214">
        <v>204236</v>
      </c>
      <c r="GE390" s="214">
        <v>204236</v>
      </c>
      <c r="GF390" s="73" t="s">
        <v>3593</v>
      </c>
      <c r="GG390" s="156">
        <v>43948</v>
      </c>
      <c r="GH390" s="26">
        <v>54</v>
      </c>
      <c r="GI390" s="26" t="s">
        <v>3594</v>
      </c>
      <c r="GJ390" s="25"/>
      <c r="GK390" s="62" t="s">
        <v>3595</v>
      </c>
      <c r="GM390" s="18" t="s">
        <v>3596</v>
      </c>
      <c r="GN390" s="11">
        <v>204236</v>
      </c>
      <c r="GO390" s="156"/>
      <c r="GP390" s="218"/>
      <c r="GQ390" s="156"/>
      <c r="GR390" s="11"/>
      <c r="GS390" s="25"/>
      <c r="GT390" s="11">
        <v>160200.11708961817</v>
      </c>
      <c r="GU390" s="12">
        <v>7.6108289199636275E-2</v>
      </c>
      <c r="GV390" s="132">
        <v>43896</v>
      </c>
      <c r="GW390" s="133" t="s">
        <v>1996</v>
      </c>
      <c r="GX390" s="231">
        <v>82.849508737970609</v>
      </c>
      <c r="GY390" s="102" t="s">
        <v>568</v>
      </c>
      <c r="GZ390" s="102" t="s">
        <v>568</v>
      </c>
      <c r="HA390" s="26" t="s">
        <v>3596</v>
      </c>
      <c r="HB390" s="25"/>
    </row>
    <row r="391" spans="171:210" x14ac:dyDescent="0.25">
      <c r="FO391" s="263" t="s">
        <v>568</v>
      </c>
      <c r="FP391" s="250">
        <v>43950.659467592595</v>
      </c>
      <c r="FQ391" s="156">
        <v>43895</v>
      </c>
      <c r="FR391" s="26">
        <v>43896</v>
      </c>
      <c r="FS391" s="211">
        <v>8</v>
      </c>
      <c r="FT391" s="44">
        <v>0.17610362400799509</v>
      </c>
      <c r="FU391" s="71">
        <v>1.0843205247946476E-6</v>
      </c>
      <c r="FV391" s="73">
        <v>4294.7979328836282</v>
      </c>
      <c r="FW391" s="212">
        <v>162409.19541880497</v>
      </c>
      <c r="FX391" s="212">
        <v>16765.831235862974</v>
      </c>
      <c r="FY391" s="212">
        <v>0.92492729539859242</v>
      </c>
      <c r="FZ391" s="214">
        <v>3.9919616507873847E-5</v>
      </c>
      <c r="GA391" s="213">
        <v>1.0843205247946476E-3</v>
      </c>
      <c r="GB391" s="246">
        <v>43949</v>
      </c>
      <c r="GC391" s="26" t="s">
        <v>1025</v>
      </c>
      <c r="GD391" s="214">
        <v>209643</v>
      </c>
      <c r="GE391" s="214">
        <v>209643</v>
      </c>
      <c r="GF391" s="73" t="s">
        <v>3653</v>
      </c>
      <c r="GG391" s="156">
        <v>43949</v>
      </c>
      <c r="GH391" s="26">
        <v>55</v>
      </c>
      <c r="GI391" s="26" t="s">
        <v>3654</v>
      </c>
      <c r="GJ391" s="25"/>
      <c r="GK391" s="62" t="s">
        <v>3655</v>
      </c>
      <c r="GM391" s="18" t="s">
        <v>3656</v>
      </c>
      <c r="GN391" s="11">
        <v>209643</v>
      </c>
      <c r="GO391" s="156"/>
      <c r="GP391" s="218"/>
      <c r="GQ391" s="156"/>
      <c r="GR391" s="11"/>
      <c r="GS391" s="25"/>
      <c r="GT391" s="11">
        <v>162098.10973011475</v>
      </c>
      <c r="GU391" s="12">
        <v>7.9973246117747671E-2</v>
      </c>
      <c r="GV391" s="132">
        <v>43896</v>
      </c>
      <c r="GW391" s="133" t="s">
        <v>1996</v>
      </c>
      <c r="GX391" s="231">
        <v>71.21749980043387</v>
      </c>
      <c r="GY391" s="102" t="s">
        <v>568</v>
      </c>
      <c r="GZ391" s="102" t="s">
        <v>568</v>
      </c>
      <c r="HA391" s="26" t="s">
        <v>3656</v>
      </c>
      <c r="HB391" s="25"/>
    </row>
    <row r="392" spans="171:210" x14ac:dyDescent="0.25">
      <c r="FO392" s="263" t="s">
        <v>568</v>
      </c>
      <c r="FP392" s="250">
        <v>43951.665798611109</v>
      </c>
      <c r="FQ392" s="156">
        <v>43895</v>
      </c>
      <c r="FR392" s="26">
        <v>43896</v>
      </c>
      <c r="FS392" s="211">
        <v>8</v>
      </c>
      <c r="FT392" s="44">
        <v>0.17610362400799295</v>
      </c>
      <c r="FU392" s="71">
        <v>1.0693244988835346E-6</v>
      </c>
      <c r="FV392" s="73">
        <v>4294.7979328836127</v>
      </c>
      <c r="FW392" s="212">
        <v>164686.79450612052</v>
      </c>
      <c r="FX392" s="212">
        <v>18130.104258404703</v>
      </c>
      <c r="FY392" s="212">
        <v>0.91620745467699993</v>
      </c>
      <c r="FZ392" s="214">
        <v>3.9934612533784607E-5</v>
      </c>
      <c r="GA392" s="213">
        <v>1.0693244988835345E-3</v>
      </c>
      <c r="GB392" s="246">
        <v>43950</v>
      </c>
      <c r="GC392" s="26" t="s">
        <v>958</v>
      </c>
      <c r="GD392" s="214">
        <v>217030</v>
      </c>
      <c r="GE392" s="214">
        <v>217030</v>
      </c>
      <c r="GF392" s="73" t="s">
        <v>3716</v>
      </c>
      <c r="GG392" s="156">
        <v>43950</v>
      </c>
      <c r="GH392" s="26">
        <v>56</v>
      </c>
      <c r="GI392" s="26" t="s">
        <v>3717</v>
      </c>
      <c r="GJ392" s="25"/>
      <c r="GK392" s="62" t="s">
        <v>3718</v>
      </c>
      <c r="GM392" s="18" t="s">
        <v>3719</v>
      </c>
      <c r="GN392" s="11">
        <v>217030</v>
      </c>
      <c r="GO392" s="156"/>
      <c r="GP392" s="218"/>
      <c r="GQ392" s="156"/>
      <c r="GR392" s="11"/>
      <c r="GS392" s="25"/>
      <c r="GT392" s="11">
        <v>164366.81107780826</v>
      </c>
      <c r="GU392" s="12">
        <v>8.3537318612195099E-2</v>
      </c>
      <c r="GV392" s="132">
        <v>43896</v>
      </c>
      <c r="GW392" s="133" t="s">
        <v>1996</v>
      </c>
      <c r="GX392" s="231">
        <v>61.473810781200882</v>
      </c>
      <c r="GY392" s="102" t="s">
        <v>568</v>
      </c>
      <c r="GZ392" s="102" t="s">
        <v>568</v>
      </c>
      <c r="HA392" s="26" t="s">
        <v>3719</v>
      </c>
      <c r="HB392" s="25"/>
    </row>
    <row r="393" spans="171:210" x14ac:dyDescent="0.25">
      <c r="FO393" s="263" t="s">
        <v>568</v>
      </c>
      <c r="FP393" s="250">
        <v>43954.724270833336</v>
      </c>
      <c r="FQ393" s="156">
        <v>43895</v>
      </c>
      <c r="FR393" s="26">
        <v>43896</v>
      </c>
      <c r="FS393" s="211">
        <v>8</v>
      </c>
      <c r="FT393" s="44">
        <v>0.17608287538463896</v>
      </c>
      <c r="FU393" s="71">
        <v>1.0204873273391578E-6</v>
      </c>
      <c r="FV393" s="73">
        <v>4294.7612382573006</v>
      </c>
      <c r="FW393" s="212">
        <v>172547.83147945747</v>
      </c>
      <c r="FX393" s="212">
        <v>22930.592298715936</v>
      </c>
      <c r="FY393" s="212">
        <v>0.88463882563451246</v>
      </c>
      <c r="FZ393" s="214">
        <v>3.9978968897633364E-5</v>
      </c>
      <c r="GA393" s="213">
        <v>1.0204873273391578E-3</v>
      </c>
      <c r="GB393" s="246">
        <v>43953</v>
      </c>
      <c r="GC393" s="26" t="s">
        <v>3781</v>
      </c>
      <c r="GD393" s="214">
        <v>240093</v>
      </c>
      <c r="GE393" s="214">
        <v>240093</v>
      </c>
      <c r="GF393" s="73" t="s">
        <v>3782</v>
      </c>
      <c r="GG393" s="156">
        <v>43953</v>
      </c>
      <c r="GH393" s="26">
        <v>59</v>
      </c>
      <c r="GI393" s="26" t="s">
        <v>3783</v>
      </c>
      <c r="GJ393" s="25"/>
      <c r="GK393" s="62" t="s">
        <v>3784</v>
      </c>
      <c r="GM393" s="18" t="s">
        <v>3785</v>
      </c>
      <c r="GN393" s="11">
        <v>240093</v>
      </c>
      <c r="GO393" s="156"/>
      <c r="GP393" s="218"/>
      <c r="GQ393" s="156"/>
      <c r="GR393" s="11"/>
      <c r="GS393" s="25"/>
      <c r="GT393" s="11" t="s">
        <v>3780</v>
      </c>
      <c r="GU393" s="12">
        <v>9.5507125566825918E-2</v>
      </c>
      <c r="GV393" s="132">
        <v>43896</v>
      </c>
      <c r="GW393" s="133" t="s">
        <v>1996</v>
      </c>
      <c r="GX393" s="231">
        <v>39.945034789416241</v>
      </c>
      <c r="GY393" s="102" t="s">
        <v>568</v>
      </c>
      <c r="GZ393" s="102" t="s">
        <v>568</v>
      </c>
      <c r="HA393" s="26" t="s">
        <v>3785</v>
      </c>
      <c r="HB393" s="25"/>
    </row>
    <row r="394" spans="171:210" x14ac:dyDescent="0.25">
      <c r="FO394" s="267" t="s">
        <v>1068</v>
      </c>
      <c r="FP394" s="251">
        <v>43918.901504629626</v>
      </c>
      <c r="FQ394" s="244">
        <v>43852</v>
      </c>
      <c r="FR394" s="26">
        <v>43852</v>
      </c>
      <c r="FS394" s="211">
        <v>9</v>
      </c>
      <c r="FT394" s="25">
        <v>9.2918467630861556</v>
      </c>
      <c r="FU394" s="71">
        <v>1.9078864277520134E-4</v>
      </c>
      <c r="FV394" s="74">
        <v>48649.93727361253</v>
      </c>
      <c r="FW394" s="212">
        <v>48702.305482797361</v>
      </c>
      <c r="FX394" s="212">
        <v>25199.494284754452</v>
      </c>
      <c r="FY394" s="212"/>
      <c r="FZ394" s="212">
        <v>2.0537045091652685E-7</v>
      </c>
      <c r="GA394" s="213">
        <v>0.19078864277520133</v>
      </c>
      <c r="GB394" s="246">
        <v>43917</v>
      </c>
      <c r="GC394" s="160" t="s">
        <v>1342</v>
      </c>
      <c r="GD394" s="212">
        <v>48702.305482797361</v>
      </c>
      <c r="GE394" s="212">
        <v>67801</v>
      </c>
      <c r="GF394" s="73" t="s">
        <v>1343</v>
      </c>
      <c r="GG394" s="156">
        <v>43917</v>
      </c>
      <c r="GH394" s="25">
        <v>66</v>
      </c>
      <c r="GI394" s="25" t="s">
        <v>1382</v>
      </c>
      <c r="GJ394" s="25"/>
      <c r="GK394" s="62" t="s">
        <v>1344</v>
      </c>
      <c r="GM394" s="62" t="s">
        <v>1383</v>
      </c>
      <c r="GN394" s="165">
        <v>11589.914529914531</v>
      </c>
      <c r="GO394" s="156"/>
      <c r="GP394" s="218"/>
      <c r="GQ394" s="156"/>
      <c r="GR394" s="25"/>
      <c r="GS394" s="25"/>
      <c r="GT394" s="11"/>
      <c r="GU394" s="12"/>
      <c r="GV394" s="241"/>
      <c r="GW394" s="242"/>
      <c r="GX394" s="219"/>
      <c r="GY394" s="25"/>
      <c r="GZ394" s="25"/>
      <c r="HA394" s="25"/>
      <c r="HB394" s="25"/>
    </row>
    <row r="395" spans="171:210" x14ac:dyDescent="0.25">
      <c r="FO395" s="263" t="s">
        <v>1068</v>
      </c>
      <c r="FP395" s="251">
        <v>43919.68346064815</v>
      </c>
      <c r="FQ395" s="244">
        <v>43852</v>
      </c>
      <c r="FR395" s="26">
        <v>43852</v>
      </c>
      <c r="FS395" s="211">
        <v>9</v>
      </c>
      <c r="FT395" s="25">
        <v>0.92237279260381255</v>
      </c>
      <c r="FU395" s="25">
        <v>1.4110689556496679E-5</v>
      </c>
      <c r="FV395" s="74">
        <v>9.9999999710258811E-4</v>
      </c>
      <c r="FW395" s="212">
        <v>65366.953819712122</v>
      </c>
      <c r="FX395" s="212">
        <v>7524.8522208847025</v>
      </c>
      <c r="FY395" s="212"/>
      <c r="FZ395" s="212">
        <v>922.37278116561686</v>
      </c>
      <c r="GA395" s="213">
        <v>1.411068955649668E-2</v>
      </c>
      <c r="GB395" s="246">
        <v>43918</v>
      </c>
      <c r="GC395" s="26" t="s">
        <v>999</v>
      </c>
      <c r="GD395" s="212">
        <v>65366.953819712122</v>
      </c>
      <c r="GE395" s="212">
        <v>67801</v>
      </c>
      <c r="GF395" s="73" t="s">
        <v>1448</v>
      </c>
      <c r="GG395" s="156">
        <v>43918</v>
      </c>
      <c r="GH395" s="25">
        <v>67</v>
      </c>
      <c r="GI395" s="25" t="s">
        <v>1449</v>
      </c>
      <c r="GJ395" s="25"/>
      <c r="GK395" s="62" t="s">
        <v>1450</v>
      </c>
      <c r="GL395" s="62"/>
      <c r="GM395" s="25" t="s">
        <v>1451</v>
      </c>
      <c r="GN395" s="165">
        <v>11589.914529914531</v>
      </c>
      <c r="GO395" s="156"/>
      <c r="GP395" s="218"/>
      <c r="GQ395" s="156"/>
      <c r="GR395" s="25"/>
      <c r="GS395" s="25"/>
      <c r="GT395" s="11"/>
      <c r="GU395" s="12"/>
      <c r="GV395" s="241"/>
      <c r="GW395" s="242"/>
      <c r="GX395" s="219"/>
      <c r="GY395" s="25"/>
      <c r="GZ395" s="25"/>
      <c r="HA395" s="25"/>
      <c r="HB395" s="102"/>
    </row>
    <row r="396" spans="171:210" x14ac:dyDescent="0.25">
      <c r="FO396" s="267" t="s">
        <v>1068</v>
      </c>
      <c r="FP396" s="251">
        <v>43919.837824074071</v>
      </c>
      <c r="FQ396" s="244">
        <v>43852</v>
      </c>
      <c r="FR396" s="26">
        <v>43852</v>
      </c>
      <c r="FS396" s="211">
        <v>9</v>
      </c>
      <c r="FT396" s="25">
        <v>0.19552605943979032</v>
      </c>
      <c r="FU396" s="25">
        <v>9.9999999957414959E-13</v>
      </c>
      <c r="FV396" s="74">
        <v>1E-3</v>
      </c>
      <c r="FW396" s="212">
        <v>195526059523.05518</v>
      </c>
      <c r="FX396" s="212">
        <v>24.994942538814939</v>
      </c>
      <c r="FY396" s="212"/>
      <c r="FZ396" s="212">
        <v>195.52605943978932</v>
      </c>
      <c r="GA396" s="213">
        <v>9.9999999957414949E-10</v>
      </c>
      <c r="GB396" s="246">
        <v>43918</v>
      </c>
      <c r="GC396" s="26" t="s">
        <v>1453</v>
      </c>
      <c r="GD396" s="212">
        <v>195526059522.46909</v>
      </c>
      <c r="GE396" s="212">
        <v>451</v>
      </c>
      <c r="GF396" s="73" t="s">
        <v>1454</v>
      </c>
      <c r="GG396" s="156">
        <v>43918</v>
      </c>
      <c r="GH396" s="25">
        <v>31</v>
      </c>
      <c r="GI396" s="25" t="s">
        <v>1455</v>
      </c>
      <c r="GJ396" s="25"/>
      <c r="GK396" s="62" t="s">
        <v>1456</v>
      </c>
      <c r="GL396" s="62"/>
      <c r="GM396" s="25" t="s">
        <v>1457</v>
      </c>
      <c r="GN396" s="165">
        <v>862.33269598470361</v>
      </c>
      <c r="GO396" s="156"/>
      <c r="GP396" s="218"/>
      <c r="GQ396" s="156"/>
      <c r="GR396" s="25"/>
      <c r="GS396" s="25"/>
      <c r="GT396" s="11"/>
      <c r="GU396" s="12"/>
      <c r="GV396" s="241"/>
      <c r="GW396" s="242"/>
      <c r="GX396" s="219"/>
      <c r="GY396" s="25"/>
      <c r="GZ396" s="25"/>
      <c r="HA396" s="25"/>
      <c r="HB396" s="102"/>
    </row>
    <row r="397" spans="171:210" x14ac:dyDescent="0.25">
      <c r="FO397" s="263" t="s">
        <v>1068</v>
      </c>
      <c r="FP397" s="251">
        <v>43921.586377314816</v>
      </c>
      <c r="FQ397" s="244">
        <v>43852</v>
      </c>
      <c r="FR397" s="26">
        <v>43852</v>
      </c>
      <c r="FS397" s="211">
        <v>9</v>
      </c>
      <c r="FT397" s="25">
        <v>0.19564953808684307</v>
      </c>
      <c r="FU397" s="73">
        <v>9.9999999957414959E-13</v>
      </c>
      <c r="FV397" s="74">
        <v>1E-3</v>
      </c>
      <c r="FW397" s="212">
        <v>195649538170.16052</v>
      </c>
      <c r="FX397" s="212">
        <v>24.586516852668158</v>
      </c>
      <c r="FY397" s="212"/>
      <c r="FZ397" s="212">
        <v>195.64953808684209</v>
      </c>
      <c r="GA397" s="213">
        <v>9.9999999957414949E-10</v>
      </c>
      <c r="GB397" s="246">
        <v>43920</v>
      </c>
      <c r="GC397" s="26" t="s">
        <v>1453</v>
      </c>
      <c r="GD397" s="212">
        <v>195649538169.59528</v>
      </c>
      <c r="GE397" s="212">
        <v>589</v>
      </c>
      <c r="GF397" s="73" t="s">
        <v>1454</v>
      </c>
      <c r="GG397" s="156">
        <v>43920</v>
      </c>
      <c r="GH397" s="25">
        <v>33</v>
      </c>
      <c r="GI397" s="25" t="s">
        <v>1514</v>
      </c>
      <c r="GJ397" s="62"/>
      <c r="GK397" s="62" t="s">
        <v>1456</v>
      </c>
      <c r="GM397" s="25" t="s">
        <v>1515</v>
      </c>
      <c r="GN397" s="165">
        <v>1126.1950286806882</v>
      </c>
      <c r="GO397" s="156"/>
      <c r="GP397" s="218"/>
      <c r="GQ397" s="156"/>
      <c r="GR397" s="25"/>
      <c r="GS397" s="25"/>
      <c r="GT397" s="11"/>
      <c r="GU397" s="12"/>
      <c r="GV397" s="241"/>
      <c r="GW397" s="242"/>
      <c r="GX397" s="219"/>
      <c r="GY397" s="25"/>
      <c r="GZ397" s="25"/>
      <c r="HA397" s="25"/>
      <c r="HB397" s="102"/>
    </row>
    <row r="398" spans="171:210" x14ac:dyDescent="0.25">
      <c r="FO398" s="263" t="s">
        <v>1068</v>
      </c>
      <c r="FP398" s="251">
        <v>43921.611724537041</v>
      </c>
      <c r="FQ398" s="244">
        <v>43852</v>
      </c>
      <c r="FR398" s="26">
        <v>43852</v>
      </c>
      <c r="FS398" s="211">
        <v>9</v>
      </c>
      <c r="FT398" s="25">
        <v>0.19540647436220884</v>
      </c>
      <c r="FU398" s="73">
        <v>8.2499012002521716E-6</v>
      </c>
      <c r="FV398" s="74">
        <v>1E-3</v>
      </c>
      <c r="FW398" s="212">
        <v>23685.916912100223</v>
      </c>
      <c r="FX398" s="212">
        <v>26.735466467709664</v>
      </c>
      <c r="FY398" s="212"/>
      <c r="FZ398" s="212">
        <v>195.40646611230761</v>
      </c>
      <c r="GA398" s="213">
        <v>8.2499012002521712E-3</v>
      </c>
      <c r="GB398" s="246">
        <v>43921</v>
      </c>
      <c r="GC398" s="26" t="s">
        <v>1518</v>
      </c>
      <c r="GD398" s="212">
        <v>23685.916912100223</v>
      </c>
      <c r="GE398" s="212">
        <v>647</v>
      </c>
      <c r="GF398" s="73" t="s">
        <v>1519</v>
      </c>
      <c r="GG398" s="156">
        <v>43921</v>
      </c>
      <c r="GH398" s="25">
        <v>34</v>
      </c>
      <c r="GI398" s="25" t="s">
        <v>1520</v>
      </c>
      <c r="GJ398" s="62"/>
      <c r="GK398" s="62" t="s">
        <v>1521</v>
      </c>
      <c r="GM398" s="25" t="s">
        <v>1522</v>
      </c>
      <c r="GN398" s="165">
        <v>1237.093690248566</v>
      </c>
      <c r="GO398" s="156"/>
      <c r="GP398" s="218"/>
      <c r="GQ398" s="156"/>
      <c r="GR398" s="25"/>
      <c r="GS398" s="25"/>
      <c r="GT398" s="11"/>
      <c r="GU398" s="12"/>
      <c r="GV398" s="160"/>
      <c r="GW398" s="242"/>
      <c r="GX398" s="219"/>
      <c r="GY398" s="25"/>
      <c r="GZ398" s="25"/>
      <c r="HA398" s="25"/>
      <c r="HB398" s="102"/>
    </row>
    <row r="399" spans="171:210" x14ac:dyDescent="0.25">
      <c r="FO399" s="263" t="s">
        <v>1068</v>
      </c>
      <c r="FP399" s="251">
        <v>43922.854317129626</v>
      </c>
      <c r="FQ399" s="244">
        <v>43852</v>
      </c>
      <c r="FR399" s="26">
        <v>43852</v>
      </c>
      <c r="FS399" s="211">
        <v>9</v>
      </c>
      <c r="FT399" s="72">
        <v>0.19669458698243794</v>
      </c>
      <c r="FU399" s="74">
        <v>5.2228420734630453E-5</v>
      </c>
      <c r="FV399" s="74">
        <v>1E-3</v>
      </c>
      <c r="FW399" s="212">
        <v>3766.045080739309</v>
      </c>
      <c r="FX399" s="214">
        <v>29.731123592419461</v>
      </c>
      <c r="FY399" s="214"/>
      <c r="FZ399" s="212">
        <v>196.69453475401718</v>
      </c>
      <c r="GA399" s="213">
        <v>5.2228420734630451E-2</v>
      </c>
      <c r="GB399" s="246">
        <v>43922</v>
      </c>
      <c r="GC399" s="26" t="s">
        <v>1142</v>
      </c>
      <c r="GD399" s="214">
        <v>3766.045080739309</v>
      </c>
      <c r="GE399" s="214">
        <v>708</v>
      </c>
      <c r="GF399" s="73" t="s">
        <v>1571</v>
      </c>
      <c r="GG399" s="156">
        <v>43922</v>
      </c>
      <c r="GH399" s="25">
        <v>35</v>
      </c>
      <c r="GI399" s="25" t="s">
        <v>1572</v>
      </c>
      <c r="GJ399" s="62"/>
      <c r="GK399" s="62" t="s">
        <v>1573</v>
      </c>
      <c r="GM399" s="25" t="s">
        <v>1574</v>
      </c>
      <c r="GN399" s="165">
        <v>1353.7284894837476</v>
      </c>
      <c r="GO399" s="156"/>
      <c r="GP399" s="218"/>
      <c r="GQ399" s="156"/>
      <c r="GR399" s="25"/>
      <c r="GS399" s="25"/>
      <c r="GT399" s="11"/>
      <c r="GU399" s="12"/>
      <c r="GV399" s="160"/>
      <c r="GW399" s="242"/>
      <c r="GX399" s="219"/>
      <c r="GY399" s="25"/>
      <c r="GZ399" s="25"/>
      <c r="HA399" s="25"/>
      <c r="HB399" s="25"/>
    </row>
    <row r="400" spans="171:210" x14ac:dyDescent="0.25">
      <c r="FO400" s="263" t="s">
        <v>1068</v>
      </c>
      <c r="FP400" s="251">
        <v>43923.637708333335</v>
      </c>
      <c r="FQ400" s="244">
        <v>43852</v>
      </c>
      <c r="FR400" s="160">
        <v>43852</v>
      </c>
      <c r="FS400" s="211">
        <v>9</v>
      </c>
      <c r="FT400" s="72">
        <v>0.19687763216972617</v>
      </c>
      <c r="FU400" s="74">
        <v>5.5497236683652495E-5</v>
      </c>
      <c r="FV400" s="74">
        <v>1E-3</v>
      </c>
      <c r="FW400" s="212">
        <v>3547.52135303557</v>
      </c>
      <c r="FX400" s="214">
        <v>29.71635590398267</v>
      </c>
      <c r="FY400" s="212">
        <v>0.97943355484443406</v>
      </c>
      <c r="FZ400" s="212">
        <v>196.87757667248951</v>
      </c>
      <c r="GA400" s="213">
        <v>5.5497236683652494E-2</v>
      </c>
      <c r="GB400" s="246">
        <v>43922</v>
      </c>
      <c r="GC400" s="26" t="s">
        <v>1625</v>
      </c>
      <c r="GD400" s="214">
        <v>3547.52135303557</v>
      </c>
      <c r="GE400" s="214">
        <v>708</v>
      </c>
      <c r="GF400" s="73" t="s">
        <v>1626</v>
      </c>
      <c r="GG400" s="156">
        <v>43922</v>
      </c>
      <c r="GH400" s="25">
        <v>35</v>
      </c>
      <c r="GI400" s="62" t="s">
        <v>1627</v>
      </c>
      <c r="GJ400" s="62"/>
      <c r="GK400" s="62" t="s">
        <v>1628</v>
      </c>
      <c r="GM400" s="25" t="s">
        <v>1629</v>
      </c>
      <c r="GN400" s="165">
        <v>1353.7284894837476</v>
      </c>
      <c r="GO400" s="156"/>
      <c r="GP400" s="218"/>
      <c r="GQ400" s="156"/>
      <c r="GR400" s="25"/>
      <c r="GS400" s="25"/>
      <c r="GT400" s="11"/>
      <c r="GU400" s="12"/>
      <c r="GV400" s="160"/>
      <c r="GW400" s="242"/>
      <c r="GX400" s="219"/>
      <c r="GY400" s="25"/>
      <c r="GZ400" s="25"/>
      <c r="HA400" s="25"/>
      <c r="HB400" s="99"/>
    </row>
    <row r="401" spans="171:210" x14ac:dyDescent="0.25">
      <c r="FO401" s="267" t="s">
        <v>1068</v>
      </c>
      <c r="FP401" s="251">
        <v>43925.469687500001</v>
      </c>
      <c r="FQ401" s="244">
        <v>43852</v>
      </c>
      <c r="FR401" s="160">
        <v>43888</v>
      </c>
      <c r="FS401" s="211">
        <v>9</v>
      </c>
      <c r="FT401" s="72">
        <v>0.19846995831750633</v>
      </c>
      <c r="FU401" s="74">
        <v>9.5427967450025411E-5</v>
      </c>
      <c r="FV401" s="74">
        <v>1E-3</v>
      </c>
      <c r="FW401" s="212">
        <v>2079.7881755308567</v>
      </c>
      <c r="FX401" s="212">
        <v>32.141894990832064</v>
      </c>
      <c r="FY401" s="212">
        <v>0.98468253602444589</v>
      </c>
      <c r="FZ401" s="212">
        <v>198.46986288953889</v>
      </c>
      <c r="GA401" s="216">
        <v>9.5427967450025408E-2</v>
      </c>
      <c r="GB401" s="257">
        <v>43924</v>
      </c>
      <c r="GC401" s="160" t="s">
        <v>1689</v>
      </c>
      <c r="GD401" s="212">
        <v>2079.7881755308567</v>
      </c>
      <c r="GE401" s="212">
        <v>868</v>
      </c>
      <c r="GF401" s="74" t="s">
        <v>1690</v>
      </c>
      <c r="GG401" s="156">
        <v>43924</v>
      </c>
      <c r="GH401" s="25">
        <v>37</v>
      </c>
      <c r="GI401" s="21" t="s">
        <v>1691</v>
      </c>
      <c r="GJ401" s="161"/>
      <c r="GK401" s="161" t="s">
        <v>1692</v>
      </c>
      <c r="GL401" s="23"/>
      <c r="GM401" s="23" t="s">
        <v>1693</v>
      </c>
      <c r="GN401" s="165">
        <v>1659.6558317399617</v>
      </c>
      <c r="GO401" s="156"/>
      <c r="GP401" s="218"/>
      <c r="GQ401" s="156"/>
      <c r="GR401" s="25"/>
      <c r="GS401" s="23"/>
      <c r="GT401" s="11"/>
      <c r="GU401" s="12"/>
      <c r="GV401" s="259"/>
      <c r="GW401" s="260"/>
      <c r="GX401" s="219"/>
      <c r="GY401" s="25"/>
      <c r="GZ401" s="25"/>
      <c r="HA401" s="25"/>
      <c r="HB401" s="102"/>
    </row>
    <row r="402" spans="171:210" x14ac:dyDescent="0.25">
      <c r="FO402" s="267" t="s">
        <v>1068</v>
      </c>
      <c r="FP402" s="251">
        <v>43925.48233796296</v>
      </c>
      <c r="FQ402" s="244">
        <v>43852</v>
      </c>
      <c r="FR402" s="160">
        <v>43888</v>
      </c>
      <c r="FS402" s="211">
        <v>9</v>
      </c>
      <c r="FT402" s="72">
        <v>0.19847017432454905</v>
      </c>
      <c r="FU402" s="74">
        <v>9.5427962861140584E-5</v>
      </c>
      <c r="FV402" s="74">
        <v>1E-3</v>
      </c>
      <c r="FW402" s="212">
        <v>2079.7905391038007</v>
      </c>
      <c r="FX402" s="212">
        <v>32.141894829294884</v>
      </c>
      <c r="FY402" s="212">
        <v>0.98468253617840951</v>
      </c>
      <c r="FZ402" s="212">
        <v>198.47007889658619</v>
      </c>
      <c r="GA402" s="213">
        <v>9.5427962861140581E-2</v>
      </c>
      <c r="GB402" s="246">
        <v>43924</v>
      </c>
      <c r="GC402" s="160" t="s">
        <v>1689</v>
      </c>
      <c r="GD402" s="212">
        <v>2079.7905391038007</v>
      </c>
      <c r="GE402" s="212">
        <v>868</v>
      </c>
      <c r="GF402" s="74" t="s">
        <v>1690</v>
      </c>
      <c r="GG402" s="156">
        <v>43924</v>
      </c>
      <c r="GH402" s="25">
        <v>37</v>
      </c>
      <c r="GI402" s="21" t="s">
        <v>1691</v>
      </c>
      <c r="GJ402" s="161"/>
      <c r="GK402" s="161" t="s">
        <v>1692</v>
      </c>
      <c r="GL402" s="23"/>
      <c r="GM402" s="23" t="s">
        <v>1693</v>
      </c>
      <c r="GN402" s="165">
        <v>1659.6558317399617</v>
      </c>
      <c r="GO402" s="156"/>
      <c r="GP402" s="218"/>
      <c r="GQ402" s="156"/>
      <c r="GR402" s="25"/>
      <c r="GS402" s="23"/>
      <c r="GT402" s="11"/>
      <c r="GU402" s="34"/>
      <c r="GV402" s="241"/>
      <c r="GW402" s="242"/>
      <c r="GX402" s="219"/>
      <c r="GY402" s="25"/>
      <c r="GZ402" s="25"/>
      <c r="HA402" s="25"/>
      <c r="HB402" s="25"/>
    </row>
    <row r="403" spans="171:210" x14ac:dyDescent="0.25">
      <c r="FO403" s="267" t="s">
        <v>1068</v>
      </c>
      <c r="FP403" s="251">
        <v>43926.549895833334</v>
      </c>
      <c r="FQ403" s="244">
        <v>43852</v>
      </c>
      <c r="FR403" s="160">
        <v>43888</v>
      </c>
      <c r="FS403" s="211">
        <v>9</v>
      </c>
      <c r="FT403" s="72">
        <v>0.19895093476266462</v>
      </c>
      <c r="FU403" s="72">
        <v>1.0489967015682646E-4</v>
      </c>
      <c r="FV403" s="74">
        <v>1E-3</v>
      </c>
      <c r="FW403" s="212">
        <v>1896.5830346771368</v>
      </c>
      <c r="FX403" s="212">
        <v>32.45500168492746</v>
      </c>
      <c r="FY403" s="212">
        <v>0.98711525682404389</v>
      </c>
      <c r="FZ403" s="212">
        <v>198.95082986299445</v>
      </c>
      <c r="GA403" s="213">
        <v>0.10489967015682647</v>
      </c>
      <c r="GB403" s="246">
        <v>43925</v>
      </c>
      <c r="GC403" s="160" t="s">
        <v>1904</v>
      </c>
      <c r="GD403" s="212">
        <v>1896.5830346771368</v>
      </c>
      <c r="GE403" s="212">
        <v>950</v>
      </c>
      <c r="GF403" s="74" t="s">
        <v>1882</v>
      </c>
      <c r="GG403" s="156">
        <v>43925</v>
      </c>
      <c r="GH403" s="25">
        <v>38</v>
      </c>
      <c r="GI403" s="23" t="s">
        <v>1905</v>
      </c>
      <c r="GJ403" s="21"/>
      <c r="GK403" s="161" t="s">
        <v>1906</v>
      </c>
      <c r="GL403" s="23"/>
      <c r="GM403" s="23" t="s">
        <v>1907</v>
      </c>
      <c r="GN403" s="165">
        <v>1816.4435946462715</v>
      </c>
      <c r="GO403" s="156"/>
      <c r="GP403" s="218"/>
      <c r="GQ403" s="156"/>
      <c r="GR403" s="23"/>
      <c r="GS403" s="23"/>
      <c r="GT403" s="11"/>
      <c r="GU403" s="34"/>
      <c r="GV403" s="241"/>
      <c r="GW403" s="242"/>
      <c r="GX403" s="219"/>
      <c r="GY403" s="25"/>
      <c r="GZ403" s="25"/>
      <c r="HA403" s="25"/>
      <c r="HB403" s="25"/>
    </row>
    <row r="404" spans="171:210" x14ac:dyDescent="0.25">
      <c r="FO404" s="267" t="s">
        <v>1068</v>
      </c>
      <c r="FP404" s="251">
        <v>43927.80505787037</v>
      </c>
      <c r="FQ404" s="244">
        <v>43852</v>
      </c>
      <c r="FR404" s="160">
        <v>43888</v>
      </c>
      <c r="FS404" s="211">
        <v>9</v>
      </c>
      <c r="FT404" s="72">
        <v>0.19920923155066861</v>
      </c>
      <c r="FU404" s="72">
        <v>1.0933069937599982E-4</v>
      </c>
      <c r="FV404" s="74">
        <v>1E-3</v>
      </c>
      <c r="FW404" s="212">
        <v>1822.0795502786186</v>
      </c>
      <c r="FX404" s="212">
        <v>32.299621788246327</v>
      </c>
      <c r="FY404" s="212">
        <v>0.98937105277574955</v>
      </c>
      <c r="FZ404" s="212">
        <v>199.2091222199692</v>
      </c>
      <c r="GA404" s="213">
        <v>0.10933069937599982</v>
      </c>
      <c r="GB404" s="246">
        <v>43926</v>
      </c>
      <c r="GC404" s="160" t="s">
        <v>1953</v>
      </c>
      <c r="GD404" s="212">
        <v>1822.0795502786186</v>
      </c>
      <c r="GE404" s="212">
        <v>1039</v>
      </c>
      <c r="GF404" s="74" t="s">
        <v>1954</v>
      </c>
      <c r="GG404" s="156">
        <v>43926</v>
      </c>
      <c r="GH404" s="25">
        <v>39</v>
      </c>
      <c r="GI404" s="23" t="s">
        <v>1955</v>
      </c>
      <c r="GJ404" s="21"/>
      <c r="GK404" s="161" t="s">
        <v>1956</v>
      </c>
      <c r="GL404" s="23"/>
      <c r="GM404" s="23" t="s">
        <v>1957</v>
      </c>
      <c r="GN404" s="165">
        <v>1986.6156787762905</v>
      </c>
      <c r="GO404" s="243"/>
      <c r="GP404" s="218"/>
      <c r="GQ404" s="243"/>
      <c r="GR404" s="23"/>
      <c r="GS404" s="23"/>
      <c r="GT404" s="11"/>
      <c r="GU404" s="34"/>
      <c r="GV404" s="241"/>
      <c r="GW404" s="242"/>
      <c r="GX404" s="219"/>
      <c r="GY404" s="25"/>
      <c r="GZ404" s="25"/>
      <c r="HA404" s="25"/>
      <c r="HB404" s="25"/>
    </row>
    <row r="405" spans="171:210" x14ac:dyDescent="0.25">
      <c r="FO405" s="263" t="s">
        <v>1068</v>
      </c>
      <c r="FP405" s="251">
        <v>43928.7496875</v>
      </c>
      <c r="FQ405" s="244">
        <v>43852</v>
      </c>
      <c r="FR405" s="26">
        <v>43888</v>
      </c>
      <c r="FS405" s="211">
        <v>9</v>
      </c>
      <c r="FT405" s="72">
        <v>0.19946934508702843</v>
      </c>
      <c r="FU405" s="72">
        <v>1.1325316892314551E-4</v>
      </c>
      <c r="FV405" s="74">
        <v>1E-3</v>
      </c>
      <c r="FW405" s="212">
        <v>1761.2694371703619</v>
      </c>
      <c r="FX405" s="214">
        <v>32.232270724293748</v>
      </c>
      <c r="FY405" s="214">
        <v>0.9910186079082296</v>
      </c>
      <c r="FZ405" s="212">
        <v>199.46923183385948</v>
      </c>
      <c r="GA405" s="213">
        <v>0.11325316892314552</v>
      </c>
      <c r="GB405" s="246">
        <v>43927</v>
      </c>
      <c r="GC405" s="26" t="s">
        <v>1614</v>
      </c>
      <c r="GD405" s="214">
        <v>1761.2694371703619</v>
      </c>
      <c r="GE405" s="214">
        <v>1106</v>
      </c>
      <c r="GF405" s="73" t="s">
        <v>761</v>
      </c>
      <c r="GG405" s="156">
        <v>43927</v>
      </c>
      <c r="GH405" s="25">
        <v>40</v>
      </c>
      <c r="GI405" s="25" t="s">
        <v>2001</v>
      </c>
      <c r="GK405" s="62" t="s">
        <v>2002</v>
      </c>
      <c r="GM405" s="25" t="s">
        <v>2003</v>
      </c>
      <c r="GN405" s="165">
        <v>2114.72275334608</v>
      </c>
      <c r="GO405" s="156"/>
      <c r="GP405" s="218"/>
      <c r="GQ405" s="156"/>
      <c r="GR405" s="25"/>
      <c r="GS405" s="25"/>
      <c r="GT405" s="11">
        <v>2810.245407927302</v>
      </c>
      <c r="GU405" s="12">
        <v>1.5241842304525889E-2</v>
      </c>
      <c r="GV405" s="241">
        <v>43911</v>
      </c>
      <c r="GW405" s="242" t="s">
        <v>1650</v>
      </c>
      <c r="GX405" s="219">
        <v>100.95560025798977</v>
      </c>
      <c r="GY405" s="25" t="s">
        <v>1068</v>
      </c>
      <c r="GZ405" s="25"/>
      <c r="HA405" s="25"/>
      <c r="HB405" s="25"/>
    </row>
    <row r="406" spans="171:210" x14ac:dyDescent="0.25">
      <c r="FO406" s="267" t="s">
        <v>1068</v>
      </c>
      <c r="FP406" s="251">
        <v>43929.572615740741</v>
      </c>
      <c r="FQ406" s="244">
        <v>43852</v>
      </c>
      <c r="FR406" s="160">
        <v>43888</v>
      </c>
      <c r="FS406" s="211">
        <v>9</v>
      </c>
      <c r="FT406" s="72">
        <v>0.19975341810247108</v>
      </c>
      <c r="FU406" s="72">
        <v>1.1706134928485578E-4</v>
      </c>
      <c r="FV406" s="74">
        <v>1E-3</v>
      </c>
      <c r="FW406" s="212">
        <v>1706.3994163982625</v>
      </c>
      <c r="FX406" s="212">
        <v>32.350866084930722</v>
      </c>
      <c r="FY406" s="212">
        <v>0.99217287308442115</v>
      </c>
      <c r="FZ406" s="212">
        <v>199.7533010411218</v>
      </c>
      <c r="GA406" s="213">
        <v>0.11706134928485579</v>
      </c>
      <c r="GB406" s="246">
        <v>43928</v>
      </c>
      <c r="GC406" s="160" t="s">
        <v>1436</v>
      </c>
      <c r="GD406" s="212">
        <v>1706.3994163982625</v>
      </c>
      <c r="GE406" s="212">
        <v>1160</v>
      </c>
      <c r="GF406" s="74" t="s">
        <v>813</v>
      </c>
      <c r="GG406" s="156">
        <v>43928</v>
      </c>
      <c r="GH406" s="25">
        <v>41</v>
      </c>
      <c r="GI406" s="23" t="s">
        <v>2007</v>
      </c>
      <c r="GJ406" s="21"/>
      <c r="GK406" s="161" t="s">
        <v>2008</v>
      </c>
      <c r="GL406" s="23"/>
      <c r="GM406" s="23" t="s">
        <v>2009</v>
      </c>
      <c r="GN406" s="204">
        <v>2217.9732313575523</v>
      </c>
      <c r="GO406" s="156"/>
      <c r="GP406" s="218"/>
      <c r="GQ406" s="243"/>
      <c r="GR406" s="23"/>
      <c r="GS406" s="23"/>
      <c r="GT406" s="11">
        <v>2810.245407927302</v>
      </c>
      <c r="GU406" s="34">
        <v>1.4585778415878249E-2</v>
      </c>
      <c r="GV406" s="241">
        <v>43911</v>
      </c>
      <c r="GW406" s="242" t="s">
        <v>1650</v>
      </c>
      <c r="GX406" s="220">
        <v>97.842507419394906</v>
      </c>
      <c r="GY406" s="23" t="s">
        <v>1068</v>
      </c>
      <c r="GZ406" s="23"/>
      <c r="HA406" s="25"/>
      <c r="HB406" s="25"/>
    </row>
    <row r="407" spans="171:210" x14ac:dyDescent="0.25">
      <c r="FO407" s="267" t="s">
        <v>93</v>
      </c>
      <c r="FP407" s="251">
        <v>43930.812719907408</v>
      </c>
      <c r="FQ407" s="244">
        <v>43889</v>
      </c>
      <c r="FR407" s="160">
        <v>43891</v>
      </c>
      <c r="FS407" s="211">
        <v>9</v>
      </c>
      <c r="FT407" s="72">
        <v>0.26345070595283443</v>
      </c>
      <c r="FU407" s="72">
        <v>1.9684943501721273E-4</v>
      </c>
      <c r="FV407" s="74">
        <v>0.2746801836692998</v>
      </c>
      <c r="FW407" s="212">
        <v>1338.3361040878681</v>
      </c>
      <c r="FX407" s="212">
        <v>20.406448324978715</v>
      </c>
      <c r="FY407" s="212">
        <v>0.9973683573188884</v>
      </c>
      <c r="FZ407" s="212">
        <v>0.95892114165390296</v>
      </c>
      <c r="GA407" s="213">
        <v>0.19684943501721275</v>
      </c>
      <c r="GB407" s="246">
        <v>43929</v>
      </c>
      <c r="GC407" s="160" t="s">
        <v>2055</v>
      </c>
      <c r="GD407" s="212">
        <v>1338.3361040878681</v>
      </c>
      <c r="GE407" s="212">
        <v>1210</v>
      </c>
      <c r="GF407" s="74" t="s">
        <v>2056</v>
      </c>
      <c r="GG407" s="156">
        <v>43929</v>
      </c>
      <c r="GH407" s="25">
        <v>42</v>
      </c>
      <c r="GI407" s="23" t="s">
        <v>2058</v>
      </c>
      <c r="GJ407" s="21"/>
      <c r="GK407" s="161" t="s">
        <v>2057</v>
      </c>
      <c r="GL407" s="23"/>
      <c r="GM407" s="23" t="s">
        <v>2059</v>
      </c>
      <c r="GN407" s="204">
        <v>2313.5755258126196</v>
      </c>
      <c r="GO407" s="243"/>
      <c r="GP407" s="218"/>
      <c r="GQ407" s="243"/>
      <c r="GR407" s="23"/>
      <c r="GS407" s="23"/>
      <c r="GT407" s="11">
        <v>2806.5119453888437</v>
      </c>
      <c r="GU407" s="34">
        <v>8.8203078297222053E-3</v>
      </c>
      <c r="GV407" s="241">
        <v>43911</v>
      </c>
      <c r="GW407" s="242" t="s">
        <v>1650</v>
      </c>
      <c r="GX407" s="220">
        <v>7.5257456544291017</v>
      </c>
      <c r="GY407" s="23" t="s">
        <v>1068</v>
      </c>
      <c r="GZ407" s="23"/>
      <c r="HA407" s="25"/>
      <c r="HB407" s="25"/>
    </row>
    <row r="408" spans="171:210" x14ac:dyDescent="0.25">
      <c r="FO408" s="267" t="s">
        <v>93</v>
      </c>
      <c r="FP408" s="251">
        <v>43931.868773148148</v>
      </c>
      <c r="FQ408" s="244">
        <v>43889</v>
      </c>
      <c r="FR408" s="160">
        <v>43891</v>
      </c>
      <c r="FS408" s="211">
        <v>9</v>
      </c>
      <c r="FT408" s="72">
        <v>0.26059545266205636</v>
      </c>
      <c r="FU408" s="72">
        <v>1.9245864541642159E-4</v>
      </c>
      <c r="FV408" s="74">
        <v>0.29605083938030491</v>
      </c>
      <c r="FW408" s="212">
        <v>1354.0334969011528</v>
      </c>
      <c r="FX408" s="212">
        <v>20.325352910151334</v>
      </c>
      <c r="FY408" s="212">
        <v>0.99765579583945507</v>
      </c>
      <c r="FZ408" s="212">
        <v>0.88004639900327686</v>
      </c>
      <c r="GA408" s="213">
        <v>0.1924586454164216</v>
      </c>
      <c r="GB408" s="246">
        <v>43930</v>
      </c>
      <c r="GC408" s="160" t="s">
        <v>2113</v>
      </c>
      <c r="GD408" s="212">
        <v>1354.0334969011528</v>
      </c>
      <c r="GE408" s="212">
        <v>1239</v>
      </c>
      <c r="GF408" s="74" t="s">
        <v>2114</v>
      </c>
      <c r="GG408" s="243">
        <v>43930</v>
      </c>
      <c r="GH408" s="160">
        <v>43</v>
      </c>
      <c r="GI408" s="23" t="s">
        <v>2115</v>
      </c>
      <c r="GJ408" s="21"/>
      <c r="GK408" s="161" t="s">
        <v>2116</v>
      </c>
      <c r="GL408" s="23"/>
      <c r="GM408" s="23" t="s">
        <v>2117</v>
      </c>
      <c r="GN408" s="204">
        <v>2369.024856596558</v>
      </c>
      <c r="GO408" s="243"/>
      <c r="GP408" s="218"/>
      <c r="GQ408" s="243"/>
      <c r="GR408" s="23"/>
      <c r="GS408" s="23"/>
      <c r="GT408" s="11">
        <v>1316.574520575474</v>
      </c>
      <c r="GU408" s="34">
        <v>8.5796283874165855E-3</v>
      </c>
      <c r="GV408" s="241">
        <v>43911</v>
      </c>
      <c r="GW408" s="242" t="s">
        <v>1650</v>
      </c>
      <c r="GX408" s="220">
        <v>13.936083552856871</v>
      </c>
      <c r="GY408" s="23" t="s">
        <v>1068</v>
      </c>
      <c r="GZ408" s="23"/>
      <c r="HA408" s="25"/>
      <c r="HB408" s="102"/>
    </row>
    <row r="409" spans="171:210" x14ac:dyDescent="0.25">
      <c r="FO409" s="267" t="s">
        <v>2133</v>
      </c>
      <c r="FP409" s="251">
        <v>43933.910324074073</v>
      </c>
      <c r="FQ409" s="244">
        <v>43852</v>
      </c>
      <c r="FR409" s="160">
        <v>43852</v>
      </c>
      <c r="FS409" s="211">
        <v>9</v>
      </c>
      <c r="FT409" s="72">
        <v>0.15147239155488809</v>
      </c>
      <c r="FU409" s="72">
        <v>3.5640856114125895E-4</v>
      </c>
      <c r="FV409" s="74">
        <v>3.3737080946206872E-2</v>
      </c>
      <c r="FW409" s="212">
        <v>424.996501402371</v>
      </c>
      <c r="FX409" s="212">
        <v>16.084064563334945</v>
      </c>
      <c r="FY409" s="212">
        <v>0.98456635023578121</v>
      </c>
      <c r="FZ409" s="212">
        <v>4.4894330843830739</v>
      </c>
      <c r="GA409" s="213">
        <v>0.35640856114125896</v>
      </c>
      <c r="GB409" s="246">
        <v>43932</v>
      </c>
      <c r="GC409" s="160" t="s">
        <v>2250</v>
      </c>
      <c r="GD409" s="212">
        <v>424.99650140162146</v>
      </c>
      <c r="GE409" s="212">
        <v>385</v>
      </c>
      <c r="GF409" s="74" t="s">
        <v>2251</v>
      </c>
      <c r="GG409" s="243">
        <v>43932</v>
      </c>
      <c r="GH409" s="160">
        <v>81</v>
      </c>
      <c r="GI409" s="23" t="s">
        <v>2252</v>
      </c>
      <c r="GJ409" s="21"/>
      <c r="GK409" s="161" t="s">
        <v>2253</v>
      </c>
      <c r="GL409" s="23"/>
      <c r="GM409" s="23" t="s">
        <v>2254</v>
      </c>
      <c r="GN409" s="23">
        <v>161.71522645886245</v>
      </c>
      <c r="GO409" s="243"/>
      <c r="GP409" s="218"/>
      <c r="GQ409" s="243"/>
      <c r="GR409" s="23"/>
      <c r="GS409" s="23"/>
      <c r="GT409" s="11">
        <v>415.10580413285794</v>
      </c>
      <c r="GU409" s="34">
        <v>9.9459184614421284E-2</v>
      </c>
      <c r="GV409" s="241">
        <v>43913</v>
      </c>
      <c r="GW409" s="242" t="s">
        <v>2134</v>
      </c>
      <c r="GX409" s="220">
        <v>16.271401225337513</v>
      </c>
      <c r="GY409" s="23" t="s">
        <v>1068</v>
      </c>
      <c r="GZ409" s="23"/>
      <c r="HA409" s="25"/>
      <c r="HB409" s="102"/>
    </row>
    <row r="410" spans="171:210" x14ac:dyDescent="0.25">
      <c r="FO410" s="267" t="s">
        <v>2133</v>
      </c>
      <c r="FP410" s="251">
        <v>43933.917754629627</v>
      </c>
      <c r="FQ410" s="244">
        <v>43852</v>
      </c>
      <c r="FR410" s="160">
        <v>43852</v>
      </c>
      <c r="FS410" s="211">
        <v>9</v>
      </c>
      <c r="FT410" s="72">
        <v>0.15147136635546468</v>
      </c>
      <c r="FU410" s="72">
        <v>3.5641448277159505E-4</v>
      </c>
      <c r="FV410" s="74">
        <v>3.3737299432200794E-2</v>
      </c>
      <c r="FW410" s="212">
        <v>424.98656389486206</v>
      </c>
      <c r="FX410" s="212">
        <v>16.084063648345563</v>
      </c>
      <c r="FY410" s="212">
        <v>0.98456635199175835</v>
      </c>
      <c r="FZ410" s="212">
        <v>4.4893736144386249</v>
      </c>
      <c r="GA410" s="213">
        <v>0.35641448277159504</v>
      </c>
      <c r="GB410" s="246">
        <v>43932</v>
      </c>
      <c r="GC410" s="160" t="s">
        <v>2250</v>
      </c>
      <c r="GD410" s="212">
        <v>424.98656389411241</v>
      </c>
      <c r="GE410" s="212">
        <v>385</v>
      </c>
      <c r="GF410" s="74" t="s">
        <v>2251</v>
      </c>
      <c r="GG410" s="243">
        <v>43932</v>
      </c>
      <c r="GH410" s="160">
        <v>81</v>
      </c>
      <c r="GI410" s="23" t="s">
        <v>2286</v>
      </c>
      <c r="GJ410" s="21"/>
      <c r="GK410" s="161" t="s">
        <v>2253</v>
      </c>
      <c r="GL410" s="23"/>
      <c r="GM410" s="23" t="s">
        <v>2287</v>
      </c>
      <c r="GN410" s="23">
        <v>161.71522645886245</v>
      </c>
      <c r="GO410" s="243"/>
      <c r="GP410" s="218"/>
      <c r="GQ410" s="243"/>
      <c r="GR410" s="23"/>
      <c r="GS410" s="23"/>
      <c r="GT410" s="11">
        <v>415.09552472402061</v>
      </c>
      <c r="GU410" s="34">
        <v>9.9459178956392641E-2</v>
      </c>
      <c r="GV410" s="241">
        <v>43913</v>
      </c>
      <c r="GW410" s="242" t="s">
        <v>2134</v>
      </c>
      <c r="GX410" s="220">
        <v>16.260827207664306</v>
      </c>
      <c r="GY410" s="23" t="s">
        <v>1068</v>
      </c>
      <c r="GZ410" s="23"/>
      <c r="HA410" s="25"/>
      <c r="HB410" s="102"/>
    </row>
    <row r="411" spans="171:210" x14ac:dyDescent="0.25">
      <c r="FO411" s="267" t="s">
        <v>2133</v>
      </c>
      <c r="FP411" s="251">
        <v>43933.921620370369</v>
      </c>
      <c r="FQ411" s="244">
        <v>43852</v>
      </c>
      <c r="FR411" s="160">
        <v>43852</v>
      </c>
      <c r="FS411" s="211">
        <v>9</v>
      </c>
      <c r="FT411" s="72">
        <v>0.15147136635546468</v>
      </c>
      <c r="FU411" s="72">
        <v>3.5641448277159505E-4</v>
      </c>
      <c r="FV411" s="74">
        <v>3.3737299432200794E-2</v>
      </c>
      <c r="FW411" s="212">
        <v>424.98656389486206</v>
      </c>
      <c r="FX411" s="212">
        <v>16.084063648345563</v>
      </c>
      <c r="FY411" s="212">
        <v>0.98456635199175835</v>
      </c>
      <c r="FZ411" s="212">
        <v>4.4893736144386249</v>
      </c>
      <c r="GA411" s="213">
        <v>0.35641448277159504</v>
      </c>
      <c r="GB411" s="246">
        <v>43932</v>
      </c>
      <c r="GC411" s="160" t="s">
        <v>2250</v>
      </c>
      <c r="GD411" s="212">
        <v>424.98656389411241</v>
      </c>
      <c r="GE411" s="212">
        <v>385</v>
      </c>
      <c r="GF411" s="74" t="s">
        <v>2251</v>
      </c>
      <c r="GG411" s="243">
        <v>43932</v>
      </c>
      <c r="GH411" s="160">
        <v>81</v>
      </c>
      <c r="GI411" s="23" t="s">
        <v>2252</v>
      </c>
      <c r="GJ411" s="21"/>
      <c r="GK411" s="161" t="s">
        <v>2253</v>
      </c>
      <c r="GL411" s="23"/>
      <c r="GM411" s="23" t="s">
        <v>2254</v>
      </c>
      <c r="GN411" s="23">
        <v>161.71522645886245</v>
      </c>
      <c r="GO411" s="243"/>
      <c r="GP411" s="218"/>
      <c r="GQ411" s="243"/>
      <c r="GR411" s="23"/>
      <c r="GS411" s="23"/>
      <c r="GT411" s="11">
        <v>415.09552472402061</v>
      </c>
      <c r="GU411" s="34">
        <v>9.9459178956392641E-2</v>
      </c>
      <c r="GV411" s="241">
        <v>43913</v>
      </c>
      <c r="GW411" s="242" t="s">
        <v>2134</v>
      </c>
      <c r="GX411" s="220">
        <v>16.260827207664306</v>
      </c>
      <c r="GY411" s="23" t="s">
        <v>1068</v>
      </c>
      <c r="GZ411" s="23"/>
      <c r="HA411" s="25"/>
      <c r="HB411" s="102"/>
    </row>
    <row r="412" spans="171:210" x14ac:dyDescent="0.25">
      <c r="FO412" s="273" t="s">
        <v>2133</v>
      </c>
      <c r="FP412" s="252">
        <v>43934.703425925924</v>
      </c>
      <c r="FQ412" s="244">
        <v>43852</v>
      </c>
      <c r="FR412" s="160">
        <v>43852</v>
      </c>
      <c r="FS412" s="211">
        <v>9</v>
      </c>
      <c r="FT412" s="72">
        <v>0.15147136635546468</v>
      </c>
      <c r="FU412" s="72">
        <v>3.5641448277159505E-4</v>
      </c>
      <c r="FV412" s="74">
        <v>3.3737299432200794E-2</v>
      </c>
      <c r="FW412" s="212">
        <v>424.98656389486206</v>
      </c>
      <c r="FX412" s="214">
        <v>16.084063648345563</v>
      </c>
      <c r="FY412" s="214">
        <v>0.98456635199175835</v>
      </c>
      <c r="FZ412" s="212">
        <v>4.4893736144386249</v>
      </c>
      <c r="GA412" s="213">
        <v>0.35641448277159504</v>
      </c>
      <c r="GB412" s="246">
        <v>43932</v>
      </c>
      <c r="GC412" s="26" t="s">
        <v>2250</v>
      </c>
      <c r="GD412" s="214">
        <v>424.98656389411241</v>
      </c>
      <c r="GE412" s="214">
        <v>385</v>
      </c>
      <c r="GF412" s="73" t="s">
        <v>2251</v>
      </c>
      <c r="GG412" s="156">
        <v>43932</v>
      </c>
      <c r="GH412" s="26">
        <v>81</v>
      </c>
      <c r="GI412" s="25" t="s">
        <v>2252</v>
      </c>
      <c r="GK412" s="62" t="s">
        <v>2253</v>
      </c>
      <c r="GM412" s="25" t="s">
        <v>2254</v>
      </c>
      <c r="GN412" s="25">
        <v>161.71522645886245</v>
      </c>
      <c r="GO412" s="156"/>
      <c r="GP412" s="218"/>
      <c r="GQ412" s="156"/>
      <c r="GR412" s="25"/>
      <c r="GS412" s="25"/>
      <c r="GT412" s="11">
        <v>415.09552472402061</v>
      </c>
      <c r="GU412" s="12">
        <v>9.9459178956392641E-2</v>
      </c>
      <c r="GV412" s="160">
        <v>43913</v>
      </c>
      <c r="GW412" s="242" t="s">
        <v>2134</v>
      </c>
      <c r="GX412" s="219">
        <v>16.260827207664306</v>
      </c>
      <c r="GY412" s="25" t="s">
        <v>1068</v>
      </c>
      <c r="GZ412" s="25" t="s">
        <v>1068</v>
      </c>
      <c r="HA412" s="25"/>
      <c r="HB412" s="25"/>
    </row>
    <row r="413" spans="171:210" x14ac:dyDescent="0.25">
      <c r="FO413" s="263" t="s">
        <v>659</v>
      </c>
      <c r="FP413" s="252">
        <v>43934.880439814813</v>
      </c>
      <c r="FQ413" s="244">
        <v>43890</v>
      </c>
      <c r="FR413" s="160">
        <v>43890</v>
      </c>
      <c r="FS413" s="211">
        <v>9</v>
      </c>
      <c r="FT413" s="72">
        <v>0.12930096055045587</v>
      </c>
      <c r="FU413" s="72">
        <v>5.8115981127338561E-6</v>
      </c>
      <c r="FV413" s="74">
        <v>61.270239004597762</v>
      </c>
      <c r="FW413" s="212">
        <v>22248.778742484468</v>
      </c>
      <c r="FX413" s="214">
        <v>249.4683105064515</v>
      </c>
      <c r="FY413" s="214">
        <v>0.99247515833138644</v>
      </c>
      <c r="FZ413" s="212">
        <v>2.1045271675113569E-3</v>
      </c>
      <c r="GA413" s="213">
        <v>5.8115981127338564E-3</v>
      </c>
      <c r="GB413" s="246">
        <v>43933</v>
      </c>
      <c r="GC413" s="26" t="s">
        <v>2374</v>
      </c>
      <c r="GD413" s="214">
        <v>22248.777188655895</v>
      </c>
      <c r="GE413" s="214">
        <v>9655</v>
      </c>
      <c r="GF413" s="73" t="s">
        <v>2375</v>
      </c>
      <c r="GG413" s="156">
        <v>43933</v>
      </c>
      <c r="GH413" s="26">
        <v>82</v>
      </c>
      <c r="GI413" s="25" t="s">
        <v>2376</v>
      </c>
      <c r="GK413" s="62" t="s">
        <v>2377</v>
      </c>
      <c r="GM413" s="25" t="s">
        <v>2378</v>
      </c>
      <c r="GN413" s="25">
        <v>19704.081632653062</v>
      </c>
      <c r="GO413" s="156"/>
      <c r="GP413" s="218"/>
      <c r="GQ413" s="156"/>
      <c r="GR413" s="25"/>
      <c r="GS413" s="25"/>
      <c r="GT413" s="11">
        <v>14227.390576860931</v>
      </c>
      <c r="GU413" s="12">
        <v>1.2660742842896037E-2</v>
      </c>
      <c r="GV413" s="160">
        <v>43901</v>
      </c>
      <c r="GW413" s="242" t="s">
        <v>2373</v>
      </c>
      <c r="GX413" s="219">
        <v>345.51148913112229</v>
      </c>
      <c r="GY413" s="25" t="s">
        <v>1068</v>
      </c>
      <c r="GZ413" s="25" t="s">
        <v>1068</v>
      </c>
      <c r="HA413" s="25"/>
      <c r="HB413" s="99"/>
    </row>
    <row r="414" spans="171:210" x14ac:dyDescent="0.25">
      <c r="FO414" s="263" t="s">
        <v>659</v>
      </c>
      <c r="FP414" s="251">
        <v>43935.630173611113</v>
      </c>
      <c r="FQ414" s="243">
        <v>43890</v>
      </c>
      <c r="FR414" s="26">
        <v>43890</v>
      </c>
      <c r="FS414" s="211">
        <v>9</v>
      </c>
      <c r="FT414" s="44">
        <v>0.12930096055045587</v>
      </c>
      <c r="FU414" s="71">
        <v>5.8107050081416295E-6</v>
      </c>
      <c r="FV414" s="73">
        <v>61.270239004597762</v>
      </c>
      <c r="FW414" s="212">
        <v>22252.198376838391</v>
      </c>
      <c r="FX414" s="212">
        <v>249.46825409280024</v>
      </c>
      <c r="FY414" s="227">
        <v>0.99247516173465433</v>
      </c>
      <c r="FZ414" s="214">
        <v>2.1045280606159494E-3</v>
      </c>
      <c r="GA414" s="216">
        <v>5.8107050081416291E-3</v>
      </c>
      <c r="GB414" s="257">
        <v>43933</v>
      </c>
      <c r="GC414" s="26" t="s">
        <v>2401</v>
      </c>
      <c r="GD414" s="214">
        <v>22252.19682253147</v>
      </c>
      <c r="GE414" s="214">
        <v>9655</v>
      </c>
      <c r="GF414" s="73" t="s">
        <v>2375</v>
      </c>
      <c r="GG414" s="156">
        <v>43933</v>
      </c>
      <c r="GH414" s="26">
        <v>82</v>
      </c>
      <c r="GI414" s="26" t="s">
        <v>2402</v>
      </c>
      <c r="GJ414" s="25"/>
      <c r="GK414" s="62" t="s">
        <v>2377</v>
      </c>
      <c r="GM414" s="18" t="s">
        <v>2403</v>
      </c>
      <c r="GN414" s="11">
        <v>19704.081632653062</v>
      </c>
      <c r="GO414" s="156">
        <v>43916</v>
      </c>
      <c r="GP414" s="218">
        <v>18</v>
      </c>
      <c r="GQ414" s="156">
        <v>43914</v>
      </c>
      <c r="GR414" s="11">
        <v>20</v>
      </c>
      <c r="GS414" s="25"/>
      <c r="GT414" s="11">
        <v>14228.786678402455</v>
      </c>
      <c r="GU414" s="12">
        <v>1.2660739979852108E-2</v>
      </c>
      <c r="GV414" s="240">
        <v>43903</v>
      </c>
      <c r="GW414" s="237" t="s">
        <v>2400</v>
      </c>
      <c r="GX414" s="230">
        <v>346.19998851412674</v>
      </c>
      <c r="GY414" s="102" t="s">
        <v>1068</v>
      </c>
      <c r="GZ414" s="102" t="s">
        <v>1068</v>
      </c>
      <c r="HA414" s="25"/>
      <c r="HB414" s="102"/>
    </row>
    <row r="415" spans="171:210" x14ac:dyDescent="0.25">
      <c r="FO415" s="263" t="s">
        <v>659</v>
      </c>
      <c r="FP415" s="250">
        <v>43938.51295138889</v>
      </c>
      <c r="FQ415" s="156">
        <v>43890</v>
      </c>
      <c r="FR415" s="26">
        <v>43890</v>
      </c>
      <c r="FS415" s="211">
        <v>9</v>
      </c>
      <c r="FT415" s="44">
        <v>0.12928194698289414</v>
      </c>
      <c r="FU415" s="71">
        <v>5.086356477397043E-6</v>
      </c>
      <c r="FV415" s="73">
        <v>61.268714606254619</v>
      </c>
      <c r="FW415" s="212">
        <v>25417.398005311363</v>
      </c>
      <c r="FX415" s="212">
        <v>280.76698439227363</v>
      </c>
      <c r="FY415" s="227">
        <v>0.99441760319953365</v>
      </c>
      <c r="FZ415" s="214">
        <v>2.1049945847293632E-3</v>
      </c>
      <c r="GA415" s="213">
        <v>5.0863564773970431E-3</v>
      </c>
      <c r="GB415" s="246">
        <v>43937</v>
      </c>
      <c r="GC415" s="26" t="s">
        <v>2474</v>
      </c>
      <c r="GD415" s="214">
        <v>25417.395969948793</v>
      </c>
      <c r="GE415" s="214">
        <v>13271</v>
      </c>
      <c r="GF415" s="73" t="s">
        <v>2475</v>
      </c>
      <c r="GG415" s="156">
        <v>43937</v>
      </c>
      <c r="GH415" s="26">
        <v>49</v>
      </c>
      <c r="GI415" s="26" t="s">
        <v>2476</v>
      </c>
      <c r="GJ415" s="25"/>
      <c r="GK415" s="62" t="s">
        <v>2477</v>
      </c>
      <c r="GM415" s="18" t="s">
        <v>2478</v>
      </c>
      <c r="GN415" s="11">
        <v>27083.673469387755</v>
      </c>
      <c r="GO415" s="156">
        <v>43916</v>
      </c>
      <c r="GP415" s="218">
        <v>22</v>
      </c>
      <c r="GQ415" s="156">
        <v>43914</v>
      </c>
      <c r="GR415" s="11">
        <v>24</v>
      </c>
      <c r="GS415" s="25"/>
      <c r="GT415" s="11">
        <v>18358.066541882232</v>
      </c>
      <c r="GU415" s="12">
        <v>1.0366650768760009E-2</v>
      </c>
      <c r="GV415" s="132">
        <v>43903</v>
      </c>
      <c r="GW415" s="133" t="s">
        <v>2400</v>
      </c>
      <c r="GX415" s="230">
        <v>578.574084808306</v>
      </c>
      <c r="GY415" s="102" t="s">
        <v>1068</v>
      </c>
      <c r="GZ415" s="102" t="s">
        <v>1068</v>
      </c>
      <c r="HA415" s="102" t="s">
        <v>2478</v>
      </c>
      <c r="HB415" s="25"/>
    </row>
    <row r="416" spans="171:210" x14ac:dyDescent="0.25">
      <c r="FO416" s="263" t="s">
        <v>659</v>
      </c>
      <c r="FP416" s="250">
        <v>43939.898101851853</v>
      </c>
      <c r="FQ416" s="156">
        <v>43890</v>
      </c>
      <c r="FR416" s="26">
        <v>43890</v>
      </c>
      <c r="FS416" s="211">
        <v>9</v>
      </c>
      <c r="FT416" s="44">
        <v>0.12928194698289414</v>
      </c>
      <c r="FU416" s="71">
        <v>5.086356477397043E-6</v>
      </c>
      <c r="FV416" s="73">
        <v>61.268714606254619</v>
      </c>
      <c r="FW416" s="212">
        <v>25417.398005311363</v>
      </c>
      <c r="FX416" s="212">
        <v>278.46400115245143</v>
      </c>
      <c r="FY416" s="227">
        <v>0.99523436607677196</v>
      </c>
      <c r="FZ416" s="214">
        <v>2.1049945847293632E-3</v>
      </c>
      <c r="GA416" s="213">
        <v>5.0863564773970431E-3</v>
      </c>
      <c r="GB416" s="246">
        <v>43938</v>
      </c>
      <c r="GC416" s="26" t="s">
        <v>2474</v>
      </c>
      <c r="GD416" s="214">
        <v>25417.395969948793</v>
      </c>
      <c r="GE416" s="214">
        <v>13980</v>
      </c>
      <c r="GF416" s="73" t="s">
        <v>2475</v>
      </c>
      <c r="GG416" s="156">
        <v>43938</v>
      </c>
      <c r="GH416" s="26">
        <v>50</v>
      </c>
      <c r="GI416" s="26" t="s">
        <v>2928</v>
      </c>
      <c r="GJ416" s="25"/>
      <c r="GK416" s="62" t="s">
        <v>2927</v>
      </c>
      <c r="GM416" s="18" t="s">
        <v>2929</v>
      </c>
      <c r="GN416" s="11">
        <v>28530.612244897959</v>
      </c>
      <c r="GO416" s="156">
        <v>43916</v>
      </c>
      <c r="GP416" s="218">
        <v>23</v>
      </c>
      <c r="GQ416" s="156">
        <v>43914</v>
      </c>
      <c r="GR416" s="11">
        <v>25</v>
      </c>
      <c r="GS416" s="25"/>
      <c r="GT416" s="11">
        <v>18358.066541882232</v>
      </c>
      <c r="GU416" s="12">
        <v>9.7601831591345636E-3</v>
      </c>
      <c r="GV416" s="132">
        <v>43903</v>
      </c>
      <c r="GW416" s="133" t="s">
        <v>2400</v>
      </c>
      <c r="GX416" s="230">
        <v>678.63492104262514</v>
      </c>
      <c r="GY416" s="102" t="s">
        <v>1068</v>
      </c>
      <c r="GZ416" s="102" t="s">
        <v>1068</v>
      </c>
      <c r="HA416" s="102" t="s">
        <v>2929</v>
      </c>
      <c r="HB416" s="25"/>
    </row>
    <row r="417" spans="171:210" x14ac:dyDescent="0.25">
      <c r="FO417" s="263" t="s">
        <v>659</v>
      </c>
      <c r="FP417" s="250">
        <v>43942.9455787037</v>
      </c>
      <c r="FQ417" s="156">
        <v>43890</v>
      </c>
      <c r="FR417" s="26">
        <v>43890</v>
      </c>
      <c r="FS417" s="211">
        <v>9</v>
      </c>
      <c r="FT417" s="44">
        <v>0.12928194698289414</v>
      </c>
      <c r="FU417" s="71">
        <v>5.086356477397043E-6</v>
      </c>
      <c r="FV417" s="73">
        <v>61.268714606254619</v>
      </c>
      <c r="FW417" s="212">
        <v>25417.398005311363</v>
      </c>
      <c r="FX417" s="212">
        <v>283.4839689660073</v>
      </c>
      <c r="FY417" s="227">
        <v>0.9965419319692318</v>
      </c>
      <c r="FZ417" s="214">
        <v>2.1049945847293632E-3</v>
      </c>
      <c r="GA417" s="213">
        <v>5.0863564773970431E-3</v>
      </c>
      <c r="GB417" s="246">
        <v>43941</v>
      </c>
      <c r="GC417" s="26" t="s">
        <v>2474</v>
      </c>
      <c r="GD417" s="214">
        <v>25416.933720790377</v>
      </c>
      <c r="GE417" s="214">
        <v>15652</v>
      </c>
      <c r="GF417" s="73" t="s">
        <v>2475</v>
      </c>
      <c r="GG417" s="156">
        <v>43941</v>
      </c>
      <c r="GH417" s="26">
        <v>53</v>
      </c>
      <c r="GI417" s="26" t="s">
        <v>3370</v>
      </c>
      <c r="GJ417" s="25"/>
      <c r="GK417" s="62" t="s">
        <v>3369</v>
      </c>
      <c r="GM417" s="18" t="s">
        <v>3371</v>
      </c>
      <c r="GN417" s="11">
        <v>31942.857142857145</v>
      </c>
      <c r="GO417" s="156">
        <v>43916</v>
      </c>
      <c r="GP417" s="218">
        <v>26</v>
      </c>
      <c r="GQ417" s="156">
        <v>43914</v>
      </c>
      <c r="GR417" s="11">
        <v>28</v>
      </c>
      <c r="GS417" s="25"/>
      <c r="GT417" s="11">
        <v>20676.790344900146</v>
      </c>
      <c r="GU417" s="12">
        <v>8.8747217475941449E-3</v>
      </c>
      <c r="GV417" s="132">
        <v>43903</v>
      </c>
      <c r="GW417" s="133" t="s">
        <v>2400</v>
      </c>
      <c r="GX417" s="230">
        <v>1315.5532790666985</v>
      </c>
      <c r="GY417" s="102" t="s">
        <v>1068</v>
      </c>
      <c r="GZ417" s="102" t="s">
        <v>1068</v>
      </c>
      <c r="HA417" s="26" t="s">
        <v>3371</v>
      </c>
      <c r="HB417" s="25"/>
    </row>
    <row r="418" spans="171:210" x14ac:dyDescent="0.25">
      <c r="FO418" s="263" t="s">
        <v>659</v>
      </c>
      <c r="FP418" s="250">
        <v>43945.843946759262</v>
      </c>
      <c r="FQ418" s="156">
        <v>43890</v>
      </c>
      <c r="FR418" s="26">
        <v>43890</v>
      </c>
      <c r="FS418" s="211">
        <v>9</v>
      </c>
      <c r="FT418" s="44">
        <v>0.12928194698289414</v>
      </c>
      <c r="FU418" s="71">
        <v>5.086356477397043E-6</v>
      </c>
      <c r="FV418" s="73">
        <v>61.268714606254619</v>
      </c>
      <c r="FW418" s="212">
        <v>25417.398005311363</v>
      </c>
      <c r="FX418" s="212">
        <v>348.0580715437153</v>
      </c>
      <c r="FY418" s="227">
        <v>0.99603826142524121</v>
      </c>
      <c r="FZ418" s="214">
        <v>2.1049945847293632E-3</v>
      </c>
      <c r="GA418" s="213">
        <v>5.0863564773970431E-3</v>
      </c>
      <c r="GB418" s="246">
        <v>43944</v>
      </c>
      <c r="GC418" s="26" t="s">
        <v>2474</v>
      </c>
      <c r="GD418" s="214">
        <v>25416.933720790377</v>
      </c>
      <c r="GE418" s="214">
        <v>17607</v>
      </c>
      <c r="GF418" s="73" t="s">
        <v>2475</v>
      </c>
      <c r="GG418" s="156">
        <v>43944</v>
      </c>
      <c r="GH418" s="26">
        <v>56</v>
      </c>
      <c r="GI418" s="26" t="s">
        <v>3444</v>
      </c>
      <c r="GJ418" s="25"/>
      <c r="GK418" s="62" t="s">
        <v>3443</v>
      </c>
      <c r="GM418" s="18" t="s">
        <v>3445</v>
      </c>
      <c r="GN418" s="11">
        <v>35932.65306122449</v>
      </c>
      <c r="GO418" s="156">
        <v>43916</v>
      </c>
      <c r="GP418" s="218">
        <v>29</v>
      </c>
      <c r="GQ418" s="156">
        <v>43914</v>
      </c>
      <c r="GR418" s="11">
        <v>31</v>
      </c>
      <c r="GS418" s="25"/>
      <c r="GT418" s="11">
        <v>21995.647552720122</v>
      </c>
      <c r="GU418" s="12">
        <v>9.6864005825194801E-3</v>
      </c>
      <c r="GV418" s="132">
        <v>43903</v>
      </c>
      <c r="GW418" s="133" t="s">
        <v>2400</v>
      </c>
      <c r="GX418" s="230">
        <v>1390.958252388511</v>
      </c>
      <c r="GY418" s="102" t="s">
        <v>1068</v>
      </c>
      <c r="GZ418" s="102" t="s">
        <v>1068</v>
      </c>
      <c r="HA418" s="26" t="s">
        <v>3445</v>
      </c>
      <c r="HB418" s="25"/>
    </row>
    <row r="419" spans="171:210" x14ac:dyDescent="0.25">
      <c r="FO419" s="263" t="s">
        <v>659</v>
      </c>
      <c r="FP419" s="250">
        <v>43947.951064814813</v>
      </c>
      <c r="FQ419" s="156">
        <v>43890</v>
      </c>
      <c r="FR419" s="26">
        <v>43890</v>
      </c>
      <c r="FS419" s="211">
        <v>9</v>
      </c>
      <c r="FT419" s="44">
        <v>0.12928194698289414</v>
      </c>
      <c r="FU419" s="71">
        <v>5.086356477397043E-6</v>
      </c>
      <c r="FV419" s="73">
        <v>61.268714606254619</v>
      </c>
      <c r="FW419" s="212">
        <v>25417.398005311363</v>
      </c>
      <c r="FX419" s="212">
        <v>384.52612142160103</v>
      </c>
      <c r="FY419" s="227">
        <v>0.99588687927198649</v>
      </c>
      <c r="FZ419" s="214">
        <v>2.1049945847293632E-3</v>
      </c>
      <c r="GA419" s="213">
        <v>5.0863564773970431E-3</v>
      </c>
      <c r="GB419" s="246">
        <v>43946</v>
      </c>
      <c r="GC419" s="26" t="s">
        <v>2474</v>
      </c>
      <c r="GD419" s="214">
        <v>25417.385568996408</v>
      </c>
      <c r="GE419" s="214">
        <v>18561</v>
      </c>
      <c r="GF419" s="73" t="s">
        <v>2475</v>
      </c>
      <c r="GG419" s="156">
        <v>43946</v>
      </c>
      <c r="GH419" s="26">
        <v>58</v>
      </c>
      <c r="GI419" s="26" t="s">
        <v>3539</v>
      </c>
      <c r="GJ419" s="25"/>
      <c r="GK419" s="62" t="s">
        <v>3538</v>
      </c>
      <c r="GM419" s="18" t="s">
        <v>3540</v>
      </c>
      <c r="GN419" s="11">
        <v>37879.591836734697</v>
      </c>
      <c r="GO419" s="156">
        <v>43917</v>
      </c>
      <c r="GP419" s="218">
        <v>30</v>
      </c>
      <c r="GQ419" s="156">
        <v>43914</v>
      </c>
      <c r="GR419" s="11">
        <v>33</v>
      </c>
      <c r="GS419" s="25"/>
      <c r="GT419" s="11">
        <v>21995.647552720122</v>
      </c>
      <c r="GU419" s="12">
        <v>1.0151274149915656E-2</v>
      </c>
      <c r="GV419" s="132">
        <v>43903</v>
      </c>
      <c r="GW419" s="133" t="s">
        <v>2400</v>
      </c>
      <c r="GX419" s="230">
        <v>1596.9161582621418</v>
      </c>
      <c r="GY419" s="102" t="s">
        <v>1068</v>
      </c>
      <c r="GZ419" s="102" t="s">
        <v>1068</v>
      </c>
      <c r="HA419" s="26" t="s">
        <v>3540</v>
      </c>
      <c r="HB419" s="25"/>
    </row>
    <row r="420" spans="171:210" x14ac:dyDescent="0.25">
      <c r="FO420" s="263" t="s">
        <v>659</v>
      </c>
      <c r="FP420" s="250">
        <v>43949.717789351853</v>
      </c>
      <c r="FQ420" s="156">
        <v>43890</v>
      </c>
      <c r="FR420" s="26">
        <v>43890</v>
      </c>
      <c r="FS420" s="211">
        <v>9</v>
      </c>
      <c r="FT420" s="44">
        <v>0.12928194698289414</v>
      </c>
      <c r="FU420" s="71">
        <v>5.086356477397043E-6</v>
      </c>
      <c r="FV420" s="73">
        <v>61.268714606254619</v>
      </c>
      <c r="FW420" s="212">
        <v>25417.398005311363</v>
      </c>
      <c r="FX420" s="212">
        <v>418.14974770853343</v>
      </c>
      <c r="FY420" s="227">
        <v>0.99578768963485986</v>
      </c>
      <c r="FZ420" s="214">
        <v>2.1049945847293632E-3</v>
      </c>
      <c r="GA420" s="213">
        <v>5.0863564773970431E-3</v>
      </c>
      <c r="GB420" s="246">
        <v>43948</v>
      </c>
      <c r="GC420" s="26" t="s">
        <v>2474</v>
      </c>
      <c r="GD420" s="214">
        <v>25417.385568996408</v>
      </c>
      <c r="GE420" s="214">
        <v>19648</v>
      </c>
      <c r="GF420" s="73" t="s">
        <v>2475</v>
      </c>
      <c r="GG420" s="156">
        <v>43948</v>
      </c>
      <c r="GH420" s="26">
        <v>60</v>
      </c>
      <c r="GI420" s="26" t="s">
        <v>3598</v>
      </c>
      <c r="GJ420" s="25"/>
      <c r="GK420" s="62" t="s">
        <v>3597</v>
      </c>
      <c r="GM420" s="18" t="s">
        <v>3599</v>
      </c>
      <c r="GN420" s="11">
        <v>40097.959183673469</v>
      </c>
      <c r="GO420" s="156">
        <v>43917</v>
      </c>
      <c r="GP420" s="218">
        <v>32</v>
      </c>
      <c r="GQ420" s="156">
        <v>43914</v>
      </c>
      <c r="GR420" s="11">
        <v>35</v>
      </c>
      <c r="GS420" s="25"/>
      <c r="GT420" s="11">
        <v>21995.647552720122</v>
      </c>
      <c r="GU420" s="12">
        <v>1.042820523092332E-2</v>
      </c>
      <c r="GV420" s="132">
        <v>43903</v>
      </c>
      <c r="GW420" s="133" t="s">
        <v>2400</v>
      </c>
      <c r="GX420" s="230">
        <v>1507.298284367731</v>
      </c>
      <c r="GY420" s="102" t="s">
        <v>1068</v>
      </c>
      <c r="GZ420" s="102" t="s">
        <v>1068</v>
      </c>
      <c r="HA420" s="26" t="s">
        <v>3599</v>
      </c>
      <c r="HB420" s="25"/>
    </row>
    <row r="421" spans="171:210" x14ac:dyDescent="0.25">
      <c r="FO421" s="263" t="s">
        <v>659</v>
      </c>
      <c r="FP421" s="250">
        <v>43950.659502314818</v>
      </c>
      <c r="FQ421" s="156">
        <v>43890</v>
      </c>
      <c r="FR421" s="26">
        <v>43890</v>
      </c>
      <c r="FS421" s="211">
        <v>9</v>
      </c>
      <c r="FT421" s="44">
        <v>0.12928194698289414</v>
      </c>
      <c r="FU421" s="71">
        <v>5.086356477397043E-6</v>
      </c>
      <c r="FV421" s="73">
        <v>61.268714606254619</v>
      </c>
      <c r="FW421" s="212">
        <v>25417.398005311363</v>
      </c>
      <c r="FX421" s="212">
        <v>446.74530664067311</v>
      </c>
      <c r="FY421" s="227">
        <v>0.99548198341584682</v>
      </c>
      <c r="FZ421" s="214">
        <v>2.1049945847293632E-3</v>
      </c>
      <c r="GA421" s="213">
        <v>5.0863564773970431E-3</v>
      </c>
      <c r="GB421" s="246">
        <v>43949</v>
      </c>
      <c r="GC421" s="26" t="s">
        <v>2474</v>
      </c>
      <c r="GD421" s="214">
        <v>25417.385568996408</v>
      </c>
      <c r="GE421" s="214">
        <v>19877</v>
      </c>
      <c r="GF421" s="73" t="s">
        <v>2475</v>
      </c>
      <c r="GG421" s="156">
        <v>43949</v>
      </c>
      <c r="GH421" s="26">
        <v>61</v>
      </c>
      <c r="GI421" s="26" t="s">
        <v>3658</v>
      </c>
      <c r="GJ421" s="25"/>
      <c r="GK421" s="62" t="s">
        <v>3657</v>
      </c>
      <c r="GM421" s="18" t="s">
        <v>3659</v>
      </c>
      <c r="GN421" s="11">
        <v>40565.306122448979</v>
      </c>
      <c r="GO421" s="156">
        <v>43917</v>
      </c>
      <c r="GP421" s="218">
        <v>33</v>
      </c>
      <c r="GQ421" s="156">
        <v>43914</v>
      </c>
      <c r="GR421" s="11">
        <v>36</v>
      </c>
      <c r="GS421" s="25"/>
      <c r="GT421" s="11">
        <v>21995.647552720122</v>
      </c>
      <c r="GU421" s="12">
        <v>1.101298990058509E-2</v>
      </c>
      <c r="GV421" s="132">
        <v>43903</v>
      </c>
      <c r="GW421" s="133" t="s">
        <v>2400</v>
      </c>
      <c r="GX421" s="230">
        <v>1717.4367379802497</v>
      </c>
      <c r="GY421" s="102" t="s">
        <v>1068</v>
      </c>
      <c r="GZ421" s="102" t="s">
        <v>1068</v>
      </c>
      <c r="HA421" s="26" t="s">
        <v>3659</v>
      </c>
      <c r="HB421" s="102"/>
    </row>
    <row r="422" spans="171:210" x14ac:dyDescent="0.25">
      <c r="FO422" s="263" t="s">
        <v>659</v>
      </c>
      <c r="FP422" s="250">
        <v>43951.665868055556</v>
      </c>
      <c r="FQ422" s="156">
        <v>43890</v>
      </c>
      <c r="FR422" s="26">
        <v>43890</v>
      </c>
      <c r="FS422" s="211">
        <v>9</v>
      </c>
      <c r="FT422" s="44">
        <v>0.12928194698289414</v>
      </c>
      <c r="FU422" s="71">
        <v>5.086356477397043E-6</v>
      </c>
      <c r="FV422" s="73">
        <v>61.268714606254619</v>
      </c>
      <c r="FW422" s="212">
        <v>25417.398005311363</v>
      </c>
      <c r="FX422" s="212">
        <v>475.65311753639975</v>
      </c>
      <c r="FY422" s="227">
        <v>0.9951672731799317</v>
      </c>
      <c r="FZ422" s="214">
        <v>2.1049945847293632E-3</v>
      </c>
      <c r="GA422" s="213">
        <v>5.0863564773970431E-3</v>
      </c>
      <c r="GB422" s="246">
        <v>43950</v>
      </c>
      <c r="GC422" s="26" t="s">
        <v>2474</v>
      </c>
      <c r="GD422" s="214">
        <v>25417.385568996408</v>
      </c>
      <c r="GE422" s="214">
        <v>20253</v>
      </c>
      <c r="GF422" s="73" t="s">
        <v>2475</v>
      </c>
      <c r="GG422" s="156">
        <v>43950</v>
      </c>
      <c r="GH422" s="26">
        <v>62</v>
      </c>
      <c r="GI422" s="26" t="s">
        <v>2928</v>
      </c>
      <c r="GJ422" s="25"/>
      <c r="GK422" s="62" t="s">
        <v>2927</v>
      </c>
      <c r="GM422" s="18" t="s">
        <v>3720</v>
      </c>
      <c r="GN422" s="11">
        <v>41332.65306122449</v>
      </c>
      <c r="GO422" s="156">
        <v>43917</v>
      </c>
      <c r="GP422" s="218">
        <v>34</v>
      </c>
      <c r="GQ422" s="156">
        <v>43914</v>
      </c>
      <c r="GR422" s="11">
        <v>37</v>
      </c>
      <c r="GS422" s="25"/>
      <c r="GT422" s="11">
        <v>21995.647552720122</v>
      </c>
      <c r="GU422" s="12">
        <v>1.1507926114295949E-2</v>
      </c>
      <c r="GV422" s="132">
        <v>43903</v>
      </c>
      <c r="GW422" s="133" t="s">
        <v>2400</v>
      </c>
      <c r="GX422" s="230">
        <v>1742.6475527201219</v>
      </c>
      <c r="GY422" s="102" t="s">
        <v>1068</v>
      </c>
      <c r="GZ422" s="102" t="s">
        <v>1068</v>
      </c>
      <c r="HA422" s="26" t="s">
        <v>3720</v>
      </c>
      <c r="HB422" s="102"/>
    </row>
    <row r="423" spans="171:210" x14ac:dyDescent="0.25">
      <c r="FO423" s="263" t="s">
        <v>659</v>
      </c>
      <c r="FP423" s="250">
        <v>43954.724328703705</v>
      </c>
      <c r="FQ423" s="156">
        <v>43890</v>
      </c>
      <c r="FR423" s="26">
        <v>43890</v>
      </c>
      <c r="FS423" s="211">
        <v>9</v>
      </c>
      <c r="FT423" s="44">
        <v>0.12928194698289414</v>
      </c>
      <c r="FU423" s="71">
        <v>5.086356477397043E-6</v>
      </c>
      <c r="FV423" s="73">
        <v>61.268714606254619</v>
      </c>
      <c r="FW423" s="212">
        <v>25417.398005311363</v>
      </c>
      <c r="FX423" s="212">
        <v>565.12885677031045</v>
      </c>
      <c r="FY423" s="227">
        <v>0.99413321200032123</v>
      </c>
      <c r="FZ423" s="214">
        <v>2.1049945847293632E-3</v>
      </c>
      <c r="GA423" s="213">
        <v>5.0863564773970431E-3</v>
      </c>
      <c r="GB423" s="246">
        <v>43953</v>
      </c>
      <c r="GC423" s="26" t="s">
        <v>2474</v>
      </c>
      <c r="GD423" s="214">
        <v>25416.092010920031</v>
      </c>
      <c r="GE423" s="214">
        <v>21176</v>
      </c>
      <c r="GF423" s="73" t="s">
        <v>2475</v>
      </c>
      <c r="GG423" s="156">
        <v>43953</v>
      </c>
      <c r="GH423" s="26">
        <v>65</v>
      </c>
      <c r="GI423" s="26" t="s">
        <v>3787</v>
      </c>
      <c r="GJ423" s="25"/>
      <c r="GK423" s="62" t="s">
        <v>3786</v>
      </c>
      <c r="GM423" s="18" t="s">
        <v>3788</v>
      </c>
      <c r="GN423" s="11">
        <v>43216.326530612248</v>
      </c>
      <c r="GO423" s="156">
        <v>43917</v>
      </c>
      <c r="GP423" s="218">
        <v>37</v>
      </c>
      <c r="GQ423" s="156">
        <v>43914</v>
      </c>
      <c r="GR423" s="11">
        <v>40</v>
      </c>
      <c r="GS423" s="25"/>
      <c r="GT423" s="11">
        <v>23718.672006680001</v>
      </c>
      <c r="GU423" s="12">
        <v>1.3076744419033439E-2</v>
      </c>
      <c r="GV423" s="132">
        <v>43903</v>
      </c>
      <c r="GW423" s="133" t="s">
        <v>2400</v>
      </c>
      <c r="GX423" s="230">
        <v>1814.6558562980754</v>
      </c>
      <c r="GY423" s="102" t="s">
        <v>1068</v>
      </c>
      <c r="GZ423" s="102" t="s">
        <v>1068</v>
      </c>
      <c r="HA423" s="26" t="s">
        <v>3788</v>
      </c>
      <c r="HB423" s="102"/>
    </row>
    <row r="424" spans="171:210" x14ac:dyDescent="0.25">
      <c r="FO424" s="267" t="s">
        <v>2060</v>
      </c>
      <c r="FP424" s="276">
        <v>43931.382094907407</v>
      </c>
      <c r="FQ424" s="244">
        <v>43920</v>
      </c>
      <c r="FR424" s="195" t="s">
        <v>2061</v>
      </c>
      <c r="FS424" s="211" t="s">
        <v>2062</v>
      </c>
      <c r="FT424" s="196" t="s">
        <v>2063</v>
      </c>
      <c r="FU424" s="196" t="s">
        <v>2064</v>
      </c>
      <c r="FV424" s="197" t="s">
        <v>2065</v>
      </c>
      <c r="FW424" s="212">
        <v>1338.9227642276423</v>
      </c>
      <c r="FX424" s="217">
        <v>910.15067084713553</v>
      </c>
      <c r="FY424" s="217">
        <v>-42.049961316374606</v>
      </c>
      <c r="FZ424" s="217">
        <v>0.95910129232561536</v>
      </c>
      <c r="GA424" s="407">
        <v>0.1968</v>
      </c>
      <c r="GB424" s="246">
        <v>43929</v>
      </c>
      <c r="GC424" s="202" t="s">
        <v>2055</v>
      </c>
      <c r="GD424" s="217">
        <v>1338.3361040878681</v>
      </c>
      <c r="GE424" s="217">
        <v>1210</v>
      </c>
      <c r="GF424" s="201" t="s">
        <v>2056</v>
      </c>
      <c r="GG424" s="156">
        <v>43929</v>
      </c>
      <c r="GH424" s="25"/>
      <c r="GI424" s="200" t="s">
        <v>2070</v>
      </c>
      <c r="GJ424" s="198"/>
      <c r="GK424" s="199"/>
      <c r="GL424" s="193"/>
      <c r="GM424" s="193"/>
      <c r="GN424" s="193"/>
      <c r="GO424" s="248"/>
      <c r="GP424" s="218"/>
      <c r="GQ424" s="248"/>
      <c r="GR424" s="193"/>
      <c r="GS424" s="193"/>
      <c r="GT424" s="11"/>
      <c r="GU424" s="222"/>
      <c r="GV424" s="241">
        <v>43904</v>
      </c>
      <c r="GW424" s="408" t="s">
        <v>2071</v>
      </c>
      <c r="GX424" s="221"/>
      <c r="GY424" s="193" t="s">
        <v>2069</v>
      </c>
      <c r="GZ424" s="193"/>
      <c r="HA424" s="25"/>
      <c r="HB424" s="102"/>
    </row>
    <row r="425" spans="171:210" x14ac:dyDescent="0.25">
      <c r="FO425" s="267" t="s">
        <v>2060</v>
      </c>
      <c r="FP425" s="251">
        <v>43931.382094907407</v>
      </c>
      <c r="FQ425" s="244" t="s">
        <v>2061</v>
      </c>
      <c r="FR425" s="160">
        <v>43920</v>
      </c>
      <c r="FS425" s="211" t="s">
        <v>2062</v>
      </c>
      <c r="FT425" s="72">
        <v>0.2168979727834307</v>
      </c>
      <c r="FU425" s="72">
        <v>1.7833306933483125E-4</v>
      </c>
      <c r="FV425" s="74">
        <v>592.88394015838571</v>
      </c>
      <c r="FW425" s="212">
        <v>1216.2521151710314</v>
      </c>
      <c r="FX425" s="212">
        <v>10.205257615296272</v>
      </c>
      <c r="FY425" s="212">
        <v>0.9945875471883322</v>
      </c>
      <c r="FZ425" s="212">
        <v>1.8750239708965579E-4</v>
      </c>
      <c r="GA425" s="213">
        <v>0.17833306933483126</v>
      </c>
      <c r="GB425" s="246">
        <v>43930</v>
      </c>
      <c r="GC425" s="160" t="s">
        <v>2118</v>
      </c>
      <c r="GD425" s="212">
        <v>1214.3458226606454</v>
      </c>
      <c r="GE425" s="212">
        <v>1239</v>
      </c>
      <c r="GF425" s="74" t="s">
        <v>2119</v>
      </c>
      <c r="GG425" s="243">
        <v>43930</v>
      </c>
      <c r="GH425" s="160">
        <v>10</v>
      </c>
      <c r="GI425" s="23" t="s">
        <v>2120</v>
      </c>
      <c r="GJ425" s="21"/>
      <c r="GK425" s="161" t="s">
        <v>2121</v>
      </c>
      <c r="GL425" s="23"/>
      <c r="GM425" s="23" t="s">
        <v>2122</v>
      </c>
      <c r="GN425" s="23">
        <v>1083</v>
      </c>
      <c r="GO425" s="243"/>
      <c r="GP425" s="218"/>
      <c r="GQ425" s="243"/>
      <c r="GR425" s="23"/>
      <c r="GS425" s="23"/>
      <c r="GT425" s="11">
        <v>1185.0522048054215</v>
      </c>
      <c r="GU425" s="34">
        <v>9.4231372255736585E-3</v>
      </c>
      <c r="GV425" s="160">
        <v>43904</v>
      </c>
      <c r="GW425" s="242" t="s">
        <v>2071</v>
      </c>
      <c r="GX425" s="220">
        <v>25.971376132554951</v>
      </c>
      <c r="GY425" s="23" t="s">
        <v>2069</v>
      </c>
      <c r="GZ425" s="23"/>
      <c r="HA425" s="25"/>
      <c r="HB425" s="25"/>
    </row>
    <row r="426" spans="171:210" x14ac:dyDescent="0.25">
      <c r="FO426" s="267" t="s">
        <v>2069</v>
      </c>
      <c r="FP426" s="251">
        <v>43931.874664351853</v>
      </c>
      <c r="FQ426" s="244" t="s">
        <v>2061</v>
      </c>
      <c r="FR426" s="160">
        <v>43920</v>
      </c>
      <c r="FS426" s="211" t="s">
        <v>2062</v>
      </c>
      <c r="FT426" s="72">
        <v>0.23652450355284751</v>
      </c>
      <c r="FU426" s="72">
        <v>1.9947452155033807E-4</v>
      </c>
      <c r="FV426" s="74">
        <v>583.57497313137424</v>
      </c>
      <c r="FW426" s="212">
        <v>1185.7379163742462</v>
      </c>
      <c r="FX426" s="212">
        <v>9.7128946030337229</v>
      </c>
      <c r="FY426" s="212">
        <v>0.9950972073005504</v>
      </c>
      <c r="FZ426" s="212">
        <v>2.0582816352488566E-4</v>
      </c>
      <c r="GA426" s="213">
        <v>0.19947452155033807</v>
      </c>
      <c r="GB426" s="246">
        <v>43930</v>
      </c>
      <c r="GC426" s="160" t="s">
        <v>2123</v>
      </c>
      <c r="GD426" s="212">
        <v>1184.724947038341</v>
      </c>
      <c r="GE426" s="212">
        <v>1239</v>
      </c>
      <c r="GF426" s="74" t="s">
        <v>2124</v>
      </c>
      <c r="GG426" s="243">
        <v>43930</v>
      </c>
      <c r="GH426" s="160">
        <v>10</v>
      </c>
      <c r="GI426" s="23" t="s">
        <v>2125</v>
      </c>
      <c r="GJ426" s="21"/>
      <c r="GK426" s="161" t="s">
        <v>2126</v>
      </c>
      <c r="GL426" s="23"/>
      <c r="GM426" s="23" t="e">
        <v>#N/A</v>
      </c>
      <c r="GN426" s="23">
        <v>1083</v>
      </c>
      <c r="GO426" s="243"/>
      <c r="GP426" s="218"/>
      <c r="GQ426" s="243"/>
      <c r="GR426" s="23"/>
      <c r="GS426" s="23"/>
      <c r="GT426" s="11">
        <v>1164.1912628424225</v>
      </c>
      <c r="GU426" s="34">
        <v>8.9685084053866323E-3</v>
      </c>
      <c r="GV426" s="160">
        <v>43904</v>
      </c>
      <c r="GW426" s="242" t="s">
        <v>2127</v>
      </c>
      <c r="GX426" s="220">
        <v>18.471148057772552</v>
      </c>
      <c r="GY426" s="23" t="s">
        <v>2069</v>
      </c>
      <c r="GZ426" s="23"/>
      <c r="HA426" s="25"/>
      <c r="HB426" s="99"/>
    </row>
    <row r="427" spans="171:210" x14ac:dyDescent="0.25">
      <c r="FO427" s="267" t="s">
        <v>2069</v>
      </c>
      <c r="FP427" s="251">
        <v>43931.879525462966</v>
      </c>
      <c r="FQ427" s="244" t="s">
        <v>2061</v>
      </c>
      <c r="FR427" s="160">
        <v>43920</v>
      </c>
      <c r="FS427" s="211" t="s">
        <v>2062</v>
      </c>
      <c r="FT427" s="72">
        <v>0.23073208840741022</v>
      </c>
      <c r="FU427" s="72">
        <v>1.9290066194164481E-4</v>
      </c>
      <c r="FV427" s="74">
        <v>585.59439397247957</v>
      </c>
      <c r="FW427" s="212">
        <v>1196.1186969758039</v>
      </c>
      <c r="FX427" s="212">
        <v>9.40680944571195</v>
      </c>
      <c r="FY427" s="212">
        <v>0.99579859422655992</v>
      </c>
      <c r="FZ427" s="212">
        <v>2.0111282381288866E-4</v>
      </c>
      <c r="GA427" s="216">
        <v>0.19290066194164482</v>
      </c>
      <c r="GB427" s="257">
        <v>43931</v>
      </c>
      <c r="GC427" s="160" t="s">
        <v>2128</v>
      </c>
      <c r="GD427" s="212">
        <v>1194.8905114507108</v>
      </c>
      <c r="GE427" s="212">
        <v>1239</v>
      </c>
      <c r="GF427" s="74" t="s">
        <v>2129</v>
      </c>
      <c r="GG427" s="243">
        <v>43931</v>
      </c>
      <c r="GH427" s="160">
        <v>11</v>
      </c>
      <c r="GI427" s="23" t="s">
        <v>2130</v>
      </c>
      <c r="GJ427" s="21"/>
      <c r="GK427" s="161" t="s">
        <v>2131</v>
      </c>
      <c r="GL427" s="23"/>
      <c r="GM427" s="23" t="s">
        <v>2132</v>
      </c>
      <c r="GN427" s="23">
        <v>1109</v>
      </c>
      <c r="GO427" s="243"/>
      <c r="GP427" s="218"/>
      <c r="GQ427" s="243"/>
      <c r="GR427" s="23"/>
      <c r="GS427" s="23"/>
      <c r="GT427" s="11">
        <v>1176.8380921685605</v>
      </c>
      <c r="GU427" s="34">
        <v>8.482244766196528E-3</v>
      </c>
      <c r="GV427" s="160">
        <v>43904</v>
      </c>
      <c r="GW427" s="260" t="s">
        <v>2127</v>
      </c>
      <c r="GX427" s="220">
        <v>13.6849207114808</v>
      </c>
      <c r="GY427" s="23" t="s">
        <v>2069</v>
      </c>
      <c r="GZ427" s="23"/>
      <c r="HA427" s="25"/>
      <c r="HB427" s="102"/>
    </row>
    <row r="428" spans="171:210" x14ac:dyDescent="0.25">
      <c r="FO428" s="267" t="s">
        <v>2069</v>
      </c>
      <c r="FP428" s="251">
        <v>43933.910682870373</v>
      </c>
      <c r="FQ428" s="244" t="s">
        <v>2061</v>
      </c>
      <c r="FR428" s="160">
        <v>43920</v>
      </c>
      <c r="FS428" s="211" t="s">
        <v>2062</v>
      </c>
      <c r="FT428" s="72">
        <v>0.29431328892497605</v>
      </c>
      <c r="FU428" s="72">
        <v>2.6399113136536893E-4</v>
      </c>
      <c r="FV428" s="74">
        <v>561.96078928299482</v>
      </c>
      <c r="FW428" s="212">
        <v>1114.860515968018</v>
      </c>
      <c r="FX428" s="212">
        <v>19.474579534048988</v>
      </c>
      <c r="FY428" s="212">
        <v>0.98133291639652098</v>
      </c>
      <c r="FZ428" s="212">
        <v>2.5973453515398028E-4</v>
      </c>
      <c r="GA428" s="216">
        <v>0.26399113136536895</v>
      </c>
      <c r="GB428" s="257">
        <v>43933</v>
      </c>
      <c r="GC428" s="160" t="s">
        <v>2255</v>
      </c>
      <c r="GD428" s="212">
        <v>1114.6999922391303</v>
      </c>
      <c r="GE428" s="212">
        <v>1109</v>
      </c>
      <c r="GF428" s="74" t="s">
        <v>2256</v>
      </c>
      <c r="GG428" s="243">
        <v>43933</v>
      </c>
      <c r="GH428" s="160">
        <v>13</v>
      </c>
      <c r="GI428" s="23" t="s">
        <v>2257</v>
      </c>
      <c r="GJ428" s="21"/>
      <c r="GK428" s="161" t="s">
        <v>2258</v>
      </c>
      <c r="GL428" s="23"/>
      <c r="GM428" s="23" t="s">
        <v>2259</v>
      </c>
      <c r="GN428" s="23">
        <v>1109</v>
      </c>
      <c r="GO428" s="243"/>
      <c r="GP428" s="218"/>
      <c r="GQ428" s="243"/>
      <c r="GR428" s="23"/>
      <c r="GS428" s="23"/>
      <c r="GT428" s="11">
        <v>1111.822409159468</v>
      </c>
      <c r="GU428" s="34">
        <v>1.7560486505003598E-2</v>
      </c>
      <c r="GV428" s="259">
        <v>43904</v>
      </c>
      <c r="GW428" s="260" t="s">
        <v>2127</v>
      </c>
      <c r="GX428" s="220">
        <v>35.32912619093031</v>
      </c>
      <c r="GY428" s="23" t="s">
        <v>2069</v>
      </c>
      <c r="GZ428" s="23"/>
      <c r="HA428" s="25"/>
      <c r="HB428" s="25"/>
    </row>
    <row r="429" spans="171:210" x14ac:dyDescent="0.25">
      <c r="FO429" s="267" t="s">
        <v>2069</v>
      </c>
      <c r="FP429" s="251">
        <v>43933.917939814812</v>
      </c>
      <c r="FQ429" s="244" t="s">
        <v>2061</v>
      </c>
      <c r="FR429" s="160">
        <v>43920</v>
      </c>
      <c r="FS429" s="211" t="s">
        <v>2062</v>
      </c>
      <c r="FT429" s="72">
        <v>0.29431143060080611</v>
      </c>
      <c r="FU429" s="72">
        <v>2.6399263840898329E-4</v>
      </c>
      <c r="FV429" s="74">
        <v>561.97327955533058</v>
      </c>
      <c r="FW429" s="212">
        <v>1114.8471123079285</v>
      </c>
      <c r="FX429" s="212">
        <v>19.474577782783385</v>
      </c>
      <c r="FY429" s="212">
        <v>0.98133291975382275</v>
      </c>
      <c r="FZ429" s="212">
        <v>2.5971808113569732E-4</v>
      </c>
      <c r="GA429" s="216">
        <v>0.26399263840898329</v>
      </c>
      <c r="GB429" s="257">
        <v>43933</v>
      </c>
      <c r="GC429" s="160" t="s">
        <v>2255</v>
      </c>
      <c r="GD429" s="212">
        <v>1114.6865926452483</v>
      </c>
      <c r="GE429" s="212">
        <v>1109</v>
      </c>
      <c r="GF429" s="74" t="s">
        <v>2256</v>
      </c>
      <c r="GG429" s="243">
        <v>43933</v>
      </c>
      <c r="GH429" s="160">
        <v>13</v>
      </c>
      <c r="GI429" s="23" t="s">
        <v>2288</v>
      </c>
      <c r="GJ429" s="21"/>
      <c r="GK429" s="161" t="s">
        <v>2258</v>
      </c>
      <c r="GL429" s="23"/>
      <c r="GM429" s="23" t="s">
        <v>2289</v>
      </c>
      <c r="GN429" s="23">
        <v>1109</v>
      </c>
      <c r="GO429" s="243"/>
      <c r="GP429" s="218"/>
      <c r="GQ429" s="243"/>
      <c r="GR429" s="23"/>
      <c r="GS429" s="23"/>
      <c r="GT429" s="11">
        <v>1111.809138655005</v>
      </c>
      <c r="GU429" s="34">
        <v>1.7560484925864189E-2</v>
      </c>
      <c r="GV429" s="259">
        <v>43904</v>
      </c>
      <c r="GW429" s="260" t="s">
        <v>2127</v>
      </c>
      <c r="GX429" s="220">
        <v>35.316676027595122</v>
      </c>
      <c r="GY429" s="23" t="s">
        <v>2069</v>
      </c>
      <c r="GZ429" s="23"/>
      <c r="HA429" s="25"/>
      <c r="HB429" s="25"/>
    </row>
    <row r="430" spans="171:210" x14ac:dyDescent="0.25">
      <c r="FO430" s="263" t="s">
        <v>2069</v>
      </c>
      <c r="FP430" s="252">
        <v>43934.704872685186</v>
      </c>
      <c r="FQ430" s="244" t="s">
        <v>2061</v>
      </c>
      <c r="FR430" s="160">
        <v>43920</v>
      </c>
      <c r="FS430" s="211" t="s">
        <v>2062</v>
      </c>
      <c r="FT430" s="72">
        <v>0.30498072111721175</v>
      </c>
      <c r="FU430" s="72">
        <v>2.7579062062236799E-4</v>
      </c>
      <c r="FV430" s="74">
        <v>557.81624468472933</v>
      </c>
      <c r="FW430" s="212">
        <v>1105.8415272751893</v>
      </c>
      <c r="FX430" s="214">
        <v>19.570561205178191</v>
      </c>
      <c r="FY430" s="214">
        <v>0.98086375991939034</v>
      </c>
      <c r="FZ430" s="212">
        <v>2.7094985892315508E-4</v>
      </c>
      <c r="GA430" s="213">
        <v>0.27579062062236798</v>
      </c>
      <c r="GB430" s="246">
        <v>43934</v>
      </c>
      <c r="GC430" s="26" t="s">
        <v>2255</v>
      </c>
      <c r="GD430" s="214">
        <v>1105.7260720323645</v>
      </c>
      <c r="GE430" s="214">
        <v>1109</v>
      </c>
      <c r="GF430" s="73" t="s">
        <v>2348</v>
      </c>
      <c r="GG430" s="156">
        <v>43934</v>
      </c>
      <c r="GH430" s="26">
        <v>14</v>
      </c>
      <c r="GI430" s="25" t="s">
        <v>2349</v>
      </c>
      <c r="GK430" s="62" t="s">
        <v>2350</v>
      </c>
      <c r="GM430" s="25" t="s">
        <v>2351</v>
      </c>
      <c r="GN430" s="25">
        <v>1109</v>
      </c>
      <c r="GO430" s="156"/>
      <c r="GP430" s="218"/>
      <c r="GQ430" s="156"/>
      <c r="GR430" s="25"/>
      <c r="GS430" s="25"/>
      <c r="GT430" s="11">
        <v>1104.047550212932</v>
      </c>
      <c r="GU430" s="12">
        <v>1.764703445011559E-2</v>
      </c>
      <c r="GV430" s="241">
        <v>43904</v>
      </c>
      <c r="GW430" s="242" t="s">
        <v>2127</v>
      </c>
      <c r="GX430" s="219">
        <v>21.75350430161825</v>
      </c>
      <c r="GY430" s="25" t="s">
        <v>2069</v>
      </c>
      <c r="GZ430" s="25" t="s">
        <v>2069</v>
      </c>
      <c r="HA430" s="25"/>
      <c r="HB430" s="25"/>
    </row>
    <row r="431" spans="171:210" x14ac:dyDescent="0.25">
      <c r="FO431" s="263" t="s">
        <v>2069</v>
      </c>
      <c r="FP431" s="252">
        <v>43934.880671296298</v>
      </c>
      <c r="FQ431" s="244" t="s">
        <v>2061</v>
      </c>
      <c r="FR431" s="160">
        <v>43920</v>
      </c>
      <c r="FS431" s="211" t="s">
        <v>2062</v>
      </c>
      <c r="FT431" s="72">
        <v>0.3049793473202605</v>
      </c>
      <c r="FU431" s="72">
        <v>2.7579277373323126E-4</v>
      </c>
      <c r="FV431" s="74">
        <v>557.84448791670297</v>
      </c>
      <c r="FW431" s="212">
        <v>1105.8279127184849</v>
      </c>
      <c r="FX431" s="214">
        <v>19.570557051094283</v>
      </c>
      <c r="FY431" s="214">
        <v>0.98086376804317765</v>
      </c>
      <c r="FZ431" s="212">
        <v>2.7091756207956943E-4</v>
      </c>
      <c r="GA431" s="213">
        <v>0.27579277373323124</v>
      </c>
      <c r="GB431" s="246">
        <v>43934</v>
      </c>
      <c r="GC431" s="26" t="s">
        <v>2255</v>
      </c>
      <c r="GD431" s="214">
        <v>1105.712468801428</v>
      </c>
      <c r="GE431" s="214">
        <v>1109</v>
      </c>
      <c r="GF431" s="73" t="s">
        <v>2379</v>
      </c>
      <c r="GG431" s="156">
        <v>43934</v>
      </c>
      <c r="GH431" s="26">
        <v>14</v>
      </c>
      <c r="GI431" s="25" t="s">
        <v>2381</v>
      </c>
      <c r="GK431" s="62" t="s">
        <v>2380</v>
      </c>
      <c r="GM431" s="25" t="s">
        <v>2382</v>
      </c>
      <c r="GN431" s="25">
        <v>1109</v>
      </c>
      <c r="GO431" s="156"/>
      <c r="GP431" s="218"/>
      <c r="GQ431" s="156"/>
      <c r="GR431" s="25"/>
      <c r="GS431" s="25"/>
      <c r="GT431" s="11">
        <v>1104.0341335484522</v>
      </c>
      <c r="GU431" s="12">
        <v>1.764703070432307E-2</v>
      </c>
      <c r="GV431" s="241">
        <v>43904</v>
      </c>
      <c r="GW431" s="242" t="s">
        <v>2127</v>
      </c>
      <c r="GX431" s="219">
        <v>21.741194179438253</v>
      </c>
      <c r="GY431" s="25" t="s">
        <v>2069</v>
      </c>
      <c r="GZ431" s="25" t="s">
        <v>2069</v>
      </c>
      <c r="HA431" s="25"/>
      <c r="HB431" s="25"/>
    </row>
    <row r="432" spans="171:210" x14ac:dyDescent="0.25">
      <c r="FO432" s="263" t="s">
        <v>2069</v>
      </c>
      <c r="FP432" s="250">
        <v>43935.630208333336</v>
      </c>
      <c r="FQ432" s="249" t="s">
        <v>2061</v>
      </c>
      <c r="FR432" s="223">
        <v>43920</v>
      </c>
      <c r="FS432" s="211" t="s">
        <v>2062</v>
      </c>
      <c r="FT432" s="192">
        <v>0.3049793473202605</v>
      </c>
      <c r="FU432" s="71">
        <v>2.7579277373323126E-4</v>
      </c>
      <c r="FV432" s="73">
        <v>557.84448791670297</v>
      </c>
      <c r="FW432" s="217">
        <v>1105.8279127184849</v>
      </c>
      <c r="FX432" s="212">
        <v>19.570557051094283</v>
      </c>
      <c r="FY432" s="214">
        <v>0.98086376804317765</v>
      </c>
      <c r="FZ432" s="214">
        <v>2.7091756207956943E-4</v>
      </c>
      <c r="GA432" s="213">
        <v>0.27579277373323124</v>
      </c>
      <c r="GB432" s="246">
        <v>43934</v>
      </c>
      <c r="GC432" s="26" t="s">
        <v>2255</v>
      </c>
      <c r="GD432" s="214">
        <v>1105.712468801428</v>
      </c>
      <c r="GE432" s="214">
        <v>1109</v>
      </c>
      <c r="GF432" s="73" t="s">
        <v>2379</v>
      </c>
      <c r="GG432" s="156">
        <v>43934</v>
      </c>
      <c r="GH432" s="26">
        <v>14</v>
      </c>
      <c r="GI432" s="26" t="s">
        <v>2381</v>
      </c>
      <c r="GJ432" s="25"/>
      <c r="GK432" s="62" t="s">
        <v>2380</v>
      </c>
      <c r="GM432" s="18" t="s">
        <v>2405</v>
      </c>
      <c r="GN432" s="11">
        <v>1109</v>
      </c>
      <c r="GO432" s="156"/>
      <c r="GP432" s="218"/>
      <c r="GQ432" s="156"/>
      <c r="GR432" s="11"/>
      <c r="GS432" s="25"/>
      <c r="GT432" s="11">
        <v>1104.0341335484522</v>
      </c>
      <c r="GU432" s="12">
        <v>1.764703070432307E-2</v>
      </c>
      <c r="GV432" s="241">
        <v>43904</v>
      </c>
      <c r="GW432" s="133" t="s">
        <v>2404</v>
      </c>
      <c r="GX432" s="232">
        <v>21.741194179438253</v>
      </c>
      <c r="GY432" s="25" t="s">
        <v>2069</v>
      </c>
      <c r="GZ432" s="25" t="s">
        <v>2069</v>
      </c>
      <c r="HA432" s="25"/>
      <c r="HB432" s="25"/>
    </row>
    <row r="433" spans="171:210" x14ac:dyDescent="0.25">
      <c r="FO433" s="263" t="s">
        <v>2069</v>
      </c>
      <c r="FP433" s="250">
        <v>43938.513043981482</v>
      </c>
      <c r="FQ433" s="249" t="s">
        <v>2061</v>
      </c>
      <c r="FR433" s="223">
        <v>43920</v>
      </c>
      <c r="FS433" s="211" t="s">
        <v>2062</v>
      </c>
      <c r="FT433" s="192">
        <v>0.31068711007497601</v>
      </c>
      <c r="FU433" s="71">
        <v>2.8205901620750792E-4</v>
      </c>
      <c r="FV433" s="73">
        <v>555.53781887616731</v>
      </c>
      <c r="FW433" s="217">
        <v>1101.4968223756646</v>
      </c>
      <c r="FX433" s="212">
        <v>19.198776296986978</v>
      </c>
      <c r="FY433" s="214">
        <v>0.98130801363696951</v>
      </c>
      <c r="FZ433" s="214">
        <v>2.7719563670430407E-4</v>
      </c>
      <c r="GA433" s="213">
        <v>0.2820590162075079</v>
      </c>
      <c r="GB433" s="246">
        <v>43935</v>
      </c>
      <c r="GC433" s="26" t="s">
        <v>2479</v>
      </c>
      <c r="GD433" s="214">
        <v>1101.3998829362602</v>
      </c>
      <c r="GE433" s="214">
        <v>1109</v>
      </c>
      <c r="GF433" s="73" t="s">
        <v>2480</v>
      </c>
      <c r="GG433" s="156">
        <v>43935</v>
      </c>
      <c r="GH433" s="26">
        <v>15</v>
      </c>
      <c r="GI433" s="26" t="s">
        <v>2481</v>
      </c>
      <c r="GJ433" s="25"/>
      <c r="GK433" s="62" t="s">
        <v>2482</v>
      </c>
      <c r="GM433" s="18" t="s">
        <v>2483</v>
      </c>
      <c r="GN433" s="11">
        <v>1109</v>
      </c>
      <c r="GO433" s="156"/>
      <c r="GP433" s="218"/>
      <c r="GQ433" s="156"/>
      <c r="GR433" s="11"/>
      <c r="GS433" s="25"/>
      <c r="GT433" s="11">
        <v>1100.333988738063</v>
      </c>
      <c r="GU433" s="12">
        <v>1.7311791070321891E-2</v>
      </c>
      <c r="GV433" s="241">
        <v>43904</v>
      </c>
      <c r="GW433" s="133" t="s">
        <v>2404</v>
      </c>
      <c r="GX433" s="232">
        <v>14.039136252871913</v>
      </c>
      <c r="GY433" s="25" t="s">
        <v>2069</v>
      </c>
      <c r="GZ433" s="25" t="s">
        <v>2069</v>
      </c>
      <c r="HA433" s="25" t="s">
        <v>2483</v>
      </c>
      <c r="HB433" s="25"/>
    </row>
    <row r="434" spans="171:210" x14ac:dyDescent="0.25">
      <c r="FO434" s="263" t="s">
        <v>2069</v>
      </c>
      <c r="FP434" s="250">
        <v>43938.923854166664</v>
      </c>
      <c r="FQ434" s="249" t="s">
        <v>2061</v>
      </c>
      <c r="FR434" s="223">
        <v>43920</v>
      </c>
      <c r="FS434" s="211" t="s">
        <v>2062</v>
      </c>
      <c r="FT434" s="192">
        <v>0.30289162450819734</v>
      </c>
      <c r="FU434" s="71">
        <v>2.7368118081737427E-4</v>
      </c>
      <c r="FV434" s="73">
        <v>559.02604004442333</v>
      </c>
      <c r="FW434" s="217">
        <v>1106.731648860851</v>
      </c>
      <c r="FX434" s="212">
        <v>19.074071973978359</v>
      </c>
      <c r="FY434" s="214">
        <v>0.9817562530856504</v>
      </c>
      <c r="FZ434" s="214">
        <v>2.6813906155295943E-4</v>
      </c>
      <c r="GA434" s="213">
        <v>0.27368118081737425</v>
      </c>
      <c r="GB434" s="246">
        <v>43938</v>
      </c>
      <c r="GC434" s="26" t="s">
        <v>2255</v>
      </c>
      <c r="GD434" s="214">
        <v>1106.6089658288831</v>
      </c>
      <c r="GE434" s="214">
        <v>1117</v>
      </c>
      <c r="GF434" s="73" t="s">
        <v>2379</v>
      </c>
      <c r="GG434" s="156">
        <v>43938</v>
      </c>
      <c r="GH434" s="26">
        <v>16</v>
      </c>
      <c r="GI434" s="26" t="s">
        <v>2505</v>
      </c>
      <c r="GJ434" s="25"/>
      <c r="GK434" s="62" t="s">
        <v>2506</v>
      </c>
      <c r="GM434" s="18" t="s">
        <v>2507</v>
      </c>
      <c r="GN434" s="11">
        <v>1117</v>
      </c>
      <c r="GO434" s="156"/>
      <c r="GP434" s="218"/>
      <c r="GQ434" s="156"/>
      <c r="GR434" s="11"/>
      <c r="GS434" s="25"/>
      <c r="GT434" s="11">
        <v>1106.1740336895975</v>
      </c>
      <c r="GU434" s="12">
        <v>1.7076161122630582E-2</v>
      </c>
      <c r="GV434" s="241">
        <v>43904</v>
      </c>
      <c r="GW434" s="133" t="s">
        <v>2404</v>
      </c>
      <c r="GX434" s="232">
        <v>-13.691871430589572</v>
      </c>
      <c r="GY434" s="25" t="s">
        <v>2069</v>
      </c>
      <c r="GZ434" s="25" t="s">
        <v>2069</v>
      </c>
      <c r="HA434" s="25" t="s">
        <v>2507</v>
      </c>
      <c r="HB434" s="25"/>
    </row>
    <row r="435" spans="171:210" x14ac:dyDescent="0.25">
      <c r="FO435" s="263" t="s">
        <v>2069</v>
      </c>
      <c r="FP435" s="250">
        <v>43939.898113425923</v>
      </c>
      <c r="FQ435" s="249" t="s">
        <v>2061</v>
      </c>
      <c r="FR435" s="223">
        <v>43920</v>
      </c>
      <c r="FS435" s="211" t="s">
        <v>2062</v>
      </c>
      <c r="FT435" s="192">
        <v>0.29613901219116612</v>
      </c>
      <c r="FU435" s="71">
        <v>2.6647998263964052E-4</v>
      </c>
      <c r="FV435" s="73">
        <v>562.14907501519633</v>
      </c>
      <c r="FW435" s="217">
        <v>1111.2992775582447</v>
      </c>
      <c r="FX435" s="212">
        <v>18.988564736062742</v>
      </c>
      <c r="FY435" s="214">
        <v>0.9820416276221281</v>
      </c>
      <c r="FZ435" s="214">
        <v>2.6031802406909719E-4</v>
      </c>
      <c r="GA435" s="213">
        <v>0.26647998263964051</v>
      </c>
      <c r="GB435" s="246">
        <v>43939</v>
      </c>
      <c r="GC435" s="26" t="s">
        <v>2255</v>
      </c>
      <c r="GD435" s="214">
        <v>1111.1488713609858</v>
      </c>
      <c r="GE435" s="214">
        <v>1123</v>
      </c>
      <c r="GF435" s="73" t="s">
        <v>2124</v>
      </c>
      <c r="GG435" s="156">
        <v>43939</v>
      </c>
      <c r="GH435" s="26">
        <v>17</v>
      </c>
      <c r="GI435" s="26" t="s">
        <v>2930</v>
      </c>
      <c r="GJ435" s="25"/>
      <c r="GK435" s="62" t="s">
        <v>2931</v>
      </c>
      <c r="GM435" s="18" t="s">
        <v>2932</v>
      </c>
      <c r="GN435" s="11">
        <v>1123</v>
      </c>
      <c r="GO435" s="156"/>
      <c r="GP435" s="218"/>
      <c r="GQ435" s="156"/>
      <c r="GR435" s="11"/>
      <c r="GS435" s="25"/>
      <c r="GT435" s="11">
        <v>1110.8077153068771</v>
      </c>
      <c r="GU435" s="12">
        <v>1.6908784270759342E-2</v>
      </c>
      <c r="GV435" s="241">
        <v>43904</v>
      </c>
      <c r="GW435" s="133" t="s">
        <v>2404</v>
      </c>
      <c r="GX435" s="232">
        <v>-14.600103829889576</v>
      </c>
      <c r="GY435" s="25" t="s">
        <v>2069</v>
      </c>
      <c r="GZ435" s="25" t="s">
        <v>2069</v>
      </c>
      <c r="HA435" s="25" t="s">
        <v>2932</v>
      </c>
      <c r="HB435" s="25"/>
    </row>
    <row r="436" spans="171:210" x14ac:dyDescent="0.25">
      <c r="FO436" s="263" t="s">
        <v>2069</v>
      </c>
      <c r="FP436" s="250">
        <v>43942.945601851854</v>
      </c>
      <c r="FQ436" s="249" t="s">
        <v>2061</v>
      </c>
      <c r="FR436" s="223">
        <v>43920</v>
      </c>
      <c r="FS436" s="211" t="s">
        <v>2062</v>
      </c>
      <c r="FT436" s="192">
        <v>0.27171126793121497</v>
      </c>
      <c r="FU436" s="71">
        <v>2.4112345291764898E-4</v>
      </c>
      <c r="FV436" s="73">
        <v>575.0729486435763</v>
      </c>
      <c r="FW436" s="217">
        <v>1126.8554122108258</v>
      </c>
      <c r="FX436" s="212">
        <v>21.159467968047835</v>
      </c>
      <c r="FY436" s="214">
        <v>0.97769445426486401</v>
      </c>
      <c r="FZ436" s="214">
        <v>2.3135794022056058E-4</v>
      </c>
      <c r="GA436" s="213">
        <v>0.24112345291764897</v>
      </c>
      <c r="GB436" s="246">
        <v>43942</v>
      </c>
      <c r="GC436" s="26" t="s">
        <v>3372</v>
      </c>
      <c r="GD436" s="214">
        <v>1126.5437300976107</v>
      </c>
      <c r="GE436" s="214">
        <v>1155</v>
      </c>
      <c r="GF436" s="73" t="s">
        <v>3373</v>
      </c>
      <c r="GG436" s="156">
        <v>43942</v>
      </c>
      <c r="GH436" s="26">
        <v>21</v>
      </c>
      <c r="GI436" s="26" t="s">
        <v>3374</v>
      </c>
      <c r="GJ436" s="25"/>
      <c r="GK436" s="62" t="s">
        <v>3375</v>
      </c>
      <c r="GM436" s="18" t="s">
        <v>3376</v>
      </c>
      <c r="GN436" s="11">
        <v>1155</v>
      </c>
      <c r="GO436" s="156"/>
      <c r="GP436" s="218"/>
      <c r="GQ436" s="156"/>
      <c r="GR436" s="11"/>
      <c r="GS436" s="25"/>
      <c r="GT436" s="11">
        <v>1126.446455742034</v>
      </c>
      <c r="GU436" s="12">
        <v>1.8319885686621504E-2</v>
      </c>
      <c r="GV436" s="241">
        <v>43904</v>
      </c>
      <c r="GW436" s="133" t="s">
        <v>2404</v>
      </c>
      <c r="GX436" s="232">
        <v>-30.229303064660826</v>
      </c>
      <c r="GY436" s="25" t="s">
        <v>2069</v>
      </c>
      <c r="GZ436" s="25" t="s">
        <v>2069</v>
      </c>
      <c r="HA436" s="26" t="s">
        <v>3376</v>
      </c>
      <c r="HB436" s="102"/>
    </row>
    <row r="437" spans="171:210" x14ac:dyDescent="0.25">
      <c r="FO437" s="263" t="s">
        <v>2069</v>
      </c>
      <c r="FP437" s="250">
        <v>43945.844027777777</v>
      </c>
      <c r="FQ437" s="249" t="s">
        <v>2061</v>
      </c>
      <c r="FR437" s="223">
        <v>43920</v>
      </c>
      <c r="FS437" s="211" t="s">
        <v>2062</v>
      </c>
      <c r="FT437" s="192">
        <v>0.26491066178945299</v>
      </c>
      <c r="FU437" s="71">
        <v>2.3415386330564945E-4</v>
      </c>
      <c r="FV437" s="73">
        <v>578.9277008005962</v>
      </c>
      <c r="FW437" s="217">
        <v>1131.3529405391685</v>
      </c>
      <c r="FX437" s="212">
        <v>21.525070229564164</v>
      </c>
      <c r="FY437" s="214">
        <v>0.97694942055491019</v>
      </c>
      <c r="FZ437" s="214">
        <v>2.2343464286378995E-4</v>
      </c>
      <c r="GA437" s="213">
        <v>0.23415386330564944</v>
      </c>
      <c r="GB437" s="246">
        <v>43943</v>
      </c>
      <c r="GC437" s="26" t="s">
        <v>3372</v>
      </c>
      <c r="GD437" s="214">
        <v>1130.9713271369149</v>
      </c>
      <c r="GE437" s="214">
        <v>1155</v>
      </c>
      <c r="GF437" s="73" t="s">
        <v>3446</v>
      </c>
      <c r="GG437" s="156">
        <v>43943</v>
      </c>
      <c r="GH437" s="26">
        <v>22</v>
      </c>
      <c r="GI437" s="26" t="s">
        <v>3447</v>
      </c>
      <c r="GJ437" s="25"/>
      <c r="GK437" s="62" t="s">
        <v>3448</v>
      </c>
      <c r="GM437" s="18" t="s">
        <v>3449</v>
      </c>
      <c r="GN437" s="11">
        <v>1155</v>
      </c>
      <c r="GO437" s="156"/>
      <c r="GP437" s="218"/>
      <c r="GQ437" s="156"/>
      <c r="GR437" s="11"/>
      <c r="GS437" s="25"/>
      <c r="GT437" s="11">
        <v>1130.9713271369149</v>
      </c>
      <c r="GU437" s="12">
        <v>1.8636424441181094E-2</v>
      </c>
      <c r="GV437" s="241">
        <v>43904</v>
      </c>
      <c r="GW437" s="133" t="s">
        <v>2404</v>
      </c>
      <c r="GX437" s="232">
        <v>-25.514935058422907</v>
      </c>
      <c r="GY437" s="25" t="s">
        <v>2069</v>
      </c>
      <c r="GZ437" s="25" t="s">
        <v>2069</v>
      </c>
      <c r="HA437" s="26" t="s">
        <v>3449</v>
      </c>
      <c r="HB437" s="102"/>
    </row>
    <row r="438" spans="171:210" x14ac:dyDescent="0.25">
      <c r="FO438" s="263" t="s">
        <v>2069</v>
      </c>
      <c r="FP438" s="250">
        <v>43947.951157407406</v>
      </c>
      <c r="FQ438" s="249" t="s">
        <v>2061</v>
      </c>
      <c r="FR438" s="223">
        <v>43920</v>
      </c>
      <c r="FS438" s="211" t="s">
        <v>2062</v>
      </c>
      <c r="FT438" s="192">
        <v>0.23965694105579793</v>
      </c>
      <c r="FU438" s="71">
        <v>2.0873858148545956E-4</v>
      </c>
      <c r="FV438" s="73">
        <v>594.66695918006224</v>
      </c>
      <c r="FW438" s="217">
        <v>1148.1200042192108</v>
      </c>
      <c r="FX438" s="212">
        <v>23.306788789839224</v>
      </c>
      <c r="FY438" s="214">
        <v>0.97300156856073128</v>
      </c>
      <c r="FZ438" s="214">
        <v>1.9427177137867357E-4</v>
      </c>
      <c r="GA438" s="213">
        <v>0.20873858148545957</v>
      </c>
      <c r="GB438" s="246">
        <v>43947</v>
      </c>
      <c r="GC438" s="26" t="s">
        <v>3541</v>
      </c>
      <c r="GD438" s="214">
        <v>1147.3145537044159</v>
      </c>
      <c r="GE438" s="214">
        <v>1181</v>
      </c>
      <c r="GF438" s="73" t="s">
        <v>3542</v>
      </c>
      <c r="GG438" s="156">
        <v>43947</v>
      </c>
      <c r="GH438" s="26">
        <v>26</v>
      </c>
      <c r="GI438" s="26" t="s">
        <v>3543</v>
      </c>
      <c r="GJ438" s="25"/>
      <c r="GK438" s="62" t="s">
        <v>3544</v>
      </c>
      <c r="GM438" s="18" t="s">
        <v>3545</v>
      </c>
      <c r="GN438" s="11">
        <v>1181</v>
      </c>
      <c r="GO438" s="156"/>
      <c r="GP438" s="218"/>
      <c r="GQ438" s="156"/>
      <c r="GR438" s="11"/>
      <c r="GS438" s="25"/>
      <c r="GT438" s="11" t="e">
        <v>#N/A</v>
      </c>
      <c r="GU438" s="12">
        <v>1.9734791523995956E-2</v>
      </c>
      <c r="GV438" s="241">
        <v>43904</v>
      </c>
      <c r="GW438" s="133" t="s">
        <v>2404</v>
      </c>
      <c r="GX438" s="232">
        <v>-34.180210007123151</v>
      </c>
      <c r="GY438" s="25" t="s">
        <v>2069</v>
      </c>
      <c r="GZ438" s="25" t="s">
        <v>2069</v>
      </c>
      <c r="HA438" s="26" t="s">
        <v>3545</v>
      </c>
      <c r="HB438" s="102"/>
    </row>
    <row r="439" spans="171:210" x14ac:dyDescent="0.25">
      <c r="FO439" s="263" t="s">
        <v>2069</v>
      </c>
      <c r="FP439" s="250">
        <v>43949.717870370368</v>
      </c>
      <c r="FQ439" s="249" t="s">
        <v>2061</v>
      </c>
      <c r="FR439" s="223">
        <v>43920</v>
      </c>
      <c r="FS439" s="211" t="s">
        <v>2062</v>
      </c>
      <c r="FT439" s="192">
        <v>0.2275586855501667</v>
      </c>
      <c r="FU439" s="71">
        <v>1.9679696149187389E-4</v>
      </c>
      <c r="FV439" s="73">
        <v>603.01242238004318</v>
      </c>
      <c r="FW439" s="217">
        <v>1156.3119868573938</v>
      </c>
      <c r="FX439" s="212">
        <v>24.356772207526774</v>
      </c>
      <c r="FY439" s="214">
        <v>0.97053329649550246</v>
      </c>
      <c r="FZ439" s="214">
        <v>1.8057285230401818E-4</v>
      </c>
      <c r="GA439" s="213">
        <v>0.1967969614918739</v>
      </c>
      <c r="GB439" s="246">
        <v>43949</v>
      </c>
      <c r="GC439" s="26" t="s">
        <v>3600</v>
      </c>
      <c r="GD439" s="214">
        <v>1155.1626356428515</v>
      </c>
      <c r="GE439" s="214">
        <v>1190</v>
      </c>
      <c r="GF439" s="73" t="s">
        <v>3601</v>
      </c>
      <c r="GG439" s="156">
        <v>43949</v>
      </c>
      <c r="GH439" s="26">
        <v>28</v>
      </c>
      <c r="GI439" s="26" t="s">
        <v>3602</v>
      </c>
      <c r="GJ439" s="25"/>
      <c r="GK439" s="62" t="s">
        <v>3603</v>
      </c>
      <c r="GM439" s="18" t="s">
        <v>3604</v>
      </c>
      <c r="GN439" s="11">
        <v>1190</v>
      </c>
      <c r="GO439" s="156"/>
      <c r="GP439" s="218"/>
      <c r="GQ439" s="156"/>
      <c r="GR439" s="11"/>
      <c r="GS439" s="25"/>
      <c r="GT439" s="11" t="e">
        <v>#N/A</v>
      </c>
      <c r="GU439" s="12">
        <v>2.0467875804644348E-2</v>
      </c>
      <c r="GV439" s="241">
        <v>43904</v>
      </c>
      <c r="GW439" s="133" t="s">
        <v>2404</v>
      </c>
      <c r="GX439" s="232">
        <v>-34.837364357148545</v>
      </c>
      <c r="GY439" s="25" t="s">
        <v>2069</v>
      </c>
      <c r="GZ439" s="25" t="s">
        <v>2069</v>
      </c>
      <c r="HA439" s="26" t="s">
        <v>3604</v>
      </c>
      <c r="HB439" s="102"/>
    </row>
    <row r="440" spans="171:210" x14ac:dyDescent="0.25">
      <c r="FO440" s="263" t="s">
        <v>2069</v>
      </c>
      <c r="FP440" s="250">
        <v>43950.659525462965</v>
      </c>
      <c r="FQ440" s="249" t="s">
        <v>2061</v>
      </c>
      <c r="FR440" s="223">
        <v>43920</v>
      </c>
      <c r="FS440" s="211" t="s">
        <v>2062</v>
      </c>
      <c r="FT440" s="192">
        <v>0.22137805499717245</v>
      </c>
      <c r="FU440" s="71">
        <v>1.907510924181864E-4</v>
      </c>
      <c r="FV440" s="73">
        <v>607.4813990411385</v>
      </c>
      <c r="FW440" s="217">
        <v>1160.5598279450064</v>
      </c>
      <c r="FX440" s="212">
        <v>24.995362057381925</v>
      </c>
      <c r="FY440" s="214">
        <v>0.96901047906196114</v>
      </c>
      <c r="FZ440" s="214">
        <v>1.7366838667467186E-4</v>
      </c>
      <c r="GA440" s="213">
        <v>0.19075109241818641</v>
      </c>
      <c r="GB440" s="246">
        <v>43950</v>
      </c>
      <c r="GC440" s="26" t="s">
        <v>3600</v>
      </c>
      <c r="GD440" s="214">
        <v>1159.6747014260686</v>
      </c>
      <c r="GE440" s="214">
        <v>1196</v>
      </c>
      <c r="GF440" s="73" t="s">
        <v>3660</v>
      </c>
      <c r="GG440" s="156">
        <v>43950</v>
      </c>
      <c r="GH440" s="26">
        <v>29</v>
      </c>
      <c r="GI440" s="26" t="s">
        <v>3661</v>
      </c>
      <c r="GJ440" s="25"/>
      <c r="GK440" s="62" t="s">
        <v>3662</v>
      </c>
      <c r="GM440" s="18" t="s">
        <v>3663</v>
      </c>
      <c r="GN440" s="11">
        <v>1196</v>
      </c>
      <c r="GO440" s="156"/>
      <c r="GP440" s="218"/>
      <c r="GQ440" s="156"/>
      <c r="GR440" s="11"/>
      <c r="GS440" s="25"/>
      <c r="GT440" s="11" t="e">
        <v>#N/A</v>
      </c>
      <c r="GU440" s="12">
        <v>2.089913215500161E-2</v>
      </c>
      <c r="GV440" s="160">
        <v>43904</v>
      </c>
      <c r="GW440" s="133" t="s">
        <v>2404</v>
      </c>
      <c r="GX440" s="232">
        <v>-36.544419879672205</v>
      </c>
      <c r="GY440" s="25" t="s">
        <v>2069</v>
      </c>
      <c r="GZ440" s="25" t="s">
        <v>2069</v>
      </c>
      <c r="HA440" s="26" t="s">
        <v>3663</v>
      </c>
      <c r="HB440" s="25"/>
    </row>
    <row r="441" spans="171:210" x14ac:dyDescent="0.25">
      <c r="FO441" s="263" t="s">
        <v>2069</v>
      </c>
      <c r="FP441" s="250">
        <v>43951.665891203702</v>
      </c>
      <c r="FQ441" s="249" t="s">
        <v>2061</v>
      </c>
      <c r="FR441" s="223">
        <v>43920</v>
      </c>
      <c r="FS441" s="211" t="s">
        <v>2062</v>
      </c>
      <c r="FT441" s="192">
        <v>0.21533618836015989</v>
      </c>
      <c r="FU441" s="71">
        <v>1.8519527562132912E-4</v>
      </c>
      <c r="FV441" s="73">
        <v>612.7522103464446</v>
      </c>
      <c r="FW441" s="217">
        <v>1162.752060697597</v>
      </c>
      <c r="FX441" s="212">
        <v>25.677648498813195</v>
      </c>
      <c r="FY441" s="214">
        <v>0.96626222615389623</v>
      </c>
      <c r="FZ441" s="214">
        <v>1.6622930469705231E-4</v>
      </c>
      <c r="GA441" s="213">
        <v>0.18519527562132912</v>
      </c>
      <c r="GB441" s="246">
        <v>43951</v>
      </c>
      <c r="GC441" s="26" t="s">
        <v>3600</v>
      </c>
      <c r="GD441" s="214">
        <v>1161.6914639389754</v>
      </c>
      <c r="GE441" s="214">
        <v>1196</v>
      </c>
      <c r="GF441" s="73" t="s">
        <v>3660</v>
      </c>
      <c r="GG441" s="156">
        <v>43951</v>
      </c>
      <c r="GH441" s="26">
        <v>31</v>
      </c>
      <c r="GI441" s="26" t="s">
        <v>3721</v>
      </c>
      <c r="GJ441" s="25"/>
      <c r="GK441" s="62" t="s">
        <v>3722</v>
      </c>
      <c r="GM441" s="18" t="s">
        <v>3723</v>
      </c>
      <c r="GN441" s="11">
        <v>1196</v>
      </c>
      <c r="GO441" s="156"/>
      <c r="GP441" s="218"/>
      <c r="GQ441" s="156"/>
      <c r="GR441" s="11"/>
      <c r="GS441" s="25"/>
      <c r="GT441" s="11">
        <v>1161.6914639389754</v>
      </c>
      <c r="GU441" s="12">
        <v>2.1469605768238458E-2</v>
      </c>
      <c r="GV441" s="160">
        <v>43904</v>
      </c>
      <c r="GW441" s="133" t="s">
        <v>2404</v>
      </c>
      <c r="GX441" s="232">
        <v>-33.308536061024597</v>
      </c>
      <c r="GY441" s="25" t="s">
        <v>2069</v>
      </c>
      <c r="GZ441" s="25" t="s">
        <v>2069</v>
      </c>
      <c r="HA441" s="26" t="s">
        <v>3723</v>
      </c>
      <c r="HB441" s="99"/>
    </row>
    <row r="442" spans="171:210" x14ac:dyDescent="0.25">
      <c r="FO442" s="263" t="s">
        <v>2069</v>
      </c>
      <c r="FP442" s="250">
        <v>43954.724351851852</v>
      </c>
      <c r="FQ442" s="249" t="s">
        <v>2061</v>
      </c>
      <c r="FR442" s="223">
        <v>43920</v>
      </c>
      <c r="FS442" s="211" t="s">
        <v>2062</v>
      </c>
      <c r="FT442" s="192">
        <v>0.19861064878933876</v>
      </c>
      <c r="FU442" s="71">
        <v>1.6913828278195594E-4</v>
      </c>
      <c r="FV442" s="73">
        <v>626.17218175305254</v>
      </c>
      <c r="FW442" s="217">
        <v>1174.2501196218068</v>
      </c>
      <c r="FX442" s="212">
        <v>27.089906655612225</v>
      </c>
      <c r="FY442" s="214">
        <v>0.96243321373141966</v>
      </c>
      <c r="FZ442" s="214">
        <v>1.4804388304550346E-4</v>
      </c>
      <c r="GA442" s="216">
        <v>0.16913828278195595</v>
      </c>
      <c r="GB442" s="257">
        <v>43954</v>
      </c>
      <c r="GC442" s="26" t="s">
        <v>3789</v>
      </c>
      <c r="GD442" s="214">
        <v>1172.4674409854892</v>
      </c>
      <c r="GE442" s="214">
        <v>1209</v>
      </c>
      <c r="GF442" s="73" t="s">
        <v>3790</v>
      </c>
      <c r="GG442" s="156">
        <v>43954</v>
      </c>
      <c r="GH442" s="26">
        <v>34</v>
      </c>
      <c r="GI442" s="26" t="s">
        <v>3791</v>
      </c>
      <c r="GJ442" s="25"/>
      <c r="GK442" s="62" t="s">
        <v>3792</v>
      </c>
      <c r="GM442" s="18" t="s">
        <v>3793</v>
      </c>
      <c r="GN442" s="11">
        <v>1209</v>
      </c>
      <c r="GO442" s="156"/>
      <c r="GP442" s="218"/>
      <c r="GQ442" s="156"/>
      <c r="GR442" s="11"/>
      <c r="GS442" s="25"/>
      <c r="GT442" s="11" t="e">
        <v>#N/A</v>
      </c>
      <c r="GU442" s="12">
        <v>2.2406870682888522E-2</v>
      </c>
      <c r="GV442" s="26">
        <v>43904</v>
      </c>
      <c r="GW442" s="237" t="s">
        <v>2404</v>
      </c>
      <c r="GX442" s="232">
        <v>-36.532559014510753</v>
      </c>
      <c r="GY442" s="25" t="s">
        <v>2069</v>
      </c>
      <c r="GZ442" s="25" t="s">
        <v>2069</v>
      </c>
      <c r="HA442" s="26" t="s">
        <v>3793</v>
      </c>
      <c r="HB442" s="102"/>
    </row>
    <row r="443" spans="171:210" x14ac:dyDescent="0.25">
      <c r="FO443" s="267" t="s">
        <v>2133</v>
      </c>
      <c r="FP443" s="251">
        <v>43931.899085648147</v>
      </c>
      <c r="FQ443" s="244">
        <v>43852</v>
      </c>
      <c r="FR443" s="160">
        <v>43852</v>
      </c>
      <c r="FS443" s="211">
        <v>14</v>
      </c>
      <c r="FT443" s="72">
        <v>0.14504557363105949</v>
      </c>
      <c r="FU443" s="72">
        <v>3.3017969834038573E-4</v>
      </c>
      <c r="FV443" s="74">
        <v>4.8081667562997227E-2</v>
      </c>
      <c r="FW443" s="212">
        <v>439.29282860247355</v>
      </c>
      <c r="FX443" s="212">
        <v>16.103374181881971</v>
      </c>
      <c r="FY443" s="212">
        <v>0.98291661593084656</v>
      </c>
      <c r="FZ443" s="212">
        <v>3.0163200527633123</v>
      </c>
      <c r="GA443" s="216">
        <v>0.33017969834038574</v>
      </c>
      <c r="GB443" s="257">
        <v>43930</v>
      </c>
      <c r="GC443" s="160" t="s">
        <v>2135</v>
      </c>
      <c r="GD443" s="212">
        <v>439.29282860239221</v>
      </c>
      <c r="GE443" s="212">
        <v>380</v>
      </c>
      <c r="GF443" s="74" t="s">
        <v>2136</v>
      </c>
      <c r="GG443" s="243">
        <v>43930</v>
      </c>
      <c r="GH443" s="160">
        <v>79</v>
      </c>
      <c r="GI443" s="23" t="s">
        <v>2137</v>
      </c>
      <c r="GJ443" s="21"/>
      <c r="GK443" s="161" t="s">
        <v>2138</v>
      </c>
      <c r="GL443" s="23"/>
      <c r="GM443" s="23" t="s">
        <v>2139</v>
      </c>
      <c r="GN443" s="204">
        <v>159.61502871264346</v>
      </c>
      <c r="GO443" s="243"/>
      <c r="GP443" s="218"/>
      <c r="GQ443" s="243"/>
      <c r="GR443" s="23"/>
      <c r="GS443" s="23"/>
      <c r="GT443" s="11">
        <v>416.78850664963983</v>
      </c>
      <c r="GU443" s="34">
        <v>0.10088883428936404</v>
      </c>
      <c r="GV443" s="259">
        <v>43852</v>
      </c>
      <c r="GW443" s="260" t="s">
        <v>2134</v>
      </c>
      <c r="GX443" s="220">
        <v>20.648668660320766</v>
      </c>
      <c r="GY443" s="23" t="s">
        <v>1068</v>
      </c>
      <c r="GZ443" s="23"/>
      <c r="HA443" s="25"/>
      <c r="HB443" s="25"/>
    </row>
    <row r="444" spans="171:210" x14ac:dyDescent="0.25">
      <c r="FO444" s="263" t="s">
        <v>2133</v>
      </c>
      <c r="FP444" s="250">
        <v>43954.724432870367</v>
      </c>
      <c r="FQ444" s="249">
        <v>43852</v>
      </c>
      <c r="FR444" s="223">
        <v>43852</v>
      </c>
      <c r="FS444" s="211">
        <v>14</v>
      </c>
      <c r="FT444" s="192">
        <v>0.14753731480300505</v>
      </c>
      <c r="FU444" s="71">
        <v>3.4614755232138117E-4</v>
      </c>
      <c r="FV444" s="73">
        <v>4.2645902555332078E-2</v>
      </c>
      <c r="FW444" s="217">
        <v>426.22665916188203</v>
      </c>
      <c r="FX444" s="212">
        <v>15.024146763192514</v>
      </c>
      <c r="FY444" s="214">
        <v>0.99223910996252995</v>
      </c>
      <c r="FZ444" s="214">
        <v>3.459243308001557</v>
      </c>
      <c r="GA444" s="213">
        <v>0.34614755232138117</v>
      </c>
      <c r="GB444" s="246">
        <v>44013</v>
      </c>
      <c r="GC444" s="26" t="s">
        <v>3794</v>
      </c>
      <c r="GD444" s="214">
        <v>426.22645341041891</v>
      </c>
      <c r="GE444" s="214">
        <v>432</v>
      </c>
      <c r="GF444" s="73" t="s">
        <v>3795</v>
      </c>
      <c r="GG444" s="156">
        <v>43953</v>
      </c>
      <c r="GH444" s="26">
        <v>102</v>
      </c>
      <c r="GI444" s="26" t="s">
        <v>3796</v>
      </c>
      <c r="GJ444" s="25"/>
      <c r="GK444" s="62" t="s">
        <v>3797</v>
      </c>
      <c r="GM444" s="18" t="s">
        <v>3798</v>
      </c>
      <c r="GN444" s="11">
        <v>181.45708527332098</v>
      </c>
      <c r="GO444" s="156">
        <v>43906</v>
      </c>
      <c r="GP444" s="218">
        <v>-48</v>
      </c>
      <c r="GQ444" s="156">
        <v>43908</v>
      </c>
      <c r="GR444" s="11">
        <v>-46</v>
      </c>
      <c r="GS444" s="25"/>
      <c r="GT444" s="11">
        <v>426.22645341041891</v>
      </c>
      <c r="GU444" s="12">
        <v>8.2797245092757266E-2</v>
      </c>
      <c r="GV444" s="241">
        <v>43916</v>
      </c>
      <c r="GW444" s="133" t="s">
        <v>2406</v>
      </c>
      <c r="GX444" s="232">
        <v>-7.0106676410374007</v>
      </c>
      <c r="GY444" s="99" t="s">
        <v>2133</v>
      </c>
      <c r="GZ444" s="99" t="s">
        <v>2133</v>
      </c>
      <c r="HA444" s="26" t="s">
        <v>3798</v>
      </c>
      <c r="HB444" s="25"/>
    </row>
    <row r="445" spans="171:210" x14ac:dyDescent="0.25">
      <c r="FO445" s="263" t="s">
        <v>2133</v>
      </c>
      <c r="FP445" s="250">
        <v>43942.945625</v>
      </c>
      <c r="FQ445" s="249">
        <v>43852</v>
      </c>
      <c r="FR445" s="223">
        <v>43852</v>
      </c>
      <c r="FS445" s="211">
        <v>14</v>
      </c>
      <c r="FT445" s="192">
        <v>0.1573674205253833</v>
      </c>
      <c r="FU445" s="71">
        <v>3.7969850191110131E-4</v>
      </c>
      <c r="FV445" s="73">
        <v>2.4296325648181866E-2</v>
      </c>
      <c r="FW445" s="217">
        <v>414.45362500331299</v>
      </c>
      <c r="FX445" s="212">
        <v>15.586917068369631</v>
      </c>
      <c r="FY445" s="214">
        <v>0.98938302277861601</v>
      </c>
      <c r="FZ445" s="214">
        <v>6.4766252117923893</v>
      </c>
      <c r="GA445" s="213">
        <v>0.37969850191110133</v>
      </c>
      <c r="GB445" s="246">
        <v>44021</v>
      </c>
      <c r="GC445" s="26" t="s">
        <v>3377</v>
      </c>
      <c r="GD445" s="214">
        <v>414.45360508359414</v>
      </c>
      <c r="GE445" s="214">
        <v>422</v>
      </c>
      <c r="GF445" s="73" t="s">
        <v>3378</v>
      </c>
      <c r="GG445" s="156">
        <v>43941</v>
      </c>
      <c r="GH445" s="26">
        <v>90</v>
      </c>
      <c r="GI445" s="26" t="s">
        <v>3379</v>
      </c>
      <c r="GJ445" s="25"/>
      <c r="GK445" s="62" t="s">
        <v>3380</v>
      </c>
      <c r="GM445" s="18" t="s">
        <v>3381</v>
      </c>
      <c r="GN445" s="11">
        <v>177.25668978088299</v>
      </c>
      <c r="GO445" s="156">
        <v>43906</v>
      </c>
      <c r="GP445" s="218">
        <v>-36</v>
      </c>
      <c r="GQ445" s="156">
        <v>43907</v>
      </c>
      <c r="GR445" s="11">
        <v>-35</v>
      </c>
      <c r="GS445" s="25"/>
      <c r="GT445" s="11">
        <v>414.45360508359414</v>
      </c>
      <c r="GU445" s="12">
        <v>8.7934154065708328E-2</v>
      </c>
      <c r="GV445" s="241">
        <v>43916</v>
      </c>
      <c r="GW445" s="133" t="s">
        <v>2406</v>
      </c>
      <c r="GX445" s="232">
        <v>-12.480860456405367</v>
      </c>
      <c r="GY445" s="99" t="s">
        <v>2133</v>
      </c>
      <c r="GZ445" s="99" t="s">
        <v>2133</v>
      </c>
      <c r="HA445" s="26" t="s">
        <v>3381</v>
      </c>
      <c r="HB445" s="25"/>
    </row>
    <row r="446" spans="171:210" x14ac:dyDescent="0.25">
      <c r="FO446" s="263" t="s">
        <v>2133</v>
      </c>
      <c r="FP446" s="250">
        <v>43945.84412037037</v>
      </c>
      <c r="FQ446" s="249">
        <v>43852</v>
      </c>
      <c r="FR446" s="223">
        <v>43852</v>
      </c>
      <c r="FS446" s="211">
        <v>14</v>
      </c>
      <c r="FT446" s="192">
        <v>0.15324508525989769</v>
      </c>
      <c r="FU446" s="71">
        <v>3.6529262158753407E-4</v>
      </c>
      <c r="FV446" s="73">
        <v>3.0736990391101147E-2</v>
      </c>
      <c r="FW446" s="217">
        <v>419.51322365589033</v>
      </c>
      <c r="FX446" s="212">
        <v>15.523405482412052</v>
      </c>
      <c r="FY446" s="214">
        <v>0.99027558137864824</v>
      </c>
      <c r="FZ446" s="214">
        <v>4.9853240448831215</v>
      </c>
      <c r="GA446" s="213">
        <v>0.36529262158753406</v>
      </c>
      <c r="GB446" s="246">
        <v>44021</v>
      </c>
      <c r="GC446" s="26" t="s">
        <v>3450</v>
      </c>
      <c r="GD446" s="214">
        <v>419.51319127733444</v>
      </c>
      <c r="GE446" s="214">
        <v>427</v>
      </c>
      <c r="GF446" s="73" t="s">
        <v>3451</v>
      </c>
      <c r="GG446" s="156">
        <v>43944</v>
      </c>
      <c r="GH446" s="26">
        <v>93</v>
      </c>
      <c r="GI446" s="26" t="s">
        <v>3452</v>
      </c>
      <c r="GJ446" s="25"/>
      <c r="GK446" s="62" t="s">
        <v>3453</v>
      </c>
      <c r="GM446" s="18" t="s">
        <v>3454</v>
      </c>
      <c r="GN446" s="11">
        <v>179.356887527102</v>
      </c>
      <c r="GO446" s="156">
        <v>43906</v>
      </c>
      <c r="GP446" s="218">
        <v>-39</v>
      </c>
      <c r="GQ446" s="156">
        <v>43908</v>
      </c>
      <c r="GR446" s="11">
        <v>-37</v>
      </c>
      <c r="GS446" s="25"/>
      <c r="GT446" s="11">
        <v>419.51319127733444</v>
      </c>
      <c r="GU446" s="12">
        <v>8.6550372815018678E-2</v>
      </c>
      <c r="GV446" s="241">
        <v>43916</v>
      </c>
      <c r="GW446" s="133" t="s">
        <v>2406</v>
      </c>
      <c r="GX446" s="232">
        <v>-11.155444967597873</v>
      </c>
      <c r="GY446" s="99" t="s">
        <v>2133</v>
      </c>
      <c r="GZ446" s="99" t="s">
        <v>2133</v>
      </c>
      <c r="HA446" s="26" t="s">
        <v>3454</v>
      </c>
      <c r="HB446" s="25"/>
    </row>
    <row r="447" spans="171:210" x14ac:dyDescent="0.25">
      <c r="FO447" s="263" t="s">
        <v>2133</v>
      </c>
      <c r="FP447" s="250">
        <v>43947.951215277775</v>
      </c>
      <c r="FQ447" s="249">
        <v>43852</v>
      </c>
      <c r="FR447" s="223">
        <v>43852</v>
      </c>
      <c r="FS447" s="211">
        <v>14</v>
      </c>
      <c r="FT447" s="192">
        <v>0.15120923604509803</v>
      </c>
      <c r="FU447" s="71">
        <v>3.583535963022779E-4</v>
      </c>
      <c r="FV447" s="73">
        <v>3.4531882083112649E-2</v>
      </c>
      <c r="FW447" s="217">
        <v>421.95540272337672</v>
      </c>
      <c r="FX447" s="212">
        <v>15.445504700173874</v>
      </c>
      <c r="FY447" s="214">
        <v>0.99079457920148761</v>
      </c>
      <c r="FZ447" s="214">
        <v>4.3784714964872204</v>
      </c>
      <c r="GA447" s="213">
        <v>0.35835359630227792</v>
      </c>
      <c r="GB447" s="246">
        <v>44049</v>
      </c>
      <c r="GC447" s="26" t="s">
        <v>3546</v>
      </c>
      <c r="GD447" s="214">
        <v>421.95540212714104</v>
      </c>
      <c r="GE447" s="214">
        <v>429</v>
      </c>
      <c r="GF447" s="73" t="s">
        <v>3547</v>
      </c>
      <c r="GG447" s="156">
        <v>43946</v>
      </c>
      <c r="GH447" s="26">
        <v>95</v>
      </c>
      <c r="GI447" s="26" t="s">
        <v>3548</v>
      </c>
      <c r="GJ447" s="25"/>
      <c r="GK447" s="62" t="s">
        <v>3549</v>
      </c>
      <c r="GM447" s="18" t="s">
        <v>3550</v>
      </c>
      <c r="GN447" s="11">
        <v>180.1969666255896</v>
      </c>
      <c r="GO447" s="156">
        <v>43906</v>
      </c>
      <c r="GP447" s="218">
        <v>-41</v>
      </c>
      <c r="GQ447" s="156">
        <v>43908</v>
      </c>
      <c r="GR447" s="11">
        <v>-39</v>
      </c>
      <c r="GS447" s="25"/>
      <c r="GT447" s="11">
        <v>421.95540212714104</v>
      </c>
      <c r="GU447" s="12">
        <v>8.571456550801046E-2</v>
      </c>
      <c r="GV447" s="241">
        <v>43916</v>
      </c>
      <c r="GW447" s="133" t="s">
        <v>2406</v>
      </c>
      <c r="GX447" s="232">
        <v>-10.000142684526111</v>
      </c>
      <c r="GY447" s="99" t="s">
        <v>2133</v>
      </c>
      <c r="GZ447" s="99" t="s">
        <v>2133</v>
      </c>
      <c r="HA447" s="26" t="s">
        <v>3550</v>
      </c>
      <c r="HB447" s="25"/>
    </row>
    <row r="448" spans="171:210" x14ac:dyDescent="0.25">
      <c r="FO448" s="263" t="s">
        <v>2133</v>
      </c>
      <c r="FP448" s="250">
        <v>43949.718009259261</v>
      </c>
      <c r="FQ448" s="249">
        <v>43852</v>
      </c>
      <c r="FR448" s="223">
        <v>43852</v>
      </c>
      <c r="FS448" s="211">
        <v>14</v>
      </c>
      <c r="FT448" s="192">
        <v>0.149750309500993</v>
      </c>
      <c r="FU448" s="71">
        <v>3.5344721618461313E-4</v>
      </c>
      <c r="FV448" s="73">
        <v>3.7547004307532973E-2</v>
      </c>
      <c r="FW448" s="217">
        <v>423.68507274584152</v>
      </c>
      <c r="FX448" s="212">
        <v>15.338931025230877</v>
      </c>
      <c r="FY448" s="214">
        <v>0.99126677949338182</v>
      </c>
      <c r="FZ448" s="214">
        <v>3.9879889588635709</v>
      </c>
      <c r="GA448" s="213">
        <v>0.35344721618461311</v>
      </c>
      <c r="GB448" s="246">
        <v>44049</v>
      </c>
      <c r="GC448" s="26" t="s">
        <v>3605</v>
      </c>
      <c r="GD448" s="214">
        <v>423.68507200889979</v>
      </c>
      <c r="GE448" s="214">
        <v>429</v>
      </c>
      <c r="GF448" s="73" t="s">
        <v>3606</v>
      </c>
      <c r="GG448" s="156">
        <v>43948</v>
      </c>
      <c r="GH448" s="26">
        <v>97</v>
      </c>
      <c r="GI448" s="26" t="s">
        <v>3607</v>
      </c>
      <c r="GJ448" s="25"/>
      <c r="GK448" s="62" t="s">
        <v>3608</v>
      </c>
      <c r="GM448" s="18" t="s">
        <v>3609</v>
      </c>
      <c r="GN448" s="11">
        <v>180.1969666255896</v>
      </c>
      <c r="GO448" s="156">
        <v>43906</v>
      </c>
      <c r="GP448" s="218">
        <v>-43</v>
      </c>
      <c r="GQ448" s="156">
        <v>43908</v>
      </c>
      <c r="GR448" s="11">
        <v>-41</v>
      </c>
      <c r="GS448" s="25"/>
      <c r="GT448" s="11">
        <v>423.68507200889979</v>
      </c>
      <c r="GU448" s="12">
        <v>8.5123136712405734E-2</v>
      </c>
      <c r="GV448" s="241">
        <v>43916</v>
      </c>
      <c r="GW448" s="133" t="s">
        <v>2406</v>
      </c>
      <c r="GX448" s="232">
        <v>-7.6516360056719464</v>
      </c>
      <c r="GY448" s="99" t="s">
        <v>2133</v>
      </c>
      <c r="GZ448" s="99" t="s">
        <v>2133</v>
      </c>
      <c r="HA448" s="26" t="s">
        <v>3609</v>
      </c>
      <c r="HB448" s="25"/>
    </row>
    <row r="449" spans="171:210" x14ac:dyDescent="0.25">
      <c r="FO449" s="263" t="s">
        <v>2133</v>
      </c>
      <c r="FP449" s="250">
        <v>43950.659583333334</v>
      </c>
      <c r="FQ449" s="249">
        <v>43852</v>
      </c>
      <c r="FR449" s="223">
        <v>43852</v>
      </c>
      <c r="FS449" s="211">
        <v>14</v>
      </c>
      <c r="FT449" s="192">
        <v>0.14920337064916711</v>
      </c>
      <c r="FU449" s="71">
        <v>3.516213911725679E-4</v>
      </c>
      <c r="FV449" s="73">
        <v>3.8743569526019657E-2</v>
      </c>
      <c r="FW449" s="217">
        <v>424.3296181486906</v>
      </c>
      <c r="FX449" s="212">
        <v>15.277970193032784</v>
      </c>
      <c r="FY449" s="214">
        <v>0.99148553376394666</v>
      </c>
      <c r="FZ449" s="214">
        <v>3.8506970164728256</v>
      </c>
      <c r="GA449" s="213">
        <v>0.35162139117256791</v>
      </c>
      <c r="GB449" s="246">
        <v>44049</v>
      </c>
      <c r="GC449" s="26" t="s">
        <v>3605</v>
      </c>
      <c r="GD449" s="214">
        <v>424.32961735083938</v>
      </c>
      <c r="GE449" s="214">
        <v>429</v>
      </c>
      <c r="GF449" s="73" t="s">
        <v>3664</v>
      </c>
      <c r="GG449" s="156">
        <v>43949</v>
      </c>
      <c r="GH449" s="26">
        <v>98</v>
      </c>
      <c r="GI449" s="26" t="s">
        <v>3665</v>
      </c>
      <c r="GJ449" s="25"/>
      <c r="GK449" s="62" t="s">
        <v>3666</v>
      </c>
      <c r="GM449" s="18" t="s">
        <v>3667</v>
      </c>
      <c r="GN449" s="11">
        <v>180.1969666255896</v>
      </c>
      <c r="GO449" s="156">
        <v>43906</v>
      </c>
      <c r="GP449" s="218">
        <v>-44</v>
      </c>
      <c r="GQ449" s="156">
        <v>43908</v>
      </c>
      <c r="GR449" s="11">
        <v>-42</v>
      </c>
      <c r="GS449" s="25"/>
      <c r="GT449" s="11">
        <v>424.32961735083938</v>
      </c>
      <c r="GU449" s="12">
        <v>8.4784835611451267E-2</v>
      </c>
      <c r="GV449" s="241">
        <v>43916</v>
      </c>
      <c r="GW449" s="133" t="s">
        <v>2406</v>
      </c>
      <c r="GX449" s="232">
        <v>-6.7349325939314895</v>
      </c>
      <c r="GY449" s="99" t="s">
        <v>2133</v>
      </c>
      <c r="GZ449" s="99" t="s">
        <v>2133</v>
      </c>
      <c r="HA449" s="26" t="s">
        <v>3667</v>
      </c>
      <c r="HB449" s="25"/>
    </row>
    <row r="450" spans="171:210" x14ac:dyDescent="0.25">
      <c r="FO450" s="263" t="s">
        <v>2133</v>
      </c>
      <c r="FP450" s="250">
        <v>43951.665937500002</v>
      </c>
      <c r="FQ450" s="249">
        <v>43852</v>
      </c>
      <c r="FR450" s="223">
        <v>43852</v>
      </c>
      <c r="FS450" s="211">
        <v>14</v>
      </c>
      <c r="FT450" s="192">
        <v>0.14873494268943147</v>
      </c>
      <c r="FU450" s="71">
        <v>3.5007162121928552E-4</v>
      </c>
      <c r="FV450" s="73">
        <v>3.9800853473282251E-2</v>
      </c>
      <c r="FW450" s="217">
        <v>424.87003708382184</v>
      </c>
      <c r="FX450" s="212">
        <v>15.213964217986764</v>
      </c>
      <c r="FY450" s="214">
        <v>0.99169253138867153</v>
      </c>
      <c r="FZ450" s="214">
        <v>3.7366286539549831</v>
      </c>
      <c r="GA450" s="213">
        <v>0.35007162121928553</v>
      </c>
      <c r="GB450" s="246">
        <v>44049</v>
      </c>
      <c r="GC450" s="26" t="s">
        <v>2250</v>
      </c>
      <c r="GD450" s="214">
        <v>424.87003622991506</v>
      </c>
      <c r="GE450" s="214">
        <v>429</v>
      </c>
      <c r="GF450" s="73" t="s">
        <v>3664</v>
      </c>
      <c r="GG450" s="156">
        <v>43950</v>
      </c>
      <c r="GH450" s="26">
        <v>99</v>
      </c>
      <c r="GI450" s="26" t="s">
        <v>3725</v>
      </c>
      <c r="GJ450" s="25"/>
      <c r="GK450" s="62" t="s">
        <v>3724</v>
      </c>
      <c r="GM450" s="18" t="s">
        <v>3726</v>
      </c>
      <c r="GN450" s="11">
        <v>180.1969666255896</v>
      </c>
      <c r="GO450" s="156">
        <v>43906</v>
      </c>
      <c r="GP450" s="218">
        <v>-45</v>
      </c>
      <c r="GQ450" s="156">
        <v>43908</v>
      </c>
      <c r="GR450" s="11">
        <v>-43</v>
      </c>
      <c r="GS450" s="25"/>
      <c r="GT450" s="11">
        <v>424.87003622991506</v>
      </c>
      <c r="GU450" s="12">
        <v>8.4429635542079343E-2</v>
      </c>
      <c r="GV450" s="241">
        <v>43916</v>
      </c>
      <c r="GW450" s="133" t="s">
        <v>2406</v>
      </c>
      <c r="GX450" s="232">
        <v>-5.9489686556539141</v>
      </c>
      <c r="GY450" s="99" t="s">
        <v>2133</v>
      </c>
      <c r="GZ450" s="99" t="s">
        <v>2133</v>
      </c>
      <c r="HA450" s="26" t="s">
        <v>3726</v>
      </c>
      <c r="HB450" s="102"/>
    </row>
    <row r="451" spans="171:210" x14ac:dyDescent="0.25">
      <c r="FO451" s="263" t="s">
        <v>2133</v>
      </c>
      <c r="FP451" s="252">
        <v>43934.88071759259</v>
      </c>
      <c r="FQ451" s="244">
        <v>43852</v>
      </c>
      <c r="FR451" s="160">
        <v>43852</v>
      </c>
      <c r="FS451" s="211">
        <v>14</v>
      </c>
      <c r="FT451" s="72">
        <v>0.15372242254534318</v>
      </c>
      <c r="FU451" s="72">
        <v>3.6531540640871821E-4</v>
      </c>
      <c r="FV451" s="74">
        <v>2.9767024571545387E-2</v>
      </c>
      <c r="FW451" s="212">
        <v>420.7937027801043</v>
      </c>
      <c r="FX451" s="214">
        <v>16.039191825394912</v>
      </c>
      <c r="FY451" s="214">
        <v>0.98531514551343025</v>
      </c>
      <c r="FZ451" s="212">
        <v>5.1638197100693342</v>
      </c>
      <c r="GA451" s="213">
        <v>0.36531540640871824</v>
      </c>
      <c r="GB451" s="246">
        <v>44063</v>
      </c>
      <c r="GC451" s="26" t="s">
        <v>2352</v>
      </c>
      <c r="GD451" s="214">
        <v>420.79370273136902</v>
      </c>
      <c r="GE451" s="214">
        <v>388</v>
      </c>
      <c r="GF451" s="73" t="s">
        <v>2353</v>
      </c>
      <c r="GG451" s="156">
        <v>43933</v>
      </c>
      <c r="GH451" s="26">
        <v>82</v>
      </c>
      <c r="GI451" s="25" t="s">
        <v>2354</v>
      </c>
      <c r="GK451" s="62" t="s">
        <v>2355</v>
      </c>
      <c r="GM451" s="25" t="s">
        <v>2356</v>
      </c>
      <c r="GN451" s="25">
        <v>162.97534510659386</v>
      </c>
      <c r="GO451" s="156">
        <v>43905</v>
      </c>
      <c r="GP451" s="218">
        <v>-29</v>
      </c>
      <c r="GQ451" s="156"/>
      <c r="GR451" s="25"/>
      <c r="GS451" s="25"/>
      <c r="GT451" s="11">
        <v>420.79370273136902</v>
      </c>
      <c r="GU451" s="12">
        <v>9.8414835783317375E-2</v>
      </c>
      <c r="GV451" s="241">
        <v>43913</v>
      </c>
      <c r="GW451" s="242" t="s">
        <v>2134</v>
      </c>
      <c r="GX451" s="219">
        <v>13.744892400670153</v>
      </c>
      <c r="GY451" s="25" t="s">
        <v>2133</v>
      </c>
      <c r="GZ451" s="25" t="s">
        <v>2133</v>
      </c>
      <c r="HA451" s="25"/>
      <c r="HB451" s="102"/>
    </row>
    <row r="452" spans="171:210" x14ac:dyDescent="0.25">
      <c r="FO452" s="263" t="s">
        <v>2133</v>
      </c>
      <c r="FP452" s="251">
        <v>43935.630231481482</v>
      </c>
      <c r="FQ452" s="248">
        <v>43852</v>
      </c>
      <c r="FR452" s="223">
        <v>43852</v>
      </c>
      <c r="FS452" s="211">
        <v>14</v>
      </c>
      <c r="FT452" s="192">
        <v>0.15372242254534318</v>
      </c>
      <c r="FU452" s="71">
        <v>3.6531540640871821E-4</v>
      </c>
      <c r="FV452" s="73">
        <v>2.9767024571545387E-2</v>
      </c>
      <c r="FW452" s="217">
        <v>420.7937027801043</v>
      </c>
      <c r="FX452" s="212">
        <v>16.039191825394912</v>
      </c>
      <c r="FY452" s="214">
        <v>0.98531514551343025</v>
      </c>
      <c r="FZ452" s="214">
        <v>5.1638197100693342</v>
      </c>
      <c r="GA452" s="213">
        <v>0.36531540640871824</v>
      </c>
      <c r="GB452" s="246">
        <v>44063</v>
      </c>
      <c r="GC452" s="26" t="s">
        <v>2352</v>
      </c>
      <c r="GD452" s="214">
        <v>420.79370273136902</v>
      </c>
      <c r="GE452" s="214">
        <v>388</v>
      </c>
      <c r="GF452" s="73" t="s">
        <v>2353</v>
      </c>
      <c r="GG452" s="156">
        <v>43933</v>
      </c>
      <c r="GH452" s="26">
        <v>82</v>
      </c>
      <c r="GI452" s="26" t="s">
        <v>2354</v>
      </c>
      <c r="GJ452" s="25"/>
      <c r="GK452" s="62" t="s">
        <v>2355</v>
      </c>
      <c r="GM452" s="18" t="s">
        <v>2356</v>
      </c>
      <c r="GN452" s="11">
        <v>162.97534510659386</v>
      </c>
      <c r="GO452" s="156">
        <v>43905</v>
      </c>
      <c r="GP452" s="218">
        <v>-29</v>
      </c>
      <c r="GQ452" s="156">
        <v>43907</v>
      </c>
      <c r="GR452" s="11">
        <v>-27</v>
      </c>
      <c r="GS452" s="25"/>
      <c r="GT452" s="11">
        <v>420.79370273136902</v>
      </c>
      <c r="GU452" s="12">
        <v>9.8414835783317375E-2</v>
      </c>
      <c r="GV452" s="241">
        <v>43916</v>
      </c>
      <c r="GW452" s="133" t="s">
        <v>2406</v>
      </c>
      <c r="GX452" s="232">
        <v>13.744892400670153</v>
      </c>
      <c r="GY452" s="99" t="s">
        <v>2133</v>
      </c>
      <c r="GZ452" s="99" t="s">
        <v>2133</v>
      </c>
      <c r="HA452" s="25"/>
      <c r="HB452" s="102"/>
    </row>
    <row r="453" spans="171:210" x14ac:dyDescent="0.25">
      <c r="FO453" s="263" t="s">
        <v>2133</v>
      </c>
      <c r="FP453" s="250">
        <v>43938.513113425928</v>
      </c>
      <c r="FQ453" s="249">
        <v>43852</v>
      </c>
      <c r="FR453" s="223">
        <v>43852</v>
      </c>
      <c r="FS453" s="211">
        <v>14</v>
      </c>
      <c r="FT453" s="192">
        <v>0.15881414406025765</v>
      </c>
      <c r="FU453" s="71">
        <v>3.8477558780291264E-4</v>
      </c>
      <c r="FV453" s="73">
        <v>2.2372321390688489E-2</v>
      </c>
      <c r="FW453" s="217">
        <v>412.74485464915836</v>
      </c>
      <c r="FX453" s="212">
        <v>15.756887464644677</v>
      </c>
      <c r="FY453" s="214">
        <v>0.98777047407284191</v>
      </c>
      <c r="FZ453" s="214">
        <v>7.0983038802240683</v>
      </c>
      <c r="GA453" s="213">
        <v>0.38477558780291266</v>
      </c>
      <c r="GB453" s="246">
        <v>44063</v>
      </c>
      <c r="GC453" s="26" t="s">
        <v>2484</v>
      </c>
      <c r="GD453" s="214">
        <v>412.74485462785174</v>
      </c>
      <c r="GE453" s="214">
        <v>395</v>
      </c>
      <c r="GF453" s="73" t="s">
        <v>2485</v>
      </c>
      <c r="GG453" s="156">
        <v>43937</v>
      </c>
      <c r="GH453" s="26">
        <v>86</v>
      </c>
      <c r="GI453" s="26" t="s">
        <v>2486</v>
      </c>
      <c r="GJ453" s="25"/>
      <c r="GK453" s="62" t="s">
        <v>2487</v>
      </c>
      <c r="GM453" s="18" t="s">
        <v>2488</v>
      </c>
      <c r="GN453" s="11">
        <v>165.91562195130044</v>
      </c>
      <c r="GO453" s="156">
        <v>43906</v>
      </c>
      <c r="GP453" s="218">
        <v>-32</v>
      </c>
      <c r="GQ453" s="156">
        <v>43907</v>
      </c>
      <c r="GR453" s="11">
        <v>-31</v>
      </c>
      <c r="GS453" s="25"/>
      <c r="GT453" s="11">
        <v>412.74485462785174</v>
      </c>
      <c r="GU453" s="12">
        <v>9.4969281851407822E-2</v>
      </c>
      <c r="GV453" s="241">
        <v>43916</v>
      </c>
      <c r="GW453" s="133" t="s">
        <v>2406</v>
      </c>
      <c r="GX453" s="232">
        <v>9.0201850560567891</v>
      </c>
      <c r="GY453" s="99" t="s">
        <v>2133</v>
      </c>
      <c r="GZ453" s="99" t="s">
        <v>2133</v>
      </c>
      <c r="HA453" s="99" t="s">
        <v>2488</v>
      </c>
      <c r="HB453" s="102"/>
    </row>
    <row r="454" spans="171:210" x14ac:dyDescent="0.25">
      <c r="FO454" s="263" t="s">
        <v>2133</v>
      </c>
      <c r="FP454" s="250">
        <v>43938.923877314817</v>
      </c>
      <c r="FQ454" s="249">
        <v>43852</v>
      </c>
      <c r="FR454" s="223">
        <v>43852</v>
      </c>
      <c r="FS454" s="211">
        <v>14</v>
      </c>
      <c r="FT454" s="192">
        <v>0.15881557113440836</v>
      </c>
      <c r="FU454" s="71">
        <v>3.8477472053854159E-4</v>
      </c>
      <c r="FV454" s="73">
        <v>2.2372336857457011E-2</v>
      </c>
      <c r="FW454" s="217">
        <v>412.74949381322557</v>
      </c>
      <c r="FX454" s="212">
        <v>15.756886536797927</v>
      </c>
      <c r="FY454" s="214">
        <v>0.98777047551311692</v>
      </c>
      <c r="FZ454" s="214">
        <v>7.0983627609653865</v>
      </c>
      <c r="GA454" s="213">
        <v>0.38477472053854161</v>
      </c>
      <c r="GB454" s="246">
        <v>44063</v>
      </c>
      <c r="GC454" s="26" t="s">
        <v>2484</v>
      </c>
      <c r="GD454" s="214">
        <v>412.74949379192492</v>
      </c>
      <c r="GE454" s="214">
        <v>395</v>
      </c>
      <c r="GF454" s="73" t="s">
        <v>2485</v>
      </c>
      <c r="GG454" s="156">
        <v>43937</v>
      </c>
      <c r="GH454" s="26">
        <v>86</v>
      </c>
      <c r="GI454" s="26" t="s">
        <v>2486</v>
      </c>
      <c r="GJ454" s="25"/>
      <c r="GK454" s="62" t="s">
        <v>2487</v>
      </c>
      <c r="GM454" s="18" t="s">
        <v>2488</v>
      </c>
      <c r="GN454" s="11">
        <v>165.91562195130044</v>
      </c>
      <c r="GO454" s="156">
        <v>43906</v>
      </c>
      <c r="GP454" s="218">
        <v>-32</v>
      </c>
      <c r="GQ454" s="156">
        <v>43907</v>
      </c>
      <c r="GR454" s="11">
        <v>-31</v>
      </c>
      <c r="GS454" s="25"/>
      <c r="GT454" s="11">
        <v>412.74949379192492</v>
      </c>
      <c r="GU454" s="12">
        <v>9.4969276259127003E-2</v>
      </c>
      <c r="GV454" s="160">
        <v>43916</v>
      </c>
      <c r="GW454" s="133" t="s">
        <v>2406</v>
      </c>
      <c r="GX454" s="232">
        <v>9.0256841558262977</v>
      </c>
      <c r="GY454" s="99" t="s">
        <v>2133</v>
      </c>
      <c r="GZ454" s="99" t="s">
        <v>2133</v>
      </c>
      <c r="HA454" s="99" t="s">
        <v>2488</v>
      </c>
      <c r="HB454" s="25"/>
    </row>
    <row r="455" spans="171:210" x14ac:dyDescent="0.25">
      <c r="FO455" s="263" t="s">
        <v>2133</v>
      </c>
      <c r="FP455" s="250">
        <v>43939.898148148146</v>
      </c>
      <c r="FQ455" s="249">
        <v>43852</v>
      </c>
      <c r="FR455" s="223">
        <v>43852</v>
      </c>
      <c r="FS455" s="211">
        <v>14</v>
      </c>
      <c r="FT455" s="192">
        <v>0.15993450757180774</v>
      </c>
      <c r="FU455" s="71">
        <v>3.8890612007931005E-4</v>
      </c>
      <c r="FV455" s="73">
        <v>2.1000992088095811E-2</v>
      </c>
      <c r="FW455" s="217">
        <v>411.24194070073293</v>
      </c>
      <c r="FX455" s="212">
        <v>15.691212422030945</v>
      </c>
      <c r="FY455" s="214">
        <v>0.98822583117106511</v>
      </c>
      <c r="FZ455" s="214">
        <v>7.6151802489421199</v>
      </c>
      <c r="GA455" s="213">
        <v>0.38890612007931008</v>
      </c>
      <c r="GB455" s="246">
        <v>44063</v>
      </c>
      <c r="GC455" s="26" t="s">
        <v>2933</v>
      </c>
      <c r="GD455" s="214">
        <v>411.24194068294389</v>
      </c>
      <c r="GE455" s="214">
        <v>395</v>
      </c>
      <c r="GF455" s="73" t="s">
        <v>2934</v>
      </c>
      <c r="GG455" s="156">
        <v>43938</v>
      </c>
      <c r="GH455" s="26">
        <v>87</v>
      </c>
      <c r="GI455" s="26" t="s">
        <v>2935</v>
      </c>
      <c r="GJ455" s="25"/>
      <c r="GK455" s="62" t="s">
        <v>2936</v>
      </c>
      <c r="GM455" s="18" t="s">
        <v>2937</v>
      </c>
      <c r="GN455" s="11">
        <v>165.91562195130044</v>
      </c>
      <c r="GO455" s="156">
        <v>43906</v>
      </c>
      <c r="GP455" s="218">
        <v>-33</v>
      </c>
      <c r="GQ455" s="156">
        <v>43907</v>
      </c>
      <c r="GR455" s="11">
        <v>-32</v>
      </c>
      <c r="GS455" s="25"/>
      <c r="GT455" s="11">
        <v>411.24194068294389</v>
      </c>
      <c r="GU455" s="12">
        <v>9.4573447861568044E-2</v>
      </c>
      <c r="GV455" s="160">
        <v>43916</v>
      </c>
      <c r="GW455" s="133" t="s">
        <v>2406</v>
      </c>
      <c r="GX455" s="232">
        <v>9.0740443409191016</v>
      </c>
      <c r="GY455" s="99" t="s">
        <v>2133</v>
      </c>
      <c r="GZ455" s="99" t="s">
        <v>2133</v>
      </c>
      <c r="HA455" s="99" t="s">
        <v>2937</v>
      </c>
      <c r="HB455" s="99"/>
    </row>
    <row r="456" spans="171:210" x14ac:dyDescent="0.25">
      <c r="FO456" s="267" t="s">
        <v>2133</v>
      </c>
      <c r="FP456" s="251">
        <v>43933.929027777776</v>
      </c>
      <c r="FQ456" s="244">
        <v>43852</v>
      </c>
      <c r="FR456" s="160">
        <v>43852</v>
      </c>
      <c r="FS456" s="211">
        <v>14</v>
      </c>
      <c r="FT456" s="72">
        <v>0.15147239155488809</v>
      </c>
      <c r="FU456" s="72">
        <v>3.5640856114125895E-4</v>
      </c>
      <c r="FV456" s="74">
        <v>3.3737080946206872E-2</v>
      </c>
      <c r="FW456" s="212">
        <v>424.996501402371</v>
      </c>
      <c r="FX456" s="212">
        <v>16.084064563334945</v>
      </c>
      <c r="FY456" s="212">
        <v>0.99946490876261929</v>
      </c>
      <c r="FZ456" s="212">
        <v>4.4894330843830739</v>
      </c>
      <c r="GA456" s="216">
        <v>0.35640856114125896</v>
      </c>
      <c r="GB456" s="257">
        <v>44093</v>
      </c>
      <c r="GC456" s="160" t="s">
        <v>2250</v>
      </c>
      <c r="GD456" s="212">
        <v>424.99650140162146</v>
      </c>
      <c r="GE456" s="212">
        <v>385</v>
      </c>
      <c r="GF456" s="74" t="s">
        <v>2298</v>
      </c>
      <c r="GG456" s="243">
        <v>43932</v>
      </c>
      <c r="GH456" s="160">
        <v>110</v>
      </c>
      <c r="GI456" s="23" t="s">
        <v>2299</v>
      </c>
      <c r="GJ456" s="21"/>
      <c r="GK456" s="161" t="s">
        <v>2300</v>
      </c>
      <c r="GL456" s="23"/>
      <c r="GM456" s="23" t="s">
        <v>2301</v>
      </c>
      <c r="GN456" s="23">
        <v>161.71522645886245</v>
      </c>
      <c r="GO456" s="243">
        <v>43905</v>
      </c>
      <c r="GP456" s="218">
        <v>-28</v>
      </c>
      <c r="GQ456" s="243"/>
      <c r="GR456" s="23"/>
      <c r="GS456" s="23"/>
      <c r="GT456" s="11">
        <v>424.99650140162146</v>
      </c>
      <c r="GU456" s="34">
        <v>9.9459184614421284E-2</v>
      </c>
      <c r="GV456" s="160">
        <v>43913</v>
      </c>
      <c r="GW456" s="260" t="s">
        <v>2134</v>
      </c>
      <c r="GX456" s="220">
        <v>16.271401225337513</v>
      </c>
      <c r="GY456" s="23" t="s">
        <v>2133</v>
      </c>
      <c r="GZ456" s="23"/>
      <c r="HA456" s="25"/>
      <c r="HB456" s="102"/>
    </row>
    <row r="457" spans="171:210" x14ac:dyDescent="0.25">
      <c r="FO457" s="263" t="s">
        <v>2133</v>
      </c>
      <c r="FP457" s="252">
        <v>43934.704942129632</v>
      </c>
      <c r="FQ457" s="244">
        <v>43852</v>
      </c>
      <c r="FR457" s="160">
        <v>43852</v>
      </c>
      <c r="FS457" s="211">
        <v>14</v>
      </c>
      <c r="FT457" s="72">
        <v>0.15372280196555357</v>
      </c>
      <c r="FU457" s="72">
        <v>3.6530114232892453E-4</v>
      </c>
      <c r="FV457" s="74">
        <v>2.9766732596386441E-2</v>
      </c>
      <c r="FW457" s="212">
        <v>420.81117235362615</v>
      </c>
      <c r="FX457" s="214">
        <v>16.03919302263709</v>
      </c>
      <c r="FY457" s="214">
        <v>0.98531514332113423</v>
      </c>
      <c r="FZ457" s="212">
        <v>5.163883125109697</v>
      </c>
      <c r="GA457" s="213">
        <v>0.36530114232892452</v>
      </c>
      <c r="GB457" s="246">
        <v>44093</v>
      </c>
      <c r="GC457" s="26" t="s">
        <v>2352</v>
      </c>
      <c r="GD457" s="214">
        <v>420.8111723531419</v>
      </c>
      <c r="GE457" s="214">
        <v>388</v>
      </c>
      <c r="GF457" s="73" t="s">
        <v>2353</v>
      </c>
      <c r="GG457" s="156">
        <v>43933</v>
      </c>
      <c r="GH457" s="26">
        <v>110</v>
      </c>
      <c r="GI457" s="25" t="s">
        <v>2354</v>
      </c>
      <c r="GK457" s="62" t="s">
        <v>2355</v>
      </c>
      <c r="GM457" s="25" t="s">
        <v>2356</v>
      </c>
      <c r="GN457" s="25">
        <v>162.97534510659386</v>
      </c>
      <c r="GO457" s="156">
        <v>43905</v>
      </c>
      <c r="GP457" s="218">
        <v>-29</v>
      </c>
      <c r="GQ457" s="156"/>
      <c r="GR457" s="25"/>
      <c r="GS457" s="25"/>
      <c r="GT457" s="11">
        <v>420.8111723531419</v>
      </c>
      <c r="GU457" s="12">
        <v>9.8414843129472573E-2</v>
      </c>
      <c r="GV457" s="241">
        <v>43913</v>
      </c>
      <c r="GW457" s="242" t="s">
        <v>2134</v>
      </c>
      <c r="GX457" s="219">
        <v>13.761203493124412</v>
      </c>
      <c r="GY457" s="25" t="s">
        <v>2133</v>
      </c>
      <c r="GZ457" s="25" t="s">
        <v>2133</v>
      </c>
      <c r="HA457" s="25"/>
      <c r="HB457" s="25"/>
    </row>
    <row r="458" spans="171:210" x14ac:dyDescent="0.25">
      <c r="FO458" s="263" t="s">
        <v>93</v>
      </c>
      <c r="FP458" s="252">
        <v>43934.705069444448</v>
      </c>
      <c r="FQ458" s="244">
        <v>43889</v>
      </c>
      <c r="FR458" s="160">
        <v>43860</v>
      </c>
      <c r="FS458" s="211">
        <v>15</v>
      </c>
      <c r="FT458" s="72">
        <v>0.25292418816062873</v>
      </c>
      <c r="FU458" s="72">
        <v>1.8160019280749392E-4</v>
      </c>
      <c r="FV458" s="74">
        <v>0.36333196382734773</v>
      </c>
      <c r="FW458" s="212">
        <v>1392.7528613845807</v>
      </c>
      <c r="FX458" s="214">
        <v>19.415216494013229</v>
      </c>
      <c r="FY458" s="214">
        <v>0.99828279974033474</v>
      </c>
      <c r="FZ458" s="212">
        <v>0.69594264248685989</v>
      </c>
      <c r="GA458" s="213">
        <v>0.18160019280749393</v>
      </c>
      <c r="GB458" s="246">
        <v>0</v>
      </c>
      <c r="GC458" s="26" t="s">
        <v>2359</v>
      </c>
      <c r="GD458" s="214">
        <v>1392.7528613845807</v>
      </c>
      <c r="GE458" s="214">
        <v>1330</v>
      </c>
      <c r="GF458" s="73" t="s">
        <v>2357</v>
      </c>
      <c r="GG458" s="156">
        <v>0</v>
      </c>
      <c r="GH458" s="26">
        <v>1</v>
      </c>
      <c r="GI458" s="25" t="s">
        <v>2360</v>
      </c>
      <c r="GK458" s="62" t="s">
        <v>2361</v>
      </c>
      <c r="GM458" s="25" t="s">
        <v>2362</v>
      </c>
      <c r="GN458" s="25">
        <v>2543.0210325047801</v>
      </c>
      <c r="GO458" s="156"/>
      <c r="GP458" s="218">
        <v>29</v>
      </c>
      <c r="GQ458" s="156"/>
      <c r="GR458" s="25">
        <v>31</v>
      </c>
      <c r="GS458" s="25"/>
      <c r="GT458" s="11" t="e">
        <v>#N/A</v>
      </c>
      <c r="GU458" s="12">
        <v>7.6347054333600894E-3</v>
      </c>
      <c r="GV458" s="241">
        <v>43911</v>
      </c>
      <c r="GW458" s="242" t="s">
        <v>2358</v>
      </c>
      <c r="GX458" s="219" t="e">
        <v>#N/A</v>
      </c>
      <c r="GY458" s="25" t="s">
        <v>1452</v>
      </c>
      <c r="GZ458" s="25" t="s">
        <v>1452</v>
      </c>
      <c r="HA458" s="25"/>
      <c r="HB458" s="25"/>
    </row>
    <row r="459" spans="171:210" x14ac:dyDescent="0.25">
      <c r="FO459" s="267" t="s">
        <v>93</v>
      </c>
      <c r="FP459" s="252">
        <v>43934.88077546296</v>
      </c>
      <c r="FQ459" s="244">
        <v>43889</v>
      </c>
      <c r="FR459" s="238">
        <v>43888</v>
      </c>
      <c r="FS459" s="211">
        <v>15</v>
      </c>
      <c r="FT459" s="72">
        <v>0.25292681592903338</v>
      </c>
      <c r="FU459" s="72">
        <v>1.8160802718613424E-4</v>
      </c>
      <c r="FV459" s="74">
        <v>0.36333685665116972</v>
      </c>
      <c r="FW459" s="212">
        <v>1392.7072489466716</v>
      </c>
      <c r="FX459" s="212">
        <v>19.629706459786327</v>
      </c>
      <c r="FY459" s="212">
        <v>0.99826026047309291</v>
      </c>
      <c r="FZ459" s="212">
        <v>0.69594049271488601</v>
      </c>
      <c r="GA459" s="213">
        <v>0.18160802718613425</v>
      </c>
      <c r="GB459" s="246">
        <v>43933</v>
      </c>
      <c r="GC459" s="160" t="s">
        <v>2359</v>
      </c>
      <c r="GD459" s="212">
        <v>1392.7072489466711</v>
      </c>
      <c r="GE459" s="212">
        <v>1330</v>
      </c>
      <c r="GF459" s="74" t="s">
        <v>2357</v>
      </c>
      <c r="GG459" s="243">
        <v>43933</v>
      </c>
      <c r="GH459" s="160">
        <v>1</v>
      </c>
      <c r="GI459" s="23" t="s">
        <v>2360</v>
      </c>
      <c r="GJ459" s="21"/>
      <c r="GK459" s="161" t="s">
        <v>2361</v>
      </c>
      <c r="GL459" s="23"/>
      <c r="GM459" s="23" t="s">
        <v>2363</v>
      </c>
      <c r="GN459" s="23">
        <v>2543.0210325047801</v>
      </c>
      <c r="GO459" s="243"/>
      <c r="GP459" s="218">
        <v>29</v>
      </c>
      <c r="GQ459" s="243"/>
      <c r="GR459" s="23">
        <v>31</v>
      </c>
      <c r="GS459" s="23"/>
      <c r="GT459" s="11">
        <v>1379.4919952232451</v>
      </c>
      <c r="GU459" s="34">
        <v>7.7190499838107138E-3</v>
      </c>
      <c r="GV459" s="241">
        <v>43911</v>
      </c>
      <c r="GW459" s="242" t="s">
        <v>2383</v>
      </c>
      <c r="GX459" s="220">
        <v>4.4015273952613825</v>
      </c>
      <c r="GY459" s="23" t="s">
        <v>1452</v>
      </c>
      <c r="GZ459" s="23" t="s">
        <v>1452</v>
      </c>
      <c r="HA459" s="25"/>
      <c r="HB459" s="25"/>
    </row>
    <row r="460" spans="171:210" x14ac:dyDescent="0.25">
      <c r="FO460" s="267" t="s">
        <v>93</v>
      </c>
      <c r="FP460" s="251">
        <v>43935.630266203705</v>
      </c>
      <c r="FQ460" s="248">
        <v>43889</v>
      </c>
      <c r="FR460" s="195">
        <v>43888</v>
      </c>
      <c r="FS460" s="233">
        <v>15</v>
      </c>
      <c r="FT460" s="234">
        <v>0.25292681592903338</v>
      </c>
      <c r="FU460" s="72">
        <v>1.8160802718613424E-4</v>
      </c>
      <c r="FV460" s="74">
        <v>0.36333685665116972</v>
      </c>
      <c r="FW460" s="217">
        <v>1392.7072489466716</v>
      </c>
      <c r="FX460" s="212">
        <v>19.629706459786327</v>
      </c>
      <c r="FY460" s="212">
        <v>0.99826026047309291</v>
      </c>
      <c r="FZ460" s="212">
        <v>0.69594049271488601</v>
      </c>
      <c r="GA460" s="213">
        <v>0.18160802718613425</v>
      </c>
      <c r="GB460" s="246">
        <v>43933</v>
      </c>
      <c r="GC460" s="160" t="s">
        <v>2359</v>
      </c>
      <c r="GD460" s="212">
        <v>1392.7072489466711</v>
      </c>
      <c r="GE460" s="212">
        <v>1330</v>
      </c>
      <c r="GF460" s="74" t="s">
        <v>2407</v>
      </c>
      <c r="GG460" s="243">
        <v>43933</v>
      </c>
      <c r="GH460" s="160">
        <v>1</v>
      </c>
      <c r="GI460" s="160" t="s">
        <v>2410</v>
      </c>
      <c r="GJ460" s="23"/>
      <c r="GK460" s="161" t="s">
        <v>2408</v>
      </c>
      <c r="GL460" s="23"/>
      <c r="GM460" s="235" t="s">
        <v>2411</v>
      </c>
      <c r="GN460" s="204">
        <v>2543.0210325047801</v>
      </c>
      <c r="GO460" s="243">
        <v>43922</v>
      </c>
      <c r="GP460" s="236">
        <v>-12</v>
      </c>
      <c r="GQ460" s="243">
        <v>43933</v>
      </c>
      <c r="GR460" s="204">
        <v>1</v>
      </c>
      <c r="GS460" s="23"/>
      <c r="GT460" s="204">
        <v>1379.4919952232451</v>
      </c>
      <c r="GU460" s="34">
        <v>7.7190499838107138E-3</v>
      </c>
      <c r="GV460" s="241">
        <v>43912</v>
      </c>
      <c r="GW460" s="133" t="s">
        <v>2409</v>
      </c>
      <c r="GX460" s="231">
        <v>4.4015273952613825</v>
      </c>
      <c r="GY460" s="102" t="s">
        <v>1452</v>
      </c>
      <c r="GZ460" s="102" t="s">
        <v>1452</v>
      </c>
      <c r="HA460" s="25"/>
      <c r="HB460" s="25"/>
    </row>
    <row r="461" spans="171:210" x14ac:dyDescent="0.25">
      <c r="FO461" s="267" t="s">
        <v>93</v>
      </c>
      <c r="FP461" s="251">
        <v>43938.513159722221</v>
      </c>
      <c r="FQ461" s="248">
        <v>43889</v>
      </c>
      <c r="FR461" s="195">
        <v>43888</v>
      </c>
      <c r="FS461" s="233">
        <v>15</v>
      </c>
      <c r="FT461" s="234">
        <v>0.2476410780737926</v>
      </c>
      <c r="FU461" s="72">
        <v>1.7508359732276246E-4</v>
      </c>
      <c r="FV461" s="74">
        <v>0.42031329066662437</v>
      </c>
      <c r="FW461" s="217">
        <v>1414.4162095166009</v>
      </c>
      <c r="FX461" s="212">
        <v>19.403413404458384</v>
      </c>
      <c r="FY461" s="212">
        <v>0.99865193701350108</v>
      </c>
      <c r="FZ461" s="212">
        <v>0.5890070421475696</v>
      </c>
      <c r="GA461" s="213">
        <v>0.17508359732276246</v>
      </c>
      <c r="GB461" s="246">
        <v>43937</v>
      </c>
      <c r="GC461" s="160" t="s">
        <v>2489</v>
      </c>
      <c r="GD461" s="212">
        <v>1414.4162095166002</v>
      </c>
      <c r="GE461" s="212">
        <v>1401</v>
      </c>
      <c r="GF461" s="74" t="s">
        <v>2490</v>
      </c>
      <c r="GG461" s="243">
        <v>43937</v>
      </c>
      <c r="GH461" s="160">
        <v>1</v>
      </c>
      <c r="GI461" s="160" t="s">
        <v>2491</v>
      </c>
      <c r="GJ461" s="23"/>
      <c r="GK461" s="161" t="s">
        <v>2492</v>
      </c>
      <c r="GL461" s="23"/>
      <c r="GM461" s="235" t="s">
        <v>2493</v>
      </c>
      <c r="GN461" s="204">
        <v>2678.7762906309749</v>
      </c>
      <c r="GO461" s="243">
        <v>43922</v>
      </c>
      <c r="GP461" s="236">
        <v>-16</v>
      </c>
      <c r="GQ461" s="243">
        <v>43934</v>
      </c>
      <c r="GR461" s="204">
        <v>4</v>
      </c>
      <c r="GS461" s="23"/>
      <c r="GT461" s="204">
        <v>1408.6554948305425</v>
      </c>
      <c r="GU461" s="34">
        <v>7.243387016796385E-3</v>
      </c>
      <c r="GV461" s="241">
        <v>43912</v>
      </c>
      <c r="GW461" s="133" t="s">
        <v>2409</v>
      </c>
      <c r="GX461" s="231">
        <v>-11.689120312542855</v>
      </c>
      <c r="GY461" s="102" t="s">
        <v>1452</v>
      </c>
      <c r="GZ461" s="102" t="s">
        <v>1452</v>
      </c>
      <c r="HA461" s="102" t="s">
        <v>2493</v>
      </c>
      <c r="HB461" s="25"/>
    </row>
    <row r="462" spans="171:210" x14ac:dyDescent="0.25">
      <c r="FO462" s="267" t="s">
        <v>93</v>
      </c>
      <c r="FP462" s="251">
        <v>43939.898252314815</v>
      </c>
      <c r="FQ462" s="248">
        <v>43889</v>
      </c>
      <c r="FR462" s="195">
        <v>43888</v>
      </c>
      <c r="FS462" s="233">
        <v>15</v>
      </c>
      <c r="FT462" s="234">
        <v>0.24649096921740116</v>
      </c>
      <c r="FU462" s="72">
        <v>1.7374818263314257E-4</v>
      </c>
      <c r="FV462" s="74">
        <v>0.434051368392112</v>
      </c>
      <c r="FW462" s="217">
        <v>1418.6678990355256</v>
      </c>
      <c r="FX462" s="212">
        <v>19.37414446757904</v>
      </c>
      <c r="FY462" s="212">
        <v>0.99871302212841795</v>
      </c>
      <c r="FZ462" s="212">
        <v>0.56771057880496634</v>
      </c>
      <c r="GA462" s="213">
        <v>0.17374818263314257</v>
      </c>
      <c r="GB462" s="246">
        <v>43938</v>
      </c>
      <c r="GC462" s="160" t="s">
        <v>2938</v>
      </c>
      <c r="GD462" s="212">
        <v>1418.6678990355244</v>
      </c>
      <c r="GE462" s="212">
        <v>1409</v>
      </c>
      <c r="GF462" s="74" t="s">
        <v>2939</v>
      </c>
      <c r="GG462" s="243">
        <v>43938</v>
      </c>
      <c r="GH462" s="160">
        <v>1</v>
      </c>
      <c r="GI462" s="160" t="s">
        <v>2940</v>
      </c>
      <c r="GJ462" s="23"/>
      <c r="GK462" s="161" t="s">
        <v>2941</v>
      </c>
      <c r="GL462" s="23"/>
      <c r="GM462" s="235" t="s">
        <v>2942</v>
      </c>
      <c r="GN462" s="204">
        <v>2694.0726577437858</v>
      </c>
      <c r="GO462" s="243">
        <v>43922</v>
      </c>
      <c r="GP462" s="236">
        <v>-17</v>
      </c>
      <c r="GQ462" s="243">
        <v>43935</v>
      </c>
      <c r="GR462" s="204">
        <v>4</v>
      </c>
      <c r="GS462" s="23"/>
      <c r="GT462" s="204" t="e">
        <v>#N/A</v>
      </c>
      <c r="GU462" s="34">
        <v>7.1913964205421134E-3</v>
      </c>
      <c r="GV462" s="241">
        <v>43912</v>
      </c>
      <c r="GW462" s="133" t="s">
        <v>2409</v>
      </c>
      <c r="GX462" s="231">
        <v>-10.625132846041652</v>
      </c>
      <c r="GY462" s="102" t="s">
        <v>1452</v>
      </c>
      <c r="GZ462" s="102" t="s">
        <v>1452</v>
      </c>
      <c r="HA462" s="102" t="s">
        <v>2942</v>
      </c>
      <c r="HB462" s="25"/>
    </row>
    <row r="463" spans="171:210" x14ac:dyDescent="0.25">
      <c r="FO463" s="267" t="s">
        <v>93</v>
      </c>
      <c r="FP463" s="251">
        <v>43942.945671296293</v>
      </c>
      <c r="FQ463" s="248">
        <v>43889</v>
      </c>
      <c r="FR463" s="195">
        <v>43888</v>
      </c>
      <c r="FS463" s="233">
        <v>15</v>
      </c>
      <c r="FT463" s="234">
        <v>0.24280109797535959</v>
      </c>
      <c r="FU463" s="72">
        <v>1.696198422555715E-4</v>
      </c>
      <c r="FV463" s="74">
        <v>0.48169668080006894</v>
      </c>
      <c r="FW463" s="217">
        <v>1431.4427766624356</v>
      </c>
      <c r="FX463" s="212">
        <v>19.581083920450606</v>
      </c>
      <c r="FY463" s="212">
        <v>0.99881797838642938</v>
      </c>
      <c r="FZ463" s="212">
        <v>0.50388429552224656</v>
      </c>
      <c r="GA463" s="213">
        <v>0.1696198422555715</v>
      </c>
      <c r="GB463" s="246">
        <v>43941</v>
      </c>
      <c r="GC463" s="160" t="s">
        <v>3382</v>
      </c>
      <c r="GD463" s="212">
        <v>1431.4427766111965</v>
      </c>
      <c r="GE463" s="212">
        <v>1440</v>
      </c>
      <c r="GF463" s="74" t="s">
        <v>3383</v>
      </c>
      <c r="GG463" s="243">
        <v>43941</v>
      </c>
      <c r="GH463" s="160">
        <v>1</v>
      </c>
      <c r="GI463" s="160" t="s">
        <v>3384</v>
      </c>
      <c r="GJ463" s="23"/>
      <c r="GK463" s="161" t="s">
        <v>3385</v>
      </c>
      <c r="GL463" s="23"/>
      <c r="GM463" s="235" t="s">
        <v>3386</v>
      </c>
      <c r="GN463" s="204">
        <v>2753.3460803059274</v>
      </c>
      <c r="GO463" s="243">
        <v>43923</v>
      </c>
      <c r="GP463" s="236">
        <v>-19</v>
      </c>
      <c r="GQ463" s="243">
        <v>43936</v>
      </c>
      <c r="GR463" s="204">
        <v>6</v>
      </c>
      <c r="GS463" s="23"/>
      <c r="GT463" s="204">
        <v>1428.8931858400701</v>
      </c>
      <c r="GU463" s="34">
        <v>7.1117408961081019E-3</v>
      </c>
      <c r="GV463" s="241">
        <v>43912</v>
      </c>
      <c r="GW463" s="133" t="s">
        <v>2409</v>
      </c>
      <c r="GX463" s="231">
        <v>-19.436858361583518</v>
      </c>
      <c r="GY463" s="102" t="s">
        <v>1452</v>
      </c>
      <c r="GZ463" s="102" t="s">
        <v>1452</v>
      </c>
      <c r="HA463" s="160" t="s">
        <v>3386</v>
      </c>
      <c r="HB463" s="102"/>
    </row>
    <row r="464" spans="171:210" x14ac:dyDescent="0.25">
      <c r="FO464" s="263" t="s">
        <v>93</v>
      </c>
      <c r="FP464" s="250">
        <v>43945.844212962962</v>
      </c>
      <c r="FQ464" s="249">
        <v>43889</v>
      </c>
      <c r="FR464" s="223">
        <v>43888</v>
      </c>
      <c r="FS464" s="211">
        <v>15</v>
      </c>
      <c r="FT464" s="192">
        <v>0.23981319750768584</v>
      </c>
      <c r="FU464" s="71">
        <v>1.6641493517709886E-4</v>
      </c>
      <c r="FV464" s="73">
        <v>0.52454331334932347</v>
      </c>
      <c r="FW464" s="217">
        <v>1441.0557396935349</v>
      </c>
      <c r="FX464" s="212">
        <v>19.798503918330059</v>
      </c>
      <c r="FY464" s="214">
        <v>0.9988813976699803</v>
      </c>
      <c r="FZ464" s="214">
        <v>0.45701832349266841</v>
      </c>
      <c r="GA464" s="213">
        <v>0.16641493517709885</v>
      </c>
      <c r="GB464" s="246">
        <v>43944</v>
      </c>
      <c r="GC464" s="26" t="s">
        <v>3455</v>
      </c>
      <c r="GD464" s="214">
        <v>1441.0557396227921</v>
      </c>
      <c r="GE464" s="214">
        <v>1456</v>
      </c>
      <c r="GF464" s="73" t="s">
        <v>3456</v>
      </c>
      <c r="GG464" s="156">
        <v>43944</v>
      </c>
      <c r="GH464" s="26">
        <v>1</v>
      </c>
      <c r="GI464" s="26" t="s">
        <v>3457</v>
      </c>
      <c r="GJ464" s="25"/>
      <c r="GK464" s="62" t="s">
        <v>3458</v>
      </c>
      <c r="GM464" s="18" t="s">
        <v>3459</v>
      </c>
      <c r="GN464" s="11">
        <v>2783.9388145315488</v>
      </c>
      <c r="GO464" s="156">
        <v>43923</v>
      </c>
      <c r="GP464" s="218">
        <v>-22</v>
      </c>
      <c r="GQ464" s="156">
        <v>43936</v>
      </c>
      <c r="GR464" s="11">
        <v>9</v>
      </c>
      <c r="GS464" s="25"/>
      <c r="GT464" s="11">
        <v>1439.6762001959926</v>
      </c>
      <c r="GU464" s="12">
        <v>7.1116878772572948E-3</v>
      </c>
      <c r="GV464" s="241">
        <v>43912</v>
      </c>
      <c r="GW464" s="133" t="s">
        <v>2409</v>
      </c>
      <c r="GX464" s="232">
        <v>-20.742503517009254</v>
      </c>
      <c r="GY464" s="99" t="s">
        <v>1452</v>
      </c>
      <c r="GZ464" s="102" t="s">
        <v>1452</v>
      </c>
      <c r="HA464" s="26" t="s">
        <v>3459</v>
      </c>
      <c r="HB464" s="102"/>
    </row>
    <row r="465" spans="171:210" x14ac:dyDescent="0.25">
      <c r="FO465" s="267" t="s">
        <v>93</v>
      </c>
      <c r="FP465" s="251">
        <v>43947.951331018521</v>
      </c>
      <c r="FQ465" s="248">
        <v>43889</v>
      </c>
      <c r="FR465" s="195">
        <v>43888</v>
      </c>
      <c r="FS465" s="233">
        <v>15</v>
      </c>
      <c r="FT465" s="234">
        <v>0.2378789464904402</v>
      </c>
      <c r="FU465" s="72">
        <v>1.6439924544806793E-4</v>
      </c>
      <c r="FV465" s="74">
        <v>0.5545275832309936</v>
      </c>
      <c r="FW465" s="217">
        <v>1446.9588704139385</v>
      </c>
      <c r="FX465" s="212">
        <v>20.089012994621928</v>
      </c>
      <c r="FY465" s="212">
        <v>0.99889357295766257</v>
      </c>
      <c r="FZ465" s="212">
        <v>0.4288114599975168</v>
      </c>
      <c r="GA465" s="213">
        <v>0.16439924544806792</v>
      </c>
      <c r="GB465" s="246">
        <v>43946</v>
      </c>
      <c r="GC465" s="160" t="s">
        <v>3551</v>
      </c>
      <c r="GD465" s="212">
        <v>1446.9588704138271</v>
      </c>
      <c r="GE465" s="212">
        <v>1470</v>
      </c>
      <c r="GF465" s="74" t="s">
        <v>1213</v>
      </c>
      <c r="GG465" s="243">
        <v>43946</v>
      </c>
      <c r="GH465" s="160">
        <v>1</v>
      </c>
      <c r="GI465" s="160" t="s">
        <v>3552</v>
      </c>
      <c r="GJ465" s="23"/>
      <c r="GK465" s="161" t="s">
        <v>3553</v>
      </c>
      <c r="GL465" s="23"/>
      <c r="GM465" s="235" t="s">
        <v>3554</v>
      </c>
      <c r="GN465" s="204">
        <v>2810.7074569789675</v>
      </c>
      <c r="GO465" s="243">
        <v>43923</v>
      </c>
      <c r="GP465" s="236">
        <v>-24</v>
      </c>
      <c r="GQ465" s="243">
        <v>43936</v>
      </c>
      <c r="GR465" s="204">
        <v>11</v>
      </c>
      <c r="GS465" s="23"/>
      <c r="GT465" s="204" t="e">
        <v>#N/A</v>
      </c>
      <c r="GU465" s="34">
        <v>7.1473155076103865E-3</v>
      </c>
      <c r="GV465" s="241">
        <v>43912</v>
      </c>
      <c r="GW465" s="133" t="s">
        <v>2409</v>
      </c>
      <c r="GX465" s="231">
        <v>-26.87571571272224</v>
      </c>
      <c r="GY465" s="102" t="s">
        <v>1452</v>
      </c>
      <c r="GZ465" s="102" t="s">
        <v>1452</v>
      </c>
      <c r="HA465" s="160" t="s">
        <v>3554</v>
      </c>
      <c r="HB465" s="102"/>
    </row>
    <row r="466" spans="171:210" x14ac:dyDescent="0.25">
      <c r="FO466" s="267" t="s">
        <v>93</v>
      </c>
      <c r="FP466" s="251">
        <v>43949.718159722222</v>
      </c>
      <c r="FQ466" s="248">
        <v>43889</v>
      </c>
      <c r="FR466" s="195">
        <v>43888</v>
      </c>
      <c r="FS466" s="233">
        <v>15</v>
      </c>
      <c r="FT466" s="234">
        <v>0.23630453860658182</v>
      </c>
      <c r="FU466" s="72">
        <v>1.6278655914358145E-4</v>
      </c>
      <c r="FV466" s="74">
        <v>0.58031234079743932</v>
      </c>
      <c r="FW466" s="217">
        <v>1451.6219265876603</v>
      </c>
      <c r="FX466" s="212">
        <v>20.258105779683</v>
      </c>
      <c r="FY466" s="212">
        <v>0.99891055789260574</v>
      </c>
      <c r="FZ466" s="212">
        <v>0.40703954569155898</v>
      </c>
      <c r="GA466" s="213">
        <v>0.16278655914358145</v>
      </c>
      <c r="GB466" s="246">
        <v>43948</v>
      </c>
      <c r="GC466" s="160" t="s">
        <v>3551</v>
      </c>
      <c r="GD466" s="212">
        <v>1451.6219265875222</v>
      </c>
      <c r="GE466" s="212">
        <v>1472</v>
      </c>
      <c r="GF466" s="74" t="s">
        <v>3610</v>
      </c>
      <c r="GG466" s="243">
        <v>43948</v>
      </c>
      <c r="GH466" s="160">
        <v>1</v>
      </c>
      <c r="GI466" s="160" t="s">
        <v>3611</v>
      </c>
      <c r="GJ466" s="23"/>
      <c r="GK466" s="161" t="s">
        <v>3612</v>
      </c>
      <c r="GL466" s="23"/>
      <c r="GM466" s="235" t="s">
        <v>3613</v>
      </c>
      <c r="GN466" s="204">
        <v>2814.5315487571702</v>
      </c>
      <c r="GO466" s="243">
        <v>43923</v>
      </c>
      <c r="GP466" s="236">
        <v>-26</v>
      </c>
      <c r="GQ466" s="243">
        <v>43936</v>
      </c>
      <c r="GR466" s="204">
        <v>13</v>
      </c>
      <c r="GS466" s="23"/>
      <c r="GT466" s="204" t="e">
        <v>#N/A</v>
      </c>
      <c r="GU466" s="34">
        <v>7.1976829638411748E-3</v>
      </c>
      <c r="GV466" s="241">
        <v>43912</v>
      </c>
      <c r="GW466" s="133" t="s">
        <v>2409</v>
      </c>
      <c r="GX466" s="231">
        <v>-22.89906425644017</v>
      </c>
      <c r="GY466" s="102" t="s">
        <v>1452</v>
      </c>
      <c r="GZ466" s="102" t="s">
        <v>1452</v>
      </c>
      <c r="HA466" s="160" t="s">
        <v>3613</v>
      </c>
      <c r="HB466" s="102"/>
    </row>
    <row r="467" spans="171:210" x14ac:dyDescent="0.25">
      <c r="FO467" s="267" t="s">
        <v>93</v>
      </c>
      <c r="FP467" s="251">
        <v>43950.659629629627</v>
      </c>
      <c r="FQ467" s="248">
        <v>43889</v>
      </c>
      <c r="FR467" s="195">
        <v>43888</v>
      </c>
      <c r="FS467" s="233">
        <v>15</v>
      </c>
      <c r="FT467" s="234">
        <v>0.23559173465939567</v>
      </c>
      <c r="FU467" s="72">
        <v>1.6206828541244671E-4</v>
      </c>
      <c r="FV467" s="74">
        <v>0.59244948367478123</v>
      </c>
      <c r="FW467" s="217">
        <v>1453.6572288639911</v>
      </c>
      <c r="FX467" s="212">
        <v>20.323140402664759</v>
      </c>
      <c r="FY467" s="212">
        <v>0.99891845864780604</v>
      </c>
      <c r="FZ467" s="212">
        <v>0.39749501666652792</v>
      </c>
      <c r="GA467" s="213">
        <v>0.16206828541244672</v>
      </c>
      <c r="GB467" s="246">
        <v>43949</v>
      </c>
      <c r="GC467" s="160" t="s">
        <v>3551</v>
      </c>
      <c r="GD467" s="212">
        <v>1453.6572288638392</v>
      </c>
      <c r="GE467" s="212">
        <v>1474</v>
      </c>
      <c r="GF467" s="74" t="s">
        <v>3610</v>
      </c>
      <c r="GG467" s="243">
        <v>43949</v>
      </c>
      <c r="GH467" s="160">
        <v>1</v>
      </c>
      <c r="GI467" s="160" t="s">
        <v>3668</v>
      </c>
      <c r="GJ467" s="23"/>
      <c r="GK467" s="161" t="s">
        <v>3612</v>
      </c>
      <c r="GL467" s="23"/>
      <c r="GM467" s="235" t="s">
        <v>3669</v>
      </c>
      <c r="GN467" s="204">
        <v>2818.3556405353729</v>
      </c>
      <c r="GO467" s="243">
        <v>43923</v>
      </c>
      <c r="GP467" s="236">
        <v>-27</v>
      </c>
      <c r="GQ467" s="243">
        <v>43937</v>
      </c>
      <c r="GR467" s="204">
        <v>13</v>
      </c>
      <c r="GS467" s="23"/>
      <c r="GT467" s="204" t="e">
        <v>#N/A</v>
      </c>
      <c r="GU467" s="34">
        <v>7.2109921510133436E-3</v>
      </c>
      <c r="GV467" s="160">
        <v>43912</v>
      </c>
      <c r="GW467" s="133" t="s">
        <v>2409</v>
      </c>
      <c r="GX467" s="231">
        <v>-22.385437117546417</v>
      </c>
      <c r="GY467" s="102" t="s">
        <v>1452</v>
      </c>
      <c r="GZ467" s="102" t="s">
        <v>1452</v>
      </c>
      <c r="HA467" s="160" t="s">
        <v>3669</v>
      </c>
      <c r="HB467" s="25"/>
    </row>
    <row r="468" spans="171:210" x14ac:dyDescent="0.25">
      <c r="FO468" s="267" t="s">
        <v>93</v>
      </c>
      <c r="FP468" s="251">
        <v>43951.666076388887</v>
      </c>
      <c r="FQ468" s="248">
        <v>43889</v>
      </c>
      <c r="FR468" s="195">
        <v>43888</v>
      </c>
      <c r="FS468" s="233">
        <v>15</v>
      </c>
      <c r="FT468" s="234">
        <v>0.23494874266920951</v>
      </c>
      <c r="FU468" s="72">
        <v>1.6141976936658411E-4</v>
      </c>
      <c r="FV468" s="74">
        <v>0.60359249421852845</v>
      </c>
      <c r="FW468" s="217">
        <v>1455.5140525299673</v>
      </c>
      <c r="FX468" s="212">
        <v>20.377883870065585</v>
      </c>
      <c r="FY468" s="212">
        <v>0.99892588907577895</v>
      </c>
      <c r="FZ468" s="212">
        <v>0.38908918377466489</v>
      </c>
      <c r="GA468" s="213">
        <v>0.16141976936658411</v>
      </c>
      <c r="GB468" s="246">
        <v>43950</v>
      </c>
      <c r="GC468" s="160" t="s">
        <v>3727</v>
      </c>
      <c r="GD468" s="212">
        <v>1455.5140525298016</v>
      </c>
      <c r="GE468" s="212">
        <v>1476</v>
      </c>
      <c r="GF468" s="74" t="s">
        <v>3610</v>
      </c>
      <c r="GG468" s="243">
        <v>43950</v>
      </c>
      <c r="GH468" s="160">
        <v>1</v>
      </c>
      <c r="GI468" s="160" t="s">
        <v>3728</v>
      </c>
      <c r="GJ468" s="23"/>
      <c r="GK468" s="161" t="s">
        <v>3612</v>
      </c>
      <c r="GL468" s="23"/>
      <c r="GM468" s="235" t="s">
        <v>3729</v>
      </c>
      <c r="GN468" s="204">
        <v>2822.1797323135756</v>
      </c>
      <c r="GO468" s="243">
        <v>43923</v>
      </c>
      <c r="GP468" s="236">
        <v>-28</v>
      </c>
      <c r="GQ468" s="243">
        <v>43937</v>
      </c>
      <c r="GR468" s="204">
        <v>14</v>
      </c>
      <c r="GS468" s="23"/>
      <c r="GT468" s="204" t="e">
        <v>#N/A</v>
      </c>
      <c r="GU468" s="34">
        <v>7.2206187425774395E-3</v>
      </c>
      <c r="GV468" s="160">
        <v>43912</v>
      </c>
      <c r="GW468" s="133" t="s">
        <v>2409</v>
      </c>
      <c r="GX468" s="231">
        <v>-22.139145372860639</v>
      </c>
      <c r="GY468" s="102" t="s">
        <v>1452</v>
      </c>
      <c r="GZ468" s="102" t="s">
        <v>1452</v>
      </c>
      <c r="HA468" s="160" t="s">
        <v>3729</v>
      </c>
      <c r="HB468" s="99"/>
    </row>
    <row r="469" spans="171:210" x14ac:dyDescent="0.25">
      <c r="FO469" s="267" t="s">
        <v>93</v>
      </c>
      <c r="FP469" s="251">
        <v>43954.72451388889</v>
      </c>
      <c r="FQ469" s="248">
        <v>43889</v>
      </c>
      <c r="FR469" s="195">
        <v>43888</v>
      </c>
      <c r="FS469" s="233">
        <v>15</v>
      </c>
      <c r="FT469" s="234">
        <v>0.23298763387202967</v>
      </c>
      <c r="FU469" s="72">
        <v>1.5946007988690015E-4</v>
      </c>
      <c r="FV469" s="74">
        <v>0.6389765835282526</v>
      </c>
      <c r="FW469" s="217">
        <v>1461.1032054999609</v>
      </c>
      <c r="FX469" s="212">
        <v>20.717935572032008</v>
      </c>
      <c r="FY469" s="212">
        <v>0.99892293771583385</v>
      </c>
      <c r="FZ469" s="212">
        <v>0.36446678738842592</v>
      </c>
      <c r="GA469" s="216">
        <v>0.15946007988690014</v>
      </c>
      <c r="GB469" s="257">
        <v>43953</v>
      </c>
      <c r="GC469" s="160" t="s">
        <v>3727</v>
      </c>
      <c r="GD469" s="212">
        <v>1461.1032045521611</v>
      </c>
      <c r="GE469" s="212">
        <v>1487</v>
      </c>
      <c r="GF469" s="74" t="s">
        <v>3799</v>
      </c>
      <c r="GG469" s="243">
        <v>43953</v>
      </c>
      <c r="GH469" s="160">
        <v>1</v>
      </c>
      <c r="GI469" s="160" t="s">
        <v>3800</v>
      </c>
      <c r="GJ469" s="23"/>
      <c r="GK469" s="161" t="s">
        <v>3801</v>
      </c>
      <c r="GL469" s="23"/>
      <c r="GM469" s="235" t="s">
        <v>3802</v>
      </c>
      <c r="GN469" s="204">
        <v>2843.21223709369</v>
      </c>
      <c r="GO469" s="243">
        <v>43923</v>
      </c>
      <c r="GP469" s="236">
        <v>-31</v>
      </c>
      <c r="GQ469" s="243">
        <v>43938</v>
      </c>
      <c r="GR469" s="204">
        <v>16</v>
      </c>
      <c r="GS469" s="23"/>
      <c r="GT469" s="204" t="e">
        <v>#N/A</v>
      </c>
      <c r="GU469" s="34">
        <v>7.2868058535122673E-3</v>
      </c>
      <c r="GV469" s="160">
        <v>43912</v>
      </c>
      <c r="GW469" s="237" t="s">
        <v>2409</v>
      </c>
      <c r="GX469" s="231">
        <v>-26.780654003833206</v>
      </c>
      <c r="GY469" s="102" t="s">
        <v>1452</v>
      </c>
      <c r="GZ469" s="102" t="s">
        <v>1452</v>
      </c>
      <c r="HA469" s="160" t="s">
        <v>3802</v>
      </c>
      <c r="HB469" s="102"/>
    </row>
  </sheetData>
  <autoFilter ref="A1:AC9"/>
  <dataConsolidate/>
  <hyperlinks>
    <hyperlink ref="C136" r:id="rId1" location="current-status" display="https://www.health.gov.au/news/health-alerts/novel-coronavirus-2019-ncov-health-alert - current-status"/>
    <hyperlink ref="A132"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9457" r:id="rId5" name="Button 1">
              <controlPr defaultSize="0" print="0" autoFill="0" autoPict="0" macro="[0]!GetJHConfirmedData">
                <anchor moveWithCells="1" sizeWithCells="1">
                  <from>
                    <xdr:col>0</xdr:col>
                    <xdr:colOff>76200</xdr:colOff>
                    <xdr:row>3</xdr:row>
                    <xdr:rowOff>200025</xdr:rowOff>
                  </from>
                  <to>
                    <xdr:col>1</xdr:col>
                    <xdr:colOff>561975</xdr:colOff>
                    <xdr:row>5</xdr:row>
                    <xdr:rowOff>152400</xdr:rowOff>
                  </to>
                </anchor>
              </controlPr>
            </control>
          </mc:Choice>
        </mc:AlternateContent>
        <mc:AlternateContent xmlns:mc="http://schemas.openxmlformats.org/markup-compatibility/2006">
          <mc:Choice Requires="x14">
            <control shapeId="19458" r:id="rId6" name="Button 2">
              <controlPr defaultSize="0" print="0" autoFill="0" autoPict="0" macro="[0]!SolveAll">
                <anchor moveWithCells="1" sizeWithCells="1">
                  <from>
                    <xdr:col>120</xdr:col>
                    <xdr:colOff>19050</xdr:colOff>
                    <xdr:row>6</xdr:row>
                    <xdr:rowOff>104775</xdr:rowOff>
                  </from>
                  <to>
                    <xdr:col>121</xdr:col>
                    <xdr:colOff>304800</xdr:colOff>
                    <xdr:row>8</xdr:row>
                    <xdr:rowOff>85725</xdr:rowOff>
                  </to>
                </anchor>
              </controlPr>
            </control>
          </mc:Choice>
        </mc:AlternateContent>
        <mc:AlternateContent xmlns:mc="http://schemas.openxmlformats.org/markup-compatibility/2006">
          <mc:Choice Requires="x14">
            <control shapeId="19461" r:id="rId7" name="Button 5">
              <controlPr defaultSize="0" print="0" autoFill="0" autoPict="0" macro="[0]!SolveAll">
                <anchor moveWithCells="1" sizeWithCells="1">
                  <from>
                    <xdr:col>1</xdr:col>
                    <xdr:colOff>790575</xdr:colOff>
                    <xdr:row>3</xdr:row>
                    <xdr:rowOff>228600</xdr:rowOff>
                  </from>
                  <to>
                    <xdr:col>2</xdr:col>
                    <xdr:colOff>219075</xdr:colOff>
                    <xdr:row>5</xdr:row>
                    <xdr:rowOff>133350</xdr:rowOff>
                  </to>
                </anchor>
              </controlPr>
            </control>
          </mc:Choice>
        </mc:AlternateContent>
        <mc:AlternateContent xmlns:mc="http://schemas.openxmlformats.org/markup-compatibility/2006">
          <mc:Choice Requires="x14">
            <control shapeId="19469" r:id="rId8" name="Button 13">
              <controlPr defaultSize="0" print="0" autoFill="0" autoPict="0" macro="[0]!HistorySort">
                <anchor moveWithCells="1" sizeWithCells="1">
                  <from>
                    <xdr:col>170</xdr:col>
                    <xdr:colOff>1333500</xdr:colOff>
                    <xdr:row>3</xdr:row>
                    <xdr:rowOff>0</xdr:rowOff>
                  </from>
                  <to>
                    <xdr:col>172</xdr:col>
                    <xdr:colOff>228600</xdr:colOff>
                    <xdr:row>6</xdr:row>
                    <xdr:rowOff>38100</xdr:rowOff>
                  </to>
                </anchor>
              </controlPr>
            </control>
          </mc:Choice>
        </mc:AlternateContent>
        <mc:AlternateContent xmlns:mc="http://schemas.openxmlformats.org/markup-compatibility/2006">
          <mc:Choice Requires="x14">
            <control shapeId="19627" r:id="rId9" name="Button 171">
              <controlPr defaultSize="0" print="0" autoFill="0" autoPict="0" macro="[0]!TtranspSeries">
                <anchor moveWithCells="1" sizeWithCells="1">
                  <from>
                    <xdr:col>0</xdr:col>
                    <xdr:colOff>57150</xdr:colOff>
                    <xdr:row>9</xdr:row>
                    <xdr:rowOff>38100</xdr:rowOff>
                  </from>
                  <to>
                    <xdr:col>1</xdr:col>
                    <xdr:colOff>190500</xdr:colOff>
                    <xdr:row>9</xdr:row>
                    <xdr:rowOff>371475</xdr:rowOff>
                  </to>
                </anchor>
              </controlPr>
            </control>
          </mc:Choice>
        </mc:AlternateContent>
        <mc:AlternateContent xmlns:mc="http://schemas.openxmlformats.org/markup-compatibility/2006">
          <mc:Choice Requires="x14">
            <control shapeId="19629" r:id="rId10" name="Button 173">
              <controlPr defaultSize="0" print="0" autoFill="0" autoPict="0" macro="[0]!GetAusTweet">
                <anchor moveWithCells="1" sizeWithCells="1">
                  <from>
                    <xdr:col>7</xdr:col>
                    <xdr:colOff>323850</xdr:colOff>
                    <xdr:row>0</xdr:row>
                    <xdr:rowOff>85725</xdr:rowOff>
                  </from>
                  <to>
                    <xdr:col>8</xdr:col>
                    <xdr:colOff>619125</xdr:colOff>
                    <xdr:row>0</xdr:row>
                    <xdr:rowOff>390525</xdr:rowOff>
                  </to>
                </anchor>
              </controlPr>
            </control>
          </mc:Choice>
        </mc:AlternateContent>
        <mc:AlternateContent xmlns:mc="http://schemas.openxmlformats.org/markup-compatibility/2006">
          <mc:Choice Requires="x14">
            <control shapeId="19631" r:id="rId11" name="Button 175">
              <controlPr locked="0" defaultSize="0" print="0" autoFill="0" autoPict="0" macro="[0]!DailyNSWHealth">
                <anchor moveWithCells="1" sizeWithCells="1">
                  <from>
                    <xdr:col>7</xdr:col>
                    <xdr:colOff>266700</xdr:colOff>
                    <xdr:row>0</xdr:row>
                    <xdr:rowOff>590550</xdr:rowOff>
                  </from>
                  <to>
                    <xdr:col>8</xdr:col>
                    <xdr:colOff>752475</xdr:colOff>
                    <xdr:row>1</xdr:row>
                    <xdr:rowOff>171450</xdr:rowOff>
                  </to>
                </anchor>
              </controlPr>
            </control>
          </mc:Choice>
        </mc:AlternateContent>
      </controls>
    </mc:Choice>
  </mc:AlternateContent>
  <tableParts count="4">
    <tablePart r:id="rId12"/>
    <tablePart r:id="rId13"/>
    <tablePart r:id="rId14"/>
    <tablePart r:id="rId1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57"/>
  <sheetViews>
    <sheetView topLeftCell="A18" workbookViewId="0">
      <selection activeCell="K12" sqref="K12"/>
    </sheetView>
  </sheetViews>
  <sheetFormatPr defaultRowHeight="15" x14ac:dyDescent="0.25"/>
  <cols>
    <col min="1" max="1" width="24.42578125" customWidth="1"/>
    <col min="2" max="2" width="11.42578125" customWidth="1"/>
    <col min="3" max="3" width="10.42578125" customWidth="1"/>
    <col min="4" max="4" width="10.85546875" customWidth="1"/>
    <col min="5" max="5" width="10.28515625" customWidth="1"/>
    <col min="6" max="6" width="12.140625" customWidth="1"/>
    <col min="7" max="7" width="10.7109375" style="25" customWidth="1"/>
    <col min="9" max="9" width="11.28515625" customWidth="1"/>
    <col min="10" max="10" width="11" style="25" customWidth="1"/>
    <col min="11" max="11" width="9.5703125" style="25" bestFit="1" customWidth="1"/>
    <col min="12" max="12" width="10.5703125" style="25" bestFit="1" customWidth="1"/>
    <col min="13" max="13" width="12.85546875" style="25" customWidth="1"/>
    <col min="14" max="14" width="14.7109375" style="25" customWidth="1"/>
    <col min="15" max="15" width="13.85546875" style="25" customWidth="1"/>
    <col min="16" max="16" width="10.42578125" style="25" customWidth="1"/>
    <col min="17" max="17" width="38.140625" style="25" customWidth="1"/>
    <col min="18" max="18" width="30.7109375" style="25" customWidth="1"/>
    <col min="19" max="19" width="14.7109375" style="25" customWidth="1"/>
    <col min="20" max="20" width="10.7109375" style="25" bestFit="1" customWidth="1"/>
    <col min="21" max="24" width="9.140625" style="25"/>
    <col min="25" max="25" width="17" style="25" customWidth="1"/>
    <col min="26" max="26" width="12" style="25" customWidth="1"/>
    <col min="27" max="27" width="11.28515625" style="25" customWidth="1"/>
    <col min="28" max="28" width="9.140625" style="25"/>
    <col min="29" max="29" width="10.42578125" style="25" customWidth="1"/>
    <col min="30" max="30" width="14.7109375" style="25" bestFit="1" customWidth="1"/>
    <col min="31" max="16384" width="9.140625" style="25"/>
  </cols>
  <sheetData>
    <row r="1" spans="1:24" ht="27.75" customHeight="1" thickBot="1" x14ac:dyDescent="0.3">
      <c r="A1" s="25"/>
      <c r="B1" s="25"/>
      <c r="C1" s="25"/>
      <c r="D1" s="25"/>
      <c r="E1" s="25"/>
      <c r="F1" s="25"/>
      <c r="H1" s="25"/>
      <c r="I1" s="25"/>
      <c r="U1" s="25" t="s">
        <v>3009</v>
      </c>
      <c r="V1" s="25" t="s">
        <v>3624</v>
      </c>
      <c r="W1" s="25" t="s">
        <v>3625</v>
      </c>
    </row>
    <row r="2" spans="1:24" ht="54" customHeight="1" thickBot="1" x14ac:dyDescent="0.3">
      <c r="A2" s="320"/>
      <c r="B2" s="321" t="s">
        <v>503</v>
      </c>
      <c r="C2" s="321" t="s">
        <v>3320</v>
      </c>
      <c r="D2" s="322" t="s">
        <v>3321</v>
      </c>
      <c r="E2" s="321" t="s">
        <v>3322</v>
      </c>
      <c r="F2" s="334" t="s">
        <v>3323</v>
      </c>
      <c r="G2" s="322" t="s">
        <v>3324</v>
      </c>
      <c r="H2" s="335" t="s">
        <v>3322</v>
      </c>
      <c r="I2" s="25"/>
      <c r="T2" s="26">
        <v>43924</v>
      </c>
      <c r="U2" s="25">
        <v>80</v>
      </c>
      <c r="V2" s="25">
        <f ca="1">INDEX(TST!TasRaw,MATCH(T2,TST!DateCol,0),1)</f>
        <v>74</v>
      </c>
      <c r="W2" s="25">
        <f ca="1">INDEX(tblData[Tasmania],MATCH(T2,TST!DateCol,0),1)</f>
        <v>80</v>
      </c>
      <c r="X2" s="384"/>
    </row>
    <row r="3" spans="1:24" x14ac:dyDescent="0.25">
      <c r="A3" s="327" t="s">
        <v>3318</v>
      </c>
      <c r="B3" s="328">
        <f>SUM(C7:C9)</f>
        <v>14333451</v>
      </c>
      <c r="C3" s="328">
        <f ca="1">SUM(H7:H9)</f>
        <v>31</v>
      </c>
      <c r="D3" s="329">
        <f ca="1">SUM(H7:H9)/SUM(C7:C9)*10^7</f>
        <v>21.627729428174696</v>
      </c>
      <c r="E3" s="336">
        <f ca="1">D3/$D$3</f>
        <v>1</v>
      </c>
      <c r="F3" s="340">
        <f>SUM(B7:B9)</f>
        <v>2857</v>
      </c>
      <c r="G3" s="341">
        <f>F3/B3*10^7</f>
        <v>1993.2394508482291</v>
      </c>
      <c r="H3" s="330">
        <f>G3/$G$3</f>
        <v>1</v>
      </c>
      <c r="I3" s="25"/>
      <c r="T3" s="26">
        <f>T2+1</f>
        <v>43925</v>
      </c>
      <c r="U3" s="25">
        <v>82</v>
      </c>
      <c r="V3" s="25">
        <f ca="1">INDEX(TST!TasRaw,MATCH(T3,TST!DateCol,0),1)</f>
        <v>80</v>
      </c>
      <c r="W3" s="25">
        <f ca="1">INDEX(tblData[Tasmania],MATCH(T3,TST!DateCol,0),1)</f>
        <v>82</v>
      </c>
      <c r="X3" s="384"/>
    </row>
    <row r="4" spans="1:24" ht="15.75" thickBot="1" x14ac:dyDescent="0.3">
      <c r="A4" s="323" t="s">
        <v>3319</v>
      </c>
      <c r="B4" s="324">
        <f>SUM(C10:C12)</f>
        <v>10265000</v>
      </c>
      <c r="C4" s="331">
        <f ca="1">SUM(H10:H12)</f>
        <v>49</v>
      </c>
      <c r="D4" s="325">
        <f ca="1">SUM(H10:H12)/SUM(C10:C12)*10^7</f>
        <v>47.735021919142717</v>
      </c>
      <c r="E4" s="337">
        <f ca="1">D4/$D$3</f>
        <v>2.20712128278051</v>
      </c>
      <c r="F4" s="338">
        <f>SUM(B10:B12)</f>
        <v>3694</v>
      </c>
      <c r="G4" s="339">
        <f>F4/B4*10^7</f>
        <v>3598.6361422308819</v>
      </c>
      <c r="H4" s="326">
        <f>G4/$G$3</f>
        <v>1.8054208894468105</v>
      </c>
      <c r="I4" s="25"/>
      <c r="L4" s="19"/>
      <c r="M4" s="11">
        <f ca="1">37-B4*D3/10^7</f>
        <v>14.799135741978674</v>
      </c>
      <c r="T4" s="26">
        <f t="shared" ref="T4:T20" si="0">T3+1</f>
        <v>43926</v>
      </c>
      <c r="U4" s="25">
        <v>86</v>
      </c>
      <c r="V4" s="25">
        <f ca="1">INDEX(TST!TasRaw,MATCH(T4,TST!DateCol,0),1)</f>
        <v>82</v>
      </c>
      <c r="W4" s="25">
        <f ca="1">INDEX(tblData[Tasmania],MATCH(T4,TST!DateCol,0),1)</f>
        <v>86</v>
      </c>
      <c r="X4" s="384"/>
    </row>
    <row r="5" spans="1:24" ht="15.75" thickBot="1" x14ac:dyDescent="0.3">
      <c r="A5" s="25"/>
      <c r="B5" s="25"/>
      <c r="C5" s="25"/>
      <c r="D5" s="25"/>
      <c r="E5" s="25"/>
      <c r="F5" s="25"/>
      <c r="H5" s="25"/>
      <c r="I5" s="25"/>
      <c r="T5" s="26">
        <f t="shared" si="0"/>
        <v>43927</v>
      </c>
      <c r="U5" s="25">
        <v>89</v>
      </c>
      <c r="V5" s="25">
        <f ca="1">INDEX(TST!TasRaw,MATCH(T5,TST!DateCol,0),1)</f>
        <v>86</v>
      </c>
      <c r="W5" s="25">
        <f ca="1">INDEX(tblData[Tasmania],MATCH(T5,TST!DateCol,0),1)</f>
        <v>89</v>
      </c>
      <c r="X5" s="384"/>
    </row>
    <row r="6" spans="1:24" ht="72.75" customHeight="1" x14ac:dyDescent="0.25">
      <c r="A6" s="300" t="s">
        <v>1069</v>
      </c>
      <c r="B6" s="301" t="s">
        <v>3395</v>
      </c>
      <c r="C6" s="301" t="s">
        <v>503</v>
      </c>
      <c r="D6" s="301" t="s">
        <v>3005</v>
      </c>
      <c r="E6" s="301" t="s">
        <v>3006</v>
      </c>
      <c r="F6" s="302" t="s">
        <v>3002</v>
      </c>
      <c r="G6" s="316" t="s">
        <v>3316</v>
      </c>
      <c r="H6" s="296" t="s">
        <v>3320</v>
      </c>
      <c r="I6" s="333"/>
      <c r="J6" s="333"/>
      <c r="K6" s="333"/>
      <c r="T6" s="26">
        <f t="shared" si="0"/>
        <v>43928</v>
      </c>
      <c r="U6" s="25">
        <v>98</v>
      </c>
      <c r="V6" s="25">
        <f ca="1">INDEX(TST!TasRaw,MATCH(T6,TST!DateCol,0),1)</f>
        <v>89</v>
      </c>
      <c r="W6" s="25">
        <f ca="1">INDEX(tblData[Tasmania],MATCH(T6,TST!DateCol,0),1)</f>
        <v>98</v>
      </c>
      <c r="X6" s="384"/>
    </row>
    <row r="7" spans="1:24" x14ac:dyDescent="0.25">
      <c r="A7" s="303" t="s">
        <v>50</v>
      </c>
      <c r="B7" s="297">
        <f>myData!G$5</f>
        <v>1035</v>
      </c>
      <c r="C7" s="310">
        <f>myData!$G$8</f>
        <v>5115451</v>
      </c>
      <c r="D7" s="297">
        <f>myData!$G$7</f>
        <v>2023.2820136484545</v>
      </c>
      <c r="E7" s="298">
        <f>myData!G$6</f>
        <v>1</v>
      </c>
      <c r="F7" s="304" t="s">
        <v>3003</v>
      </c>
      <c r="G7" s="317">
        <f ca="1">DeathsTimeS!$LY$2</f>
        <v>11.72917109361423</v>
      </c>
      <c r="H7" s="332">
        <f ca="1">Table6[[#This Row],[Population]]*Table6[[#This Row],[Deaths per 10m Pop]]/10^7</f>
        <v>6.0000000000000009</v>
      </c>
      <c r="I7" s="11"/>
      <c r="J7" s="11"/>
      <c r="K7" s="11"/>
      <c r="L7" s="20"/>
      <c r="T7" s="26">
        <f t="shared" si="0"/>
        <v>43929</v>
      </c>
      <c r="U7" s="25">
        <v>111</v>
      </c>
      <c r="V7" s="25">
        <f ca="1">INDEX(TST!TasRaw,MATCH(T7,TST!DateCol,0),1)</f>
        <v>98</v>
      </c>
      <c r="W7" s="25">
        <f ca="1">INDEX(tblData[Tasmania],MATCH(T7,TST!DateCol,0),1)</f>
        <v>111</v>
      </c>
      <c r="X7" s="384"/>
    </row>
    <row r="8" spans="1:24" x14ac:dyDescent="0.25">
      <c r="A8" s="303" t="s">
        <v>49</v>
      </c>
      <c r="B8" s="297">
        <f>myData!J$5</f>
        <v>1384</v>
      </c>
      <c r="C8" s="310">
        <f>myData!$J$8</f>
        <v>6629000</v>
      </c>
      <c r="D8" s="297">
        <f>myData!$J$7</f>
        <v>2087.7960476693315</v>
      </c>
      <c r="E8" s="298">
        <f>myData!J$6</f>
        <v>1.0318858338015584</v>
      </c>
      <c r="F8" s="304" t="s">
        <v>3003</v>
      </c>
      <c r="G8" s="317">
        <f ca="1">DeathsTimeS!$LS$2</f>
        <v>25.644893649117513</v>
      </c>
      <c r="H8" s="332">
        <f ca="1">Table6[[#This Row],[Population]]*Table6[[#This Row],[Deaths per 10m Pop]]/10^7</f>
        <v>17</v>
      </c>
      <c r="I8" s="11"/>
      <c r="J8" s="11"/>
      <c r="K8" s="11"/>
      <c r="T8" s="26">
        <f t="shared" si="0"/>
        <v>43930</v>
      </c>
      <c r="U8" s="25">
        <v>122</v>
      </c>
      <c r="V8" s="25">
        <f ca="1">INDEX(TST!TasRaw,MATCH(T8,TST!DateCol,0),1)</f>
        <v>111</v>
      </c>
      <c r="W8" s="25">
        <f ca="1">INDEX(tblData[Tasmania],MATCH(T8,TST!DateCol,0),1)</f>
        <v>122</v>
      </c>
      <c r="X8" s="384"/>
    </row>
    <row r="9" spans="1:24" x14ac:dyDescent="0.25">
      <c r="A9" s="303" t="s">
        <v>95</v>
      </c>
      <c r="B9" s="297">
        <f>myData!H$5</f>
        <v>438</v>
      </c>
      <c r="C9" s="310">
        <f>myData!$K$8</f>
        <v>2589000</v>
      </c>
      <c r="D9" s="297">
        <f>myData!$K$7</f>
        <v>2128.2348397064502</v>
      </c>
      <c r="E9" s="298">
        <f>myData!K$6</f>
        <v>1.0518725641556714</v>
      </c>
      <c r="F9" s="304" t="s">
        <v>3003</v>
      </c>
      <c r="G9" s="317">
        <f ca="1">DeathsTimeS!$ME$2</f>
        <v>30.899961375048278</v>
      </c>
      <c r="H9" s="332">
        <f ca="1">Table6[[#This Row],[Population]]*Table6[[#This Row],[Deaths per 10m Pop]]/10^7</f>
        <v>7.9999999999999982</v>
      </c>
      <c r="I9" s="11"/>
      <c r="J9" s="11"/>
      <c r="K9" s="11"/>
      <c r="T9" s="26">
        <f t="shared" si="0"/>
        <v>43931</v>
      </c>
      <c r="U9" s="25">
        <v>133</v>
      </c>
      <c r="V9" s="25">
        <f ca="1">INDEX(TST!TasRaw,MATCH(T9,TST!DateCol,0),1)</f>
        <v>122</v>
      </c>
      <c r="W9" s="25">
        <f ca="1">INDEX(tblData[Tasmania],MATCH(T9,TST!DateCol,0),1)</f>
        <v>133</v>
      </c>
      <c r="X9" s="384"/>
    </row>
    <row r="10" spans="1:24" x14ac:dyDescent="0.25">
      <c r="A10" s="305" t="s">
        <v>62</v>
      </c>
      <c r="B10" s="299">
        <f>myData!$H$5</f>
        <v>438</v>
      </c>
      <c r="C10" s="311">
        <f>myData!$H$8</f>
        <v>1670000</v>
      </c>
      <c r="D10" s="308">
        <f>myData!$H$7</f>
        <v>2622.754491017964</v>
      </c>
      <c r="E10" s="309">
        <f>myData!H$6</f>
        <v>1.2962871578581967</v>
      </c>
      <c r="F10" s="306" t="s">
        <v>3004</v>
      </c>
      <c r="G10" s="318">
        <f ca="1">DeathsTimeS!$MC$2</f>
        <v>23.95209580838323</v>
      </c>
      <c r="H10" s="308">
        <f ca="1">Table6[[#This Row],[Population]]*Table6[[#This Row],[Deaths per 10m Pop]]/10^7</f>
        <v>3.9999999999999991</v>
      </c>
      <c r="I10" s="11"/>
      <c r="J10" s="11"/>
      <c r="K10" s="11"/>
      <c r="L10" s="20"/>
      <c r="T10" s="26">
        <f t="shared" si="0"/>
        <v>43932</v>
      </c>
      <c r="U10" s="25">
        <v>140</v>
      </c>
      <c r="V10" s="25">
        <f ca="1">INDEX(TST!TasRaw,MATCH(T10,TST!DateCol,0),1)</f>
        <v>133</v>
      </c>
      <c r="W10" s="25">
        <f ca="1">INDEX(tblData[Tasmania],MATCH(T10,TST!DateCol,0),1)</f>
        <v>140</v>
      </c>
      <c r="X10" s="384"/>
    </row>
    <row r="11" spans="1:24" x14ac:dyDescent="0.25">
      <c r="A11" s="305" t="s">
        <v>47</v>
      </c>
      <c r="B11" s="299">
        <f>myData!$E$5</f>
        <v>3035</v>
      </c>
      <c r="C11" s="311">
        <f>myData!$E$8</f>
        <v>8080000</v>
      </c>
      <c r="D11" s="308">
        <f>myData!$E$7</f>
        <v>3756.1881188118809</v>
      </c>
      <c r="E11" s="309">
        <f>myData!E$6</f>
        <v>1.8564827312622565</v>
      </c>
      <c r="F11" s="306" t="s">
        <v>3004</v>
      </c>
      <c r="G11" s="318">
        <f ca="1">DeathsTimeS!$MG$2</f>
        <v>42.079207920792079</v>
      </c>
      <c r="H11" s="308">
        <f ca="1">Table6[[#This Row],[Population]]*Table6[[#This Row],[Deaths per 10m Pop]]/10^7</f>
        <v>34</v>
      </c>
      <c r="I11" s="11"/>
      <c r="J11" s="11"/>
      <c r="K11" s="11"/>
      <c r="T11" s="26">
        <f t="shared" si="0"/>
        <v>43933</v>
      </c>
      <c r="U11" s="25">
        <v>150</v>
      </c>
      <c r="V11" s="25">
        <f ca="1">INDEX(TST!TasRaw,MATCH(T11,TST!DateCol,0),1)</f>
        <v>133</v>
      </c>
      <c r="W11" s="25">
        <f ca="1">INDEX(tblData[Tasmania],MATCH(T11,TST!DateCol,0),1)</f>
        <v>150</v>
      </c>
      <c r="X11" s="384"/>
    </row>
    <row r="12" spans="1:24" ht="15.75" thickBot="1" x14ac:dyDescent="0.3">
      <c r="A12" s="307" t="s">
        <v>106</v>
      </c>
      <c r="B12" s="308">
        <f>myData!$I$5</f>
        <v>221</v>
      </c>
      <c r="C12" s="312">
        <f>myData!$I$8</f>
        <v>515000</v>
      </c>
      <c r="D12" s="308">
        <f>myData!$I$7</f>
        <v>4291.2621359223303</v>
      </c>
      <c r="E12" s="309">
        <f>myData!I6</f>
        <v>2.1209411772430937</v>
      </c>
      <c r="F12" s="306" t="s">
        <v>3004</v>
      </c>
      <c r="G12" s="319">
        <f ca="1">DeathsTimeS!$MA$2</f>
        <v>213.59223300970876</v>
      </c>
      <c r="H12" s="308">
        <f ca="1">Table6[[#This Row],[Population]]*Table6[[#This Row],[Deaths per 10m Pop]]/10^7</f>
        <v>11.000000000000002</v>
      </c>
      <c r="I12" s="11"/>
      <c r="J12" s="11"/>
      <c r="K12" s="11"/>
      <c r="T12" s="26">
        <f t="shared" si="0"/>
        <v>43934</v>
      </c>
      <c r="U12" s="25">
        <v>165</v>
      </c>
      <c r="V12" s="25">
        <f ca="1">INDEX(TST!TasRaw,MATCH(T12,TST!DateCol,0),1)</f>
        <v>144</v>
      </c>
      <c r="W12" s="25">
        <f ca="1">INDEX(tblData[Tasmania],MATCH(T12,TST!DateCol,0),1)</f>
        <v>165</v>
      </c>
      <c r="X12" s="384"/>
    </row>
    <row r="13" spans="1:24" x14ac:dyDescent="0.25">
      <c r="C13" s="11"/>
      <c r="D13" s="295"/>
      <c r="T13" s="26">
        <f t="shared" si="0"/>
        <v>43935</v>
      </c>
      <c r="U13" s="25">
        <v>169</v>
      </c>
      <c r="V13" s="25">
        <f ca="1">INDEX(TST!TasRaw,MATCH(T13,TST!DateCol,0),1)</f>
        <v>165</v>
      </c>
      <c r="W13" s="25">
        <f ca="1">INDEX(tblData[Tasmania],MATCH(T13,TST!DateCol,0),1)</f>
        <v>169</v>
      </c>
      <c r="X13" s="384"/>
    </row>
    <row r="14" spans="1:24" ht="15.75" thickBot="1" x14ac:dyDescent="0.3">
      <c r="A14" s="25"/>
      <c r="B14" s="25"/>
      <c r="C14" s="25"/>
      <c r="D14" s="25"/>
      <c r="E14" s="25"/>
      <c r="F14" s="25"/>
      <c r="H14" s="25"/>
      <c r="T14" s="26">
        <f t="shared" si="0"/>
        <v>43936</v>
      </c>
      <c r="U14" s="25">
        <v>180</v>
      </c>
      <c r="V14" s="25">
        <f ca="1">INDEX(TST!TasRaw,MATCH(T14,TST!DateCol,0),1)</f>
        <v>165</v>
      </c>
      <c r="W14" s="25">
        <f ca="1">INDEX(tblData[Tasmania],MATCH(T14,TST!DateCol,0),1)</f>
        <v>180</v>
      </c>
      <c r="X14" s="385"/>
    </row>
    <row r="15" spans="1:24" ht="16.5" thickBot="1" x14ac:dyDescent="0.3">
      <c r="A15" s="355" t="str">
        <f ca="1">CONCATENATE("As at ",TEXT(MAX(myData!AuDates),"ddd dd mmm yyyy"))</f>
        <v>As at Sun 03 May 2020</v>
      </c>
      <c r="B15" s="356"/>
      <c r="C15" s="356"/>
      <c r="D15" s="356"/>
      <c r="E15" s="356"/>
      <c r="F15" s="356"/>
      <c r="G15" s="356"/>
      <c r="H15" s="357"/>
      <c r="I15" s="355"/>
      <c r="J15" s="357"/>
      <c r="T15" s="26">
        <f t="shared" si="0"/>
        <v>43937</v>
      </c>
      <c r="U15" s="25">
        <v>184</v>
      </c>
      <c r="V15" s="25">
        <f ca="1">INDEX(TST!TasRaw,MATCH(T15,TST!DateCol,0),1)</f>
        <v>169</v>
      </c>
      <c r="W15" s="25">
        <f ca="1">INDEX(tblData[Tasmania],MATCH(T15,TST!DateCol,0),1)</f>
        <v>184</v>
      </c>
      <c r="X15" s="40"/>
    </row>
    <row r="16" spans="1:24" ht="48" thickBot="1" x14ac:dyDescent="0.3">
      <c r="A16" s="354" t="s">
        <v>3400</v>
      </c>
      <c r="B16" s="350" t="s">
        <v>503</v>
      </c>
      <c r="C16" s="350" t="s">
        <v>3320</v>
      </c>
      <c r="D16" s="351" t="s">
        <v>3321</v>
      </c>
      <c r="E16" s="350" t="s">
        <v>3322</v>
      </c>
      <c r="F16" s="352" t="s">
        <v>3323</v>
      </c>
      <c r="G16" s="351" t="s">
        <v>3324</v>
      </c>
      <c r="H16" s="353" t="s">
        <v>3322</v>
      </c>
      <c r="I16" s="352" t="s">
        <v>3619</v>
      </c>
      <c r="J16" s="353" t="s">
        <v>3460</v>
      </c>
      <c r="L16" s="26"/>
      <c r="T16" s="26">
        <f t="shared" si="0"/>
        <v>43938</v>
      </c>
      <c r="U16" s="25">
        <v>188</v>
      </c>
      <c r="V16" s="25">
        <f ca="1">INDEX(TST!TasRaw,MATCH(T16,TST!DateCol,0),1)</f>
        <v>180</v>
      </c>
      <c r="W16" s="25">
        <f ca="1">INDEX(tblData[Tasmania],MATCH(T16,TST!DateCol,0),1)</f>
        <v>188</v>
      </c>
      <c r="X16" s="40"/>
    </row>
    <row r="17" spans="1:24" x14ac:dyDescent="0.25">
      <c r="A17" s="327" t="s">
        <v>3318</v>
      </c>
      <c r="B17" s="328">
        <f>SUM(C22:C26)</f>
        <v>14973456</v>
      </c>
      <c r="C17" s="328">
        <f ca="1">SUM(H22:H26)</f>
        <v>34</v>
      </c>
      <c r="D17" s="329">
        <f ca="1">SUM(H22:H26)/SUM(C22:C26)*10^7</f>
        <v>22.706848706137048</v>
      </c>
      <c r="E17" s="336">
        <f ca="1">D17/$D$17</f>
        <v>1</v>
      </c>
      <c r="F17" s="340">
        <f>SUM(B22:B26)</f>
        <v>2991</v>
      </c>
      <c r="G17" s="341">
        <f>F17/B17*10^7</f>
        <v>1997.5348376487032</v>
      </c>
      <c r="H17" s="330">
        <f>G17/$G$17</f>
        <v>1</v>
      </c>
      <c r="I17" s="340">
        <f ca="1">B17/10000000*$D$17</f>
        <v>34</v>
      </c>
      <c r="J17" s="361">
        <f ca="1">C17-I17</f>
        <v>0</v>
      </c>
      <c r="T17" s="26">
        <f t="shared" si="0"/>
        <v>43939</v>
      </c>
      <c r="U17" s="25">
        <v>191</v>
      </c>
      <c r="V17" s="25">
        <f ca="1">INDEX(TST!TasRaw,MATCH(T17,TST!DateCol,0),1)</f>
        <v>188</v>
      </c>
      <c r="W17" s="25">
        <f ca="1">INDEX(tblData[Tasmania],MATCH(T17,TST!DateCol,0),1)</f>
        <v>191</v>
      </c>
      <c r="X17" s="40"/>
    </row>
    <row r="18" spans="1:24" ht="16.5" thickBot="1" x14ac:dyDescent="0.3">
      <c r="A18" s="323" t="s">
        <v>3319</v>
      </c>
      <c r="B18" s="324">
        <f>SUM(C27:C29)</f>
        <v>10265000</v>
      </c>
      <c r="C18" s="331">
        <f ca="1">SUM(H27:H29)</f>
        <v>49</v>
      </c>
      <c r="D18" s="325">
        <f ca="1">SUM(H27:H29)/SUM(C27:C29)*10^7</f>
        <v>47.735021919142717</v>
      </c>
      <c r="E18" s="347">
        <f ca="1">D18/$D$17</f>
        <v>2.102230148133291</v>
      </c>
      <c r="F18" s="338">
        <f>SUM(B27:B29)</f>
        <v>3694</v>
      </c>
      <c r="G18" s="339">
        <f>F18/B18*10^7</f>
        <v>3598.6361422308819</v>
      </c>
      <c r="H18" s="326">
        <f>G18/$G$17</f>
        <v>1.8015386136978888</v>
      </c>
      <c r="I18" s="363">
        <f ca="1">B18/10000000*$D$17</f>
        <v>23.308580196849679</v>
      </c>
      <c r="J18" s="362">
        <f ca="1">C18-I18+1</f>
        <v>26.691419803150321</v>
      </c>
      <c r="L18" s="25">
        <f>1/H18</f>
        <v>0.555081080359067</v>
      </c>
      <c r="M18" s="25">
        <f ca="1">1/E18</f>
        <v>0.47568531013978943</v>
      </c>
      <c r="T18" s="26">
        <f t="shared" si="0"/>
        <v>43940</v>
      </c>
      <c r="U18" s="25">
        <v>197</v>
      </c>
      <c r="V18" s="25">
        <f ca="1">INDEX(TST!TasRaw,MATCH(T18,TST!DateCol,0),1)</f>
        <v>195</v>
      </c>
      <c r="W18" s="25">
        <f ca="1">INDEX(tblData[Tasmania],MATCH(T18,TST!DateCol,0),1)</f>
        <v>197</v>
      </c>
    </row>
    <row r="19" spans="1:24" ht="15.75" thickBot="1" x14ac:dyDescent="0.3">
      <c r="A19" s="25"/>
      <c r="B19" s="25"/>
      <c r="C19" s="25"/>
      <c r="D19" s="25"/>
      <c r="E19" s="25"/>
      <c r="F19" s="25"/>
      <c r="H19" s="25"/>
      <c r="I19" s="25"/>
      <c r="T19" s="26">
        <f t="shared" si="0"/>
        <v>43941</v>
      </c>
      <c r="U19" s="25">
        <v>200</v>
      </c>
      <c r="V19" s="25">
        <f ca="1">INDEX(TST!TasRaw,MATCH(T19,TST!DateCol,0),1)</f>
        <v>200</v>
      </c>
      <c r="W19" s="25">
        <f ca="1">INDEX(tblData[Tasmania],MATCH(T19,TST!DateCol,0),1)</f>
        <v>200</v>
      </c>
    </row>
    <row r="20" spans="1:24" x14ac:dyDescent="0.25">
      <c r="A20" s="346" t="str">
        <f ca="1">CONCATENATE("As at ",TEXT(MAX(myData!AuDates),"ddd dd mmm yyyy"))</f>
        <v>As at Sun 03 May 2020</v>
      </c>
      <c r="B20" s="349"/>
      <c r="C20" s="349"/>
      <c r="D20" s="349"/>
      <c r="E20" s="349"/>
      <c r="F20" s="349"/>
      <c r="G20" s="349"/>
      <c r="H20" s="349"/>
      <c r="T20" s="26">
        <f t="shared" si="0"/>
        <v>43942</v>
      </c>
      <c r="U20" s="25">
        <v>201</v>
      </c>
      <c r="V20" s="25">
        <f ca="1">INDEX(TST!TasRaw,MATCH(T20,TST!DateCol,0),1)</f>
        <v>201</v>
      </c>
      <c r="W20" s="25">
        <f ca="1">INDEX(tblData[Tasmania],MATCH(T20,TST!DateCol,0),1)</f>
        <v>201</v>
      </c>
    </row>
    <row r="21" spans="1:24" ht="60" x14ac:dyDescent="0.25">
      <c r="A21" s="358" t="s">
        <v>1069</v>
      </c>
      <c r="B21" s="359" t="s">
        <v>3323</v>
      </c>
      <c r="C21" s="316" t="s">
        <v>503</v>
      </c>
      <c r="D21" s="316" t="s">
        <v>3005</v>
      </c>
      <c r="E21" s="316" t="s">
        <v>3006</v>
      </c>
      <c r="F21" s="360" t="s">
        <v>3002</v>
      </c>
      <c r="G21" s="316" t="s">
        <v>3316</v>
      </c>
      <c r="H21" s="296" t="s">
        <v>3320</v>
      </c>
    </row>
    <row r="22" spans="1:24" x14ac:dyDescent="0.25">
      <c r="A22" s="303" t="s">
        <v>50</v>
      </c>
      <c r="B22" s="297">
        <f>myData!G$5</f>
        <v>1035</v>
      </c>
      <c r="C22" s="310">
        <f>myData!$G$8</f>
        <v>5115451</v>
      </c>
      <c r="D22" s="297">
        <f>myData!$G$7</f>
        <v>2023.2820136484545</v>
      </c>
      <c r="E22" s="298">
        <f>myData!G$6</f>
        <v>1</v>
      </c>
      <c r="F22" s="304" t="s">
        <v>3003</v>
      </c>
      <c r="G22" s="317">
        <f ca="1">DeathsTimeS!$LY$2</f>
        <v>11.72917109361423</v>
      </c>
      <c r="H22" s="332">
        <f ca="1">Table611[[#This Row],[Population]]*Table611[[#This Row],[Deaths per 10m Pop]]/10^7</f>
        <v>6.0000000000000009</v>
      </c>
      <c r="T22" s="11"/>
      <c r="U22" s="11"/>
    </row>
    <row r="23" spans="1:24" x14ac:dyDescent="0.25">
      <c r="A23" s="303" t="s">
        <v>49</v>
      </c>
      <c r="B23" s="297">
        <f>myData!J$5</f>
        <v>1384</v>
      </c>
      <c r="C23" s="310">
        <f>myData!$J$8</f>
        <v>6629000</v>
      </c>
      <c r="D23" s="297">
        <f>myData!$J$7</f>
        <v>2087.7960476693315</v>
      </c>
      <c r="E23" s="298">
        <f>myData!J$6</f>
        <v>1.0318858338015584</v>
      </c>
      <c r="F23" s="304" t="s">
        <v>3003</v>
      </c>
      <c r="G23" s="317">
        <f ca="1">DeathsTimeS!$LS$2</f>
        <v>25.644893649117513</v>
      </c>
      <c r="H23" s="332">
        <f ca="1">Table611[[#This Row],[Population]]*Table611[[#This Row],[Deaths per 10m Pop]]/10^7</f>
        <v>17</v>
      </c>
    </row>
    <row r="24" spans="1:24" x14ac:dyDescent="0.25">
      <c r="A24" s="303" t="s">
        <v>95</v>
      </c>
      <c r="B24" s="297">
        <f>myData!H$5</f>
        <v>438</v>
      </c>
      <c r="C24" s="310">
        <f>myData!$K$8</f>
        <v>2589000</v>
      </c>
      <c r="D24" s="297">
        <f>myData!$K$7</f>
        <v>2128.2348397064502</v>
      </c>
      <c r="E24" s="298">
        <f>myData!K$6</f>
        <v>1.0518725641556714</v>
      </c>
      <c r="F24" s="304" t="s">
        <v>3003</v>
      </c>
      <c r="G24" s="317">
        <f ca="1">DeathsTimeS!$ME$2</f>
        <v>30.899961375048278</v>
      </c>
      <c r="H24" s="332">
        <f ca="1">Table611[[#This Row],[Population]]*Table611[[#This Row],[Deaths per 10m Pop]]/10^7</f>
        <v>7.9999999999999982</v>
      </c>
    </row>
    <row r="25" spans="1:24" x14ac:dyDescent="0.25">
      <c r="A25" s="303" t="s">
        <v>117</v>
      </c>
      <c r="B25" s="297">
        <f>myData!F$5</f>
        <v>28</v>
      </c>
      <c r="C25" s="310">
        <f>myData!$F$8</f>
        <v>211945</v>
      </c>
      <c r="D25" s="297">
        <f>myData!$F$7</f>
        <v>1321.0974545282972</v>
      </c>
      <c r="E25" s="298">
        <f>myData!F$6</f>
        <v>0.65294775795789683</v>
      </c>
      <c r="F25" s="304" t="s">
        <v>3003</v>
      </c>
      <c r="G25" s="317">
        <f ca="1">DeathsTimeS!$MO$2</f>
        <v>0</v>
      </c>
      <c r="H25" s="332">
        <f ca="1">Table611[[#This Row],[Population]]*Table611[[#This Row],[Deaths per 10m Pop]]/10^7</f>
        <v>0</v>
      </c>
      <c r="I25" s="25"/>
    </row>
    <row r="26" spans="1:24" x14ac:dyDescent="0.25">
      <c r="A26" s="303" t="s">
        <v>196</v>
      </c>
      <c r="B26" s="297">
        <f>myData!D$5</f>
        <v>106</v>
      </c>
      <c r="C26" s="310">
        <f>myData!$D$8</f>
        <v>428060</v>
      </c>
      <c r="D26" s="297">
        <f>myData!$D$7</f>
        <v>2476.2883707891419</v>
      </c>
      <c r="E26" s="298">
        <f>myData!D$6</f>
        <v>1.223896794458134</v>
      </c>
      <c r="F26" s="304" t="s">
        <v>3003</v>
      </c>
      <c r="G26" s="317">
        <f ca="1">DeathsTimeS!$MM$2</f>
        <v>70.083633135541746</v>
      </c>
      <c r="H26" s="332">
        <f ca="1">Table611[[#This Row],[Population]]*Table611[[#This Row],[Deaths per 10m Pop]]/10^7</f>
        <v>3</v>
      </c>
      <c r="I26" s="25"/>
    </row>
    <row r="27" spans="1:24" x14ac:dyDescent="0.25">
      <c r="A27" s="305" t="s">
        <v>62</v>
      </c>
      <c r="B27" s="299">
        <f>myData!$H$5</f>
        <v>438</v>
      </c>
      <c r="C27" s="311">
        <f>myData!$H$8</f>
        <v>1670000</v>
      </c>
      <c r="D27" s="308">
        <f>myData!$H$7</f>
        <v>2622.754491017964</v>
      </c>
      <c r="E27" s="309">
        <f>myData!H$6</f>
        <v>1.2962871578581967</v>
      </c>
      <c r="F27" s="306" t="s">
        <v>3004</v>
      </c>
      <c r="G27" s="318">
        <f ca="1">DeathsTimeS!$MC$2</f>
        <v>23.95209580838323</v>
      </c>
      <c r="H27" s="308">
        <f ca="1">Table611[[#This Row],[Population]]*Table611[[#This Row],[Deaths per 10m Pop]]/10^7</f>
        <v>3.9999999999999991</v>
      </c>
    </row>
    <row r="28" spans="1:24" x14ac:dyDescent="0.25">
      <c r="A28" s="305" t="s">
        <v>47</v>
      </c>
      <c r="B28" s="299">
        <f>myData!$E$5</f>
        <v>3035</v>
      </c>
      <c r="C28" s="311">
        <f>myData!$E$8</f>
        <v>8080000</v>
      </c>
      <c r="D28" s="308">
        <f>myData!$E$7</f>
        <v>3756.1881188118809</v>
      </c>
      <c r="E28" s="309">
        <f>myData!E$6</f>
        <v>1.8564827312622565</v>
      </c>
      <c r="F28" s="306" t="s">
        <v>3004</v>
      </c>
      <c r="G28" s="318">
        <f ca="1">DeathsTimeS!$MG$2</f>
        <v>42.079207920792079</v>
      </c>
      <c r="H28" s="308">
        <f ca="1">Table611[[#This Row],[Population]]*Table611[[#This Row],[Deaths per 10m Pop]]/10^7</f>
        <v>34</v>
      </c>
    </row>
    <row r="29" spans="1:24" ht="15.75" thickBot="1" x14ac:dyDescent="0.3">
      <c r="A29" s="307" t="s">
        <v>106</v>
      </c>
      <c r="B29" s="308">
        <f>myData!$I$5</f>
        <v>221</v>
      </c>
      <c r="C29" s="312">
        <f>myData!$I$8</f>
        <v>515000</v>
      </c>
      <c r="D29" s="308">
        <f>myData!$I$7</f>
        <v>4291.2621359223303</v>
      </c>
      <c r="E29" s="309">
        <f>myData!I$6</f>
        <v>2.1209411772430937</v>
      </c>
      <c r="F29" s="306" t="s">
        <v>3004</v>
      </c>
      <c r="G29" s="319">
        <f ca="1">DeathsTimeS!$MA$2</f>
        <v>213.59223300970876</v>
      </c>
      <c r="H29" s="308">
        <f ca="1">Table611[[#This Row],[Population]]*Table611[[#This Row],[Deaths per 10m Pop]]/10^7</f>
        <v>11.000000000000002</v>
      </c>
    </row>
    <row r="30" spans="1:24" x14ac:dyDescent="0.25">
      <c r="A30" s="390"/>
      <c r="B30" s="391"/>
      <c r="C30" s="392"/>
      <c r="D30" s="391"/>
      <c r="E30" s="393"/>
      <c r="F30" s="394"/>
      <c r="G30" s="395"/>
      <c r="H30" s="391"/>
      <c r="I30" s="25"/>
    </row>
    <row r="31" spans="1:24" ht="15.75" thickBot="1" x14ac:dyDescent="0.3">
      <c r="A31" s="390" t="s">
        <v>3732</v>
      </c>
      <c r="B31" s="391"/>
      <c r="C31" s="392"/>
      <c r="D31" s="391"/>
      <c r="E31" s="393"/>
      <c r="F31" s="394"/>
      <c r="G31" s="395"/>
      <c r="H31" s="391"/>
      <c r="I31" s="25"/>
    </row>
    <row r="32" spans="1:24" x14ac:dyDescent="0.25">
      <c r="A32" s="396" t="s">
        <v>2133</v>
      </c>
      <c r="B32" s="397">
        <f>myData!CS5</f>
        <v>432</v>
      </c>
      <c r="C32" s="398">
        <f>myData!TaiwanPop</f>
        <v>23807282</v>
      </c>
      <c r="D32" s="399">
        <f>myData!CS7</f>
        <v>181.45708527332098</v>
      </c>
      <c r="E32" s="400">
        <f>D32/D22</f>
        <v>8.9684524475216923E-2</v>
      </c>
      <c r="F32" s="397" t="s">
        <v>3733</v>
      </c>
      <c r="G32" s="399">
        <f ca="1">DeathsTimeS!NE2</f>
        <v>2.5202372954627914</v>
      </c>
      <c r="H32" s="280">
        <f ca="1">C32*G32/10^7</f>
        <v>5.9999999999999991</v>
      </c>
    </row>
    <row r="33" spans="1:19" ht="15.75" thickBot="1" x14ac:dyDescent="0.3">
      <c r="A33" s="401" t="s">
        <v>3730</v>
      </c>
      <c r="B33" s="402">
        <f ca="1">MAX(tblTST100[Hubei])*C33/10^7</f>
        <v>68128</v>
      </c>
      <c r="C33" s="403">
        <f>solvMsgs!P33</f>
        <v>58500000</v>
      </c>
      <c r="D33" s="404">
        <f ca="1">TST!NE2</f>
        <v>11645.811965811967</v>
      </c>
      <c r="E33" s="405">
        <f ca="1">D33/$D$22</f>
        <v>5.7559014943308977</v>
      </c>
      <c r="F33" s="402" t="s">
        <v>3731</v>
      </c>
      <c r="G33" s="404">
        <f ca="1">DeathsTimeS!NG2</f>
        <v>771.28205128205138</v>
      </c>
      <c r="H33" s="406">
        <f ca="1">G33*C33/10^7</f>
        <v>4512.0000000000009</v>
      </c>
    </row>
    <row r="34" spans="1:19" x14ac:dyDescent="0.25">
      <c r="A34" s="25"/>
      <c r="B34" s="25"/>
      <c r="C34" s="25"/>
      <c r="D34" s="25"/>
      <c r="E34" s="25"/>
      <c r="F34" s="25"/>
      <c r="H34" s="25"/>
      <c r="R34" s="14"/>
      <c r="S34" s="14"/>
    </row>
    <row r="35" spans="1:19" x14ac:dyDescent="0.25">
      <c r="G35"/>
      <c r="H35" s="25"/>
      <c r="J35" s="381" t="str">
        <f ca="1">CONCATENATE("As at ",TEXT(MAX(myData!AuDates),"ddd dd mmm yyyy"))</f>
        <v>As at Sun 03 May 2020</v>
      </c>
      <c r="K35" s="381"/>
      <c r="L35" s="381"/>
      <c r="M35" s="381"/>
      <c r="N35" s="381"/>
      <c r="O35" s="381"/>
      <c r="P35" s="381"/>
      <c r="Q35" s="381"/>
      <c r="R35" s="31"/>
      <c r="S35" s="31"/>
    </row>
    <row r="36" spans="1:19" ht="30" x14ac:dyDescent="0.25">
      <c r="G36"/>
      <c r="H36" s="25"/>
      <c r="J36" s="382" t="s">
        <v>720</v>
      </c>
      <c r="K36" s="382" t="s">
        <v>487</v>
      </c>
      <c r="L36" s="382" t="s">
        <v>503</v>
      </c>
      <c r="M36" s="383" t="s">
        <v>3477</v>
      </c>
      <c r="N36" s="383" t="s">
        <v>3474</v>
      </c>
      <c r="O36" s="383" t="s">
        <v>3478</v>
      </c>
      <c r="P36" s="383" t="s">
        <v>3476</v>
      </c>
      <c r="Q36" s="383" t="s">
        <v>3493</v>
      </c>
      <c r="R36" s="31"/>
      <c r="S36" s="31"/>
    </row>
    <row r="37" spans="1:19" x14ac:dyDescent="0.25">
      <c r="G37"/>
      <c r="H37" s="25"/>
      <c r="J37" s="371" t="s">
        <v>61</v>
      </c>
      <c r="K37" s="371"/>
      <c r="L37" s="372">
        <f>TST!SpainPopScale*myData!PerPerson</f>
        <v>46940000</v>
      </c>
      <c r="M37" s="373">
        <f ca="1">MAX(tblDeath100[Spain])</f>
        <v>4940.3493821900302</v>
      </c>
      <c r="N37" s="374">
        <f ca="1">tblCrates[[#This Row],[Death Per 10m]]/tblCrates[[#Totals],[Death Per 10m]]</f>
        <v>1</v>
      </c>
      <c r="O37" s="373">
        <f ca="1">MAX(tblTST100[Spain])</f>
        <v>46140.178951853428</v>
      </c>
      <c r="P37" s="375">
        <f ca="1">tblCrates[[#This Row],[Confirmed Cases per 10m]]/tblCrates[[#Totals],[Confirmed Cases per 10m]]</f>
        <v>1</v>
      </c>
      <c r="Q37" s="373"/>
      <c r="R37" s="31"/>
      <c r="S37" s="31"/>
    </row>
    <row r="38" spans="1:19" x14ac:dyDescent="0.25">
      <c r="G38"/>
      <c r="H38" s="25"/>
      <c r="J38" s="371" t="s">
        <v>659</v>
      </c>
      <c r="K38" s="371"/>
      <c r="L38" s="372">
        <f>TST!IrelandPopScale*myData!PerPerson</f>
        <v>4900000</v>
      </c>
      <c r="M38" s="373">
        <f ca="1">MAX(tblDeath100[Ireland])</f>
        <v>2218.3673469387754</v>
      </c>
      <c r="N38" s="374">
        <f ca="1">tblCrates[[#This Row],[Death Per 10m]]/tblCrates[[#Totals],[Death Per 10m]]</f>
        <v>0.44903045823762877</v>
      </c>
      <c r="O38" s="373">
        <f ca="1">MAX(tblTST100[Ireland])</f>
        <v>43216.326530612248</v>
      </c>
      <c r="P38" s="375">
        <f ca="1">tblCrates[[#This Row],[Confirmed Cases per 10m]]/tblCrates[[#Totals],[Confirmed Cases per 10m]]</f>
        <v>0.9366310992358271</v>
      </c>
      <c r="Q38" s="373"/>
      <c r="R38" s="31"/>
      <c r="S38" s="31"/>
    </row>
    <row r="39" spans="1:19" x14ac:dyDescent="0.25">
      <c r="G39"/>
      <c r="H39" s="25"/>
      <c r="J39" s="371" t="s">
        <v>58</v>
      </c>
      <c r="K39" s="371"/>
      <c r="L39" s="372">
        <f>TST!ItalyPopScale*myData!PerPerson</f>
        <v>60485000</v>
      </c>
      <c r="M39" s="373">
        <f ca="1">MAX(tblDeath100[Italy])</f>
        <v>4405.0591055633631</v>
      </c>
      <c r="N39" s="374">
        <f ca="1">tblCrates[[#This Row],[Death Per 10m]]/tblCrates[[#Totals],[Death Per 10m]]</f>
        <v>0.89164930752541716</v>
      </c>
      <c r="O39" s="373">
        <f ca="1">MAX(tblTST100[Italy])</f>
        <v>34608.249979333719</v>
      </c>
      <c r="P39" s="375">
        <f ca="1">tblCrates[[#This Row],[Confirmed Cases per 10m]]/tblCrates[[#Totals],[Confirmed Cases per 10m]]</f>
        <v>0.75006752824792677</v>
      </c>
      <c r="Q39" s="373"/>
      <c r="R39" s="31"/>
      <c r="S39" s="31"/>
    </row>
    <row r="40" spans="1:19" x14ac:dyDescent="0.25">
      <c r="G40"/>
      <c r="H40" s="25"/>
      <c r="J40" s="371" t="s">
        <v>3481</v>
      </c>
      <c r="K40" s="371"/>
      <c r="L40" s="372">
        <f>TST!USPopScale*myData!PerPerson</f>
        <v>329227745.99999994</v>
      </c>
      <c r="M40" s="373">
        <f ca="1">MAX(tblDeath100[US])</f>
        <v>1666.9615689073789</v>
      </c>
      <c r="N40" s="374">
        <f ca="1">tblCrates[[#This Row],[Death Per 10m]]/tblCrates[[#Totals],[Death Per 10m]]</f>
        <v>0.33741774922170059</v>
      </c>
      <c r="O40" s="373">
        <f ca="1">MAX(tblTST100[US])</f>
        <v>34399.864949414077</v>
      </c>
      <c r="P40" s="375">
        <f ca="1">tblCrates[[#This Row],[Confirmed Cases per 10m]]/tblCrates[[#Totals],[Confirmed Cases per 10m]]</f>
        <v>0.74555118187360758</v>
      </c>
      <c r="Q40" s="373"/>
      <c r="R40" s="31"/>
      <c r="S40" s="31"/>
    </row>
    <row r="41" spans="1:19" x14ac:dyDescent="0.25">
      <c r="G41"/>
      <c r="H41" s="25"/>
      <c r="J41" s="371" t="s">
        <v>609</v>
      </c>
      <c r="K41" s="371"/>
      <c r="L41" s="372">
        <f>TST!UnitedKingdomPopScale*myData!PerPerson</f>
        <v>66440000</v>
      </c>
      <c r="M41" s="373">
        <f ca="1">MAX(tblDeath100[United Kingdom])</f>
        <v>3620.5599036724866</v>
      </c>
      <c r="N41" s="374">
        <f ca="1">tblCrates[[#This Row],[Death Per 10m]]/tblCrates[[#Totals],[Death Per 10m]]</f>
        <v>0.73285503181710443</v>
      </c>
      <c r="O41" s="373">
        <f ca="1">MAX(tblTST100[United Kingdom])</f>
        <v>27432.269717037929</v>
      </c>
      <c r="P41" s="375">
        <f ca="1">tblCrates[[#This Row],[Confirmed Cases per 10m]]/tblCrates[[#Totals],[Confirmed Cases per 10m]]</f>
        <v>0.59454190122806161</v>
      </c>
      <c r="Q41" s="373"/>
      <c r="R41" s="31"/>
      <c r="S41" s="31"/>
    </row>
    <row r="42" spans="1:19" x14ac:dyDescent="0.25">
      <c r="G42"/>
      <c r="H42" s="25"/>
      <c r="J42" s="371" t="s">
        <v>60</v>
      </c>
      <c r="K42" s="371"/>
      <c r="L42" s="372">
        <f>TST!SwedenPopScale*myData!PerPerson</f>
        <v>10230000</v>
      </c>
      <c r="M42" s="373">
        <f ca="1">MAX(tblDeath100[Sweden])</f>
        <v>2144.6725317693063</v>
      </c>
      <c r="N42" s="374">
        <f ca="1">tblCrates[[#This Row],[Death Per 10m]]/tblCrates[[#Totals],[Death Per 10m]]</f>
        <v>0.43411353445990181</v>
      </c>
      <c r="O42" s="373">
        <f ca="1">MAX(tblTST100[Sweden])</f>
        <v>21585.532746823072</v>
      </c>
      <c r="P42" s="375">
        <f ca="1">tblCrates[[#This Row],[Confirmed Cases per 10m]]/tblCrates[[#Totals],[Confirmed Cases per 10m]]</f>
        <v>0.46782507647721189</v>
      </c>
      <c r="Q42" s="373"/>
      <c r="R42" s="31"/>
      <c r="S42" s="31"/>
    </row>
    <row r="43" spans="1:19" x14ac:dyDescent="0.25">
      <c r="G43"/>
      <c r="H43" s="25"/>
      <c r="J43" s="371" t="s">
        <v>53</v>
      </c>
      <c r="K43" s="371"/>
      <c r="L43" s="372">
        <f>TST!GermanyPopScale*myData!PerPerson</f>
        <v>83020000</v>
      </c>
      <c r="M43" s="373">
        <f ca="1">MAX(tblDeath100[Germany])</f>
        <v>719.8265478198025</v>
      </c>
      <c r="N43" s="374">
        <f ca="1">tblCrates[[#This Row],[Death Per 10m]]/tblCrates[[#Totals],[Death Per 10m]]</f>
        <v>0.14570357117145979</v>
      </c>
      <c r="O43" s="373">
        <f ca="1">MAX(tblTST100[Germany])</f>
        <v>19870.754035172249</v>
      </c>
      <c r="P43" s="375">
        <f ca="1">tblCrates[[#This Row],[Confirmed Cases per 10m]]/tblCrates[[#Totals],[Confirmed Cases per 10m]]</f>
        <v>0.43066053245929276</v>
      </c>
      <c r="Q43" s="373"/>
      <c r="R43" s="31"/>
      <c r="S43" s="31"/>
    </row>
    <row r="44" spans="1:19" x14ac:dyDescent="0.25">
      <c r="G44"/>
      <c r="H44" s="25"/>
      <c r="J44" s="371" t="s">
        <v>85</v>
      </c>
      <c r="K44" s="371"/>
      <c r="L44" s="372">
        <f>TST!DenmarkPopScale*myData!PerPerson</f>
        <v>5806000</v>
      </c>
      <c r="M44" s="373">
        <f ca="1">MAX(tblDeath100[Denmark])</f>
        <v>726.83430933517047</v>
      </c>
      <c r="N44" s="374">
        <f ca="1">tblCrates[[#This Row],[Death Per 10m]]/tblCrates[[#Totals],[Death Per 10m]]</f>
        <v>0.1471220460551656</v>
      </c>
      <c r="O44" s="373">
        <f ca="1">MAX(tblTST100[Denmark])</f>
        <v>16202.20461591457</v>
      </c>
      <c r="P44" s="375">
        <f ca="1">tblCrates[[#This Row],[Confirmed Cases per 10m]]/tblCrates[[#Totals],[Confirmed Cases per 10m]]</f>
        <v>0.35115175068612808</v>
      </c>
      <c r="Q44" s="373"/>
      <c r="R44" s="31"/>
      <c r="S44" s="31"/>
    </row>
    <row r="45" spans="1:19" ht="30" x14ac:dyDescent="0.25">
      <c r="G45"/>
      <c r="H45" s="25"/>
      <c r="J45" s="371" t="s">
        <v>16</v>
      </c>
      <c r="K45" s="371" t="s">
        <v>176</v>
      </c>
      <c r="L45" s="372">
        <f>TST!HubeiPopScale*myData!PerPerson</f>
        <v>58500000</v>
      </c>
      <c r="M45" s="373">
        <f ca="1">MAX(tblDeath100[Hubei])</f>
        <v>771.28205128205138</v>
      </c>
      <c r="N45" s="376">
        <f ca="1">tblCrates[[#This Row],[Death Per 10m]]/tblCrates[[#Totals],[Death Per 10m]]</f>
        <v>0.15611892836213664</v>
      </c>
      <c r="O45" s="373">
        <f ca="1">MAX(tblTST100[Hubei])</f>
        <v>11645.811965811967</v>
      </c>
      <c r="P45" s="375">
        <f ca="1">tblCrates[[#This Row],[Confirmed Cases per 10m]]/tblCrates[[#Totals],[Confirmed Cases per 10m]]</f>
        <v>0.25240066749555073</v>
      </c>
      <c r="Q45" s="377" t="s">
        <v>3494</v>
      </c>
      <c r="R45" s="31"/>
      <c r="S45" s="31"/>
    </row>
    <row r="46" spans="1:19" x14ac:dyDescent="0.25">
      <c r="G46"/>
      <c r="H46" s="25"/>
      <c r="J46" s="371" t="s">
        <v>106</v>
      </c>
      <c r="K46" s="371" t="s">
        <v>48</v>
      </c>
      <c r="L46" s="372">
        <f>TST!TasmaniaPopScale*myData!PerPerson</f>
        <v>515000</v>
      </c>
      <c r="M46" s="373">
        <f ca="1">MAX(tblDeath100[Tasmania])</f>
        <v>213.59223300970876</v>
      </c>
      <c r="N46" s="376">
        <f ca="1">tblCrates[[#This Row],[Death Per 10m]]/tblCrates[[#Totals],[Death Per 10m]]</f>
        <v>4.3234236384112675E-2</v>
      </c>
      <c r="O46" s="373">
        <f ca="1">MAX(tblTST100[Tasmania])</f>
        <v>4291.2621359223303</v>
      </c>
      <c r="P46" s="375">
        <f ca="1">tblCrates[[#This Row],[Confirmed Cases per 10m]]/tblCrates[[#Totals],[Confirmed Cases per 10m]]</f>
        <v>9.3004887137524903E-2</v>
      </c>
      <c r="Q46" s="373"/>
      <c r="R46" s="31"/>
      <c r="S46" s="31"/>
    </row>
    <row r="47" spans="1:19" x14ac:dyDescent="0.25">
      <c r="G47"/>
      <c r="H47" s="25"/>
      <c r="J47" s="371" t="s">
        <v>47</v>
      </c>
      <c r="K47" s="371" t="s">
        <v>48</v>
      </c>
      <c r="L47" s="372">
        <f>TST!NewSouthWalesPopScale*myData!PerPerson</f>
        <v>8080000.0000000009</v>
      </c>
      <c r="M47" s="373">
        <f ca="1">MAX(tblDeath100[New South Wales])</f>
        <v>42.079207920792079</v>
      </c>
      <c r="N47" s="376">
        <f ca="1">tblCrates[[#This Row],[Death Per 10m]]/tblCrates[[#Totals],[Death Per 10m]]</f>
        <v>8.5174558853039241E-3</v>
      </c>
      <c r="O47" s="373">
        <f ca="1">MAX(tblTST100[New South Wales])</f>
        <v>3756.1881188118809</v>
      </c>
      <c r="P47" s="375">
        <f ca="1">tblCrates[[#This Row],[Confirmed Cases per 10m]]/tblCrates[[#Totals],[Confirmed Cases per 10m]]</f>
        <v>8.1408182719260924E-2</v>
      </c>
      <c r="Q47" s="373"/>
      <c r="R47" s="31"/>
      <c r="S47" s="31"/>
    </row>
    <row r="48" spans="1:19" x14ac:dyDescent="0.25">
      <c r="G48"/>
      <c r="H48" s="25"/>
      <c r="J48" s="371" t="s">
        <v>3482</v>
      </c>
      <c r="K48" s="371"/>
      <c r="L48" s="372">
        <f>TST!AustraliaSumPopScale*myData!PerPerson</f>
        <v>25364000</v>
      </c>
      <c r="M48" s="373">
        <f>MAX(tblDeath100[Australia Sum])</f>
        <v>83</v>
      </c>
      <c r="N48" s="376">
        <f ca="1">tblCrates[[#This Row],[Death Per 10m]]/tblCrates[[#Totals],[Death Per 10m]]</f>
        <v>1.6800431220353601E-2</v>
      </c>
      <c r="O48" s="373">
        <f>MAX(tblTST100[Australia Sum])</f>
        <v>2680.5708878725754</v>
      </c>
      <c r="P48" s="375">
        <f ca="1">tblCrates[[#This Row],[Confirmed Cases per 10m]]/tblCrates[[#Totals],[Confirmed Cases per 10m]]</f>
        <v>5.809623951978405E-2</v>
      </c>
      <c r="Q48" s="373"/>
      <c r="R48" s="31"/>
      <c r="S48" s="31"/>
    </row>
    <row r="49" spans="1:19" x14ac:dyDescent="0.25">
      <c r="G49"/>
      <c r="H49" s="25"/>
      <c r="J49" s="371" t="s">
        <v>62</v>
      </c>
      <c r="K49" s="371" t="s">
        <v>48</v>
      </c>
      <c r="L49" s="372">
        <f>TST!SouthAustraliaPopScale*myData!PerPerson</f>
        <v>1670000</v>
      </c>
      <c r="M49" s="373">
        <f ca="1">MAX(tblDeath100[South Australia])</f>
        <v>23.95209580838323</v>
      </c>
      <c r="N49" s="376">
        <f ca="1">tblCrates[[#This Row],[Death Per 10m]]/tblCrates[[#Totals],[Death Per 10m]]</f>
        <v>4.84825949653087E-3</v>
      </c>
      <c r="O49" s="373">
        <f ca="1">MAX(tblTST100[South Australia])</f>
        <v>2622.754491017964</v>
      </c>
      <c r="P49" s="375">
        <f ca="1">tblCrates[[#This Row],[Confirmed Cases per 10m]]/tblCrates[[#Totals],[Confirmed Cases per 10m]]</f>
        <v>5.684317986184597E-2</v>
      </c>
      <c r="Q49" s="373"/>
      <c r="R49" s="31"/>
      <c r="S49" s="31"/>
    </row>
    <row r="50" spans="1:19" x14ac:dyDescent="0.25">
      <c r="G50"/>
      <c r="H50" s="25"/>
      <c r="J50" s="371" t="s">
        <v>95</v>
      </c>
      <c r="K50" s="371" t="s">
        <v>48</v>
      </c>
      <c r="L50" s="372">
        <f>TST!WesternAustraliaPopScale*myData!PerPerson</f>
        <v>2589000</v>
      </c>
      <c r="M50" s="373">
        <f ca="1">MAX(tblDeath100[Western Australia])</f>
        <v>30.899961375048278</v>
      </c>
      <c r="N50" s="376">
        <f ca="1">tblCrates[[#This Row],[Death Per 10m]]/tblCrates[[#Totals],[Death Per 10m]]</f>
        <v>6.254610551723873E-3</v>
      </c>
      <c r="O50" s="373">
        <f ca="1">MAX(tblTST100[Western Australia])</f>
        <v>2128.2348397064502</v>
      </c>
      <c r="P50" s="375">
        <f ca="1">tblCrates[[#This Row],[Confirmed Cases per 10m]]/tblCrates[[#Totals],[Confirmed Cases per 10m]]</f>
        <v>4.6125413642786925E-2</v>
      </c>
      <c r="Q50" s="373"/>
      <c r="R50" s="31"/>
      <c r="S50" s="31"/>
    </row>
    <row r="51" spans="1:19" x14ac:dyDescent="0.25">
      <c r="A51" s="25"/>
      <c r="B51" s="25"/>
      <c r="C51" s="25"/>
      <c r="D51" s="25"/>
      <c r="E51" s="25"/>
      <c r="F51" s="25"/>
      <c r="G51"/>
      <c r="H51" s="25"/>
      <c r="J51" s="371" t="s">
        <v>49</v>
      </c>
      <c r="K51" s="371" t="s">
        <v>48</v>
      </c>
      <c r="L51" s="372">
        <f>TST!VictoriaPopScale*myData!PerPerson</f>
        <v>6629000</v>
      </c>
      <c r="M51" s="373">
        <f ca="1">MAX(tblDeath100[Victoria])</f>
        <v>25.644893649117513</v>
      </c>
      <c r="N51" s="376">
        <f ca="1">tblCrates[[#This Row],[Death Per 10m]]/tblCrates[[#Totals],[Death Per 10m]]</f>
        <v>5.1909068904250795E-3</v>
      </c>
      <c r="O51" s="373">
        <f ca="1">MAX(tblTST100[Victoria])</f>
        <v>2087.7960476693315</v>
      </c>
      <c r="P51" s="375">
        <f ca="1">tblCrates[[#This Row],[Confirmed Cases per 10m]]/tblCrates[[#Totals],[Confirmed Cases per 10m]]</f>
        <v>4.5248980283494673E-2</v>
      </c>
      <c r="Q51" s="373"/>
      <c r="R51" s="31"/>
      <c r="S51" s="31"/>
    </row>
    <row r="52" spans="1:19" x14ac:dyDescent="0.25">
      <c r="A52" s="25"/>
      <c r="B52" s="25"/>
      <c r="C52" s="25"/>
      <c r="D52" s="25"/>
      <c r="E52" s="25"/>
      <c r="F52" s="25"/>
      <c r="H52" s="25"/>
      <c r="J52" s="371" t="s">
        <v>50</v>
      </c>
      <c r="K52" s="371" t="s">
        <v>48</v>
      </c>
      <c r="L52" s="372">
        <f>TST!QueenslandPopScale*myData!PerPerson</f>
        <v>5115451</v>
      </c>
      <c r="M52" s="373">
        <f ca="1">MAX(tblDeath100[Queensland])</f>
        <v>11.72917109361423</v>
      </c>
      <c r="N52" s="376">
        <f ca="1">tblCrates[[#This Row],[Death Per 10m]]/tblCrates[[#Totals],[Death Per 10m]]</f>
        <v>2.3741582196388613E-3</v>
      </c>
      <c r="O52" s="373">
        <f ca="1">MAX(tblTST100[Queensland])</f>
        <v>2023.2820136484545</v>
      </c>
      <c r="P52" s="375">
        <f ca="1">tblCrates[[#This Row],[Confirmed Cases per 10m]]/tblCrates[[#Totals],[Confirmed Cases per 10m]]</f>
        <v>4.3850762168905294E-2</v>
      </c>
      <c r="Q52" s="373"/>
      <c r="R52" s="31"/>
      <c r="S52" s="31"/>
    </row>
    <row r="53" spans="1:19" ht="45" x14ac:dyDescent="0.25">
      <c r="A53" s="25"/>
      <c r="B53" s="25"/>
      <c r="C53" s="25"/>
      <c r="D53" s="25"/>
      <c r="E53" s="25"/>
      <c r="F53" s="25"/>
      <c r="G53"/>
      <c r="H53" s="25"/>
      <c r="J53" s="371" t="s">
        <v>39</v>
      </c>
      <c r="K53" s="371" t="s">
        <v>176</v>
      </c>
      <c r="L53" s="372">
        <f>TST!HongKongPopScale*myData!PerPerson</f>
        <v>7451000</v>
      </c>
      <c r="M53" s="373">
        <f ca="1">MAX(tblDeath100[Hong Kong])</f>
        <v>5.3684069252449333</v>
      </c>
      <c r="N53" s="376">
        <f ca="1">tblCrates[[#This Row],[Death Per 10m]]/tblCrates[[#Totals],[Death Per 10m]]</f>
        <v>1.086645196511415E-3</v>
      </c>
      <c r="O53" s="373">
        <f ca="1">MAX(tblTST100[Hong Kong])</f>
        <v>1394.4436988323714</v>
      </c>
      <c r="P53" s="375">
        <f ca="1">tblCrates[[#This Row],[Confirmed Cases per 10m]]/tblCrates[[#Totals],[Confirmed Cases per 10m]]</f>
        <v>3.0221896197833394E-2</v>
      </c>
      <c r="Q53" s="377" t="s">
        <v>3495</v>
      </c>
      <c r="R53" s="31"/>
      <c r="S53" s="31"/>
    </row>
    <row r="54" spans="1:19" x14ac:dyDescent="0.25">
      <c r="A54" s="25"/>
      <c r="B54" s="25"/>
      <c r="C54" s="25"/>
      <c r="D54" s="25"/>
      <c r="E54" s="25"/>
      <c r="F54" s="25"/>
      <c r="G54"/>
      <c r="H54" s="25"/>
      <c r="J54" s="371" t="s">
        <v>36</v>
      </c>
      <c r="K54" s="371"/>
      <c r="L54" s="372">
        <f>TST!JapanPopScale*myData!PerPerson</f>
        <v>126554203</v>
      </c>
      <c r="M54" s="373">
        <f ca="1">MAX(tblDeath100[Japan])</f>
        <v>29.394519595686603</v>
      </c>
      <c r="N54" s="376">
        <f ca="1">tblCrates[[#This Row],[Death Per 10m]]/tblCrates[[#Totals],[Death Per 10m]]</f>
        <v>5.9498868038875769E-3</v>
      </c>
      <c r="O54" s="373">
        <f ca="1">MAX(tblTST100[Japan])</f>
        <v>1151.3643683568534</v>
      </c>
      <c r="P54" s="375">
        <f ca="1">tblCrates[[#This Row],[Confirmed Cases per 10m]]/tblCrates[[#Totals],[Confirmed Cases per 10m]]</f>
        <v>2.4953617313844503E-2</v>
      </c>
      <c r="Q54" s="373"/>
      <c r="R54" s="368"/>
      <c r="S54" s="368"/>
    </row>
    <row r="55" spans="1:19" ht="60" x14ac:dyDescent="0.25">
      <c r="A55" s="25"/>
      <c r="B55" s="25"/>
      <c r="C55" s="25"/>
      <c r="D55" s="25"/>
      <c r="E55" s="25"/>
      <c r="F55" s="25"/>
      <c r="G55"/>
      <c r="H55" s="25"/>
      <c r="J55" s="371" t="s">
        <v>124</v>
      </c>
      <c r="K55" s="371"/>
      <c r="L55" s="372">
        <f>TST!SouthAfricaPopScale*myData!PerPerson</f>
        <v>57779999.999999993</v>
      </c>
      <c r="M55" s="373">
        <f ca="1">MAX(tblDeath100[South Africa])</f>
        <v>15.057113187954311</v>
      </c>
      <c r="N55" s="376">
        <f ca="1">tblCrates[[#This Row],[Death Per 10m]]/tblCrates[[#Totals],[Death Per 10m]]</f>
        <v>3.0477830661603074E-3</v>
      </c>
      <c r="O55" s="373">
        <f ca="1">MAX(tblTST100[South Africa])</f>
        <v>1096.5732087227416</v>
      </c>
      <c r="P55" s="375">
        <f ca="1">tblCrates[[#This Row],[Confirmed Cases per 10m]]/tblCrates[[#Totals],[Confirmed Cases per 10m]]</f>
        <v>2.3766123877997938E-2</v>
      </c>
      <c r="Q55" s="377" t="s">
        <v>3496</v>
      </c>
    </row>
    <row r="56" spans="1:19" ht="15.75" x14ac:dyDescent="0.25">
      <c r="J56" s="378" t="s">
        <v>2133</v>
      </c>
      <c r="K56" s="378"/>
      <c r="L56" s="372">
        <f>TST!TaiwanPopScale*myData!PerPerson</f>
        <v>23807282</v>
      </c>
      <c r="M56" s="373">
        <f ca="1">MAX(tblDeath100[Taiwan])</f>
        <v>2.5202372954627914</v>
      </c>
      <c r="N56" s="379">
        <f ca="1">tblCrates[[#This Row],[Death Per 10m]]/tblCrates[[#Totals],[Death Per 10m]]</f>
        <v>5.1013341375171807E-4</v>
      </c>
      <c r="O56" s="373">
        <f ca="1">MAX(tblTST100[Taiwan])</f>
        <v>181.45708527332098</v>
      </c>
      <c r="P56" s="380">
        <f ca="1">tblCrates[[#This Row],[Confirmed Cases per 10m]]/tblCrates[[#Totals],[Confirmed Cases per 10m]]</f>
        <v>3.9327347529941031E-3</v>
      </c>
      <c r="Q56" s="373"/>
    </row>
    <row r="57" spans="1:19" x14ac:dyDescent="0.25">
      <c r="J57" s="25" t="s">
        <v>3475</v>
      </c>
      <c r="L57" s="39">
        <f>MAX(tblCrates[Population])</f>
        <v>329227745.99999994</v>
      </c>
      <c r="M57" s="11">
        <f ca="1">MAX(tblCrates[Death Per 10m])</f>
        <v>4940.3493821900302</v>
      </c>
      <c r="O57" s="365">
        <f ca="1">MAX(tblCrates[Confirmed Cases per 10m])</f>
        <v>46140.178951853428</v>
      </c>
    </row>
  </sheetData>
  <sortState ref="J35:O44">
    <sortCondition descending="1" ref="O2:O11"/>
    <sortCondition descending="1" ref="M2:M11"/>
  </sortState>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C325"/>
  <sheetViews>
    <sheetView workbookViewId="0">
      <selection sqref="A1:DC325"/>
    </sheetView>
  </sheetViews>
  <sheetFormatPr defaultRowHeight="15" x14ac:dyDescent="0.25"/>
  <cols>
    <col min="1" max="1" width="14.85546875" customWidth="1"/>
    <col min="5" max="7" width="10.7109375" bestFit="1" customWidth="1"/>
    <col min="8" max="14" width="10.85546875" bestFit="1" customWidth="1"/>
    <col min="15" max="15" width="10.7109375" bestFit="1" customWidth="1"/>
    <col min="16" max="23" width="9.85546875" bestFit="1" customWidth="1"/>
    <col min="24" max="43" width="10.85546875" bestFit="1" customWidth="1"/>
    <col min="44" max="44" width="10.7109375" bestFit="1" customWidth="1"/>
    <col min="45" max="52" width="9.85546875" bestFit="1" customWidth="1"/>
    <col min="53" max="74" width="10.85546875" bestFit="1" customWidth="1"/>
    <col min="75" max="75" width="10.7109375" bestFit="1" customWidth="1"/>
    <col min="76" max="83" width="9.85546875" bestFit="1" customWidth="1"/>
    <col min="84" max="96" width="10.85546875" bestFit="1" customWidth="1"/>
    <col min="97" max="98" width="10.7109375" bestFit="1" customWidth="1"/>
    <col min="99" max="99" width="11" customWidth="1"/>
    <col min="100" max="100" width="10.7109375" bestFit="1" customWidth="1"/>
  </cols>
  <sheetData>
    <row r="1" spans="1:107" s="342" customFormat="1" x14ac:dyDescent="0.25">
      <c r="A1" s="342" t="s">
        <v>0</v>
      </c>
      <c r="B1" s="342" t="s">
        <v>1</v>
      </c>
      <c r="C1" s="342" t="s">
        <v>2</v>
      </c>
      <c r="D1" s="342" t="s">
        <v>3</v>
      </c>
      <c r="E1" s="342" t="s">
        <v>503</v>
      </c>
      <c r="F1" s="342">
        <v>43852</v>
      </c>
      <c r="G1" s="342">
        <v>43853</v>
      </c>
      <c r="H1" s="342">
        <v>43854</v>
      </c>
      <c r="I1" s="342">
        <v>43855</v>
      </c>
      <c r="J1" s="342">
        <v>43856</v>
      </c>
      <c r="K1" s="342">
        <v>43857</v>
      </c>
      <c r="L1" s="342">
        <v>43858</v>
      </c>
      <c r="M1" s="342">
        <v>43859</v>
      </c>
      <c r="N1" s="342">
        <v>43860</v>
      </c>
      <c r="O1" s="342">
        <v>43861</v>
      </c>
      <c r="P1" s="342">
        <v>43862</v>
      </c>
      <c r="Q1" s="342">
        <v>43863</v>
      </c>
      <c r="R1" s="342">
        <v>43864</v>
      </c>
      <c r="S1" s="342">
        <v>43865</v>
      </c>
      <c r="T1" s="342">
        <v>43866</v>
      </c>
      <c r="U1" s="342">
        <v>43867</v>
      </c>
      <c r="V1" s="342">
        <v>43868</v>
      </c>
      <c r="W1" s="342">
        <v>43869</v>
      </c>
      <c r="X1" s="342">
        <v>43870</v>
      </c>
      <c r="Y1" s="342">
        <v>43871</v>
      </c>
      <c r="Z1" s="342">
        <v>43872</v>
      </c>
      <c r="AA1" s="342">
        <v>43873</v>
      </c>
      <c r="AB1" s="342">
        <v>43874</v>
      </c>
      <c r="AC1" s="342">
        <v>43875</v>
      </c>
      <c r="AD1" s="342">
        <v>43876</v>
      </c>
      <c r="AE1" s="342">
        <v>43877</v>
      </c>
      <c r="AF1" s="342">
        <v>43878</v>
      </c>
      <c r="AG1" s="342">
        <v>43879</v>
      </c>
      <c r="AH1" s="342">
        <v>43880</v>
      </c>
      <c r="AI1" s="342">
        <v>43881</v>
      </c>
      <c r="AJ1" s="342">
        <v>43882</v>
      </c>
      <c r="AK1" s="342">
        <v>43883</v>
      </c>
      <c r="AL1" s="342">
        <v>43884</v>
      </c>
      <c r="AM1" s="342">
        <v>43885</v>
      </c>
      <c r="AN1" s="342">
        <v>43886</v>
      </c>
      <c r="AO1" s="342">
        <v>43887</v>
      </c>
      <c r="AP1" s="342">
        <v>43888</v>
      </c>
      <c r="AQ1" s="342">
        <v>43889</v>
      </c>
      <c r="AR1" s="342">
        <v>43890</v>
      </c>
      <c r="AS1" s="342">
        <v>43891</v>
      </c>
      <c r="AT1" s="342">
        <v>43892</v>
      </c>
      <c r="AU1" s="342">
        <v>43893</v>
      </c>
      <c r="AV1" s="342">
        <v>43894</v>
      </c>
      <c r="AW1" s="342">
        <v>43895</v>
      </c>
      <c r="AX1" s="342">
        <v>43896</v>
      </c>
      <c r="AY1" s="342">
        <v>43897</v>
      </c>
      <c r="AZ1" s="342">
        <v>43898</v>
      </c>
      <c r="BA1" s="342">
        <v>43899</v>
      </c>
      <c r="BB1" s="342">
        <v>43900</v>
      </c>
      <c r="BC1" s="342">
        <v>43901</v>
      </c>
      <c r="BD1" s="342">
        <v>43902</v>
      </c>
      <c r="BE1" s="342">
        <v>43903</v>
      </c>
      <c r="BF1" s="342">
        <v>43904</v>
      </c>
      <c r="BG1" s="342">
        <v>43905</v>
      </c>
      <c r="BH1" s="342">
        <v>43906</v>
      </c>
      <c r="BI1" s="342">
        <v>43907</v>
      </c>
      <c r="BJ1" s="342">
        <v>43908</v>
      </c>
      <c r="BK1" s="342">
        <v>43909</v>
      </c>
      <c r="BL1" s="342">
        <v>43910</v>
      </c>
      <c r="BM1" s="342">
        <v>43911</v>
      </c>
      <c r="BN1" s="342">
        <v>43912</v>
      </c>
      <c r="BO1" s="342">
        <v>43913</v>
      </c>
      <c r="BP1" s="342">
        <v>43914</v>
      </c>
      <c r="BQ1" s="342">
        <v>43915</v>
      </c>
      <c r="BR1" s="342">
        <v>43916</v>
      </c>
      <c r="BS1" s="342">
        <v>43917</v>
      </c>
      <c r="BT1" s="342">
        <v>43918</v>
      </c>
      <c r="BU1" s="342">
        <v>43919</v>
      </c>
      <c r="BV1" s="342">
        <v>43920</v>
      </c>
      <c r="BW1" s="342">
        <v>43921</v>
      </c>
      <c r="BX1" s="342">
        <v>43922</v>
      </c>
      <c r="BY1" s="342">
        <v>43923</v>
      </c>
      <c r="BZ1" s="342">
        <v>43924</v>
      </c>
      <c r="CA1" s="342">
        <v>43925</v>
      </c>
      <c r="CB1" s="342">
        <v>43926</v>
      </c>
      <c r="CC1" s="342">
        <v>43927</v>
      </c>
      <c r="CD1" s="342">
        <v>43928</v>
      </c>
      <c r="CE1" s="342">
        <v>43929</v>
      </c>
      <c r="CF1" s="342">
        <v>43930</v>
      </c>
      <c r="CG1" s="342">
        <v>43931</v>
      </c>
      <c r="CH1" s="342">
        <v>43932</v>
      </c>
      <c r="CI1" s="342">
        <v>43933</v>
      </c>
      <c r="CJ1" s="342">
        <v>43934</v>
      </c>
      <c r="CK1" s="342">
        <v>43935</v>
      </c>
      <c r="CL1" s="342">
        <v>43936</v>
      </c>
      <c r="CM1" s="342">
        <v>43937</v>
      </c>
      <c r="CN1" s="342">
        <v>43938</v>
      </c>
      <c r="CO1" s="342">
        <v>43939</v>
      </c>
      <c r="CP1" s="342">
        <v>43940</v>
      </c>
      <c r="CQ1" s="342">
        <v>43941</v>
      </c>
      <c r="CR1" s="342">
        <v>43942</v>
      </c>
      <c r="CS1" s="342">
        <v>43943</v>
      </c>
      <c r="CT1" s="342">
        <v>43944</v>
      </c>
      <c r="CU1" s="342">
        <v>43945</v>
      </c>
      <c r="CV1" s="342">
        <v>43946</v>
      </c>
      <c r="CW1" s="342">
        <v>43947</v>
      </c>
      <c r="CX1" s="342">
        <v>43948</v>
      </c>
      <c r="CY1" s="342">
        <v>43949</v>
      </c>
      <c r="CZ1" s="342">
        <v>43950</v>
      </c>
      <c r="DA1" s="342">
        <v>43951</v>
      </c>
      <c r="DB1" s="342">
        <v>43952</v>
      </c>
      <c r="DC1" s="342">
        <v>43953</v>
      </c>
    </row>
    <row r="2" spans="1:107" x14ac:dyDescent="0.25">
      <c r="B2" t="s">
        <v>70</v>
      </c>
      <c r="C2">
        <v>33</v>
      </c>
      <c r="D2">
        <v>65</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1</v>
      </c>
      <c r="BO2">
        <v>1</v>
      </c>
      <c r="BP2">
        <v>1</v>
      </c>
      <c r="BQ2">
        <v>2</v>
      </c>
      <c r="BR2">
        <v>4</v>
      </c>
      <c r="BS2">
        <v>4</v>
      </c>
      <c r="BT2">
        <v>4</v>
      </c>
      <c r="BU2">
        <v>4</v>
      </c>
      <c r="BV2">
        <v>4</v>
      </c>
      <c r="BW2">
        <v>4</v>
      </c>
      <c r="BX2">
        <v>4</v>
      </c>
      <c r="BY2">
        <v>6</v>
      </c>
      <c r="BZ2">
        <v>6</v>
      </c>
      <c r="CA2">
        <v>7</v>
      </c>
      <c r="CB2">
        <v>7</v>
      </c>
      <c r="CC2">
        <v>11</v>
      </c>
      <c r="CD2">
        <v>14</v>
      </c>
      <c r="CE2">
        <v>14</v>
      </c>
      <c r="CF2">
        <v>15</v>
      </c>
      <c r="CG2">
        <v>15</v>
      </c>
      <c r="CH2">
        <v>18</v>
      </c>
      <c r="CI2">
        <v>18</v>
      </c>
      <c r="CJ2">
        <v>21</v>
      </c>
      <c r="CK2">
        <v>23</v>
      </c>
      <c r="CL2">
        <v>25</v>
      </c>
      <c r="CM2">
        <v>30</v>
      </c>
      <c r="CN2">
        <v>30</v>
      </c>
      <c r="CO2">
        <v>30</v>
      </c>
      <c r="CP2">
        <v>33</v>
      </c>
      <c r="CQ2">
        <v>36</v>
      </c>
      <c r="CR2">
        <v>36</v>
      </c>
      <c r="CS2">
        <v>40</v>
      </c>
      <c r="CT2">
        <v>42</v>
      </c>
      <c r="CU2">
        <v>43</v>
      </c>
      <c r="CV2">
        <v>47</v>
      </c>
      <c r="CW2">
        <v>50</v>
      </c>
      <c r="CX2">
        <v>57</v>
      </c>
      <c r="CY2">
        <v>58</v>
      </c>
      <c r="CZ2">
        <v>60</v>
      </c>
      <c r="DA2">
        <v>64</v>
      </c>
      <c r="DB2">
        <v>68</v>
      </c>
      <c r="DC2">
        <v>72</v>
      </c>
    </row>
    <row r="3" spans="1:107" x14ac:dyDescent="0.25">
      <c r="B3" t="s">
        <v>144</v>
      </c>
      <c r="C3">
        <v>41.153300000000002</v>
      </c>
      <c r="D3">
        <v>20.168299999999999</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1</v>
      </c>
      <c r="BD3">
        <v>1</v>
      </c>
      <c r="BE3">
        <v>1</v>
      </c>
      <c r="BF3">
        <v>1</v>
      </c>
      <c r="BG3">
        <v>1</v>
      </c>
      <c r="BH3">
        <v>1</v>
      </c>
      <c r="BI3">
        <v>1</v>
      </c>
      <c r="BJ3">
        <v>2</v>
      </c>
      <c r="BK3">
        <v>2</v>
      </c>
      <c r="BL3">
        <v>2</v>
      </c>
      <c r="BM3">
        <v>2</v>
      </c>
      <c r="BN3">
        <v>2</v>
      </c>
      <c r="BO3">
        <v>4</v>
      </c>
      <c r="BP3">
        <v>5</v>
      </c>
      <c r="BQ3">
        <v>5</v>
      </c>
      <c r="BR3">
        <v>6</v>
      </c>
      <c r="BS3">
        <v>8</v>
      </c>
      <c r="BT3">
        <v>10</v>
      </c>
      <c r="BU3">
        <v>10</v>
      </c>
      <c r="BV3">
        <v>11</v>
      </c>
      <c r="BW3">
        <v>15</v>
      </c>
      <c r="BX3">
        <v>15</v>
      </c>
      <c r="BY3">
        <v>16</v>
      </c>
      <c r="BZ3">
        <v>17</v>
      </c>
      <c r="CA3">
        <v>20</v>
      </c>
      <c r="CB3">
        <v>20</v>
      </c>
      <c r="CC3">
        <v>21</v>
      </c>
      <c r="CD3">
        <v>22</v>
      </c>
      <c r="CE3">
        <v>22</v>
      </c>
      <c r="CF3">
        <v>23</v>
      </c>
      <c r="CG3">
        <v>23</v>
      </c>
      <c r="CH3">
        <v>23</v>
      </c>
      <c r="CI3">
        <v>23</v>
      </c>
      <c r="CJ3">
        <v>23</v>
      </c>
      <c r="CK3">
        <v>24</v>
      </c>
      <c r="CL3">
        <v>25</v>
      </c>
      <c r="CM3">
        <v>26</v>
      </c>
      <c r="CN3">
        <v>26</v>
      </c>
      <c r="CO3">
        <v>26</v>
      </c>
      <c r="CP3">
        <v>26</v>
      </c>
      <c r="CQ3">
        <v>26</v>
      </c>
      <c r="CR3">
        <v>26</v>
      </c>
      <c r="CS3">
        <v>27</v>
      </c>
      <c r="CT3">
        <v>27</v>
      </c>
      <c r="CU3">
        <v>27</v>
      </c>
      <c r="CV3">
        <v>27</v>
      </c>
      <c r="CW3">
        <v>28</v>
      </c>
      <c r="CX3">
        <v>28</v>
      </c>
      <c r="CY3">
        <v>30</v>
      </c>
      <c r="CZ3">
        <v>30</v>
      </c>
      <c r="DA3">
        <v>31</v>
      </c>
      <c r="DB3">
        <v>31</v>
      </c>
      <c r="DC3">
        <v>31</v>
      </c>
    </row>
    <row r="4" spans="1:107" x14ac:dyDescent="0.25">
      <c r="B4" t="s">
        <v>73</v>
      </c>
      <c r="C4">
        <v>28.033899999999999</v>
      </c>
      <c r="D4">
        <v>1.6596</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1</v>
      </c>
      <c r="BE4">
        <v>2</v>
      </c>
      <c r="BF4">
        <v>3</v>
      </c>
      <c r="BG4">
        <v>4</v>
      </c>
      <c r="BH4">
        <v>4</v>
      </c>
      <c r="BI4">
        <v>4</v>
      </c>
      <c r="BJ4">
        <v>7</v>
      </c>
      <c r="BK4">
        <v>9</v>
      </c>
      <c r="BL4">
        <v>11</v>
      </c>
      <c r="BM4">
        <v>15</v>
      </c>
      <c r="BN4">
        <v>17</v>
      </c>
      <c r="BO4">
        <v>17</v>
      </c>
      <c r="BP4">
        <v>19</v>
      </c>
      <c r="BQ4">
        <v>21</v>
      </c>
      <c r="BR4">
        <v>25</v>
      </c>
      <c r="BS4">
        <v>26</v>
      </c>
      <c r="BT4">
        <v>29</v>
      </c>
      <c r="BU4">
        <v>31</v>
      </c>
      <c r="BV4">
        <v>35</v>
      </c>
      <c r="BW4">
        <v>44</v>
      </c>
      <c r="BX4">
        <v>58</v>
      </c>
      <c r="BY4">
        <v>86</v>
      </c>
      <c r="BZ4">
        <v>105</v>
      </c>
      <c r="CA4">
        <v>130</v>
      </c>
      <c r="CB4">
        <v>152</v>
      </c>
      <c r="CC4">
        <v>173</v>
      </c>
      <c r="CD4">
        <v>193</v>
      </c>
      <c r="CE4">
        <v>205</v>
      </c>
      <c r="CF4">
        <v>235</v>
      </c>
      <c r="CG4">
        <v>256</v>
      </c>
      <c r="CH4">
        <v>275</v>
      </c>
      <c r="CI4">
        <v>293</v>
      </c>
      <c r="CJ4">
        <v>313</v>
      </c>
      <c r="CK4">
        <v>326</v>
      </c>
      <c r="CL4">
        <v>336</v>
      </c>
      <c r="CM4">
        <v>348</v>
      </c>
      <c r="CN4">
        <v>364</v>
      </c>
      <c r="CO4">
        <v>367</v>
      </c>
      <c r="CP4">
        <v>375</v>
      </c>
      <c r="CQ4">
        <v>384</v>
      </c>
      <c r="CR4">
        <v>392</v>
      </c>
      <c r="CS4">
        <v>402</v>
      </c>
      <c r="CT4">
        <v>407</v>
      </c>
      <c r="CU4">
        <v>415</v>
      </c>
      <c r="CV4">
        <v>419</v>
      </c>
      <c r="CW4">
        <v>425</v>
      </c>
      <c r="CX4">
        <v>432</v>
      </c>
      <c r="CY4">
        <v>437</v>
      </c>
      <c r="CZ4">
        <v>444</v>
      </c>
      <c r="DA4">
        <v>450</v>
      </c>
      <c r="DB4">
        <v>453</v>
      </c>
      <c r="DC4">
        <v>459</v>
      </c>
    </row>
    <row r="5" spans="1:107" x14ac:dyDescent="0.25">
      <c r="B5" t="s">
        <v>105</v>
      </c>
      <c r="C5">
        <v>42.506300000000003</v>
      </c>
      <c r="D5">
        <v>1.5218</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1</v>
      </c>
      <c r="BO5">
        <v>1</v>
      </c>
      <c r="BP5">
        <v>1</v>
      </c>
      <c r="BQ5">
        <v>1</v>
      </c>
      <c r="BR5">
        <v>3</v>
      </c>
      <c r="BS5">
        <v>3</v>
      </c>
      <c r="BT5">
        <v>3</v>
      </c>
      <c r="BU5">
        <v>6</v>
      </c>
      <c r="BV5">
        <v>8</v>
      </c>
      <c r="BW5">
        <v>12</v>
      </c>
      <c r="BX5">
        <v>14</v>
      </c>
      <c r="BY5">
        <v>15</v>
      </c>
      <c r="BZ5">
        <v>16</v>
      </c>
      <c r="CA5">
        <v>17</v>
      </c>
      <c r="CB5">
        <v>18</v>
      </c>
      <c r="CC5">
        <v>21</v>
      </c>
      <c r="CD5">
        <v>22</v>
      </c>
      <c r="CE5">
        <v>23</v>
      </c>
      <c r="CF5">
        <v>25</v>
      </c>
      <c r="CG5">
        <v>26</v>
      </c>
      <c r="CH5">
        <v>26</v>
      </c>
      <c r="CI5">
        <v>29</v>
      </c>
      <c r="CJ5">
        <v>29</v>
      </c>
      <c r="CK5">
        <v>31</v>
      </c>
      <c r="CL5">
        <v>33</v>
      </c>
      <c r="CM5">
        <v>33</v>
      </c>
      <c r="CN5">
        <v>35</v>
      </c>
      <c r="CO5">
        <v>35</v>
      </c>
      <c r="CP5">
        <v>36</v>
      </c>
      <c r="CQ5">
        <v>37</v>
      </c>
      <c r="CR5">
        <v>37</v>
      </c>
      <c r="CS5">
        <v>37</v>
      </c>
      <c r="CT5">
        <v>37</v>
      </c>
      <c r="CU5">
        <v>40</v>
      </c>
      <c r="CV5">
        <v>40</v>
      </c>
      <c r="CW5">
        <v>40</v>
      </c>
      <c r="CX5">
        <v>40</v>
      </c>
      <c r="CY5">
        <v>41</v>
      </c>
      <c r="CZ5">
        <v>42</v>
      </c>
      <c r="DA5">
        <v>42</v>
      </c>
      <c r="DB5">
        <v>43</v>
      </c>
      <c r="DC5">
        <v>44</v>
      </c>
    </row>
    <row r="6" spans="1:107" x14ac:dyDescent="0.25">
      <c r="B6" t="s">
        <v>741</v>
      </c>
      <c r="C6">
        <v>-11.2027</v>
      </c>
      <c r="D6">
        <v>17.873899999999999</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2</v>
      </c>
      <c r="BV6">
        <v>2</v>
      </c>
      <c r="BW6">
        <v>2</v>
      </c>
      <c r="BX6">
        <v>2</v>
      </c>
      <c r="BY6">
        <v>2</v>
      </c>
      <c r="BZ6">
        <v>2</v>
      </c>
      <c r="CA6">
        <v>2</v>
      </c>
      <c r="CB6">
        <v>2</v>
      </c>
      <c r="CC6">
        <v>2</v>
      </c>
      <c r="CD6">
        <v>2</v>
      </c>
      <c r="CE6">
        <v>2</v>
      </c>
      <c r="CF6">
        <v>2</v>
      </c>
      <c r="CG6">
        <v>2</v>
      </c>
      <c r="CH6">
        <v>2</v>
      </c>
      <c r="CI6">
        <v>2</v>
      </c>
      <c r="CJ6">
        <v>2</v>
      </c>
      <c r="CK6">
        <v>2</v>
      </c>
      <c r="CL6">
        <v>2</v>
      </c>
      <c r="CM6">
        <v>2</v>
      </c>
      <c r="CN6">
        <v>2</v>
      </c>
      <c r="CO6">
        <v>2</v>
      </c>
      <c r="CP6">
        <v>2</v>
      </c>
      <c r="CQ6">
        <v>2</v>
      </c>
      <c r="CR6">
        <v>2</v>
      </c>
      <c r="CS6">
        <v>2</v>
      </c>
      <c r="CT6">
        <v>2</v>
      </c>
      <c r="CU6">
        <v>2</v>
      </c>
      <c r="CV6">
        <v>2</v>
      </c>
      <c r="CW6">
        <v>2</v>
      </c>
      <c r="CX6">
        <v>2</v>
      </c>
      <c r="CY6">
        <v>2</v>
      </c>
      <c r="CZ6">
        <v>2</v>
      </c>
      <c r="DA6">
        <v>2</v>
      </c>
      <c r="DB6">
        <v>2</v>
      </c>
      <c r="DC6">
        <v>2</v>
      </c>
    </row>
    <row r="7" spans="1:107" x14ac:dyDescent="0.25">
      <c r="B7" t="s">
        <v>207</v>
      </c>
      <c r="C7">
        <v>17.0608</v>
      </c>
      <c r="D7">
        <v>-61.796399999999998</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1</v>
      </c>
      <c r="CE7">
        <v>2</v>
      </c>
      <c r="CF7">
        <v>2</v>
      </c>
      <c r="CG7">
        <v>2</v>
      </c>
      <c r="CH7">
        <v>2</v>
      </c>
      <c r="CI7">
        <v>2</v>
      </c>
      <c r="CJ7">
        <v>2</v>
      </c>
      <c r="CK7">
        <v>2</v>
      </c>
      <c r="CL7">
        <v>2</v>
      </c>
      <c r="CM7">
        <v>3</v>
      </c>
      <c r="CN7">
        <v>3</v>
      </c>
      <c r="CO7">
        <v>3</v>
      </c>
      <c r="CP7">
        <v>3</v>
      </c>
      <c r="CQ7">
        <v>3</v>
      </c>
      <c r="CR7">
        <v>3</v>
      </c>
      <c r="CS7">
        <v>3</v>
      </c>
      <c r="CT7">
        <v>3</v>
      </c>
      <c r="CU7">
        <v>3</v>
      </c>
      <c r="CV7">
        <v>3</v>
      </c>
      <c r="CW7">
        <v>3</v>
      </c>
      <c r="CX7">
        <v>3</v>
      </c>
      <c r="CY7">
        <v>3</v>
      </c>
      <c r="CZ7">
        <v>3</v>
      </c>
      <c r="DA7">
        <v>3</v>
      </c>
      <c r="DB7">
        <v>3</v>
      </c>
      <c r="DC7">
        <v>3</v>
      </c>
    </row>
    <row r="8" spans="1:107" x14ac:dyDescent="0.25">
      <c r="B8" t="s">
        <v>111</v>
      </c>
      <c r="C8">
        <v>-38.4161</v>
      </c>
      <c r="D8">
        <v>-63.616700000000002</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1</v>
      </c>
      <c r="BA8">
        <v>1</v>
      </c>
      <c r="BB8">
        <v>1</v>
      </c>
      <c r="BC8">
        <v>1</v>
      </c>
      <c r="BD8">
        <v>1</v>
      </c>
      <c r="BE8">
        <v>2</v>
      </c>
      <c r="BF8">
        <v>2</v>
      </c>
      <c r="BG8">
        <v>2</v>
      </c>
      <c r="BH8">
        <v>2</v>
      </c>
      <c r="BI8">
        <v>2</v>
      </c>
      <c r="BJ8">
        <v>2</v>
      </c>
      <c r="BK8">
        <v>3</v>
      </c>
      <c r="BL8">
        <v>3</v>
      </c>
      <c r="BM8">
        <v>4</v>
      </c>
      <c r="BN8">
        <v>4</v>
      </c>
      <c r="BO8">
        <v>4</v>
      </c>
      <c r="BP8">
        <v>6</v>
      </c>
      <c r="BQ8">
        <v>8</v>
      </c>
      <c r="BR8">
        <v>9</v>
      </c>
      <c r="BS8">
        <v>13</v>
      </c>
      <c r="BT8">
        <v>18</v>
      </c>
      <c r="BU8">
        <v>19</v>
      </c>
      <c r="BV8">
        <v>23</v>
      </c>
      <c r="BW8">
        <v>27</v>
      </c>
      <c r="BX8">
        <v>28</v>
      </c>
      <c r="BY8">
        <v>36</v>
      </c>
      <c r="BZ8">
        <v>39</v>
      </c>
      <c r="CA8">
        <v>43</v>
      </c>
      <c r="CB8">
        <v>44</v>
      </c>
      <c r="CC8">
        <v>48</v>
      </c>
      <c r="CD8">
        <v>56</v>
      </c>
      <c r="CE8">
        <v>63</v>
      </c>
      <c r="CF8">
        <v>72</v>
      </c>
      <c r="CG8">
        <v>82</v>
      </c>
      <c r="CH8">
        <v>83</v>
      </c>
      <c r="CI8">
        <v>90</v>
      </c>
      <c r="CJ8">
        <v>97</v>
      </c>
      <c r="CK8">
        <v>102</v>
      </c>
      <c r="CL8">
        <v>111</v>
      </c>
      <c r="CM8">
        <v>115</v>
      </c>
      <c r="CN8">
        <v>123</v>
      </c>
      <c r="CO8">
        <v>129</v>
      </c>
      <c r="CP8">
        <v>132</v>
      </c>
      <c r="CQ8">
        <v>136</v>
      </c>
      <c r="CR8">
        <v>147</v>
      </c>
      <c r="CS8">
        <v>152</v>
      </c>
      <c r="CT8">
        <v>165</v>
      </c>
      <c r="CU8">
        <v>176</v>
      </c>
      <c r="CV8">
        <v>185</v>
      </c>
      <c r="CW8">
        <v>192</v>
      </c>
      <c r="CX8">
        <v>197</v>
      </c>
      <c r="CY8">
        <v>207</v>
      </c>
      <c r="CZ8">
        <v>214</v>
      </c>
      <c r="DA8">
        <v>218</v>
      </c>
      <c r="DB8">
        <v>225</v>
      </c>
      <c r="DC8">
        <v>237</v>
      </c>
    </row>
    <row r="9" spans="1:107" x14ac:dyDescent="0.25">
      <c r="B9" t="s">
        <v>101</v>
      </c>
      <c r="C9">
        <v>40.069099999999999</v>
      </c>
      <c r="D9">
        <v>45.038200000000003</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1</v>
      </c>
      <c r="BS9">
        <v>1</v>
      </c>
      <c r="BT9">
        <v>1</v>
      </c>
      <c r="BU9">
        <v>3</v>
      </c>
      <c r="BV9">
        <v>3</v>
      </c>
      <c r="BW9">
        <v>3</v>
      </c>
      <c r="BX9">
        <v>4</v>
      </c>
      <c r="BY9">
        <v>7</v>
      </c>
      <c r="BZ9">
        <v>7</v>
      </c>
      <c r="CA9">
        <v>7</v>
      </c>
      <c r="CB9">
        <v>7</v>
      </c>
      <c r="CC9">
        <v>8</v>
      </c>
      <c r="CD9">
        <v>8</v>
      </c>
      <c r="CE9">
        <v>9</v>
      </c>
      <c r="CF9">
        <v>10</v>
      </c>
      <c r="CG9">
        <v>12</v>
      </c>
      <c r="CH9">
        <v>13</v>
      </c>
      <c r="CI9">
        <v>13</v>
      </c>
      <c r="CJ9">
        <v>14</v>
      </c>
      <c r="CK9">
        <v>16</v>
      </c>
      <c r="CL9">
        <v>17</v>
      </c>
      <c r="CM9">
        <v>18</v>
      </c>
      <c r="CN9">
        <v>19</v>
      </c>
      <c r="CO9">
        <v>20</v>
      </c>
      <c r="CP9">
        <v>20</v>
      </c>
      <c r="CQ9">
        <v>22</v>
      </c>
      <c r="CR9">
        <v>24</v>
      </c>
      <c r="CS9">
        <v>24</v>
      </c>
      <c r="CT9">
        <v>24</v>
      </c>
      <c r="CU9">
        <v>27</v>
      </c>
      <c r="CV9">
        <v>28</v>
      </c>
      <c r="CW9">
        <v>28</v>
      </c>
      <c r="CX9">
        <v>29</v>
      </c>
      <c r="CY9">
        <v>30</v>
      </c>
      <c r="CZ9">
        <v>30</v>
      </c>
      <c r="DA9">
        <v>32</v>
      </c>
      <c r="DB9">
        <v>33</v>
      </c>
      <c r="DC9">
        <v>33</v>
      </c>
    </row>
    <row r="10" spans="1:107" x14ac:dyDescent="0.25">
      <c r="A10" t="s">
        <v>196</v>
      </c>
      <c r="B10" t="s">
        <v>48</v>
      </c>
      <c r="C10">
        <v>-35.473500000000001</v>
      </c>
      <c r="D10">
        <v>149.01240000000001</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1</v>
      </c>
      <c r="BW10">
        <v>1</v>
      </c>
      <c r="BX10">
        <v>1</v>
      </c>
      <c r="BY10">
        <v>1</v>
      </c>
      <c r="BZ10">
        <v>1</v>
      </c>
      <c r="CA10">
        <v>2</v>
      </c>
      <c r="CB10">
        <v>2</v>
      </c>
      <c r="CC10">
        <v>2</v>
      </c>
      <c r="CD10">
        <v>2</v>
      </c>
      <c r="CE10">
        <v>2</v>
      </c>
      <c r="CF10">
        <v>2</v>
      </c>
      <c r="CG10">
        <v>2</v>
      </c>
      <c r="CH10">
        <v>2</v>
      </c>
      <c r="CI10">
        <v>2</v>
      </c>
      <c r="CJ10">
        <v>2</v>
      </c>
      <c r="CK10">
        <v>2</v>
      </c>
      <c r="CL10">
        <v>3</v>
      </c>
      <c r="CM10">
        <v>3</v>
      </c>
      <c r="CN10">
        <v>3</v>
      </c>
      <c r="CO10">
        <v>3</v>
      </c>
      <c r="CP10">
        <v>3</v>
      </c>
      <c r="CQ10">
        <v>3</v>
      </c>
      <c r="CR10">
        <v>3</v>
      </c>
      <c r="CS10">
        <v>3</v>
      </c>
      <c r="CT10">
        <v>3</v>
      </c>
      <c r="CU10">
        <v>3</v>
      </c>
      <c r="CV10">
        <v>3</v>
      </c>
      <c r="CW10">
        <v>3</v>
      </c>
      <c r="CX10">
        <v>3</v>
      </c>
      <c r="CY10">
        <v>3</v>
      </c>
      <c r="CZ10">
        <v>3</v>
      </c>
      <c r="DA10">
        <v>3</v>
      </c>
      <c r="DB10">
        <v>3</v>
      </c>
      <c r="DC10">
        <v>3</v>
      </c>
    </row>
    <row r="11" spans="1:107" x14ac:dyDescent="0.25">
      <c r="A11" t="s">
        <v>47</v>
      </c>
      <c r="B11" t="s">
        <v>48</v>
      </c>
      <c r="C11">
        <v>-33.8688</v>
      </c>
      <c r="D11">
        <v>151.20930000000001</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1</v>
      </c>
      <c r="AW11">
        <v>1</v>
      </c>
      <c r="AX11">
        <v>1</v>
      </c>
      <c r="AY11">
        <v>1</v>
      </c>
      <c r="AZ11">
        <v>2</v>
      </c>
      <c r="BA11">
        <v>2</v>
      </c>
      <c r="BB11">
        <v>2</v>
      </c>
      <c r="BC11">
        <v>2</v>
      </c>
      <c r="BD11">
        <v>2</v>
      </c>
      <c r="BE11">
        <v>2</v>
      </c>
      <c r="BF11">
        <v>2</v>
      </c>
      <c r="BG11">
        <v>2</v>
      </c>
      <c r="BH11">
        <v>2</v>
      </c>
      <c r="BI11">
        <v>4</v>
      </c>
      <c r="BJ11">
        <v>5</v>
      </c>
      <c r="BK11">
        <v>5</v>
      </c>
      <c r="BL11">
        <v>6</v>
      </c>
      <c r="BM11">
        <v>6</v>
      </c>
      <c r="BN11">
        <v>6</v>
      </c>
      <c r="BO11">
        <v>6</v>
      </c>
      <c r="BP11">
        <v>7</v>
      </c>
      <c r="BQ11">
        <v>7</v>
      </c>
      <c r="BR11">
        <v>7</v>
      </c>
      <c r="BS11">
        <v>7</v>
      </c>
      <c r="BT11">
        <v>8</v>
      </c>
      <c r="BU11">
        <v>8</v>
      </c>
      <c r="BV11">
        <v>8</v>
      </c>
      <c r="BW11">
        <v>8</v>
      </c>
      <c r="BX11">
        <v>9</v>
      </c>
      <c r="BY11">
        <v>10</v>
      </c>
      <c r="BZ11">
        <v>12</v>
      </c>
      <c r="CA11">
        <v>12</v>
      </c>
      <c r="CB11">
        <v>16</v>
      </c>
      <c r="CC11">
        <v>18</v>
      </c>
      <c r="CD11">
        <v>21</v>
      </c>
      <c r="CE11">
        <v>21</v>
      </c>
      <c r="CF11">
        <v>21</v>
      </c>
      <c r="CG11">
        <v>22</v>
      </c>
      <c r="CH11">
        <v>23</v>
      </c>
      <c r="CI11">
        <v>24</v>
      </c>
      <c r="CJ11">
        <v>25</v>
      </c>
      <c r="CK11">
        <v>25</v>
      </c>
      <c r="CL11">
        <v>25</v>
      </c>
      <c r="CM11">
        <v>25</v>
      </c>
      <c r="CN11">
        <v>26</v>
      </c>
      <c r="CO11">
        <v>26</v>
      </c>
      <c r="CP11">
        <v>26</v>
      </c>
      <c r="CQ11">
        <v>26</v>
      </c>
      <c r="CR11">
        <v>26</v>
      </c>
      <c r="CS11">
        <v>26</v>
      </c>
      <c r="CT11">
        <v>31</v>
      </c>
      <c r="CU11">
        <v>33</v>
      </c>
      <c r="CV11">
        <v>33</v>
      </c>
      <c r="CW11">
        <v>34</v>
      </c>
      <c r="CX11">
        <v>34</v>
      </c>
      <c r="CY11">
        <v>39</v>
      </c>
      <c r="CZ11">
        <v>40</v>
      </c>
      <c r="DA11">
        <v>41</v>
      </c>
      <c r="DB11">
        <v>41</v>
      </c>
      <c r="DC11">
        <v>42</v>
      </c>
    </row>
    <row r="12" spans="1:107" x14ac:dyDescent="0.25">
      <c r="A12" t="s">
        <v>117</v>
      </c>
      <c r="B12" t="s">
        <v>48</v>
      </c>
      <c r="C12">
        <v>-12.4634</v>
      </c>
      <c r="D12">
        <v>130.84559999999999</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0</v>
      </c>
      <c r="CF12">
        <v>0</v>
      </c>
      <c r="CG12">
        <v>0</v>
      </c>
      <c r="CH12">
        <v>0</v>
      </c>
      <c r="CI12">
        <v>0</v>
      </c>
      <c r="CJ12">
        <v>0</v>
      </c>
      <c r="CK12">
        <v>0</v>
      </c>
      <c r="CL12">
        <v>0</v>
      </c>
      <c r="CM12">
        <v>0</v>
      </c>
      <c r="CN12">
        <v>0</v>
      </c>
      <c r="CO12">
        <v>0</v>
      </c>
      <c r="CP12">
        <v>0</v>
      </c>
      <c r="CQ12">
        <v>0</v>
      </c>
      <c r="CR12">
        <v>0</v>
      </c>
      <c r="CS12">
        <v>0</v>
      </c>
      <c r="CT12">
        <v>0</v>
      </c>
      <c r="CU12">
        <v>0</v>
      </c>
      <c r="CV12">
        <v>0</v>
      </c>
      <c r="CW12">
        <v>0</v>
      </c>
      <c r="CX12">
        <v>0</v>
      </c>
      <c r="CY12">
        <v>0</v>
      </c>
      <c r="CZ12">
        <v>0</v>
      </c>
      <c r="DA12">
        <v>0</v>
      </c>
      <c r="DB12">
        <v>0</v>
      </c>
      <c r="DC12">
        <v>0</v>
      </c>
    </row>
    <row r="13" spans="1:107" x14ac:dyDescent="0.25">
      <c r="A13" t="s">
        <v>50</v>
      </c>
      <c r="B13" t="s">
        <v>48</v>
      </c>
      <c r="C13">
        <v>-28.0167</v>
      </c>
      <c r="D13">
        <v>153.4</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1</v>
      </c>
      <c r="BS13">
        <v>1</v>
      </c>
      <c r="BT13">
        <v>1</v>
      </c>
      <c r="BU13">
        <v>2</v>
      </c>
      <c r="BV13">
        <v>2</v>
      </c>
      <c r="BW13">
        <v>2</v>
      </c>
      <c r="BX13">
        <v>2</v>
      </c>
      <c r="BY13">
        <v>4</v>
      </c>
      <c r="BZ13">
        <v>4</v>
      </c>
      <c r="CA13">
        <v>4</v>
      </c>
      <c r="CB13">
        <v>4</v>
      </c>
      <c r="CC13">
        <v>4</v>
      </c>
      <c r="CD13">
        <v>4</v>
      </c>
      <c r="CE13">
        <v>4</v>
      </c>
      <c r="CF13">
        <v>4</v>
      </c>
      <c r="CG13">
        <v>4</v>
      </c>
      <c r="CH13">
        <v>5</v>
      </c>
      <c r="CI13">
        <v>5</v>
      </c>
      <c r="CJ13">
        <v>5</v>
      </c>
      <c r="CK13">
        <v>5</v>
      </c>
      <c r="CL13">
        <v>5</v>
      </c>
      <c r="CM13">
        <v>5</v>
      </c>
      <c r="CN13">
        <v>5</v>
      </c>
      <c r="CO13">
        <v>6</v>
      </c>
      <c r="CP13">
        <v>6</v>
      </c>
      <c r="CQ13">
        <v>6</v>
      </c>
      <c r="CR13">
        <v>6</v>
      </c>
      <c r="CS13">
        <v>6</v>
      </c>
      <c r="CT13">
        <v>6</v>
      </c>
      <c r="CU13">
        <v>6</v>
      </c>
      <c r="CV13">
        <v>6</v>
      </c>
      <c r="CW13">
        <v>6</v>
      </c>
      <c r="CX13">
        <v>6</v>
      </c>
      <c r="CY13">
        <v>6</v>
      </c>
      <c r="CZ13">
        <v>6</v>
      </c>
      <c r="DA13">
        <v>6</v>
      </c>
      <c r="DB13">
        <v>6</v>
      </c>
      <c r="DC13">
        <v>6</v>
      </c>
    </row>
    <row r="14" spans="1:107" x14ac:dyDescent="0.25">
      <c r="A14" t="s">
        <v>62</v>
      </c>
      <c r="B14" t="s">
        <v>48</v>
      </c>
      <c r="C14">
        <v>-34.9285</v>
      </c>
      <c r="D14">
        <v>138.60069999999999</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1</v>
      </c>
      <c r="CE14">
        <v>2</v>
      </c>
      <c r="CF14">
        <v>3</v>
      </c>
      <c r="CG14">
        <v>3</v>
      </c>
      <c r="CH14">
        <v>3</v>
      </c>
      <c r="CI14">
        <v>4</v>
      </c>
      <c r="CJ14">
        <v>4</v>
      </c>
      <c r="CK14">
        <v>4</v>
      </c>
      <c r="CL14">
        <v>4</v>
      </c>
      <c r="CM14">
        <v>4</v>
      </c>
      <c r="CN14">
        <v>4</v>
      </c>
      <c r="CO14">
        <v>4</v>
      </c>
      <c r="CP14">
        <v>4</v>
      </c>
      <c r="CQ14">
        <v>4</v>
      </c>
      <c r="CR14">
        <v>4</v>
      </c>
      <c r="CS14">
        <v>4</v>
      </c>
      <c r="CT14">
        <v>4</v>
      </c>
      <c r="CU14">
        <v>4</v>
      </c>
      <c r="CV14">
        <v>4</v>
      </c>
      <c r="CW14">
        <v>4</v>
      </c>
      <c r="CX14">
        <v>4</v>
      </c>
      <c r="CY14">
        <v>4</v>
      </c>
      <c r="CZ14">
        <v>4</v>
      </c>
      <c r="DA14">
        <v>4</v>
      </c>
      <c r="DB14">
        <v>4</v>
      </c>
      <c r="DC14">
        <v>4</v>
      </c>
    </row>
    <row r="15" spans="1:107" x14ac:dyDescent="0.25">
      <c r="A15" t="s">
        <v>106</v>
      </c>
      <c r="B15" t="s">
        <v>48</v>
      </c>
      <c r="C15">
        <v>-41.454500000000003</v>
      </c>
      <c r="D15">
        <v>145.97069999999999</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1</v>
      </c>
      <c r="BX15">
        <v>2</v>
      </c>
      <c r="BY15">
        <v>2</v>
      </c>
      <c r="BZ15">
        <v>2</v>
      </c>
      <c r="CA15">
        <v>2</v>
      </c>
      <c r="CB15">
        <v>2</v>
      </c>
      <c r="CC15">
        <v>2</v>
      </c>
      <c r="CD15">
        <v>2</v>
      </c>
      <c r="CE15">
        <v>3</v>
      </c>
      <c r="CF15">
        <v>3</v>
      </c>
      <c r="CG15">
        <v>4</v>
      </c>
      <c r="CH15">
        <v>4</v>
      </c>
      <c r="CI15">
        <v>5</v>
      </c>
      <c r="CJ15">
        <v>5</v>
      </c>
      <c r="CK15">
        <v>6</v>
      </c>
      <c r="CL15">
        <v>6</v>
      </c>
      <c r="CM15">
        <v>6</v>
      </c>
      <c r="CN15">
        <v>7</v>
      </c>
      <c r="CO15">
        <v>7</v>
      </c>
      <c r="CP15">
        <v>7</v>
      </c>
      <c r="CQ15">
        <v>7</v>
      </c>
      <c r="CR15">
        <v>7</v>
      </c>
      <c r="CS15">
        <v>7</v>
      </c>
      <c r="CT15">
        <v>8</v>
      </c>
      <c r="CU15">
        <v>9</v>
      </c>
      <c r="CV15">
        <v>10</v>
      </c>
      <c r="CW15">
        <v>11</v>
      </c>
      <c r="CX15">
        <v>11</v>
      </c>
      <c r="CY15">
        <v>11</v>
      </c>
      <c r="CZ15">
        <v>12</v>
      </c>
      <c r="DA15">
        <v>13</v>
      </c>
      <c r="DB15">
        <v>13</v>
      </c>
      <c r="DC15">
        <v>13</v>
      </c>
    </row>
    <row r="16" spans="1:107" x14ac:dyDescent="0.25">
      <c r="A16" t="s">
        <v>49</v>
      </c>
      <c r="B16" t="s">
        <v>48</v>
      </c>
      <c r="C16">
        <v>-37.813600000000001</v>
      </c>
      <c r="D16">
        <v>144.9631</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3</v>
      </c>
      <c r="BS16">
        <v>3</v>
      </c>
      <c r="BT16">
        <v>3</v>
      </c>
      <c r="BU16">
        <v>4</v>
      </c>
      <c r="BV16">
        <v>4</v>
      </c>
      <c r="BW16">
        <v>4</v>
      </c>
      <c r="BX16">
        <v>4</v>
      </c>
      <c r="BY16">
        <v>5</v>
      </c>
      <c r="BZ16">
        <v>7</v>
      </c>
      <c r="CA16">
        <v>8</v>
      </c>
      <c r="CB16">
        <v>8</v>
      </c>
      <c r="CC16">
        <v>10</v>
      </c>
      <c r="CD16">
        <v>11</v>
      </c>
      <c r="CE16">
        <v>12</v>
      </c>
      <c r="CF16">
        <v>12</v>
      </c>
      <c r="CG16">
        <v>13</v>
      </c>
      <c r="CH16">
        <v>14</v>
      </c>
      <c r="CI16">
        <v>14</v>
      </c>
      <c r="CJ16">
        <v>14</v>
      </c>
      <c r="CK16">
        <v>14</v>
      </c>
      <c r="CL16">
        <v>14</v>
      </c>
      <c r="CM16">
        <v>14</v>
      </c>
      <c r="CN16">
        <v>14</v>
      </c>
      <c r="CO16">
        <v>14</v>
      </c>
      <c r="CP16">
        <v>14</v>
      </c>
      <c r="CQ16">
        <v>14</v>
      </c>
      <c r="CR16">
        <v>14</v>
      </c>
      <c r="CS16">
        <v>14</v>
      </c>
      <c r="CT16">
        <v>16</v>
      </c>
      <c r="CU16">
        <v>16</v>
      </c>
      <c r="CV16">
        <v>16</v>
      </c>
      <c r="CW16">
        <v>17</v>
      </c>
      <c r="CX16">
        <v>17</v>
      </c>
      <c r="CY16">
        <v>18</v>
      </c>
      <c r="CZ16">
        <v>18</v>
      </c>
      <c r="DA16">
        <v>18</v>
      </c>
      <c r="DB16">
        <v>18</v>
      </c>
      <c r="DC16">
        <v>18</v>
      </c>
    </row>
    <row r="17" spans="1:107" x14ac:dyDescent="0.25">
      <c r="A17" t="s">
        <v>95</v>
      </c>
      <c r="B17" t="s">
        <v>48</v>
      </c>
      <c r="C17">
        <v>-31.950500000000002</v>
      </c>
      <c r="D17">
        <v>115.8605</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1</v>
      </c>
      <c r="AT17">
        <v>1</v>
      </c>
      <c r="AU17">
        <v>1</v>
      </c>
      <c r="AV17">
        <v>1</v>
      </c>
      <c r="AW17">
        <v>1</v>
      </c>
      <c r="AX17">
        <v>1</v>
      </c>
      <c r="AY17">
        <v>1</v>
      </c>
      <c r="AZ17">
        <v>1</v>
      </c>
      <c r="BA17">
        <v>1</v>
      </c>
      <c r="BB17">
        <v>1</v>
      </c>
      <c r="BC17">
        <v>1</v>
      </c>
      <c r="BD17">
        <v>1</v>
      </c>
      <c r="BE17">
        <v>1</v>
      </c>
      <c r="BF17">
        <v>1</v>
      </c>
      <c r="BG17">
        <v>1</v>
      </c>
      <c r="BH17">
        <v>1</v>
      </c>
      <c r="BI17">
        <v>1</v>
      </c>
      <c r="BJ17">
        <v>1</v>
      </c>
      <c r="BK17">
        <v>1</v>
      </c>
      <c r="BL17">
        <v>1</v>
      </c>
      <c r="BM17">
        <v>1</v>
      </c>
      <c r="BN17">
        <v>1</v>
      </c>
      <c r="BO17">
        <v>1</v>
      </c>
      <c r="BP17">
        <v>1</v>
      </c>
      <c r="BQ17">
        <v>1</v>
      </c>
      <c r="BR17">
        <v>2</v>
      </c>
      <c r="BS17">
        <v>2</v>
      </c>
      <c r="BT17">
        <v>2</v>
      </c>
      <c r="BU17">
        <v>2</v>
      </c>
      <c r="BV17">
        <v>2</v>
      </c>
      <c r="BW17">
        <v>2</v>
      </c>
      <c r="BX17">
        <v>2</v>
      </c>
      <c r="BY17">
        <v>2</v>
      </c>
      <c r="BZ17">
        <v>2</v>
      </c>
      <c r="CA17">
        <v>2</v>
      </c>
      <c r="CB17">
        <v>3</v>
      </c>
      <c r="CC17">
        <v>4</v>
      </c>
      <c r="CD17">
        <v>4</v>
      </c>
      <c r="CE17">
        <v>6</v>
      </c>
      <c r="CF17">
        <v>6</v>
      </c>
      <c r="CG17">
        <v>6</v>
      </c>
      <c r="CH17">
        <v>6</v>
      </c>
      <c r="CI17">
        <v>6</v>
      </c>
      <c r="CJ17">
        <v>6</v>
      </c>
      <c r="CK17">
        <v>6</v>
      </c>
      <c r="CL17">
        <v>6</v>
      </c>
      <c r="CM17">
        <v>6</v>
      </c>
      <c r="CN17">
        <v>7</v>
      </c>
      <c r="CO17">
        <v>7</v>
      </c>
      <c r="CP17">
        <v>7</v>
      </c>
      <c r="CQ17">
        <v>7</v>
      </c>
      <c r="CR17">
        <v>7</v>
      </c>
      <c r="CS17">
        <v>7</v>
      </c>
      <c r="CT17">
        <v>7</v>
      </c>
      <c r="CU17">
        <v>8</v>
      </c>
      <c r="CV17">
        <v>8</v>
      </c>
      <c r="CW17">
        <v>8</v>
      </c>
      <c r="CX17">
        <v>8</v>
      </c>
      <c r="CY17">
        <v>8</v>
      </c>
      <c r="CZ17">
        <v>8</v>
      </c>
      <c r="DA17">
        <v>8</v>
      </c>
      <c r="DB17">
        <v>8</v>
      </c>
      <c r="DC17">
        <v>8</v>
      </c>
    </row>
    <row r="18" spans="1:107" x14ac:dyDescent="0.25">
      <c r="B18" t="s">
        <v>76</v>
      </c>
      <c r="C18">
        <v>47.516199999999998</v>
      </c>
      <c r="D18">
        <v>14.5501</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1</v>
      </c>
      <c r="BE18">
        <v>1</v>
      </c>
      <c r="BF18">
        <v>1</v>
      </c>
      <c r="BG18">
        <v>1</v>
      </c>
      <c r="BH18">
        <v>3</v>
      </c>
      <c r="BI18">
        <v>3</v>
      </c>
      <c r="BJ18">
        <v>4</v>
      </c>
      <c r="BK18">
        <v>6</v>
      </c>
      <c r="BL18">
        <v>6</v>
      </c>
      <c r="BM18">
        <v>8</v>
      </c>
      <c r="BN18">
        <v>16</v>
      </c>
      <c r="BO18">
        <v>21</v>
      </c>
      <c r="BP18">
        <v>28</v>
      </c>
      <c r="BQ18">
        <v>30</v>
      </c>
      <c r="BR18">
        <v>49</v>
      </c>
      <c r="BS18">
        <v>58</v>
      </c>
      <c r="BT18">
        <v>68</v>
      </c>
      <c r="BU18">
        <v>86</v>
      </c>
      <c r="BV18">
        <v>108</v>
      </c>
      <c r="BW18">
        <v>128</v>
      </c>
      <c r="BX18">
        <v>146</v>
      </c>
      <c r="BY18">
        <v>158</v>
      </c>
      <c r="BZ18">
        <v>168</v>
      </c>
      <c r="CA18">
        <v>186</v>
      </c>
      <c r="CB18">
        <v>204</v>
      </c>
      <c r="CC18">
        <v>220</v>
      </c>
      <c r="CD18">
        <v>243</v>
      </c>
      <c r="CE18">
        <v>273</v>
      </c>
      <c r="CF18">
        <v>295</v>
      </c>
      <c r="CG18">
        <v>319</v>
      </c>
      <c r="CH18">
        <v>337</v>
      </c>
      <c r="CI18">
        <v>350</v>
      </c>
      <c r="CJ18">
        <v>368</v>
      </c>
      <c r="CK18">
        <v>384</v>
      </c>
      <c r="CL18">
        <v>393</v>
      </c>
      <c r="CM18">
        <v>410</v>
      </c>
      <c r="CN18">
        <v>431</v>
      </c>
      <c r="CO18">
        <v>443</v>
      </c>
      <c r="CP18">
        <v>452</v>
      </c>
      <c r="CQ18">
        <v>470</v>
      </c>
      <c r="CR18">
        <v>491</v>
      </c>
      <c r="CS18">
        <v>510</v>
      </c>
      <c r="CT18">
        <v>522</v>
      </c>
      <c r="CU18">
        <v>530</v>
      </c>
      <c r="CV18">
        <v>536</v>
      </c>
      <c r="CW18">
        <v>542</v>
      </c>
      <c r="CX18">
        <v>549</v>
      </c>
      <c r="CY18">
        <v>569</v>
      </c>
      <c r="CZ18">
        <v>580</v>
      </c>
      <c r="DA18">
        <v>584</v>
      </c>
      <c r="DB18">
        <v>589</v>
      </c>
      <c r="DC18">
        <v>596</v>
      </c>
    </row>
    <row r="19" spans="1:107" x14ac:dyDescent="0.25">
      <c r="B19" t="s">
        <v>100</v>
      </c>
      <c r="C19">
        <v>40.143099999999997</v>
      </c>
      <c r="D19">
        <v>47.576900000000002</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1</v>
      </c>
      <c r="BF19">
        <v>1</v>
      </c>
      <c r="BG19">
        <v>1</v>
      </c>
      <c r="BH19">
        <v>1</v>
      </c>
      <c r="BI19">
        <v>1</v>
      </c>
      <c r="BJ19">
        <v>1</v>
      </c>
      <c r="BK19">
        <v>1</v>
      </c>
      <c r="BL19">
        <v>1</v>
      </c>
      <c r="BM19">
        <v>1</v>
      </c>
      <c r="BN19">
        <v>1</v>
      </c>
      <c r="BO19">
        <v>1</v>
      </c>
      <c r="BP19">
        <v>1</v>
      </c>
      <c r="BQ19">
        <v>2</v>
      </c>
      <c r="BR19">
        <v>3</v>
      </c>
      <c r="BS19">
        <v>3</v>
      </c>
      <c r="BT19">
        <v>4</v>
      </c>
      <c r="BU19">
        <v>4</v>
      </c>
      <c r="BV19">
        <v>4</v>
      </c>
      <c r="BW19">
        <v>5</v>
      </c>
      <c r="BX19">
        <v>5</v>
      </c>
      <c r="BY19">
        <v>5</v>
      </c>
      <c r="BZ19">
        <v>5</v>
      </c>
      <c r="CA19">
        <v>5</v>
      </c>
      <c r="CB19">
        <v>7</v>
      </c>
      <c r="CC19">
        <v>7</v>
      </c>
      <c r="CD19">
        <v>8</v>
      </c>
      <c r="CE19">
        <v>8</v>
      </c>
      <c r="CF19">
        <v>9</v>
      </c>
      <c r="CG19">
        <v>10</v>
      </c>
      <c r="CH19">
        <v>11</v>
      </c>
      <c r="CI19">
        <v>11</v>
      </c>
      <c r="CJ19">
        <v>12</v>
      </c>
      <c r="CK19">
        <v>13</v>
      </c>
      <c r="CL19">
        <v>13</v>
      </c>
      <c r="CM19">
        <v>15</v>
      </c>
      <c r="CN19">
        <v>15</v>
      </c>
      <c r="CO19">
        <v>18</v>
      </c>
      <c r="CP19">
        <v>19</v>
      </c>
      <c r="CQ19">
        <v>19</v>
      </c>
      <c r="CR19">
        <v>20</v>
      </c>
      <c r="CS19">
        <v>20</v>
      </c>
      <c r="CT19">
        <v>20</v>
      </c>
      <c r="CU19">
        <v>21</v>
      </c>
      <c r="CV19">
        <v>21</v>
      </c>
      <c r="CW19">
        <v>21</v>
      </c>
      <c r="CX19">
        <v>22</v>
      </c>
      <c r="CY19">
        <v>22</v>
      </c>
      <c r="CZ19">
        <v>23</v>
      </c>
      <c r="DA19">
        <v>24</v>
      </c>
      <c r="DB19">
        <v>25</v>
      </c>
      <c r="DC19">
        <v>25</v>
      </c>
    </row>
    <row r="20" spans="1:107" x14ac:dyDescent="0.25">
      <c r="B20" t="s">
        <v>1130</v>
      </c>
      <c r="C20">
        <v>25.034300000000002</v>
      </c>
      <c r="D20">
        <v>-77.396299999999997</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1</v>
      </c>
      <c r="BY20">
        <v>1</v>
      </c>
      <c r="BZ20">
        <v>1</v>
      </c>
      <c r="CA20">
        <v>4</v>
      </c>
      <c r="CB20">
        <v>4</v>
      </c>
      <c r="CC20">
        <v>5</v>
      </c>
      <c r="CD20">
        <v>6</v>
      </c>
      <c r="CE20">
        <v>7</v>
      </c>
      <c r="CF20">
        <v>8</v>
      </c>
      <c r="CG20">
        <v>8</v>
      </c>
      <c r="CH20">
        <v>8</v>
      </c>
      <c r="CI20">
        <v>8</v>
      </c>
      <c r="CJ20">
        <v>8</v>
      </c>
      <c r="CK20">
        <v>8</v>
      </c>
      <c r="CL20">
        <v>8</v>
      </c>
      <c r="CM20">
        <v>8</v>
      </c>
      <c r="CN20">
        <v>9</v>
      </c>
      <c r="CO20">
        <v>9</v>
      </c>
      <c r="CP20">
        <v>9</v>
      </c>
      <c r="CQ20">
        <v>9</v>
      </c>
      <c r="CR20">
        <v>9</v>
      </c>
      <c r="CS20">
        <v>9</v>
      </c>
      <c r="CT20">
        <v>11</v>
      </c>
      <c r="CU20">
        <v>11</v>
      </c>
      <c r="CV20">
        <v>11</v>
      </c>
      <c r="CW20">
        <v>11</v>
      </c>
      <c r="CX20">
        <v>11</v>
      </c>
      <c r="CY20">
        <v>11</v>
      </c>
      <c r="CZ20">
        <v>11</v>
      </c>
      <c r="DA20">
        <v>11</v>
      </c>
      <c r="DB20">
        <v>11</v>
      </c>
      <c r="DC20">
        <v>11</v>
      </c>
    </row>
    <row r="21" spans="1:107" x14ac:dyDescent="0.25">
      <c r="B21" t="s">
        <v>71</v>
      </c>
      <c r="C21">
        <v>26.0275</v>
      </c>
      <c r="D21">
        <v>50.55</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1</v>
      </c>
      <c r="BI21">
        <v>1</v>
      </c>
      <c r="BJ21">
        <v>1</v>
      </c>
      <c r="BK21">
        <v>1</v>
      </c>
      <c r="BL21">
        <v>1</v>
      </c>
      <c r="BM21">
        <v>1</v>
      </c>
      <c r="BN21">
        <v>2</v>
      </c>
      <c r="BO21">
        <v>2</v>
      </c>
      <c r="BP21">
        <v>3</v>
      </c>
      <c r="BQ21">
        <v>4</v>
      </c>
      <c r="BR21">
        <v>4</v>
      </c>
      <c r="BS21">
        <v>4</v>
      </c>
      <c r="BT21">
        <v>4</v>
      </c>
      <c r="BU21">
        <v>4</v>
      </c>
      <c r="BV21">
        <v>4</v>
      </c>
      <c r="BW21">
        <v>4</v>
      </c>
      <c r="BX21">
        <v>4</v>
      </c>
      <c r="BY21">
        <v>4</v>
      </c>
      <c r="BZ21">
        <v>4</v>
      </c>
      <c r="CA21">
        <v>4</v>
      </c>
      <c r="CB21">
        <v>4</v>
      </c>
      <c r="CC21">
        <v>4</v>
      </c>
      <c r="CD21">
        <v>5</v>
      </c>
      <c r="CE21">
        <v>5</v>
      </c>
      <c r="CF21">
        <v>5</v>
      </c>
      <c r="CG21">
        <v>6</v>
      </c>
      <c r="CH21">
        <v>6</v>
      </c>
      <c r="CI21">
        <v>6</v>
      </c>
      <c r="CJ21">
        <v>6</v>
      </c>
      <c r="CK21">
        <v>7</v>
      </c>
      <c r="CL21">
        <v>7</v>
      </c>
      <c r="CM21">
        <v>7</v>
      </c>
      <c r="CN21">
        <v>7</v>
      </c>
      <c r="CO21">
        <v>7</v>
      </c>
      <c r="CP21">
        <v>7</v>
      </c>
      <c r="CQ21">
        <v>7</v>
      </c>
      <c r="CR21">
        <v>7</v>
      </c>
      <c r="CS21">
        <v>7</v>
      </c>
      <c r="CT21">
        <v>8</v>
      </c>
      <c r="CU21">
        <v>8</v>
      </c>
      <c r="CV21">
        <v>8</v>
      </c>
      <c r="CW21">
        <v>8</v>
      </c>
      <c r="CX21">
        <v>8</v>
      </c>
      <c r="CY21">
        <v>8</v>
      </c>
      <c r="CZ21">
        <v>8</v>
      </c>
      <c r="DA21">
        <v>8</v>
      </c>
      <c r="DB21">
        <v>8</v>
      </c>
      <c r="DC21">
        <v>8</v>
      </c>
    </row>
    <row r="22" spans="1:107" x14ac:dyDescent="0.25">
      <c r="B22" t="s">
        <v>138</v>
      </c>
      <c r="C22">
        <v>23.684999999999999</v>
      </c>
      <c r="D22">
        <v>90.356300000000005</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1</v>
      </c>
      <c r="BK22">
        <v>1</v>
      </c>
      <c r="BL22">
        <v>1</v>
      </c>
      <c r="BM22">
        <v>2</v>
      </c>
      <c r="BN22">
        <v>2</v>
      </c>
      <c r="BO22">
        <v>3</v>
      </c>
      <c r="BP22">
        <v>4</v>
      </c>
      <c r="BQ22">
        <v>5</v>
      </c>
      <c r="BR22">
        <v>5</v>
      </c>
      <c r="BS22">
        <v>5</v>
      </c>
      <c r="BT22">
        <v>5</v>
      </c>
      <c r="BU22">
        <v>5</v>
      </c>
      <c r="BV22">
        <v>5</v>
      </c>
      <c r="BW22">
        <v>5</v>
      </c>
      <c r="BX22">
        <v>6</v>
      </c>
      <c r="BY22">
        <v>6</v>
      </c>
      <c r="BZ22">
        <v>6</v>
      </c>
      <c r="CA22">
        <v>8</v>
      </c>
      <c r="CB22">
        <v>9</v>
      </c>
      <c r="CC22">
        <v>12</v>
      </c>
      <c r="CD22">
        <v>17</v>
      </c>
      <c r="CE22">
        <v>20</v>
      </c>
      <c r="CF22">
        <v>21</v>
      </c>
      <c r="CG22">
        <v>27</v>
      </c>
      <c r="CH22">
        <v>30</v>
      </c>
      <c r="CI22">
        <v>34</v>
      </c>
      <c r="CJ22">
        <v>39</v>
      </c>
      <c r="CK22">
        <v>46</v>
      </c>
      <c r="CL22">
        <v>50</v>
      </c>
      <c r="CM22">
        <v>60</v>
      </c>
      <c r="CN22">
        <v>75</v>
      </c>
      <c r="CO22">
        <v>84</v>
      </c>
      <c r="CP22">
        <v>91</v>
      </c>
      <c r="CQ22">
        <v>101</v>
      </c>
      <c r="CR22">
        <v>110</v>
      </c>
      <c r="CS22">
        <v>120</v>
      </c>
      <c r="CT22">
        <v>127</v>
      </c>
      <c r="CU22">
        <v>131</v>
      </c>
      <c r="CV22">
        <v>140</v>
      </c>
      <c r="CW22">
        <v>145</v>
      </c>
      <c r="CX22">
        <v>152</v>
      </c>
      <c r="CY22">
        <v>155</v>
      </c>
      <c r="CZ22">
        <v>163</v>
      </c>
      <c r="DA22">
        <v>168</v>
      </c>
      <c r="DB22">
        <v>170</v>
      </c>
      <c r="DC22">
        <v>175</v>
      </c>
    </row>
    <row r="23" spans="1:107" x14ac:dyDescent="0.25">
      <c r="B23" t="s">
        <v>666</v>
      </c>
      <c r="C23">
        <v>13.193899999999999</v>
      </c>
      <c r="D23">
        <v>-59.543199999999999</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1</v>
      </c>
      <c r="CC23">
        <v>2</v>
      </c>
      <c r="CD23">
        <v>3</v>
      </c>
      <c r="CE23">
        <v>3</v>
      </c>
      <c r="CF23">
        <v>3</v>
      </c>
      <c r="CG23">
        <v>4</v>
      </c>
      <c r="CH23">
        <v>4</v>
      </c>
      <c r="CI23">
        <v>4</v>
      </c>
      <c r="CJ23">
        <v>4</v>
      </c>
      <c r="CK23">
        <v>4</v>
      </c>
      <c r="CL23">
        <v>5</v>
      </c>
      <c r="CM23">
        <v>5</v>
      </c>
      <c r="CN23">
        <v>5</v>
      </c>
      <c r="CO23">
        <v>5</v>
      </c>
      <c r="CP23">
        <v>5</v>
      </c>
      <c r="CQ23">
        <v>5</v>
      </c>
      <c r="CR23">
        <v>5</v>
      </c>
      <c r="CS23">
        <v>5</v>
      </c>
      <c r="CT23">
        <v>6</v>
      </c>
      <c r="CU23">
        <v>6</v>
      </c>
      <c r="CV23">
        <v>6</v>
      </c>
      <c r="CW23">
        <v>6</v>
      </c>
      <c r="CX23">
        <v>6</v>
      </c>
      <c r="CY23">
        <v>6</v>
      </c>
      <c r="CZ23">
        <v>7</v>
      </c>
      <c r="DA23">
        <v>7</v>
      </c>
      <c r="DB23">
        <v>7</v>
      </c>
      <c r="DC23">
        <v>7</v>
      </c>
    </row>
    <row r="24" spans="1:107" x14ac:dyDescent="0.25">
      <c r="B24" t="s">
        <v>89</v>
      </c>
      <c r="C24">
        <v>53.709800000000001</v>
      </c>
      <c r="D24">
        <v>27.953399999999998</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1</v>
      </c>
      <c r="BX24">
        <v>2</v>
      </c>
      <c r="BY24">
        <v>4</v>
      </c>
      <c r="BZ24">
        <v>4</v>
      </c>
      <c r="CA24">
        <v>5</v>
      </c>
      <c r="CB24">
        <v>8</v>
      </c>
      <c r="CC24">
        <v>13</v>
      </c>
      <c r="CD24">
        <v>13</v>
      </c>
      <c r="CE24">
        <v>13</v>
      </c>
      <c r="CF24">
        <v>16</v>
      </c>
      <c r="CG24">
        <v>19</v>
      </c>
      <c r="CH24">
        <v>23</v>
      </c>
      <c r="CI24">
        <v>26</v>
      </c>
      <c r="CJ24">
        <v>29</v>
      </c>
      <c r="CK24">
        <v>33</v>
      </c>
      <c r="CL24">
        <v>36</v>
      </c>
      <c r="CM24">
        <v>40</v>
      </c>
      <c r="CN24">
        <v>42</v>
      </c>
      <c r="CO24">
        <v>45</v>
      </c>
      <c r="CP24">
        <v>47</v>
      </c>
      <c r="CQ24">
        <v>51</v>
      </c>
      <c r="CR24">
        <v>55</v>
      </c>
      <c r="CS24">
        <v>58</v>
      </c>
      <c r="CT24">
        <v>60</v>
      </c>
      <c r="CU24">
        <v>63</v>
      </c>
      <c r="CV24">
        <v>67</v>
      </c>
      <c r="CW24">
        <v>72</v>
      </c>
      <c r="CX24">
        <v>75</v>
      </c>
      <c r="CY24">
        <v>79</v>
      </c>
      <c r="CZ24">
        <v>84</v>
      </c>
      <c r="DA24">
        <v>89</v>
      </c>
      <c r="DB24">
        <v>93</v>
      </c>
      <c r="DC24">
        <v>97</v>
      </c>
    </row>
    <row r="25" spans="1:107" x14ac:dyDescent="0.25">
      <c r="B25" t="s">
        <v>63</v>
      </c>
      <c r="C25">
        <v>50.833300000000001</v>
      </c>
      <c r="D25">
        <v>4</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3</v>
      </c>
      <c r="BD25">
        <v>3</v>
      </c>
      <c r="BE25">
        <v>3</v>
      </c>
      <c r="BF25">
        <v>4</v>
      </c>
      <c r="BG25">
        <v>4</v>
      </c>
      <c r="BH25">
        <v>5</v>
      </c>
      <c r="BI25">
        <v>10</v>
      </c>
      <c r="BJ25">
        <v>14</v>
      </c>
      <c r="BK25">
        <v>21</v>
      </c>
      <c r="BL25">
        <v>37</v>
      </c>
      <c r="BM25">
        <v>67</v>
      </c>
      <c r="BN25">
        <v>75</v>
      </c>
      <c r="BO25">
        <v>88</v>
      </c>
      <c r="BP25">
        <v>122</v>
      </c>
      <c r="BQ25">
        <v>178</v>
      </c>
      <c r="BR25">
        <v>220</v>
      </c>
      <c r="BS25">
        <v>289</v>
      </c>
      <c r="BT25">
        <v>353</v>
      </c>
      <c r="BU25">
        <v>431</v>
      </c>
      <c r="BV25">
        <v>513</v>
      </c>
      <c r="BW25">
        <v>705</v>
      </c>
      <c r="BX25">
        <v>828</v>
      </c>
      <c r="BY25">
        <v>1011</v>
      </c>
      <c r="BZ25">
        <v>1143</v>
      </c>
      <c r="CA25">
        <v>1283</v>
      </c>
      <c r="CB25">
        <v>1447</v>
      </c>
      <c r="CC25">
        <v>1632</v>
      </c>
      <c r="CD25">
        <v>2035</v>
      </c>
      <c r="CE25">
        <v>2240</v>
      </c>
      <c r="CF25">
        <v>2523</v>
      </c>
      <c r="CG25">
        <v>3019</v>
      </c>
      <c r="CH25">
        <v>3346</v>
      </c>
      <c r="CI25">
        <v>3600</v>
      </c>
      <c r="CJ25">
        <v>3903</v>
      </c>
      <c r="CK25">
        <v>4157</v>
      </c>
      <c r="CL25">
        <v>4440</v>
      </c>
      <c r="CM25">
        <v>4857</v>
      </c>
      <c r="CN25">
        <v>5163</v>
      </c>
      <c r="CO25">
        <v>5453</v>
      </c>
      <c r="CP25">
        <v>5683</v>
      </c>
      <c r="CQ25">
        <v>5828</v>
      </c>
      <c r="CR25">
        <v>5998</v>
      </c>
      <c r="CS25">
        <v>6262</v>
      </c>
      <c r="CT25">
        <v>6490</v>
      </c>
      <c r="CU25">
        <v>6679</v>
      </c>
      <c r="CV25">
        <v>6917</v>
      </c>
      <c r="CW25">
        <v>7094</v>
      </c>
      <c r="CX25">
        <v>7207</v>
      </c>
      <c r="CY25">
        <v>7331</v>
      </c>
      <c r="CZ25">
        <v>7501</v>
      </c>
      <c r="DA25">
        <v>7594</v>
      </c>
      <c r="DB25">
        <v>7703</v>
      </c>
      <c r="DC25">
        <v>7765</v>
      </c>
    </row>
    <row r="26" spans="1:107" x14ac:dyDescent="0.25">
      <c r="B26" t="s">
        <v>661</v>
      </c>
      <c r="C26">
        <v>9.3077000000000005</v>
      </c>
      <c r="D26">
        <v>2.3157999999999999</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c r="BR26">
        <v>0</v>
      </c>
      <c r="BS26">
        <v>0</v>
      </c>
      <c r="BT26">
        <v>0</v>
      </c>
      <c r="BU26">
        <v>0</v>
      </c>
      <c r="BV26">
        <v>0</v>
      </c>
      <c r="BW26">
        <v>0</v>
      </c>
      <c r="BX26">
        <v>0</v>
      </c>
      <c r="BY26">
        <v>0</v>
      </c>
      <c r="BZ26">
        <v>0</v>
      </c>
      <c r="CA26">
        <v>0</v>
      </c>
      <c r="CB26">
        <v>0</v>
      </c>
      <c r="CC26">
        <v>1</v>
      </c>
      <c r="CD26">
        <v>1</v>
      </c>
      <c r="CE26">
        <v>1</v>
      </c>
      <c r="CF26">
        <v>1</v>
      </c>
      <c r="CG26">
        <v>1</v>
      </c>
      <c r="CH26">
        <v>1</v>
      </c>
      <c r="CI26">
        <v>1</v>
      </c>
      <c r="CJ26">
        <v>1</v>
      </c>
      <c r="CK26">
        <v>1</v>
      </c>
      <c r="CL26">
        <v>1</v>
      </c>
      <c r="CM26">
        <v>1</v>
      </c>
      <c r="CN26">
        <v>1</v>
      </c>
      <c r="CO26">
        <v>1</v>
      </c>
      <c r="CP26">
        <v>1</v>
      </c>
      <c r="CQ26">
        <v>1</v>
      </c>
      <c r="CR26">
        <v>1</v>
      </c>
      <c r="CS26">
        <v>1</v>
      </c>
      <c r="CT26">
        <v>1</v>
      </c>
      <c r="CU26">
        <v>1</v>
      </c>
      <c r="CV26">
        <v>1</v>
      </c>
      <c r="CW26">
        <v>1</v>
      </c>
      <c r="CX26">
        <v>1</v>
      </c>
      <c r="CY26">
        <v>1</v>
      </c>
      <c r="CZ26">
        <v>1</v>
      </c>
      <c r="DA26">
        <v>1</v>
      </c>
      <c r="DB26">
        <v>2</v>
      </c>
      <c r="DC26">
        <v>2</v>
      </c>
    </row>
    <row r="27" spans="1:107" x14ac:dyDescent="0.25">
      <c r="B27" t="s">
        <v>125</v>
      </c>
      <c r="C27">
        <v>27.514199999999999</v>
      </c>
      <c r="D27">
        <v>90.433599999999998</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c r="BY27">
        <v>0</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0</v>
      </c>
      <c r="DA27">
        <v>0</v>
      </c>
      <c r="DB27">
        <v>0</v>
      </c>
      <c r="DC27">
        <v>0</v>
      </c>
    </row>
    <row r="28" spans="1:107" x14ac:dyDescent="0.25">
      <c r="B28" t="s">
        <v>178</v>
      </c>
      <c r="C28">
        <v>-16.290199999999999</v>
      </c>
      <c r="D28">
        <v>-63.588700000000003</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1</v>
      </c>
      <c r="BV28">
        <v>4</v>
      </c>
      <c r="BW28">
        <v>6</v>
      </c>
      <c r="BX28">
        <v>7</v>
      </c>
      <c r="BY28">
        <v>8</v>
      </c>
      <c r="BZ28">
        <v>9</v>
      </c>
      <c r="CA28">
        <v>10</v>
      </c>
      <c r="CB28">
        <v>10</v>
      </c>
      <c r="CC28">
        <v>11</v>
      </c>
      <c r="CD28">
        <v>14</v>
      </c>
      <c r="CE28">
        <v>15</v>
      </c>
      <c r="CF28">
        <v>18</v>
      </c>
      <c r="CG28">
        <v>19</v>
      </c>
      <c r="CH28">
        <v>20</v>
      </c>
      <c r="CI28">
        <v>24</v>
      </c>
      <c r="CJ28">
        <v>27</v>
      </c>
      <c r="CK28">
        <v>28</v>
      </c>
      <c r="CL28">
        <v>28</v>
      </c>
      <c r="CM28">
        <v>29</v>
      </c>
      <c r="CN28">
        <v>31</v>
      </c>
      <c r="CO28">
        <v>31</v>
      </c>
      <c r="CP28">
        <v>32</v>
      </c>
      <c r="CQ28">
        <v>33</v>
      </c>
      <c r="CR28">
        <v>34</v>
      </c>
      <c r="CS28">
        <v>37</v>
      </c>
      <c r="CT28">
        <v>43</v>
      </c>
      <c r="CU28">
        <v>44</v>
      </c>
      <c r="CV28">
        <v>46</v>
      </c>
      <c r="CW28">
        <v>50</v>
      </c>
      <c r="CX28">
        <v>53</v>
      </c>
      <c r="CY28">
        <v>53</v>
      </c>
      <c r="CZ28">
        <v>59</v>
      </c>
      <c r="DA28">
        <v>59</v>
      </c>
      <c r="DB28">
        <v>66</v>
      </c>
      <c r="DC28">
        <v>66</v>
      </c>
    </row>
    <row r="29" spans="1:107" x14ac:dyDescent="0.25">
      <c r="B29" t="s">
        <v>122</v>
      </c>
      <c r="C29">
        <v>43.915900000000001</v>
      </c>
      <c r="D29">
        <v>17.679099999999998</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1</v>
      </c>
      <c r="BN29">
        <v>1</v>
      </c>
      <c r="BO29">
        <v>1</v>
      </c>
      <c r="BP29">
        <v>3</v>
      </c>
      <c r="BQ29">
        <v>3</v>
      </c>
      <c r="BR29">
        <v>3</v>
      </c>
      <c r="BS29">
        <v>4</v>
      </c>
      <c r="BT29">
        <v>5</v>
      </c>
      <c r="BU29">
        <v>6</v>
      </c>
      <c r="BV29">
        <v>10</v>
      </c>
      <c r="BW29">
        <v>13</v>
      </c>
      <c r="BX29">
        <v>13</v>
      </c>
      <c r="BY29">
        <v>16</v>
      </c>
      <c r="BZ29">
        <v>17</v>
      </c>
      <c r="CA29">
        <v>21</v>
      </c>
      <c r="CB29">
        <v>23</v>
      </c>
      <c r="CC29">
        <v>29</v>
      </c>
      <c r="CD29">
        <v>33</v>
      </c>
      <c r="CE29">
        <v>34</v>
      </c>
      <c r="CF29">
        <v>35</v>
      </c>
      <c r="CG29">
        <v>36</v>
      </c>
      <c r="CH29">
        <v>37</v>
      </c>
      <c r="CI29">
        <v>39</v>
      </c>
      <c r="CJ29">
        <v>39</v>
      </c>
      <c r="CK29">
        <v>40</v>
      </c>
      <c r="CL29">
        <v>41</v>
      </c>
      <c r="CM29">
        <v>43</v>
      </c>
      <c r="CN29">
        <v>46</v>
      </c>
      <c r="CO29">
        <v>47</v>
      </c>
      <c r="CP29">
        <v>48</v>
      </c>
      <c r="CQ29">
        <v>49</v>
      </c>
      <c r="CR29">
        <v>51</v>
      </c>
      <c r="CS29">
        <v>53</v>
      </c>
      <c r="CT29">
        <v>54</v>
      </c>
      <c r="CU29">
        <v>55</v>
      </c>
      <c r="CV29">
        <v>57</v>
      </c>
      <c r="CW29">
        <v>59</v>
      </c>
      <c r="CX29">
        <v>60</v>
      </c>
      <c r="CY29">
        <v>63</v>
      </c>
      <c r="CZ29">
        <v>65</v>
      </c>
      <c r="DA29">
        <v>69</v>
      </c>
      <c r="DB29">
        <v>70</v>
      </c>
      <c r="DC29">
        <v>72</v>
      </c>
    </row>
    <row r="30" spans="1:107" x14ac:dyDescent="0.25">
      <c r="B30" t="s">
        <v>79</v>
      </c>
      <c r="C30">
        <v>-14.234999999999999</v>
      </c>
      <c r="D30">
        <v>-51.9253</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1</v>
      </c>
      <c r="BJ30">
        <v>3</v>
      </c>
      <c r="BK30">
        <v>6</v>
      </c>
      <c r="BL30">
        <v>11</v>
      </c>
      <c r="BM30">
        <v>15</v>
      </c>
      <c r="BN30">
        <v>25</v>
      </c>
      <c r="BO30">
        <v>34</v>
      </c>
      <c r="BP30">
        <v>46</v>
      </c>
      <c r="BQ30">
        <v>59</v>
      </c>
      <c r="BR30">
        <v>77</v>
      </c>
      <c r="BS30">
        <v>92</v>
      </c>
      <c r="BT30">
        <v>111</v>
      </c>
      <c r="BU30">
        <v>136</v>
      </c>
      <c r="BV30">
        <v>159</v>
      </c>
      <c r="BW30">
        <v>201</v>
      </c>
      <c r="BX30">
        <v>240</v>
      </c>
      <c r="BY30">
        <v>324</v>
      </c>
      <c r="BZ30">
        <v>359</v>
      </c>
      <c r="CA30">
        <v>445</v>
      </c>
      <c r="CB30">
        <v>486</v>
      </c>
      <c r="CC30">
        <v>564</v>
      </c>
      <c r="CD30">
        <v>686</v>
      </c>
      <c r="CE30">
        <v>819</v>
      </c>
      <c r="CF30">
        <v>950</v>
      </c>
      <c r="CG30">
        <v>1057</v>
      </c>
      <c r="CH30">
        <v>1124</v>
      </c>
      <c r="CI30">
        <v>1223</v>
      </c>
      <c r="CJ30">
        <v>1328</v>
      </c>
      <c r="CK30">
        <v>1532</v>
      </c>
      <c r="CL30">
        <v>1736</v>
      </c>
      <c r="CM30">
        <v>1924</v>
      </c>
      <c r="CN30">
        <v>2141</v>
      </c>
      <c r="CO30">
        <v>2354</v>
      </c>
      <c r="CP30">
        <v>2462</v>
      </c>
      <c r="CQ30">
        <v>2587</v>
      </c>
      <c r="CR30">
        <v>2741</v>
      </c>
      <c r="CS30">
        <v>2906</v>
      </c>
      <c r="CT30">
        <v>3331</v>
      </c>
      <c r="CU30">
        <v>3704</v>
      </c>
      <c r="CV30">
        <v>4057</v>
      </c>
      <c r="CW30">
        <v>4286</v>
      </c>
      <c r="CX30">
        <v>4603</v>
      </c>
      <c r="CY30">
        <v>5083</v>
      </c>
      <c r="CZ30">
        <v>5513</v>
      </c>
      <c r="DA30">
        <v>6006</v>
      </c>
      <c r="DB30">
        <v>6412</v>
      </c>
      <c r="DC30">
        <v>6761</v>
      </c>
    </row>
    <row r="31" spans="1:107" x14ac:dyDescent="0.25">
      <c r="B31" t="s">
        <v>146</v>
      </c>
      <c r="C31">
        <v>4.5353000000000003</v>
      </c>
      <c r="D31">
        <v>114.7277</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0</v>
      </c>
      <c r="BN31">
        <v>0</v>
      </c>
      <c r="BO31">
        <v>0</v>
      </c>
      <c r="BP31">
        <v>0</v>
      </c>
      <c r="BQ31">
        <v>0</v>
      </c>
      <c r="BR31">
        <v>0</v>
      </c>
      <c r="BS31">
        <v>0</v>
      </c>
      <c r="BT31">
        <v>1</v>
      </c>
      <c r="BU31">
        <v>1</v>
      </c>
      <c r="BV31">
        <v>1</v>
      </c>
      <c r="BW31">
        <v>1</v>
      </c>
      <c r="BX31">
        <v>1</v>
      </c>
      <c r="BY31">
        <v>1</v>
      </c>
      <c r="BZ31">
        <v>1</v>
      </c>
      <c r="CA31">
        <v>1</v>
      </c>
      <c r="CB31">
        <v>1</v>
      </c>
      <c r="CC31">
        <v>1</v>
      </c>
      <c r="CD31">
        <v>1</v>
      </c>
      <c r="CE31">
        <v>1</v>
      </c>
      <c r="CF31">
        <v>1</v>
      </c>
      <c r="CG31">
        <v>1</v>
      </c>
      <c r="CH31">
        <v>1</v>
      </c>
      <c r="CI31">
        <v>1</v>
      </c>
      <c r="CJ31">
        <v>1</v>
      </c>
      <c r="CK31">
        <v>1</v>
      </c>
      <c r="CL31">
        <v>1</v>
      </c>
      <c r="CM31">
        <v>1</v>
      </c>
      <c r="CN31">
        <v>1</v>
      </c>
      <c r="CO31">
        <v>1</v>
      </c>
      <c r="CP31">
        <v>1</v>
      </c>
      <c r="CQ31">
        <v>1</v>
      </c>
      <c r="CR31">
        <v>1</v>
      </c>
      <c r="CS31">
        <v>1</v>
      </c>
      <c r="CT31">
        <v>1</v>
      </c>
      <c r="CU31">
        <v>1</v>
      </c>
      <c r="CV31">
        <v>1</v>
      </c>
      <c r="CW31">
        <v>1</v>
      </c>
      <c r="CX31">
        <v>1</v>
      </c>
      <c r="CY31">
        <v>1</v>
      </c>
      <c r="CZ31">
        <v>1</v>
      </c>
      <c r="DA31">
        <v>1</v>
      </c>
      <c r="DB31">
        <v>1</v>
      </c>
      <c r="DC31">
        <v>1</v>
      </c>
    </row>
    <row r="32" spans="1:107" x14ac:dyDescent="0.25">
      <c r="B32" t="s">
        <v>136</v>
      </c>
      <c r="C32">
        <v>42.733899999999998</v>
      </c>
      <c r="D32">
        <v>25.485800000000001</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1</v>
      </c>
      <c r="BD32">
        <v>1</v>
      </c>
      <c r="BE32">
        <v>1</v>
      </c>
      <c r="BF32">
        <v>2</v>
      </c>
      <c r="BG32">
        <v>2</v>
      </c>
      <c r="BH32">
        <v>2</v>
      </c>
      <c r="BI32">
        <v>2</v>
      </c>
      <c r="BJ32">
        <v>2</v>
      </c>
      <c r="BK32">
        <v>3</v>
      </c>
      <c r="BL32">
        <v>3</v>
      </c>
      <c r="BM32">
        <v>3</v>
      </c>
      <c r="BN32">
        <v>3</v>
      </c>
      <c r="BO32">
        <v>3</v>
      </c>
      <c r="BP32">
        <v>3</v>
      </c>
      <c r="BQ32">
        <v>3</v>
      </c>
      <c r="BR32">
        <v>3</v>
      </c>
      <c r="BS32">
        <v>3</v>
      </c>
      <c r="BT32">
        <v>7</v>
      </c>
      <c r="BU32">
        <v>8</v>
      </c>
      <c r="BV32">
        <v>8</v>
      </c>
      <c r="BW32">
        <v>8</v>
      </c>
      <c r="BX32">
        <v>10</v>
      </c>
      <c r="BY32">
        <v>10</v>
      </c>
      <c r="BZ32">
        <v>14</v>
      </c>
      <c r="CA32">
        <v>17</v>
      </c>
      <c r="CB32">
        <v>20</v>
      </c>
      <c r="CC32">
        <v>22</v>
      </c>
      <c r="CD32">
        <v>23</v>
      </c>
      <c r="CE32">
        <v>24</v>
      </c>
      <c r="CF32">
        <v>24</v>
      </c>
      <c r="CG32">
        <v>25</v>
      </c>
      <c r="CH32">
        <v>28</v>
      </c>
      <c r="CI32">
        <v>29</v>
      </c>
      <c r="CJ32">
        <v>32</v>
      </c>
      <c r="CK32">
        <v>35</v>
      </c>
      <c r="CL32">
        <v>36</v>
      </c>
      <c r="CM32">
        <v>38</v>
      </c>
      <c r="CN32">
        <v>41</v>
      </c>
      <c r="CO32">
        <v>41</v>
      </c>
      <c r="CP32">
        <v>42</v>
      </c>
      <c r="CQ32">
        <v>43</v>
      </c>
      <c r="CR32">
        <v>45</v>
      </c>
      <c r="CS32">
        <v>49</v>
      </c>
      <c r="CT32">
        <v>52</v>
      </c>
      <c r="CU32">
        <v>54</v>
      </c>
      <c r="CV32">
        <v>55</v>
      </c>
      <c r="CW32">
        <v>56</v>
      </c>
      <c r="CX32">
        <v>58</v>
      </c>
      <c r="CY32">
        <v>58</v>
      </c>
      <c r="CZ32">
        <v>64</v>
      </c>
      <c r="DA32">
        <v>66</v>
      </c>
      <c r="DB32">
        <v>68</v>
      </c>
      <c r="DC32">
        <v>72</v>
      </c>
    </row>
    <row r="33" spans="1:107" x14ac:dyDescent="0.25">
      <c r="B33" t="s">
        <v>149</v>
      </c>
      <c r="C33">
        <v>12.238300000000001</v>
      </c>
      <c r="D33">
        <v>-1.5616000000000001</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1</v>
      </c>
      <c r="BK33">
        <v>1</v>
      </c>
      <c r="BL33">
        <v>1</v>
      </c>
      <c r="BM33">
        <v>2</v>
      </c>
      <c r="BN33">
        <v>4</v>
      </c>
      <c r="BO33">
        <v>4</v>
      </c>
      <c r="BP33">
        <v>4</v>
      </c>
      <c r="BQ33">
        <v>4</v>
      </c>
      <c r="BR33">
        <v>7</v>
      </c>
      <c r="BS33">
        <v>9</v>
      </c>
      <c r="BT33">
        <v>11</v>
      </c>
      <c r="BU33">
        <v>12</v>
      </c>
      <c r="BV33">
        <v>12</v>
      </c>
      <c r="BW33">
        <v>14</v>
      </c>
      <c r="BX33">
        <v>16</v>
      </c>
      <c r="BY33">
        <v>16</v>
      </c>
      <c r="BZ33">
        <v>16</v>
      </c>
      <c r="CA33">
        <v>16</v>
      </c>
      <c r="CB33">
        <v>17</v>
      </c>
      <c r="CC33">
        <v>18</v>
      </c>
      <c r="CD33">
        <v>19</v>
      </c>
      <c r="CE33">
        <v>23</v>
      </c>
      <c r="CF33">
        <v>24</v>
      </c>
      <c r="CG33">
        <v>24</v>
      </c>
      <c r="CH33">
        <v>27</v>
      </c>
      <c r="CI33">
        <v>27</v>
      </c>
      <c r="CJ33">
        <v>27</v>
      </c>
      <c r="CK33">
        <v>30</v>
      </c>
      <c r="CL33">
        <v>32</v>
      </c>
      <c r="CM33">
        <v>32</v>
      </c>
      <c r="CN33">
        <v>35</v>
      </c>
      <c r="CO33">
        <v>36</v>
      </c>
      <c r="CP33">
        <v>36</v>
      </c>
      <c r="CQ33">
        <v>38</v>
      </c>
      <c r="CR33">
        <v>38</v>
      </c>
      <c r="CS33">
        <v>39</v>
      </c>
      <c r="CT33">
        <v>41</v>
      </c>
      <c r="CU33">
        <v>41</v>
      </c>
      <c r="CV33">
        <v>41</v>
      </c>
      <c r="CW33">
        <v>42</v>
      </c>
      <c r="CX33">
        <v>42</v>
      </c>
      <c r="CY33">
        <v>42</v>
      </c>
      <c r="CZ33">
        <v>43</v>
      </c>
      <c r="DA33">
        <v>43</v>
      </c>
      <c r="DB33">
        <v>44</v>
      </c>
      <c r="DC33">
        <v>44</v>
      </c>
    </row>
    <row r="34" spans="1:107" x14ac:dyDescent="0.25">
      <c r="B34" t="s">
        <v>742</v>
      </c>
      <c r="C34">
        <v>16.538799999999998</v>
      </c>
      <c r="D34">
        <v>-23.041799999999999</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1</v>
      </c>
      <c r="BQ34">
        <v>1</v>
      </c>
      <c r="BR34">
        <v>1</v>
      </c>
      <c r="BS34">
        <v>1</v>
      </c>
      <c r="BT34">
        <v>1</v>
      </c>
      <c r="BU34">
        <v>1</v>
      </c>
      <c r="BV34">
        <v>1</v>
      </c>
      <c r="BW34">
        <v>1</v>
      </c>
      <c r="BX34">
        <v>1</v>
      </c>
      <c r="BY34">
        <v>1</v>
      </c>
      <c r="BZ34">
        <v>1</v>
      </c>
      <c r="CA34">
        <v>1</v>
      </c>
      <c r="CB34">
        <v>1</v>
      </c>
      <c r="CC34">
        <v>1</v>
      </c>
      <c r="CD34">
        <v>1</v>
      </c>
      <c r="CE34">
        <v>1</v>
      </c>
      <c r="CF34">
        <v>1</v>
      </c>
      <c r="CG34">
        <v>1</v>
      </c>
      <c r="CH34">
        <v>1</v>
      </c>
      <c r="CI34">
        <v>1</v>
      </c>
      <c r="CJ34">
        <v>1</v>
      </c>
      <c r="CK34">
        <v>1</v>
      </c>
      <c r="CL34">
        <v>1</v>
      </c>
      <c r="CM34">
        <v>1</v>
      </c>
      <c r="CN34">
        <v>1</v>
      </c>
      <c r="CO34">
        <v>1</v>
      </c>
      <c r="CP34">
        <v>1</v>
      </c>
      <c r="CQ34">
        <v>1</v>
      </c>
      <c r="CR34">
        <v>1</v>
      </c>
      <c r="CS34">
        <v>1</v>
      </c>
      <c r="CT34">
        <v>1</v>
      </c>
      <c r="CU34">
        <v>1</v>
      </c>
      <c r="CV34">
        <v>1</v>
      </c>
      <c r="CW34">
        <v>1</v>
      </c>
      <c r="CX34">
        <v>1</v>
      </c>
      <c r="CY34">
        <v>1</v>
      </c>
      <c r="CZ34">
        <v>1</v>
      </c>
      <c r="DA34">
        <v>1</v>
      </c>
      <c r="DB34">
        <v>1</v>
      </c>
      <c r="DC34">
        <v>2</v>
      </c>
    </row>
    <row r="35" spans="1:107" x14ac:dyDescent="0.25">
      <c r="B35" t="s">
        <v>51</v>
      </c>
      <c r="C35">
        <v>11.55</v>
      </c>
      <c r="D35">
        <v>104.91670000000001</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c r="DA35">
        <v>0</v>
      </c>
      <c r="DB35">
        <v>0</v>
      </c>
      <c r="DC35">
        <v>0</v>
      </c>
    </row>
    <row r="36" spans="1:107" x14ac:dyDescent="0.25">
      <c r="B36" t="s">
        <v>126</v>
      </c>
      <c r="C36">
        <v>3.8480000000000003</v>
      </c>
      <c r="D36">
        <v>11.5021</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c r="BQ36">
        <v>1</v>
      </c>
      <c r="BR36">
        <v>1</v>
      </c>
      <c r="BS36">
        <v>2</v>
      </c>
      <c r="BT36">
        <v>2</v>
      </c>
      <c r="BU36">
        <v>6</v>
      </c>
      <c r="BV36">
        <v>6</v>
      </c>
      <c r="BW36">
        <v>6</v>
      </c>
      <c r="BX36">
        <v>6</v>
      </c>
      <c r="BY36">
        <v>7</v>
      </c>
      <c r="BZ36">
        <v>8</v>
      </c>
      <c r="CA36">
        <v>9</v>
      </c>
      <c r="CB36">
        <v>9</v>
      </c>
      <c r="CC36">
        <v>9</v>
      </c>
      <c r="CD36">
        <v>9</v>
      </c>
      <c r="CE36">
        <v>10</v>
      </c>
      <c r="CF36">
        <v>10</v>
      </c>
      <c r="CG36">
        <v>12</v>
      </c>
      <c r="CH36">
        <v>12</v>
      </c>
      <c r="CI36">
        <v>12</v>
      </c>
      <c r="CJ36">
        <v>12</v>
      </c>
      <c r="CK36">
        <v>14</v>
      </c>
      <c r="CL36">
        <v>17</v>
      </c>
      <c r="CM36">
        <v>22</v>
      </c>
      <c r="CN36">
        <v>22</v>
      </c>
      <c r="CO36">
        <v>22</v>
      </c>
      <c r="CP36">
        <v>42</v>
      </c>
      <c r="CQ36">
        <v>42</v>
      </c>
      <c r="CR36">
        <v>43</v>
      </c>
      <c r="CS36">
        <v>43</v>
      </c>
      <c r="CT36">
        <v>43</v>
      </c>
      <c r="CU36">
        <v>43</v>
      </c>
      <c r="CV36">
        <v>53</v>
      </c>
      <c r="CW36">
        <v>56</v>
      </c>
      <c r="CX36">
        <v>58</v>
      </c>
      <c r="CY36">
        <v>58</v>
      </c>
      <c r="CZ36">
        <v>61</v>
      </c>
      <c r="DA36">
        <v>61</v>
      </c>
      <c r="DB36">
        <v>61</v>
      </c>
      <c r="DC36">
        <v>64</v>
      </c>
    </row>
    <row r="37" spans="1:107" x14ac:dyDescent="0.25">
      <c r="A37" t="s">
        <v>142</v>
      </c>
      <c r="B37" t="s">
        <v>46</v>
      </c>
      <c r="C37">
        <v>53.933300000000003</v>
      </c>
      <c r="D37">
        <v>-116.5765</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1</v>
      </c>
      <c r="BM37">
        <v>1</v>
      </c>
      <c r="BN37">
        <v>1</v>
      </c>
      <c r="BO37">
        <v>1</v>
      </c>
      <c r="BP37">
        <v>1</v>
      </c>
      <c r="BQ37">
        <v>2</v>
      </c>
      <c r="BR37">
        <v>2</v>
      </c>
      <c r="BS37">
        <v>2</v>
      </c>
      <c r="BT37">
        <v>2</v>
      </c>
      <c r="BU37">
        <v>2</v>
      </c>
      <c r="BV37">
        <v>3</v>
      </c>
      <c r="BW37">
        <v>8</v>
      </c>
      <c r="BX37">
        <v>9</v>
      </c>
      <c r="BY37">
        <v>13</v>
      </c>
      <c r="BZ37">
        <v>13</v>
      </c>
      <c r="CA37">
        <v>18</v>
      </c>
      <c r="CB37">
        <v>20</v>
      </c>
      <c r="CC37">
        <v>23</v>
      </c>
      <c r="CD37">
        <v>24</v>
      </c>
      <c r="CE37">
        <v>26</v>
      </c>
      <c r="CF37">
        <v>29</v>
      </c>
      <c r="CG37">
        <v>32</v>
      </c>
      <c r="CH37">
        <v>40</v>
      </c>
      <c r="CI37">
        <v>40</v>
      </c>
      <c r="CJ37">
        <v>46</v>
      </c>
      <c r="CK37">
        <v>48</v>
      </c>
      <c r="CL37">
        <v>48</v>
      </c>
      <c r="CM37">
        <v>48</v>
      </c>
      <c r="CN37">
        <v>50</v>
      </c>
      <c r="CO37">
        <v>51</v>
      </c>
      <c r="CP37">
        <v>51</v>
      </c>
      <c r="CQ37">
        <v>59</v>
      </c>
      <c r="CR37">
        <v>61</v>
      </c>
      <c r="CS37">
        <v>66</v>
      </c>
      <c r="CT37">
        <v>68</v>
      </c>
      <c r="CU37">
        <v>72</v>
      </c>
      <c r="CV37">
        <v>73</v>
      </c>
      <c r="CW37">
        <v>73</v>
      </c>
      <c r="CX37">
        <v>75</v>
      </c>
      <c r="CY37">
        <v>80</v>
      </c>
      <c r="CZ37">
        <v>87</v>
      </c>
      <c r="DA37">
        <v>90</v>
      </c>
      <c r="DB37">
        <v>92</v>
      </c>
      <c r="DC37">
        <v>94</v>
      </c>
    </row>
    <row r="38" spans="1:107" x14ac:dyDescent="0.25">
      <c r="A38" t="s">
        <v>45</v>
      </c>
      <c r="B38" t="s">
        <v>46</v>
      </c>
      <c r="C38">
        <v>49.282699999999998</v>
      </c>
      <c r="D38">
        <v>-123.1207</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1</v>
      </c>
      <c r="BB38">
        <v>1</v>
      </c>
      <c r="BC38">
        <v>1</v>
      </c>
      <c r="BD38">
        <v>1</v>
      </c>
      <c r="BE38">
        <v>1</v>
      </c>
      <c r="BF38">
        <v>1</v>
      </c>
      <c r="BG38">
        <v>1</v>
      </c>
      <c r="BH38">
        <v>4</v>
      </c>
      <c r="BI38">
        <v>4</v>
      </c>
      <c r="BJ38">
        <v>7</v>
      </c>
      <c r="BK38">
        <v>7</v>
      </c>
      <c r="BL38">
        <v>8</v>
      </c>
      <c r="BM38">
        <v>10</v>
      </c>
      <c r="BN38">
        <v>10</v>
      </c>
      <c r="BO38">
        <v>13</v>
      </c>
      <c r="BP38">
        <v>13</v>
      </c>
      <c r="BQ38">
        <v>13</v>
      </c>
      <c r="BR38">
        <v>14</v>
      </c>
      <c r="BS38">
        <v>14</v>
      </c>
      <c r="BT38">
        <v>17</v>
      </c>
      <c r="BU38">
        <v>17</v>
      </c>
      <c r="BV38">
        <v>19</v>
      </c>
      <c r="BW38">
        <v>24</v>
      </c>
      <c r="BX38">
        <v>24</v>
      </c>
      <c r="BY38">
        <v>31</v>
      </c>
      <c r="BZ38">
        <v>31</v>
      </c>
      <c r="CA38">
        <v>38</v>
      </c>
      <c r="CB38">
        <v>38</v>
      </c>
      <c r="CC38">
        <v>38</v>
      </c>
      <c r="CD38">
        <v>39</v>
      </c>
      <c r="CE38">
        <v>43</v>
      </c>
      <c r="CF38">
        <v>48</v>
      </c>
      <c r="CG38">
        <v>50</v>
      </c>
      <c r="CH38">
        <v>58</v>
      </c>
      <c r="CI38">
        <v>58</v>
      </c>
      <c r="CJ38">
        <v>69</v>
      </c>
      <c r="CK38">
        <v>69</v>
      </c>
      <c r="CL38">
        <v>72</v>
      </c>
      <c r="CM38">
        <v>75</v>
      </c>
      <c r="CN38">
        <v>77</v>
      </c>
      <c r="CO38">
        <v>78</v>
      </c>
      <c r="CP38">
        <v>81</v>
      </c>
      <c r="CQ38">
        <v>82</v>
      </c>
      <c r="CR38">
        <v>87</v>
      </c>
      <c r="CS38">
        <v>90</v>
      </c>
      <c r="CT38">
        <v>94</v>
      </c>
      <c r="CU38">
        <v>98</v>
      </c>
      <c r="CV38">
        <v>100</v>
      </c>
      <c r="CW38">
        <v>100</v>
      </c>
      <c r="CX38">
        <v>104</v>
      </c>
      <c r="CY38">
        <v>106</v>
      </c>
      <c r="CZ38">
        <v>109</v>
      </c>
      <c r="DA38">
        <v>111</v>
      </c>
      <c r="DB38">
        <v>112</v>
      </c>
      <c r="DC38">
        <v>114</v>
      </c>
    </row>
    <row r="39" spans="1:107" x14ac:dyDescent="0.25">
      <c r="A39" t="s">
        <v>148</v>
      </c>
      <c r="B39" t="s">
        <v>46</v>
      </c>
      <c r="C39">
        <v>37.648899999999998</v>
      </c>
      <c r="D39">
        <v>-122.66549999999999</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0</v>
      </c>
      <c r="BR39">
        <v>0</v>
      </c>
      <c r="BS39">
        <v>0</v>
      </c>
      <c r="BT39">
        <v>0</v>
      </c>
      <c r="BU39">
        <v>0</v>
      </c>
      <c r="BV39">
        <v>0</v>
      </c>
      <c r="BW39">
        <v>0</v>
      </c>
      <c r="BX39">
        <v>0</v>
      </c>
      <c r="BY39">
        <v>0</v>
      </c>
      <c r="BZ39">
        <v>0</v>
      </c>
      <c r="CA39">
        <v>0</v>
      </c>
      <c r="CB39">
        <v>0</v>
      </c>
      <c r="CC39">
        <v>0</v>
      </c>
      <c r="CD39">
        <v>0</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0</v>
      </c>
      <c r="DA39">
        <v>0</v>
      </c>
      <c r="DB39">
        <v>0</v>
      </c>
      <c r="DC39">
        <v>0</v>
      </c>
    </row>
    <row r="40" spans="1:107" x14ac:dyDescent="0.25">
      <c r="A40" t="s">
        <v>200</v>
      </c>
      <c r="B40" t="s">
        <v>46</v>
      </c>
      <c r="C40">
        <v>53.760899999999999</v>
      </c>
      <c r="D40">
        <v>-98.813900000000004</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1</v>
      </c>
      <c r="BT40">
        <v>1</v>
      </c>
      <c r="BU40">
        <v>1</v>
      </c>
      <c r="BV40">
        <v>1</v>
      </c>
      <c r="BW40">
        <v>1</v>
      </c>
      <c r="BX40">
        <v>1</v>
      </c>
      <c r="BY40">
        <v>1</v>
      </c>
      <c r="BZ40">
        <v>2</v>
      </c>
      <c r="CA40">
        <v>2</v>
      </c>
      <c r="CB40">
        <v>2</v>
      </c>
      <c r="CC40">
        <v>2</v>
      </c>
      <c r="CD40">
        <v>3</v>
      </c>
      <c r="CE40">
        <v>3</v>
      </c>
      <c r="CF40">
        <v>3</v>
      </c>
      <c r="CG40">
        <v>3</v>
      </c>
      <c r="CH40">
        <v>4</v>
      </c>
      <c r="CI40">
        <v>4</v>
      </c>
      <c r="CJ40">
        <v>4</v>
      </c>
      <c r="CK40">
        <v>4</v>
      </c>
      <c r="CL40">
        <v>5</v>
      </c>
      <c r="CM40">
        <v>5</v>
      </c>
      <c r="CN40">
        <v>5</v>
      </c>
      <c r="CO40">
        <v>5</v>
      </c>
      <c r="CP40">
        <v>5</v>
      </c>
      <c r="CQ40">
        <v>6</v>
      </c>
      <c r="CR40">
        <v>6</v>
      </c>
      <c r="CS40">
        <v>6</v>
      </c>
      <c r="CT40">
        <v>6</v>
      </c>
      <c r="CU40">
        <v>6</v>
      </c>
      <c r="CV40">
        <v>6</v>
      </c>
      <c r="CW40">
        <v>6</v>
      </c>
      <c r="CX40">
        <v>6</v>
      </c>
      <c r="CY40">
        <v>6</v>
      </c>
      <c r="CZ40">
        <v>6</v>
      </c>
      <c r="DA40">
        <v>6</v>
      </c>
      <c r="DB40">
        <v>6</v>
      </c>
      <c r="DC40">
        <v>6</v>
      </c>
    </row>
    <row r="41" spans="1:107" x14ac:dyDescent="0.25">
      <c r="A41" t="s">
        <v>181</v>
      </c>
      <c r="B41" t="s">
        <v>46</v>
      </c>
      <c r="C41">
        <v>46.565300000000001</v>
      </c>
      <c r="D41">
        <v>-66.4619</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c r="BM41">
        <v>0</v>
      </c>
      <c r="BN41">
        <v>0</v>
      </c>
      <c r="BO41">
        <v>0</v>
      </c>
      <c r="BP41">
        <v>0</v>
      </c>
      <c r="BQ41">
        <v>0</v>
      </c>
      <c r="BR41">
        <v>0</v>
      </c>
      <c r="BS41">
        <v>0</v>
      </c>
      <c r="BT41">
        <v>0</v>
      </c>
      <c r="BU41">
        <v>0</v>
      </c>
      <c r="BV41">
        <v>0</v>
      </c>
      <c r="BW41">
        <v>0</v>
      </c>
      <c r="BX41">
        <v>0</v>
      </c>
      <c r="BY41">
        <v>0</v>
      </c>
      <c r="BZ41">
        <v>0</v>
      </c>
      <c r="CA41">
        <v>0</v>
      </c>
      <c r="CB41">
        <v>0</v>
      </c>
      <c r="CC41">
        <v>0</v>
      </c>
      <c r="CD41">
        <v>0</v>
      </c>
      <c r="CE41">
        <v>0</v>
      </c>
      <c r="CF41">
        <v>0</v>
      </c>
      <c r="CG41">
        <v>0</v>
      </c>
      <c r="CH41">
        <v>0</v>
      </c>
      <c r="CI41">
        <v>0</v>
      </c>
      <c r="CJ41">
        <v>0</v>
      </c>
      <c r="CK41">
        <v>0</v>
      </c>
      <c r="CL41">
        <v>0</v>
      </c>
      <c r="CM41">
        <v>0</v>
      </c>
      <c r="CN41">
        <v>0</v>
      </c>
      <c r="CO41">
        <v>0</v>
      </c>
      <c r="CP41">
        <v>0</v>
      </c>
      <c r="CQ41">
        <v>0</v>
      </c>
      <c r="CR41">
        <v>0</v>
      </c>
      <c r="CS41">
        <v>0</v>
      </c>
      <c r="CT41">
        <v>0</v>
      </c>
      <c r="CU41">
        <v>0</v>
      </c>
      <c r="CV41">
        <v>0</v>
      </c>
      <c r="CW41">
        <v>0</v>
      </c>
      <c r="CX41">
        <v>0</v>
      </c>
      <c r="CY41">
        <v>0</v>
      </c>
      <c r="CZ41">
        <v>0</v>
      </c>
      <c r="DA41">
        <v>0</v>
      </c>
      <c r="DB41">
        <v>0</v>
      </c>
      <c r="DC41">
        <v>0</v>
      </c>
    </row>
    <row r="42" spans="1:107" x14ac:dyDescent="0.25">
      <c r="A42" t="s">
        <v>488</v>
      </c>
      <c r="B42" t="s">
        <v>46</v>
      </c>
      <c r="C42">
        <v>53.1355</v>
      </c>
      <c r="D42">
        <v>-57.660400000000003</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v>0</v>
      </c>
      <c r="BN42">
        <v>0</v>
      </c>
      <c r="BO42">
        <v>0</v>
      </c>
      <c r="BP42">
        <v>0</v>
      </c>
      <c r="BQ42">
        <v>0</v>
      </c>
      <c r="BR42">
        <v>0</v>
      </c>
      <c r="BS42">
        <v>0</v>
      </c>
      <c r="BT42">
        <v>0</v>
      </c>
      <c r="BU42">
        <v>0</v>
      </c>
      <c r="BV42">
        <v>1</v>
      </c>
      <c r="BW42">
        <v>1</v>
      </c>
      <c r="BX42">
        <v>1</v>
      </c>
      <c r="BY42">
        <v>1</v>
      </c>
      <c r="BZ42">
        <v>1</v>
      </c>
      <c r="CA42">
        <v>1</v>
      </c>
      <c r="CB42">
        <v>1</v>
      </c>
      <c r="CC42">
        <v>1</v>
      </c>
      <c r="CD42">
        <v>1</v>
      </c>
      <c r="CE42">
        <v>1</v>
      </c>
      <c r="CF42">
        <v>2</v>
      </c>
      <c r="CG42">
        <v>3</v>
      </c>
      <c r="CH42">
        <v>3</v>
      </c>
      <c r="CI42">
        <v>3</v>
      </c>
      <c r="CJ42">
        <v>3</v>
      </c>
      <c r="CK42">
        <v>3</v>
      </c>
      <c r="CL42">
        <v>3</v>
      </c>
      <c r="CM42">
        <v>3</v>
      </c>
      <c r="CN42">
        <v>3</v>
      </c>
      <c r="CO42">
        <v>3</v>
      </c>
      <c r="CP42">
        <v>3</v>
      </c>
      <c r="CQ42">
        <v>3</v>
      </c>
      <c r="CR42">
        <v>3</v>
      </c>
      <c r="CS42">
        <v>3</v>
      </c>
      <c r="CT42">
        <v>3</v>
      </c>
      <c r="CU42">
        <v>3</v>
      </c>
      <c r="CV42">
        <v>3</v>
      </c>
      <c r="CW42">
        <v>3</v>
      </c>
      <c r="CX42">
        <v>3</v>
      </c>
      <c r="CY42">
        <v>3</v>
      </c>
      <c r="CZ42">
        <v>3</v>
      </c>
      <c r="DA42">
        <v>3</v>
      </c>
      <c r="DB42">
        <v>3</v>
      </c>
      <c r="DC42">
        <v>3</v>
      </c>
    </row>
    <row r="43" spans="1:107" x14ac:dyDescent="0.25">
      <c r="A43" t="s">
        <v>660</v>
      </c>
      <c r="B43" t="s">
        <v>46</v>
      </c>
      <c r="C43">
        <v>44.681999999999995</v>
      </c>
      <c r="D43">
        <v>-63.744300000000003</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c r="BR43">
        <v>0</v>
      </c>
      <c r="BS43">
        <v>0</v>
      </c>
      <c r="BT43">
        <v>0</v>
      </c>
      <c r="BU43">
        <v>0</v>
      </c>
      <c r="BV43">
        <v>0</v>
      </c>
      <c r="BW43">
        <v>0</v>
      </c>
      <c r="BX43">
        <v>0</v>
      </c>
      <c r="BY43">
        <v>0</v>
      </c>
      <c r="BZ43">
        <v>0</v>
      </c>
      <c r="CA43">
        <v>0</v>
      </c>
      <c r="CB43">
        <v>0</v>
      </c>
      <c r="CC43">
        <v>0</v>
      </c>
      <c r="CD43">
        <v>1</v>
      </c>
      <c r="CE43">
        <v>1</v>
      </c>
      <c r="CF43">
        <v>1</v>
      </c>
      <c r="CG43">
        <v>2</v>
      </c>
      <c r="CH43">
        <v>2</v>
      </c>
      <c r="CI43">
        <v>2</v>
      </c>
      <c r="CJ43">
        <v>3</v>
      </c>
      <c r="CK43">
        <v>3</v>
      </c>
      <c r="CL43">
        <v>3</v>
      </c>
      <c r="CM43">
        <v>3</v>
      </c>
      <c r="CN43">
        <v>4</v>
      </c>
      <c r="CO43">
        <v>7</v>
      </c>
      <c r="CP43">
        <v>9</v>
      </c>
      <c r="CQ43">
        <v>9</v>
      </c>
      <c r="CR43">
        <v>10</v>
      </c>
      <c r="CS43">
        <v>12</v>
      </c>
      <c r="CT43">
        <v>16</v>
      </c>
      <c r="CU43">
        <v>16</v>
      </c>
      <c r="CV43">
        <v>22</v>
      </c>
      <c r="CW43">
        <v>24</v>
      </c>
      <c r="CX43">
        <v>24</v>
      </c>
      <c r="CY43">
        <v>27</v>
      </c>
      <c r="CZ43">
        <v>28</v>
      </c>
      <c r="DA43">
        <v>28</v>
      </c>
      <c r="DB43">
        <v>29</v>
      </c>
      <c r="DC43">
        <v>31</v>
      </c>
    </row>
    <row r="44" spans="1:107" x14ac:dyDescent="0.25">
      <c r="A44" t="s">
        <v>141</v>
      </c>
      <c r="B44" t="s">
        <v>46</v>
      </c>
      <c r="C44">
        <v>51.253799999999998</v>
      </c>
      <c r="D44">
        <v>-85.3232</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1</v>
      </c>
      <c r="BJ44">
        <v>1</v>
      </c>
      <c r="BK44">
        <v>1</v>
      </c>
      <c r="BL44">
        <v>2</v>
      </c>
      <c r="BM44">
        <v>3</v>
      </c>
      <c r="BN44">
        <v>5</v>
      </c>
      <c r="BO44">
        <v>6</v>
      </c>
      <c r="BP44">
        <v>7</v>
      </c>
      <c r="BQ44">
        <v>8</v>
      </c>
      <c r="BR44">
        <v>13</v>
      </c>
      <c r="BS44">
        <v>18</v>
      </c>
      <c r="BT44">
        <v>18</v>
      </c>
      <c r="BU44">
        <v>21</v>
      </c>
      <c r="BV44">
        <v>31</v>
      </c>
      <c r="BW44">
        <v>33</v>
      </c>
      <c r="BX44">
        <v>37</v>
      </c>
      <c r="BY44">
        <v>53</v>
      </c>
      <c r="BZ44">
        <v>67</v>
      </c>
      <c r="CA44">
        <v>94</v>
      </c>
      <c r="CB44">
        <v>119</v>
      </c>
      <c r="CC44">
        <v>150</v>
      </c>
      <c r="CD44">
        <v>153</v>
      </c>
      <c r="CE44">
        <v>153</v>
      </c>
      <c r="CF44">
        <v>200</v>
      </c>
      <c r="CG44">
        <v>222</v>
      </c>
      <c r="CH44">
        <v>253</v>
      </c>
      <c r="CI44">
        <v>274</v>
      </c>
      <c r="CJ44">
        <v>291</v>
      </c>
      <c r="CK44">
        <v>334</v>
      </c>
      <c r="CL44">
        <v>385</v>
      </c>
      <c r="CM44">
        <v>490</v>
      </c>
      <c r="CN44">
        <v>524</v>
      </c>
      <c r="CO44">
        <v>564</v>
      </c>
      <c r="CP44">
        <v>591</v>
      </c>
      <c r="CQ44">
        <v>624</v>
      </c>
      <c r="CR44">
        <v>694</v>
      </c>
      <c r="CS44">
        <v>762</v>
      </c>
      <c r="CT44">
        <v>806</v>
      </c>
      <c r="CU44">
        <v>862</v>
      </c>
      <c r="CV44">
        <v>916</v>
      </c>
      <c r="CW44">
        <v>960</v>
      </c>
      <c r="CX44">
        <v>1023</v>
      </c>
      <c r="CY44">
        <v>1072</v>
      </c>
      <c r="CZ44">
        <v>1153</v>
      </c>
      <c r="DA44">
        <v>1205</v>
      </c>
      <c r="DB44">
        <v>1265</v>
      </c>
      <c r="DC44">
        <v>1292</v>
      </c>
    </row>
    <row r="45" spans="1:107" x14ac:dyDescent="0.25">
      <c r="A45" t="s">
        <v>489</v>
      </c>
      <c r="B45" t="s">
        <v>46</v>
      </c>
      <c r="C45">
        <v>46.5107</v>
      </c>
      <c r="D45">
        <v>-63.416800000000002</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c r="BM45">
        <v>0</v>
      </c>
      <c r="BN45">
        <v>0</v>
      </c>
      <c r="BO45">
        <v>0</v>
      </c>
      <c r="BP45">
        <v>0</v>
      </c>
      <c r="BQ45">
        <v>0</v>
      </c>
      <c r="BR45">
        <v>0</v>
      </c>
      <c r="BS45">
        <v>0</v>
      </c>
      <c r="BT45">
        <v>0</v>
      </c>
      <c r="BU45">
        <v>0</v>
      </c>
      <c r="BV45">
        <v>0</v>
      </c>
      <c r="BW45">
        <v>0</v>
      </c>
      <c r="BX45">
        <v>0</v>
      </c>
      <c r="BY45">
        <v>0</v>
      </c>
      <c r="BZ45">
        <v>0</v>
      </c>
      <c r="CA45">
        <v>0</v>
      </c>
      <c r="CB45">
        <v>0</v>
      </c>
      <c r="CC45">
        <v>0</v>
      </c>
      <c r="CD45">
        <v>0</v>
      </c>
      <c r="CE45">
        <v>1</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0</v>
      </c>
      <c r="DA45">
        <v>0</v>
      </c>
      <c r="DB45">
        <v>0</v>
      </c>
      <c r="DC45">
        <v>0</v>
      </c>
    </row>
    <row r="46" spans="1:107" x14ac:dyDescent="0.25">
      <c r="A46" t="s">
        <v>143</v>
      </c>
      <c r="B46" t="s">
        <v>46</v>
      </c>
      <c r="C46">
        <v>52.939900000000002</v>
      </c>
      <c r="D46">
        <v>-73.549099999999996</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1</v>
      </c>
      <c r="BL46">
        <v>1</v>
      </c>
      <c r="BM46">
        <v>5</v>
      </c>
      <c r="BN46">
        <v>4</v>
      </c>
      <c r="BO46">
        <v>4</v>
      </c>
      <c r="BP46">
        <v>4</v>
      </c>
      <c r="BQ46">
        <v>6</v>
      </c>
      <c r="BR46">
        <v>8</v>
      </c>
      <c r="BS46">
        <v>18</v>
      </c>
      <c r="BT46">
        <v>22</v>
      </c>
      <c r="BU46">
        <v>22</v>
      </c>
      <c r="BV46">
        <v>22</v>
      </c>
      <c r="BW46">
        <v>31</v>
      </c>
      <c r="BX46">
        <v>33</v>
      </c>
      <c r="BY46">
        <v>36</v>
      </c>
      <c r="BZ46">
        <v>61</v>
      </c>
      <c r="CA46">
        <v>61</v>
      </c>
      <c r="CB46">
        <v>75</v>
      </c>
      <c r="CC46">
        <v>121</v>
      </c>
      <c r="CD46">
        <v>150</v>
      </c>
      <c r="CE46">
        <v>175</v>
      </c>
      <c r="CF46">
        <v>216</v>
      </c>
      <c r="CG46">
        <v>241</v>
      </c>
      <c r="CH46">
        <v>289</v>
      </c>
      <c r="CI46">
        <v>328</v>
      </c>
      <c r="CJ46">
        <v>360</v>
      </c>
      <c r="CK46">
        <v>435</v>
      </c>
      <c r="CL46">
        <v>487</v>
      </c>
      <c r="CM46">
        <v>630</v>
      </c>
      <c r="CN46">
        <v>688</v>
      </c>
      <c r="CO46">
        <v>688</v>
      </c>
      <c r="CP46">
        <v>820</v>
      </c>
      <c r="CQ46">
        <v>939</v>
      </c>
      <c r="CR46">
        <v>1044</v>
      </c>
      <c r="CS46">
        <v>1134</v>
      </c>
      <c r="CT46">
        <v>1243</v>
      </c>
      <c r="CU46">
        <v>1340</v>
      </c>
      <c r="CV46">
        <v>1446</v>
      </c>
      <c r="CW46">
        <v>1516</v>
      </c>
      <c r="CX46">
        <v>1600</v>
      </c>
      <c r="CY46">
        <v>1683</v>
      </c>
      <c r="CZ46">
        <v>1762</v>
      </c>
      <c r="DA46">
        <v>1859</v>
      </c>
      <c r="DB46">
        <v>2022</v>
      </c>
      <c r="DC46">
        <v>2136</v>
      </c>
    </row>
    <row r="47" spans="1:107" x14ac:dyDescent="0.25">
      <c r="A47" t="s">
        <v>201</v>
      </c>
      <c r="B47" t="s">
        <v>46</v>
      </c>
      <c r="C47">
        <v>52.939900000000002</v>
      </c>
      <c r="D47">
        <v>-106.4509</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0</v>
      </c>
      <c r="BR47">
        <v>0</v>
      </c>
      <c r="BS47">
        <v>0</v>
      </c>
      <c r="BT47">
        <v>0</v>
      </c>
      <c r="BU47">
        <v>0</v>
      </c>
      <c r="BV47">
        <v>2</v>
      </c>
      <c r="BW47">
        <v>2</v>
      </c>
      <c r="BX47">
        <v>3</v>
      </c>
      <c r="BY47">
        <v>3</v>
      </c>
      <c r="BZ47">
        <v>3</v>
      </c>
      <c r="CA47">
        <v>3</v>
      </c>
      <c r="CB47">
        <v>3</v>
      </c>
      <c r="CC47">
        <v>3</v>
      </c>
      <c r="CD47">
        <v>3</v>
      </c>
      <c r="CE47">
        <v>3</v>
      </c>
      <c r="CF47">
        <v>3</v>
      </c>
      <c r="CG47">
        <v>3</v>
      </c>
      <c r="CH47">
        <v>4</v>
      </c>
      <c r="CI47">
        <v>4</v>
      </c>
      <c r="CJ47">
        <v>4</v>
      </c>
      <c r="CK47">
        <v>4</v>
      </c>
      <c r="CL47">
        <v>4</v>
      </c>
      <c r="CM47">
        <v>4</v>
      </c>
      <c r="CN47">
        <v>4</v>
      </c>
      <c r="CO47">
        <v>4</v>
      </c>
      <c r="CP47">
        <v>4</v>
      </c>
      <c r="CQ47">
        <v>4</v>
      </c>
      <c r="CR47">
        <v>4</v>
      </c>
      <c r="CS47">
        <v>4</v>
      </c>
      <c r="CT47">
        <v>4</v>
      </c>
      <c r="CU47">
        <v>4</v>
      </c>
      <c r="CV47">
        <v>4</v>
      </c>
      <c r="CW47">
        <v>4</v>
      </c>
      <c r="CX47">
        <v>5</v>
      </c>
      <c r="CY47">
        <v>5</v>
      </c>
      <c r="CZ47">
        <v>6</v>
      </c>
      <c r="DA47">
        <v>7</v>
      </c>
      <c r="DB47">
        <v>7</v>
      </c>
      <c r="DC47">
        <v>7</v>
      </c>
    </row>
    <row r="48" spans="1:107" x14ac:dyDescent="0.25">
      <c r="B48" t="s">
        <v>490</v>
      </c>
      <c r="C48">
        <v>6.6111000000000004</v>
      </c>
      <c r="D48">
        <v>20.939399999999999</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c r="BQ48">
        <v>0</v>
      </c>
      <c r="BR48">
        <v>0</v>
      </c>
      <c r="BS48">
        <v>0</v>
      </c>
      <c r="BT48">
        <v>0</v>
      </c>
      <c r="BU48">
        <v>0</v>
      </c>
      <c r="BV48">
        <v>0</v>
      </c>
      <c r="BW48">
        <v>0</v>
      </c>
      <c r="BX48">
        <v>0</v>
      </c>
      <c r="BY48">
        <v>0</v>
      </c>
      <c r="BZ48">
        <v>0</v>
      </c>
      <c r="CA48">
        <v>0</v>
      </c>
      <c r="CB48">
        <v>0</v>
      </c>
      <c r="CC48">
        <v>0</v>
      </c>
      <c r="CD48">
        <v>0</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0</v>
      </c>
      <c r="DA48">
        <v>0</v>
      </c>
      <c r="DB48">
        <v>0</v>
      </c>
      <c r="DC48">
        <v>0</v>
      </c>
    </row>
    <row r="49" spans="1:107" x14ac:dyDescent="0.25">
      <c r="B49" t="s">
        <v>735</v>
      </c>
      <c r="C49">
        <v>15.4542</v>
      </c>
      <c r="D49">
        <v>18.732199999999999</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c r="BQ49">
        <v>0</v>
      </c>
      <c r="BR49">
        <v>0</v>
      </c>
      <c r="BS49">
        <v>0</v>
      </c>
      <c r="BT49">
        <v>0</v>
      </c>
      <c r="BU49">
        <v>0</v>
      </c>
      <c r="BV49">
        <v>0</v>
      </c>
      <c r="BW49">
        <v>0</v>
      </c>
      <c r="BX49">
        <v>0</v>
      </c>
      <c r="BY49">
        <v>0</v>
      </c>
      <c r="BZ49">
        <v>0</v>
      </c>
      <c r="CA49">
        <v>0</v>
      </c>
      <c r="CB49">
        <v>0</v>
      </c>
      <c r="CC49">
        <v>0</v>
      </c>
      <c r="CD49">
        <v>0</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2</v>
      </c>
      <c r="CZ49">
        <v>2</v>
      </c>
      <c r="DA49">
        <v>5</v>
      </c>
      <c r="DB49">
        <v>5</v>
      </c>
      <c r="DC49">
        <v>10</v>
      </c>
    </row>
    <row r="50" spans="1:107" x14ac:dyDescent="0.25">
      <c r="B50" t="s">
        <v>112</v>
      </c>
      <c r="C50">
        <v>-35.6751</v>
      </c>
      <c r="D50">
        <v>-71.543000000000006</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1</v>
      </c>
      <c r="BO50">
        <v>2</v>
      </c>
      <c r="BP50">
        <v>2</v>
      </c>
      <c r="BQ50">
        <v>3</v>
      </c>
      <c r="BR50">
        <v>4</v>
      </c>
      <c r="BS50">
        <v>5</v>
      </c>
      <c r="BT50">
        <v>6</v>
      </c>
      <c r="BU50">
        <v>7</v>
      </c>
      <c r="BV50">
        <v>8</v>
      </c>
      <c r="BW50">
        <v>12</v>
      </c>
      <c r="BX50">
        <v>16</v>
      </c>
      <c r="BY50">
        <v>18</v>
      </c>
      <c r="BZ50">
        <v>22</v>
      </c>
      <c r="CA50">
        <v>27</v>
      </c>
      <c r="CB50">
        <v>34</v>
      </c>
      <c r="CC50">
        <v>37</v>
      </c>
      <c r="CD50">
        <v>43</v>
      </c>
      <c r="CE50">
        <v>48</v>
      </c>
      <c r="CF50">
        <v>57</v>
      </c>
      <c r="CG50">
        <v>65</v>
      </c>
      <c r="CH50">
        <v>73</v>
      </c>
      <c r="CI50">
        <v>80</v>
      </c>
      <c r="CJ50">
        <v>82</v>
      </c>
      <c r="CK50">
        <v>92</v>
      </c>
      <c r="CL50">
        <v>94</v>
      </c>
      <c r="CM50">
        <v>105</v>
      </c>
      <c r="CN50">
        <v>116</v>
      </c>
      <c r="CO50">
        <v>126</v>
      </c>
      <c r="CP50">
        <v>133</v>
      </c>
      <c r="CQ50">
        <v>139</v>
      </c>
      <c r="CR50">
        <v>147</v>
      </c>
      <c r="CS50">
        <v>160</v>
      </c>
      <c r="CT50">
        <v>168</v>
      </c>
      <c r="CU50">
        <v>174</v>
      </c>
      <c r="CV50">
        <v>181</v>
      </c>
      <c r="CW50">
        <v>189</v>
      </c>
      <c r="CX50">
        <v>198</v>
      </c>
      <c r="CY50">
        <v>207</v>
      </c>
      <c r="CZ50">
        <v>216</v>
      </c>
      <c r="DA50">
        <v>227</v>
      </c>
      <c r="DB50">
        <v>234</v>
      </c>
      <c r="DC50">
        <v>247</v>
      </c>
    </row>
    <row r="51" spans="1:107" x14ac:dyDescent="0.25">
      <c r="A51" t="s">
        <v>4</v>
      </c>
      <c r="B51" t="s">
        <v>176</v>
      </c>
      <c r="C51">
        <v>31.825700000000001</v>
      </c>
      <c r="D51">
        <v>117.2264</v>
      </c>
      <c r="F51">
        <v>0</v>
      </c>
      <c r="G51">
        <v>0</v>
      </c>
      <c r="H51">
        <v>0</v>
      </c>
      <c r="I51">
        <v>0</v>
      </c>
      <c r="J51">
        <v>0</v>
      </c>
      <c r="K51">
        <v>0</v>
      </c>
      <c r="L51">
        <v>0</v>
      </c>
      <c r="M51">
        <v>0</v>
      </c>
      <c r="N51">
        <v>0</v>
      </c>
      <c r="O51">
        <v>0</v>
      </c>
      <c r="P51">
        <v>0</v>
      </c>
      <c r="Q51">
        <v>0</v>
      </c>
      <c r="R51">
        <v>0</v>
      </c>
      <c r="S51">
        <v>0</v>
      </c>
      <c r="T51">
        <v>0</v>
      </c>
      <c r="U51">
        <v>0</v>
      </c>
      <c r="V51">
        <v>0</v>
      </c>
      <c r="W51">
        <v>0</v>
      </c>
      <c r="X51">
        <v>1</v>
      </c>
      <c r="Y51">
        <v>3</v>
      </c>
      <c r="Z51">
        <v>4</v>
      </c>
      <c r="AA51">
        <v>4</v>
      </c>
      <c r="AB51">
        <v>5</v>
      </c>
      <c r="AC51">
        <v>6</v>
      </c>
      <c r="AD51">
        <v>6</v>
      </c>
      <c r="AE51">
        <v>6</v>
      </c>
      <c r="AF51">
        <v>6</v>
      </c>
      <c r="AG51">
        <v>6</v>
      </c>
      <c r="AH51">
        <v>6</v>
      </c>
      <c r="AI51">
        <v>6</v>
      </c>
      <c r="AJ51">
        <v>6</v>
      </c>
      <c r="AK51">
        <v>6</v>
      </c>
      <c r="AL51">
        <v>6</v>
      </c>
      <c r="AM51">
        <v>6</v>
      </c>
      <c r="AN51">
        <v>6</v>
      </c>
      <c r="AO51">
        <v>6</v>
      </c>
      <c r="AP51">
        <v>6</v>
      </c>
      <c r="AQ51">
        <v>6</v>
      </c>
      <c r="AR51">
        <v>6</v>
      </c>
      <c r="AS51">
        <v>6</v>
      </c>
      <c r="AT51">
        <v>6</v>
      </c>
      <c r="AU51">
        <v>6</v>
      </c>
      <c r="AV51">
        <v>6</v>
      </c>
      <c r="AW51">
        <v>6</v>
      </c>
      <c r="AX51">
        <v>6</v>
      </c>
      <c r="AY51">
        <v>6</v>
      </c>
      <c r="AZ51">
        <v>6</v>
      </c>
      <c r="BA51">
        <v>6</v>
      </c>
      <c r="BB51">
        <v>6</v>
      </c>
      <c r="BC51">
        <v>6</v>
      </c>
      <c r="BD51">
        <v>6</v>
      </c>
      <c r="BE51">
        <v>6</v>
      </c>
      <c r="BF51">
        <v>6</v>
      </c>
      <c r="BG51">
        <v>6</v>
      </c>
      <c r="BH51">
        <v>6</v>
      </c>
      <c r="BI51">
        <v>6</v>
      </c>
      <c r="BJ51">
        <v>6</v>
      </c>
      <c r="BK51">
        <v>6</v>
      </c>
      <c r="BL51">
        <v>6</v>
      </c>
      <c r="BM51">
        <v>6</v>
      </c>
      <c r="BN51">
        <v>6</v>
      </c>
      <c r="BO51">
        <v>6</v>
      </c>
      <c r="BP51">
        <v>6</v>
      </c>
      <c r="BQ51">
        <v>6</v>
      </c>
      <c r="BR51">
        <v>6</v>
      </c>
      <c r="BS51">
        <v>6</v>
      </c>
      <c r="BT51">
        <v>6</v>
      </c>
      <c r="BU51">
        <v>6</v>
      </c>
      <c r="BV51">
        <v>6</v>
      </c>
      <c r="BW51">
        <v>6</v>
      </c>
      <c r="BX51">
        <v>6</v>
      </c>
      <c r="BY51">
        <v>6</v>
      </c>
      <c r="BZ51">
        <v>6</v>
      </c>
      <c r="CA51">
        <v>6</v>
      </c>
      <c r="CB51">
        <v>6</v>
      </c>
      <c r="CC51">
        <v>6</v>
      </c>
      <c r="CD51">
        <v>6</v>
      </c>
      <c r="CE51">
        <v>6</v>
      </c>
      <c r="CF51">
        <v>6</v>
      </c>
      <c r="CG51">
        <v>6</v>
      </c>
      <c r="CH51">
        <v>6</v>
      </c>
      <c r="CI51">
        <v>6</v>
      </c>
      <c r="CJ51">
        <v>6</v>
      </c>
      <c r="CK51">
        <v>6</v>
      </c>
      <c r="CL51">
        <v>6</v>
      </c>
      <c r="CM51">
        <v>6</v>
      </c>
      <c r="CN51">
        <v>6</v>
      </c>
      <c r="CO51">
        <v>6</v>
      </c>
      <c r="CP51">
        <v>6</v>
      </c>
      <c r="CQ51">
        <v>6</v>
      </c>
      <c r="CR51">
        <v>6</v>
      </c>
      <c r="CS51">
        <v>6</v>
      </c>
      <c r="CT51">
        <v>6</v>
      </c>
      <c r="CU51">
        <v>6</v>
      </c>
      <c r="CV51">
        <v>6</v>
      </c>
      <c r="CW51">
        <v>6</v>
      </c>
      <c r="CX51">
        <v>6</v>
      </c>
      <c r="CY51">
        <v>6</v>
      </c>
      <c r="CZ51">
        <v>6</v>
      </c>
      <c r="DA51">
        <v>6</v>
      </c>
      <c r="DB51">
        <v>6</v>
      </c>
      <c r="DC51">
        <v>6</v>
      </c>
    </row>
    <row r="52" spans="1:107" x14ac:dyDescent="0.25">
      <c r="A52" t="s">
        <v>5</v>
      </c>
      <c r="B52" t="s">
        <v>176</v>
      </c>
      <c r="C52">
        <v>40.182400000000001</v>
      </c>
      <c r="D52">
        <v>116.41419999999999</v>
      </c>
      <c r="F52">
        <v>0</v>
      </c>
      <c r="G52">
        <v>0</v>
      </c>
      <c r="H52">
        <v>0</v>
      </c>
      <c r="I52">
        <v>0</v>
      </c>
      <c r="J52">
        <v>0</v>
      </c>
      <c r="K52">
        <v>1</v>
      </c>
      <c r="L52">
        <v>1</v>
      </c>
      <c r="M52">
        <v>1</v>
      </c>
      <c r="N52">
        <v>1</v>
      </c>
      <c r="O52">
        <v>1</v>
      </c>
      <c r="P52">
        <v>1</v>
      </c>
      <c r="Q52">
        <v>1</v>
      </c>
      <c r="R52">
        <v>1</v>
      </c>
      <c r="S52">
        <v>1</v>
      </c>
      <c r="T52">
        <v>1</v>
      </c>
      <c r="U52">
        <v>1</v>
      </c>
      <c r="V52">
        <v>1</v>
      </c>
      <c r="W52">
        <v>2</v>
      </c>
      <c r="X52">
        <v>2</v>
      </c>
      <c r="Y52">
        <v>2</v>
      </c>
      <c r="Z52">
        <v>3</v>
      </c>
      <c r="AA52">
        <v>3</v>
      </c>
      <c r="AB52">
        <v>3</v>
      </c>
      <c r="AC52">
        <v>3</v>
      </c>
      <c r="AD52">
        <v>4</v>
      </c>
      <c r="AE52">
        <v>4</v>
      </c>
      <c r="AF52">
        <v>4</v>
      </c>
      <c r="AG52">
        <v>4</v>
      </c>
      <c r="AH52">
        <v>4</v>
      </c>
      <c r="AI52">
        <v>4</v>
      </c>
      <c r="AJ52">
        <v>4</v>
      </c>
      <c r="AK52">
        <v>4</v>
      </c>
      <c r="AL52">
        <v>4</v>
      </c>
      <c r="AM52">
        <v>4</v>
      </c>
      <c r="AN52">
        <v>4</v>
      </c>
      <c r="AO52">
        <v>4</v>
      </c>
      <c r="AP52">
        <v>5</v>
      </c>
      <c r="AQ52">
        <v>7</v>
      </c>
      <c r="AR52">
        <v>8</v>
      </c>
      <c r="AS52">
        <v>8</v>
      </c>
      <c r="AT52">
        <v>8</v>
      </c>
      <c r="AU52">
        <v>8</v>
      </c>
      <c r="AV52">
        <v>8</v>
      </c>
      <c r="AW52">
        <v>8</v>
      </c>
      <c r="AX52">
        <v>8</v>
      </c>
      <c r="AY52">
        <v>8</v>
      </c>
      <c r="AZ52">
        <v>8</v>
      </c>
      <c r="BA52">
        <v>8</v>
      </c>
      <c r="BB52">
        <v>8</v>
      </c>
      <c r="BC52">
        <v>8</v>
      </c>
      <c r="BD52">
        <v>8</v>
      </c>
      <c r="BE52">
        <v>8</v>
      </c>
      <c r="BF52">
        <v>8</v>
      </c>
      <c r="BG52">
        <v>8</v>
      </c>
      <c r="BH52">
        <v>8</v>
      </c>
      <c r="BI52">
        <v>8</v>
      </c>
      <c r="BJ52">
        <v>8</v>
      </c>
      <c r="BK52">
        <v>8</v>
      </c>
      <c r="BL52">
        <v>8</v>
      </c>
      <c r="BM52">
        <v>8</v>
      </c>
      <c r="BN52">
        <v>8</v>
      </c>
      <c r="BO52">
        <v>8</v>
      </c>
      <c r="BP52">
        <v>8</v>
      </c>
      <c r="BQ52">
        <v>8</v>
      </c>
      <c r="BR52">
        <v>8</v>
      </c>
      <c r="BS52">
        <v>8</v>
      </c>
      <c r="BT52">
        <v>8</v>
      </c>
      <c r="BU52">
        <v>8</v>
      </c>
      <c r="BV52">
        <v>8</v>
      </c>
      <c r="BW52">
        <v>8</v>
      </c>
      <c r="BX52">
        <v>8</v>
      </c>
      <c r="BY52">
        <v>8</v>
      </c>
      <c r="BZ52">
        <v>8</v>
      </c>
      <c r="CA52">
        <v>8</v>
      </c>
      <c r="CB52">
        <v>8</v>
      </c>
      <c r="CC52">
        <v>8</v>
      </c>
      <c r="CD52">
        <v>8</v>
      </c>
      <c r="CE52">
        <v>8</v>
      </c>
      <c r="CF52">
        <v>8</v>
      </c>
      <c r="CG52">
        <v>8</v>
      </c>
      <c r="CH52">
        <v>8</v>
      </c>
      <c r="CI52">
        <v>8</v>
      </c>
      <c r="CJ52">
        <v>8</v>
      </c>
      <c r="CK52">
        <v>8</v>
      </c>
      <c r="CL52">
        <v>8</v>
      </c>
      <c r="CM52">
        <v>8</v>
      </c>
      <c r="CN52">
        <v>8</v>
      </c>
      <c r="CO52">
        <v>8</v>
      </c>
      <c r="CP52">
        <v>8</v>
      </c>
      <c r="CQ52">
        <v>8</v>
      </c>
      <c r="CR52">
        <v>8</v>
      </c>
      <c r="CS52">
        <v>8</v>
      </c>
      <c r="CT52">
        <v>8</v>
      </c>
      <c r="CU52">
        <v>8</v>
      </c>
      <c r="CV52">
        <v>8</v>
      </c>
      <c r="CW52">
        <v>9</v>
      </c>
      <c r="CX52">
        <v>9</v>
      </c>
      <c r="CY52">
        <v>9</v>
      </c>
      <c r="CZ52">
        <v>9</v>
      </c>
      <c r="DA52">
        <v>9</v>
      </c>
      <c r="DB52">
        <v>9</v>
      </c>
      <c r="DC52">
        <v>9</v>
      </c>
    </row>
    <row r="53" spans="1:107" x14ac:dyDescent="0.25">
      <c r="A53" t="s">
        <v>6</v>
      </c>
      <c r="B53" t="s">
        <v>176</v>
      </c>
      <c r="C53">
        <v>30.057200000000002</v>
      </c>
      <c r="D53">
        <v>107.874</v>
      </c>
      <c r="F53">
        <v>0</v>
      </c>
      <c r="G53">
        <v>0</v>
      </c>
      <c r="H53">
        <v>0</v>
      </c>
      <c r="I53">
        <v>0</v>
      </c>
      <c r="J53">
        <v>0</v>
      </c>
      <c r="K53">
        <v>0</v>
      </c>
      <c r="L53">
        <v>0</v>
      </c>
      <c r="M53">
        <v>0</v>
      </c>
      <c r="N53">
        <v>0</v>
      </c>
      <c r="O53">
        <v>0</v>
      </c>
      <c r="P53">
        <v>1</v>
      </c>
      <c r="Q53">
        <v>2</v>
      </c>
      <c r="R53">
        <v>2</v>
      </c>
      <c r="S53">
        <v>2</v>
      </c>
      <c r="T53">
        <v>2</v>
      </c>
      <c r="U53">
        <v>2</v>
      </c>
      <c r="V53">
        <v>2</v>
      </c>
      <c r="W53">
        <v>2</v>
      </c>
      <c r="X53">
        <v>2</v>
      </c>
      <c r="Y53">
        <v>2</v>
      </c>
      <c r="Z53">
        <v>3</v>
      </c>
      <c r="AA53">
        <v>3</v>
      </c>
      <c r="AB53">
        <v>4</v>
      </c>
      <c r="AC53">
        <v>5</v>
      </c>
      <c r="AD53">
        <v>5</v>
      </c>
      <c r="AE53">
        <v>5</v>
      </c>
      <c r="AF53">
        <v>5</v>
      </c>
      <c r="AG53">
        <v>5</v>
      </c>
      <c r="AH53">
        <v>5</v>
      </c>
      <c r="AI53">
        <v>6</v>
      </c>
      <c r="AJ53">
        <v>6</v>
      </c>
      <c r="AK53">
        <v>6</v>
      </c>
      <c r="AL53">
        <v>6</v>
      </c>
      <c r="AM53">
        <v>6</v>
      </c>
      <c r="AN53">
        <v>6</v>
      </c>
      <c r="AO53">
        <v>6</v>
      </c>
      <c r="AP53">
        <v>6</v>
      </c>
      <c r="AQ53">
        <v>6</v>
      </c>
      <c r="AR53">
        <v>6</v>
      </c>
      <c r="AS53">
        <v>6</v>
      </c>
      <c r="AT53">
        <v>6</v>
      </c>
      <c r="AU53">
        <v>6</v>
      </c>
      <c r="AV53">
        <v>6</v>
      </c>
      <c r="AW53">
        <v>6</v>
      </c>
      <c r="AX53">
        <v>6</v>
      </c>
      <c r="AY53">
        <v>6</v>
      </c>
      <c r="AZ53">
        <v>6</v>
      </c>
      <c r="BA53">
        <v>6</v>
      </c>
      <c r="BB53">
        <v>6</v>
      </c>
      <c r="BC53">
        <v>6</v>
      </c>
      <c r="BD53">
        <v>6</v>
      </c>
      <c r="BE53">
        <v>6</v>
      </c>
      <c r="BF53">
        <v>6</v>
      </c>
      <c r="BG53">
        <v>6</v>
      </c>
      <c r="BH53">
        <v>6</v>
      </c>
      <c r="BI53">
        <v>6</v>
      </c>
      <c r="BJ53">
        <v>6</v>
      </c>
      <c r="BK53">
        <v>6</v>
      </c>
      <c r="BL53">
        <v>6</v>
      </c>
      <c r="BM53">
        <v>6</v>
      </c>
      <c r="BN53">
        <v>6</v>
      </c>
      <c r="BO53">
        <v>6</v>
      </c>
      <c r="BP53">
        <v>6</v>
      </c>
      <c r="BQ53">
        <v>6</v>
      </c>
      <c r="BR53">
        <v>6</v>
      </c>
      <c r="BS53">
        <v>6</v>
      </c>
      <c r="BT53">
        <v>6</v>
      </c>
      <c r="BU53">
        <v>6</v>
      </c>
      <c r="BV53">
        <v>6</v>
      </c>
      <c r="BW53">
        <v>6</v>
      </c>
      <c r="BX53">
        <v>6</v>
      </c>
      <c r="BY53">
        <v>6</v>
      </c>
      <c r="BZ53">
        <v>6</v>
      </c>
      <c r="CA53">
        <v>6</v>
      </c>
      <c r="CB53">
        <v>6</v>
      </c>
      <c r="CC53">
        <v>6</v>
      </c>
      <c r="CD53">
        <v>6</v>
      </c>
      <c r="CE53">
        <v>6</v>
      </c>
      <c r="CF53">
        <v>6</v>
      </c>
      <c r="CG53">
        <v>6</v>
      </c>
      <c r="CH53">
        <v>6</v>
      </c>
      <c r="CI53">
        <v>6</v>
      </c>
      <c r="CJ53">
        <v>6</v>
      </c>
      <c r="CK53">
        <v>6</v>
      </c>
      <c r="CL53">
        <v>6</v>
      </c>
      <c r="CM53">
        <v>6</v>
      </c>
      <c r="CN53">
        <v>6</v>
      </c>
      <c r="CO53">
        <v>6</v>
      </c>
      <c r="CP53">
        <v>6</v>
      </c>
      <c r="CQ53">
        <v>6</v>
      </c>
      <c r="CR53">
        <v>6</v>
      </c>
      <c r="CS53">
        <v>6</v>
      </c>
      <c r="CT53">
        <v>6</v>
      </c>
      <c r="CU53">
        <v>6</v>
      </c>
      <c r="CV53">
        <v>6</v>
      </c>
      <c r="CW53">
        <v>6</v>
      </c>
      <c r="CX53">
        <v>6</v>
      </c>
      <c r="CY53">
        <v>6</v>
      </c>
      <c r="CZ53">
        <v>6</v>
      </c>
      <c r="DA53">
        <v>6</v>
      </c>
      <c r="DB53">
        <v>6</v>
      </c>
      <c r="DC53">
        <v>6</v>
      </c>
    </row>
    <row r="54" spans="1:107" x14ac:dyDescent="0.25">
      <c r="A54" t="s">
        <v>7</v>
      </c>
      <c r="B54" t="s">
        <v>176</v>
      </c>
      <c r="C54">
        <v>26.078900000000001</v>
      </c>
      <c r="D54">
        <v>117.98739999999999</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1</v>
      </c>
      <c r="AJ54">
        <v>1</v>
      </c>
      <c r="AK54">
        <v>1</v>
      </c>
      <c r="AL54">
        <v>1</v>
      </c>
      <c r="AM54">
        <v>1</v>
      </c>
      <c r="AN54">
        <v>1</v>
      </c>
      <c r="AO54">
        <v>1</v>
      </c>
      <c r="AP54">
        <v>1</v>
      </c>
      <c r="AQ54">
        <v>1</v>
      </c>
      <c r="AR54">
        <v>1</v>
      </c>
      <c r="AS54">
        <v>1</v>
      </c>
      <c r="AT54">
        <v>1</v>
      </c>
      <c r="AU54">
        <v>1</v>
      </c>
      <c r="AV54">
        <v>1</v>
      </c>
      <c r="AW54">
        <v>1</v>
      </c>
      <c r="AX54">
        <v>1</v>
      </c>
      <c r="AY54">
        <v>1</v>
      </c>
      <c r="AZ54">
        <v>1</v>
      </c>
      <c r="BA54">
        <v>1</v>
      </c>
      <c r="BB54">
        <v>1</v>
      </c>
      <c r="BC54">
        <v>1</v>
      </c>
      <c r="BD54">
        <v>1</v>
      </c>
      <c r="BE54">
        <v>1</v>
      </c>
      <c r="BF54">
        <v>1</v>
      </c>
      <c r="BG54">
        <v>1</v>
      </c>
      <c r="BH54">
        <v>1</v>
      </c>
      <c r="BI54">
        <v>1</v>
      </c>
      <c r="BJ54">
        <v>1</v>
      </c>
      <c r="BK54">
        <v>1</v>
      </c>
      <c r="BL54">
        <v>1</v>
      </c>
      <c r="BM54">
        <v>1</v>
      </c>
      <c r="BN54">
        <v>1</v>
      </c>
      <c r="BO54">
        <v>1</v>
      </c>
      <c r="BP54">
        <v>1</v>
      </c>
      <c r="BQ54">
        <v>1</v>
      </c>
      <c r="BR54">
        <v>1</v>
      </c>
      <c r="BS54">
        <v>1</v>
      </c>
      <c r="BT54">
        <v>1</v>
      </c>
      <c r="BU54">
        <v>1</v>
      </c>
      <c r="BV54">
        <v>1</v>
      </c>
      <c r="BW54">
        <v>1</v>
      </c>
      <c r="BX54">
        <v>1</v>
      </c>
      <c r="BY54">
        <v>1</v>
      </c>
      <c r="BZ54">
        <v>1</v>
      </c>
      <c r="CA54">
        <v>1</v>
      </c>
      <c r="CB54">
        <v>1</v>
      </c>
      <c r="CC54">
        <v>1</v>
      </c>
      <c r="CD54">
        <v>1</v>
      </c>
      <c r="CE54">
        <v>1</v>
      </c>
      <c r="CF54">
        <v>1</v>
      </c>
      <c r="CG54">
        <v>1</v>
      </c>
      <c r="CH54">
        <v>1</v>
      </c>
      <c r="CI54">
        <v>1</v>
      </c>
      <c r="CJ54">
        <v>1</v>
      </c>
      <c r="CK54">
        <v>1</v>
      </c>
      <c r="CL54">
        <v>1</v>
      </c>
      <c r="CM54">
        <v>1</v>
      </c>
      <c r="CN54">
        <v>1</v>
      </c>
      <c r="CO54">
        <v>1</v>
      </c>
      <c r="CP54">
        <v>1</v>
      </c>
      <c r="CQ54">
        <v>1</v>
      </c>
      <c r="CR54">
        <v>1</v>
      </c>
      <c r="CS54">
        <v>1</v>
      </c>
      <c r="CT54">
        <v>1</v>
      </c>
      <c r="CU54">
        <v>1</v>
      </c>
      <c r="CV54">
        <v>1</v>
      </c>
      <c r="CW54">
        <v>1</v>
      </c>
      <c r="CX54">
        <v>1</v>
      </c>
      <c r="CY54">
        <v>1</v>
      </c>
      <c r="CZ54">
        <v>1</v>
      </c>
      <c r="DA54">
        <v>1</v>
      </c>
      <c r="DB54">
        <v>1</v>
      </c>
      <c r="DC54">
        <v>1</v>
      </c>
    </row>
    <row r="55" spans="1:107" x14ac:dyDescent="0.25">
      <c r="A55" t="s">
        <v>8</v>
      </c>
      <c r="B55" t="s">
        <v>176</v>
      </c>
      <c r="C55">
        <v>37.809899999999999</v>
      </c>
      <c r="D55">
        <v>101.0583</v>
      </c>
      <c r="F55">
        <v>0</v>
      </c>
      <c r="G55">
        <v>0</v>
      </c>
      <c r="H55">
        <v>0</v>
      </c>
      <c r="I55">
        <v>0</v>
      </c>
      <c r="J55">
        <v>0</v>
      </c>
      <c r="K55">
        <v>0</v>
      </c>
      <c r="L55">
        <v>0</v>
      </c>
      <c r="M55">
        <v>0</v>
      </c>
      <c r="N55">
        <v>0</v>
      </c>
      <c r="O55">
        <v>0</v>
      </c>
      <c r="P55">
        <v>0</v>
      </c>
      <c r="Q55">
        <v>0</v>
      </c>
      <c r="R55">
        <v>0</v>
      </c>
      <c r="S55">
        <v>0</v>
      </c>
      <c r="T55">
        <v>0</v>
      </c>
      <c r="U55">
        <v>0</v>
      </c>
      <c r="V55">
        <v>0</v>
      </c>
      <c r="W55">
        <v>1</v>
      </c>
      <c r="X55">
        <v>2</v>
      </c>
      <c r="Y55">
        <v>2</v>
      </c>
      <c r="Z55">
        <v>2</v>
      </c>
      <c r="AA55">
        <v>2</v>
      </c>
      <c r="AB55">
        <v>2</v>
      </c>
      <c r="AC55">
        <v>2</v>
      </c>
      <c r="AD55">
        <v>2</v>
      </c>
      <c r="AE55">
        <v>2</v>
      </c>
      <c r="AF55">
        <v>2</v>
      </c>
      <c r="AG55">
        <v>2</v>
      </c>
      <c r="AH55">
        <v>2</v>
      </c>
      <c r="AI55">
        <v>2</v>
      </c>
      <c r="AJ55">
        <v>2</v>
      </c>
      <c r="AK55">
        <v>2</v>
      </c>
      <c r="AL55">
        <v>2</v>
      </c>
      <c r="AM55">
        <v>2</v>
      </c>
      <c r="AN55">
        <v>2</v>
      </c>
      <c r="AO55">
        <v>2</v>
      </c>
      <c r="AP55">
        <v>2</v>
      </c>
      <c r="AQ55">
        <v>2</v>
      </c>
      <c r="AR55">
        <v>2</v>
      </c>
      <c r="AS55">
        <v>2</v>
      </c>
      <c r="AT55">
        <v>2</v>
      </c>
      <c r="AU55">
        <v>2</v>
      </c>
      <c r="AV55">
        <v>2</v>
      </c>
      <c r="AW55">
        <v>2</v>
      </c>
      <c r="AX55">
        <v>2</v>
      </c>
      <c r="AY55">
        <v>2</v>
      </c>
      <c r="AZ55">
        <v>2</v>
      </c>
      <c r="BA55">
        <v>2</v>
      </c>
      <c r="BB55">
        <v>2</v>
      </c>
      <c r="BC55">
        <v>2</v>
      </c>
      <c r="BD55">
        <v>2</v>
      </c>
      <c r="BE55">
        <v>2</v>
      </c>
      <c r="BF55">
        <v>2</v>
      </c>
      <c r="BG55">
        <v>2</v>
      </c>
      <c r="BH55">
        <v>2</v>
      </c>
      <c r="BI55">
        <v>2</v>
      </c>
      <c r="BJ55">
        <v>2</v>
      </c>
      <c r="BK55">
        <v>2</v>
      </c>
      <c r="BL55">
        <v>2</v>
      </c>
      <c r="BM55">
        <v>2</v>
      </c>
      <c r="BN55">
        <v>2</v>
      </c>
      <c r="BO55">
        <v>2</v>
      </c>
      <c r="BP55">
        <v>2</v>
      </c>
      <c r="BQ55">
        <v>2</v>
      </c>
      <c r="BR55">
        <v>2</v>
      </c>
      <c r="BS55">
        <v>2</v>
      </c>
      <c r="BT55">
        <v>2</v>
      </c>
      <c r="BU55">
        <v>2</v>
      </c>
      <c r="BV55">
        <v>2</v>
      </c>
      <c r="BW55">
        <v>2</v>
      </c>
      <c r="BX55">
        <v>2</v>
      </c>
      <c r="BY55">
        <v>2</v>
      </c>
      <c r="BZ55">
        <v>2</v>
      </c>
      <c r="CA55">
        <v>2</v>
      </c>
      <c r="CB55">
        <v>2</v>
      </c>
      <c r="CC55">
        <v>2</v>
      </c>
      <c r="CD55">
        <v>2</v>
      </c>
      <c r="CE55">
        <v>2</v>
      </c>
      <c r="CF55">
        <v>2</v>
      </c>
      <c r="CG55">
        <v>2</v>
      </c>
      <c r="CH55">
        <v>2</v>
      </c>
      <c r="CI55">
        <v>2</v>
      </c>
      <c r="CJ55">
        <v>2</v>
      </c>
      <c r="CK55">
        <v>2</v>
      </c>
      <c r="CL55">
        <v>2</v>
      </c>
      <c r="CM55">
        <v>2</v>
      </c>
      <c r="CN55">
        <v>2</v>
      </c>
      <c r="CO55">
        <v>2</v>
      </c>
      <c r="CP55">
        <v>2</v>
      </c>
      <c r="CQ55">
        <v>2</v>
      </c>
      <c r="CR55">
        <v>2</v>
      </c>
      <c r="CS55">
        <v>2</v>
      </c>
      <c r="CT55">
        <v>2</v>
      </c>
      <c r="CU55">
        <v>2</v>
      </c>
      <c r="CV55">
        <v>2</v>
      </c>
      <c r="CW55">
        <v>2</v>
      </c>
      <c r="CX55">
        <v>2</v>
      </c>
      <c r="CY55">
        <v>2</v>
      </c>
      <c r="CZ55">
        <v>2</v>
      </c>
      <c r="DA55">
        <v>2</v>
      </c>
      <c r="DB55">
        <v>2</v>
      </c>
      <c r="DC55">
        <v>2</v>
      </c>
    </row>
    <row r="56" spans="1:107" x14ac:dyDescent="0.25">
      <c r="A56" t="s">
        <v>9</v>
      </c>
      <c r="B56" t="s">
        <v>176</v>
      </c>
      <c r="C56">
        <v>23.341699999999999</v>
      </c>
      <c r="D56">
        <v>113.42440000000001</v>
      </c>
      <c r="F56">
        <v>0</v>
      </c>
      <c r="G56">
        <v>0</v>
      </c>
      <c r="H56">
        <v>0</v>
      </c>
      <c r="I56">
        <v>0</v>
      </c>
      <c r="J56">
        <v>0</v>
      </c>
      <c r="K56">
        <v>0</v>
      </c>
      <c r="L56">
        <v>0</v>
      </c>
      <c r="M56">
        <v>0</v>
      </c>
      <c r="N56">
        <v>0</v>
      </c>
      <c r="O56">
        <v>0</v>
      </c>
      <c r="P56">
        <v>0</v>
      </c>
      <c r="Q56">
        <v>0</v>
      </c>
      <c r="R56">
        <v>0</v>
      </c>
      <c r="S56">
        <v>0</v>
      </c>
      <c r="T56">
        <v>0</v>
      </c>
      <c r="U56">
        <v>0</v>
      </c>
      <c r="V56">
        <v>1</v>
      </c>
      <c r="W56">
        <v>1</v>
      </c>
      <c r="X56">
        <v>1</v>
      </c>
      <c r="Y56">
        <v>1</v>
      </c>
      <c r="Z56">
        <v>1</v>
      </c>
      <c r="AA56">
        <v>1</v>
      </c>
      <c r="AB56">
        <v>2</v>
      </c>
      <c r="AC56">
        <v>2</v>
      </c>
      <c r="AD56">
        <v>2</v>
      </c>
      <c r="AE56">
        <v>2</v>
      </c>
      <c r="AF56">
        <v>4</v>
      </c>
      <c r="AG56">
        <v>4</v>
      </c>
      <c r="AH56">
        <v>5</v>
      </c>
      <c r="AI56">
        <v>5</v>
      </c>
      <c r="AJ56">
        <v>5</v>
      </c>
      <c r="AK56">
        <v>5</v>
      </c>
      <c r="AL56">
        <v>6</v>
      </c>
      <c r="AM56">
        <v>6</v>
      </c>
      <c r="AN56">
        <v>7</v>
      </c>
      <c r="AO56">
        <v>7</v>
      </c>
      <c r="AP56">
        <v>7</v>
      </c>
      <c r="AQ56">
        <v>7</v>
      </c>
      <c r="AR56">
        <v>7</v>
      </c>
      <c r="AS56">
        <v>7</v>
      </c>
      <c r="AT56">
        <v>7</v>
      </c>
      <c r="AU56">
        <v>7</v>
      </c>
      <c r="AV56">
        <v>7</v>
      </c>
      <c r="AW56">
        <v>7</v>
      </c>
      <c r="AX56">
        <v>7</v>
      </c>
      <c r="AY56">
        <v>7</v>
      </c>
      <c r="AZ56">
        <v>7</v>
      </c>
      <c r="BA56">
        <v>8</v>
      </c>
      <c r="BB56">
        <v>8</v>
      </c>
      <c r="BC56">
        <v>8</v>
      </c>
      <c r="BD56">
        <v>8</v>
      </c>
      <c r="BE56">
        <v>8</v>
      </c>
      <c r="BF56">
        <v>8</v>
      </c>
      <c r="BG56">
        <v>8</v>
      </c>
      <c r="BH56">
        <v>8</v>
      </c>
      <c r="BI56">
        <v>8</v>
      </c>
      <c r="BJ56">
        <v>8</v>
      </c>
      <c r="BK56">
        <v>8</v>
      </c>
      <c r="BL56">
        <v>8</v>
      </c>
      <c r="BM56">
        <v>8</v>
      </c>
      <c r="BN56">
        <v>8</v>
      </c>
      <c r="BO56">
        <v>8</v>
      </c>
      <c r="BP56">
        <v>8</v>
      </c>
      <c r="BQ56">
        <v>8</v>
      </c>
      <c r="BR56">
        <v>8</v>
      </c>
      <c r="BS56">
        <v>8</v>
      </c>
      <c r="BT56">
        <v>8</v>
      </c>
      <c r="BU56">
        <v>8</v>
      </c>
      <c r="BV56">
        <v>8</v>
      </c>
      <c r="BW56">
        <v>8</v>
      </c>
      <c r="BX56">
        <v>8</v>
      </c>
      <c r="BY56">
        <v>8</v>
      </c>
      <c r="BZ56">
        <v>8</v>
      </c>
      <c r="CA56">
        <v>8</v>
      </c>
      <c r="CB56">
        <v>8</v>
      </c>
      <c r="CC56">
        <v>8</v>
      </c>
      <c r="CD56">
        <v>8</v>
      </c>
      <c r="CE56">
        <v>8</v>
      </c>
      <c r="CF56">
        <v>8</v>
      </c>
      <c r="CG56">
        <v>8</v>
      </c>
      <c r="CH56">
        <v>8</v>
      </c>
      <c r="CI56">
        <v>8</v>
      </c>
      <c r="CJ56">
        <v>8</v>
      </c>
      <c r="CK56">
        <v>8</v>
      </c>
      <c r="CL56">
        <v>8</v>
      </c>
      <c r="CM56">
        <v>8</v>
      </c>
      <c r="CN56">
        <v>8</v>
      </c>
      <c r="CO56">
        <v>8</v>
      </c>
      <c r="CP56">
        <v>8</v>
      </c>
      <c r="CQ56">
        <v>8</v>
      </c>
      <c r="CR56">
        <v>8</v>
      </c>
      <c r="CS56">
        <v>8</v>
      </c>
      <c r="CT56">
        <v>8</v>
      </c>
      <c r="CU56">
        <v>8</v>
      </c>
      <c r="CV56">
        <v>8</v>
      </c>
      <c r="CW56">
        <v>8</v>
      </c>
      <c r="CX56">
        <v>8</v>
      </c>
      <c r="CY56">
        <v>8</v>
      </c>
      <c r="CZ56">
        <v>8</v>
      </c>
      <c r="DA56">
        <v>8</v>
      </c>
      <c r="DB56">
        <v>8</v>
      </c>
      <c r="DC56">
        <v>8</v>
      </c>
    </row>
    <row r="57" spans="1:107" x14ac:dyDescent="0.25">
      <c r="A57" t="s">
        <v>10</v>
      </c>
      <c r="B57" t="s">
        <v>176</v>
      </c>
      <c r="C57">
        <v>23.829799999999999</v>
      </c>
      <c r="D57">
        <v>108.7881</v>
      </c>
      <c r="F57">
        <v>0</v>
      </c>
      <c r="G57">
        <v>0</v>
      </c>
      <c r="H57">
        <v>0</v>
      </c>
      <c r="I57">
        <v>0</v>
      </c>
      <c r="J57">
        <v>0</v>
      </c>
      <c r="K57">
        <v>0</v>
      </c>
      <c r="L57">
        <v>0</v>
      </c>
      <c r="M57">
        <v>0</v>
      </c>
      <c r="N57">
        <v>0</v>
      </c>
      <c r="O57">
        <v>0</v>
      </c>
      <c r="P57">
        <v>0</v>
      </c>
      <c r="Q57">
        <v>0</v>
      </c>
      <c r="R57">
        <v>0</v>
      </c>
      <c r="S57">
        <v>0</v>
      </c>
      <c r="T57">
        <v>0</v>
      </c>
      <c r="U57">
        <v>0</v>
      </c>
      <c r="V57">
        <v>0</v>
      </c>
      <c r="W57">
        <v>0</v>
      </c>
      <c r="X57">
        <v>1</v>
      </c>
      <c r="Y57">
        <v>1</v>
      </c>
      <c r="Z57">
        <v>1</v>
      </c>
      <c r="AA57">
        <v>1</v>
      </c>
      <c r="AB57">
        <v>2</v>
      </c>
      <c r="AC57">
        <v>2</v>
      </c>
      <c r="AD57">
        <v>2</v>
      </c>
      <c r="AE57">
        <v>2</v>
      </c>
      <c r="AF57">
        <v>2</v>
      </c>
      <c r="AG57">
        <v>2</v>
      </c>
      <c r="AH57">
        <v>2</v>
      </c>
      <c r="AI57">
        <v>2</v>
      </c>
      <c r="AJ57">
        <v>2</v>
      </c>
      <c r="AK57">
        <v>2</v>
      </c>
      <c r="AL57">
        <v>2</v>
      </c>
      <c r="AM57">
        <v>2</v>
      </c>
      <c r="AN57">
        <v>2</v>
      </c>
      <c r="AO57">
        <v>2</v>
      </c>
      <c r="AP57">
        <v>2</v>
      </c>
      <c r="AQ57">
        <v>2</v>
      </c>
      <c r="AR57">
        <v>2</v>
      </c>
      <c r="AS57">
        <v>2</v>
      </c>
      <c r="AT57">
        <v>2</v>
      </c>
      <c r="AU57">
        <v>2</v>
      </c>
      <c r="AV57">
        <v>2</v>
      </c>
      <c r="AW57">
        <v>2</v>
      </c>
      <c r="AX57">
        <v>2</v>
      </c>
      <c r="AY57">
        <v>2</v>
      </c>
      <c r="AZ57">
        <v>2</v>
      </c>
      <c r="BA57">
        <v>2</v>
      </c>
      <c r="BB57">
        <v>2</v>
      </c>
      <c r="BC57">
        <v>2</v>
      </c>
      <c r="BD57">
        <v>2</v>
      </c>
      <c r="BE57">
        <v>2</v>
      </c>
      <c r="BF57">
        <v>2</v>
      </c>
      <c r="BG57">
        <v>2</v>
      </c>
      <c r="BH57">
        <v>2</v>
      </c>
      <c r="BI57">
        <v>2</v>
      </c>
      <c r="BJ57">
        <v>2</v>
      </c>
      <c r="BK57">
        <v>2</v>
      </c>
      <c r="BL57">
        <v>2</v>
      </c>
      <c r="BM57">
        <v>2</v>
      </c>
      <c r="BN57">
        <v>2</v>
      </c>
      <c r="BO57">
        <v>2</v>
      </c>
      <c r="BP57">
        <v>2</v>
      </c>
      <c r="BQ57">
        <v>2</v>
      </c>
      <c r="BR57">
        <v>2</v>
      </c>
      <c r="BS57">
        <v>2</v>
      </c>
      <c r="BT57">
        <v>2</v>
      </c>
      <c r="BU57">
        <v>2</v>
      </c>
      <c r="BV57">
        <v>2</v>
      </c>
      <c r="BW57">
        <v>2</v>
      </c>
      <c r="BX57">
        <v>2</v>
      </c>
      <c r="BY57">
        <v>2</v>
      </c>
      <c r="BZ57">
        <v>2</v>
      </c>
      <c r="CA57">
        <v>2</v>
      </c>
      <c r="CB57">
        <v>2</v>
      </c>
      <c r="CC57">
        <v>2</v>
      </c>
      <c r="CD57">
        <v>2</v>
      </c>
      <c r="CE57">
        <v>2</v>
      </c>
      <c r="CF57">
        <v>2</v>
      </c>
      <c r="CG57">
        <v>2</v>
      </c>
      <c r="CH57">
        <v>2</v>
      </c>
      <c r="CI57">
        <v>2</v>
      </c>
      <c r="CJ57">
        <v>2</v>
      </c>
      <c r="CK57">
        <v>2</v>
      </c>
      <c r="CL57">
        <v>2</v>
      </c>
      <c r="CM57">
        <v>2</v>
      </c>
      <c r="CN57">
        <v>2</v>
      </c>
      <c r="CO57">
        <v>2</v>
      </c>
      <c r="CP57">
        <v>2</v>
      </c>
      <c r="CQ57">
        <v>2</v>
      </c>
      <c r="CR57">
        <v>2</v>
      </c>
      <c r="CS57">
        <v>2</v>
      </c>
      <c r="CT57">
        <v>2</v>
      </c>
      <c r="CU57">
        <v>2</v>
      </c>
      <c r="CV57">
        <v>2</v>
      </c>
      <c r="CW57">
        <v>2</v>
      </c>
      <c r="CX57">
        <v>2</v>
      </c>
      <c r="CY57">
        <v>2</v>
      </c>
      <c r="CZ57">
        <v>2</v>
      </c>
      <c r="DA57">
        <v>2</v>
      </c>
      <c r="DB57">
        <v>2</v>
      </c>
      <c r="DC57">
        <v>2</v>
      </c>
    </row>
    <row r="58" spans="1:107" x14ac:dyDescent="0.25">
      <c r="A58" t="s">
        <v>11</v>
      </c>
      <c r="B58" t="s">
        <v>176</v>
      </c>
      <c r="C58">
        <v>26.8154</v>
      </c>
      <c r="D58">
        <v>106.87479999999999</v>
      </c>
      <c r="F58">
        <v>0</v>
      </c>
      <c r="G58">
        <v>0</v>
      </c>
      <c r="H58">
        <v>0</v>
      </c>
      <c r="I58">
        <v>0</v>
      </c>
      <c r="J58">
        <v>0</v>
      </c>
      <c r="K58">
        <v>0</v>
      </c>
      <c r="L58">
        <v>0</v>
      </c>
      <c r="M58">
        <v>0</v>
      </c>
      <c r="N58">
        <v>0</v>
      </c>
      <c r="O58">
        <v>0</v>
      </c>
      <c r="P58">
        <v>0</v>
      </c>
      <c r="Q58">
        <v>0</v>
      </c>
      <c r="R58">
        <v>0</v>
      </c>
      <c r="S58">
        <v>0</v>
      </c>
      <c r="T58">
        <v>1</v>
      </c>
      <c r="U58">
        <v>1</v>
      </c>
      <c r="V58">
        <v>1</v>
      </c>
      <c r="W58">
        <v>1</v>
      </c>
      <c r="X58">
        <v>1</v>
      </c>
      <c r="Y58">
        <v>1</v>
      </c>
      <c r="Z58">
        <v>1</v>
      </c>
      <c r="AA58">
        <v>1</v>
      </c>
      <c r="AB58">
        <v>1</v>
      </c>
      <c r="AC58">
        <v>1</v>
      </c>
      <c r="AD58">
        <v>1</v>
      </c>
      <c r="AE58">
        <v>1</v>
      </c>
      <c r="AF58">
        <v>1</v>
      </c>
      <c r="AG58">
        <v>2</v>
      </c>
      <c r="AH58">
        <v>2</v>
      </c>
      <c r="AI58">
        <v>2</v>
      </c>
      <c r="AJ58">
        <v>2</v>
      </c>
      <c r="AK58">
        <v>2</v>
      </c>
      <c r="AL58">
        <v>2</v>
      </c>
      <c r="AM58">
        <v>2</v>
      </c>
      <c r="AN58">
        <v>2</v>
      </c>
      <c r="AO58">
        <v>2</v>
      </c>
      <c r="AP58">
        <v>2</v>
      </c>
      <c r="AQ58">
        <v>2</v>
      </c>
      <c r="AR58">
        <v>2</v>
      </c>
      <c r="AS58">
        <v>2</v>
      </c>
      <c r="AT58">
        <v>2</v>
      </c>
      <c r="AU58">
        <v>2</v>
      </c>
      <c r="AV58">
        <v>2</v>
      </c>
      <c r="AW58">
        <v>2</v>
      </c>
      <c r="AX58">
        <v>2</v>
      </c>
      <c r="AY58">
        <v>2</v>
      </c>
      <c r="AZ58">
        <v>2</v>
      </c>
      <c r="BA58">
        <v>2</v>
      </c>
      <c r="BB58">
        <v>2</v>
      </c>
      <c r="BC58">
        <v>2</v>
      </c>
      <c r="BD58">
        <v>2</v>
      </c>
      <c r="BE58">
        <v>2</v>
      </c>
      <c r="BF58">
        <v>2</v>
      </c>
      <c r="BG58">
        <v>2</v>
      </c>
      <c r="BH58">
        <v>2</v>
      </c>
      <c r="BI58">
        <v>2</v>
      </c>
      <c r="BJ58">
        <v>2</v>
      </c>
      <c r="BK58">
        <v>2</v>
      </c>
      <c r="BL58">
        <v>2</v>
      </c>
      <c r="BM58">
        <v>2</v>
      </c>
      <c r="BN58">
        <v>2</v>
      </c>
      <c r="BO58">
        <v>2</v>
      </c>
      <c r="BP58">
        <v>2</v>
      </c>
      <c r="BQ58">
        <v>2</v>
      </c>
      <c r="BR58">
        <v>2</v>
      </c>
      <c r="BS58">
        <v>2</v>
      </c>
      <c r="BT58">
        <v>2</v>
      </c>
      <c r="BU58">
        <v>2</v>
      </c>
      <c r="BV58">
        <v>2</v>
      </c>
      <c r="BW58">
        <v>2</v>
      </c>
      <c r="BX58">
        <v>2</v>
      </c>
      <c r="BY58">
        <v>2</v>
      </c>
      <c r="BZ58">
        <v>2</v>
      </c>
      <c r="CA58">
        <v>2</v>
      </c>
      <c r="CB58">
        <v>2</v>
      </c>
      <c r="CC58">
        <v>2</v>
      </c>
      <c r="CD58">
        <v>2</v>
      </c>
      <c r="CE58">
        <v>2</v>
      </c>
      <c r="CF58">
        <v>2</v>
      </c>
      <c r="CG58">
        <v>2</v>
      </c>
      <c r="CH58">
        <v>2</v>
      </c>
      <c r="CI58">
        <v>2</v>
      </c>
      <c r="CJ58">
        <v>2</v>
      </c>
      <c r="CK58">
        <v>2</v>
      </c>
      <c r="CL58">
        <v>2</v>
      </c>
      <c r="CM58">
        <v>2</v>
      </c>
      <c r="CN58">
        <v>2</v>
      </c>
      <c r="CO58">
        <v>2</v>
      </c>
      <c r="CP58">
        <v>2</v>
      </c>
      <c r="CQ58">
        <v>2</v>
      </c>
      <c r="CR58">
        <v>2</v>
      </c>
      <c r="CS58">
        <v>2</v>
      </c>
      <c r="CT58">
        <v>2</v>
      </c>
      <c r="CU58">
        <v>2</v>
      </c>
      <c r="CV58">
        <v>2</v>
      </c>
      <c r="CW58">
        <v>2</v>
      </c>
      <c r="CX58">
        <v>2</v>
      </c>
      <c r="CY58">
        <v>2</v>
      </c>
      <c r="CZ58">
        <v>2</v>
      </c>
      <c r="DA58">
        <v>2</v>
      </c>
      <c r="DB58">
        <v>2</v>
      </c>
      <c r="DC58">
        <v>2</v>
      </c>
    </row>
    <row r="59" spans="1:107" x14ac:dyDescent="0.25">
      <c r="A59" t="s">
        <v>12</v>
      </c>
      <c r="B59" t="s">
        <v>176</v>
      </c>
      <c r="C59">
        <v>19.195900000000002</v>
      </c>
      <c r="D59">
        <v>109.7453</v>
      </c>
      <c r="F59">
        <v>0</v>
      </c>
      <c r="G59">
        <v>0</v>
      </c>
      <c r="H59">
        <v>0</v>
      </c>
      <c r="I59">
        <v>0</v>
      </c>
      <c r="J59">
        <v>0</v>
      </c>
      <c r="K59">
        <v>1</v>
      </c>
      <c r="L59">
        <v>1</v>
      </c>
      <c r="M59">
        <v>1</v>
      </c>
      <c r="N59">
        <v>1</v>
      </c>
      <c r="O59">
        <v>1</v>
      </c>
      <c r="P59">
        <v>1</v>
      </c>
      <c r="Q59">
        <v>1</v>
      </c>
      <c r="R59">
        <v>1</v>
      </c>
      <c r="S59">
        <v>1</v>
      </c>
      <c r="T59">
        <v>1</v>
      </c>
      <c r="U59">
        <v>1</v>
      </c>
      <c r="V59">
        <v>2</v>
      </c>
      <c r="W59">
        <v>2</v>
      </c>
      <c r="X59">
        <v>3</v>
      </c>
      <c r="Y59">
        <v>3</v>
      </c>
      <c r="Z59">
        <v>3</v>
      </c>
      <c r="AA59">
        <v>4</v>
      </c>
      <c r="AB59">
        <v>4</v>
      </c>
      <c r="AC59">
        <v>4</v>
      </c>
      <c r="AD59">
        <v>4</v>
      </c>
      <c r="AE59">
        <v>4</v>
      </c>
      <c r="AF59">
        <v>4</v>
      </c>
      <c r="AG59">
        <v>4</v>
      </c>
      <c r="AH59">
        <v>4</v>
      </c>
      <c r="AI59">
        <v>4</v>
      </c>
      <c r="AJ59">
        <v>4</v>
      </c>
      <c r="AK59">
        <v>4</v>
      </c>
      <c r="AL59">
        <v>5</v>
      </c>
      <c r="AM59">
        <v>5</v>
      </c>
      <c r="AN59">
        <v>5</v>
      </c>
      <c r="AO59">
        <v>5</v>
      </c>
      <c r="AP59">
        <v>5</v>
      </c>
      <c r="AQ59">
        <v>5</v>
      </c>
      <c r="AR59">
        <v>5</v>
      </c>
      <c r="AS59">
        <v>5</v>
      </c>
      <c r="AT59">
        <v>5</v>
      </c>
      <c r="AU59">
        <v>5</v>
      </c>
      <c r="AV59">
        <v>5</v>
      </c>
      <c r="AW59">
        <v>6</v>
      </c>
      <c r="AX59">
        <v>6</v>
      </c>
      <c r="AY59">
        <v>6</v>
      </c>
      <c r="AZ59">
        <v>6</v>
      </c>
      <c r="BA59">
        <v>6</v>
      </c>
      <c r="BB59">
        <v>6</v>
      </c>
      <c r="BC59">
        <v>6</v>
      </c>
      <c r="BD59">
        <v>6</v>
      </c>
      <c r="BE59">
        <v>6</v>
      </c>
      <c r="BF59">
        <v>6</v>
      </c>
      <c r="BG59">
        <v>6</v>
      </c>
      <c r="BH59">
        <v>6</v>
      </c>
      <c r="BI59">
        <v>6</v>
      </c>
      <c r="BJ59">
        <v>6</v>
      </c>
      <c r="BK59">
        <v>6</v>
      </c>
      <c r="BL59">
        <v>6</v>
      </c>
      <c r="BM59">
        <v>6</v>
      </c>
      <c r="BN59">
        <v>6</v>
      </c>
      <c r="BO59">
        <v>6</v>
      </c>
      <c r="BP59">
        <v>6</v>
      </c>
      <c r="BQ59">
        <v>6</v>
      </c>
      <c r="BR59">
        <v>6</v>
      </c>
      <c r="BS59">
        <v>6</v>
      </c>
      <c r="BT59">
        <v>6</v>
      </c>
      <c r="BU59">
        <v>6</v>
      </c>
      <c r="BV59">
        <v>6</v>
      </c>
      <c r="BW59">
        <v>6</v>
      </c>
      <c r="BX59">
        <v>6</v>
      </c>
      <c r="BY59">
        <v>6</v>
      </c>
      <c r="BZ59">
        <v>6</v>
      </c>
      <c r="CA59">
        <v>6</v>
      </c>
      <c r="CB59">
        <v>6</v>
      </c>
      <c r="CC59">
        <v>6</v>
      </c>
      <c r="CD59">
        <v>6</v>
      </c>
      <c r="CE59">
        <v>6</v>
      </c>
      <c r="CF59">
        <v>6</v>
      </c>
      <c r="CG59">
        <v>6</v>
      </c>
      <c r="CH59">
        <v>6</v>
      </c>
      <c r="CI59">
        <v>6</v>
      </c>
      <c r="CJ59">
        <v>6</v>
      </c>
      <c r="CK59">
        <v>6</v>
      </c>
      <c r="CL59">
        <v>6</v>
      </c>
      <c r="CM59">
        <v>6</v>
      </c>
      <c r="CN59">
        <v>6</v>
      </c>
      <c r="CO59">
        <v>6</v>
      </c>
      <c r="CP59">
        <v>6</v>
      </c>
      <c r="CQ59">
        <v>6</v>
      </c>
      <c r="CR59">
        <v>6</v>
      </c>
      <c r="CS59">
        <v>6</v>
      </c>
      <c r="CT59">
        <v>6</v>
      </c>
      <c r="CU59">
        <v>6</v>
      </c>
      <c r="CV59">
        <v>6</v>
      </c>
      <c r="CW59">
        <v>6</v>
      </c>
      <c r="CX59">
        <v>6</v>
      </c>
      <c r="CY59">
        <v>6</v>
      </c>
      <c r="CZ59">
        <v>6</v>
      </c>
      <c r="DA59">
        <v>6</v>
      </c>
      <c r="DB59">
        <v>6</v>
      </c>
      <c r="DC59">
        <v>6</v>
      </c>
    </row>
    <row r="60" spans="1:107" x14ac:dyDescent="0.25">
      <c r="A60" t="s">
        <v>13</v>
      </c>
      <c r="B60" t="s">
        <v>176</v>
      </c>
      <c r="C60">
        <v>39.548999999999999</v>
      </c>
      <c r="D60">
        <v>116.1306</v>
      </c>
      <c r="F60">
        <v>0</v>
      </c>
      <c r="G60">
        <v>1</v>
      </c>
      <c r="H60">
        <v>1</v>
      </c>
      <c r="I60">
        <v>1</v>
      </c>
      <c r="J60">
        <v>1</v>
      </c>
      <c r="K60">
        <v>1</v>
      </c>
      <c r="L60">
        <v>1</v>
      </c>
      <c r="M60">
        <v>1</v>
      </c>
      <c r="N60">
        <v>1</v>
      </c>
      <c r="O60">
        <v>1</v>
      </c>
      <c r="P60">
        <v>1</v>
      </c>
      <c r="Q60">
        <v>1</v>
      </c>
      <c r="R60">
        <v>1</v>
      </c>
      <c r="S60">
        <v>1</v>
      </c>
      <c r="T60">
        <v>1</v>
      </c>
      <c r="U60">
        <v>1</v>
      </c>
      <c r="V60">
        <v>1</v>
      </c>
      <c r="W60">
        <v>1</v>
      </c>
      <c r="X60">
        <v>2</v>
      </c>
      <c r="Y60">
        <v>2</v>
      </c>
      <c r="Z60">
        <v>2</v>
      </c>
      <c r="AA60">
        <v>2</v>
      </c>
      <c r="AB60">
        <v>3</v>
      </c>
      <c r="AC60">
        <v>3</v>
      </c>
      <c r="AD60">
        <v>3</v>
      </c>
      <c r="AE60">
        <v>3</v>
      </c>
      <c r="AF60">
        <v>3</v>
      </c>
      <c r="AG60">
        <v>4</v>
      </c>
      <c r="AH60">
        <v>4</v>
      </c>
      <c r="AI60">
        <v>5</v>
      </c>
      <c r="AJ60">
        <v>5</v>
      </c>
      <c r="AK60">
        <v>6</v>
      </c>
      <c r="AL60">
        <v>6</v>
      </c>
      <c r="AM60">
        <v>6</v>
      </c>
      <c r="AN60">
        <v>6</v>
      </c>
      <c r="AO60">
        <v>6</v>
      </c>
      <c r="AP60">
        <v>6</v>
      </c>
      <c r="AQ60">
        <v>6</v>
      </c>
      <c r="AR60">
        <v>6</v>
      </c>
      <c r="AS60">
        <v>6</v>
      </c>
      <c r="AT60">
        <v>6</v>
      </c>
      <c r="AU60">
        <v>6</v>
      </c>
      <c r="AV60">
        <v>6</v>
      </c>
      <c r="AW60">
        <v>6</v>
      </c>
      <c r="AX60">
        <v>6</v>
      </c>
      <c r="AY60">
        <v>6</v>
      </c>
      <c r="AZ60">
        <v>6</v>
      </c>
      <c r="BA60">
        <v>6</v>
      </c>
      <c r="BB60">
        <v>6</v>
      </c>
      <c r="BC60">
        <v>6</v>
      </c>
      <c r="BD60">
        <v>6</v>
      </c>
      <c r="BE60">
        <v>6</v>
      </c>
      <c r="BF60">
        <v>6</v>
      </c>
      <c r="BG60">
        <v>6</v>
      </c>
      <c r="BH60">
        <v>6</v>
      </c>
      <c r="BI60">
        <v>6</v>
      </c>
      <c r="BJ60">
        <v>6</v>
      </c>
      <c r="BK60">
        <v>6</v>
      </c>
      <c r="BL60">
        <v>6</v>
      </c>
      <c r="BM60">
        <v>6</v>
      </c>
      <c r="BN60">
        <v>6</v>
      </c>
      <c r="BO60">
        <v>6</v>
      </c>
      <c r="BP60">
        <v>6</v>
      </c>
      <c r="BQ60">
        <v>6</v>
      </c>
      <c r="BR60">
        <v>6</v>
      </c>
      <c r="BS60">
        <v>6</v>
      </c>
      <c r="BT60">
        <v>6</v>
      </c>
      <c r="BU60">
        <v>6</v>
      </c>
      <c r="BV60">
        <v>6</v>
      </c>
      <c r="BW60">
        <v>6</v>
      </c>
      <c r="BX60">
        <v>6</v>
      </c>
      <c r="BY60">
        <v>6</v>
      </c>
      <c r="BZ60">
        <v>6</v>
      </c>
      <c r="CA60">
        <v>6</v>
      </c>
      <c r="CB60">
        <v>6</v>
      </c>
      <c r="CC60">
        <v>6</v>
      </c>
      <c r="CD60">
        <v>6</v>
      </c>
      <c r="CE60">
        <v>6</v>
      </c>
      <c r="CF60">
        <v>6</v>
      </c>
      <c r="CG60">
        <v>6</v>
      </c>
      <c r="CH60">
        <v>6</v>
      </c>
      <c r="CI60">
        <v>6</v>
      </c>
      <c r="CJ60">
        <v>6</v>
      </c>
      <c r="CK60">
        <v>6</v>
      </c>
      <c r="CL60">
        <v>6</v>
      </c>
      <c r="CM60">
        <v>6</v>
      </c>
      <c r="CN60">
        <v>6</v>
      </c>
      <c r="CO60">
        <v>6</v>
      </c>
      <c r="CP60">
        <v>6</v>
      </c>
      <c r="CQ60">
        <v>6</v>
      </c>
      <c r="CR60">
        <v>6</v>
      </c>
      <c r="CS60">
        <v>6</v>
      </c>
      <c r="CT60">
        <v>6</v>
      </c>
      <c r="CU60">
        <v>6</v>
      </c>
      <c r="CV60">
        <v>6</v>
      </c>
      <c r="CW60">
        <v>6</v>
      </c>
      <c r="CX60">
        <v>6</v>
      </c>
      <c r="CY60">
        <v>6</v>
      </c>
      <c r="CZ60">
        <v>6</v>
      </c>
      <c r="DA60">
        <v>6</v>
      </c>
      <c r="DB60">
        <v>6</v>
      </c>
      <c r="DC60">
        <v>6</v>
      </c>
    </row>
    <row r="61" spans="1:107" x14ac:dyDescent="0.25">
      <c r="A61" t="s">
        <v>14</v>
      </c>
      <c r="B61" t="s">
        <v>176</v>
      </c>
      <c r="C61">
        <v>47.861999999999995</v>
      </c>
      <c r="D61">
        <v>127.7615</v>
      </c>
      <c r="F61">
        <v>0</v>
      </c>
      <c r="G61">
        <v>0</v>
      </c>
      <c r="H61">
        <v>1</v>
      </c>
      <c r="I61">
        <v>1</v>
      </c>
      <c r="J61">
        <v>1</v>
      </c>
      <c r="K61">
        <v>1</v>
      </c>
      <c r="L61">
        <v>1</v>
      </c>
      <c r="M61">
        <v>1</v>
      </c>
      <c r="N61">
        <v>2</v>
      </c>
      <c r="O61">
        <v>2</v>
      </c>
      <c r="P61">
        <v>2</v>
      </c>
      <c r="Q61">
        <v>2</v>
      </c>
      <c r="R61">
        <v>2</v>
      </c>
      <c r="S61">
        <v>2</v>
      </c>
      <c r="T61">
        <v>2</v>
      </c>
      <c r="U61">
        <v>3</v>
      </c>
      <c r="V61">
        <v>3</v>
      </c>
      <c r="W61">
        <v>5</v>
      </c>
      <c r="X61">
        <v>6</v>
      </c>
      <c r="Y61">
        <v>7</v>
      </c>
      <c r="Z61">
        <v>8</v>
      </c>
      <c r="AA61">
        <v>8</v>
      </c>
      <c r="AB61">
        <v>9</v>
      </c>
      <c r="AC61">
        <v>11</v>
      </c>
      <c r="AD61">
        <v>11</v>
      </c>
      <c r="AE61">
        <v>11</v>
      </c>
      <c r="AF61">
        <v>11</v>
      </c>
      <c r="AG61">
        <v>11</v>
      </c>
      <c r="AH61">
        <v>12</v>
      </c>
      <c r="AI61">
        <v>12</v>
      </c>
      <c r="AJ61">
        <v>12</v>
      </c>
      <c r="AK61">
        <v>12</v>
      </c>
      <c r="AL61">
        <v>12</v>
      </c>
      <c r="AM61">
        <v>12</v>
      </c>
      <c r="AN61">
        <v>12</v>
      </c>
      <c r="AO61">
        <v>12</v>
      </c>
      <c r="AP61">
        <v>13</v>
      </c>
      <c r="AQ61">
        <v>13</v>
      </c>
      <c r="AR61">
        <v>13</v>
      </c>
      <c r="AS61">
        <v>13</v>
      </c>
      <c r="AT61">
        <v>13</v>
      </c>
      <c r="AU61">
        <v>13</v>
      </c>
      <c r="AV61">
        <v>13</v>
      </c>
      <c r="AW61">
        <v>13</v>
      </c>
      <c r="AX61">
        <v>13</v>
      </c>
      <c r="AY61">
        <v>13</v>
      </c>
      <c r="AZ61">
        <v>13</v>
      </c>
      <c r="BA61">
        <v>13</v>
      </c>
      <c r="BB61">
        <v>13</v>
      </c>
      <c r="BC61">
        <v>13</v>
      </c>
      <c r="BD61">
        <v>13</v>
      </c>
      <c r="BE61">
        <v>13</v>
      </c>
      <c r="BF61">
        <v>13</v>
      </c>
      <c r="BG61">
        <v>13</v>
      </c>
      <c r="BH61">
        <v>13</v>
      </c>
      <c r="BI61">
        <v>13</v>
      </c>
      <c r="BJ61">
        <v>13</v>
      </c>
      <c r="BK61">
        <v>13</v>
      </c>
      <c r="BL61">
        <v>13</v>
      </c>
      <c r="BM61">
        <v>13</v>
      </c>
      <c r="BN61">
        <v>13</v>
      </c>
      <c r="BO61">
        <v>13</v>
      </c>
      <c r="BP61">
        <v>13</v>
      </c>
      <c r="BQ61">
        <v>13</v>
      </c>
      <c r="BR61">
        <v>13</v>
      </c>
      <c r="BS61">
        <v>13</v>
      </c>
      <c r="BT61">
        <v>13</v>
      </c>
      <c r="BU61">
        <v>13</v>
      </c>
      <c r="BV61">
        <v>13</v>
      </c>
      <c r="BW61">
        <v>13</v>
      </c>
      <c r="BX61">
        <v>13</v>
      </c>
      <c r="BY61">
        <v>13</v>
      </c>
      <c r="BZ61">
        <v>13</v>
      </c>
      <c r="CA61">
        <v>13</v>
      </c>
      <c r="CB61">
        <v>13</v>
      </c>
      <c r="CC61">
        <v>13</v>
      </c>
      <c r="CD61">
        <v>13</v>
      </c>
      <c r="CE61">
        <v>13</v>
      </c>
      <c r="CF61">
        <v>13</v>
      </c>
      <c r="CG61">
        <v>13</v>
      </c>
      <c r="CH61">
        <v>13</v>
      </c>
      <c r="CI61">
        <v>13</v>
      </c>
      <c r="CJ61">
        <v>13</v>
      </c>
      <c r="CK61">
        <v>13</v>
      </c>
      <c r="CL61">
        <v>13</v>
      </c>
      <c r="CM61">
        <v>13</v>
      </c>
      <c r="CN61">
        <v>13</v>
      </c>
      <c r="CO61">
        <v>13</v>
      </c>
      <c r="CP61">
        <v>13</v>
      </c>
      <c r="CQ61">
        <v>13</v>
      </c>
      <c r="CR61">
        <v>13</v>
      </c>
      <c r="CS61">
        <v>13</v>
      </c>
      <c r="CT61">
        <v>13</v>
      </c>
      <c r="CU61">
        <v>13</v>
      </c>
      <c r="CV61">
        <v>13</v>
      </c>
      <c r="CW61">
        <v>13</v>
      </c>
      <c r="CX61">
        <v>13</v>
      </c>
      <c r="CY61">
        <v>13</v>
      </c>
      <c r="CZ61">
        <v>13</v>
      </c>
      <c r="DA61">
        <v>13</v>
      </c>
      <c r="DB61">
        <v>13</v>
      </c>
      <c r="DC61">
        <v>13</v>
      </c>
    </row>
    <row r="62" spans="1:107" x14ac:dyDescent="0.25">
      <c r="A62" t="s">
        <v>15</v>
      </c>
      <c r="B62" t="s">
        <v>176</v>
      </c>
      <c r="C62">
        <v>33.881999999999998</v>
      </c>
      <c r="D62">
        <v>113.61399999999999</v>
      </c>
      <c r="F62">
        <v>0</v>
      </c>
      <c r="G62">
        <v>0</v>
      </c>
      <c r="H62">
        <v>0</v>
      </c>
      <c r="I62">
        <v>0</v>
      </c>
      <c r="J62">
        <v>1</v>
      </c>
      <c r="K62">
        <v>1</v>
      </c>
      <c r="L62">
        <v>1</v>
      </c>
      <c r="M62">
        <v>2</v>
      </c>
      <c r="N62">
        <v>2</v>
      </c>
      <c r="O62">
        <v>2</v>
      </c>
      <c r="P62">
        <v>2</v>
      </c>
      <c r="Q62">
        <v>2</v>
      </c>
      <c r="R62">
        <v>2</v>
      </c>
      <c r="S62">
        <v>2</v>
      </c>
      <c r="T62">
        <v>2</v>
      </c>
      <c r="U62">
        <v>2</v>
      </c>
      <c r="V62">
        <v>3</v>
      </c>
      <c r="W62">
        <v>4</v>
      </c>
      <c r="X62">
        <v>6</v>
      </c>
      <c r="Y62">
        <v>6</v>
      </c>
      <c r="Z62">
        <v>7</v>
      </c>
      <c r="AA62">
        <v>8</v>
      </c>
      <c r="AB62">
        <v>10</v>
      </c>
      <c r="AC62">
        <v>11</v>
      </c>
      <c r="AD62">
        <v>13</v>
      </c>
      <c r="AE62">
        <v>13</v>
      </c>
      <c r="AF62">
        <v>16</v>
      </c>
      <c r="AG62">
        <v>19</v>
      </c>
      <c r="AH62">
        <v>19</v>
      </c>
      <c r="AI62">
        <v>19</v>
      </c>
      <c r="AJ62">
        <v>19</v>
      </c>
      <c r="AK62">
        <v>19</v>
      </c>
      <c r="AL62">
        <v>19</v>
      </c>
      <c r="AM62">
        <v>19</v>
      </c>
      <c r="AN62">
        <v>19</v>
      </c>
      <c r="AO62">
        <v>19</v>
      </c>
      <c r="AP62">
        <v>20</v>
      </c>
      <c r="AQ62">
        <v>20</v>
      </c>
      <c r="AR62">
        <v>21</v>
      </c>
      <c r="AS62">
        <v>22</v>
      </c>
      <c r="AT62">
        <v>22</v>
      </c>
      <c r="AU62">
        <v>22</v>
      </c>
      <c r="AV62">
        <v>22</v>
      </c>
      <c r="AW62">
        <v>22</v>
      </c>
      <c r="AX62">
        <v>22</v>
      </c>
      <c r="AY62">
        <v>22</v>
      </c>
      <c r="AZ62">
        <v>22</v>
      </c>
      <c r="BA62">
        <v>22</v>
      </c>
      <c r="BB62">
        <v>22</v>
      </c>
      <c r="BC62">
        <v>22</v>
      </c>
      <c r="BD62">
        <v>22</v>
      </c>
      <c r="BE62">
        <v>22</v>
      </c>
      <c r="BF62">
        <v>22</v>
      </c>
      <c r="BG62">
        <v>22</v>
      </c>
      <c r="BH62">
        <v>22</v>
      </c>
      <c r="BI62">
        <v>22</v>
      </c>
      <c r="BJ62">
        <v>22</v>
      </c>
      <c r="BK62">
        <v>22</v>
      </c>
      <c r="BL62">
        <v>22</v>
      </c>
      <c r="BM62">
        <v>22</v>
      </c>
      <c r="BN62">
        <v>22</v>
      </c>
      <c r="BO62">
        <v>22</v>
      </c>
      <c r="BP62">
        <v>22</v>
      </c>
      <c r="BQ62">
        <v>22</v>
      </c>
      <c r="BR62">
        <v>22</v>
      </c>
      <c r="BS62">
        <v>22</v>
      </c>
      <c r="BT62">
        <v>22</v>
      </c>
      <c r="BU62">
        <v>22</v>
      </c>
      <c r="BV62">
        <v>22</v>
      </c>
      <c r="BW62">
        <v>22</v>
      </c>
      <c r="BX62">
        <v>22</v>
      </c>
      <c r="BY62">
        <v>22</v>
      </c>
      <c r="BZ62">
        <v>22</v>
      </c>
      <c r="CA62">
        <v>22</v>
      </c>
      <c r="CB62">
        <v>22</v>
      </c>
      <c r="CC62">
        <v>22</v>
      </c>
      <c r="CD62">
        <v>22</v>
      </c>
      <c r="CE62">
        <v>22</v>
      </c>
      <c r="CF62">
        <v>22</v>
      </c>
      <c r="CG62">
        <v>22</v>
      </c>
      <c r="CH62">
        <v>22</v>
      </c>
      <c r="CI62">
        <v>22</v>
      </c>
      <c r="CJ62">
        <v>22</v>
      </c>
      <c r="CK62">
        <v>22</v>
      </c>
      <c r="CL62">
        <v>22</v>
      </c>
      <c r="CM62">
        <v>22</v>
      </c>
      <c r="CN62">
        <v>22</v>
      </c>
      <c r="CO62">
        <v>22</v>
      </c>
      <c r="CP62">
        <v>22</v>
      </c>
      <c r="CQ62">
        <v>22</v>
      </c>
      <c r="CR62">
        <v>22</v>
      </c>
      <c r="CS62">
        <v>22</v>
      </c>
      <c r="CT62">
        <v>22</v>
      </c>
      <c r="CU62">
        <v>22</v>
      </c>
      <c r="CV62">
        <v>22</v>
      </c>
      <c r="CW62">
        <v>22</v>
      </c>
      <c r="CX62">
        <v>22</v>
      </c>
      <c r="CY62">
        <v>22</v>
      </c>
      <c r="CZ62">
        <v>22</v>
      </c>
      <c r="DA62">
        <v>22</v>
      </c>
      <c r="DB62">
        <v>22</v>
      </c>
      <c r="DC62">
        <v>22</v>
      </c>
    </row>
    <row r="63" spans="1:107" x14ac:dyDescent="0.25">
      <c r="A63" t="s">
        <v>39</v>
      </c>
      <c r="B63" t="s">
        <v>176</v>
      </c>
      <c r="C63">
        <v>22.3</v>
      </c>
      <c r="D63">
        <v>114.2</v>
      </c>
      <c r="F63">
        <v>0</v>
      </c>
      <c r="G63">
        <v>0</v>
      </c>
      <c r="H63">
        <v>0</v>
      </c>
      <c r="I63">
        <v>0</v>
      </c>
      <c r="J63">
        <v>0</v>
      </c>
      <c r="K63">
        <v>0</v>
      </c>
      <c r="L63">
        <v>0</v>
      </c>
      <c r="M63">
        <v>0</v>
      </c>
      <c r="N63">
        <v>0</v>
      </c>
      <c r="O63">
        <v>0</v>
      </c>
      <c r="P63">
        <v>0</v>
      </c>
      <c r="Q63">
        <v>0</v>
      </c>
      <c r="R63">
        <v>0</v>
      </c>
      <c r="S63">
        <v>1</v>
      </c>
      <c r="T63">
        <v>1</v>
      </c>
      <c r="U63">
        <v>1</v>
      </c>
      <c r="V63">
        <v>1</v>
      </c>
      <c r="W63">
        <v>1</v>
      </c>
      <c r="X63">
        <v>1</v>
      </c>
      <c r="Y63">
        <v>1</v>
      </c>
      <c r="Z63">
        <v>1</v>
      </c>
      <c r="AA63">
        <v>1</v>
      </c>
      <c r="AB63">
        <v>1</v>
      </c>
      <c r="AC63">
        <v>1</v>
      </c>
      <c r="AD63">
        <v>1</v>
      </c>
      <c r="AE63">
        <v>1</v>
      </c>
      <c r="AF63">
        <v>1</v>
      </c>
      <c r="AG63">
        <v>1</v>
      </c>
      <c r="AH63">
        <v>2</v>
      </c>
      <c r="AI63">
        <v>2</v>
      </c>
      <c r="AJ63">
        <v>2</v>
      </c>
      <c r="AK63">
        <v>2</v>
      </c>
      <c r="AL63">
        <v>2</v>
      </c>
      <c r="AM63">
        <v>2</v>
      </c>
      <c r="AN63">
        <v>2</v>
      </c>
      <c r="AO63">
        <v>2</v>
      </c>
      <c r="AP63">
        <v>2</v>
      </c>
      <c r="AQ63">
        <v>2</v>
      </c>
      <c r="AR63">
        <v>2</v>
      </c>
      <c r="AS63">
        <v>2</v>
      </c>
      <c r="AT63">
        <v>2</v>
      </c>
      <c r="AU63">
        <v>2</v>
      </c>
      <c r="AV63">
        <v>2</v>
      </c>
      <c r="AW63">
        <v>2</v>
      </c>
      <c r="AX63">
        <v>2</v>
      </c>
      <c r="AY63">
        <v>2</v>
      </c>
      <c r="AZ63">
        <v>3</v>
      </c>
      <c r="BA63">
        <v>3</v>
      </c>
      <c r="BB63">
        <v>3</v>
      </c>
      <c r="BC63">
        <v>3</v>
      </c>
      <c r="BD63">
        <v>3</v>
      </c>
      <c r="BE63">
        <v>4</v>
      </c>
      <c r="BF63">
        <v>4</v>
      </c>
      <c r="BG63">
        <v>4</v>
      </c>
      <c r="BH63">
        <v>4</v>
      </c>
      <c r="BI63">
        <v>4</v>
      </c>
      <c r="BJ63">
        <v>4</v>
      </c>
      <c r="BK63">
        <v>4</v>
      </c>
      <c r="BL63">
        <v>4</v>
      </c>
      <c r="BM63">
        <v>4</v>
      </c>
      <c r="BN63">
        <v>4</v>
      </c>
      <c r="BO63">
        <v>4</v>
      </c>
      <c r="BP63">
        <v>4</v>
      </c>
      <c r="BQ63">
        <v>4</v>
      </c>
      <c r="BR63">
        <v>4</v>
      </c>
      <c r="BS63">
        <v>4</v>
      </c>
      <c r="BT63">
        <v>4</v>
      </c>
      <c r="BU63">
        <v>4</v>
      </c>
      <c r="BV63">
        <v>4</v>
      </c>
      <c r="BW63">
        <v>4</v>
      </c>
      <c r="BX63">
        <v>4</v>
      </c>
      <c r="BY63">
        <v>4</v>
      </c>
      <c r="BZ63">
        <v>4</v>
      </c>
      <c r="CA63">
        <v>4</v>
      </c>
      <c r="CB63">
        <v>4</v>
      </c>
      <c r="CC63">
        <v>4</v>
      </c>
      <c r="CD63">
        <v>4</v>
      </c>
      <c r="CE63">
        <v>4</v>
      </c>
      <c r="CF63">
        <v>4</v>
      </c>
      <c r="CG63">
        <v>4</v>
      </c>
      <c r="CH63">
        <v>4</v>
      </c>
      <c r="CI63">
        <v>4</v>
      </c>
      <c r="CJ63">
        <v>4</v>
      </c>
      <c r="CK63">
        <v>4</v>
      </c>
      <c r="CL63">
        <v>4</v>
      </c>
      <c r="CM63">
        <v>4</v>
      </c>
      <c r="CN63">
        <v>4</v>
      </c>
      <c r="CO63">
        <v>4</v>
      </c>
      <c r="CP63">
        <v>4</v>
      </c>
      <c r="CQ63">
        <v>4</v>
      </c>
      <c r="CR63">
        <v>4</v>
      </c>
      <c r="CS63">
        <v>4</v>
      </c>
      <c r="CT63">
        <v>4</v>
      </c>
      <c r="CU63">
        <v>4</v>
      </c>
      <c r="CV63">
        <v>4</v>
      </c>
      <c r="CW63">
        <v>4</v>
      </c>
      <c r="CX63">
        <v>4</v>
      </c>
      <c r="CY63">
        <v>4</v>
      </c>
      <c r="CZ63">
        <v>4</v>
      </c>
      <c r="DA63">
        <v>4</v>
      </c>
      <c r="DB63">
        <v>4</v>
      </c>
      <c r="DC63">
        <v>4</v>
      </c>
    </row>
    <row r="64" spans="1:107" x14ac:dyDescent="0.25">
      <c r="A64" t="s">
        <v>16</v>
      </c>
      <c r="B64" t="s">
        <v>176</v>
      </c>
      <c r="C64">
        <v>30.9756</v>
      </c>
      <c r="D64">
        <v>112.27070000000001</v>
      </c>
      <c r="F64">
        <v>17</v>
      </c>
      <c r="G64">
        <v>17</v>
      </c>
      <c r="H64">
        <v>24</v>
      </c>
      <c r="I64">
        <v>40</v>
      </c>
      <c r="J64">
        <v>52</v>
      </c>
      <c r="K64">
        <v>76</v>
      </c>
      <c r="L64">
        <v>125</v>
      </c>
      <c r="M64">
        <v>125</v>
      </c>
      <c r="N64">
        <v>162</v>
      </c>
      <c r="O64">
        <v>204</v>
      </c>
      <c r="P64">
        <v>249</v>
      </c>
      <c r="Q64">
        <v>350</v>
      </c>
      <c r="R64">
        <v>414</v>
      </c>
      <c r="S64">
        <v>479</v>
      </c>
      <c r="T64">
        <v>549</v>
      </c>
      <c r="U64">
        <v>618</v>
      </c>
      <c r="V64">
        <v>699</v>
      </c>
      <c r="W64">
        <v>780</v>
      </c>
      <c r="X64">
        <v>871</v>
      </c>
      <c r="Y64">
        <v>974</v>
      </c>
      <c r="Z64">
        <v>1068</v>
      </c>
      <c r="AA64">
        <v>1068</v>
      </c>
      <c r="AB64">
        <v>1310</v>
      </c>
      <c r="AC64">
        <v>1457</v>
      </c>
      <c r="AD64">
        <v>1596</v>
      </c>
      <c r="AE64">
        <v>1696</v>
      </c>
      <c r="AF64">
        <v>1789</v>
      </c>
      <c r="AG64">
        <v>1921</v>
      </c>
      <c r="AH64">
        <v>2029</v>
      </c>
      <c r="AI64">
        <v>2144</v>
      </c>
      <c r="AJ64">
        <v>2144</v>
      </c>
      <c r="AK64">
        <v>2346</v>
      </c>
      <c r="AL64">
        <v>2346</v>
      </c>
      <c r="AM64">
        <v>2495</v>
      </c>
      <c r="AN64">
        <v>2563</v>
      </c>
      <c r="AO64">
        <v>2615</v>
      </c>
      <c r="AP64">
        <v>2641</v>
      </c>
      <c r="AQ64">
        <v>2682</v>
      </c>
      <c r="AR64">
        <v>2727</v>
      </c>
      <c r="AS64">
        <v>2761</v>
      </c>
      <c r="AT64">
        <v>2803</v>
      </c>
      <c r="AU64">
        <v>2835</v>
      </c>
      <c r="AV64">
        <v>2871</v>
      </c>
      <c r="AW64">
        <v>2902</v>
      </c>
      <c r="AX64">
        <v>2931</v>
      </c>
      <c r="AY64">
        <v>2959</v>
      </c>
      <c r="AZ64">
        <v>2986</v>
      </c>
      <c r="BA64">
        <v>3008</v>
      </c>
      <c r="BB64">
        <v>3024</v>
      </c>
      <c r="BC64">
        <v>3046</v>
      </c>
      <c r="BD64">
        <v>3056</v>
      </c>
      <c r="BE64">
        <v>3062</v>
      </c>
      <c r="BF64">
        <v>3075</v>
      </c>
      <c r="BG64">
        <v>3085</v>
      </c>
      <c r="BH64">
        <v>3099</v>
      </c>
      <c r="BI64">
        <v>3111</v>
      </c>
      <c r="BJ64">
        <v>3122</v>
      </c>
      <c r="BK64">
        <v>3130</v>
      </c>
      <c r="BL64">
        <v>3133</v>
      </c>
      <c r="BM64">
        <v>3139</v>
      </c>
      <c r="BN64">
        <v>3153</v>
      </c>
      <c r="BO64">
        <v>3153</v>
      </c>
      <c r="BP64">
        <v>3160</v>
      </c>
      <c r="BQ64">
        <v>3163</v>
      </c>
      <c r="BR64">
        <v>3169</v>
      </c>
      <c r="BS64">
        <v>3174</v>
      </c>
      <c r="BT64">
        <v>3177</v>
      </c>
      <c r="BU64">
        <v>3182</v>
      </c>
      <c r="BV64">
        <v>3186</v>
      </c>
      <c r="BW64">
        <v>3187</v>
      </c>
      <c r="BX64">
        <v>3193</v>
      </c>
      <c r="BY64">
        <v>3199</v>
      </c>
      <c r="BZ64">
        <v>3203</v>
      </c>
      <c r="CA64">
        <v>3207</v>
      </c>
      <c r="CB64">
        <v>3210</v>
      </c>
      <c r="CC64">
        <v>3212</v>
      </c>
      <c r="CD64">
        <v>3212</v>
      </c>
      <c r="CE64">
        <v>3213</v>
      </c>
      <c r="CF64">
        <v>3215</v>
      </c>
      <c r="CG64">
        <v>3216</v>
      </c>
      <c r="CH64">
        <v>3219</v>
      </c>
      <c r="CI64">
        <v>3219</v>
      </c>
      <c r="CJ64">
        <v>3221</v>
      </c>
      <c r="CK64">
        <v>3221</v>
      </c>
      <c r="CL64">
        <v>3222</v>
      </c>
      <c r="CM64">
        <v>3222</v>
      </c>
      <c r="CN64">
        <v>4512</v>
      </c>
      <c r="CO64">
        <v>4512</v>
      </c>
      <c r="CP64">
        <v>4512</v>
      </c>
      <c r="CQ64">
        <v>4512</v>
      </c>
      <c r="CR64">
        <v>4512</v>
      </c>
      <c r="CS64">
        <v>4512</v>
      </c>
      <c r="CT64">
        <v>4512</v>
      </c>
      <c r="CU64">
        <v>4512</v>
      </c>
      <c r="CV64">
        <v>4512</v>
      </c>
      <c r="CW64">
        <v>4512</v>
      </c>
      <c r="CX64">
        <v>4512</v>
      </c>
      <c r="CY64">
        <v>4512</v>
      </c>
      <c r="CZ64">
        <v>4512</v>
      </c>
      <c r="DA64">
        <v>4512</v>
      </c>
      <c r="DB64">
        <v>4512</v>
      </c>
      <c r="DC64">
        <v>4512</v>
      </c>
    </row>
    <row r="65" spans="1:107" x14ac:dyDescent="0.25">
      <c r="A65" t="s">
        <v>17</v>
      </c>
      <c r="B65" t="s">
        <v>176</v>
      </c>
      <c r="C65">
        <v>27.610399999999998</v>
      </c>
      <c r="D65">
        <v>111.7088</v>
      </c>
      <c r="F65">
        <v>0</v>
      </c>
      <c r="G65">
        <v>0</v>
      </c>
      <c r="H65">
        <v>0</v>
      </c>
      <c r="I65">
        <v>0</v>
      </c>
      <c r="J65">
        <v>0</v>
      </c>
      <c r="K65">
        <v>0</v>
      </c>
      <c r="L65">
        <v>0</v>
      </c>
      <c r="M65">
        <v>0</v>
      </c>
      <c r="N65">
        <v>0</v>
      </c>
      <c r="O65">
        <v>0</v>
      </c>
      <c r="P65">
        <v>0</v>
      </c>
      <c r="Q65">
        <v>0</v>
      </c>
      <c r="R65">
        <v>0</v>
      </c>
      <c r="S65">
        <v>0</v>
      </c>
      <c r="T65">
        <v>0</v>
      </c>
      <c r="U65">
        <v>0</v>
      </c>
      <c r="V65">
        <v>0</v>
      </c>
      <c r="W65">
        <v>1</v>
      </c>
      <c r="X65">
        <v>1</v>
      </c>
      <c r="Y65">
        <v>1</v>
      </c>
      <c r="Z65">
        <v>1</v>
      </c>
      <c r="AA65">
        <v>2</v>
      </c>
      <c r="AB65">
        <v>2</v>
      </c>
      <c r="AC65">
        <v>2</v>
      </c>
      <c r="AD65">
        <v>2</v>
      </c>
      <c r="AE65">
        <v>3</v>
      </c>
      <c r="AF65">
        <v>3</v>
      </c>
      <c r="AG65">
        <v>4</v>
      </c>
      <c r="AH65">
        <v>4</v>
      </c>
      <c r="AI65">
        <v>4</v>
      </c>
      <c r="AJ65">
        <v>4</v>
      </c>
      <c r="AK65">
        <v>4</v>
      </c>
      <c r="AL65">
        <v>4</v>
      </c>
      <c r="AM65">
        <v>4</v>
      </c>
      <c r="AN65">
        <v>4</v>
      </c>
      <c r="AO65">
        <v>4</v>
      </c>
      <c r="AP65">
        <v>4</v>
      </c>
      <c r="AQ65">
        <v>4</v>
      </c>
      <c r="AR65">
        <v>4</v>
      </c>
      <c r="AS65">
        <v>4</v>
      </c>
      <c r="AT65">
        <v>4</v>
      </c>
      <c r="AU65">
        <v>4</v>
      </c>
      <c r="AV65">
        <v>4</v>
      </c>
      <c r="AW65">
        <v>4</v>
      </c>
      <c r="AX65">
        <v>4</v>
      </c>
      <c r="AY65">
        <v>4</v>
      </c>
      <c r="AZ65">
        <v>4</v>
      </c>
      <c r="BA65">
        <v>4</v>
      </c>
      <c r="BB65">
        <v>4</v>
      </c>
      <c r="BC65">
        <v>4</v>
      </c>
      <c r="BD65">
        <v>4</v>
      </c>
      <c r="BE65">
        <v>4</v>
      </c>
      <c r="BF65">
        <v>4</v>
      </c>
      <c r="BG65">
        <v>4</v>
      </c>
      <c r="BH65">
        <v>4</v>
      </c>
      <c r="BI65">
        <v>4</v>
      </c>
      <c r="BJ65">
        <v>4</v>
      </c>
      <c r="BK65">
        <v>4</v>
      </c>
      <c r="BL65">
        <v>4</v>
      </c>
      <c r="BM65">
        <v>4</v>
      </c>
      <c r="BN65">
        <v>4</v>
      </c>
      <c r="BO65">
        <v>4</v>
      </c>
      <c r="BP65">
        <v>4</v>
      </c>
      <c r="BQ65">
        <v>4</v>
      </c>
      <c r="BR65">
        <v>4</v>
      </c>
      <c r="BS65">
        <v>4</v>
      </c>
      <c r="BT65">
        <v>4</v>
      </c>
      <c r="BU65">
        <v>4</v>
      </c>
      <c r="BV65">
        <v>4</v>
      </c>
      <c r="BW65">
        <v>4</v>
      </c>
      <c r="BX65">
        <v>4</v>
      </c>
      <c r="BY65">
        <v>4</v>
      </c>
      <c r="BZ65">
        <v>4</v>
      </c>
      <c r="CA65">
        <v>4</v>
      </c>
      <c r="CB65">
        <v>4</v>
      </c>
      <c r="CC65">
        <v>4</v>
      </c>
      <c r="CD65">
        <v>4</v>
      </c>
      <c r="CE65">
        <v>4</v>
      </c>
      <c r="CF65">
        <v>4</v>
      </c>
      <c r="CG65">
        <v>4</v>
      </c>
      <c r="CH65">
        <v>4</v>
      </c>
      <c r="CI65">
        <v>4</v>
      </c>
      <c r="CJ65">
        <v>4</v>
      </c>
      <c r="CK65">
        <v>4</v>
      </c>
      <c r="CL65">
        <v>4</v>
      </c>
      <c r="CM65">
        <v>4</v>
      </c>
      <c r="CN65">
        <v>4</v>
      </c>
      <c r="CO65">
        <v>4</v>
      </c>
      <c r="CP65">
        <v>4</v>
      </c>
      <c r="CQ65">
        <v>4</v>
      </c>
      <c r="CR65">
        <v>4</v>
      </c>
      <c r="CS65">
        <v>4</v>
      </c>
      <c r="CT65">
        <v>4</v>
      </c>
      <c r="CU65">
        <v>4</v>
      </c>
      <c r="CV65">
        <v>4</v>
      </c>
      <c r="CW65">
        <v>4</v>
      </c>
      <c r="CX65">
        <v>4</v>
      </c>
      <c r="CY65">
        <v>4</v>
      </c>
      <c r="CZ65">
        <v>4</v>
      </c>
      <c r="DA65">
        <v>4</v>
      </c>
      <c r="DB65">
        <v>4</v>
      </c>
      <c r="DC65">
        <v>4</v>
      </c>
    </row>
    <row r="66" spans="1:107" x14ac:dyDescent="0.25">
      <c r="A66" t="s">
        <v>18</v>
      </c>
      <c r="B66" t="s">
        <v>176</v>
      </c>
      <c r="C66">
        <v>44.093499999999999</v>
      </c>
      <c r="D66">
        <v>113.9448</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1</v>
      </c>
      <c r="AV66">
        <v>1</v>
      </c>
      <c r="AW66">
        <v>1</v>
      </c>
      <c r="AX66">
        <v>1</v>
      </c>
      <c r="AY66">
        <v>1</v>
      </c>
      <c r="AZ66">
        <v>1</v>
      </c>
      <c r="BA66">
        <v>1</v>
      </c>
      <c r="BB66">
        <v>1</v>
      </c>
      <c r="BC66">
        <v>1</v>
      </c>
      <c r="BD66">
        <v>1</v>
      </c>
      <c r="BE66">
        <v>1</v>
      </c>
      <c r="BF66">
        <v>1</v>
      </c>
      <c r="BG66">
        <v>1</v>
      </c>
      <c r="BH66">
        <v>1</v>
      </c>
      <c r="BI66">
        <v>1</v>
      </c>
      <c r="BJ66">
        <v>1</v>
      </c>
      <c r="BK66">
        <v>1</v>
      </c>
      <c r="BL66">
        <v>1</v>
      </c>
      <c r="BM66">
        <v>1</v>
      </c>
      <c r="BN66">
        <v>1</v>
      </c>
      <c r="BO66">
        <v>1</v>
      </c>
      <c r="BP66">
        <v>1</v>
      </c>
      <c r="BQ66">
        <v>1</v>
      </c>
      <c r="BR66">
        <v>1</v>
      </c>
      <c r="BS66">
        <v>1</v>
      </c>
      <c r="BT66">
        <v>1</v>
      </c>
      <c r="BU66">
        <v>1</v>
      </c>
      <c r="BV66">
        <v>1</v>
      </c>
      <c r="BW66">
        <v>1</v>
      </c>
      <c r="BX66">
        <v>1</v>
      </c>
      <c r="BY66">
        <v>1</v>
      </c>
      <c r="BZ66">
        <v>1</v>
      </c>
      <c r="CA66">
        <v>1</v>
      </c>
      <c r="CB66">
        <v>1</v>
      </c>
      <c r="CC66">
        <v>1</v>
      </c>
      <c r="CD66">
        <v>1</v>
      </c>
      <c r="CE66">
        <v>1</v>
      </c>
      <c r="CF66">
        <v>1</v>
      </c>
      <c r="CG66">
        <v>1</v>
      </c>
      <c r="CH66">
        <v>1</v>
      </c>
      <c r="CI66">
        <v>1</v>
      </c>
      <c r="CJ66">
        <v>1</v>
      </c>
      <c r="CK66">
        <v>1</v>
      </c>
      <c r="CL66">
        <v>1</v>
      </c>
      <c r="CM66">
        <v>1</v>
      </c>
      <c r="CN66">
        <v>1</v>
      </c>
      <c r="CO66">
        <v>1</v>
      </c>
      <c r="CP66">
        <v>1</v>
      </c>
      <c r="CQ66">
        <v>1</v>
      </c>
      <c r="CR66">
        <v>1</v>
      </c>
      <c r="CS66">
        <v>1</v>
      </c>
      <c r="CT66">
        <v>1</v>
      </c>
      <c r="CU66">
        <v>1</v>
      </c>
      <c r="CV66">
        <v>1</v>
      </c>
      <c r="CW66">
        <v>1</v>
      </c>
      <c r="CX66">
        <v>1</v>
      </c>
      <c r="CY66">
        <v>1</v>
      </c>
      <c r="CZ66">
        <v>1</v>
      </c>
      <c r="DA66">
        <v>1</v>
      </c>
      <c r="DB66">
        <v>1</v>
      </c>
      <c r="DC66">
        <v>1</v>
      </c>
    </row>
    <row r="67" spans="1:107" x14ac:dyDescent="0.25">
      <c r="A67" t="s">
        <v>19</v>
      </c>
      <c r="B67" t="s">
        <v>176</v>
      </c>
      <c r="C67">
        <v>32.9711</v>
      </c>
      <c r="D67">
        <v>119.455</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c r="BQ67">
        <v>0</v>
      </c>
      <c r="BR67">
        <v>0</v>
      </c>
      <c r="BS67">
        <v>0</v>
      </c>
      <c r="BT67">
        <v>0</v>
      </c>
      <c r="BU67">
        <v>0</v>
      </c>
      <c r="BV67">
        <v>0</v>
      </c>
      <c r="BW67">
        <v>0</v>
      </c>
      <c r="BX67">
        <v>0</v>
      </c>
      <c r="BY67">
        <v>0</v>
      </c>
      <c r="BZ67">
        <v>0</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row>
    <row r="68" spans="1:107" x14ac:dyDescent="0.25">
      <c r="A68" t="s">
        <v>20</v>
      </c>
      <c r="B68" t="s">
        <v>176</v>
      </c>
      <c r="C68">
        <v>27.614000000000001</v>
      </c>
      <c r="D68">
        <v>115.7221</v>
      </c>
      <c r="F68">
        <v>0</v>
      </c>
      <c r="G68">
        <v>0</v>
      </c>
      <c r="H68">
        <v>0</v>
      </c>
      <c r="I68">
        <v>0</v>
      </c>
      <c r="J68">
        <v>0</v>
      </c>
      <c r="K68">
        <v>0</v>
      </c>
      <c r="L68">
        <v>0</v>
      </c>
      <c r="M68">
        <v>0</v>
      </c>
      <c r="N68">
        <v>0</v>
      </c>
      <c r="O68">
        <v>0</v>
      </c>
      <c r="P68">
        <v>0</v>
      </c>
      <c r="Q68">
        <v>0</v>
      </c>
      <c r="R68">
        <v>0</v>
      </c>
      <c r="S68">
        <v>0</v>
      </c>
      <c r="T68">
        <v>0</v>
      </c>
      <c r="U68">
        <v>0</v>
      </c>
      <c r="V68">
        <v>0</v>
      </c>
      <c r="W68">
        <v>0</v>
      </c>
      <c r="X68">
        <v>0</v>
      </c>
      <c r="Y68">
        <v>1</v>
      </c>
      <c r="Z68">
        <v>1</v>
      </c>
      <c r="AA68">
        <v>1</v>
      </c>
      <c r="AB68">
        <v>1</v>
      </c>
      <c r="AC68">
        <v>1</v>
      </c>
      <c r="AD68">
        <v>1</v>
      </c>
      <c r="AE68">
        <v>1</v>
      </c>
      <c r="AF68">
        <v>1</v>
      </c>
      <c r="AG68">
        <v>1</v>
      </c>
      <c r="AH68">
        <v>1</v>
      </c>
      <c r="AI68">
        <v>1</v>
      </c>
      <c r="AJ68">
        <v>1</v>
      </c>
      <c r="AK68">
        <v>1</v>
      </c>
      <c r="AL68">
        <v>1</v>
      </c>
      <c r="AM68">
        <v>1</v>
      </c>
      <c r="AN68">
        <v>1</v>
      </c>
      <c r="AO68">
        <v>1</v>
      </c>
      <c r="AP68">
        <v>1</v>
      </c>
      <c r="AQ68">
        <v>1</v>
      </c>
      <c r="AR68">
        <v>1</v>
      </c>
      <c r="AS68">
        <v>1</v>
      </c>
      <c r="AT68">
        <v>1</v>
      </c>
      <c r="AU68">
        <v>1</v>
      </c>
      <c r="AV68">
        <v>1</v>
      </c>
      <c r="AW68">
        <v>1</v>
      </c>
      <c r="AX68">
        <v>1</v>
      </c>
      <c r="AY68">
        <v>1</v>
      </c>
      <c r="AZ68">
        <v>1</v>
      </c>
      <c r="BA68">
        <v>1</v>
      </c>
      <c r="BB68">
        <v>1</v>
      </c>
      <c r="BC68">
        <v>1</v>
      </c>
      <c r="BD68">
        <v>1</v>
      </c>
      <c r="BE68">
        <v>1</v>
      </c>
      <c r="BF68">
        <v>1</v>
      </c>
      <c r="BG68">
        <v>1</v>
      </c>
      <c r="BH68">
        <v>1</v>
      </c>
      <c r="BI68">
        <v>1</v>
      </c>
      <c r="BJ68">
        <v>1</v>
      </c>
      <c r="BK68">
        <v>1</v>
      </c>
      <c r="BL68">
        <v>1</v>
      </c>
      <c r="BM68">
        <v>1</v>
      </c>
      <c r="BN68">
        <v>1</v>
      </c>
      <c r="BO68">
        <v>1</v>
      </c>
      <c r="BP68">
        <v>1</v>
      </c>
      <c r="BQ68">
        <v>1</v>
      </c>
      <c r="BR68">
        <v>1</v>
      </c>
      <c r="BS68">
        <v>1</v>
      </c>
      <c r="BT68">
        <v>1</v>
      </c>
      <c r="BU68">
        <v>1</v>
      </c>
      <c r="BV68">
        <v>1</v>
      </c>
      <c r="BW68">
        <v>1</v>
      </c>
      <c r="BX68">
        <v>1</v>
      </c>
      <c r="BY68">
        <v>1</v>
      </c>
      <c r="BZ68">
        <v>1</v>
      </c>
      <c r="CA68">
        <v>1</v>
      </c>
      <c r="CB68">
        <v>1</v>
      </c>
      <c r="CC68">
        <v>1</v>
      </c>
      <c r="CD68">
        <v>1</v>
      </c>
      <c r="CE68">
        <v>1</v>
      </c>
      <c r="CF68">
        <v>1</v>
      </c>
      <c r="CG68">
        <v>1</v>
      </c>
      <c r="CH68">
        <v>1</v>
      </c>
      <c r="CI68">
        <v>1</v>
      </c>
      <c r="CJ68">
        <v>1</v>
      </c>
      <c r="CK68">
        <v>1</v>
      </c>
      <c r="CL68">
        <v>1</v>
      </c>
      <c r="CM68">
        <v>1</v>
      </c>
      <c r="CN68">
        <v>1</v>
      </c>
      <c r="CO68">
        <v>1</v>
      </c>
      <c r="CP68">
        <v>1</v>
      </c>
      <c r="CQ68">
        <v>1</v>
      </c>
      <c r="CR68">
        <v>1</v>
      </c>
      <c r="CS68">
        <v>1</v>
      </c>
      <c r="CT68">
        <v>1</v>
      </c>
      <c r="CU68">
        <v>1</v>
      </c>
      <c r="CV68">
        <v>1</v>
      </c>
      <c r="CW68">
        <v>1</v>
      </c>
      <c r="CX68">
        <v>1</v>
      </c>
      <c r="CY68">
        <v>1</v>
      </c>
      <c r="CZ68">
        <v>1</v>
      </c>
      <c r="DA68">
        <v>1</v>
      </c>
      <c r="DB68">
        <v>1</v>
      </c>
      <c r="DC68">
        <v>1</v>
      </c>
    </row>
    <row r="69" spans="1:107" x14ac:dyDescent="0.25">
      <c r="A69" t="s">
        <v>21</v>
      </c>
      <c r="B69" t="s">
        <v>176</v>
      </c>
      <c r="C69">
        <v>43.6661</v>
      </c>
      <c r="D69">
        <v>126.1923</v>
      </c>
      <c r="F69">
        <v>0</v>
      </c>
      <c r="G69">
        <v>0</v>
      </c>
      <c r="H69">
        <v>0</v>
      </c>
      <c r="I69">
        <v>0</v>
      </c>
      <c r="J69">
        <v>0</v>
      </c>
      <c r="K69">
        <v>0</v>
      </c>
      <c r="L69">
        <v>0</v>
      </c>
      <c r="M69">
        <v>0</v>
      </c>
      <c r="N69">
        <v>0</v>
      </c>
      <c r="O69">
        <v>0</v>
      </c>
      <c r="P69">
        <v>0</v>
      </c>
      <c r="Q69">
        <v>0</v>
      </c>
      <c r="R69">
        <v>0</v>
      </c>
      <c r="S69">
        <v>0</v>
      </c>
      <c r="T69">
        <v>0</v>
      </c>
      <c r="U69">
        <v>0</v>
      </c>
      <c r="V69">
        <v>1</v>
      </c>
      <c r="W69">
        <v>1</v>
      </c>
      <c r="X69">
        <v>1</v>
      </c>
      <c r="Y69">
        <v>1</v>
      </c>
      <c r="Z69">
        <v>1</v>
      </c>
      <c r="AA69">
        <v>1</v>
      </c>
      <c r="AB69">
        <v>1</v>
      </c>
      <c r="AC69">
        <v>1</v>
      </c>
      <c r="AD69">
        <v>1</v>
      </c>
      <c r="AE69">
        <v>1</v>
      </c>
      <c r="AF69">
        <v>1</v>
      </c>
      <c r="AG69">
        <v>1</v>
      </c>
      <c r="AH69">
        <v>1</v>
      </c>
      <c r="AI69">
        <v>1</v>
      </c>
      <c r="AJ69">
        <v>1</v>
      </c>
      <c r="AK69">
        <v>1</v>
      </c>
      <c r="AL69">
        <v>1</v>
      </c>
      <c r="AM69">
        <v>1</v>
      </c>
      <c r="AN69">
        <v>1</v>
      </c>
      <c r="AO69">
        <v>1</v>
      </c>
      <c r="AP69">
        <v>1</v>
      </c>
      <c r="AQ69">
        <v>1</v>
      </c>
      <c r="AR69">
        <v>1</v>
      </c>
      <c r="AS69">
        <v>1</v>
      </c>
      <c r="AT69">
        <v>1</v>
      </c>
      <c r="AU69">
        <v>1</v>
      </c>
      <c r="AV69">
        <v>1</v>
      </c>
      <c r="AW69">
        <v>1</v>
      </c>
      <c r="AX69">
        <v>1</v>
      </c>
      <c r="AY69">
        <v>1</v>
      </c>
      <c r="AZ69">
        <v>1</v>
      </c>
      <c r="BA69">
        <v>1</v>
      </c>
      <c r="BB69">
        <v>1</v>
      </c>
      <c r="BC69">
        <v>1</v>
      </c>
      <c r="BD69">
        <v>1</v>
      </c>
      <c r="BE69">
        <v>1</v>
      </c>
      <c r="BF69">
        <v>1</v>
      </c>
      <c r="BG69">
        <v>1</v>
      </c>
      <c r="BH69">
        <v>1</v>
      </c>
      <c r="BI69">
        <v>1</v>
      </c>
      <c r="BJ69">
        <v>1</v>
      </c>
      <c r="BK69">
        <v>1</v>
      </c>
      <c r="BL69">
        <v>1</v>
      </c>
      <c r="BM69">
        <v>1</v>
      </c>
      <c r="BN69">
        <v>1</v>
      </c>
      <c r="BO69">
        <v>1</v>
      </c>
      <c r="BP69">
        <v>1</v>
      </c>
      <c r="BQ69">
        <v>1</v>
      </c>
      <c r="BR69">
        <v>1</v>
      </c>
      <c r="BS69">
        <v>1</v>
      </c>
      <c r="BT69">
        <v>1</v>
      </c>
      <c r="BU69">
        <v>1</v>
      </c>
      <c r="BV69">
        <v>1</v>
      </c>
      <c r="BW69">
        <v>1</v>
      </c>
      <c r="BX69">
        <v>1</v>
      </c>
      <c r="BY69">
        <v>1</v>
      </c>
      <c r="BZ69">
        <v>1</v>
      </c>
      <c r="CA69">
        <v>1</v>
      </c>
      <c r="CB69">
        <v>1</v>
      </c>
      <c r="CC69">
        <v>1</v>
      </c>
      <c r="CD69">
        <v>1</v>
      </c>
      <c r="CE69">
        <v>1</v>
      </c>
      <c r="CF69">
        <v>1</v>
      </c>
      <c r="CG69">
        <v>1</v>
      </c>
      <c r="CH69">
        <v>1</v>
      </c>
      <c r="CI69">
        <v>1</v>
      </c>
      <c r="CJ69">
        <v>1</v>
      </c>
      <c r="CK69">
        <v>1</v>
      </c>
      <c r="CL69">
        <v>1</v>
      </c>
      <c r="CM69">
        <v>1</v>
      </c>
      <c r="CN69">
        <v>1</v>
      </c>
      <c r="CO69">
        <v>1</v>
      </c>
      <c r="CP69">
        <v>1</v>
      </c>
      <c r="CQ69">
        <v>1</v>
      </c>
      <c r="CR69">
        <v>1</v>
      </c>
      <c r="CS69">
        <v>1</v>
      </c>
      <c r="CT69">
        <v>1</v>
      </c>
      <c r="CU69">
        <v>1</v>
      </c>
      <c r="CV69">
        <v>1</v>
      </c>
      <c r="CW69">
        <v>1</v>
      </c>
      <c r="CX69">
        <v>1</v>
      </c>
      <c r="CY69">
        <v>1</v>
      </c>
      <c r="CZ69">
        <v>1</v>
      </c>
      <c r="DA69">
        <v>1</v>
      </c>
      <c r="DB69">
        <v>1</v>
      </c>
      <c r="DC69">
        <v>1</v>
      </c>
    </row>
    <row r="70" spans="1:107" x14ac:dyDescent="0.25">
      <c r="A70" t="s">
        <v>22</v>
      </c>
      <c r="B70" t="s">
        <v>176</v>
      </c>
      <c r="C70">
        <v>41.2956</v>
      </c>
      <c r="D70">
        <v>122.60850000000001</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1</v>
      </c>
      <c r="AB70">
        <v>1</v>
      </c>
      <c r="AC70">
        <v>1</v>
      </c>
      <c r="AD70">
        <v>1</v>
      </c>
      <c r="AE70">
        <v>1</v>
      </c>
      <c r="AF70">
        <v>1</v>
      </c>
      <c r="AG70">
        <v>1</v>
      </c>
      <c r="AH70">
        <v>1</v>
      </c>
      <c r="AI70">
        <v>1</v>
      </c>
      <c r="AJ70">
        <v>1</v>
      </c>
      <c r="AK70">
        <v>1</v>
      </c>
      <c r="AL70">
        <v>1</v>
      </c>
      <c r="AM70">
        <v>1</v>
      </c>
      <c r="AN70">
        <v>1</v>
      </c>
      <c r="AO70">
        <v>1</v>
      </c>
      <c r="AP70">
        <v>1</v>
      </c>
      <c r="AQ70">
        <v>1</v>
      </c>
      <c r="AR70">
        <v>1</v>
      </c>
      <c r="AS70">
        <v>1</v>
      </c>
      <c r="AT70">
        <v>1</v>
      </c>
      <c r="AU70">
        <v>1</v>
      </c>
      <c r="AV70">
        <v>1</v>
      </c>
      <c r="AW70">
        <v>1</v>
      </c>
      <c r="AX70">
        <v>1</v>
      </c>
      <c r="AY70">
        <v>1</v>
      </c>
      <c r="AZ70">
        <v>1</v>
      </c>
      <c r="BA70">
        <v>1</v>
      </c>
      <c r="BB70">
        <v>1</v>
      </c>
      <c r="BC70">
        <v>1</v>
      </c>
      <c r="BD70">
        <v>1</v>
      </c>
      <c r="BE70">
        <v>1</v>
      </c>
      <c r="BF70">
        <v>1</v>
      </c>
      <c r="BG70">
        <v>1</v>
      </c>
      <c r="BH70">
        <v>1</v>
      </c>
      <c r="BI70">
        <v>1</v>
      </c>
      <c r="BJ70">
        <v>1</v>
      </c>
      <c r="BK70">
        <v>1</v>
      </c>
      <c r="BL70">
        <v>2</v>
      </c>
      <c r="BM70">
        <v>2</v>
      </c>
      <c r="BN70">
        <v>2</v>
      </c>
      <c r="BO70">
        <v>2</v>
      </c>
      <c r="BP70">
        <v>2</v>
      </c>
      <c r="BQ70">
        <v>2</v>
      </c>
      <c r="BR70">
        <v>2</v>
      </c>
      <c r="BS70">
        <v>2</v>
      </c>
      <c r="BT70">
        <v>2</v>
      </c>
      <c r="BU70">
        <v>2</v>
      </c>
      <c r="BV70">
        <v>2</v>
      </c>
      <c r="BW70">
        <v>2</v>
      </c>
      <c r="BX70">
        <v>2</v>
      </c>
      <c r="BY70">
        <v>2</v>
      </c>
      <c r="BZ70">
        <v>2</v>
      </c>
      <c r="CA70">
        <v>2</v>
      </c>
      <c r="CB70">
        <v>2</v>
      </c>
      <c r="CC70">
        <v>2</v>
      </c>
      <c r="CD70">
        <v>2</v>
      </c>
      <c r="CE70">
        <v>2</v>
      </c>
      <c r="CF70">
        <v>2</v>
      </c>
      <c r="CG70">
        <v>2</v>
      </c>
      <c r="CH70">
        <v>2</v>
      </c>
      <c r="CI70">
        <v>2</v>
      </c>
      <c r="CJ70">
        <v>2</v>
      </c>
      <c r="CK70">
        <v>2</v>
      </c>
      <c r="CL70">
        <v>2</v>
      </c>
      <c r="CM70">
        <v>2</v>
      </c>
      <c r="CN70">
        <v>2</v>
      </c>
      <c r="CO70">
        <v>2</v>
      </c>
      <c r="CP70">
        <v>2</v>
      </c>
      <c r="CQ70">
        <v>2</v>
      </c>
      <c r="CR70">
        <v>2</v>
      </c>
      <c r="CS70">
        <v>2</v>
      </c>
      <c r="CT70">
        <v>2</v>
      </c>
      <c r="CU70">
        <v>2</v>
      </c>
      <c r="CV70">
        <v>2</v>
      </c>
      <c r="CW70">
        <v>2</v>
      </c>
      <c r="CX70">
        <v>2</v>
      </c>
      <c r="CY70">
        <v>2</v>
      </c>
      <c r="CZ70">
        <v>2</v>
      </c>
      <c r="DA70">
        <v>2</v>
      </c>
      <c r="DB70">
        <v>2</v>
      </c>
      <c r="DC70">
        <v>2</v>
      </c>
    </row>
    <row r="71" spans="1:107" x14ac:dyDescent="0.25">
      <c r="A71" t="s">
        <v>38</v>
      </c>
      <c r="B71" t="s">
        <v>176</v>
      </c>
      <c r="C71">
        <v>22.166699999999999</v>
      </c>
      <c r="D71">
        <v>113.55</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v>0</v>
      </c>
      <c r="BN71">
        <v>0</v>
      </c>
      <c r="BO71">
        <v>0</v>
      </c>
      <c r="BP71">
        <v>0</v>
      </c>
      <c r="BQ71">
        <v>0</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row>
    <row r="72" spans="1:107" x14ac:dyDescent="0.25">
      <c r="A72" t="s">
        <v>23</v>
      </c>
      <c r="B72" t="s">
        <v>176</v>
      </c>
      <c r="C72">
        <v>37.269199999999998</v>
      </c>
      <c r="D72">
        <v>106.16549999999999</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c r="BM72">
        <v>0</v>
      </c>
      <c r="BN72">
        <v>0</v>
      </c>
      <c r="BO72">
        <v>0</v>
      </c>
      <c r="BP72">
        <v>0</v>
      </c>
      <c r="BQ72">
        <v>0</v>
      </c>
      <c r="BR72">
        <v>0</v>
      </c>
      <c r="BS72">
        <v>0</v>
      </c>
      <c r="BT72">
        <v>0</v>
      </c>
      <c r="BU72">
        <v>0</v>
      </c>
      <c r="BV72">
        <v>0</v>
      </c>
      <c r="BW72">
        <v>0</v>
      </c>
      <c r="BX72">
        <v>0</v>
      </c>
      <c r="BY72">
        <v>0</v>
      </c>
      <c r="BZ72">
        <v>0</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0</v>
      </c>
      <c r="DA72">
        <v>0</v>
      </c>
      <c r="DB72">
        <v>0</v>
      </c>
      <c r="DC72">
        <v>0</v>
      </c>
    </row>
    <row r="73" spans="1:107" x14ac:dyDescent="0.25">
      <c r="A73" t="s">
        <v>24</v>
      </c>
      <c r="B73" t="s">
        <v>176</v>
      </c>
      <c r="C73">
        <v>35.745199999999997</v>
      </c>
      <c r="D73">
        <v>95.995599999999996</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0</v>
      </c>
      <c r="BM73">
        <v>0</v>
      </c>
      <c r="BN73">
        <v>0</v>
      </c>
      <c r="BO73">
        <v>0</v>
      </c>
      <c r="BP73">
        <v>0</v>
      </c>
      <c r="BQ73">
        <v>0</v>
      </c>
      <c r="BR73">
        <v>0</v>
      </c>
      <c r="BS73">
        <v>0</v>
      </c>
      <c r="BT73">
        <v>0</v>
      </c>
      <c r="BU73">
        <v>0</v>
      </c>
      <c r="BV73">
        <v>0</v>
      </c>
      <c r="BW73">
        <v>0</v>
      </c>
      <c r="BX73">
        <v>0</v>
      </c>
      <c r="BY73">
        <v>0</v>
      </c>
      <c r="BZ73">
        <v>0</v>
      </c>
      <c r="CA73">
        <v>0</v>
      </c>
      <c r="CB73">
        <v>0</v>
      </c>
      <c r="CC73">
        <v>0</v>
      </c>
      <c r="CD73">
        <v>0</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0</v>
      </c>
      <c r="DA73">
        <v>0</v>
      </c>
      <c r="DB73">
        <v>0</v>
      </c>
      <c r="DC73">
        <v>0</v>
      </c>
    </row>
    <row r="74" spans="1:107" x14ac:dyDescent="0.25">
      <c r="A74" t="s">
        <v>25</v>
      </c>
      <c r="B74" t="s">
        <v>176</v>
      </c>
      <c r="C74">
        <v>35.191699999999997</v>
      </c>
      <c r="D74">
        <v>108.87009999999999</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1</v>
      </c>
      <c r="AJ74">
        <v>1</v>
      </c>
      <c r="AK74">
        <v>1</v>
      </c>
      <c r="AL74">
        <v>1</v>
      </c>
      <c r="AM74">
        <v>1</v>
      </c>
      <c r="AN74">
        <v>1</v>
      </c>
      <c r="AO74">
        <v>1</v>
      </c>
      <c r="AP74">
        <v>1</v>
      </c>
      <c r="AQ74">
        <v>1</v>
      </c>
      <c r="AR74">
        <v>1</v>
      </c>
      <c r="AS74">
        <v>1</v>
      </c>
      <c r="AT74">
        <v>1</v>
      </c>
      <c r="AU74">
        <v>1</v>
      </c>
      <c r="AV74">
        <v>1</v>
      </c>
      <c r="AW74">
        <v>1</v>
      </c>
      <c r="AX74">
        <v>1</v>
      </c>
      <c r="AY74">
        <v>1</v>
      </c>
      <c r="AZ74">
        <v>1</v>
      </c>
      <c r="BA74">
        <v>1</v>
      </c>
      <c r="BB74">
        <v>1</v>
      </c>
      <c r="BC74">
        <v>1</v>
      </c>
      <c r="BD74">
        <v>2</v>
      </c>
      <c r="BE74">
        <v>2</v>
      </c>
      <c r="BF74">
        <v>2</v>
      </c>
      <c r="BG74">
        <v>2</v>
      </c>
      <c r="BH74">
        <v>2</v>
      </c>
      <c r="BI74">
        <v>3</v>
      </c>
      <c r="BJ74">
        <v>3</v>
      </c>
      <c r="BK74">
        <v>3</v>
      </c>
      <c r="BL74">
        <v>3</v>
      </c>
      <c r="BM74">
        <v>3</v>
      </c>
      <c r="BN74">
        <v>3</v>
      </c>
      <c r="BO74">
        <v>3</v>
      </c>
      <c r="BP74">
        <v>3</v>
      </c>
      <c r="BQ74">
        <v>3</v>
      </c>
      <c r="BR74">
        <v>3</v>
      </c>
      <c r="BS74">
        <v>3</v>
      </c>
      <c r="BT74">
        <v>3</v>
      </c>
      <c r="BU74">
        <v>3</v>
      </c>
      <c r="BV74">
        <v>3</v>
      </c>
      <c r="BW74">
        <v>3</v>
      </c>
      <c r="BX74">
        <v>3</v>
      </c>
      <c r="BY74">
        <v>3</v>
      </c>
      <c r="BZ74">
        <v>3</v>
      </c>
      <c r="CA74">
        <v>3</v>
      </c>
      <c r="CB74">
        <v>3</v>
      </c>
      <c r="CC74">
        <v>3</v>
      </c>
      <c r="CD74">
        <v>3</v>
      </c>
      <c r="CE74">
        <v>3</v>
      </c>
      <c r="CF74">
        <v>3</v>
      </c>
      <c r="CG74">
        <v>3</v>
      </c>
      <c r="CH74">
        <v>3</v>
      </c>
      <c r="CI74">
        <v>3</v>
      </c>
      <c r="CJ74">
        <v>3</v>
      </c>
      <c r="CK74">
        <v>3</v>
      </c>
      <c r="CL74">
        <v>3</v>
      </c>
      <c r="CM74">
        <v>3</v>
      </c>
      <c r="CN74">
        <v>3</v>
      </c>
      <c r="CO74">
        <v>3</v>
      </c>
      <c r="CP74">
        <v>3</v>
      </c>
      <c r="CQ74">
        <v>3</v>
      </c>
      <c r="CR74">
        <v>3</v>
      </c>
      <c r="CS74">
        <v>3</v>
      </c>
      <c r="CT74">
        <v>3</v>
      </c>
      <c r="CU74">
        <v>3</v>
      </c>
      <c r="CV74">
        <v>3</v>
      </c>
      <c r="CW74">
        <v>3</v>
      </c>
      <c r="CX74">
        <v>3</v>
      </c>
      <c r="CY74">
        <v>3</v>
      </c>
      <c r="CZ74">
        <v>3</v>
      </c>
      <c r="DA74">
        <v>3</v>
      </c>
      <c r="DB74">
        <v>3</v>
      </c>
      <c r="DC74">
        <v>3</v>
      </c>
    </row>
    <row r="75" spans="1:107" x14ac:dyDescent="0.25">
      <c r="A75" t="s">
        <v>26</v>
      </c>
      <c r="B75" t="s">
        <v>176</v>
      </c>
      <c r="C75">
        <v>36.342700000000001</v>
      </c>
      <c r="D75">
        <v>118.1498</v>
      </c>
      <c r="F75">
        <v>0</v>
      </c>
      <c r="G75">
        <v>0</v>
      </c>
      <c r="H75">
        <v>0</v>
      </c>
      <c r="I75">
        <v>0</v>
      </c>
      <c r="J75">
        <v>0</v>
      </c>
      <c r="K75">
        <v>0</v>
      </c>
      <c r="L75">
        <v>0</v>
      </c>
      <c r="M75">
        <v>0</v>
      </c>
      <c r="N75">
        <v>0</v>
      </c>
      <c r="O75">
        <v>0</v>
      </c>
      <c r="P75">
        <v>0</v>
      </c>
      <c r="Q75">
        <v>0</v>
      </c>
      <c r="R75">
        <v>0</v>
      </c>
      <c r="S75">
        <v>0</v>
      </c>
      <c r="T75">
        <v>0</v>
      </c>
      <c r="U75">
        <v>0</v>
      </c>
      <c r="V75">
        <v>0</v>
      </c>
      <c r="W75">
        <v>0</v>
      </c>
      <c r="X75">
        <v>1</v>
      </c>
      <c r="Y75">
        <v>1</v>
      </c>
      <c r="Z75">
        <v>1</v>
      </c>
      <c r="AA75">
        <v>2</v>
      </c>
      <c r="AB75">
        <v>2</v>
      </c>
      <c r="AC75">
        <v>2</v>
      </c>
      <c r="AD75">
        <v>2</v>
      </c>
      <c r="AE75">
        <v>2</v>
      </c>
      <c r="AF75">
        <v>2</v>
      </c>
      <c r="AG75">
        <v>3</v>
      </c>
      <c r="AH75">
        <v>3</v>
      </c>
      <c r="AI75">
        <v>4</v>
      </c>
      <c r="AJ75">
        <v>4</v>
      </c>
      <c r="AK75">
        <v>4</v>
      </c>
      <c r="AL75">
        <v>4</v>
      </c>
      <c r="AM75">
        <v>5</v>
      </c>
      <c r="AN75">
        <v>6</v>
      </c>
      <c r="AO75">
        <v>6</v>
      </c>
      <c r="AP75">
        <v>6</v>
      </c>
      <c r="AQ75">
        <v>6</v>
      </c>
      <c r="AR75">
        <v>6</v>
      </c>
      <c r="AS75">
        <v>6</v>
      </c>
      <c r="AT75">
        <v>6</v>
      </c>
      <c r="AU75">
        <v>6</v>
      </c>
      <c r="AV75">
        <v>6</v>
      </c>
      <c r="AW75">
        <v>6</v>
      </c>
      <c r="AX75">
        <v>6</v>
      </c>
      <c r="AY75">
        <v>6</v>
      </c>
      <c r="AZ75">
        <v>6</v>
      </c>
      <c r="BA75">
        <v>6</v>
      </c>
      <c r="BB75">
        <v>6</v>
      </c>
      <c r="BC75">
        <v>6</v>
      </c>
      <c r="BD75">
        <v>6</v>
      </c>
      <c r="BE75">
        <v>7</v>
      </c>
      <c r="BF75">
        <v>7</v>
      </c>
      <c r="BG75">
        <v>7</v>
      </c>
      <c r="BH75">
        <v>7</v>
      </c>
      <c r="BI75">
        <v>7</v>
      </c>
      <c r="BJ75">
        <v>7</v>
      </c>
      <c r="BK75">
        <v>7</v>
      </c>
      <c r="BL75">
        <v>7</v>
      </c>
      <c r="BM75">
        <v>7</v>
      </c>
      <c r="BN75">
        <v>7</v>
      </c>
      <c r="BO75">
        <v>7</v>
      </c>
      <c r="BP75">
        <v>7</v>
      </c>
      <c r="BQ75">
        <v>7</v>
      </c>
      <c r="BR75">
        <v>7</v>
      </c>
      <c r="BS75">
        <v>7</v>
      </c>
      <c r="BT75">
        <v>7</v>
      </c>
      <c r="BU75">
        <v>7</v>
      </c>
      <c r="BV75">
        <v>7</v>
      </c>
      <c r="BW75">
        <v>7</v>
      </c>
      <c r="BX75">
        <v>7</v>
      </c>
      <c r="BY75">
        <v>7</v>
      </c>
      <c r="BZ75">
        <v>7</v>
      </c>
      <c r="CA75">
        <v>7</v>
      </c>
      <c r="CB75">
        <v>7</v>
      </c>
      <c r="CC75">
        <v>7</v>
      </c>
      <c r="CD75">
        <v>7</v>
      </c>
      <c r="CE75">
        <v>7</v>
      </c>
      <c r="CF75">
        <v>7</v>
      </c>
      <c r="CG75">
        <v>7</v>
      </c>
      <c r="CH75">
        <v>7</v>
      </c>
      <c r="CI75">
        <v>7</v>
      </c>
      <c r="CJ75">
        <v>7</v>
      </c>
      <c r="CK75">
        <v>7</v>
      </c>
      <c r="CL75">
        <v>7</v>
      </c>
      <c r="CM75">
        <v>7</v>
      </c>
      <c r="CN75">
        <v>7</v>
      </c>
      <c r="CO75">
        <v>7</v>
      </c>
      <c r="CP75">
        <v>7</v>
      </c>
      <c r="CQ75">
        <v>7</v>
      </c>
      <c r="CR75">
        <v>7</v>
      </c>
      <c r="CS75">
        <v>7</v>
      </c>
      <c r="CT75">
        <v>7</v>
      </c>
      <c r="CU75">
        <v>7</v>
      </c>
      <c r="CV75">
        <v>7</v>
      </c>
      <c r="CW75">
        <v>7</v>
      </c>
      <c r="CX75">
        <v>7</v>
      </c>
      <c r="CY75">
        <v>7</v>
      </c>
      <c r="CZ75">
        <v>7</v>
      </c>
      <c r="DA75">
        <v>7</v>
      </c>
      <c r="DB75">
        <v>7</v>
      </c>
      <c r="DC75">
        <v>7</v>
      </c>
    </row>
    <row r="76" spans="1:107" x14ac:dyDescent="0.25">
      <c r="A76" t="s">
        <v>27</v>
      </c>
      <c r="B76" t="s">
        <v>176</v>
      </c>
      <c r="C76">
        <v>31.201999999999998</v>
      </c>
      <c r="D76">
        <v>121.4491</v>
      </c>
      <c r="F76">
        <v>0</v>
      </c>
      <c r="G76">
        <v>0</v>
      </c>
      <c r="H76">
        <v>0</v>
      </c>
      <c r="I76">
        <v>0</v>
      </c>
      <c r="J76">
        <v>1</v>
      </c>
      <c r="K76">
        <v>1</v>
      </c>
      <c r="L76">
        <v>1</v>
      </c>
      <c r="M76">
        <v>1</v>
      </c>
      <c r="N76">
        <v>1</v>
      </c>
      <c r="O76">
        <v>1</v>
      </c>
      <c r="P76">
        <v>1</v>
      </c>
      <c r="Q76">
        <v>1</v>
      </c>
      <c r="R76">
        <v>1</v>
      </c>
      <c r="S76">
        <v>1</v>
      </c>
      <c r="T76">
        <v>1</v>
      </c>
      <c r="U76">
        <v>1</v>
      </c>
      <c r="V76">
        <v>1</v>
      </c>
      <c r="W76">
        <v>1</v>
      </c>
      <c r="X76">
        <v>1</v>
      </c>
      <c r="Y76">
        <v>1</v>
      </c>
      <c r="Z76">
        <v>1</v>
      </c>
      <c r="AA76">
        <v>1</v>
      </c>
      <c r="AB76">
        <v>1</v>
      </c>
      <c r="AC76">
        <v>1</v>
      </c>
      <c r="AD76">
        <v>1</v>
      </c>
      <c r="AE76">
        <v>1</v>
      </c>
      <c r="AF76">
        <v>1</v>
      </c>
      <c r="AG76">
        <v>1</v>
      </c>
      <c r="AH76">
        <v>2</v>
      </c>
      <c r="AI76">
        <v>2</v>
      </c>
      <c r="AJ76">
        <v>2</v>
      </c>
      <c r="AK76">
        <v>3</v>
      </c>
      <c r="AL76">
        <v>3</v>
      </c>
      <c r="AM76">
        <v>3</v>
      </c>
      <c r="AN76">
        <v>3</v>
      </c>
      <c r="AO76">
        <v>3</v>
      </c>
      <c r="AP76">
        <v>3</v>
      </c>
      <c r="AQ76">
        <v>3</v>
      </c>
      <c r="AR76">
        <v>3</v>
      </c>
      <c r="AS76">
        <v>3</v>
      </c>
      <c r="AT76">
        <v>3</v>
      </c>
      <c r="AU76">
        <v>3</v>
      </c>
      <c r="AV76">
        <v>3</v>
      </c>
      <c r="AW76">
        <v>3</v>
      </c>
      <c r="AX76">
        <v>3</v>
      </c>
      <c r="AY76">
        <v>3</v>
      </c>
      <c r="AZ76">
        <v>3</v>
      </c>
      <c r="BA76">
        <v>3</v>
      </c>
      <c r="BB76">
        <v>3</v>
      </c>
      <c r="BC76">
        <v>3</v>
      </c>
      <c r="BD76">
        <v>3</v>
      </c>
      <c r="BE76">
        <v>3</v>
      </c>
      <c r="BF76">
        <v>3</v>
      </c>
      <c r="BG76">
        <v>3</v>
      </c>
      <c r="BH76">
        <v>3</v>
      </c>
      <c r="BI76">
        <v>3</v>
      </c>
      <c r="BJ76">
        <v>3</v>
      </c>
      <c r="BK76">
        <v>3</v>
      </c>
      <c r="BL76">
        <v>3</v>
      </c>
      <c r="BM76">
        <v>3</v>
      </c>
      <c r="BN76">
        <v>4</v>
      </c>
      <c r="BO76">
        <v>4</v>
      </c>
      <c r="BP76">
        <v>4</v>
      </c>
      <c r="BQ76">
        <v>5</v>
      </c>
      <c r="BR76">
        <v>5</v>
      </c>
      <c r="BS76">
        <v>5</v>
      </c>
      <c r="BT76">
        <v>5</v>
      </c>
      <c r="BU76">
        <v>5</v>
      </c>
      <c r="BV76">
        <v>5</v>
      </c>
      <c r="BW76">
        <v>5</v>
      </c>
      <c r="BX76">
        <v>6</v>
      </c>
      <c r="BY76">
        <v>6</v>
      </c>
      <c r="BZ76">
        <v>6</v>
      </c>
      <c r="CA76">
        <v>6</v>
      </c>
      <c r="CB76">
        <v>6</v>
      </c>
      <c r="CC76">
        <v>6</v>
      </c>
      <c r="CD76">
        <v>6</v>
      </c>
      <c r="CE76">
        <v>7</v>
      </c>
      <c r="CF76">
        <v>7</v>
      </c>
      <c r="CG76">
        <v>7</v>
      </c>
      <c r="CH76">
        <v>7</v>
      </c>
      <c r="CI76">
        <v>7</v>
      </c>
      <c r="CJ76">
        <v>7</v>
      </c>
      <c r="CK76">
        <v>7</v>
      </c>
      <c r="CL76">
        <v>7</v>
      </c>
      <c r="CM76">
        <v>7</v>
      </c>
      <c r="CN76">
        <v>7</v>
      </c>
      <c r="CO76">
        <v>7</v>
      </c>
      <c r="CP76">
        <v>7</v>
      </c>
      <c r="CQ76">
        <v>7</v>
      </c>
      <c r="CR76">
        <v>7</v>
      </c>
      <c r="CS76">
        <v>7</v>
      </c>
      <c r="CT76">
        <v>7</v>
      </c>
      <c r="CU76">
        <v>7</v>
      </c>
      <c r="CV76">
        <v>7</v>
      </c>
      <c r="CW76">
        <v>7</v>
      </c>
      <c r="CX76">
        <v>7</v>
      </c>
      <c r="CY76">
        <v>7</v>
      </c>
      <c r="CZ76">
        <v>7</v>
      </c>
      <c r="DA76">
        <v>7</v>
      </c>
      <c r="DB76">
        <v>7</v>
      </c>
      <c r="DC76">
        <v>7</v>
      </c>
    </row>
    <row r="77" spans="1:107" x14ac:dyDescent="0.25">
      <c r="A77" t="s">
        <v>28</v>
      </c>
      <c r="B77" t="s">
        <v>176</v>
      </c>
      <c r="C77">
        <v>37.5777</v>
      </c>
      <c r="D77">
        <v>112.29219999999999</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v>0</v>
      </c>
      <c r="BN77">
        <v>0</v>
      </c>
      <c r="BO77">
        <v>0</v>
      </c>
      <c r="BP77">
        <v>0</v>
      </c>
      <c r="BQ77">
        <v>0</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0</v>
      </c>
      <c r="DA77">
        <v>0</v>
      </c>
      <c r="DB77">
        <v>0</v>
      </c>
      <c r="DC77">
        <v>0</v>
      </c>
    </row>
    <row r="78" spans="1:107" x14ac:dyDescent="0.25">
      <c r="A78" t="s">
        <v>29</v>
      </c>
      <c r="B78" t="s">
        <v>176</v>
      </c>
      <c r="C78">
        <v>30.617100000000001</v>
      </c>
      <c r="D78">
        <v>102.7103</v>
      </c>
      <c r="F78">
        <v>0</v>
      </c>
      <c r="G78">
        <v>0</v>
      </c>
      <c r="H78">
        <v>0</v>
      </c>
      <c r="I78">
        <v>0</v>
      </c>
      <c r="J78">
        <v>0</v>
      </c>
      <c r="K78">
        <v>0</v>
      </c>
      <c r="L78">
        <v>0</v>
      </c>
      <c r="M78">
        <v>1</v>
      </c>
      <c r="N78">
        <v>1</v>
      </c>
      <c r="O78">
        <v>1</v>
      </c>
      <c r="P78">
        <v>1</v>
      </c>
      <c r="Q78">
        <v>1</v>
      </c>
      <c r="R78">
        <v>1</v>
      </c>
      <c r="S78">
        <v>1</v>
      </c>
      <c r="T78">
        <v>1</v>
      </c>
      <c r="U78">
        <v>1</v>
      </c>
      <c r="V78">
        <v>1</v>
      </c>
      <c r="W78">
        <v>1</v>
      </c>
      <c r="X78">
        <v>1</v>
      </c>
      <c r="Y78">
        <v>1</v>
      </c>
      <c r="Z78">
        <v>1</v>
      </c>
      <c r="AA78">
        <v>1</v>
      </c>
      <c r="AB78">
        <v>1</v>
      </c>
      <c r="AC78">
        <v>1</v>
      </c>
      <c r="AD78">
        <v>1</v>
      </c>
      <c r="AE78">
        <v>3</v>
      </c>
      <c r="AF78">
        <v>3</v>
      </c>
      <c r="AG78">
        <v>3</v>
      </c>
      <c r="AH78">
        <v>3</v>
      </c>
      <c r="AI78">
        <v>3</v>
      </c>
      <c r="AJ78">
        <v>3</v>
      </c>
      <c r="AK78">
        <v>3</v>
      </c>
      <c r="AL78">
        <v>3</v>
      </c>
      <c r="AM78">
        <v>3</v>
      </c>
      <c r="AN78">
        <v>3</v>
      </c>
      <c r="AO78">
        <v>3</v>
      </c>
      <c r="AP78">
        <v>3</v>
      </c>
      <c r="AQ78">
        <v>3</v>
      </c>
      <c r="AR78">
        <v>3</v>
      </c>
      <c r="AS78">
        <v>3</v>
      </c>
      <c r="AT78">
        <v>3</v>
      </c>
      <c r="AU78">
        <v>3</v>
      </c>
      <c r="AV78">
        <v>3</v>
      </c>
      <c r="AW78">
        <v>3</v>
      </c>
      <c r="AX78">
        <v>3</v>
      </c>
      <c r="AY78">
        <v>3</v>
      </c>
      <c r="AZ78">
        <v>3</v>
      </c>
      <c r="BA78">
        <v>3</v>
      </c>
      <c r="BB78">
        <v>3</v>
      </c>
      <c r="BC78">
        <v>3</v>
      </c>
      <c r="BD78">
        <v>3</v>
      </c>
      <c r="BE78">
        <v>3</v>
      </c>
      <c r="BF78">
        <v>3</v>
      </c>
      <c r="BG78">
        <v>3</v>
      </c>
      <c r="BH78">
        <v>3</v>
      </c>
      <c r="BI78">
        <v>3</v>
      </c>
      <c r="BJ78">
        <v>3</v>
      </c>
      <c r="BK78">
        <v>3</v>
      </c>
      <c r="BL78">
        <v>3</v>
      </c>
      <c r="BM78">
        <v>3</v>
      </c>
      <c r="BN78">
        <v>3</v>
      </c>
      <c r="BO78">
        <v>3</v>
      </c>
      <c r="BP78">
        <v>3</v>
      </c>
      <c r="BQ78">
        <v>3</v>
      </c>
      <c r="BR78">
        <v>3</v>
      </c>
      <c r="BS78">
        <v>3</v>
      </c>
      <c r="BT78">
        <v>3</v>
      </c>
      <c r="BU78">
        <v>3</v>
      </c>
      <c r="BV78">
        <v>3</v>
      </c>
      <c r="BW78">
        <v>3</v>
      </c>
      <c r="BX78">
        <v>3</v>
      </c>
      <c r="BY78">
        <v>3</v>
      </c>
      <c r="BZ78">
        <v>3</v>
      </c>
      <c r="CA78">
        <v>3</v>
      </c>
      <c r="CB78">
        <v>3</v>
      </c>
      <c r="CC78">
        <v>3</v>
      </c>
      <c r="CD78">
        <v>3</v>
      </c>
      <c r="CE78">
        <v>3</v>
      </c>
      <c r="CF78">
        <v>3</v>
      </c>
      <c r="CG78">
        <v>3</v>
      </c>
      <c r="CH78">
        <v>3</v>
      </c>
      <c r="CI78">
        <v>3</v>
      </c>
      <c r="CJ78">
        <v>3</v>
      </c>
      <c r="CK78">
        <v>3</v>
      </c>
      <c r="CL78">
        <v>3</v>
      </c>
      <c r="CM78">
        <v>3</v>
      </c>
      <c r="CN78">
        <v>3</v>
      </c>
      <c r="CO78">
        <v>3</v>
      </c>
      <c r="CP78">
        <v>3</v>
      </c>
      <c r="CQ78">
        <v>3</v>
      </c>
      <c r="CR78">
        <v>3</v>
      </c>
      <c r="CS78">
        <v>3</v>
      </c>
      <c r="CT78">
        <v>3</v>
      </c>
      <c r="CU78">
        <v>3</v>
      </c>
      <c r="CV78">
        <v>3</v>
      </c>
      <c r="CW78">
        <v>3</v>
      </c>
      <c r="CX78">
        <v>3</v>
      </c>
      <c r="CY78">
        <v>3</v>
      </c>
      <c r="CZ78">
        <v>3</v>
      </c>
      <c r="DA78">
        <v>3</v>
      </c>
      <c r="DB78">
        <v>3</v>
      </c>
      <c r="DC78">
        <v>3</v>
      </c>
    </row>
    <row r="79" spans="1:107" x14ac:dyDescent="0.25">
      <c r="A79" t="s">
        <v>30</v>
      </c>
      <c r="B79" t="s">
        <v>176</v>
      </c>
      <c r="C79">
        <v>39.305399999999999</v>
      </c>
      <c r="D79">
        <v>117.32299999999999</v>
      </c>
      <c r="F79">
        <v>0</v>
      </c>
      <c r="G79">
        <v>0</v>
      </c>
      <c r="H79">
        <v>0</v>
      </c>
      <c r="I79">
        <v>0</v>
      </c>
      <c r="J79">
        <v>0</v>
      </c>
      <c r="K79">
        <v>0</v>
      </c>
      <c r="L79">
        <v>0</v>
      </c>
      <c r="M79">
        <v>0</v>
      </c>
      <c r="N79">
        <v>0</v>
      </c>
      <c r="O79">
        <v>0</v>
      </c>
      <c r="P79">
        <v>0</v>
      </c>
      <c r="Q79">
        <v>0</v>
      </c>
      <c r="R79">
        <v>0</v>
      </c>
      <c r="S79">
        <v>0</v>
      </c>
      <c r="T79">
        <v>1</v>
      </c>
      <c r="U79">
        <v>1</v>
      </c>
      <c r="V79">
        <v>1</v>
      </c>
      <c r="W79">
        <v>1</v>
      </c>
      <c r="X79">
        <v>1</v>
      </c>
      <c r="Y79">
        <v>1</v>
      </c>
      <c r="Z79">
        <v>2</v>
      </c>
      <c r="AA79">
        <v>2</v>
      </c>
      <c r="AB79">
        <v>3</v>
      </c>
      <c r="AC79">
        <v>3</v>
      </c>
      <c r="AD79">
        <v>3</v>
      </c>
      <c r="AE79">
        <v>3</v>
      </c>
      <c r="AF79">
        <v>3</v>
      </c>
      <c r="AG79">
        <v>3</v>
      </c>
      <c r="AH79">
        <v>3</v>
      </c>
      <c r="AI79">
        <v>3</v>
      </c>
      <c r="AJ79">
        <v>3</v>
      </c>
      <c r="AK79">
        <v>3</v>
      </c>
      <c r="AL79">
        <v>3</v>
      </c>
      <c r="AM79">
        <v>3</v>
      </c>
      <c r="AN79">
        <v>3</v>
      </c>
      <c r="AO79">
        <v>3</v>
      </c>
      <c r="AP79">
        <v>3</v>
      </c>
      <c r="AQ79">
        <v>3</v>
      </c>
      <c r="AR79">
        <v>3</v>
      </c>
      <c r="AS79">
        <v>3</v>
      </c>
      <c r="AT79">
        <v>3</v>
      </c>
      <c r="AU79">
        <v>3</v>
      </c>
      <c r="AV79">
        <v>3</v>
      </c>
      <c r="AW79">
        <v>3</v>
      </c>
      <c r="AX79">
        <v>3</v>
      </c>
      <c r="AY79">
        <v>3</v>
      </c>
      <c r="AZ79">
        <v>3</v>
      </c>
      <c r="BA79">
        <v>3</v>
      </c>
      <c r="BB79">
        <v>3</v>
      </c>
      <c r="BC79">
        <v>3</v>
      </c>
      <c r="BD79">
        <v>3</v>
      </c>
      <c r="BE79">
        <v>3</v>
      </c>
      <c r="BF79">
        <v>3</v>
      </c>
      <c r="BG79">
        <v>3</v>
      </c>
      <c r="BH79">
        <v>3</v>
      </c>
      <c r="BI79">
        <v>3</v>
      </c>
      <c r="BJ79">
        <v>3</v>
      </c>
      <c r="BK79">
        <v>3</v>
      </c>
      <c r="BL79">
        <v>3</v>
      </c>
      <c r="BM79">
        <v>3</v>
      </c>
      <c r="BN79">
        <v>3</v>
      </c>
      <c r="BO79">
        <v>3</v>
      </c>
      <c r="BP79">
        <v>3</v>
      </c>
      <c r="BQ79">
        <v>3</v>
      </c>
      <c r="BR79">
        <v>3</v>
      </c>
      <c r="BS79">
        <v>3</v>
      </c>
      <c r="BT79">
        <v>3</v>
      </c>
      <c r="BU79">
        <v>3</v>
      </c>
      <c r="BV79">
        <v>3</v>
      </c>
      <c r="BW79">
        <v>3</v>
      </c>
      <c r="BX79">
        <v>3</v>
      </c>
      <c r="BY79">
        <v>3</v>
      </c>
      <c r="BZ79">
        <v>3</v>
      </c>
      <c r="CA79">
        <v>3</v>
      </c>
      <c r="CB79">
        <v>3</v>
      </c>
      <c r="CC79">
        <v>3</v>
      </c>
      <c r="CD79">
        <v>3</v>
      </c>
      <c r="CE79">
        <v>3</v>
      </c>
      <c r="CF79">
        <v>3</v>
      </c>
      <c r="CG79">
        <v>3</v>
      </c>
      <c r="CH79">
        <v>3</v>
      </c>
      <c r="CI79">
        <v>3</v>
      </c>
      <c r="CJ79">
        <v>3</v>
      </c>
      <c r="CK79">
        <v>3</v>
      </c>
      <c r="CL79">
        <v>3</v>
      </c>
      <c r="CM79">
        <v>3</v>
      </c>
      <c r="CN79">
        <v>3</v>
      </c>
      <c r="CO79">
        <v>3</v>
      </c>
      <c r="CP79">
        <v>3</v>
      </c>
      <c r="CQ79">
        <v>3</v>
      </c>
      <c r="CR79">
        <v>3</v>
      </c>
      <c r="CS79">
        <v>3</v>
      </c>
      <c r="CT79">
        <v>3</v>
      </c>
      <c r="CU79">
        <v>3</v>
      </c>
      <c r="CV79">
        <v>3</v>
      </c>
      <c r="CW79">
        <v>3</v>
      </c>
      <c r="CX79">
        <v>3</v>
      </c>
      <c r="CY79">
        <v>3</v>
      </c>
      <c r="CZ79">
        <v>3</v>
      </c>
      <c r="DA79">
        <v>3</v>
      </c>
      <c r="DB79">
        <v>3</v>
      </c>
      <c r="DC79">
        <v>3</v>
      </c>
    </row>
    <row r="80" spans="1:107" x14ac:dyDescent="0.25">
      <c r="A80" t="s">
        <v>31</v>
      </c>
      <c r="B80" t="s">
        <v>176</v>
      </c>
      <c r="C80">
        <v>31.692699999999999</v>
      </c>
      <c r="D80">
        <v>88.092399999999998</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c r="BQ80">
        <v>0</v>
      </c>
      <c r="BR80">
        <v>0</v>
      </c>
      <c r="BS80">
        <v>0</v>
      </c>
      <c r="BT80">
        <v>0</v>
      </c>
      <c r="BU80">
        <v>0</v>
      </c>
      <c r="BV80">
        <v>0</v>
      </c>
      <c r="BW80">
        <v>0</v>
      </c>
      <c r="BX80">
        <v>0</v>
      </c>
      <c r="BY80">
        <v>0</v>
      </c>
      <c r="BZ80">
        <v>0</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0</v>
      </c>
      <c r="DA80">
        <v>0</v>
      </c>
      <c r="DB80">
        <v>0</v>
      </c>
      <c r="DC80">
        <v>0</v>
      </c>
    </row>
    <row r="81" spans="1:107" x14ac:dyDescent="0.25">
      <c r="A81" t="s">
        <v>32</v>
      </c>
      <c r="B81" t="s">
        <v>176</v>
      </c>
      <c r="C81">
        <v>41.112900000000003</v>
      </c>
      <c r="D81">
        <v>85.240099999999998</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1</v>
      </c>
      <c r="AC81">
        <v>1</v>
      </c>
      <c r="AD81">
        <v>1</v>
      </c>
      <c r="AE81">
        <v>1</v>
      </c>
      <c r="AF81">
        <v>1</v>
      </c>
      <c r="AG81">
        <v>1</v>
      </c>
      <c r="AH81">
        <v>1</v>
      </c>
      <c r="AI81">
        <v>1</v>
      </c>
      <c r="AJ81">
        <v>1</v>
      </c>
      <c r="AK81">
        <v>2</v>
      </c>
      <c r="AL81">
        <v>2</v>
      </c>
      <c r="AM81">
        <v>2</v>
      </c>
      <c r="AN81">
        <v>2</v>
      </c>
      <c r="AO81">
        <v>2</v>
      </c>
      <c r="AP81">
        <v>2</v>
      </c>
      <c r="AQ81">
        <v>3</v>
      </c>
      <c r="AR81">
        <v>3</v>
      </c>
      <c r="AS81">
        <v>3</v>
      </c>
      <c r="AT81">
        <v>3</v>
      </c>
      <c r="AU81">
        <v>3</v>
      </c>
      <c r="AV81">
        <v>3</v>
      </c>
      <c r="AW81">
        <v>3</v>
      </c>
      <c r="AX81">
        <v>3</v>
      </c>
      <c r="AY81">
        <v>3</v>
      </c>
      <c r="AZ81">
        <v>3</v>
      </c>
      <c r="BA81">
        <v>3</v>
      </c>
      <c r="BB81">
        <v>3</v>
      </c>
      <c r="BC81">
        <v>3</v>
      </c>
      <c r="BD81">
        <v>3</v>
      </c>
      <c r="BE81">
        <v>3</v>
      </c>
      <c r="BF81">
        <v>3</v>
      </c>
      <c r="BG81">
        <v>3</v>
      </c>
      <c r="BH81">
        <v>3</v>
      </c>
      <c r="BI81">
        <v>3</v>
      </c>
      <c r="BJ81">
        <v>3</v>
      </c>
      <c r="BK81">
        <v>3</v>
      </c>
      <c r="BL81">
        <v>3</v>
      </c>
      <c r="BM81">
        <v>3</v>
      </c>
      <c r="BN81">
        <v>3</v>
      </c>
      <c r="BO81">
        <v>3</v>
      </c>
      <c r="BP81">
        <v>3</v>
      </c>
      <c r="BQ81">
        <v>3</v>
      </c>
      <c r="BR81">
        <v>3</v>
      </c>
      <c r="BS81">
        <v>3</v>
      </c>
      <c r="BT81">
        <v>3</v>
      </c>
      <c r="BU81">
        <v>3</v>
      </c>
      <c r="BV81">
        <v>3</v>
      </c>
      <c r="BW81">
        <v>3</v>
      </c>
      <c r="BX81">
        <v>3</v>
      </c>
      <c r="BY81">
        <v>3</v>
      </c>
      <c r="BZ81">
        <v>3</v>
      </c>
      <c r="CA81">
        <v>3</v>
      </c>
      <c r="CB81">
        <v>3</v>
      </c>
      <c r="CC81">
        <v>3</v>
      </c>
      <c r="CD81">
        <v>3</v>
      </c>
      <c r="CE81">
        <v>3</v>
      </c>
      <c r="CF81">
        <v>3</v>
      </c>
      <c r="CG81">
        <v>3</v>
      </c>
      <c r="CH81">
        <v>3</v>
      </c>
      <c r="CI81">
        <v>3</v>
      </c>
      <c r="CJ81">
        <v>3</v>
      </c>
      <c r="CK81">
        <v>3</v>
      </c>
      <c r="CL81">
        <v>3</v>
      </c>
      <c r="CM81">
        <v>3</v>
      </c>
      <c r="CN81">
        <v>3</v>
      </c>
      <c r="CO81">
        <v>3</v>
      </c>
      <c r="CP81">
        <v>3</v>
      </c>
      <c r="CQ81">
        <v>3</v>
      </c>
      <c r="CR81">
        <v>3</v>
      </c>
      <c r="CS81">
        <v>3</v>
      </c>
      <c r="CT81">
        <v>3</v>
      </c>
      <c r="CU81">
        <v>3</v>
      </c>
      <c r="CV81">
        <v>3</v>
      </c>
      <c r="CW81">
        <v>3</v>
      </c>
      <c r="CX81">
        <v>3</v>
      </c>
      <c r="CY81">
        <v>3</v>
      </c>
      <c r="CZ81">
        <v>3</v>
      </c>
      <c r="DA81">
        <v>3</v>
      </c>
      <c r="DB81">
        <v>3</v>
      </c>
      <c r="DC81">
        <v>3</v>
      </c>
    </row>
    <row r="82" spans="1:107" x14ac:dyDescent="0.25">
      <c r="A82" t="s">
        <v>33</v>
      </c>
      <c r="B82" t="s">
        <v>176</v>
      </c>
      <c r="C82">
        <v>24.974</v>
      </c>
      <c r="D82">
        <v>101.48700000000001</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1</v>
      </c>
      <c r="AI82">
        <v>2</v>
      </c>
      <c r="AJ82">
        <v>2</v>
      </c>
      <c r="AK82">
        <v>2</v>
      </c>
      <c r="AL82">
        <v>2</v>
      </c>
      <c r="AM82">
        <v>2</v>
      </c>
      <c r="AN82">
        <v>2</v>
      </c>
      <c r="AO82">
        <v>2</v>
      </c>
      <c r="AP82">
        <v>2</v>
      </c>
      <c r="AQ82">
        <v>2</v>
      </c>
      <c r="AR82">
        <v>2</v>
      </c>
      <c r="AS82">
        <v>2</v>
      </c>
      <c r="AT82">
        <v>2</v>
      </c>
      <c r="AU82">
        <v>2</v>
      </c>
      <c r="AV82">
        <v>2</v>
      </c>
      <c r="AW82">
        <v>2</v>
      </c>
      <c r="AX82">
        <v>2</v>
      </c>
      <c r="AY82">
        <v>2</v>
      </c>
      <c r="AZ82">
        <v>2</v>
      </c>
      <c r="BA82">
        <v>2</v>
      </c>
      <c r="BB82">
        <v>2</v>
      </c>
      <c r="BC82">
        <v>2</v>
      </c>
      <c r="BD82">
        <v>2</v>
      </c>
      <c r="BE82">
        <v>2</v>
      </c>
      <c r="BF82">
        <v>2</v>
      </c>
      <c r="BG82">
        <v>2</v>
      </c>
      <c r="BH82">
        <v>2</v>
      </c>
      <c r="BI82">
        <v>2</v>
      </c>
      <c r="BJ82">
        <v>2</v>
      </c>
      <c r="BK82">
        <v>2</v>
      </c>
      <c r="BL82">
        <v>2</v>
      </c>
      <c r="BM82">
        <v>2</v>
      </c>
      <c r="BN82">
        <v>2</v>
      </c>
      <c r="BO82">
        <v>2</v>
      </c>
      <c r="BP82">
        <v>2</v>
      </c>
      <c r="BQ82">
        <v>2</v>
      </c>
      <c r="BR82">
        <v>2</v>
      </c>
      <c r="BS82">
        <v>2</v>
      </c>
      <c r="BT82">
        <v>2</v>
      </c>
      <c r="BU82">
        <v>2</v>
      </c>
      <c r="BV82">
        <v>2</v>
      </c>
      <c r="BW82">
        <v>2</v>
      </c>
      <c r="BX82">
        <v>2</v>
      </c>
      <c r="BY82">
        <v>2</v>
      </c>
      <c r="BZ82">
        <v>2</v>
      </c>
      <c r="CA82">
        <v>2</v>
      </c>
      <c r="CB82">
        <v>2</v>
      </c>
      <c r="CC82">
        <v>2</v>
      </c>
      <c r="CD82">
        <v>2</v>
      </c>
      <c r="CE82">
        <v>2</v>
      </c>
      <c r="CF82">
        <v>2</v>
      </c>
      <c r="CG82">
        <v>2</v>
      </c>
      <c r="CH82">
        <v>2</v>
      </c>
      <c r="CI82">
        <v>2</v>
      </c>
      <c r="CJ82">
        <v>2</v>
      </c>
      <c r="CK82">
        <v>2</v>
      </c>
      <c r="CL82">
        <v>2</v>
      </c>
      <c r="CM82">
        <v>2</v>
      </c>
      <c r="CN82">
        <v>2</v>
      </c>
      <c r="CO82">
        <v>2</v>
      </c>
      <c r="CP82">
        <v>2</v>
      </c>
      <c r="CQ82">
        <v>2</v>
      </c>
      <c r="CR82">
        <v>2</v>
      </c>
      <c r="CS82">
        <v>2</v>
      </c>
      <c r="CT82">
        <v>2</v>
      </c>
      <c r="CU82">
        <v>2</v>
      </c>
      <c r="CV82">
        <v>2</v>
      </c>
      <c r="CW82">
        <v>2</v>
      </c>
      <c r="CX82">
        <v>2</v>
      </c>
      <c r="CY82">
        <v>2</v>
      </c>
      <c r="CZ82">
        <v>2</v>
      </c>
      <c r="DA82">
        <v>2</v>
      </c>
      <c r="DB82">
        <v>2</v>
      </c>
      <c r="DC82">
        <v>2</v>
      </c>
    </row>
    <row r="83" spans="1:107" x14ac:dyDescent="0.25">
      <c r="A83" t="s">
        <v>34</v>
      </c>
      <c r="B83" t="s">
        <v>176</v>
      </c>
      <c r="C83">
        <v>29.183199999999999</v>
      </c>
      <c r="D83">
        <v>120.0934</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1</v>
      </c>
      <c r="AJ83">
        <v>1</v>
      </c>
      <c r="AK83">
        <v>1</v>
      </c>
      <c r="AL83">
        <v>1</v>
      </c>
      <c r="AM83">
        <v>1</v>
      </c>
      <c r="AN83">
        <v>1</v>
      </c>
      <c r="AO83">
        <v>1</v>
      </c>
      <c r="AP83">
        <v>1</v>
      </c>
      <c r="AQ83">
        <v>1</v>
      </c>
      <c r="AR83">
        <v>1</v>
      </c>
      <c r="AS83">
        <v>1</v>
      </c>
      <c r="AT83">
        <v>1</v>
      </c>
      <c r="AU83">
        <v>1</v>
      </c>
      <c r="AV83">
        <v>1</v>
      </c>
      <c r="AW83">
        <v>1</v>
      </c>
      <c r="AX83">
        <v>1</v>
      </c>
      <c r="AY83">
        <v>1</v>
      </c>
      <c r="AZ83">
        <v>1</v>
      </c>
      <c r="BA83">
        <v>1</v>
      </c>
      <c r="BB83">
        <v>1</v>
      </c>
      <c r="BC83">
        <v>1</v>
      </c>
      <c r="BD83">
        <v>1</v>
      </c>
      <c r="BE83">
        <v>1</v>
      </c>
      <c r="BF83">
        <v>1</v>
      </c>
      <c r="BG83">
        <v>1</v>
      </c>
      <c r="BH83">
        <v>1</v>
      </c>
      <c r="BI83">
        <v>1</v>
      </c>
      <c r="BJ83">
        <v>1</v>
      </c>
      <c r="BK83">
        <v>1</v>
      </c>
      <c r="BL83">
        <v>1</v>
      </c>
      <c r="BM83">
        <v>1</v>
      </c>
      <c r="BN83">
        <v>1</v>
      </c>
      <c r="BO83">
        <v>1</v>
      </c>
      <c r="BP83">
        <v>1</v>
      </c>
      <c r="BQ83">
        <v>1</v>
      </c>
      <c r="BR83">
        <v>1</v>
      </c>
      <c r="BS83">
        <v>1</v>
      </c>
      <c r="BT83">
        <v>1</v>
      </c>
      <c r="BU83">
        <v>1</v>
      </c>
      <c r="BV83">
        <v>1</v>
      </c>
      <c r="BW83">
        <v>1</v>
      </c>
      <c r="BX83">
        <v>1</v>
      </c>
      <c r="BY83">
        <v>1</v>
      </c>
      <c r="BZ83">
        <v>1</v>
      </c>
      <c r="CA83">
        <v>1</v>
      </c>
      <c r="CB83">
        <v>1</v>
      </c>
      <c r="CC83">
        <v>1</v>
      </c>
      <c r="CD83">
        <v>1</v>
      </c>
      <c r="CE83">
        <v>1</v>
      </c>
      <c r="CF83">
        <v>1</v>
      </c>
      <c r="CG83">
        <v>1</v>
      </c>
      <c r="CH83">
        <v>1</v>
      </c>
      <c r="CI83">
        <v>1</v>
      </c>
      <c r="CJ83">
        <v>1</v>
      </c>
      <c r="CK83">
        <v>1</v>
      </c>
      <c r="CL83">
        <v>1</v>
      </c>
      <c r="CM83">
        <v>1</v>
      </c>
      <c r="CN83">
        <v>1</v>
      </c>
      <c r="CO83">
        <v>1</v>
      </c>
      <c r="CP83">
        <v>1</v>
      </c>
      <c r="CQ83">
        <v>1</v>
      </c>
      <c r="CR83">
        <v>1</v>
      </c>
      <c r="CS83">
        <v>1</v>
      </c>
      <c r="CT83">
        <v>1</v>
      </c>
      <c r="CU83">
        <v>1</v>
      </c>
      <c r="CV83">
        <v>1</v>
      </c>
      <c r="CW83">
        <v>1</v>
      </c>
      <c r="CX83">
        <v>1</v>
      </c>
      <c r="CY83">
        <v>1</v>
      </c>
      <c r="CZ83">
        <v>1</v>
      </c>
      <c r="DA83">
        <v>1</v>
      </c>
      <c r="DB83">
        <v>1</v>
      </c>
      <c r="DC83">
        <v>1</v>
      </c>
    </row>
    <row r="84" spans="1:107" x14ac:dyDescent="0.25">
      <c r="B84" t="s">
        <v>127</v>
      </c>
      <c r="C84">
        <v>4.5709</v>
      </c>
      <c r="D84">
        <v>-74.297300000000007</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2</v>
      </c>
      <c r="BO84">
        <v>3</v>
      </c>
      <c r="BP84">
        <v>3</v>
      </c>
      <c r="BQ84">
        <v>4</v>
      </c>
      <c r="BR84">
        <v>6</v>
      </c>
      <c r="BS84">
        <v>6</v>
      </c>
      <c r="BT84">
        <v>6</v>
      </c>
      <c r="BU84">
        <v>10</v>
      </c>
      <c r="BV84">
        <v>12</v>
      </c>
      <c r="BW84">
        <v>16</v>
      </c>
      <c r="BX84">
        <v>17</v>
      </c>
      <c r="BY84">
        <v>19</v>
      </c>
      <c r="BZ84">
        <v>25</v>
      </c>
      <c r="CA84">
        <v>32</v>
      </c>
      <c r="CB84">
        <v>35</v>
      </c>
      <c r="CC84">
        <v>46</v>
      </c>
      <c r="CD84">
        <v>50</v>
      </c>
      <c r="CE84">
        <v>54</v>
      </c>
      <c r="CF84">
        <v>69</v>
      </c>
      <c r="CG84">
        <v>80</v>
      </c>
      <c r="CH84">
        <v>100</v>
      </c>
      <c r="CI84">
        <v>109</v>
      </c>
      <c r="CJ84">
        <v>112</v>
      </c>
      <c r="CK84">
        <v>127</v>
      </c>
      <c r="CL84">
        <v>131</v>
      </c>
      <c r="CM84">
        <v>144</v>
      </c>
      <c r="CN84">
        <v>153</v>
      </c>
      <c r="CO84">
        <v>153</v>
      </c>
      <c r="CP84">
        <v>179</v>
      </c>
      <c r="CQ84">
        <v>189</v>
      </c>
      <c r="CR84">
        <v>196</v>
      </c>
      <c r="CS84">
        <v>206</v>
      </c>
      <c r="CT84">
        <v>215</v>
      </c>
      <c r="CU84">
        <v>225</v>
      </c>
      <c r="CV84">
        <v>233</v>
      </c>
      <c r="CW84">
        <v>244</v>
      </c>
      <c r="CX84">
        <v>253</v>
      </c>
      <c r="CY84">
        <v>269</v>
      </c>
      <c r="CZ84">
        <v>278</v>
      </c>
      <c r="DA84">
        <v>293</v>
      </c>
      <c r="DB84">
        <v>314</v>
      </c>
      <c r="DC84">
        <v>324</v>
      </c>
    </row>
    <row r="85" spans="1:107" x14ac:dyDescent="0.25">
      <c r="B85" t="s">
        <v>491</v>
      </c>
      <c r="C85">
        <v>-4.0382999999999996</v>
      </c>
      <c r="D85">
        <v>21.758700000000001</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c r="BM85">
        <v>0</v>
      </c>
      <c r="BN85">
        <v>0</v>
      </c>
      <c r="BO85">
        <v>0</v>
      </c>
      <c r="BP85">
        <v>0</v>
      </c>
      <c r="BQ85">
        <v>0</v>
      </c>
      <c r="BR85">
        <v>0</v>
      </c>
      <c r="BS85">
        <v>0</v>
      </c>
      <c r="BT85">
        <v>0</v>
      </c>
      <c r="BU85">
        <v>0</v>
      </c>
      <c r="BV85">
        <v>0</v>
      </c>
      <c r="BW85">
        <v>0</v>
      </c>
      <c r="BX85">
        <v>0</v>
      </c>
      <c r="BY85">
        <v>2</v>
      </c>
      <c r="BZ85">
        <v>2</v>
      </c>
      <c r="CA85">
        <v>2</v>
      </c>
      <c r="CB85">
        <v>5</v>
      </c>
      <c r="CC85">
        <v>5</v>
      </c>
      <c r="CD85">
        <v>5</v>
      </c>
      <c r="CE85">
        <v>5</v>
      </c>
      <c r="CF85">
        <v>5</v>
      </c>
      <c r="CG85">
        <v>5</v>
      </c>
      <c r="CH85">
        <v>5</v>
      </c>
      <c r="CI85">
        <v>5</v>
      </c>
      <c r="CJ85">
        <v>5</v>
      </c>
      <c r="CK85">
        <v>5</v>
      </c>
      <c r="CL85">
        <v>5</v>
      </c>
      <c r="CM85">
        <v>5</v>
      </c>
      <c r="CN85">
        <v>6</v>
      </c>
      <c r="CO85">
        <v>6</v>
      </c>
      <c r="CP85">
        <v>6</v>
      </c>
      <c r="CQ85">
        <v>6</v>
      </c>
      <c r="CR85">
        <v>6</v>
      </c>
      <c r="CS85">
        <v>6</v>
      </c>
      <c r="CT85">
        <v>6</v>
      </c>
      <c r="CU85">
        <v>6</v>
      </c>
      <c r="CV85">
        <v>6</v>
      </c>
      <c r="CW85">
        <v>6</v>
      </c>
      <c r="CX85">
        <v>6</v>
      </c>
      <c r="CY85">
        <v>8</v>
      </c>
      <c r="CZ85">
        <v>8</v>
      </c>
      <c r="DA85">
        <v>9</v>
      </c>
      <c r="DB85">
        <v>9</v>
      </c>
      <c r="DC85">
        <v>9</v>
      </c>
    </row>
    <row r="86" spans="1:107" x14ac:dyDescent="0.25">
      <c r="B86" t="s">
        <v>182</v>
      </c>
      <c r="C86">
        <v>-4.0382999999999996</v>
      </c>
      <c r="D86">
        <v>21.758700000000001</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1</v>
      </c>
      <c r="BN86">
        <v>1</v>
      </c>
      <c r="BO86">
        <v>1</v>
      </c>
      <c r="BP86">
        <v>2</v>
      </c>
      <c r="BQ86">
        <v>2</v>
      </c>
      <c r="BR86">
        <v>3</v>
      </c>
      <c r="BS86">
        <v>3</v>
      </c>
      <c r="BT86">
        <v>6</v>
      </c>
      <c r="BU86">
        <v>6</v>
      </c>
      <c r="BV86">
        <v>8</v>
      </c>
      <c r="BW86">
        <v>8</v>
      </c>
      <c r="BX86">
        <v>9</v>
      </c>
      <c r="BY86">
        <v>13</v>
      </c>
      <c r="BZ86">
        <v>13</v>
      </c>
      <c r="CA86">
        <v>18</v>
      </c>
      <c r="CB86">
        <v>18</v>
      </c>
      <c r="CC86">
        <v>18</v>
      </c>
      <c r="CD86">
        <v>18</v>
      </c>
      <c r="CE86">
        <v>18</v>
      </c>
      <c r="CF86">
        <v>18</v>
      </c>
      <c r="CG86">
        <v>20</v>
      </c>
      <c r="CH86">
        <v>20</v>
      </c>
      <c r="CI86">
        <v>20</v>
      </c>
      <c r="CJ86">
        <v>20</v>
      </c>
      <c r="CK86">
        <v>20</v>
      </c>
      <c r="CL86">
        <v>21</v>
      </c>
      <c r="CM86">
        <v>22</v>
      </c>
      <c r="CN86">
        <v>23</v>
      </c>
      <c r="CO86">
        <v>25</v>
      </c>
      <c r="CP86">
        <v>25</v>
      </c>
      <c r="CQ86">
        <v>25</v>
      </c>
      <c r="CR86">
        <v>25</v>
      </c>
      <c r="CS86">
        <v>25</v>
      </c>
      <c r="CT86">
        <v>25</v>
      </c>
      <c r="CU86">
        <v>25</v>
      </c>
      <c r="CV86">
        <v>28</v>
      </c>
      <c r="CW86">
        <v>28</v>
      </c>
      <c r="CX86">
        <v>28</v>
      </c>
      <c r="CY86">
        <v>30</v>
      </c>
      <c r="CZ86">
        <v>30</v>
      </c>
      <c r="DA86">
        <v>31</v>
      </c>
      <c r="DB86">
        <v>32</v>
      </c>
      <c r="DC86">
        <v>33</v>
      </c>
    </row>
    <row r="87" spans="1:107" x14ac:dyDescent="0.25">
      <c r="B87" t="s">
        <v>128</v>
      </c>
      <c r="C87">
        <v>9.7489000000000008</v>
      </c>
      <c r="D87">
        <v>-83.753399999999999</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1</v>
      </c>
      <c r="BL87">
        <v>1</v>
      </c>
      <c r="BM87">
        <v>2</v>
      </c>
      <c r="BN87">
        <v>2</v>
      </c>
      <c r="BO87">
        <v>2</v>
      </c>
      <c r="BP87">
        <v>2</v>
      </c>
      <c r="BQ87">
        <v>2</v>
      </c>
      <c r="BR87">
        <v>2</v>
      </c>
      <c r="BS87">
        <v>2</v>
      </c>
      <c r="BT87">
        <v>2</v>
      </c>
      <c r="BU87">
        <v>2</v>
      </c>
      <c r="BV87">
        <v>2</v>
      </c>
      <c r="BW87">
        <v>2</v>
      </c>
      <c r="BX87">
        <v>2</v>
      </c>
      <c r="BY87">
        <v>2</v>
      </c>
      <c r="BZ87">
        <v>2</v>
      </c>
      <c r="CA87">
        <v>2</v>
      </c>
      <c r="CB87">
        <v>2</v>
      </c>
      <c r="CC87">
        <v>2</v>
      </c>
      <c r="CD87">
        <v>2</v>
      </c>
      <c r="CE87">
        <v>3</v>
      </c>
      <c r="CF87">
        <v>3</v>
      </c>
      <c r="CG87">
        <v>3</v>
      </c>
      <c r="CH87">
        <v>3</v>
      </c>
      <c r="CI87">
        <v>3</v>
      </c>
      <c r="CJ87">
        <v>3</v>
      </c>
      <c r="CK87">
        <v>3</v>
      </c>
      <c r="CL87">
        <v>4</v>
      </c>
      <c r="CM87">
        <v>4</v>
      </c>
      <c r="CN87">
        <v>4</v>
      </c>
      <c r="CO87">
        <v>4</v>
      </c>
      <c r="CP87">
        <v>5</v>
      </c>
      <c r="CQ87">
        <v>6</v>
      </c>
      <c r="CR87">
        <v>6</v>
      </c>
      <c r="CS87">
        <v>6</v>
      </c>
      <c r="CT87">
        <v>6</v>
      </c>
      <c r="CU87">
        <v>6</v>
      </c>
      <c r="CV87">
        <v>6</v>
      </c>
      <c r="CW87">
        <v>6</v>
      </c>
      <c r="CX87">
        <v>6</v>
      </c>
      <c r="CY87">
        <v>6</v>
      </c>
      <c r="CZ87">
        <v>6</v>
      </c>
      <c r="DA87">
        <v>6</v>
      </c>
      <c r="DB87">
        <v>6</v>
      </c>
      <c r="DC87">
        <v>6</v>
      </c>
    </row>
    <row r="88" spans="1:107" x14ac:dyDescent="0.25">
      <c r="B88" t="s">
        <v>183</v>
      </c>
      <c r="C88">
        <v>7.54</v>
      </c>
      <c r="D88">
        <v>-5.5471000000000004</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1</v>
      </c>
      <c r="BV88">
        <v>1</v>
      </c>
      <c r="BW88">
        <v>1</v>
      </c>
      <c r="BX88">
        <v>1</v>
      </c>
      <c r="BY88">
        <v>1</v>
      </c>
      <c r="BZ88">
        <v>1</v>
      </c>
      <c r="CA88">
        <v>1</v>
      </c>
      <c r="CB88">
        <v>3</v>
      </c>
      <c r="CC88">
        <v>3</v>
      </c>
      <c r="CD88">
        <v>3</v>
      </c>
      <c r="CE88">
        <v>3</v>
      </c>
      <c r="CF88">
        <v>3</v>
      </c>
      <c r="CG88">
        <v>3</v>
      </c>
      <c r="CH88">
        <v>4</v>
      </c>
      <c r="CI88">
        <v>5</v>
      </c>
      <c r="CJ88">
        <v>6</v>
      </c>
      <c r="CK88">
        <v>6</v>
      </c>
      <c r="CL88">
        <v>6</v>
      </c>
      <c r="CM88">
        <v>6</v>
      </c>
      <c r="CN88">
        <v>6</v>
      </c>
      <c r="CO88">
        <v>8</v>
      </c>
      <c r="CP88">
        <v>9</v>
      </c>
      <c r="CQ88">
        <v>9</v>
      </c>
      <c r="CR88">
        <v>13</v>
      </c>
      <c r="CS88">
        <v>14</v>
      </c>
      <c r="CT88">
        <v>14</v>
      </c>
      <c r="CU88">
        <v>14</v>
      </c>
      <c r="CV88">
        <v>14</v>
      </c>
      <c r="CW88">
        <v>14</v>
      </c>
      <c r="CX88">
        <v>14</v>
      </c>
      <c r="CY88">
        <v>14</v>
      </c>
      <c r="CZ88">
        <v>14</v>
      </c>
      <c r="DA88">
        <v>14</v>
      </c>
      <c r="DB88">
        <v>15</v>
      </c>
      <c r="DC88">
        <v>15</v>
      </c>
    </row>
    <row r="89" spans="1:107" x14ac:dyDescent="0.25">
      <c r="B89" t="s">
        <v>74</v>
      </c>
      <c r="C89">
        <v>45.1</v>
      </c>
      <c r="D89">
        <v>15.2</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1</v>
      </c>
      <c r="BL89">
        <v>1</v>
      </c>
      <c r="BM89">
        <v>1</v>
      </c>
      <c r="BN89">
        <v>1</v>
      </c>
      <c r="BO89">
        <v>1</v>
      </c>
      <c r="BP89">
        <v>1</v>
      </c>
      <c r="BQ89">
        <v>1</v>
      </c>
      <c r="BR89">
        <v>3</v>
      </c>
      <c r="BS89">
        <v>3</v>
      </c>
      <c r="BT89">
        <v>5</v>
      </c>
      <c r="BU89">
        <v>6</v>
      </c>
      <c r="BV89">
        <v>6</v>
      </c>
      <c r="BW89">
        <v>6</v>
      </c>
      <c r="BX89">
        <v>6</v>
      </c>
      <c r="BY89">
        <v>7</v>
      </c>
      <c r="BZ89">
        <v>8</v>
      </c>
      <c r="CA89">
        <v>12</v>
      </c>
      <c r="CB89">
        <v>15</v>
      </c>
      <c r="CC89">
        <v>16</v>
      </c>
      <c r="CD89">
        <v>18</v>
      </c>
      <c r="CE89">
        <v>19</v>
      </c>
      <c r="CF89">
        <v>20</v>
      </c>
      <c r="CG89">
        <v>21</v>
      </c>
      <c r="CH89">
        <v>21</v>
      </c>
      <c r="CI89">
        <v>23</v>
      </c>
      <c r="CJ89">
        <v>25</v>
      </c>
      <c r="CK89">
        <v>31</v>
      </c>
      <c r="CL89">
        <v>33</v>
      </c>
      <c r="CM89">
        <v>35</v>
      </c>
      <c r="CN89">
        <v>36</v>
      </c>
      <c r="CO89">
        <v>39</v>
      </c>
      <c r="CP89">
        <v>47</v>
      </c>
      <c r="CQ89">
        <v>47</v>
      </c>
      <c r="CR89">
        <v>48</v>
      </c>
      <c r="CS89">
        <v>48</v>
      </c>
      <c r="CT89">
        <v>50</v>
      </c>
      <c r="CU89">
        <v>51</v>
      </c>
      <c r="CV89">
        <v>54</v>
      </c>
      <c r="CW89">
        <v>55</v>
      </c>
      <c r="CX89">
        <v>59</v>
      </c>
      <c r="CY89">
        <v>63</v>
      </c>
      <c r="CZ89">
        <v>67</v>
      </c>
      <c r="DA89">
        <v>69</v>
      </c>
      <c r="DB89">
        <v>75</v>
      </c>
      <c r="DC89">
        <v>77</v>
      </c>
    </row>
    <row r="90" spans="1:107" x14ac:dyDescent="0.25">
      <c r="B90" t="s">
        <v>147</v>
      </c>
      <c r="C90">
        <v>0</v>
      </c>
      <c r="D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2</v>
      </c>
      <c r="AJ90">
        <v>2</v>
      </c>
      <c r="AK90">
        <v>2</v>
      </c>
      <c r="AL90">
        <v>3</v>
      </c>
      <c r="AM90">
        <v>3</v>
      </c>
      <c r="AN90">
        <v>3</v>
      </c>
      <c r="AO90">
        <v>4</v>
      </c>
      <c r="AP90">
        <v>4</v>
      </c>
      <c r="AQ90">
        <v>6</v>
      </c>
      <c r="AR90">
        <v>6</v>
      </c>
      <c r="AS90">
        <v>6</v>
      </c>
      <c r="AT90">
        <v>6</v>
      </c>
      <c r="AU90">
        <v>6</v>
      </c>
      <c r="AV90">
        <v>6</v>
      </c>
      <c r="AW90">
        <v>6</v>
      </c>
      <c r="AX90">
        <v>6</v>
      </c>
      <c r="AY90">
        <v>6</v>
      </c>
      <c r="AZ90">
        <v>6</v>
      </c>
      <c r="BA90">
        <v>6</v>
      </c>
      <c r="BB90">
        <v>6</v>
      </c>
      <c r="BC90">
        <v>7</v>
      </c>
      <c r="BD90">
        <v>7</v>
      </c>
      <c r="BE90">
        <v>7</v>
      </c>
      <c r="BF90">
        <v>7</v>
      </c>
      <c r="BG90">
        <v>7</v>
      </c>
      <c r="BH90">
        <v>7</v>
      </c>
      <c r="BI90">
        <v>7</v>
      </c>
      <c r="BJ90">
        <v>7</v>
      </c>
      <c r="BK90">
        <v>7</v>
      </c>
      <c r="BL90">
        <v>7</v>
      </c>
      <c r="BM90">
        <v>8</v>
      </c>
      <c r="BN90">
        <v>8</v>
      </c>
      <c r="BO90">
        <v>8</v>
      </c>
      <c r="BP90">
        <v>10</v>
      </c>
      <c r="BQ90">
        <v>10</v>
      </c>
      <c r="BR90">
        <v>10</v>
      </c>
      <c r="BS90">
        <v>10</v>
      </c>
      <c r="BT90">
        <v>10</v>
      </c>
      <c r="BU90">
        <v>10</v>
      </c>
      <c r="BV90">
        <v>10</v>
      </c>
      <c r="BW90">
        <v>10</v>
      </c>
      <c r="BX90">
        <v>11</v>
      </c>
      <c r="BY90">
        <v>11</v>
      </c>
      <c r="BZ90">
        <v>11</v>
      </c>
      <c r="CA90">
        <v>11</v>
      </c>
      <c r="CB90">
        <v>11</v>
      </c>
      <c r="CC90">
        <v>11</v>
      </c>
      <c r="CD90">
        <v>11</v>
      </c>
      <c r="CE90">
        <v>11</v>
      </c>
      <c r="CF90">
        <v>11</v>
      </c>
      <c r="CG90">
        <v>11</v>
      </c>
      <c r="CH90">
        <v>11</v>
      </c>
      <c r="CI90">
        <v>11</v>
      </c>
      <c r="CJ90">
        <v>11</v>
      </c>
      <c r="CK90">
        <v>12</v>
      </c>
      <c r="CL90">
        <v>12</v>
      </c>
      <c r="CM90">
        <v>12</v>
      </c>
      <c r="CN90">
        <v>13</v>
      </c>
      <c r="CO90">
        <v>13</v>
      </c>
      <c r="CP90">
        <v>13</v>
      </c>
      <c r="CQ90">
        <v>13</v>
      </c>
      <c r="CR90">
        <v>13</v>
      </c>
      <c r="CS90">
        <v>13</v>
      </c>
      <c r="CT90">
        <v>13</v>
      </c>
      <c r="CU90">
        <v>13</v>
      </c>
      <c r="CV90">
        <v>13</v>
      </c>
      <c r="CW90">
        <v>13</v>
      </c>
      <c r="CX90">
        <v>13</v>
      </c>
      <c r="CY90">
        <v>13</v>
      </c>
      <c r="CZ90">
        <v>13</v>
      </c>
      <c r="DA90">
        <v>13</v>
      </c>
      <c r="DB90">
        <v>13</v>
      </c>
      <c r="DC90">
        <v>13</v>
      </c>
    </row>
    <row r="91" spans="1:107" x14ac:dyDescent="0.25">
      <c r="B91" t="s">
        <v>194</v>
      </c>
      <c r="C91">
        <v>22</v>
      </c>
      <c r="D91">
        <v>-80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1</v>
      </c>
      <c r="BK91">
        <v>1</v>
      </c>
      <c r="BL91">
        <v>1</v>
      </c>
      <c r="BM91">
        <v>1</v>
      </c>
      <c r="BN91">
        <v>1</v>
      </c>
      <c r="BO91">
        <v>1</v>
      </c>
      <c r="BP91">
        <v>1</v>
      </c>
      <c r="BQ91">
        <v>1</v>
      </c>
      <c r="BR91">
        <v>2</v>
      </c>
      <c r="BS91">
        <v>2</v>
      </c>
      <c r="BT91">
        <v>3</v>
      </c>
      <c r="BU91">
        <v>3</v>
      </c>
      <c r="BV91">
        <v>4</v>
      </c>
      <c r="BW91">
        <v>6</v>
      </c>
      <c r="BX91">
        <v>6</v>
      </c>
      <c r="BY91">
        <v>6</v>
      </c>
      <c r="BZ91">
        <v>6</v>
      </c>
      <c r="CA91">
        <v>6</v>
      </c>
      <c r="CB91">
        <v>8</v>
      </c>
      <c r="CC91">
        <v>9</v>
      </c>
      <c r="CD91">
        <v>11</v>
      </c>
      <c r="CE91">
        <v>12</v>
      </c>
      <c r="CF91">
        <v>15</v>
      </c>
      <c r="CG91">
        <v>15</v>
      </c>
      <c r="CH91">
        <v>16</v>
      </c>
      <c r="CI91">
        <v>18</v>
      </c>
      <c r="CJ91">
        <v>21</v>
      </c>
      <c r="CK91">
        <v>21</v>
      </c>
      <c r="CL91">
        <v>24</v>
      </c>
      <c r="CM91">
        <v>27</v>
      </c>
      <c r="CN91">
        <v>31</v>
      </c>
      <c r="CO91">
        <v>32</v>
      </c>
      <c r="CP91">
        <v>34</v>
      </c>
      <c r="CQ91">
        <v>36</v>
      </c>
      <c r="CR91">
        <v>38</v>
      </c>
      <c r="CS91">
        <v>40</v>
      </c>
      <c r="CT91">
        <v>43</v>
      </c>
      <c r="CU91">
        <v>49</v>
      </c>
      <c r="CV91">
        <v>51</v>
      </c>
      <c r="CW91">
        <v>54</v>
      </c>
      <c r="CX91">
        <v>56</v>
      </c>
      <c r="CY91">
        <v>58</v>
      </c>
      <c r="CZ91">
        <v>58</v>
      </c>
      <c r="DA91">
        <v>61</v>
      </c>
      <c r="DB91">
        <v>64</v>
      </c>
      <c r="DC91">
        <v>66</v>
      </c>
    </row>
    <row r="92" spans="1:107" x14ac:dyDescent="0.25">
      <c r="B92" t="s">
        <v>145</v>
      </c>
      <c r="C92">
        <v>35.126399999999997</v>
      </c>
      <c r="D92">
        <v>33.429900000000004</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1</v>
      </c>
      <c r="BO92">
        <v>1</v>
      </c>
      <c r="BP92">
        <v>3</v>
      </c>
      <c r="BQ92">
        <v>3</v>
      </c>
      <c r="BR92">
        <v>3</v>
      </c>
      <c r="BS92">
        <v>5</v>
      </c>
      <c r="BT92">
        <v>5</v>
      </c>
      <c r="BU92">
        <v>5</v>
      </c>
      <c r="BV92">
        <v>7</v>
      </c>
      <c r="BW92">
        <v>8</v>
      </c>
      <c r="BX92">
        <v>9</v>
      </c>
      <c r="BY92">
        <v>10</v>
      </c>
      <c r="BZ92">
        <v>11</v>
      </c>
      <c r="CA92">
        <v>11</v>
      </c>
      <c r="CB92">
        <v>9</v>
      </c>
      <c r="CC92">
        <v>9</v>
      </c>
      <c r="CD92">
        <v>9</v>
      </c>
      <c r="CE92">
        <v>9</v>
      </c>
      <c r="CF92">
        <v>10</v>
      </c>
      <c r="CG92">
        <v>10</v>
      </c>
      <c r="CH92">
        <v>10</v>
      </c>
      <c r="CI92">
        <v>11</v>
      </c>
      <c r="CJ92">
        <v>12</v>
      </c>
      <c r="CK92">
        <v>12</v>
      </c>
      <c r="CL92">
        <v>12</v>
      </c>
      <c r="CM92">
        <v>12</v>
      </c>
      <c r="CN92">
        <v>12</v>
      </c>
      <c r="CO92">
        <v>12</v>
      </c>
      <c r="CP92">
        <v>12</v>
      </c>
      <c r="CQ92">
        <v>12</v>
      </c>
      <c r="CR92">
        <v>12</v>
      </c>
      <c r="CS92">
        <v>13</v>
      </c>
      <c r="CT92">
        <v>13</v>
      </c>
      <c r="CU92">
        <v>14</v>
      </c>
      <c r="CV92">
        <v>14</v>
      </c>
      <c r="CW92">
        <v>14</v>
      </c>
      <c r="CX92">
        <v>15</v>
      </c>
      <c r="CY92">
        <v>15</v>
      </c>
      <c r="CZ92">
        <v>15</v>
      </c>
      <c r="DA92">
        <v>15</v>
      </c>
      <c r="DB92">
        <v>15</v>
      </c>
      <c r="DC92">
        <v>15</v>
      </c>
    </row>
    <row r="93" spans="1:107" x14ac:dyDescent="0.25">
      <c r="B93" t="s">
        <v>177</v>
      </c>
      <c r="C93">
        <v>49.817500000000003</v>
      </c>
      <c r="D93">
        <v>15.472999999999999</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c r="BM93">
        <v>0</v>
      </c>
      <c r="BN93">
        <v>1</v>
      </c>
      <c r="BO93">
        <v>1</v>
      </c>
      <c r="BP93">
        <v>3</v>
      </c>
      <c r="BQ93">
        <v>6</v>
      </c>
      <c r="BR93">
        <v>9</v>
      </c>
      <c r="BS93">
        <v>9</v>
      </c>
      <c r="BT93">
        <v>11</v>
      </c>
      <c r="BU93">
        <v>16</v>
      </c>
      <c r="BV93">
        <v>23</v>
      </c>
      <c r="BW93">
        <v>31</v>
      </c>
      <c r="BX93">
        <v>39</v>
      </c>
      <c r="BY93">
        <v>44</v>
      </c>
      <c r="BZ93">
        <v>53</v>
      </c>
      <c r="CA93">
        <v>59</v>
      </c>
      <c r="CB93">
        <v>67</v>
      </c>
      <c r="CC93">
        <v>78</v>
      </c>
      <c r="CD93">
        <v>88</v>
      </c>
      <c r="CE93">
        <v>99</v>
      </c>
      <c r="CF93">
        <v>112</v>
      </c>
      <c r="CG93">
        <v>119</v>
      </c>
      <c r="CH93">
        <v>129</v>
      </c>
      <c r="CI93">
        <v>138</v>
      </c>
      <c r="CJ93">
        <v>143</v>
      </c>
      <c r="CK93">
        <v>161</v>
      </c>
      <c r="CL93">
        <v>166</v>
      </c>
      <c r="CM93">
        <v>169</v>
      </c>
      <c r="CN93">
        <v>173</v>
      </c>
      <c r="CO93">
        <v>181</v>
      </c>
      <c r="CP93">
        <v>186</v>
      </c>
      <c r="CQ93">
        <v>194</v>
      </c>
      <c r="CR93">
        <v>201</v>
      </c>
      <c r="CS93">
        <v>208</v>
      </c>
      <c r="CT93">
        <v>210</v>
      </c>
      <c r="CU93">
        <v>214</v>
      </c>
      <c r="CV93">
        <v>218</v>
      </c>
      <c r="CW93">
        <v>220</v>
      </c>
      <c r="CX93">
        <v>223</v>
      </c>
      <c r="CY93">
        <v>227</v>
      </c>
      <c r="CZ93">
        <v>227</v>
      </c>
      <c r="DA93">
        <v>236</v>
      </c>
      <c r="DB93">
        <v>240</v>
      </c>
      <c r="DC93">
        <v>245</v>
      </c>
    </row>
    <row r="94" spans="1:107" x14ac:dyDescent="0.25">
      <c r="A94" t="s">
        <v>118</v>
      </c>
      <c r="B94" t="s">
        <v>85</v>
      </c>
      <c r="C94">
        <v>61.892600000000002</v>
      </c>
      <c r="D94">
        <v>-6.9118000000000004</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c r="BL94">
        <v>0</v>
      </c>
      <c r="BM94">
        <v>0</v>
      </c>
      <c r="BN94">
        <v>0</v>
      </c>
      <c r="BO94">
        <v>0</v>
      </c>
      <c r="BP94">
        <v>0</v>
      </c>
      <c r="BQ94">
        <v>0</v>
      </c>
      <c r="BR94">
        <v>0</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0</v>
      </c>
      <c r="DA94">
        <v>0</v>
      </c>
      <c r="DB94">
        <v>0</v>
      </c>
      <c r="DC94">
        <v>0</v>
      </c>
    </row>
    <row r="95" spans="1:107" x14ac:dyDescent="0.25">
      <c r="A95" t="s">
        <v>662</v>
      </c>
      <c r="B95" t="s">
        <v>85</v>
      </c>
      <c r="C95">
        <v>71.706900000000005</v>
      </c>
      <c r="D95">
        <v>-42.604300000000002</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c r="BM95">
        <v>0</v>
      </c>
      <c r="BN95">
        <v>0</v>
      </c>
      <c r="BO95">
        <v>0</v>
      </c>
      <c r="BP95">
        <v>0</v>
      </c>
      <c r="BQ95">
        <v>0</v>
      </c>
      <c r="BR95">
        <v>0</v>
      </c>
      <c r="BS95">
        <v>0</v>
      </c>
      <c r="BT95">
        <v>0</v>
      </c>
      <c r="BU95">
        <v>0</v>
      </c>
      <c r="BV95">
        <v>0</v>
      </c>
      <c r="BW95">
        <v>0</v>
      </c>
      <c r="BX95">
        <v>0</v>
      </c>
      <c r="BY95">
        <v>0</v>
      </c>
      <c r="BZ95">
        <v>0</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row>
    <row r="96" spans="1:107" x14ac:dyDescent="0.25">
      <c r="B96" t="s">
        <v>85</v>
      </c>
      <c r="C96">
        <v>56.2639</v>
      </c>
      <c r="D96">
        <v>9.5017999999999994</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1</v>
      </c>
      <c r="BG96">
        <v>2</v>
      </c>
      <c r="BH96">
        <v>3</v>
      </c>
      <c r="BI96">
        <v>4</v>
      </c>
      <c r="BJ96">
        <v>4</v>
      </c>
      <c r="BK96">
        <v>6</v>
      </c>
      <c r="BL96">
        <v>9</v>
      </c>
      <c r="BM96">
        <v>13</v>
      </c>
      <c r="BN96">
        <v>13</v>
      </c>
      <c r="BO96">
        <v>24</v>
      </c>
      <c r="BP96">
        <v>32</v>
      </c>
      <c r="BQ96">
        <v>34</v>
      </c>
      <c r="BR96">
        <v>41</v>
      </c>
      <c r="BS96">
        <v>52</v>
      </c>
      <c r="BT96">
        <v>65</v>
      </c>
      <c r="BU96">
        <v>72</v>
      </c>
      <c r="BV96">
        <v>77</v>
      </c>
      <c r="BW96">
        <v>90</v>
      </c>
      <c r="BX96">
        <v>104</v>
      </c>
      <c r="BY96">
        <v>123</v>
      </c>
      <c r="BZ96">
        <v>139</v>
      </c>
      <c r="CA96">
        <v>161</v>
      </c>
      <c r="CB96">
        <v>179</v>
      </c>
      <c r="CC96">
        <v>187</v>
      </c>
      <c r="CD96">
        <v>203</v>
      </c>
      <c r="CE96">
        <v>218</v>
      </c>
      <c r="CF96">
        <v>237</v>
      </c>
      <c r="CG96">
        <v>247</v>
      </c>
      <c r="CH96">
        <v>260</v>
      </c>
      <c r="CI96">
        <v>273</v>
      </c>
      <c r="CJ96">
        <v>285</v>
      </c>
      <c r="CK96">
        <v>299</v>
      </c>
      <c r="CL96">
        <v>309</v>
      </c>
      <c r="CM96">
        <v>321</v>
      </c>
      <c r="CN96">
        <v>336</v>
      </c>
      <c r="CO96">
        <v>346</v>
      </c>
      <c r="CP96">
        <v>355</v>
      </c>
      <c r="CQ96">
        <v>364</v>
      </c>
      <c r="CR96">
        <v>370</v>
      </c>
      <c r="CS96">
        <v>384</v>
      </c>
      <c r="CT96">
        <v>394</v>
      </c>
      <c r="CU96">
        <v>403</v>
      </c>
      <c r="CV96">
        <v>418</v>
      </c>
      <c r="CW96">
        <v>422</v>
      </c>
      <c r="CX96">
        <v>427</v>
      </c>
      <c r="CY96">
        <v>434</v>
      </c>
      <c r="CZ96">
        <v>443</v>
      </c>
      <c r="DA96">
        <v>452</v>
      </c>
      <c r="DB96">
        <v>460</v>
      </c>
      <c r="DC96">
        <v>475</v>
      </c>
    </row>
    <row r="97" spans="1:107" x14ac:dyDescent="0.25">
      <c r="B97" t="s">
        <v>671</v>
      </c>
      <c r="C97">
        <v>11.825100000000001</v>
      </c>
      <c r="D97">
        <v>42.590299999999999</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c r="BM97">
        <v>0</v>
      </c>
      <c r="BN97">
        <v>0</v>
      </c>
      <c r="BO97">
        <v>0</v>
      </c>
      <c r="BP97">
        <v>0</v>
      </c>
      <c r="BQ97">
        <v>0</v>
      </c>
      <c r="BR97">
        <v>0</v>
      </c>
      <c r="BS97">
        <v>0</v>
      </c>
      <c r="BT97">
        <v>0</v>
      </c>
      <c r="BU97">
        <v>0</v>
      </c>
      <c r="BV97">
        <v>0</v>
      </c>
      <c r="BW97">
        <v>0</v>
      </c>
      <c r="BX97">
        <v>0</v>
      </c>
      <c r="BY97">
        <v>0</v>
      </c>
      <c r="BZ97">
        <v>0</v>
      </c>
      <c r="CA97">
        <v>0</v>
      </c>
      <c r="CB97">
        <v>0</v>
      </c>
      <c r="CC97">
        <v>0</v>
      </c>
      <c r="CD97">
        <v>0</v>
      </c>
      <c r="CE97">
        <v>0</v>
      </c>
      <c r="CF97">
        <v>0</v>
      </c>
      <c r="CG97">
        <v>1</v>
      </c>
      <c r="CH97">
        <v>2</v>
      </c>
      <c r="CI97">
        <v>2</v>
      </c>
      <c r="CJ97">
        <v>2</v>
      </c>
      <c r="CK97">
        <v>2</v>
      </c>
      <c r="CL97">
        <v>2</v>
      </c>
      <c r="CM97">
        <v>2</v>
      </c>
      <c r="CN97">
        <v>2</v>
      </c>
      <c r="CO97">
        <v>2</v>
      </c>
      <c r="CP97">
        <v>2</v>
      </c>
      <c r="CQ97">
        <v>2</v>
      </c>
      <c r="CR97">
        <v>2</v>
      </c>
      <c r="CS97">
        <v>2</v>
      </c>
      <c r="CT97">
        <v>2</v>
      </c>
      <c r="CU97">
        <v>2</v>
      </c>
      <c r="CV97">
        <v>2</v>
      </c>
      <c r="CW97">
        <v>2</v>
      </c>
      <c r="CX97">
        <v>2</v>
      </c>
      <c r="CY97">
        <v>2</v>
      </c>
      <c r="CZ97">
        <v>2</v>
      </c>
      <c r="DA97">
        <v>2</v>
      </c>
      <c r="DB97">
        <v>2</v>
      </c>
      <c r="DC97">
        <v>2</v>
      </c>
    </row>
    <row r="98" spans="1:107" x14ac:dyDescent="0.25">
      <c r="B98" t="s">
        <v>102</v>
      </c>
      <c r="C98">
        <v>18.735700000000001</v>
      </c>
      <c r="D98">
        <v>-70.162700000000001</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1</v>
      </c>
      <c r="BJ98">
        <v>1</v>
      </c>
      <c r="BK98">
        <v>2</v>
      </c>
      <c r="BL98">
        <v>2</v>
      </c>
      <c r="BM98">
        <v>2</v>
      </c>
      <c r="BN98">
        <v>3</v>
      </c>
      <c r="BO98">
        <v>3</v>
      </c>
      <c r="BP98">
        <v>6</v>
      </c>
      <c r="BQ98">
        <v>10</v>
      </c>
      <c r="BR98">
        <v>10</v>
      </c>
      <c r="BS98">
        <v>20</v>
      </c>
      <c r="BT98">
        <v>28</v>
      </c>
      <c r="BU98">
        <v>39</v>
      </c>
      <c r="BV98">
        <v>42</v>
      </c>
      <c r="BW98">
        <v>51</v>
      </c>
      <c r="BX98">
        <v>57</v>
      </c>
      <c r="BY98">
        <v>60</v>
      </c>
      <c r="BZ98">
        <v>68</v>
      </c>
      <c r="CA98">
        <v>68</v>
      </c>
      <c r="CB98">
        <v>82</v>
      </c>
      <c r="CC98">
        <v>86</v>
      </c>
      <c r="CD98">
        <v>98</v>
      </c>
      <c r="CE98">
        <v>108</v>
      </c>
      <c r="CF98">
        <v>118</v>
      </c>
      <c r="CG98">
        <v>126</v>
      </c>
      <c r="CH98">
        <v>135</v>
      </c>
      <c r="CI98">
        <v>173</v>
      </c>
      <c r="CJ98">
        <v>177</v>
      </c>
      <c r="CK98">
        <v>183</v>
      </c>
      <c r="CL98">
        <v>189</v>
      </c>
      <c r="CM98">
        <v>196</v>
      </c>
      <c r="CN98">
        <v>200</v>
      </c>
      <c r="CO98">
        <v>217</v>
      </c>
      <c r="CP98">
        <v>226</v>
      </c>
      <c r="CQ98">
        <v>235</v>
      </c>
      <c r="CR98">
        <v>245</v>
      </c>
      <c r="CS98">
        <v>260</v>
      </c>
      <c r="CT98">
        <v>265</v>
      </c>
      <c r="CU98">
        <v>267</v>
      </c>
      <c r="CV98">
        <v>273</v>
      </c>
      <c r="CW98">
        <v>278</v>
      </c>
      <c r="CX98">
        <v>282</v>
      </c>
      <c r="CY98">
        <v>286</v>
      </c>
      <c r="CZ98">
        <v>293</v>
      </c>
      <c r="DA98">
        <v>301</v>
      </c>
      <c r="DB98">
        <v>313</v>
      </c>
      <c r="DC98">
        <v>326</v>
      </c>
    </row>
    <row r="99" spans="1:107" x14ac:dyDescent="0.25">
      <c r="B99" t="s">
        <v>99</v>
      </c>
      <c r="C99">
        <v>-1.8311999999999999</v>
      </c>
      <c r="D99">
        <v>-78.183400000000006</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2</v>
      </c>
      <c r="BG99">
        <v>2</v>
      </c>
      <c r="BH99">
        <v>2</v>
      </c>
      <c r="BI99">
        <v>2</v>
      </c>
      <c r="BJ99">
        <v>2</v>
      </c>
      <c r="BK99">
        <v>3</v>
      </c>
      <c r="BL99">
        <v>5</v>
      </c>
      <c r="BM99">
        <v>7</v>
      </c>
      <c r="BN99">
        <v>14</v>
      </c>
      <c r="BO99">
        <v>18</v>
      </c>
      <c r="BP99">
        <v>27</v>
      </c>
      <c r="BQ99">
        <v>28</v>
      </c>
      <c r="BR99">
        <v>34</v>
      </c>
      <c r="BS99">
        <v>36</v>
      </c>
      <c r="BT99">
        <v>48</v>
      </c>
      <c r="BU99">
        <v>58</v>
      </c>
      <c r="BV99">
        <v>60</v>
      </c>
      <c r="BW99">
        <v>75</v>
      </c>
      <c r="BX99">
        <v>93</v>
      </c>
      <c r="BY99">
        <v>120</v>
      </c>
      <c r="BZ99">
        <v>145</v>
      </c>
      <c r="CA99">
        <v>172</v>
      </c>
      <c r="CB99">
        <v>180</v>
      </c>
      <c r="CC99">
        <v>191</v>
      </c>
      <c r="CD99">
        <v>191</v>
      </c>
      <c r="CE99">
        <v>242</v>
      </c>
      <c r="CF99">
        <v>272</v>
      </c>
      <c r="CG99">
        <v>297</v>
      </c>
      <c r="CH99">
        <v>315</v>
      </c>
      <c r="CI99">
        <v>333</v>
      </c>
      <c r="CJ99">
        <v>355</v>
      </c>
      <c r="CK99">
        <v>369</v>
      </c>
      <c r="CL99">
        <v>388</v>
      </c>
      <c r="CM99">
        <v>403</v>
      </c>
      <c r="CN99">
        <v>421</v>
      </c>
      <c r="CO99">
        <v>456</v>
      </c>
      <c r="CP99">
        <v>474</v>
      </c>
      <c r="CQ99">
        <v>507</v>
      </c>
      <c r="CR99">
        <v>520</v>
      </c>
      <c r="CS99">
        <v>537</v>
      </c>
      <c r="CT99">
        <v>560</v>
      </c>
      <c r="CU99">
        <v>576</v>
      </c>
      <c r="CV99">
        <v>576</v>
      </c>
      <c r="CW99">
        <v>576</v>
      </c>
      <c r="CX99">
        <v>663</v>
      </c>
      <c r="CY99">
        <v>871</v>
      </c>
      <c r="CZ99">
        <v>883</v>
      </c>
      <c r="DA99">
        <v>900</v>
      </c>
      <c r="DB99">
        <v>1063</v>
      </c>
      <c r="DC99">
        <v>1371</v>
      </c>
    </row>
    <row r="100" spans="1:107" x14ac:dyDescent="0.25">
      <c r="B100" t="s">
        <v>64</v>
      </c>
      <c r="C100">
        <v>26</v>
      </c>
      <c r="D100">
        <v>30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1</v>
      </c>
      <c r="BA100">
        <v>1</v>
      </c>
      <c r="BB100">
        <v>1</v>
      </c>
      <c r="BC100">
        <v>1</v>
      </c>
      <c r="BD100">
        <v>1</v>
      </c>
      <c r="BE100">
        <v>2</v>
      </c>
      <c r="BF100">
        <v>2</v>
      </c>
      <c r="BG100">
        <v>2</v>
      </c>
      <c r="BH100">
        <v>2</v>
      </c>
      <c r="BI100">
        <v>4</v>
      </c>
      <c r="BJ100">
        <v>6</v>
      </c>
      <c r="BK100">
        <v>6</v>
      </c>
      <c r="BL100">
        <v>8</v>
      </c>
      <c r="BM100">
        <v>10</v>
      </c>
      <c r="BN100">
        <v>14</v>
      </c>
      <c r="BO100">
        <v>19</v>
      </c>
      <c r="BP100">
        <v>20</v>
      </c>
      <c r="BQ100">
        <v>21</v>
      </c>
      <c r="BR100">
        <v>24</v>
      </c>
      <c r="BS100">
        <v>30</v>
      </c>
      <c r="BT100">
        <v>36</v>
      </c>
      <c r="BU100">
        <v>40</v>
      </c>
      <c r="BV100">
        <v>41</v>
      </c>
      <c r="BW100">
        <v>46</v>
      </c>
      <c r="BX100">
        <v>52</v>
      </c>
      <c r="BY100">
        <v>58</v>
      </c>
      <c r="BZ100">
        <v>66</v>
      </c>
      <c r="CA100">
        <v>71</v>
      </c>
      <c r="CB100">
        <v>78</v>
      </c>
      <c r="CC100">
        <v>85</v>
      </c>
      <c r="CD100">
        <v>94</v>
      </c>
      <c r="CE100">
        <v>103</v>
      </c>
      <c r="CF100">
        <v>118</v>
      </c>
      <c r="CG100">
        <v>135</v>
      </c>
      <c r="CH100">
        <v>146</v>
      </c>
      <c r="CI100">
        <v>159</v>
      </c>
      <c r="CJ100">
        <v>164</v>
      </c>
      <c r="CK100">
        <v>178</v>
      </c>
      <c r="CL100">
        <v>183</v>
      </c>
      <c r="CM100">
        <v>196</v>
      </c>
      <c r="CN100">
        <v>205</v>
      </c>
      <c r="CO100">
        <v>224</v>
      </c>
      <c r="CP100">
        <v>239</v>
      </c>
      <c r="CQ100">
        <v>250</v>
      </c>
      <c r="CR100">
        <v>264</v>
      </c>
      <c r="CS100">
        <v>276</v>
      </c>
      <c r="CT100">
        <v>287</v>
      </c>
      <c r="CU100">
        <v>294</v>
      </c>
      <c r="CV100">
        <v>307</v>
      </c>
      <c r="CW100">
        <v>317</v>
      </c>
      <c r="CX100">
        <v>337</v>
      </c>
      <c r="CY100">
        <v>359</v>
      </c>
      <c r="CZ100">
        <v>380</v>
      </c>
      <c r="DA100">
        <v>392</v>
      </c>
      <c r="DB100">
        <v>406</v>
      </c>
      <c r="DC100">
        <v>415</v>
      </c>
    </row>
    <row r="101" spans="1:107" x14ac:dyDescent="0.25">
      <c r="B101" t="s">
        <v>736</v>
      </c>
      <c r="C101">
        <v>13.7942</v>
      </c>
      <c r="D101">
        <v>-88.896500000000003</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v>0</v>
      </c>
      <c r="BN101">
        <v>0</v>
      </c>
      <c r="BO101">
        <v>0</v>
      </c>
      <c r="BP101">
        <v>0</v>
      </c>
      <c r="BQ101">
        <v>0</v>
      </c>
      <c r="BR101">
        <v>0</v>
      </c>
      <c r="BS101">
        <v>0</v>
      </c>
      <c r="BT101">
        <v>0</v>
      </c>
      <c r="BU101">
        <v>0</v>
      </c>
      <c r="BV101">
        <v>0</v>
      </c>
      <c r="BW101">
        <v>1</v>
      </c>
      <c r="BX101">
        <v>1</v>
      </c>
      <c r="BY101">
        <v>2</v>
      </c>
      <c r="BZ101">
        <v>2</v>
      </c>
      <c r="CA101">
        <v>3</v>
      </c>
      <c r="CB101">
        <v>3</v>
      </c>
      <c r="CC101">
        <v>4</v>
      </c>
      <c r="CD101">
        <v>4</v>
      </c>
      <c r="CE101">
        <v>5</v>
      </c>
      <c r="CF101">
        <v>6</v>
      </c>
      <c r="CG101">
        <v>6</v>
      </c>
      <c r="CH101">
        <v>6</v>
      </c>
      <c r="CI101">
        <v>6</v>
      </c>
      <c r="CJ101">
        <v>6</v>
      </c>
      <c r="CK101">
        <v>6</v>
      </c>
      <c r="CL101">
        <v>6</v>
      </c>
      <c r="CM101">
        <v>6</v>
      </c>
      <c r="CN101">
        <v>7</v>
      </c>
      <c r="CO101">
        <v>7</v>
      </c>
      <c r="CP101">
        <v>7</v>
      </c>
      <c r="CQ101">
        <v>7</v>
      </c>
      <c r="CR101">
        <v>7</v>
      </c>
      <c r="CS101">
        <v>7</v>
      </c>
      <c r="CT101">
        <v>8</v>
      </c>
      <c r="CU101">
        <v>8</v>
      </c>
      <c r="CV101">
        <v>8</v>
      </c>
      <c r="CW101">
        <v>8</v>
      </c>
      <c r="CX101">
        <v>8</v>
      </c>
      <c r="CY101">
        <v>8</v>
      </c>
      <c r="CZ101">
        <v>9</v>
      </c>
      <c r="DA101">
        <v>10</v>
      </c>
      <c r="DB101">
        <v>10</v>
      </c>
      <c r="DC101">
        <v>11</v>
      </c>
    </row>
    <row r="102" spans="1:107" x14ac:dyDescent="0.25">
      <c r="B102" t="s">
        <v>492</v>
      </c>
      <c r="C102">
        <v>1.5</v>
      </c>
      <c r="D102">
        <v>10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c r="BM102">
        <v>0</v>
      </c>
      <c r="BN102">
        <v>0</v>
      </c>
      <c r="BO102">
        <v>0</v>
      </c>
      <c r="BP102">
        <v>0</v>
      </c>
      <c r="BQ102">
        <v>0</v>
      </c>
      <c r="BR102">
        <v>0</v>
      </c>
      <c r="BS102">
        <v>0</v>
      </c>
      <c r="BT102">
        <v>0</v>
      </c>
      <c r="BU102">
        <v>0</v>
      </c>
      <c r="BV102">
        <v>0</v>
      </c>
      <c r="BW102">
        <v>0</v>
      </c>
      <c r="BX102">
        <v>0</v>
      </c>
      <c r="BY102">
        <v>0</v>
      </c>
      <c r="BZ102">
        <v>0</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1</v>
      </c>
      <c r="CT102">
        <v>1</v>
      </c>
      <c r="CU102">
        <v>1</v>
      </c>
      <c r="CV102">
        <v>1</v>
      </c>
      <c r="CW102">
        <v>1</v>
      </c>
      <c r="CX102">
        <v>1</v>
      </c>
      <c r="CY102">
        <v>1</v>
      </c>
      <c r="CZ102">
        <v>1</v>
      </c>
      <c r="DA102">
        <v>1</v>
      </c>
      <c r="DB102">
        <v>1</v>
      </c>
      <c r="DC102">
        <v>1</v>
      </c>
    </row>
    <row r="103" spans="1:107" x14ac:dyDescent="0.25">
      <c r="B103" t="s">
        <v>804</v>
      </c>
      <c r="C103">
        <v>15.179399999999999</v>
      </c>
      <c r="D103">
        <v>39.782299999999999</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c r="BM103">
        <v>0</v>
      </c>
      <c r="BN103">
        <v>0</v>
      </c>
      <c r="BO103">
        <v>0</v>
      </c>
      <c r="BP103">
        <v>0</v>
      </c>
      <c r="BQ103">
        <v>0</v>
      </c>
      <c r="BR103">
        <v>0</v>
      </c>
      <c r="BS103">
        <v>0</v>
      </c>
      <c r="BT103">
        <v>0</v>
      </c>
      <c r="BU103">
        <v>0</v>
      </c>
      <c r="BV103">
        <v>0</v>
      </c>
      <c r="BW103">
        <v>0</v>
      </c>
      <c r="BX103">
        <v>0</v>
      </c>
      <c r="BY103">
        <v>0</v>
      </c>
      <c r="BZ103">
        <v>0</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0</v>
      </c>
      <c r="DA103">
        <v>0</v>
      </c>
      <c r="DB103">
        <v>0</v>
      </c>
      <c r="DC103">
        <v>0</v>
      </c>
    </row>
    <row r="104" spans="1:107" x14ac:dyDescent="0.25">
      <c r="B104" t="s">
        <v>86</v>
      </c>
      <c r="C104">
        <v>58.595300000000002</v>
      </c>
      <c r="D104">
        <v>25.0136</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0</v>
      </c>
      <c r="BL104">
        <v>0</v>
      </c>
      <c r="BM104">
        <v>0</v>
      </c>
      <c r="BN104">
        <v>0</v>
      </c>
      <c r="BO104">
        <v>0</v>
      </c>
      <c r="BP104">
        <v>0</v>
      </c>
      <c r="BQ104">
        <v>1</v>
      </c>
      <c r="BR104">
        <v>1</v>
      </c>
      <c r="BS104">
        <v>1</v>
      </c>
      <c r="BT104">
        <v>1</v>
      </c>
      <c r="BU104">
        <v>3</v>
      </c>
      <c r="BV104">
        <v>3</v>
      </c>
      <c r="BW104">
        <v>4</v>
      </c>
      <c r="BX104">
        <v>5</v>
      </c>
      <c r="BY104">
        <v>11</v>
      </c>
      <c r="BZ104">
        <v>12</v>
      </c>
      <c r="CA104">
        <v>13</v>
      </c>
      <c r="CB104">
        <v>15</v>
      </c>
      <c r="CC104">
        <v>19</v>
      </c>
      <c r="CD104">
        <v>21</v>
      </c>
      <c r="CE104">
        <v>24</v>
      </c>
      <c r="CF104">
        <v>24</v>
      </c>
      <c r="CG104">
        <v>24</v>
      </c>
      <c r="CH104">
        <v>24</v>
      </c>
      <c r="CI104">
        <v>25</v>
      </c>
      <c r="CJ104">
        <v>28</v>
      </c>
      <c r="CK104">
        <v>31</v>
      </c>
      <c r="CL104">
        <v>35</v>
      </c>
      <c r="CM104">
        <v>36</v>
      </c>
      <c r="CN104">
        <v>38</v>
      </c>
      <c r="CO104">
        <v>38</v>
      </c>
      <c r="CP104">
        <v>40</v>
      </c>
      <c r="CQ104">
        <v>40</v>
      </c>
      <c r="CR104">
        <v>43</v>
      </c>
      <c r="CS104">
        <v>44</v>
      </c>
      <c r="CT104">
        <v>45</v>
      </c>
      <c r="CU104">
        <v>46</v>
      </c>
      <c r="CV104">
        <v>46</v>
      </c>
      <c r="CW104">
        <v>49</v>
      </c>
      <c r="CX104">
        <v>50</v>
      </c>
      <c r="CY104">
        <v>50</v>
      </c>
      <c r="CZ104">
        <v>50</v>
      </c>
      <c r="DA104">
        <v>52</v>
      </c>
      <c r="DB104">
        <v>52</v>
      </c>
      <c r="DC104">
        <v>53</v>
      </c>
    </row>
    <row r="105" spans="1:107" x14ac:dyDescent="0.25">
      <c r="B105" t="s">
        <v>363</v>
      </c>
      <c r="C105">
        <v>-26.522500000000001</v>
      </c>
      <c r="D105">
        <v>31.465900000000001</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c r="BM105">
        <v>0</v>
      </c>
      <c r="BN105">
        <v>0</v>
      </c>
      <c r="BO105">
        <v>0</v>
      </c>
      <c r="BP105">
        <v>0</v>
      </c>
      <c r="BQ105">
        <v>0</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1</v>
      </c>
      <c r="CN105">
        <v>1</v>
      </c>
      <c r="CO105">
        <v>1</v>
      </c>
      <c r="CP105">
        <v>1</v>
      </c>
      <c r="CQ105">
        <v>1</v>
      </c>
      <c r="CR105">
        <v>1</v>
      </c>
      <c r="CS105">
        <v>1</v>
      </c>
      <c r="CT105">
        <v>1</v>
      </c>
      <c r="CU105">
        <v>1</v>
      </c>
      <c r="CV105">
        <v>1</v>
      </c>
      <c r="CW105">
        <v>1</v>
      </c>
      <c r="CX105">
        <v>1</v>
      </c>
      <c r="CY105">
        <v>1</v>
      </c>
      <c r="CZ105">
        <v>1</v>
      </c>
      <c r="DA105">
        <v>1</v>
      </c>
      <c r="DB105">
        <v>1</v>
      </c>
      <c r="DC105">
        <v>1</v>
      </c>
    </row>
    <row r="106" spans="1:107" x14ac:dyDescent="0.25">
      <c r="B106" t="s">
        <v>202</v>
      </c>
      <c r="C106">
        <v>9.1449999999999996</v>
      </c>
      <c r="D106">
        <v>40.489699999999999</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v>0</v>
      </c>
      <c r="BN106">
        <v>0</v>
      </c>
      <c r="BO106">
        <v>0</v>
      </c>
      <c r="BP106">
        <v>0</v>
      </c>
      <c r="BQ106">
        <v>0</v>
      </c>
      <c r="BR106">
        <v>0</v>
      </c>
      <c r="BS106">
        <v>0</v>
      </c>
      <c r="BT106">
        <v>0</v>
      </c>
      <c r="BU106">
        <v>0</v>
      </c>
      <c r="BV106">
        <v>0</v>
      </c>
      <c r="BW106">
        <v>0</v>
      </c>
      <c r="BX106">
        <v>0</v>
      </c>
      <c r="BY106">
        <v>0</v>
      </c>
      <c r="BZ106">
        <v>0</v>
      </c>
      <c r="CA106">
        <v>0</v>
      </c>
      <c r="CB106">
        <v>2</v>
      </c>
      <c r="CC106">
        <v>2</v>
      </c>
      <c r="CD106">
        <v>2</v>
      </c>
      <c r="CE106">
        <v>2</v>
      </c>
      <c r="CF106">
        <v>2</v>
      </c>
      <c r="CG106">
        <v>3</v>
      </c>
      <c r="CH106">
        <v>3</v>
      </c>
      <c r="CI106">
        <v>3</v>
      </c>
      <c r="CJ106">
        <v>3</v>
      </c>
      <c r="CK106">
        <v>3</v>
      </c>
      <c r="CL106">
        <v>3</v>
      </c>
      <c r="CM106">
        <v>3</v>
      </c>
      <c r="CN106">
        <v>3</v>
      </c>
      <c r="CO106">
        <v>3</v>
      </c>
      <c r="CP106">
        <v>3</v>
      </c>
      <c r="CQ106">
        <v>3</v>
      </c>
      <c r="CR106">
        <v>3</v>
      </c>
      <c r="CS106">
        <v>3</v>
      </c>
      <c r="CT106">
        <v>3</v>
      </c>
      <c r="CU106">
        <v>3</v>
      </c>
      <c r="CV106">
        <v>3</v>
      </c>
      <c r="CW106">
        <v>3</v>
      </c>
      <c r="CX106">
        <v>3</v>
      </c>
      <c r="CY106">
        <v>3</v>
      </c>
      <c r="CZ106">
        <v>3</v>
      </c>
      <c r="DA106">
        <v>3</v>
      </c>
      <c r="DB106">
        <v>3</v>
      </c>
      <c r="DC106">
        <v>3</v>
      </c>
    </row>
    <row r="107" spans="1:107" x14ac:dyDescent="0.25">
      <c r="B107" t="s">
        <v>737</v>
      </c>
      <c r="C107">
        <v>-17.7134</v>
      </c>
      <c r="D107">
        <v>178.065</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v>0</v>
      </c>
      <c r="BN107">
        <v>0</v>
      </c>
      <c r="BO107">
        <v>0</v>
      </c>
      <c r="BP107">
        <v>0</v>
      </c>
      <c r="BQ107">
        <v>0</v>
      </c>
      <c r="BR107">
        <v>0</v>
      </c>
      <c r="BS107">
        <v>0</v>
      </c>
      <c r="BT107">
        <v>0</v>
      </c>
      <c r="BU107">
        <v>0</v>
      </c>
      <c r="BV107">
        <v>0</v>
      </c>
      <c r="BW107">
        <v>0</v>
      </c>
      <c r="BX107">
        <v>0</v>
      </c>
      <c r="BY107">
        <v>0</v>
      </c>
      <c r="BZ107">
        <v>0</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0</v>
      </c>
      <c r="DA107">
        <v>0</v>
      </c>
      <c r="DB107">
        <v>0</v>
      </c>
      <c r="DC107">
        <v>0</v>
      </c>
    </row>
    <row r="108" spans="1:107" x14ac:dyDescent="0.25">
      <c r="B108" t="s">
        <v>54</v>
      </c>
      <c r="C108">
        <v>64</v>
      </c>
      <c r="D108">
        <v>26</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1</v>
      </c>
      <c r="BN108">
        <v>1</v>
      </c>
      <c r="BO108">
        <v>1</v>
      </c>
      <c r="BP108">
        <v>1</v>
      </c>
      <c r="BQ108">
        <v>3</v>
      </c>
      <c r="BR108">
        <v>5</v>
      </c>
      <c r="BS108">
        <v>7</v>
      </c>
      <c r="BT108">
        <v>9</v>
      </c>
      <c r="BU108">
        <v>11</v>
      </c>
      <c r="BV108">
        <v>13</v>
      </c>
      <c r="BW108">
        <v>17</v>
      </c>
      <c r="BX108">
        <v>17</v>
      </c>
      <c r="BY108">
        <v>19</v>
      </c>
      <c r="BZ108">
        <v>20</v>
      </c>
      <c r="CA108">
        <v>25</v>
      </c>
      <c r="CB108">
        <v>28</v>
      </c>
      <c r="CC108">
        <v>27</v>
      </c>
      <c r="CD108">
        <v>34</v>
      </c>
      <c r="CE108">
        <v>40</v>
      </c>
      <c r="CF108">
        <v>42</v>
      </c>
      <c r="CG108">
        <v>48</v>
      </c>
      <c r="CH108">
        <v>49</v>
      </c>
      <c r="CI108">
        <v>56</v>
      </c>
      <c r="CJ108">
        <v>59</v>
      </c>
      <c r="CK108">
        <v>64</v>
      </c>
      <c r="CL108">
        <v>72</v>
      </c>
      <c r="CM108">
        <v>75</v>
      </c>
      <c r="CN108">
        <v>82</v>
      </c>
      <c r="CO108">
        <v>90</v>
      </c>
      <c r="CP108">
        <v>94</v>
      </c>
      <c r="CQ108">
        <v>98</v>
      </c>
      <c r="CR108">
        <v>141</v>
      </c>
      <c r="CS108">
        <v>149</v>
      </c>
      <c r="CT108">
        <v>172</v>
      </c>
      <c r="CU108">
        <v>177</v>
      </c>
      <c r="CV108">
        <v>186</v>
      </c>
      <c r="CW108">
        <v>190</v>
      </c>
      <c r="CX108">
        <v>193</v>
      </c>
      <c r="CY108">
        <v>199</v>
      </c>
      <c r="CZ108">
        <v>206</v>
      </c>
      <c r="DA108">
        <v>211</v>
      </c>
      <c r="DB108">
        <v>218</v>
      </c>
      <c r="DC108">
        <v>220</v>
      </c>
    </row>
    <row r="109" spans="1:107" x14ac:dyDescent="0.25">
      <c r="A109" t="s">
        <v>133</v>
      </c>
      <c r="B109" t="s">
        <v>42</v>
      </c>
      <c r="C109">
        <v>3.9339</v>
      </c>
      <c r="D109">
        <v>-53.125799999999998</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v>0</v>
      </c>
      <c r="BX109">
        <v>0</v>
      </c>
      <c r="BY109">
        <v>0</v>
      </c>
      <c r="BZ109">
        <v>0</v>
      </c>
      <c r="CA109">
        <v>0</v>
      </c>
      <c r="CB109">
        <v>0</v>
      </c>
      <c r="CC109">
        <v>0</v>
      </c>
      <c r="CD109">
        <v>0</v>
      </c>
      <c r="CE109">
        <v>0</v>
      </c>
      <c r="CF109">
        <v>0</v>
      </c>
      <c r="CG109">
        <v>0</v>
      </c>
      <c r="CH109">
        <v>0</v>
      </c>
      <c r="CI109">
        <v>0</v>
      </c>
      <c r="CJ109">
        <v>0</v>
      </c>
      <c r="CK109">
        <v>0</v>
      </c>
      <c r="CL109">
        <v>0</v>
      </c>
      <c r="CM109">
        <v>0</v>
      </c>
      <c r="CN109">
        <v>0</v>
      </c>
      <c r="CO109">
        <v>0</v>
      </c>
      <c r="CP109">
        <v>0</v>
      </c>
      <c r="CQ109">
        <v>1</v>
      </c>
      <c r="CR109">
        <v>1</v>
      </c>
      <c r="CS109">
        <v>1</v>
      </c>
      <c r="CT109">
        <v>1</v>
      </c>
      <c r="CU109">
        <v>1</v>
      </c>
      <c r="CV109">
        <v>1</v>
      </c>
      <c r="CW109">
        <v>1</v>
      </c>
      <c r="CX109">
        <v>1</v>
      </c>
      <c r="CY109">
        <v>1</v>
      </c>
      <c r="CZ109">
        <v>1</v>
      </c>
      <c r="DA109">
        <v>1</v>
      </c>
      <c r="DB109">
        <v>1</v>
      </c>
      <c r="DC109">
        <v>1</v>
      </c>
    </row>
    <row r="110" spans="1:107" x14ac:dyDescent="0.25">
      <c r="A110" t="s">
        <v>198</v>
      </c>
      <c r="B110" t="s">
        <v>42</v>
      </c>
      <c r="C110">
        <v>-17.6797</v>
      </c>
      <c r="D110">
        <v>149.4068</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c r="BM110">
        <v>0</v>
      </c>
      <c r="BN110">
        <v>0</v>
      </c>
      <c r="BO110">
        <v>0</v>
      </c>
      <c r="BP110">
        <v>0</v>
      </c>
      <c r="BQ110">
        <v>0</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0</v>
      </c>
      <c r="DA110">
        <v>0</v>
      </c>
      <c r="DB110">
        <v>0</v>
      </c>
      <c r="DC110">
        <v>0</v>
      </c>
    </row>
    <row r="111" spans="1:107" x14ac:dyDescent="0.25">
      <c r="A111" t="s">
        <v>199</v>
      </c>
      <c r="B111" t="s">
        <v>42</v>
      </c>
      <c r="C111">
        <v>16.25</v>
      </c>
      <c r="D111">
        <v>-61.583300000000001</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c r="BM111">
        <v>0</v>
      </c>
      <c r="BN111">
        <v>1</v>
      </c>
      <c r="BO111">
        <v>1</v>
      </c>
      <c r="BP111">
        <v>1</v>
      </c>
      <c r="BQ111">
        <v>1</v>
      </c>
      <c r="BR111">
        <v>1</v>
      </c>
      <c r="BS111">
        <v>1</v>
      </c>
      <c r="BT111">
        <v>2</v>
      </c>
      <c r="BU111">
        <v>4</v>
      </c>
      <c r="BV111">
        <v>4</v>
      </c>
      <c r="BW111">
        <v>4</v>
      </c>
      <c r="BX111">
        <v>6</v>
      </c>
      <c r="BY111">
        <v>6</v>
      </c>
      <c r="BZ111">
        <v>7</v>
      </c>
      <c r="CA111">
        <v>7</v>
      </c>
      <c r="CB111">
        <v>7</v>
      </c>
      <c r="CC111">
        <v>7</v>
      </c>
      <c r="CD111">
        <v>7</v>
      </c>
      <c r="CE111">
        <v>8</v>
      </c>
      <c r="CF111">
        <v>8</v>
      </c>
      <c r="CG111">
        <v>8</v>
      </c>
      <c r="CH111">
        <v>8</v>
      </c>
      <c r="CI111">
        <v>8</v>
      </c>
      <c r="CJ111">
        <v>8</v>
      </c>
      <c r="CK111">
        <v>8</v>
      </c>
      <c r="CL111">
        <v>8</v>
      </c>
      <c r="CM111">
        <v>8</v>
      </c>
      <c r="CN111">
        <v>8</v>
      </c>
      <c r="CO111">
        <v>8</v>
      </c>
      <c r="CP111">
        <v>8</v>
      </c>
      <c r="CQ111">
        <v>8</v>
      </c>
      <c r="CR111">
        <v>12</v>
      </c>
      <c r="CS111">
        <v>12</v>
      </c>
      <c r="CT111">
        <v>12</v>
      </c>
      <c r="CU111">
        <v>12</v>
      </c>
      <c r="CV111">
        <v>12</v>
      </c>
      <c r="CW111">
        <v>12</v>
      </c>
      <c r="CX111">
        <v>12</v>
      </c>
      <c r="CY111">
        <v>12</v>
      </c>
      <c r="CZ111">
        <v>12</v>
      </c>
      <c r="DA111">
        <v>12</v>
      </c>
      <c r="DB111">
        <v>12</v>
      </c>
      <c r="DC111">
        <v>12</v>
      </c>
    </row>
    <row r="112" spans="1:107" x14ac:dyDescent="0.25">
      <c r="A112" t="s">
        <v>493</v>
      </c>
      <c r="B112" t="s">
        <v>42</v>
      </c>
      <c r="C112">
        <v>-12.827500000000001</v>
      </c>
      <c r="D112">
        <v>45.166200000000003</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c r="BM112">
        <v>0</v>
      </c>
      <c r="BN112">
        <v>0</v>
      </c>
      <c r="BO112">
        <v>0</v>
      </c>
      <c r="BP112">
        <v>0</v>
      </c>
      <c r="BQ112">
        <v>0</v>
      </c>
      <c r="BR112">
        <v>0</v>
      </c>
      <c r="BS112">
        <v>0</v>
      </c>
      <c r="BT112">
        <v>0</v>
      </c>
      <c r="BU112">
        <v>0</v>
      </c>
      <c r="BV112">
        <v>0</v>
      </c>
      <c r="BW112">
        <v>1</v>
      </c>
      <c r="BX112">
        <v>1</v>
      </c>
      <c r="BY112">
        <v>1</v>
      </c>
      <c r="BZ112">
        <v>2</v>
      </c>
      <c r="CA112">
        <v>2</v>
      </c>
      <c r="CB112">
        <v>2</v>
      </c>
      <c r="CC112">
        <v>2</v>
      </c>
      <c r="CD112">
        <v>2</v>
      </c>
      <c r="CE112">
        <v>2</v>
      </c>
      <c r="CF112">
        <v>2</v>
      </c>
      <c r="CG112">
        <v>2</v>
      </c>
      <c r="CH112">
        <v>3</v>
      </c>
      <c r="CI112">
        <v>3</v>
      </c>
      <c r="CJ112">
        <v>3</v>
      </c>
      <c r="CK112">
        <v>3</v>
      </c>
      <c r="CL112">
        <v>3</v>
      </c>
      <c r="CM112">
        <v>3</v>
      </c>
      <c r="CN112">
        <v>4</v>
      </c>
      <c r="CO112">
        <v>4</v>
      </c>
      <c r="CP112">
        <v>4</v>
      </c>
      <c r="CQ112">
        <v>4</v>
      </c>
      <c r="CR112">
        <v>4</v>
      </c>
      <c r="CS112">
        <v>4</v>
      </c>
      <c r="CT112">
        <v>4</v>
      </c>
      <c r="CU112">
        <v>4</v>
      </c>
      <c r="CV112">
        <v>4</v>
      </c>
      <c r="CW112">
        <v>4</v>
      </c>
      <c r="CX112">
        <v>4</v>
      </c>
      <c r="CY112">
        <v>4</v>
      </c>
      <c r="CZ112">
        <v>4</v>
      </c>
      <c r="DA112">
        <v>4</v>
      </c>
      <c r="DB112">
        <v>4</v>
      </c>
      <c r="DC112">
        <v>4</v>
      </c>
    </row>
    <row r="113" spans="1:107" x14ac:dyDescent="0.25">
      <c r="A113" t="s">
        <v>733</v>
      </c>
      <c r="B113" t="s">
        <v>42</v>
      </c>
      <c r="C113">
        <v>-20.904299999999999</v>
      </c>
      <c r="D113">
        <v>165.61799999999999</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c r="BM113">
        <v>0</v>
      </c>
      <c r="BN113">
        <v>0</v>
      </c>
      <c r="BO113">
        <v>0</v>
      </c>
      <c r="BP113">
        <v>0</v>
      </c>
      <c r="BQ113">
        <v>0</v>
      </c>
      <c r="BR113">
        <v>0</v>
      </c>
      <c r="BS113">
        <v>0</v>
      </c>
      <c r="BT113">
        <v>0</v>
      </c>
      <c r="BU113">
        <v>0</v>
      </c>
      <c r="BV113">
        <v>0</v>
      </c>
      <c r="BW113">
        <v>0</v>
      </c>
      <c r="BX113">
        <v>0</v>
      </c>
      <c r="BY113">
        <v>0</v>
      </c>
      <c r="BZ113">
        <v>0</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0</v>
      </c>
      <c r="DA113">
        <v>0</v>
      </c>
      <c r="DB113">
        <v>0</v>
      </c>
      <c r="DC113">
        <v>0</v>
      </c>
    </row>
    <row r="114" spans="1:107" x14ac:dyDescent="0.25">
      <c r="A114" t="s">
        <v>185</v>
      </c>
      <c r="B114" t="s">
        <v>42</v>
      </c>
      <c r="C114">
        <v>-21.135100000000001</v>
      </c>
      <c r="D114">
        <v>55.247100000000003</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c r="BL114">
        <v>0</v>
      </c>
      <c r="BM114">
        <v>0</v>
      </c>
      <c r="BN114">
        <v>0</v>
      </c>
      <c r="BO114">
        <v>0</v>
      </c>
      <c r="BP114">
        <v>0</v>
      </c>
      <c r="BQ114">
        <v>0</v>
      </c>
      <c r="BR114">
        <v>0</v>
      </c>
      <c r="BS114">
        <v>0</v>
      </c>
      <c r="BT114">
        <v>0</v>
      </c>
      <c r="BU114">
        <v>0</v>
      </c>
      <c r="BV114">
        <v>0</v>
      </c>
      <c r="BW114">
        <v>0</v>
      </c>
      <c r="BX114">
        <v>0</v>
      </c>
      <c r="BY114">
        <v>0</v>
      </c>
      <c r="BZ114">
        <v>0</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0</v>
      </c>
      <c r="DA114">
        <v>0</v>
      </c>
      <c r="DB114">
        <v>0</v>
      </c>
      <c r="DC114">
        <v>0</v>
      </c>
    </row>
    <row r="115" spans="1:107" x14ac:dyDescent="0.25">
      <c r="A115" t="s">
        <v>115</v>
      </c>
      <c r="B115" t="s">
        <v>42</v>
      </c>
      <c r="C115">
        <v>17.899999999999999</v>
      </c>
      <c r="D115">
        <v>-62.833300000000001</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v>0</v>
      </c>
      <c r="BN115">
        <v>0</v>
      </c>
      <c r="BO115">
        <v>0</v>
      </c>
      <c r="BP115">
        <v>0</v>
      </c>
      <c r="BQ115">
        <v>0</v>
      </c>
      <c r="BR115">
        <v>0</v>
      </c>
      <c r="BS115">
        <v>0</v>
      </c>
      <c r="BT115">
        <v>0</v>
      </c>
      <c r="BU115">
        <v>0</v>
      </c>
      <c r="BV115">
        <v>0</v>
      </c>
      <c r="BW115">
        <v>0</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0</v>
      </c>
      <c r="DA115">
        <v>0</v>
      </c>
      <c r="DB115">
        <v>0</v>
      </c>
      <c r="DC115">
        <v>0</v>
      </c>
    </row>
    <row r="116" spans="1:107" x14ac:dyDescent="0.25">
      <c r="A116" t="s">
        <v>179</v>
      </c>
      <c r="B116" t="s">
        <v>42</v>
      </c>
      <c r="C116">
        <v>18.070799999999998</v>
      </c>
      <c r="D116">
        <v>-63.0501</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0</v>
      </c>
      <c r="BM116">
        <v>0</v>
      </c>
      <c r="BN116">
        <v>0</v>
      </c>
      <c r="BO116">
        <v>0</v>
      </c>
      <c r="BP116">
        <v>0</v>
      </c>
      <c r="BQ116">
        <v>0</v>
      </c>
      <c r="BR116">
        <v>0</v>
      </c>
      <c r="BS116">
        <v>0</v>
      </c>
      <c r="BT116">
        <v>0</v>
      </c>
      <c r="BU116">
        <v>0</v>
      </c>
      <c r="BV116">
        <v>1</v>
      </c>
      <c r="BW116">
        <v>1</v>
      </c>
      <c r="BX116">
        <v>1</v>
      </c>
      <c r="BY116">
        <v>1</v>
      </c>
      <c r="BZ116">
        <v>1</v>
      </c>
      <c r="CA116">
        <v>2</v>
      </c>
      <c r="CB116">
        <v>2</v>
      </c>
      <c r="CC116">
        <v>2</v>
      </c>
      <c r="CD116">
        <v>2</v>
      </c>
      <c r="CE116">
        <v>2</v>
      </c>
      <c r="CF116">
        <v>2</v>
      </c>
      <c r="CG116">
        <v>2</v>
      </c>
      <c r="CH116">
        <v>2</v>
      </c>
      <c r="CI116">
        <v>2</v>
      </c>
      <c r="CJ116">
        <v>2</v>
      </c>
      <c r="CK116">
        <v>2</v>
      </c>
      <c r="CL116">
        <v>2</v>
      </c>
      <c r="CM116">
        <v>2</v>
      </c>
      <c r="CN116">
        <v>2</v>
      </c>
      <c r="CO116">
        <v>2</v>
      </c>
      <c r="CP116">
        <v>2</v>
      </c>
      <c r="CQ116">
        <v>2</v>
      </c>
      <c r="CR116">
        <v>2</v>
      </c>
      <c r="CS116">
        <v>2</v>
      </c>
      <c r="CT116">
        <v>2</v>
      </c>
      <c r="CU116">
        <v>3</v>
      </c>
      <c r="CV116">
        <v>3</v>
      </c>
      <c r="CW116">
        <v>3</v>
      </c>
      <c r="CX116">
        <v>3</v>
      </c>
      <c r="CY116">
        <v>3</v>
      </c>
      <c r="CZ116">
        <v>3</v>
      </c>
      <c r="DA116">
        <v>3</v>
      </c>
      <c r="DB116">
        <v>3</v>
      </c>
      <c r="DC116">
        <v>3</v>
      </c>
    </row>
    <row r="117" spans="1:107" x14ac:dyDescent="0.25">
      <c r="A117" t="s">
        <v>135</v>
      </c>
      <c r="B117" t="s">
        <v>42</v>
      </c>
      <c r="C117">
        <v>14.641500000000001</v>
      </c>
      <c r="D117">
        <v>-61.0242</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1</v>
      </c>
      <c r="BI117">
        <v>1</v>
      </c>
      <c r="BJ117">
        <v>1</v>
      </c>
      <c r="BK117">
        <v>1</v>
      </c>
      <c r="BL117">
        <v>1</v>
      </c>
      <c r="BM117">
        <v>1</v>
      </c>
      <c r="BN117">
        <v>1</v>
      </c>
      <c r="BO117">
        <v>1</v>
      </c>
      <c r="BP117">
        <v>1</v>
      </c>
      <c r="BQ117">
        <v>1</v>
      </c>
      <c r="BR117">
        <v>1</v>
      </c>
      <c r="BS117">
        <v>1</v>
      </c>
      <c r="BT117">
        <v>1</v>
      </c>
      <c r="BU117">
        <v>1</v>
      </c>
      <c r="BV117">
        <v>1</v>
      </c>
      <c r="BW117">
        <v>3</v>
      </c>
      <c r="BX117">
        <v>3</v>
      </c>
      <c r="BY117">
        <v>3</v>
      </c>
      <c r="BZ117">
        <v>3</v>
      </c>
      <c r="CA117">
        <v>3</v>
      </c>
      <c r="CB117">
        <v>4</v>
      </c>
      <c r="CC117">
        <v>4</v>
      </c>
      <c r="CD117">
        <v>4</v>
      </c>
      <c r="CE117">
        <v>6</v>
      </c>
      <c r="CF117">
        <v>6</v>
      </c>
      <c r="CG117">
        <v>6</v>
      </c>
      <c r="CH117">
        <v>6</v>
      </c>
      <c r="CI117">
        <v>6</v>
      </c>
      <c r="CJ117">
        <v>6</v>
      </c>
      <c r="CK117">
        <v>6</v>
      </c>
      <c r="CL117">
        <v>8</v>
      </c>
      <c r="CM117">
        <v>8</v>
      </c>
      <c r="CN117">
        <v>8</v>
      </c>
      <c r="CO117">
        <v>8</v>
      </c>
      <c r="CP117">
        <v>12</v>
      </c>
      <c r="CQ117">
        <v>12</v>
      </c>
      <c r="CR117">
        <v>14</v>
      </c>
      <c r="CS117">
        <v>14</v>
      </c>
      <c r="CT117">
        <v>14</v>
      </c>
      <c r="CU117">
        <v>14</v>
      </c>
      <c r="CV117">
        <v>14</v>
      </c>
      <c r="CW117">
        <v>14</v>
      </c>
      <c r="CX117">
        <v>14</v>
      </c>
      <c r="CY117">
        <v>14</v>
      </c>
      <c r="CZ117">
        <v>14</v>
      </c>
      <c r="DA117">
        <v>14</v>
      </c>
      <c r="DB117">
        <v>14</v>
      </c>
      <c r="DC117">
        <v>14</v>
      </c>
    </row>
    <row r="118" spans="1:107" x14ac:dyDescent="0.25">
      <c r="B118" t="s">
        <v>42</v>
      </c>
      <c r="C118">
        <v>46.227600000000002</v>
      </c>
      <c r="D118">
        <v>2.2136999999999998</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1</v>
      </c>
      <c r="AE118">
        <v>1</v>
      </c>
      <c r="AF118">
        <v>1</v>
      </c>
      <c r="AG118">
        <v>1</v>
      </c>
      <c r="AH118">
        <v>1</v>
      </c>
      <c r="AI118">
        <v>1</v>
      </c>
      <c r="AJ118">
        <v>1</v>
      </c>
      <c r="AK118">
        <v>1</v>
      </c>
      <c r="AL118">
        <v>1</v>
      </c>
      <c r="AM118">
        <v>1</v>
      </c>
      <c r="AN118">
        <v>1</v>
      </c>
      <c r="AO118">
        <v>2</v>
      </c>
      <c r="AP118">
        <v>2</v>
      </c>
      <c r="AQ118">
        <v>2</v>
      </c>
      <c r="AR118">
        <v>2</v>
      </c>
      <c r="AS118">
        <v>2</v>
      </c>
      <c r="AT118">
        <v>3</v>
      </c>
      <c r="AU118">
        <v>4</v>
      </c>
      <c r="AV118">
        <v>4</v>
      </c>
      <c r="AW118">
        <v>6</v>
      </c>
      <c r="AX118">
        <v>9</v>
      </c>
      <c r="AY118">
        <v>11</v>
      </c>
      <c r="AZ118">
        <v>19</v>
      </c>
      <c r="BA118">
        <v>19</v>
      </c>
      <c r="BB118">
        <v>33</v>
      </c>
      <c r="BC118">
        <v>48</v>
      </c>
      <c r="BD118">
        <v>48</v>
      </c>
      <c r="BE118">
        <v>79</v>
      </c>
      <c r="BF118">
        <v>91</v>
      </c>
      <c r="BG118">
        <v>91</v>
      </c>
      <c r="BH118">
        <v>148</v>
      </c>
      <c r="BI118">
        <v>148</v>
      </c>
      <c r="BJ118">
        <v>148</v>
      </c>
      <c r="BK118">
        <v>243</v>
      </c>
      <c r="BL118">
        <v>450</v>
      </c>
      <c r="BM118">
        <v>562</v>
      </c>
      <c r="BN118">
        <v>674</v>
      </c>
      <c r="BO118">
        <v>860</v>
      </c>
      <c r="BP118">
        <v>1100</v>
      </c>
      <c r="BQ118">
        <v>1331</v>
      </c>
      <c r="BR118">
        <v>1696</v>
      </c>
      <c r="BS118">
        <v>1995</v>
      </c>
      <c r="BT118">
        <v>2314</v>
      </c>
      <c r="BU118">
        <v>2606</v>
      </c>
      <c r="BV118">
        <v>3024</v>
      </c>
      <c r="BW118">
        <v>3523</v>
      </c>
      <c r="BX118">
        <v>4403</v>
      </c>
      <c r="BY118">
        <v>5387</v>
      </c>
      <c r="BZ118">
        <v>6507</v>
      </c>
      <c r="CA118">
        <v>7560</v>
      </c>
      <c r="CB118">
        <v>8078</v>
      </c>
      <c r="CC118">
        <v>8911</v>
      </c>
      <c r="CD118">
        <v>10328</v>
      </c>
      <c r="CE118">
        <v>10869</v>
      </c>
      <c r="CF118">
        <v>12210</v>
      </c>
      <c r="CG118">
        <v>13197</v>
      </c>
      <c r="CH118">
        <v>13832</v>
      </c>
      <c r="CI118">
        <v>14393</v>
      </c>
      <c r="CJ118">
        <v>14967</v>
      </c>
      <c r="CK118">
        <v>15712</v>
      </c>
      <c r="CL118">
        <v>17148</v>
      </c>
      <c r="CM118">
        <v>17901</v>
      </c>
      <c r="CN118">
        <v>18661</v>
      </c>
      <c r="CO118">
        <v>19303</v>
      </c>
      <c r="CP118">
        <v>19694</v>
      </c>
      <c r="CQ118">
        <v>20240</v>
      </c>
      <c r="CR118">
        <v>20765</v>
      </c>
      <c r="CS118">
        <v>21309</v>
      </c>
      <c r="CT118">
        <v>21825</v>
      </c>
      <c r="CU118">
        <v>22214</v>
      </c>
      <c r="CV118">
        <v>22583</v>
      </c>
      <c r="CW118">
        <v>22825</v>
      </c>
      <c r="CX118">
        <v>23262</v>
      </c>
      <c r="CY118">
        <v>23629</v>
      </c>
      <c r="CZ118">
        <v>24056</v>
      </c>
      <c r="DA118">
        <v>24345</v>
      </c>
      <c r="DB118">
        <v>24563</v>
      </c>
      <c r="DC118">
        <v>24729</v>
      </c>
    </row>
    <row r="119" spans="1:107" x14ac:dyDescent="0.25">
      <c r="B119" t="s">
        <v>364</v>
      </c>
      <c r="C119">
        <v>-0.80369999999999997</v>
      </c>
      <c r="D119">
        <v>11.609400000000001</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1</v>
      </c>
      <c r="BM119">
        <v>1</v>
      </c>
      <c r="BN119">
        <v>1</v>
      </c>
      <c r="BO119">
        <v>1</v>
      </c>
      <c r="BP119">
        <v>1</v>
      </c>
      <c r="BQ119">
        <v>1</v>
      </c>
      <c r="BR119">
        <v>1</v>
      </c>
      <c r="BS119">
        <v>1</v>
      </c>
      <c r="BT119">
        <v>1</v>
      </c>
      <c r="BU119">
        <v>1</v>
      </c>
      <c r="BV119">
        <v>1</v>
      </c>
      <c r="BW119">
        <v>1</v>
      </c>
      <c r="BX119">
        <v>1</v>
      </c>
      <c r="BY119">
        <v>1</v>
      </c>
      <c r="BZ119">
        <v>1</v>
      </c>
      <c r="CA119">
        <v>1</v>
      </c>
      <c r="CB119">
        <v>1</v>
      </c>
      <c r="CC119">
        <v>1</v>
      </c>
      <c r="CD119">
        <v>1</v>
      </c>
      <c r="CE119">
        <v>1</v>
      </c>
      <c r="CF119">
        <v>1</v>
      </c>
      <c r="CG119">
        <v>1</v>
      </c>
      <c r="CH119">
        <v>1</v>
      </c>
      <c r="CI119">
        <v>1</v>
      </c>
      <c r="CJ119">
        <v>1</v>
      </c>
      <c r="CK119">
        <v>1</v>
      </c>
      <c r="CL119">
        <v>1</v>
      </c>
      <c r="CM119">
        <v>1</v>
      </c>
      <c r="CN119">
        <v>1</v>
      </c>
      <c r="CO119">
        <v>1</v>
      </c>
      <c r="CP119">
        <v>1</v>
      </c>
      <c r="CQ119">
        <v>1</v>
      </c>
      <c r="CR119">
        <v>1</v>
      </c>
      <c r="CS119">
        <v>1</v>
      </c>
      <c r="CT119">
        <v>2</v>
      </c>
      <c r="CU119">
        <v>3</v>
      </c>
      <c r="CV119">
        <v>3</v>
      </c>
      <c r="CW119">
        <v>3</v>
      </c>
      <c r="CX119">
        <v>3</v>
      </c>
      <c r="CY119">
        <v>3</v>
      </c>
      <c r="CZ119">
        <v>3</v>
      </c>
      <c r="DA119">
        <v>3</v>
      </c>
      <c r="DB119">
        <v>3</v>
      </c>
      <c r="DC119">
        <v>5</v>
      </c>
    </row>
    <row r="120" spans="1:107" x14ac:dyDescent="0.25">
      <c r="B120" t="s">
        <v>1131</v>
      </c>
      <c r="C120">
        <v>13.443199999999999</v>
      </c>
      <c r="D120">
        <v>-15.3101</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1</v>
      </c>
      <c r="BP120">
        <v>1</v>
      </c>
      <c r="BQ120">
        <v>1</v>
      </c>
      <c r="BR120">
        <v>1</v>
      </c>
      <c r="BS120">
        <v>1</v>
      </c>
      <c r="BT120">
        <v>1</v>
      </c>
      <c r="BU120">
        <v>1</v>
      </c>
      <c r="BV120">
        <v>1</v>
      </c>
      <c r="BW120">
        <v>1</v>
      </c>
      <c r="BX120">
        <v>1</v>
      </c>
      <c r="BY120">
        <v>1</v>
      </c>
      <c r="BZ120">
        <v>1</v>
      </c>
      <c r="CA120">
        <v>1</v>
      </c>
      <c r="CB120">
        <v>1</v>
      </c>
      <c r="CC120">
        <v>1</v>
      </c>
      <c r="CD120">
        <v>1</v>
      </c>
      <c r="CE120">
        <v>1</v>
      </c>
      <c r="CF120">
        <v>1</v>
      </c>
      <c r="CG120">
        <v>1</v>
      </c>
      <c r="CH120">
        <v>1</v>
      </c>
      <c r="CI120">
        <v>1</v>
      </c>
      <c r="CJ120">
        <v>1</v>
      </c>
      <c r="CK120">
        <v>1</v>
      </c>
      <c r="CL120">
        <v>1</v>
      </c>
      <c r="CM120">
        <v>1</v>
      </c>
      <c r="CN120">
        <v>1</v>
      </c>
      <c r="CO120">
        <v>1</v>
      </c>
      <c r="CP120">
        <v>1</v>
      </c>
      <c r="CQ120">
        <v>1</v>
      </c>
      <c r="CR120">
        <v>1</v>
      </c>
      <c r="CS120">
        <v>1</v>
      </c>
      <c r="CT120">
        <v>1</v>
      </c>
      <c r="CU120">
        <v>1</v>
      </c>
      <c r="CV120">
        <v>1</v>
      </c>
      <c r="CW120">
        <v>1</v>
      </c>
      <c r="CX120">
        <v>1</v>
      </c>
      <c r="CY120">
        <v>1</v>
      </c>
      <c r="CZ120">
        <v>1</v>
      </c>
      <c r="DA120">
        <v>1</v>
      </c>
      <c r="DB120">
        <v>1</v>
      </c>
      <c r="DC120">
        <v>1</v>
      </c>
    </row>
    <row r="121" spans="1:107" x14ac:dyDescent="0.25">
      <c r="B121" t="s">
        <v>80</v>
      </c>
      <c r="C121">
        <v>42.315399999999997</v>
      </c>
      <c r="D121">
        <v>43.356900000000003</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Q121">
        <v>0</v>
      </c>
      <c r="BR121">
        <v>0</v>
      </c>
      <c r="BS121">
        <v>0</v>
      </c>
      <c r="BT121">
        <v>0</v>
      </c>
      <c r="BU121">
        <v>0</v>
      </c>
      <c r="BV121">
        <v>0</v>
      </c>
      <c r="BW121">
        <v>0</v>
      </c>
      <c r="BX121">
        <v>0</v>
      </c>
      <c r="BY121">
        <v>0</v>
      </c>
      <c r="BZ121">
        <v>0</v>
      </c>
      <c r="CA121">
        <v>1</v>
      </c>
      <c r="CB121">
        <v>2</v>
      </c>
      <c r="CC121">
        <v>2</v>
      </c>
      <c r="CD121">
        <v>3</v>
      </c>
      <c r="CE121">
        <v>3</v>
      </c>
      <c r="CF121">
        <v>3</v>
      </c>
      <c r="CG121">
        <v>3</v>
      </c>
      <c r="CH121">
        <v>3</v>
      </c>
      <c r="CI121">
        <v>3</v>
      </c>
      <c r="CJ121">
        <v>3</v>
      </c>
      <c r="CK121">
        <v>3</v>
      </c>
      <c r="CL121">
        <v>3</v>
      </c>
      <c r="CM121">
        <v>3</v>
      </c>
      <c r="CN121">
        <v>3</v>
      </c>
      <c r="CO121">
        <v>4</v>
      </c>
      <c r="CP121">
        <v>4</v>
      </c>
      <c r="CQ121">
        <v>4</v>
      </c>
      <c r="CR121">
        <v>4</v>
      </c>
      <c r="CS121">
        <v>5</v>
      </c>
      <c r="CT121">
        <v>5</v>
      </c>
      <c r="CU121">
        <v>5</v>
      </c>
      <c r="CV121">
        <v>5</v>
      </c>
      <c r="CW121">
        <v>6</v>
      </c>
      <c r="CX121">
        <v>6</v>
      </c>
      <c r="CY121">
        <v>6</v>
      </c>
      <c r="CZ121">
        <v>6</v>
      </c>
      <c r="DA121">
        <v>6</v>
      </c>
      <c r="DB121">
        <v>7</v>
      </c>
      <c r="DC121">
        <v>8</v>
      </c>
    </row>
    <row r="122" spans="1:107" x14ac:dyDescent="0.25">
      <c r="B122" t="s">
        <v>53</v>
      </c>
      <c r="C122">
        <v>51</v>
      </c>
      <c r="D122">
        <v>9</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2</v>
      </c>
      <c r="BB122">
        <v>2</v>
      </c>
      <c r="BC122">
        <v>3</v>
      </c>
      <c r="BD122">
        <v>3</v>
      </c>
      <c r="BE122">
        <v>7</v>
      </c>
      <c r="BF122">
        <v>9</v>
      </c>
      <c r="BG122">
        <v>11</v>
      </c>
      <c r="BH122">
        <v>17</v>
      </c>
      <c r="BI122">
        <v>24</v>
      </c>
      <c r="BJ122">
        <v>28</v>
      </c>
      <c r="BK122">
        <v>44</v>
      </c>
      <c r="BL122">
        <v>67</v>
      </c>
      <c r="BM122">
        <v>84</v>
      </c>
      <c r="BN122">
        <v>94</v>
      </c>
      <c r="BO122">
        <v>123</v>
      </c>
      <c r="BP122">
        <v>157</v>
      </c>
      <c r="BQ122">
        <v>206</v>
      </c>
      <c r="BR122">
        <v>267</v>
      </c>
      <c r="BS122">
        <v>342</v>
      </c>
      <c r="BT122">
        <v>433</v>
      </c>
      <c r="BU122">
        <v>533</v>
      </c>
      <c r="BV122">
        <v>645</v>
      </c>
      <c r="BW122">
        <v>775</v>
      </c>
      <c r="BX122">
        <v>920</v>
      </c>
      <c r="BY122">
        <v>1107</v>
      </c>
      <c r="BZ122">
        <v>1275</v>
      </c>
      <c r="CA122">
        <v>1444</v>
      </c>
      <c r="CB122">
        <v>1584</v>
      </c>
      <c r="CC122">
        <v>1810</v>
      </c>
      <c r="CD122">
        <v>2016</v>
      </c>
      <c r="CE122">
        <v>2349</v>
      </c>
      <c r="CF122">
        <v>2607</v>
      </c>
      <c r="CG122">
        <v>2767</v>
      </c>
      <c r="CH122">
        <v>2736</v>
      </c>
      <c r="CI122">
        <v>3022</v>
      </c>
      <c r="CJ122">
        <v>3194</v>
      </c>
      <c r="CK122">
        <v>3294</v>
      </c>
      <c r="CL122">
        <v>3804</v>
      </c>
      <c r="CM122">
        <v>4052</v>
      </c>
      <c r="CN122">
        <v>4352</v>
      </c>
      <c r="CO122">
        <v>4459</v>
      </c>
      <c r="CP122">
        <v>4586</v>
      </c>
      <c r="CQ122">
        <v>4862</v>
      </c>
      <c r="CR122">
        <v>5033</v>
      </c>
      <c r="CS122">
        <v>5279</v>
      </c>
      <c r="CT122">
        <v>5575</v>
      </c>
      <c r="CU122">
        <v>5760</v>
      </c>
      <c r="CV122">
        <v>5877</v>
      </c>
      <c r="CW122">
        <v>5976</v>
      </c>
      <c r="CX122">
        <v>6126</v>
      </c>
      <c r="CY122">
        <v>6314</v>
      </c>
      <c r="CZ122">
        <v>6467</v>
      </c>
      <c r="DA122">
        <v>6623</v>
      </c>
      <c r="DB122">
        <v>6736</v>
      </c>
      <c r="DC122">
        <v>6812</v>
      </c>
    </row>
    <row r="123" spans="1:107" x14ac:dyDescent="0.25">
      <c r="B123" t="s">
        <v>357</v>
      </c>
      <c r="C123">
        <v>7.9465000000000003</v>
      </c>
      <c r="D123">
        <v>-1.0232000000000001</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1</v>
      </c>
      <c r="BN123">
        <v>1</v>
      </c>
      <c r="BO123">
        <v>2</v>
      </c>
      <c r="BP123">
        <v>2</v>
      </c>
      <c r="BQ123">
        <v>4</v>
      </c>
      <c r="BR123">
        <v>4</v>
      </c>
      <c r="BS123">
        <v>4</v>
      </c>
      <c r="BT123">
        <v>5</v>
      </c>
      <c r="BU123">
        <v>5</v>
      </c>
      <c r="BV123">
        <v>5</v>
      </c>
      <c r="BW123">
        <v>5</v>
      </c>
      <c r="BX123">
        <v>5</v>
      </c>
      <c r="BY123">
        <v>5</v>
      </c>
      <c r="BZ123">
        <v>5</v>
      </c>
      <c r="CA123">
        <v>5</v>
      </c>
      <c r="CB123">
        <v>5</v>
      </c>
      <c r="CC123">
        <v>5</v>
      </c>
      <c r="CD123">
        <v>5</v>
      </c>
      <c r="CE123">
        <v>6</v>
      </c>
      <c r="CF123">
        <v>6</v>
      </c>
      <c r="CG123">
        <v>6</v>
      </c>
      <c r="CH123">
        <v>8</v>
      </c>
      <c r="CI123">
        <v>8</v>
      </c>
      <c r="CJ123">
        <v>8</v>
      </c>
      <c r="CK123">
        <v>8</v>
      </c>
      <c r="CL123">
        <v>8</v>
      </c>
      <c r="CM123">
        <v>8</v>
      </c>
      <c r="CN123">
        <v>8</v>
      </c>
      <c r="CO123">
        <v>9</v>
      </c>
      <c r="CP123">
        <v>9</v>
      </c>
      <c r="CQ123">
        <v>9</v>
      </c>
      <c r="CR123">
        <v>9</v>
      </c>
      <c r="CS123">
        <v>9</v>
      </c>
      <c r="CT123">
        <v>9</v>
      </c>
      <c r="CU123">
        <v>10</v>
      </c>
      <c r="CV123">
        <v>10</v>
      </c>
      <c r="CW123">
        <v>11</v>
      </c>
      <c r="CX123">
        <v>11</v>
      </c>
      <c r="CY123">
        <v>16</v>
      </c>
      <c r="CZ123">
        <v>16</v>
      </c>
      <c r="DA123">
        <v>17</v>
      </c>
      <c r="DB123">
        <v>17</v>
      </c>
      <c r="DC123">
        <v>18</v>
      </c>
    </row>
    <row r="124" spans="1:107" x14ac:dyDescent="0.25">
      <c r="B124" t="s">
        <v>81</v>
      </c>
      <c r="C124">
        <v>39.074199999999998</v>
      </c>
      <c r="D124">
        <v>21.824300000000001</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1</v>
      </c>
      <c r="BD124">
        <v>1</v>
      </c>
      <c r="BE124">
        <v>1</v>
      </c>
      <c r="BF124">
        <v>3</v>
      </c>
      <c r="BG124">
        <v>4</v>
      </c>
      <c r="BH124">
        <v>4</v>
      </c>
      <c r="BI124">
        <v>5</v>
      </c>
      <c r="BJ124">
        <v>5</v>
      </c>
      <c r="BK124">
        <v>6</v>
      </c>
      <c r="BL124">
        <v>6</v>
      </c>
      <c r="BM124">
        <v>13</v>
      </c>
      <c r="BN124">
        <v>15</v>
      </c>
      <c r="BO124">
        <v>17</v>
      </c>
      <c r="BP124">
        <v>20</v>
      </c>
      <c r="BQ124">
        <v>22</v>
      </c>
      <c r="BR124">
        <v>26</v>
      </c>
      <c r="BS124">
        <v>28</v>
      </c>
      <c r="BT124">
        <v>32</v>
      </c>
      <c r="BU124">
        <v>38</v>
      </c>
      <c r="BV124">
        <v>43</v>
      </c>
      <c r="BW124">
        <v>49</v>
      </c>
      <c r="BX124">
        <v>50</v>
      </c>
      <c r="BY124">
        <v>53</v>
      </c>
      <c r="BZ124">
        <v>63</v>
      </c>
      <c r="CA124">
        <v>68</v>
      </c>
      <c r="CB124">
        <v>73</v>
      </c>
      <c r="CC124">
        <v>79</v>
      </c>
      <c r="CD124">
        <v>81</v>
      </c>
      <c r="CE124">
        <v>83</v>
      </c>
      <c r="CF124">
        <v>87</v>
      </c>
      <c r="CG124">
        <v>92</v>
      </c>
      <c r="CH124">
        <v>93</v>
      </c>
      <c r="CI124">
        <v>98</v>
      </c>
      <c r="CJ124">
        <v>99</v>
      </c>
      <c r="CK124">
        <v>101</v>
      </c>
      <c r="CL124">
        <v>102</v>
      </c>
      <c r="CM124">
        <v>105</v>
      </c>
      <c r="CN124">
        <v>108</v>
      </c>
      <c r="CO124">
        <v>110</v>
      </c>
      <c r="CP124">
        <v>113</v>
      </c>
      <c r="CQ124">
        <v>116</v>
      </c>
      <c r="CR124">
        <v>121</v>
      </c>
      <c r="CS124">
        <v>121</v>
      </c>
      <c r="CT124">
        <v>125</v>
      </c>
      <c r="CU124">
        <v>130</v>
      </c>
      <c r="CV124">
        <v>130</v>
      </c>
      <c r="CW124">
        <v>134</v>
      </c>
      <c r="CX124">
        <v>136</v>
      </c>
      <c r="CY124">
        <v>138</v>
      </c>
      <c r="CZ124">
        <v>139</v>
      </c>
      <c r="DA124">
        <v>140</v>
      </c>
      <c r="DB124">
        <v>140</v>
      </c>
      <c r="DC124">
        <v>143</v>
      </c>
    </row>
    <row r="125" spans="1:107" x14ac:dyDescent="0.25">
      <c r="B125" t="s">
        <v>365</v>
      </c>
      <c r="C125">
        <v>15.7835</v>
      </c>
      <c r="D125">
        <v>-90.230800000000002</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1</v>
      </c>
      <c r="BI125">
        <v>1</v>
      </c>
      <c r="BJ125">
        <v>1</v>
      </c>
      <c r="BK125">
        <v>1</v>
      </c>
      <c r="BL125">
        <v>1</v>
      </c>
      <c r="BM125">
        <v>1</v>
      </c>
      <c r="BN125">
        <v>1</v>
      </c>
      <c r="BO125">
        <v>1</v>
      </c>
      <c r="BP125">
        <v>1</v>
      </c>
      <c r="BQ125">
        <v>1</v>
      </c>
      <c r="BR125">
        <v>1</v>
      </c>
      <c r="BS125">
        <v>1</v>
      </c>
      <c r="BT125">
        <v>1</v>
      </c>
      <c r="BU125">
        <v>1</v>
      </c>
      <c r="BV125">
        <v>1</v>
      </c>
      <c r="BW125">
        <v>1</v>
      </c>
      <c r="BX125">
        <v>1</v>
      </c>
      <c r="BY125">
        <v>1</v>
      </c>
      <c r="BZ125">
        <v>1</v>
      </c>
      <c r="CA125">
        <v>2</v>
      </c>
      <c r="CB125">
        <v>2</v>
      </c>
      <c r="CC125">
        <v>3</v>
      </c>
      <c r="CD125">
        <v>3</v>
      </c>
      <c r="CE125">
        <v>3</v>
      </c>
      <c r="CF125">
        <v>3</v>
      </c>
      <c r="CG125">
        <v>3</v>
      </c>
      <c r="CH125">
        <v>3</v>
      </c>
      <c r="CI125">
        <v>5</v>
      </c>
      <c r="CJ125">
        <v>5</v>
      </c>
      <c r="CK125">
        <v>5</v>
      </c>
      <c r="CL125">
        <v>5</v>
      </c>
      <c r="CM125">
        <v>5</v>
      </c>
      <c r="CN125">
        <v>7</v>
      </c>
      <c r="CO125">
        <v>7</v>
      </c>
      <c r="CP125">
        <v>7</v>
      </c>
      <c r="CQ125">
        <v>7</v>
      </c>
      <c r="CR125">
        <v>7</v>
      </c>
      <c r="CS125">
        <v>8</v>
      </c>
      <c r="CT125">
        <v>11</v>
      </c>
      <c r="CU125">
        <v>11</v>
      </c>
      <c r="CV125">
        <v>13</v>
      </c>
      <c r="CW125">
        <v>15</v>
      </c>
      <c r="CX125">
        <v>15</v>
      </c>
      <c r="CY125">
        <v>15</v>
      </c>
      <c r="CZ125">
        <v>16</v>
      </c>
      <c r="DA125">
        <v>16</v>
      </c>
      <c r="DB125">
        <v>16</v>
      </c>
      <c r="DC125">
        <v>17</v>
      </c>
    </row>
    <row r="126" spans="1:107" x14ac:dyDescent="0.25">
      <c r="B126" t="s">
        <v>204</v>
      </c>
      <c r="C126">
        <v>9.9456000000000007</v>
      </c>
      <c r="D126">
        <v>-9.6966000000000001</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c r="BL126">
        <v>0</v>
      </c>
      <c r="BM126">
        <v>0</v>
      </c>
      <c r="BN126">
        <v>0</v>
      </c>
      <c r="BO126">
        <v>0</v>
      </c>
      <c r="BP126">
        <v>0</v>
      </c>
      <c r="BQ126">
        <v>0</v>
      </c>
      <c r="BR126">
        <v>0</v>
      </c>
      <c r="BS126">
        <v>0</v>
      </c>
      <c r="BT126">
        <v>0</v>
      </c>
      <c r="BU126">
        <v>0</v>
      </c>
      <c r="BV126">
        <v>0</v>
      </c>
      <c r="BW126">
        <v>0</v>
      </c>
      <c r="BX126">
        <v>0</v>
      </c>
      <c r="BY126">
        <v>0</v>
      </c>
      <c r="BZ126">
        <v>0</v>
      </c>
      <c r="CA126">
        <v>0</v>
      </c>
      <c r="CB126">
        <v>0</v>
      </c>
      <c r="CC126">
        <v>0</v>
      </c>
      <c r="CD126">
        <v>0</v>
      </c>
      <c r="CE126">
        <v>0</v>
      </c>
      <c r="CF126">
        <v>0</v>
      </c>
      <c r="CG126">
        <v>0</v>
      </c>
      <c r="CH126">
        <v>0</v>
      </c>
      <c r="CI126">
        <v>0</v>
      </c>
      <c r="CJ126">
        <v>0</v>
      </c>
      <c r="CK126">
        <v>0</v>
      </c>
      <c r="CL126">
        <v>1</v>
      </c>
      <c r="CM126">
        <v>1</v>
      </c>
      <c r="CN126">
        <v>3</v>
      </c>
      <c r="CO126">
        <v>3</v>
      </c>
      <c r="CP126">
        <v>5</v>
      </c>
      <c r="CQ126">
        <v>5</v>
      </c>
      <c r="CR126">
        <v>6</v>
      </c>
      <c r="CS126">
        <v>6</v>
      </c>
      <c r="CT126">
        <v>6</v>
      </c>
      <c r="CU126">
        <v>6</v>
      </c>
      <c r="CV126">
        <v>7</v>
      </c>
      <c r="CW126">
        <v>7</v>
      </c>
      <c r="CX126">
        <v>7</v>
      </c>
      <c r="CY126">
        <v>7</v>
      </c>
      <c r="CZ126">
        <v>7</v>
      </c>
      <c r="DA126">
        <v>7</v>
      </c>
      <c r="DB126">
        <v>7</v>
      </c>
      <c r="DC126">
        <v>7</v>
      </c>
    </row>
    <row r="127" spans="1:107" x14ac:dyDescent="0.25">
      <c r="B127" t="s">
        <v>195</v>
      </c>
      <c r="C127">
        <v>5</v>
      </c>
      <c r="D127">
        <v>-58.75</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1</v>
      </c>
      <c r="BE127">
        <v>1</v>
      </c>
      <c r="BF127">
        <v>1</v>
      </c>
      <c r="BG127">
        <v>1</v>
      </c>
      <c r="BH127">
        <v>1</v>
      </c>
      <c r="BI127">
        <v>1</v>
      </c>
      <c r="BJ127">
        <v>1</v>
      </c>
      <c r="BK127">
        <v>1</v>
      </c>
      <c r="BL127">
        <v>1</v>
      </c>
      <c r="BM127">
        <v>1</v>
      </c>
      <c r="BN127">
        <v>1</v>
      </c>
      <c r="BO127">
        <v>1</v>
      </c>
      <c r="BP127">
        <v>1</v>
      </c>
      <c r="BQ127">
        <v>1</v>
      </c>
      <c r="BR127">
        <v>1</v>
      </c>
      <c r="BS127">
        <v>1</v>
      </c>
      <c r="BT127">
        <v>1</v>
      </c>
      <c r="BU127">
        <v>1</v>
      </c>
      <c r="BV127">
        <v>1</v>
      </c>
      <c r="BW127">
        <v>2</v>
      </c>
      <c r="BX127">
        <v>2</v>
      </c>
      <c r="BY127">
        <v>4</v>
      </c>
      <c r="BZ127">
        <v>4</v>
      </c>
      <c r="CA127">
        <v>4</v>
      </c>
      <c r="CB127">
        <v>4</v>
      </c>
      <c r="CC127">
        <v>4</v>
      </c>
      <c r="CD127">
        <v>5</v>
      </c>
      <c r="CE127">
        <v>6</v>
      </c>
      <c r="CF127">
        <v>6</v>
      </c>
      <c r="CG127">
        <v>6</v>
      </c>
      <c r="CH127">
        <v>6</v>
      </c>
      <c r="CI127">
        <v>6</v>
      </c>
      <c r="CJ127">
        <v>6</v>
      </c>
      <c r="CK127">
        <v>6</v>
      </c>
      <c r="CL127">
        <v>6</v>
      </c>
      <c r="CM127">
        <v>6</v>
      </c>
      <c r="CN127">
        <v>6</v>
      </c>
      <c r="CO127">
        <v>6</v>
      </c>
      <c r="CP127">
        <v>7</v>
      </c>
      <c r="CQ127">
        <v>7</v>
      </c>
      <c r="CR127">
        <v>7</v>
      </c>
      <c r="CS127">
        <v>7</v>
      </c>
      <c r="CT127">
        <v>7</v>
      </c>
      <c r="CU127">
        <v>7</v>
      </c>
      <c r="CV127">
        <v>7</v>
      </c>
      <c r="CW127">
        <v>8</v>
      </c>
      <c r="CX127">
        <v>8</v>
      </c>
      <c r="CY127">
        <v>8</v>
      </c>
      <c r="CZ127">
        <v>8</v>
      </c>
      <c r="DA127">
        <v>9</v>
      </c>
      <c r="DB127">
        <v>9</v>
      </c>
      <c r="DC127">
        <v>9</v>
      </c>
    </row>
    <row r="128" spans="1:107" x14ac:dyDescent="0.25">
      <c r="B128" t="s">
        <v>740</v>
      </c>
      <c r="C128">
        <v>18.9712</v>
      </c>
      <c r="D128">
        <v>-72.285200000000003</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c r="BM128">
        <v>0</v>
      </c>
      <c r="BN128">
        <v>0</v>
      </c>
      <c r="BO128">
        <v>0</v>
      </c>
      <c r="BP128">
        <v>0</v>
      </c>
      <c r="BQ128">
        <v>0</v>
      </c>
      <c r="BR128">
        <v>0</v>
      </c>
      <c r="BS128">
        <v>0</v>
      </c>
      <c r="BT128">
        <v>0</v>
      </c>
      <c r="BU128">
        <v>0</v>
      </c>
      <c r="BV128">
        <v>0</v>
      </c>
      <c r="BW128">
        <v>0</v>
      </c>
      <c r="BX128">
        <v>0</v>
      </c>
      <c r="BY128">
        <v>0</v>
      </c>
      <c r="BZ128">
        <v>0</v>
      </c>
      <c r="CA128">
        <v>0</v>
      </c>
      <c r="CB128">
        <v>1</v>
      </c>
      <c r="CC128">
        <v>1</v>
      </c>
      <c r="CD128">
        <v>1</v>
      </c>
      <c r="CE128">
        <v>1</v>
      </c>
      <c r="CF128">
        <v>2</v>
      </c>
      <c r="CG128">
        <v>2</v>
      </c>
      <c r="CH128">
        <v>2</v>
      </c>
      <c r="CI128">
        <v>3</v>
      </c>
      <c r="CJ128">
        <v>3</v>
      </c>
      <c r="CK128">
        <v>3</v>
      </c>
      <c r="CL128">
        <v>3</v>
      </c>
      <c r="CM128">
        <v>3</v>
      </c>
      <c r="CN128">
        <v>3</v>
      </c>
      <c r="CO128">
        <v>3</v>
      </c>
      <c r="CP128">
        <v>3</v>
      </c>
      <c r="CQ128">
        <v>3</v>
      </c>
      <c r="CR128">
        <v>3</v>
      </c>
      <c r="CS128">
        <v>4</v>
      </c>
      <c r="CT128">
        <v>5</v>
      </c>
      <c r="CU128">
        <v>5</v>
      </c>
      <c r="CV128">
        <v>6</v>
      </c>
      <c r="CW128">
        <v>6</v>
      </c>
      <c r="CX128">
        <v>6</v>
      </c>
      <c r="CY128">
        <v>6</v>
      </c>
      <c r="CZ128">
        <v>6</v>
      </c>
      <c r="DA128">
        <v>8</v>
      </c>
      <c r="DB128">
        <v>8</v>
      </c>
      <c r="DC128">
        <v>8</v>
      </c>
    </row>
    <row r="129" spans="2:107" x14ac:dyDescent="0.25">
      <c r="B129" t="s">
        <v>150</v>
      </c>
      <c r="C129">
        <v>41.902900000000002</v>
      </c>
      <c r="D129">
        <v>12.4534</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0</v>
      </c>
      <c r="BL129">
        <v>0</v>
      </c>
      <c r="BM129">
        <v>0</v>
      </c>
      <c r="BN129">
        <v>0</v>
      </c>
      <c r="BO129">
        <v>0</v>
      </c>
      <c r="BP129">
        <v>0</v>
      </c>
      <c r="BQ129">
        <v>0</v>
      </c>
      <c r="BR129">
        <v>0</v>
      </c>
      <c r="BS129">
        <v>0</v>
      </c>
      <c r="BT129">
        <v>0</v>
      </c>
      <c r="BU129">
        <v>0</v>
      </c>
      <c r="BV129">
        <v>0</v>
      </c>
      <c r="BW129">
        <v>0</v>
      </c>
      <c r="BX129">
        <v>0</v>
      </c>
      <c r="BY129">
        <v>0</v>
      </c>
      <c r="BZ129">
        <v>0</v>
      </c>
      <c r="CA129">
        <v>0</v>
      </c>
      <c r="CB129">
        <v>0</v>
      </c>
      <c r="CC129">
        <v>0</v>
      </c>
      <c r="CD129">
        <v>0</v>
      </c>
      <c r="CE129">
        <v>0</v>
      </c>
      <c r="CF129">
        <v>0</v>
      </c>
      <c r="CG129">
        <v>0</v>
      </c>
      <c r="CH129">
        <v>0</v>
      </c>
      <c r="CI129">
        <v>0</v>
      </c>
      <c r="CJ129">
        <v>0</v>
      </c>
      <c r="CK129">
        <v>0</v>
      </c>
      <c r="CL129">
        <v>0</v>
      </c>
      <c r="CM129">
        <v>0</v>
      </c>
      <c r="CN129">
        <v>0</v>
      </c>
      <c r="CO129">
        <v>0</v>
      </c>
      <c r="CP129">
        <v>0</v>
      </c>
      <c r="CQ129">
        <v>0</v>
      </c>
      <c r="CR129">
        <v>0</v>
      </c>
      <c r="CS129">
        <v>0</v>
      </c>
      <c r="CT129">
        <v>0</v>
      </c>
      <c r="CU129">
        <v>0</v>
      </c>
      <c r="CV129">
        <v>0</v>
      </c>
      <c r="CW129">
        <v>0</v>
      </c>
      <c r="CX129">
        <v>0</v>
      </c>
      <c r="CY129">
        <v>0</v>
      </c>
      <c r="CZ129">
        <v>0</v>
      </c>
      <c r="DA129">
        <v>0</v>
      </c>
      <c r="DB129">
        <v>0</v>
      </c>
      <c r="DC129">
        <v>0</v>
      </c>
    </row>
    <row r="130" spans="2:107" x14ac:dyDescent="0.25">
      <c r="B130" t="s">
        <v>180</v>
      </c>
      <c r="C130">
        <v>15.2</v>
      </c>
      <c r="D130">
        <v>-86.241900000000001</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0</v>
      </c>
      <c r="BN130">
        <v>0</v>
      </c>
      <c r="BO130">
        <v>0</v>
      </c>
      <c r="BP130">
        <v>0</v>
      </c>
      <c r="BQ130">
        <v>0</v>
      </c>
      <c r="BR130">
        <v>1</v>
      </c>
      <c r="BS130">
        <v>1</v>
      </c>
      <c r="BT130">
        <v>1</v>
      </c>
      <c r="BU130">
        <v>3</v>
      </c>
      <c r="BV130">
        <v>7</v>
      </c>
      <c r="BW130">
        <v>7</v>
      </c>
      <c r="BX130">
        <v>10</v>
      </c>
      <c r="BY130">
        <v>14</v>
      </c>
      <c r="BZ130">
        <v>15</v>
      </c>
      <c r="CA130">
        <v>15</v>
      </c>
      <c r="CB130">
        <v>22</v>
      </c>
      <c r="CC130">
        <v>22</v>
      </c>
      <c r="CD130">
        <v>22</v>
      </c>
      <c r="CE130">
        <v>22</v>
      </c>
      <c r="CF130">
        <v>23</v>
      </c>
      <c r="CG130">
        <v>23</v>
      </c>
      <c r="CH130">
        <v>24</v>
      </c>
      <c r="CI130">
        <v>25</v>
      </c>
      <c r="CJ130">
        <v>25</v>
      </c>
      <c r="CK130">
        <v>26</v>
      </c>
      <c r="CL130">
        <v>31</v>
      </c>
      <c r="CM130">
        <v>35</v>
      </c>
      <c r="CN130">
        <v>41</v>
      </c>
      <c r="CO130">
        <v>46</v>
      </c>
      <c r="CP130">
        <v>46</v>
      </c>
      <c r="CQ130">
        <v>46</v>
      </c>
      <c r="CR130">
        <v>46</v>
      </c>
      <c r="CS130">
        <v>46</v>
      </c>
      <c r="CT130">
        <v>47</v>
      </c>
      <c r="CU130">
        <v>55</v>
      </c>
      <c r="CV130">
        <v>59</v>
      </c>
      <c r="CW130">
        <v>59</v>
      </c>
      <c r="CX130">
        <v>61</v>
      </c>
      <c r="CY130">
        <v>64</v>
      </c>
      <c r="CZ130">
        <v>66</v>
      </c>
      <c r="DA130">
        <v>71</v>
      </c>
      <c r="DB130">
        <v>75</v>
      </c>
      <c r="DC130">
        <v>76</v>
      </c>
    </row>
    <row r="131" spans="2:107" x14ac:dyDescent="0.25">
      <c r="B131" t="s">
        <v>116</v>
      </c>
      <c r="C131">
        <v>47.162500000000001</v>
      </c>
      <c r="D131">
        <v>19.503299999999999</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1</v>
      </c>
      <c r="BH131">
        <v>1</v>
      </c>
      <c r="BI131">
        <v>1</v>
      </c>
      <c r="BJ131">
        <v>1</v>
      </c>
      <c r="BK131">
        <v>1</v>
      </c>
      <c r="BL131">
        <v>3</v>
      </c>
      <c r="BM131">
        <v>4</v>
      </c>
      <c r="BN131">
        <v>6</v>
      </c>
      <c r="BO131">
        <v>7</v>
      </c>
      <c r="BP131">
        <v>9</v>
      </c>
      <c r="BQ131">
        <v>10</v>
      </c>
      <c r="BR131">
        <v>10</v>
      </c>
      <c r="BS131">
        <v>10</v>
      </c>
      <c r="BT131">
        <v>11</v>
      </c>
      <c r="BU131">
        <v>13</v>
      </c>
      <c r="BV131">
        <v>15</v>
      </c>
      <c r="BW131">
        <v>16</v>
      </c>
      <c r="BX131">
        <v>20</v>
      </c>
      <c r="BY131">
        <v>21</v>
      </c>
      <c r="BZ131">
        <v>26</v>
      </c>
      <c r="CA131">
        <v>32</v>
      </c>
      <c r="CB131">
        <v>34</v>
      </c>
      <c r="CC131">
        <v>38</v>
      </c>
      <c r="CD131">
        <v>47</v>
      </c>
      <c r="CE131">
        <v>58</v>
      </c>
      <c r="CF131">
        <v>66</v>
      </c>
      <c r="CG131">
        <v>77</v>
      </c>
      <c r="CH131">
        <v>85</v>
      </c>
      <c r="CI131">
        <v>99</v>
      </c>
      <c r="CJ131">
        <v>109</v>
      </c>
      <c r="CK131">
        <v>122</v>
      </c>
      <c r="CL131">
        <v>134</v>
      </c>
      <c r="CM131">
        <v>142</v>
      </c>
      <c r="CN131">
        <v>156</v>
      </c>
      <c r="CO131">
        <v>172</v>
      </c>
      <c r="CP131">
        <v>189</v>
      </c>
      <c r="CQ131">
        <v>199</v>
      </c>
      <c r="CR131">
        <v>213</v>
      </c>
      <c r="CS131">
        <v>225</v>
      </c>
      <c r="CT131">
        <v>239</v>
      </c>
      <c r="CU131">
        <v>262</v>
      </c>
      <c r="CV131">
        <v>262</v>
      </c>
      <c r="CW131">
        <v>272</v>
      </c>
      <c r="CX131">
        <v>280</v>
      </c>
      <c r="CY131">
        <v>291</v>
      </c>
      <c r="CZ131">
        <v>300</v>
      </c>
      <c r="DA131">
        <v>312</v>
      </c>
      <c r="DB131">
        <v>323</v>
      </c>
      <c r="DC131">
        <v>335</v>
      </c>
    </row>
    <row r="132" spans="2:107" x14ac:dyDescent="0.25">
      <c r="B132" t="s">
        <v>90</v>
      </c>
      <c r="C132">
        <v>64.963099999999997</v>
      </c>
      <c r="D132">
        <v>-19.020800000000001</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5</v>
      </c>
      <c r="BH132">
        <v>0</v>
      </c>
      <c r="BI132">
        <v>1</v>
      </c>
      <c r="BJ132">
        <v>1</v>
      </c>
      <c r="BK132">
        <v>1</v>
      </c>
      <c r="BL132">
        <v>0</v>
      </c>
      <c r="BM132">
        <v>1</v>
      </c>
      <c r="BN132">
        <v>1</v>
      </c>
      <c r="BO132">
        <v>1</v>
      </c>
      <c r="BP132">
        <v>2</v>
      </c>
      <c r="BQ132">
        <v>2</v>
      </c>
      <c r="BR132">
        <v>2</v>
      </c>
      <c r="BS132">
        <v>2</v>
      </c>
      <c r="BT132">
        <v>2</v>
      </c>
      <c r="BU132">
        <v>2</v>
      </c>
      <c r="BV132">
        <v>2</v>
      </c>
      <c r="BW132">
        <v>2</v>
      </c>
      <c r="BX132">
        <v>2</v>
      </c>
      <c r="BY132">
        <v>4</v>
      </c>
      <c r="BZ132">
        <v>4</v>
      </c>
      <c r="CA132">
        <v>4</v>
      </c>
      <c r="CB132">
        <v>4</v>
      </c>
      <c r="CC132">
        <v>6</v>
      </c>
      <c r="CD132">
        <v>6</v>
      </c>
      <c r="CE132">
        <v>6</v>
      </c>
      <c r="CF132">
        <v>6</v>
      </c>
      <c r="CG132">
        <v>7</v>
      </c>
      <c r="CH132">
        <v>8</v>
      </c>
      <c r="CI132">
        <v>8</v>
      </c>
      <c r="CJ132">
        <v>8</v>
      </c>
      <c r="CK132">
        <v>8</v>
      </c>
      <c r="CL132">
        <v>8</v>
      </c>
      <c r="CM132">
        <v>8</v>
      </c>
      <c r="CN132">
        <v>9</v>
      </c>
      <c r="CO132">
        <v>9</v>
      </c>
      <c r="CP132">
        <v>9</v>
      </c>
      <c r="CQ132">
        <v>10</v>
      </c>
      <c r="CR132">
        <v>10</v>
      </c>
      <c r="CS132">
        <v>10</v>
      </c>
      <c r="CT132">
        <v>10</v>
      </c>
      <c r="CU132">
        <v>10</v>
      </c>
      <c r="CV132">
        <v>10</v>
      </c>
      <c r="CW132">
        <v>10</v>
      </c>
      <c r="CX132">
        <v>10</v>
      </c>
      <c r="CY132">
        <v>10</v>
      </c>
      <c r="CZ132">
        <v>10</v>
      </c>
      <c r="DA132">
        <v>10</v>
      </c>
      <c r="DB132">
        <v>10</v>
      </c>
      <c r="DC132">
        <v>10</v>
      </c>
    </row>
    <row r="133" spans="2:107" x14ac:dyDescent="0.25">
      <c r="B133" t="s">
        <v>57</v>
      </c>
      <c r="C133">
        <v>21</v>
      </c>
      <c r="D133">
        <v>78</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1</v>
      </c>
      <c r="BD133">
        <v>1</v>
      </c>
      <c r="BE133">
        <v>2</v>
      </c>
      <c r="BF133">
        <v>2</v>
      </c>
      <c r="BG133">
        <v>2</v>
      </c>
      <c r="BH133">
        <v>2</v>
      </c>
      <c r="BI133">
        <v>3</v>
      </c>
      <c r="BJ133">
        <v>3</v>
      </c>
      <c r="BK133">
        <v>4</v>
      </c>
      <c r="BL133">
        <v>5</v>
      </c>
      <c r="BM133">
        <v>4</v>
      </c>
      <c r="BN133">
        <v>7</v>
      </c>
      <c r="BO133">
        <v>10</v>
      </c>
      <c r="BP133">
        <v>10</v>
      </c>
      <c r="BQ133">
        <v>12</v>
      </c>
      <c r="BR133">
        <v>20</v>
      </c>
      <c r="BS133">
        <v>20</v>
      </c>
      <c r="BT133">
        <v>24</v>
      </c>
      <c r="BU133">
        <v>27</v>
      </c>
      <c r="BV133">
        <v>32</v>
      </c>
      <c r="BW133">
        <v>35</v>
      </c>
      <c r="BX133">
        <v>58</v>
      </c>
      <c r="BY133">
        <v>72</v>
      </c>
      <c r="BZ133">
        <v>72</v>
      </c>
      <c r="CA133">
        <v>86</v>
      </c>
      <c r="CB133">
        <v>99</v>
      </c>
      <c r="CC133">
        <v>136</v>
      </c>
      <c r="CD133">
        <v>150</v>
      </c>
      <c r="CE133">
        <v>178</v>
      </c>
      <c r="CF133">
        <v>226</v>
      </c>
      <c r="CG133">
        <v>246</v>
      </c>
      <c r="CH133">
        <v>288</v>
      </c>
      <c r="CI133">
        <v>331</v>
      </c>
      <c r="CJ133">
        <v>358</v>
      </c>
      <c r="CK133">
        <v>393</v>
      </c>
      <c r="CL133">
        <v>405</v>
      </c>
      <c r="CM133">
        <v>448</v>
      </c>
      <c r="CN133">
        <v>486</v>
      </c>
      <c r="CO133">
        <v>521</v>
      </c>
      <c r="CP133">
        <v>559</v>
      </c>
      <c r="CQ133">
        <v>592</v>
      </c>
      <c r="CR133">
        <v>645</v>
      </c>
      <c r="CS133">
        <v>681</v>
      </c>
      <c r="CT133">
        <v>721</v>
      </c>
      <c r="CU133">
        <v>780</v>
      </c>
      <c r="CV133">
        <v>825</v>
      </c>
      <c r="CW133">
        <v>881</v>
      </c>
      <c r="CX133">
        <v>939</v>
      </c>
      <c r="CY133">
        <v>1008</v>
      </c>
      <c r="CZ133">
        <v>1079</v>
      </c>
      <c r="DA133">
        <v>1154</v>
      </c>
      <c r="DB133">
        <v>1223</v>
      </c>
      <c r="DC133">
        <v>1323</v>
      </c>
    </row>
    <row r="134" spans="2:107" x14ac:dyDescent="0.25">
      <c r="B134" t="s">
        <v>103</v>
      </c>
      <c r="C134">
        <v>-0.7893</v>
      </c>
      <c r="D134">
        <v>113.9213</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1</v>
      </c>
      <c r="BD134">
        <v>1</v>
      </c>
      <c r="BE134">
        <v>4</v>
      </c>
      <c r="BF134">
        <v>5</v>
      </c>
      <c r="BG134">
        <v>5</v>
      </c>
      <c r="BH134">
        <v>5</v>
      </c>
      <c r="BI134">
        <v>5</v>
      </c>
      <c r="BJ134">
        <v>19</v>
      </c>
      <c r="BK134">
        <v>25</v>
      </c>
      <c r="BL134">
        <v>32</v>
      </c>
      <c r="BM134">
        <v>38</v>
      </c>
      <c r="BN134">
        <v>48</v>
      </c>
      <c r="BO134">
        <v>49</v>
      </c>
      <c r="BP134">
        <v>55</v>
      </c>
      <c r="BQ134">
        <v>58</v>
      </c>
      <c r="BR134">
        <v>78</v>
      </c>
      <c r="BS134">
        <v>87</v>
      </c>
      <c r="BT134">
        <v>102</v>
      </c>
      <c r="BU134">
        <v>114</v>
      </c>
      <c r="BV134">
        <v>122</v>
      </c>
      <c r="BW134">
        <v>136</v>
      </c>
      <c r="BX134">
        <v>157</v>
      </c>
      <c r="BY134">
        <v>170</v>
      </c>
      <c r="BZ134">
        <v>181</v>
      </c>
      <c r="CA134">
        <v>191</v>
      </c>
      <c r="CB134">
        <v>198</v>
      </c>
      <c r="CC134">
        <v>209</v>
      </c>
      <c r="CD134">
        <v>221</v>
      </c>
      <c r="CE134">
        <v>240</v>
      </c>
      <c r="CF134">
        <v>280</v>
      </c>
      <c r="CG134">
        <v>306</v>
      </c>
      <c r="CH134">
        <v>327</v>
      </c>
      <c r="CI134">
        <v>373</v>
      </c>
      <c r="CJ134">
        <v>399</v>
      </c>
      <c r="CK134">
        <v>459</v>
      </c>
      <c r="CL134">
        <v>469</v>
      </c>
      <c r="CM134">
        <v>496</v>
      </c>
      <c r="CN134">
        <v>520</v>
      </c>
      <c r="CO134">
        <v>535</v>
      </c>
      <c r="CP134">
        <v>582</v>
      </c>
      <c r="CQ134">
        <v>590</v>
      </c>
      <c r="CR134">
        <v>616</v>
      </c>
      <c r="CS134">
        <v>635</v>
      </c>
      <c r="CT134">
        <v>647</v>
      </c>
      <c r="CU134">
        <v>689</v>
      </c>
      <c r="CV134">
        <v>720</v>
      </c>
      <c r="CW134">
        <v>743</v>
      </c>
      <c r="CX134">
        <v>765</v>
      </c>
      <c r="CY134">
        <v>773</v>
      </c>
      <c r="CZ134">
        <v>784</v>
      </c>
      <c r="DA134">
        <v>792</v>
      </c>
      <c r="DB134">
        <v>800</v>
      </c>
      <c r="DC134">
        <v>831</v>
      </c>
    </row>
    <row r="135" spans="2:107" x14ac:dyDescent="0.25">
      <c r="B135" t="s">
        <v>65</v>
      </c>
      <c r="C135">
        <v>32</v>
      </c>
      <c r="D135">
        <v>53</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2</v>
      </c>
      <c r="AI135">
        <v>2</v>
      </c>
      <c r="AJ135">
        <v>4</v>
      </c>
      <c r="AK135">
        <v>5</v>
      </c>
      <c r="AL135">
        <v>8</v>
      </c>
      <c r="AM135">
        <v>12</v>
      </c>
      <c r="AN135">
        <v>16</v>
      </c>
      <c r="AO135">
        <v>19</v>
      </c>
      <c r="AP135">
        <v>26</v>
      </c>
      <c r="AQ135">
        <v>34</v>
      </c>
      <c r="AR135">
        <v>43</v>
      </c>
      <c r="AS135">
        <v>54</v>
      </c>
      <c r="AT135">
        <v>66</v>
      </c>
      <c r="AU135">
        <v>77</v>
      </c>
      <c r="AV135">
        <v>92</v>
      </c>
      <c r="AW135">
        <v>107</v>
      </c>
      <c r="AX135">
        <v>124</v>
      </c>
      <c r="AY135">
        <v>145</v>
      </c>
      <c r="AZ135">
        <v>194</v>
      </c>
      <c r="BA135">
        <v>237</v>
      </c>
      <c r="BB135">
        <v>291</v>
      </c>
      <c r="BC135">
        <v>354</v>
      </c>
      <c r="BD135">
        <v>429</v>
      </c>
      <c r="BE135">
        <v>514</v>
      </c>
      <c r="BF135">
        <v>611</v>
      </c>
      <c r="BG135">
        <v>724</v>
      </c>
      <c r="BH135">
        <v>853</v>
      </c>
      <c r="BI135">
        <v>988</v>
      </c>
      <c r="BJ135">
        <v>1135</v>
      </c>
      <c r="BK135">
        <v>1284</v>
      </c>
      <c r="BL135">
        <v>1433</v>
      </c>
      <c r="BM135">
        <v>1556</v>
      </c>
      <c r="BN135">
        <v>1685</v>
      </c>
      <c r="BO135">
        <v>1812</v>
      </c>
      <c r="BP135">
        <v>1934</v>
      </c>
      <c r="BQ135">
        <v>2077</v>
      </c>
      <c r="BR135">
        <v>2234</v>
      </c>
      <c r="BS135">
        <v>2378</v>
      </c>
      <c r="BT135">
        <v>2517</v>
      </c>
      <c r="BU135">
        <v>2640</v>
      </c>
      <c r="BV135">
        <v>2757</v>
      </c>
      <c r="BW135">
        <v>2898</v>
      </c>
      <c r="BX135">
        <v>3036</v>
      </c>
      <c r="BY135">
        <v>3160</v>
      </c>
      <c r="BZ135">
        <v>3294</v>
      </c>
      <c r="CA135">
        <v>3452</v>
      </c>
      <c r="CB135">
        <v>3603</v>
      </c>
      <c r="CC135">
        <v>3739</v>
      </c>
      <c r="CD135">
        <v>3872</v>
      </c>
      <c r="CE135">
        <v>3993</v>
      </c>
      <c r="CF135">
        <v>4110</v>
      </c>
      <c r="CG135">
        <v>4232</v>
      </c>
      <c r="CH135">
        <v>4357</v>
      </c>
      <c r="CI135">
        <v>4474</v>
      </c>
      <c r="CJ135">
        <v>4585</v>
      </c>
      <c r="CK135">
        <v>4683</v>
      </c>
      <c r="CL135">
        <v>4777</v>
      </c>
      <c r="CM135">
        <v>4869</v>
      </c>
      <c r="CN135">
        <v>4958</v>
      </c>
      <c r="CO135">
        <v>5031</v>
      </c>
      <c r="CP135">
        <v>5118</v>
      </c>
      <c r="CQ135">
        <v>5209</v>
      </c>
      <c r="CR135">
        <v>5297</v>
      </c>
      <c r="CS135">
        <v>5391</v>
      </c>
      <c r="CT135">
        <v>5481</v>
      </c>
      <c r="CU135">
        <v>5574</v>
      </c>
      <c r="CV135">
        <v>5650</v>
      </c>
      <c r="CW135">
        <v>5710</v>
      </c>
      <c r="CX135">
        <v>5806</v>
      </c>
      <c r="CY135">
        <v>5877</v>
      </c>
      <c r="CZ135">
        <v>5957</v>
      </c>
      <c r="DA135">
        <v>6028</v>
      </c>
      <c r="DB135">
        <v>6091</v>
      </c>
      <c r="DC135">
        <v>6156</v>
      </c>
    </row>
    <row r="136" spans="2:107" x14ac:dyDescent="0.25">
      <c r="B136" t="s">
        <v>68</v>
      </c>
      <c r="C136">
        <v>33</v>
      </c>
      <c r="D136">
        <v>44</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2</v>
      </c>
      <c r="AW136">
        <v>2</v>
      </c>
      <c r="AX136">
        <v>3</v>
      </c>
      <c r="AY136">
        <v>4</v>
      </c>
      <c r="AZ136">
        <v>6</v>
      </c>
      <c r="BA136">
        <v>6</v>
      </c>
      <c r="BB136">
        <v>7</v>
      </c>
      <c r="BC136">
        <v>7</v>
      </c>
      <c r="BD136">
        <v>8</v>
      </c>
      <c r="BE136">
        <v>9</v>
      </c>
      <c r="BF136">
        <v>10</v>
      </c>
      <c r="BG136">
        <v>10</v>
      </c>
      <c r="BH136">
        <v>10</v>
      </c>
      <c r="BI136">
        <v>11</v>
      </c>
      <c r="BJ136">
        <v>12</v>
      </c>
      <c r="BK136">
        <v>13</v>
      </c>
      <c r="BL136">
        <v>17</v>
      </c>
      <c r="BM136">
        <v>17</v>
      </c>
      <c r="BN136">
        <v>20</v>
      </c>
      <c r="BO136">
        <v>23</v>
      </c>
      <c r="BP136">
        <v>27</v>
      </c>
      <c r="BQ136">
        <v>29</v>
      </c>
      <c r="BR136">
        <v>36</v>
      </c>
      <c r="BS136">
        <v>40</v>
      </c>
      <c r="BT136">
        <v>42</v>
      </c>
      <c r="BU136">
        <v>42</v>
      </c>
      <c r="BV136">
        <v>46</v>
      </c>
      <c r="BW136">
        <v>50</v>
      </c>
      <c r="BX136">
        <v>52</v>
      </c>
      <c r="BY136">
        <v>54</v>
      </c>
      <c r="BZ136">
        <v>54</v>
      </c>
      <c r="CA136">
        <v>56</v>
      </c>
      <c r="CB136">
        <v>61</v>
      </c>
      <c r="CC136">
        <v>64</v>
      </c>
      <c r="CD136">
        <v>65</v>
      </c>
      <c r="CE136">
        <v>69</v>
      </c>
      <c r="CF136">
        <v>69</v>
      </c>
      <c r="CG136">
        <v>70</v>
      </c>
      <c r="CH136">
        <v>72</v>
      </c>
      <c r="CI136">
        <v>76</v>
      </c>
      <c r="CJ136">
        <v>78</v>
      </c>
      <c r="CK136">
        <v>78</v>
      </c>
      <c r="CL136">
        <v>79</v>
      </c>
      <c r="CM136">
        <v>80</v>
      </c>
      <c r="CN136">
        <v>81</v>
      </c>
      <c r="CO136">
        <v>82</v>
      </c>
      <c r="CP136">
        <v>82</v>
      </c>
      <c r="CQ136">
        <v>82</v>
      </c>
      <c r="CR136">
        <v>83</v>
      </c>
      <c r="CS136">
        <v>83</v>
      </c>
      <c r="CT136">
        <v>83</v>
      </c>
      <c r="CU136">
        <v>86</v>
      </c>
      <c r="CV136">
        <v>86</v>
      </c>
      <c r="CW136">
        <v>87</v>
      </c>
      <c r="CX136">
        <v>88</v>
      </c>
      <c r="CY136">
        <v>90</v>
      </c>
      <c r="CZ136">
        <v>92</v>
      </c>
      <c r="DA136">
        <v>93</v>
      </c>
      <c r="DB136">
        <v>94</v>
      </c>
      <c r="DC136">
        <v>95</v>
      </c>
    </row>
    <row r="137" spans="2:107" x14ac:dyDescent="0.25">
      <c r="B137" t="s">
        <v>659</v>
      </c>
      <c r="C137">
        <v>53.142400000000002</v>
      </c>
      <c r="D137">
        <v>-7.6920999999999999</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1</v>
      </c>
      <c r="BD137">
        <v>1</v>
      </c>
      <c r="BE137">
        <v>1</v>
      </c>
      <c r="BF137">
        <v>2</v>
      </c>
      <c r="BG137">
        <v>2</v>
      </c>
      <c r="BH137">
        <v>2</v>
      </c>
      <c r="BI137">
        <v>2</v>
      </c>
      <c r="BJ137">
        <v>2</v>
      </c>
      <c r="BK137">
        <v>3</v>
      </c>
      <c r="BL137">
        <v>3</v>
      </c>
      <c r="BM137">
        <v>3</v>
      </c>
      <c r="BN137">
        <v>4</v>
      </c>
      <c r="BO137">
        <v>6</v>
      </c>
      <c r="BP137">
        <v>7</v>
      </c>
      <c r="BQ137">
        <v>9</v>
      </c>
      <c r="BR137">
        <v>19</v>
      </c>
      <c r="BS137">
        <v>22</v>
      </c>
      <c r="BT137">
        <v>36</v>
      </c>
      <c r="BU137">
        <v>46</v>
      </c>
      <c r="BV137">
        <v>54</v>
      </c>
      <c r="BW137">
        <v>71</v>
      </c>
      <c r="BX137">
        <v>85</v>
      </c>
      <c r="BY137">
        <v>98</v>
      </c>
      <c r="BZ137">
        <v>120</v>
      </c>
      <c r="CA137">
        <v>137</v>
      </c>
      <c r="CB137">
        <v>158</v>
      </c>
      <c r="CC137">
        <v>174</v>
      </c>
      <c r="CD137">
        <v>210</v>
      </c>
      <c r="CE137">
        <v>235</v>
      </c>
      <c r="CF137">
        <v>263</v>
      </c>
      <c r="CG137">
        <v>287</v>
      </c>
      <c r="CH137">
        <v>320</v>
      </c>
      <c r="CI137">
        <v>334</v>
      </c>
      <c r="CJ137">
        <v>365</v>
      </c>
      <c r="CK137">
        <v>406</v>
      </c>
      <c r="CL137">
        <v>444</v>
      </c>
      <c r="CM137">
        <v>486</v>
      </c>
      <c r="CN137">
        <v>530</v>
      </c>
      <c r="CO137">
        <v>571</v>
      </c>
      <c r="CP137">
        <v>610</v>
      </c>
      <c r="CQ137">
        <v>687</v>
      </c>
      <c r="CR137">
        <v>730</v>
      </c>
      <c r="CS137">
        <v>769</v>
      </c>
      <c r="CT137">
        <v>794</v>
      </c>
      <c r="CU137">
        <v>1014</v>
      </c>
      <c r="CV137">
        <v>1063</v>
      </c>
      <c r="CW137">
        <v>1087</v>
      </c>
      <c r="CX137">
        <v>1102</v>
      </c>
      <c r="CY137">
        <v>1159</v>
      </c>
      <c r="CZ137">
        <v>1190</v>
      </c>
      <c r="DA137">
        <v>1232</v>
      </c>
      <c r="DB137">
        <v>1265</v>
      </c>
      <c r="DC137">
        <v>1286</v>
      </c>
    </row>
    <row r="138" spans="2:107" x14ac:dyDescent="0.25">
      <c r="B138" t="s">
        <v>77</v>
      </c>
      <c r="C138">
        <v>31</v>
      </c>
      <c r="D138">
        <v>35</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c r="BM138">
        <v>1</v>
      </c>
      <c r="BN138">
        <v>1</v>
      </c>
      <c r="BO138">
        <v>1</v>
      </c>
      <c r="BP138">
        <v>3</v>
      </c>
      <c r="BQ138">
        <v>5</v>
      </c>
      <c r="BR138">
        <v>8</v>
      </c>
      <c r="BS138">
        <v>12</v>
      </c>
      <c r="BT138">
        <v>12</v>
      </c>
      <c r="BU138">
        <v>15</v>
      </c>
      <c r="BV138">
        <v>16</v>
      </c>
      <c r="BW138">
        <v>20</v>
      </c>
      <c r="BX138">
        <v>26</v>
      </c>
      <c r="BY138">
        <v>36</v>
      </c>
      <c r="BZ138">
        <v>40</v>
      </c>
      <c r="CA138">
        <v>44</v>
      </c>
      <c r="CB138">
        <v>49</v>
      </c>
      <c r="CC138">
        <v>57</v>
      </c>
      <c r="CD138">
        <v>65</v>
      </c>
      <c r="CE138">
        <v>73</v>
      </c>
      <c r="CF138">
        <v>86</v>
      </c>
      <c r="CG138">
        <v>95</v>
      </c>
      <c r="CH138">
        <v>101</v>
      </c>
      <c r="CI138">
        <v>103</v>
      </c>
      <c r="CJ138">
        <v>116</v>
      </c>
      <c r="CK138">
        <v>123</v>
      </c>
      <c r="CL138">
        <v>130</v>
      </c>
      <c r="CM138">
        <v>142</v>
      </c>
      <c r="CN138">
        <v>151</v>
      </c>
      <c r="CO138">
        <v>164</v>
      </c>
      <c r="CP138">
        <v>172</v>
      </c>
      <c r="CQ138">
        <v>177</v>
      </c>
      <c r="CR138">
        <v>184</v>
      </c>
      <c r="CS138">
        <v>189</v>
      </c>
      <c r="CT138">
        <v>192</v>
      </c>
      <c r="CU138">
        <v>194</v>
      </c>
      <c r="CV138">
        <v>199</v>
      </c>
      <c r="CW138">
        <v>201</v>
      </c>
      <c r="CX138">
        <v>204</v>
      </c>
      <c r="CY138">
        <v>210</v>
      </c>
      <c r="CZ138">
        <v>215</v>
      </c>
      <c r="DA138">
        <v>222</v>
      </c>
      <c r="DB138">
        <v>225</v>
      </c>
      <c r="DC138">
        <v>229</v>
      </c>
    </row>
    <row r="139" spans="2:107" x14ac:dyDescent="0.25">
      <c r="B139" t="s">
        <v>58</v>
      </c>
      <c r="C139">
        <v>43</v>
      </c>
      <c r="D139">
        <v>12</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1</v>
      </c>
      <c r="AK139">
        <v>2</v>
      </c>
      <c r="AL139">
        <v>3</v>
      </c>
      <c r="AM139">
        <v>7</v>
      </c>
      <c r="AN139">
        <v>10</v>
      </c>
      <c r="AO139">
        <v>12</v>
      </c>
      <c r="AP139">
        <v>17</v>
      </c>
      <c r="AQ139">
        <v>21</v>
      </c>
      <c r="AR139">
        <v>29</v>
      </c>
      <c r="AS139">
        <v>34</v>
      </c>
      <c r="AT139">
        <v>52</v>
      </c>
      <c r="AU139">
        <v>79</v>
      </c>
      <c r="AV139">
        <v>107</v>
      </c>
      <c r="AW139">
        <v>148</v>
      </c>
      <c r="AX139">
        <v>197</v>
      </c>
      <c r="AY139">
        <v>233</v>
      </c>
      <c r="AZ139">
        <v>366</v>
      </c>
      <c r="BA139">
        <v>463</v>
      </c>
      <c r="BB139">
        <v>631</v>
      </c>
      <c r="BC139">
        <v>827</v>
      </c>
      <c r="BD139">
        <v>827</v>
      </c>
      <c r="BE139">
        <v>1266</v>
      </c>
      <c r="BF139">
        <v>1441</v>
      </c>
      <c r="BG139">
        <v>1809</v>
      </c>
      <c r="BH139">
        <v>2158</v>
      </c>
      <c r="BI139">
        <v>2503</v>
      </c>
      <c r="BJ139">
        <v>2978</v>
      </c>
      <c r="BK139">
        <v>3405</v>
      </c>
      <c r="BL139">
        <v>4032</v>
      </c>
      <c r="BM139">
        <v>4825</v>
      </c>
      <c r="BN139">
        <v>5476</v>
      </c>
      <c r="BO139">
        <v>6077</v>
      </c>
      <c r="BP139">
        <v>6820</v>
      </c>
      <c r="BQ139">
        <v>7503</v>
      </c>
      <c r="BR139">
        <v>8215</v>
      </c>
      <c r="BS139">
        <v>9134</v>
      </c>
      <c r="BT139">
        <v>10023</v>
      </c>
      <c r="BU139">
        <v>10779</v>
      </c>
      <c r="BV139">
        <v>11591</v>
      </c>
      <c r="BW139">
        <v>12428</v>
      </c>
      <c r="BX139">
        <v>13155</v>
      </c>
      <c r="BY139">
        <v>13915</v>
      </c>
      <c r="BZ139">
        <v>14681</v>
      </c>
      <c r="CA139">
        <v>15362</v>
      </c>
      <c r="CB139">
        <v>15887</v>
      </c>
      <c r="CC139">
        <v>16523</v>
      </c>
      <c r="CD139">
        <v>17127</v>
      </c>
      <c r="CE139">
        <v>17669</v>
      </c>
      <c r="CF139">
        <v>18279</v>
      </c>
      <c r="CG139">
        <v>18849</v>
      </c>
      <c r="CH139">
        <v>19468</v>
      </c>
      <c r="CI139">
        <v>19899</v>
      </c>
      <c r="CJ139">
        <v>20465</v>
      </c>
      <c r="CK139">
        <v>21067</v>
      </c>
      <c r="CL139">
        <v>21645</v>
      </c>
      <c r="CM139">
        <v>22170</v>
      </c>
      <c r="CN139">
        <v>22745</v>
      </c>
      <c r="CO139">
        <v>23227</v>
      </c>
      <c r="CP139">
        <v>23660</v>
      </c>
      <c r="CQ139">
        <v>24114</v>
      </c>
      <c r="CR139">
        <v>24648</v>
      </c>
      <c r="CS139">
        <v>25085</v>
      </c>
      <c r="CT139">
        <v>25549</v>
      </c>
      <c r="CU139">
        <v>25969</v>
      </c>
      <c r="CV139">
        <v>26384</v>
      </c>
      <c r="CW139">
        <v>26644</v>
      </c>
      <c r="CX139">
        <v>26977</v>
      </c>
      <c r="CY139">
        <v>27359</v>
      </c>
      <c r="CZ139">
        <v>27682</v>
      </c>
      <c r="DA139">
        <v>27967</v>
      </c>
      <c r="DB139">
        <v>28236</v>
      </c>
      <c r="DC139">
        <v>28710</v>
      </c>
    </row>
    <row r="140" spans="2:107" x14ac:dyDescent="0.25">
      <c r="B140" t="s">
        <v>184</v>
      </c>
      <c r="C140">
        <v>18.1096</v>
      </c>
      <c r="D140">
        <v>-77.297499999999999</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1</v>
      </c>
      <c r="BL140">
        <v>1</v>
      </c>
      <c r="BM140">
        <v>1</v>
      </c>
      <c r="BN140">
        <v>1</v>
      </c>
      <c r="BO140">
        <v>1</v>
      </c>
      <c r="BP140">
        <v>1</v>
      </c>
      <c r="BQ140">
        <v>1</v>
      </c>
      <c r="BR140">
        <v>1</v>
      </c>
      <c r="BS140">
        <v>1</v>
      </c>
      <c r="BT140">
        <v>1</v>
      </c>
      <c r="BU140">
        <v>1</v>
      </c>
      <c r="BV140">
        <v>1</v>
      </c>
      <c r="BW140">
        <v>1</v>
      </c>
      <c r="BX140">
        <v>3</v>
      </c>
      <c r="BY140">
        <v>3</v>
      </c>
      <c r="BZ140">
        <v>3</v>
      </c>
      <c r="CA140">
        <v>3</v>
      </c>
      <c r="CB140">
        <v>3</v>
      </c>
      <c r="CC140">
        <v>3</v>
      </c>
      <c r="CD140">
        <v>3</v>
      </c>
      <c r="CE140">
        <v>4</v>
      </c>
      <c r="CF140">
        <v>4</v>
      </c>
      <c r="CG140">
        <v>4</v>
      </c>
      <c r="CH140">
        <v>4</v>
      </c>
      <c r="CI140">
        <v>4</v>
      </c>
      <c r="CJ140">
        <v>4</v>
      </c>
      <c r="CK140">
        <v>4</v>
      </c>
      <c r="CL140">
        <v>5</v>
      </c>
      <c r="CM140">
        <v>5</v>
      </c>
      <c r="CN140">
        <v>5</v>
      </c>
      <c r="CO140">
        <v>5</v>
      </c>
      <c r="CP140">
        <v>5</v>
      </c>
      <c r="CQ140">
        <v>5</v>
      </c>
      <c r="CR140">
        <v>6</v>
      </c>
      <c r="CS140">
        <v>6</v>
      </c>
      <c r="CT140">
        <v>6</v>
      </c>
      <c r="CU140">
        <v>7</v>
      </c>
      <c r="CV140">
        <v>7</v>
      </c>
      <c r="CW140">
        <v>7</v>
      </c>
      <c r="CX140">
        <v>7</v>
      </c>
      <c r="CY140">
        <v>7</v>
      </c>
      <c r="CZ140">
        <v>7</v>
      </c>
      <c r="DA140">
        <v>8</v>
      </c>
      <c r="DB140">
        <v>8</v>
      </c>
      <c r="DC140">
        <v>8</v>
      </c>
    </row>
    <row r="141" spans="2:107" x14ac:dyDescent="0.25">
      <c r="B141" t="s">
        <v>36</v>
      </c>
      <c r="C141">
        <v>36</v>
      </c>
      <c r="D141">
        <v>138</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1</v>
      </c>
      <c r="AC141">
        <v>1</v>
      </c>
      <c r="AD141">
        <v>1</v>
      </c>
      <c r="AE141">
        <v>1</v>
      </c>
      <c r="AF141">
        <v>1</v>
      </c>
      <c r="AG141">
        <v>1</v>
      </c>
      <c r="AH141">
        <v>1</v>
      </c>
      <c r="AI141">
        <v>1</v>
      </c>
      <c r="AJ141">
        <v>1</v>
      </c>
      <c r="AK141">
        <v>1</v>
      </c>
      <c r="AL141">
        <v>1</v>
      </c>
      <c r="AM141">
        <v>1</v>
      </c>
      <c r="AN141">
        <v>1</v>
      </c>
      <c r="AO141">
        <v>2</v>
      </c>
      <c r="AP141">
        <v>4</v>
      </c>
      <c r="AQ141">
        <v>4</v>
      </c>
      <c r="AR141">
        <v>5</v>
      </c>
      <c r="AS141">
        <v>6</v>
      </c>
      <c r="AT141">
        <v>6</v>
      </c>
      <c r="AU141">
        <v>6</v>
      </c>
      <c r="AV141">
        <v>6</v>
      </c>
      <c r="AW141">
        <v>6</v>
      </c>
      <c r="AX141">
        <v>6</v>
      </c>
      <c r="AY141">
        <v>6</v>
      </c>
      <c r="AZ141">
        <v>6</v>
      </c>
      <c r="BA141">
        <v>10</v>
      </c>
      <c r="BB141">
        <v>10</v>
      </c>
      <c r="BC141">
        <v>15</v>
      </c>
      <c r="BD141">
        <v>16</v>
      </c>
      <c r="BE141">
        <v>19</v>
      </c>
      <c r="BF141">
        <v>22</v>
      </c>
      <c r="BG141">
        <v>22</v>
      </c>
      <c r="BH141">
        <v>27</v>
      </c>
      <c r="BI141">
        <v>29</v>
      </c>
      <c r="BJ141">
        <v>29</v>
      </c>
      <c r="BK141">
        <v>29</v>
      </c>
      <c r="BL141">
        <v>33</v>
      </c>
      <c r="BM141">
        <v>35</v>
      </c>
      <c r="BN141">
        <v>41</v>
      </c>
      <c r="BO141">
        <v>42</v>
      </c>
      <c r="BP141">
        <v>43</v>
      </c>
      <c r="BQ141">
        <v>45</v>
      </c>
      <c r="BR141">
        <v>47</v>
      </c>
      <c r="BS141">
        <v>49</v>
      </c>
      <c r="BT141">
        <v>52</v>
      </c>
      <c r="BU141">
        <v>54</v>
      </c>
      <c r="BV141">
        <v>54</v>
      </c>
      <c r="BW141">
        <v>56</v>
      </c>
      <c r="BX141">
        <v>57</v>
      </c>
      <c r="BY141">
        <v>62</v>
      </c>
      <c r="BZ141">
        <v>63</v>
      </c>
      <c r="CA141">
        <v>77</v>
      </c>
      <c r="CB141">
        <v>77</v>
      </c>
      <c r="CC141">
        <v>85</v>
      </c>
      <c r="CD141">
        <v>92</v>
      </c>
      <c r="CE141">
        <v>93</v>
      </c>
      <c r="CF141">
        <v>94</v>
      </c>
      <c r="CG141">
        <v>99</v>
      </c>
      <c r="CH141">
        <v>99</v>
      </c>
      <c r="CI141">
        <v>108</v>
      </c>
      <c r="CJ141">
        <v>123</v>
      </c>
      <c r="CK141">
        <v>143</v>
      </c>
      <c r="CL141">
        <v>146</v>
      </c>
      <c r="CM141">
        <v>178</v>
      </c>
      <c r="CN141">
        <v>190</v>
      </c>
      <c r="CO141">
        <v>222</v>
      </c>
      <c r="CP141">
        <v>236</v>
      </c>
      <c r="CQ141">
        <v>236</v>
      </c>
      <c r="CR141">
        <v>263</v>
      </c>
      <c r="CS141">
        <v>281</v>
      </c>
      <c r="CT141">
        <v>328</v>
      </c>
      <c r="CU141">
        <v>345</v>
      </c>
      <c r="CV141">
        <v>360</v>
      </c>
      <c r="CW141">
        <v>372</v>
      </c>
      <c r="CX141">
        <v>385</v>
      </c>
      <c r="CY141">
        <v>394</v>
      </c>
      <c r="CZ141">
        <v>413</v>
      </c>
      <c r="DA141">
        <v>430</v>
      </c>
      <c r="DB141">
        <v>455</v>
      </c>
      <c r="DC141">
        <v>474</v>
      </c>
    </row>
    <row r="142" spans="2:107" x14ac:dyDescent="0.25">
      <c r="B142" t="s">
        <v>113</v>
      </c>
      <c r="C142">
        <v>31.24</v>
      </c>
      <c r="D142">
        <v>36.51</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c r="BL142">
        <v>0</v>
      </c>
      <c r="BM142">
        <v>0</v>
      </c>
      <c r="BN142">
        <v>0</v>
      </c>
      <c r="BO142">
        <v>0</v>
      </c>
      <c r="BP142">
        <v>0</v>
      </c>
      <c r="BQ142">
        <v>0</v>
      </c>
      <c r="BR142">
        <v>0</v>
      </c>
      <c r="BS142">
        <v>1</v>
      </c>
      <c r="BT142">
        <v>1</v>
      </c>
      <c r="BU142">
        <v>3</v>
      </c>
      <c r="BV142">
        <v>5</v>
      </c>
      <c r="BW142">
        <v>5</v>
      </c>
      <c r="BX142">
        <v>5</v>
      </c>
      <c r="BY142">
        <v>5</v>
      </c>
      <c r="BZ142">
        <v>5</v>
      </c>
      <c r="CA142">
        <v>5</v>
      </c>
      <c r="CB142">
        <v>5</v>
      </c>
      <c r="CC142">
        <v>6</v>
      </c>
      <c r="CD142">
        <v>6</v>
      </c>
      <c r="CE142">
        <v>6</v>
      </c>
      <c r="CF142">
        <v>7</v>
      </c>
      <c r="CG142">
        <v>7</v>
      </c>
      <c r="CH142">
        <v>7</v>
      </c>
      <c r="CI142">
        <v>7</v>
      </c>
      <c r="CJ142">
        <v>7</v>
      </c>
      <c r="CK142">
        <v>7</v>
      </c>
      <c r="CL142">
        <v>7</v>
      </c>
      <c r="CM142">
        <v>7</v>
      </c>
      <c r="CN142">
        <v>7</v>
      </c>
      <c r="CO142">
        <v>7</v>
      </c>
      <c r="CP142">
        <v>7</v>
      </c>
      <c r="CQ142">
        <v>7</v>
      </c>
      <c r="CR142">
        <v>7</v>
      </c>
      <c r="CS142">
        <v>7</v>
      </c>
      <c r="CT142">
        <v>7</v>
      </c>
      <c r="CU142">
        <v>7</v>
      </c>
      <c r="CV142">
        <v>7</v>
      </c>
      <c r="CW142">
        <v>7</v>
      </c>
      <c r="CX142">
        <v>7</v>
      </c>
      <c r="CY142">
        <v>8</v>
      </c>
      <c r="CZ142">
        <v>8</v>
      </c>
      <c r="DA142">
        <v>8</v>
      </c>
      <c r="DB142">
        <v>8</v>
      </c>
      <c r="DC142">
        <v>9</v>
      </c>
    </row>
    <row r="143" spans="2:107" x14ac:dyDescent="0.25">
      <c r="B143" t="s">
        <v>197</v>
      </c>
      <c r="C143">
        <v>48.019599999999997</v>
      </c>
      <c r="D143">
        <v>66.923699999999997</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c r="BL143">
        <v>3</v>
      </c>
      <c r="BM143">
        <v>0</v>
      </c>
      <c r="BN143">
        <v>0</v>
      </c>
      <c r="BO143">
        <v>0</v>
      </c>
      <c r="BP143">
        <v>0</v>
      </c>
      <c r="BQ143">
        <v>0</v>
      </c>
      <c r="BR143">
        <v>1</v>
      </c>
      <c r="BS143">
        <v>1</v>
      </c>
      <c r="BT143">
        <v>1</v>
      </c>
      <c r="BU143">
        <v>1</v>
      </c>
      <c r="BV143">
        <v>1</v>
      </c>
      <c r="BW143">
        <v>2</v>
      </c>
      <c r="BX143">
        <v>3</v>
      </c>
      <c r="BY143">
        <v>3</v>
      </c>
      <c r="BZ143">
        <v>6</v>
      </c>
      <c r="CA143">
        <v>5</v>
      </c>
      <c r="CB143">
        <v>6</v>
      </c>
      <c r="CC143">
        <v>6</v>
      </c>
      <c r="CD143">
        <v>6</v>
      </c>
      <c r="CE143">
        <v>7</v>
      </c>
      <c r="CF143">
        <v>8</v>
      </c>
      <c r="CG143">
        <v>10</v>
      </c>
      <c r="CH143">
        <v>10</v>
      </c>
      <c r="CI143">
        <v>10</v>
      </c>
      <c r="CJ143">
        <v>12</v>
      </c>
      <c r="CK143">
        <v>14</v>
      </c>
      <c r="CL143">
        <v>16</v>
      </c>
      <c r="CM143">
        <v>17</v>
      </c>
      <c r="CN143">
        <v>17</v>
      </c>
      <c r="CO143">
        <v>17</v>
      </c>
      <c r="CP143">
        <v>17</v>
      </c>
      <c r="CQ143">
        <v>19</v>
      </c>
      <c r="CR143">
        <v>19</v>
      </c>
      <c r="CS143">
        <v>19</v>
      </c>
      <c r="CT143">
        <v>20</v>
      </c>
      <c r="CU143">
        <v>25</v>
      </c>
      <c r="CV143">
        <v>25</v>
      </c>
      <c r="CW143">
        <v>25</v>
      </c>
      <c r="CX143">
        <v>25</v>
      </c>
      <c r="CY143">
        <v>25</v>
      </c>
      <c r="CZ143">
        <v>25</v>
      </c>
      <c r="DA143">
        <v>25</v>
      </c>
      <c r="DB143">
        <v>25</v>
      </c>
      <c r="DC143">
        <v>25</v>
      </c>
    </row>
    <row r="144" spans="2:107" x14ac:dyDescent="0.25">
      <c r="B144" t="s">
        <v>206</v>
      </c>
      <c r="C144">
        <v>-2.3599999999999999E-2</v>
      </c>
      <c r="D144">
        <v>37.906199999999998</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0</v>
      </c>
      <c r="BM144">
        <v>0</v>
      </c>
      <c r="BN144">
        <v>0</v>
      </c>
      <c r="BO144">
        <v>0</v>
      </c>
      <c r="BP144">
        <v>0</v>
      </c>
      <c r="BQ144">
        <v>0</v>
      </c>
      <c r="BR144">
        <v>1</v>
      </c>
      <c r="BS144">
        <v>1</v>
      </c>
      <c r="BT144">
        <v>1</v>
      </c>
      <c r="BU144">
        <v>1</v>
      </c>
      <c r="BV144">
        <v>1</v>
      </c>
      <c r="BW144">
        <v>1</v>
      </c>
      <c r="BX144">
        <v>1</v>
      </c>
      <c r="BY144">
        <v>3</v>
      </c>
      <c r="BZ144">
        <v>4</v>
      </c>
      <c r="CA144">
        <v>4</v>
      </c>
      <c r="CB144">
        <v>4</v>
      </c>
      <c r="CC144">
        <v>6</v>
      </c>
      <c r="CD144">
        <v>6</v>
      </c>
      <c r="CE144">
        <v>6</v>
      </c>
      <c r="CF144">
        <v>7</v>
      </c>
      <c r="CG144">
        <v>7</v>
      </c>
      <c r="CH144">
        <v>7</v>
      </c>
      <c r="CI144">
        <v>8</v>
      </c>
      <c r="CJ144">
        <v>9</v>
      </c>
      <c r="CK144">
        <v>9</v>
      </c>
      <c r="CL144">
        <v>10</v>
      </c>
      <c r="CM144">
        <v>11</v>
      </c>
      <c r="CN144">
        <v>11</v>
      </c>
      <c r="CO144">
        <v>12</v>
      </c>
      <c r="CP144">
        <v>14</v>
      </c>
      <c r="CQ144">
        <v>14</v>
      </c>
      <c r="CR144">
        <v>14</v>
      </c>
      <c r="CS144">
        <v>14</v>
      </c>
      <c r="CT144">
        <v>14</v>
      </c>
      <c r="CU144">
        <v>14</v>
      </c>
      <c r="CV144">
        <v>14</v>
      </c>
      <c r="CW144">
        <v>14</v>
      </c>
      <c r="CX144">
        <v>14</v>
      </c>
      <c r="CY144">
        <v>14</v>
      </c>
      <c r="CZ144">
        <v>15</v>
      </c>
      <c r="DA144">
        <v>17</v>
      </c>
      <c r="DB144">
        <v>21</v>
      </c>
      <c r="DC144">
        <v>22</v>
      </c>
    </row>
    <row r="145" spans="2:107" x14ac:dyDescent="0.25">
      <c r="B145" t="s">
        <v>193</v>
      </c>
      <c r="C145">
        <v>36</v>
      </c>
      <c r="D145">
        <v>128</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1</v>
      </c>
      <c r="AJ145">
        <v>2</v>
      </c>
      <c r="AK145">
        <v>2</v>
      </c>
      <c r="AL145">
        <v>6</v>
      </c>
      <c r="AM145">
        <v>8</v>
      </c>
      <c r="AN145">
        <v>10</v>
      </c>
      <c r="AO145">
        <v>12</v>
      </c>
      <c r="AP145">
        <v>13</v>
      </c>
      <c r="AQ145">
        <v>13</v>
      </c>
      <c r="AR145">
        <v>16</v>
      </c>
      <c r="AS145">
        <v>17</v>
      </c>
      <c r="AT145">
        <v>28</v>
      </c>
      <c r="AU145">
        <v>28</v>
      </c>
      <c r="AV145">
        <v>35</v>
      </c>
      <c r="AW145">
        <v>35</v>
      </c>
      <c r="AX145">
        <v>42</v>
      </c>
      <c r="AY145">
        <v>44</v>
      </c>
      <c r="AZ145">
        <v>50</v>
      </c>
      <c r="BA145">
        <v>53</v>
      </c>
      <c r="BB145">
        <v>54</v>
      </c>
      <c r="BC145">
        <v>60</v>
      </c>
      <c r="BD145">
        <v>66</v>
      </c>
      <c r="BE145">
        <v>66</v>
      </c>
      <c r="BF145">
        <v>72</v>
      </c>
      <c r="BG145">
        <v>75</v>
      </c>
      <c r="BH145">
        <v>75</v>
      </c>
      <c r="BI145">
        <v>81</v>
      </c>
      <c r="BJ145">
        <v>84</v>
      </c>
      <c r="BK145">
        <v>91</v>
      </c>
      <c r="BL145">
        <v>94</v>
      </c>
      <c r="BM145">
        <v>102</v>
      </c>
      <c r="BN145">
        <v>111</v>
      </c>
      <c r="BO145">
        <v>111</v>
      </c>
      <c r="BP145">
        <v>120</v>
      </c>
      <c r="BQ145">
        <v>126</v>
      </c>
      <c r="BR145">
        <v>131</v>
      </c>
      <c r="BS145">
        <v>139</v>
      </c>
      <c r="BT145">
        <v>144</v>
      </c>
      <c r="BU145">
        <v>152</v>
      </c>
      <c r="BV145">
        <v>158</v>
      </c>
      <c r="BW145">
        <v>162</v>
      </c>
      <c r="BX145">
        <v>165</v>
      </c>
      <c r="BY145">
        <v>169</v>
      </c>
      <c r="BZ145">
        <v>174</v>
      </c>
      <c r="CA145">
        <v>177</v>
      </c>
      <c r="CB145">
        <v>183</v>
      </c>
      <c r="CC145">
        <v>186</v>
      </c>
      <c r="CD145">
        <v>192</v>
      </c>
      <c r="CE145">
        <v>200</v>
      </c>
      <c r="CF145">
        <v>204</v>
      </c>
      <c r="CG145">
        <v>208</v>
      </c>
      <c r="CH145">
        <v>211</v>
      </c>
      <c r="CI145">
        <v>214</v>
      </c>
      <c r="CJ145">
        <v>217</v>
      </c>
      <c r="CK145">
        <v>222</v>
      </c>
      <c r="CL145">
        <v>225</v>
      </c>
      <c r="CM145">
        <v>229</v>
      </c>
      <c r="CN145">
        <v>230</v>
      </c>
      <c r="CO145">
        <v>232</v>
      </c>
      <c r="CP145">
        <v>234</v>
      </c>
      <c r="CQ145">
        <v>236</v>
      </c>
      <c r="CR145">
        <v>237</v>
      </c>
      <c r="CS145">
        <v>238</v>
      </c>
      <c r="CT145">
        <v>240</v>
      </c>
      <c r="CU145">
        <v>240</v>
      </c>
      <c r="CV145">
        <v>242</v>
      </c>
      <c r="CW145">
        <v>243</v>
      </c>
      <c r="CX145">
        <v>244</v>
      </c>
      <c r="CY145">
        <v>246</v>
      </c>
      <c r="CZ145">
        <v>247</v>
      </c>
      <c r="DA145">
        <v>248</v>
      </c>
      <c r="DB145">
        <v>250</v>
      </c>
      <c r="DC145">
        <v>250</v>
      </c>
    </row>
    <row r="146" spans="2:107" x14ac:dyDescent="0.25">
      <c r="B146" t="s">
        <v>72</v>
      </c>
      <c r="C146">
        <v>29.5</v>
      </c>
      <c r="D146">
        <v>47.75</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0</v>
      </c>
      <c r="BM146">
        <v>0</v>
      </c>
      <c r="BN146">
        <v>0</v>
      </c>
      <c r="BO146">
        <v>0</v>
      </c>
      <c r="BP146">
        <v>0</v>
      </c>
      <c r="BQ146">
        <v>0</v>
      </c>
      <c r="BR146">
        <v>0</v>
      </c>
      <c r="BS146">
        <v>0</v>
      </c>
      <c r="BT146">
        <v>0</v>
      </c>
      <c r="BU146">
        <v>0</v>
      </c>
      <c r="BV146">
        <v>0</v>
      </c>
      <c r="BW146">
        <v>0</v>
      </c>
      <c r="BX146">
        <v>0</v>
      </c>
      <c r="BY146">
        <v>0</v>
      </c>
      <c r="BZ146">
        <v>0</v>
      </c>
      <c r="CA146">
        <v>1</v>
      </c>
      <c r="CB146">
        <v>1</v>
      </c>
      <c r="CC146">
        <v>1</v>
      </c>
      <c r="CD146">
        <v>1</v>
      </c>
      <c r="CE146">
        <v>1</v>
      </c>
      <c r="CF146">
        <v>1</v>
      </c>
      <c r="CG146">
        <v>1</v>
      </c>
      <c r="CH146">
        <v>1</v>
      </c>
      <c r="CI146">
        <v>1</v>
      </c>
      <c r="CJ146">
        <v>2</v>
      </c>
      <c r="CK146">
        <v>3</v>
      </c>
      <c r="CL146">
        <v>3</v>
      </c>
      <c r="CM146">
        <v>3</v>
      </c>
      <c r="CN146">
        <v>5</v>
      </c>
      <c r="CO146">
        <v>6</v>
      </c>
      <c r="CP146">
        <v>7</v>
      </c>
      <c r="CQ146">
        <v>9</v>
      </c>
      <c r="CR146">
        <v>11</v>
      </c>
      <c r="CS146">
        <v>13</v>
      </c>
      <c r="CT146">
        <v>14</v>
      </c>
      <c r="CU146">
        <v>15</v>
      </c>
      <c r="CV146">
        <v>19</v>
      </c>
      <c r="CW146">
        <v>20</v>
      </c>
      <c r="CX146">
        <v>22</v>
      </c>
      <c r="CY146">
        <v>23</v>
      </c>
      <c r="CZ146">
        <v>24</v>
      </c>
      <c r="DA146">
        <v>26</v>
      </c>
      <c r="DB146">
        <v>30</v>
      </c>
      <c r="DC146">
        <v>33</v>
      </c>
    </row>
    <row r="147" spans="2:107" x14ac:dyDescent="0.25">
      <c r="B147" t="s">
        <v>668</v>
      </c>
      <c r="C147">
        <v>41.2044</v>
      </c>
      <c r="D147">
        <v>74.766099999999994</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c r="BM147">
        <v>0</v>
      </c>
      <c r="BN147">
        <v>0</v>
      </c>
      <c r="BO147">
        <v>0</v>
      </c>
      <c r="BP147">
        <v>0</v>
      </c>
      <c r="BQ147">
        <v>0</v>
      </c>
      <c r="BR147">
        <v>0</v>
      </c>
      <c r="BS147">
        <v>0</v>
      </c>
      <c r="BT147">
        <v>0</v>
      </c>
      <c r="BU147">
        <v>0</v>
      </c>
      <c r="BV147">
        <v>0</v>
      </c>
      <c r="BW147">
        <v>0</v>
      </c>
      <c r="BX147">
        <v>0</v>
      </c>
      <c r="BY147">
        <v>0</v>
      </c>
      <c r="BZ147">
        <v>1</v>
      </c>
      <c r="CA147">
        <v>1</v>
      </c>
      <c r="CB147">
        <v>1</v>
      </c>
      <c r="CC147">
        <v>4</v>
      </c>
      <c r="CD147">
        <v>4</v>
      </c>
      <c r="CE147">
        <v>4</v>
      </c>
      <c r="CF147">
        <v>4</v>
      </c>
      <c r="CG147">
        <v>5</v>
      </c>
      <c r="CH147">
        <v>5</v>
      </c>
      <c r="CI147">
        <v>5</v>
      </c>
      <c r="CJ147">
        <v>5</v>
      </c>
      <c r="CK147">
        <v>5</v>
      </c>
      <c r="CL147">
        <v>5</v>
      </c>
      <c r="CM147">
        <v>5</v>
      </c>
      <c r="CN147">
        <v>5</v>
      </c>
      <c r="CO147">
        <v>5</v>
      </c>
      <c r="CP147">
        <v>5</v>
      </c>
      <c r="CQ147">
        <v>7</v>
      </c>
      <c r="CR147">
        <v>7</v>
      </c>
      <c r="CS147">
        <v>7</v>
      </c>
      <c r="CT147">
        <v>8</v>
      </c>
      <c r="CU147">
        <v>8</v>
      </c>
      <c r="CV147">
        <v>8</v>
      </c>
      <c r="CW147">
        <v>8</v>
      </c>
      <c r="CX147">
        <v>8</v>
      </c>
      <c r="CY147">
        <v>8</v>
      </c>
      <c r="CZ147">
        <v>8</v>
      </c>
      <c r="DA147">
        <v>8</v>
      </c>
      <c r="DB147">
        <v>8</v>
      </c>
      <c r="DC147">
        <v>8</v>
      </c>
    </row>
    <row r="148" spans="2:107" x14ac:dyDescent="0.25">
      <c r="B148" t="s">
        <v>107</v>
      </c>
      <c r="C148">
        <v>56.879600000000003</v>
      </c>
      <c r="D148">
        <v>24.603200000000001</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c r="BL148">
        <v>0</v>
      </c>
      <c r="BM148">
        <v>0</v>
      </c>
      <c r="BN148">
        <v>0</v>
      </c>
      <c r="BO148">
        <v>0</v>
      </c>
      <c r="BP148">
        <v>0</v>
      </c>
      <c r="BQ148">
        <v>0</v>
      </c>
      <c r="BR148">
        <v>0</v>
      </c>
      <c r="BS148">
        <v>0</v>
      </c>
      <c r="BT148">
        <v>0</v>
      </c>
      <c r="BU148">
        <v>0</v>
      </c>
      <c r="BV148">
        <v>0</v>
      </c>
      <c r="BW148">
        <v>0</v>
      </c>
      <c r="BX148">
        <v>0</v>
      </c>
      <c r="BY148">
        <v>0</v>
      </c>
      <c r="BZ148">
        <v>1</v>
      </c>
      <c r="CA148">
        <v>1</v>
      </c>
      <c r="CB148">
        <v>1</v>
      </c>
      <c r="CC148">
        <v>1</v>
      </c>
      <c r="CD148">
        <v>2</v>
      </c>
      <c r="CE148">
        <v>2</v>
      </c>
      <c r="CF148">
        <v>3</v>
      </c>
      <c r="CG148">
        <v>3</v>
      </c>
      <c r="CH148">
        <v>3</v>
      </c>
      <c r="CI148">
        <v>5</v>
      </c>
      <c r="CJ148">
        <v>5</v>
      </c>
      <c r="CK148">
        <v>5</v>
      </c>
      <c r="CL148">
        <v>5</v>
      </c>
      <c r="CM148">
        <v>5</v>
      </c>
      <c r="CN148">
        <v>5</v>
      </c>
      <c r="CO148">
        <v>5</v>
      </c>
      <c r="CP148">
        <v>5</v>
      </c>
      <c r="CQ148">
        <v>5</v>
      </c>
      <c r="CR148">
        <v>9</v>
      </c>
      <c r="CS148">
        <v>11</v>
      </c>
      <c r="CT148">
        <v>11</v>
      </c>
      <c r="CU148">
        <v>12</v>
      </c>
      <c r="CV148">
        <v>12</v>
      </c>
      <c r="CW148">
        <v>12</v>
      </c>
      <c r="CX148">
        <v>13</v>
      </c>
      <c r="CY148">
        <v>13</v>
      </c>
      <c r="CZ148">
        <v>15</v>
      </c>
      <c r="DA148">
        <v>15</v>
      </c>
      <c r="DB148">
        <v>16</v>
      </c>
      <c r="DC148">
        <v>16</v>
      </c>
    </row>
    <row r="149" spans="2:107" x14ac:dyDescent="0.25">
      <c r="B149" t="s">
        <v>67</v>
      </c>
      <c r="C149">
        <v>33.854700000000001</v>
      </c>
      <c r="D149">
        <v>35.862299999999998</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1</v>
      </c>
      <c r="BC149">
        <v>3</v>
      </c>
      <c r="BD149">
        <v>3</v>
      </c>
      <c r="BE149">
        <v>3</v>
      </c>
      <c r="BF149">
        <v>3</v>
      </c>
      <c r="BG149">
        <v>3</v>
      </c>
      <c r="BH149">
        <v>3</v>
      </c>
      <c r="BI149">
        <v>3</v>
      </c>
      <c r="BJ149">
        <v>3</v>
      </c>
      <c r="BK149">
        <v>4</v>
      </c>
      <c r="BL149">
        <v>4</v>
      </c>
      <c r="BM149">
        <v>4</v>
      </c>
      <c r="BN149">
        <v>4</v>
      </c>
      <c r="BO149">
        <v>4</v>
      </c>
      <c r="BP149">
        <v>4</v>
      </c>
      <c r="BQ149">
        <v>6</v>
      </c>
      <c r="BR149">
        <v>6</v>
      </c>
      <c r="BS149">
        <v>8</v>
      </c>
      <c r="BT149">
        <v>8</v>
      </c>
      <c r="BU149">
        <v>10</v>
      </c>
      <c r="BV149">
        <v>11</v>
      </c>
      <c r="BW149">
        <v>12</v>
      </c>
      <c r="BX149">
        <v>14</v>
      </c>
      <c r="BY149">
        <v>16</v>
      </c>
      <c r="BZ149">
        <v>17</v>
      </c>
      <c r="CA149">
        <v>17</v>
      </c>
      <c r="CB149">
        <v>18</v>
      </c>
      <c r="CC149">
        <v>19</v>
      </c>
      <c r="CD149">
        <v>19</v>
      </c>
      <c r="CE149">
        <v>19</v>
      </c>
      <c r="CF149">
        <v>19</v>
      </c>
      <c r="CG149">
        <v>20</v>
      </c>
      <c r="CH149">
        <v>20</v>
      </c>
      <c r="CI149">
        <v>20</v>
      </c>
      <c r="CJ149">
        <v>20</v>
      </c>
      <c r="CK149">
        <v>21</v>
      </c>
      <c r="CL149">
        <v>21</v>
      </c>
      <c r="CM149">
        <v>21</v>
      </c>
      <c r="CN149">
        <v>21</v>
      </c>
      <c r="CO149">
        <v>21</v>
      </c>
      <c r="CP149">
        <v>21</v>
      </c>
      <c r="CQ149">
        <v>21</v>
      </c>
      <c r="CR149">
        <v>21</v>
      </c>
      <c r="CS149">
        <v>22</v>
      </c>
      <c r="CT149">
        <v>22</v>
      </c>
      <c r="CU149">
        <v>22</v>
      </c>
      <c r="CV149">
        <v>24</v>
      </c>
      <c r="CW149">
        <v>24</v>
      </c>
      <c r="CX149">
        <v>24</v>
      </c>
      <c r="CY149">
        <v>24</v>
      </c>
      <c r="CZ149">
        <v>24</v>
      </c>
      <c r="DA149">
        <v>24</v>
      </c>
      <c r="DB149">
        <v>24</v>
      </c>
      <c r="DC149">
        <v>25</v>
      </c>
    </row>
    <row r="150" spans="2:107" x14ac:dyDescent="0.25">
      <c r="B150" t="s">
        <v>663</v>
      </c>
      <c r="C150">
        <v>6.4280999999999997</v>
      </c>
      <c r="D150">
        <v>-9.4295000000000009</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c r="BM150">
        <v>0</v>
      </c>
      <c r="BN150">
        <v>0</v>
      </c>
      <c r="BO150">
        <v>0</v>
      </c>
      <c r="BP150">
        <v>0</v>
      </c>
      <c r="BQ150">
        <v>0</v>
      </c>
      <c r="BR150">
        <v>0</v>
      </c>
      <c r="BS150">
        <v>0</v>
      </c>
      <c r="BT150">
        <v>0</v>
      </c>
      <c r="BU150">
        <v>0</v>
      </c>
      <c r="BV150">
        <v>0</v>
      </c>
      <c r="BW150">
        <v>0</v>
      </c>
      <c r="BX150">
        <v>0</v>
      </c>
      <c r="BY150">
        <v>0</v>
      </c>
      <c r="BZ150">
        <v>0</v>
      </c>
      <c r="CA150">
        <v>1</v>
      </c>
      <c r="CB150">
        <v>3</v>
      </c>
      <c r="CC150">
        <v>3</v>
      </c>
      <c r="CD150">
        <v>3</v>
      </c>
      <c r="CE150">
        <v>4</v>
      </c>
      <c r="CF150">
        <v>4</v>
      </c>
      <c r="CG150">
        <v>5</v>
      </c>
      <c r="CH150">
        <v>5</v>
      </c>
      <c r="CI150">
        <v>5</v>
      </c>
      <c r="CJ150">
        <v>6</v>
      </c>
      <c r="CK150">
        <v>6</v>
      </c>
      <c r="CL150">
        <v>6</v>
      </c>
      <c r="CM150">
        <v>6</v>
      </c>
      <c r="CN150">
        <v>7</v>
      </c>
      <c r="CO150">
        <v>7</v>
      </c>
      <c r="CP150">
        <v>8</v>
      </c>
      <c r="CQ150">
        <v>8</v>
      </c>
      <c r="CR150">
        <v>8</v>
      </c>
      <c r="CS150">
        <v>8</v>
      </c>
      <c r="CT150">
        <v>8</v>
      </c>
      <c r="CU150">
        <v>8</v>
      </c>
      <c r="CV150">
        <v>11</v>
      </c>
      <c r="CW150">
        <v>12</v>
      </c>
      <c r="CX150">
        <v>12</v>
      </c>
      <c r="CY150">
        <v>16</v>
      </c>
      <c r="CZ150">
        <v>16</v>
      </c>
      <c r="DA150">
        <v>16</v>
      </c>
      <c r="DB150">
        <v>18</v>
      </c>
      <c r="DC150">
        <v>18</v>
      </c>
    </row>
    <row r="151" spans="2:107" x14ac:dyDescent="0.25">
      <c r="B151" t="s">
        <v>119</v>
      </c>
      <c r="C151">
        <v>47.14</v>
      </c>
      <c r="D151">
        <v>9.5500000000000007</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c r="BM151">
        <v>0</v>
      </c>
      <c r="BN151">
        <v>0</v>
      </c>
      <c r="BO151">
        <v>0</v>
      </c>
      <c r="BP151">
        <v>0</v>
      </c>
      <c r="BQ151">
        <v>0</v>
      </c>
      <c r="BR151">
        <v>0</v>
      </c>
      <c r="BS151">
        <v>0</v>
      </c>
      <c r="BT151">
        <v>0</v>
      </c>
      <c r="BU151">
        <v>0</v>
      </c>
      <c r="BV151">
        <v>0</v>
      </c>
      <c r="BW151">
        <v>0</v>
      </c>
      <c r="BX151">
        <v>0</v>
      </c>
      <c r="BY151">
        <v>0</v>
      </c>
      <c r="BZ151">
        <v>0</v>
      </c>
      <c r="CA151">
        <v>1</v>
      </c>
      <c r="CB151">
        <v>1</v>
      </c>
      <c r="CC151">
        <v>1</v>
      </c>
      <c r="CD151">
        <v>1</v>
      </c>
      <c r="CE151">
        <v>1</v>
      </c>
      <c r="CF151">
        <v>1</v>
      </c>
      <c r="CG151">
        <v>1</v>
      </c>
      <c r="CH151">
        <v>1</v>
      </c>
      <c r="CI151">
        <v>1</v>
      </c>
      <c r="CJ151">
        <v>1</v>
      </c>
      <c r="CK151">
        <v>1</v>
      </c>
      <c r="CL151">
        <v>1</v>
      </c>
      <c r="CM151">
        <v>1</v>
      </c>
      <c r="CN151">
        <v>1</v>
      </c>
      <c r="CO151">
        <v>1</v>
      </c>
      <c r="CP151">
        <v>1</v>
      </c>
      <c r="CQ151">
        <v>1</v>
      </c>
      <c r="CR151">
        <v>1</v>
      </c>
      <c r="CS151">
        <v>1</v>
      </c>
      <c r="CT151">
        <v>1</v>
      </c>
      <c r="CU151">
        <v>1</v>
      </c>
      <c r="CV151">
        <v>1</v>
      </c>
      <c r="CW151">
        <v>1</v>
      </c>
      <c r="CX151">
        <v>1</v>
      </c>
      <c r="CY151">
        <v>1</v>
      </c>
      <c r="CZ151">
        <v>1</v>
      </c>
      <c r="DA151">
        <v>1</v>
      </c>
      <c r="DB151">
        <v>1</v>
      </c>
      <c r="DC151">
        <v>1</v>
      </c>
    </row>
    <row r="152" spans="2:107" x14ac:dyDescent="0.25">
      <c r="B152" t="s">
        <v>91</v>
      </c>
      <c r="C152">
        <v>55.169400000000003</v>
      </c>
      <c r="D152">
        <v>23.8813</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c r="BL152">
        <v>0</v>
      </c>
      <c r="BM152">
        <v>1</v>
      </c>
      <c r="BN152">
        <v>1</v>
      </c>
      <c r="BO152">
        <v>1</v>
      </c>
      <c r="BP152">
        <v>2</v>
      </c>
      <c r="BQ152">
        <v>4</v>
      </c>
      <c r="BR152">
        <v>4</v>
      </c>
      <c r="BS152">
        <v>5</v>
      </c>
      <c r="BT152">
        <v>7</v>
      </c>
      <c r="BU152">
        <v>7</v>
      </c>
      <c r="BV152">
        <v>7</v>
      </c>
      <c r="BW152">
        <v>8</v>
      </c>
      <c r="BX152">
        <v>8</v>
      </c>
      <c r="BY152">
        <v>9</v>
      </c>
      <c r="BZ152">
        <v>9</v>
      </c>
      <c r="CA152">
        <v>11</v>
      </c>
      <c r="CB152">
        <v>13</v>
      </c>
      <c r="CC152">
        <v>15</v>
      </c>
      <c r="CD152">
        <v>15</v>
      </c>
      <c r="CE152">
        <v>15</v>
      </c>
      <c r="CF152">
        <v>16</v>
      </c>
      <c r="CG152">
        <v>22</v>
      </c>
      <c r="CH152">
        <v>23</v>
      </c>
      <c r="CI152">
        <v>23</v>
      </c>
      <c r="CJ152">
        <v>24</v>
      </c>
      <c r="CK152">
        <v>29</v>
      </c>
      <c r="CL152">
        <v>30</v>
      </c>
      <c r="CM152">
        <v>32</v>
      </c>
      <c r="CN152">
        <v>33</v>
      </c>
      <c r="CO152">
        <v>33</v>
      </c>
      <c r="CP152">
        <v>35</v>
      </c>
      <c r="CQ152">
        <v>37</v>
      </c>
      <c r="CR152">
        <v>38</v>
      </c>
      <c r="CS152">
        <v>38</v>
      </c>
      <c r="CT152">
        <v>40</v>
      </c>
      <c r="CU152">
        <v>40</v>
      </c>
      <c r="CV152">
        <v>41</v>
      </c>
      <c r="CW152">
        <v>41</v>
      </c>
      <c r="CX152">
        <v>41</v>
      </c>
      <c r="CY152">
        <v>44</v>
      </c>
      <c r="CZ152">
        <v>45</v>
      </c>
      <c r="DA152">
        <v>45</v>
      </c>
      <c r="DB152">
        <v>45</v>
      </c>
      <c r="DC152">
        <v>46</v>
      </c>
    </row>
    <row r="153" spans="2:107" x14ac:dyDescent="0.25">
      <c r="B153" t="s">
        <v>96</v>
      </c>
      <c r="C153">
        <v>49.815300000000001</v>
      </c>
      <c r="D153">
        <v>6.1295999999999999</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1</v>
      </c>
      <c r="BG153">
        <v>1</v>
      </c>
      <c r="BH153">
        <v>1</v>
      </c>
      <c r="BI153">
        <v>1</v>
      </c>
      <c r="BJ153">
        <v>2</v>
      </c>
      <c r="BK153">
        <v>4</v>
      </c>
      <c r="BL153">
        <v>4</v>
      </c>
      <c r="BM153">
        <v>8</v>
      </c>
      <c r="BN153">
        <v>8</v>
      </c>
      <c r="BO153">
        <v>8</v>
      </c>
      <c r="BP153">
        <v>8</v>
      </c>
      <c r="BQ153">
        <v>8</v>
      </c>
      <c r="BR153">
        <v>9</v>
      </c>
      <c r="BS153">
        <v>15</v>
      </c>
      <c r="BT153">
        <v>18</v>
      </c>
      <c r="BU153">
        <v>21</v>
      </c>
      <c r="BV153">
        <v>22</v>
      </c>
      <c r="BW153">
        <v>23</v>
      </c>
      <c r="BX153">
        <v>29</v>
      </c>
      <c r="BY153">
        <v>30</v>
      </c>
      <c r="BZ153">
        <v>31</v>
      </c>
      <c r="CA153">
        <v>31</v>
      </c>
      <c r="CB153">
        <v>36</v>
      </c>
      <c r="CC153">
        <v>41</v>
      </c>
      <c r="CD153">
        <v>44</v>
      </c>
      <c r="CE153">
        <v>46</v>
      </c>
      <c r="CF153">
        <v>52</v>
      </c>
      <c r="CG153">
        <v>54</v>
      </c>
      <c r="CH153">
        <v>62</v>
      </c>
      <c r="CI153">
        <v>66</v>
      </c>
      <c r="CJ153">
        <v>69</v>
      </c>
      <c r="CK153">
        <v>67</v>
      </c>
      <c r="CL153">
        <v>69</v>
      </c>
      <c r="CM153">
        <v>69</v>
      </c>
      <c r="CN153">
        <v>72</v>
      </c>
      <c r="CO153">
        <v>72</v>
      </c>
      <c r="CP153">
        <v>73</v>
      </c>
      <c r="CQ153">
        <v>75</v>
      </c>
      <c r="CR153">
        <v>78</v>
      </c>
      <c r="CS153">
        <v>80</v>
      </c>
      <c r="CT153">
        <v>83</v>
      </c>
      <c r="CU153">
        <v>85</v>
      </c>
      <c r="CV153">
        <v>85</v>
      </c>
      <c r="CW153">
        <v>88</v>
      </c>
      <c r="CX153">
        <v>88</v>
      </c>
      <c r="CY153">
        <v>89</v>
      </c>
      <c r="CZ153">
        <v>89</v>
      </c>
      <c r="DA153">
        <v>90</v>
      </c>
      <c r="DB153">
        <v>92</v>
      </c>
      <c r="DC153">
        <v>92</v>
      </c>
    </row>
    <row r="154" spans="2:107" x14ac:dyDescent="0.25">
      <c r="B154" t="s">
        <v>739</v>
      </c>
      <c r="C154">
        <v>-18.7669</v>
      </c>
      <c r="D154">
        <v>46.869100000000003</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0</v>
      </c>
      <c r="BL154">
        <v>0</v>
      </c>
      <c r="BM154">
        <v>0</v>
      </c>
      <c r="BN154">
        <v>0</v>
      </c>
      <c r="BO154">
        <v>0</v>
      </c>
      <c r="BP154">
        <v>0</v>
      </c>
      <c r="BQ154">
        <v>0</v>
      </c>
      <c r="BR154">
        <v>0</v>
      </c>
      <c r="BS154">
        <v>0</v>
      </c>
      <c r="BT154">
        <v>0</v>
      </c>
      <c r="BU154">
        <v>0</v>
      </c>
      <c r="BV154">
        <v>0</v>
      </c>
      <c r="BW154">
        <v>0</v>
      </c>
      <c r="BX154">
        <v>0</v>
      </c>
      <c r="BY154">
        <v>0</v>
      </c>
      <c r="BZ154">
        <v>0</v>
      </c>
      <c r="CA154">
        <v>0</v>
      </c>
      <c r="CB154">
        <v>0</v>
      </c>
      <c r="CC154">
        <v>0</v>
      </c>
      <c r="CD154">
        <v>0</v>
      </c>
      <c r="CE154">
        <v>0</v>
      </c>
      <c r="CF154">
        <v>0</v>
      </c>
      <c r="CG154">
        <v>0</v>
      </c>
      <c r="CH154">
        <v>0</v>
      </c>
      <c r="CI154">
        <v>0</v>
      </c>
      <c r="CJ154">
        <v>0</v>
      </c>
      <c r="CK154">
        <v>0</v>
      </c>
      <c r="CL154">
        <v>0</v>
      </c>
      <c r="CM154">
        <v>0</v>
      </c>
      <c r="CN154">
        <v>0</v>
      </c>
      <c r="CO154">
        <v>0</v>
      </c>
      <c r="CP154">
        <v>0</v>
      </c>
      <c r="CQ154">
        <v>0</v>
      </c>
      <c r="CR154">
        <v>0</v>
      </c>
      <c r="CS154">
        <v>0</v>
      </c>
      <c r="CT154">
        <v>0</v>
      </c>
      <c r="CU154">
        <v>0</v>
      </c>
      <c r="CV154">
        <v>0</v>
      </c>
      <c r="CW154">
        <v>0</v>
      </c>
      <c r="CX154">
        <v>0</v>
      </c>
      <c r="CY154">
        <v>0</v>
      </c>
      <c r="CZ154">
        <v>0</v>
      </c>
      <c r="DA154">
        <v>0</v>
      </c>
      <c r="DB154">
        <v>0</v>
      </c>
      <c r="DC154">
        <v>0</v>
      </c>
    </row>
    <row r="155" spans="2:107" x14ac:dyDescent="0.25">
      <c r="B155" t="s">
        <v>44</v>
      </c>
      <c r="C155">
        <v>2.5</v>
      </c>
      <c r="D155">
        <v>112.5</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2</v>
      </c>
      <c r="BJ155">
        <v>2</v>
      </c>
      <c r="BK155">
        <v>2</v>
      </c>
      <c r="BL155">
        <v>3</v>
      </c>
      <c r="BM155">
        <v>4</v>
      </c>
      <c r="BN155">
        <v>10</v>
      </c>
      <c r="BO155">
        <v>14</v>
      </c>
      <c r="BP155">
        <v>16</v>
      </c>
      <c r="BQ155">
        <v>20</v>
      </c>
      <c r="BR155">
        <v>23</v>
      </c>
      <c r="BS155">
        <v>26</v>
      </c>
      <c r="BT155">
        <v>27</v>
      </c>
      <c r="BU155">
        <v>35</v>
      </c>
      <c r="BV155">
        <v>37</v>
      </c>
      <c r="BW155">
        <v>43</v>
      </c>
      <c r="BX155">
        <v>45</v>
      </c>
      <c r="BY155">
        <v>50</v>
      </c>
      <c r="BZ155">
        <v>53</v>
      </c>
      <c r="CA155">
        <v>57</v>
      </c>
      <c r="CB155">
        <v>61</v>
      </c>
      <c r="CC155">
        <v>62</v>
      </c>
      <c r="CD155">
        <v>63</v>
      </c>
      <c r="CE155">
        <v>65</v>
      </c>
      <c r="CF155">
        <v>67</v>
      </c>
      <c r="CG155">
        <v>70</v>
      </c>
      <c r="CH155">
        <v>73</v>
      </c>
      <c r="CI155">
        <v>76</v>
      </c>
      <c r="CJ155">
        <v>77</v>
      </c>
      <c r="CK155">
        <v>82</v>
      </c>
      <c r="CL155">
        <v>83</v>
      </c>
      <c r="CM155">
        <v>84</v>
      </c>
      <c r="CN155">
        <v>86</v>
      </c>
      <c r="CO155">
        <v>88</v>
      </c>
      <c r="CP155">
        <v>89</v>
      </c>
      <c r="CQ155">
        <v>89</v>
      </c>
      <c r="CR155">
        <v>92</v>
      </c>
      <c r="CS155">
        <v>93</v>
      </c>
      <c r="CT155">
        <v>95</v>
      </c>
      <c r="CU155">
        <v>96</v>
      </c>
      <c r="CV155">
        <v>98</v>
      </c>
      <c r="CW155">
        <v>98</v>
      </c>
      <c r="CX155">
        <v>99</v>
      </c>
      <c r="CY155">
        <v>100</v>
      </c>
      <c r="CZ155">
        <v>100</v>
      </c>
      <c r="DA155">
        <v>102</v>
      </c>
      <c r="DB155">
        <v>103</v>
      </c>
      <c r="DC155">
        <v>103</v>
      </c>
    </row>
    <row r="156" spans="2:107" x14ac:dyDescent="0.25">
      <c r="B156" t="s">
        <v>137</v>
      </c>
      <c r="C156">
        <v>3.2027999999999999</v>
      </c>
      <c r="D156">
        <v>73.220699999999994</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c r="BM156">
        <v>0</v>
      </c>
      <c r="BN156">
        <v>0</v>
      </c>
      <c r="BO156">
        <v>0</v>
      </c>
      <c r="BP156">
        <v>0</v>
      </c>
      <c r="BQ156">
        <v>0</v>
      </c>
      <c r="BR156">
        <v>0</v>
      </c>
      <c r="BS156">
        <v>0</v>
      </c>
      <c r="BT156">
        <v>0</v>
      </c>
      <c r="BU156">
        <v>0</v>
      </c>
      <c r="BV156">
        <v>0</v>
      </c>
      <c r="BW156">
        <v>0</v>
      </c>
      <c r="BX156">
        <v>0</v>
      </c>
      <c r="BY156">
        <v>0</v>
      </c>
      <c r="BZ156">
        <v>0</v>
      </c>
      <c r="CA156">
        <v>0</v>
      </c>
      <c r="CB156">
        <v>0</v>
      </c>
      <c r="CC156">
        <v>0</v>
      </c>
      <c r="CD156">
        <v>0</v>
      </c>
      <c r="CE156">
        <v>0</v>
      </c>
      <c r="CF156">
        <v>0</v>
      </c>
      <c r="CG156">
        <v>0</v>
      </c>
      <c r="CH156">
        <v>0</v>
      </c>
      <c r="CI156">
        <v>0</v>
      </c>
      <c r="CJ156">
        <v>0</v>
      </c>
      <c r="CK156">
        <v>0</v>
      </c>
      <c r="CL156">
        <v>0</v>
      </c>
      <c r="CM156">
        <v>0</v>
      </c>
      <c r="CN156">
        <v>0</v>
      </c>
      <c r="CO156">
        <v>0</v>
      </c>
      <c r="CP156">
        <v>0</v>
      </c>
      <c r="CQ156">
        <v>0</v>
      </c>
      <c r="CR156">
        <v>0</v>
      </c>
      <c r="CS156">
        <v>0</v>
      </c>
      <c r="CT156">
        <v>0</v>
      </c>
      <c r="CU156">
        <v>0</v>
      </c>
      <c r="CV156">
        <v>0</v>
      </c>
      <c r="CW156">
        <v>0</v>
      </c>
      <c r="CX156">
        <v>0</v>
      </c>
      <c r="CY156">
        <v>0</v>
      </c>
      <c r="CZ156">
        <v>1</v>
      </c>
      <c r="DA156">
        <v>1</v>
      </c>
      <c r="DB156">
        <v>1</v>
      </c>
      <c r="DC156">
        <v>1</v>
      </c>
    </row>
    <row r="157" spans="2:107" x14ac:dyDescent="0.25">
      <c r="B157" t="s">
        <v>134</v>
      </c>
      <c r="C157">
        <v>35.9375</v>
      </c>
      <c r="D157">
        <v>14.375400000000001</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c r="BL157">
        <v>0</v>
      </c>
      <c r="BM157">
        <v>0</v>
      </c>
      <c r="BN157">
        <v>0</v>
      </c>
      <c r="BO157">
        <v>0</v>
      </c>
      <c r="BP157">
        <v>0</v>
      </c>
      <c r="BQ157">
        <v>0</v>
      </c>
      <c r="BR157">
        <v>0</v>
      </c>
      <c r="BS157">
        <v>0</v>
      </c>
      <c r="BT157">
        <v>0</v>
      </c>
      <c r="BU157">
        <v>0</v>
      </c>
      <c r="BV157">
        <v>0</v>
      </c>
      <c r="BW157">
        <v>0</v>
      </c>
      <c r="BX157">
        <v>0</v>
      </c>
      <c r="BY157">
        <v>0</v>
      </c>
      <c r="BZ157">
        <v>0</v>
      </c>
      <c r="CA157">
        <v>0</v>
      </c>
      <c r="CB157">
        <v>0</v>
      </c>
      <c r="CC157">
        <v>0</v>
      </c>
      <c r="CD157">
        <v>0</v>
      </c>
      <c r="CE157">
        <v>1</v>
      </c>
      <c r="CF157">
        <v>2</v>
      </c>
      <c r="CG157">
        <v>2</v>
      </c>
      <c r="CH157">
        <v>3</v>
      </c>
      <c r="CI157">
        <v>3</v>
      </c>
      <c r="CJ157">
        <v>3</v>
      </c>
      <c r="CK157">
        <v>3</v>
      </c>
      <c r="CL157">
        <v>3</v>
      </c>
      <c r="CM157">
        <v>3</v>
      </c>
      <c r="CN157">
        <v>3</v>
      </c>
      <c r="CO157">
        <v>3</v>
      </c>
      <c r="CP157">
        <v>3</v>
      </c>
      <c r="CQ157">
        <v>3</v>
      </c>
      <c r="CR157">
        <v>3</v>
      </c>
      <c r="CS157">
        <v>3</v>
      </c>
      <c r="CT157">
        <v>3</v>
      </c>
      <c r="CU157">
        <v>3</v>
      </c>
      <c r="CV157">
        <v>4</v>
      </c>
      <c r="CW157">
        <v>4</v>
      </c>
      <c r="CX157">
        <v>4</v>
      </c>
      <c r="CY157">
        <v>4</v>
      </c>
      <c r="CZ157">
        <v>4</v>
      </c>
      <c r="DA157">
        <v>4</v>
      </c>
      <c r="DB157">
        <v>4</v>
      </c>
      <c r="DC157">
        <v>4</v>
      </c>
    </row>
    <row r="158" spans="2:107" x14ac:dyDescent="0.25">
      <c r="B158" t="s">
        <v>366</v>
      </c>
      <c r="C158">
        <v>21.007899999999999</v>
      </c>
      <c r="D158">
        <v>10.940799999999999</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0</v>
      </c>
      <c r="BN158">
        <v>0</v>
      </c>
      <c r="BO158">
        <v>0</v>
      </c>
      <c r="BP158">
        <v>0</v>
      </c>
      <c r="BQ158">
        <v>0</v>
      </c>
      <c r="BR158">
        <v>0</v>
      </c>
      <c r="BS158">
        <v>0</v>
      </c>
      <c r="BT158">
        <v>0</v>
      </c>
      <c r="BU158">
        <v>0</v>
      </c>
      <c r="BV158">
        <v>1</v>
      </c>
      <c r="BW158">
        <v>1</v>
      </c>
      <c r="BX158">
        <v>1</v>
      </c>
      <c r="BY158">
        <v>1</v>
      </c>
      <c r="BZ158">
        <v>1</v>
      </c>
      <c r="CA158">
        <v>1</v>
      </c>
      <c r="CB158">
        <v>1</v>
      </c>
      <c r="CC158">
        <v>1</v>
      </c>
      <c r="CD158">
        <v>1</v>
      </c>
      <c r="CE158">
        <v>1</v>
      </c>
      <c r="CF158">
        <v>1</v>
      </c>
      <c r="CG158">
        <v>1</v>
      </c>
      <c r="CH158">
        <v>1</v>
      </c>
      <c r="CI158">
        <v>1</v>
      </c>
      <c r="CJ158">
        <v>1</v>
      </c>
      <c r="CK158">
        <v>1</v>
      </c>
      <c r="CL158">
        <v>1</v>
      </c>
      <c r="CM158">
        <v>1</v>
      </c>
      <c r="CN158">
        <v>1</v>
      </c>
      <c r="CO158">
        <v>1</v>
      </c>
      <c r="CP158">
        <v>1</v>
      </c>
      <c r="CQ158">
        <v>1</v>
      </c>
      <c r="CR158">
        <v>1</v>
      </c>
      <c r="CS158">
        <v>1</v>
      </c>
      <c r="CT158">
        <v>1</v>
      </c>
      <c r="CU158">
        <v>1</v>
      </c>
      <c r="CV158">
        <v>1</v>
      </c>
      <c r="CW158">
        <v>1</v>
      </c>
      <c r="CX158">
        <v>1</v>
      </c>
      <c r="CY158">
        <v>1</v>
      </c>
      <c r="CZ158">
        <v>1</v>
      </c>
      <c r="DA158">
        <v>1</v>
      </c>
      <c r="DB158">
        <v>1</v>
      </c>
      <c r="DC158">
        <v>1</v>
      </c>
    </row>
    <row r="159" spans="2:107" x14ac:dyDescent="0.25">
      <c r="B159" t="s">
        <v>669</v>
      </c>
      <c r="C159">
        <v>-20.2</v>
      </c>
      <c r="D159">
        <v>57.5</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c r="BL159">
        <v>0</v>
      </c>
      <c r="BM159">
        <v>1</v>
      </c>
      <c r="BN159">
        <v>2</v>
      </c>
      <c r="BO159">
        <v>2</v>
      </c>
      <c r="BP159">
        <v>2</v>
      </c>
      <c r="BQ159">
        <v>2</v>
      </c>
      <c r="BR159">
        <v>2</v>
      </c>
      <c r="BS159">
        <v>2</v>
      </c>
      <c r="BT159">
        <v>2</v>
      </c>
      <c r="BU159">
        <v>3</v>
      </c>
      <c r="BV159">
        <v>3</v>
      </c>
      <c r="BW159">
        <v>5</v>
      </c>
      <c r="BX159">
        <v>6</v>
      </c>
      <c r="BY159">
        <v>7</v>
      </c>
      <c r="BZ159">
        <v>7</v>
      </c>
      <c r="CA159">
        <v>7</v>
      </c>
      <c r="CB159">
        <v>7</v>
      </c>
      <c r="CC159">
        <v>7</v>
      </c>
      <c r="CD159">
        <v>7</v>
      </c>
      <c r="CE159">
        <v>7</v>
      </c>
      <c r="CF159">
        <v>7</v>
      </c>
      <c r="CG159">
        <v>9</v>
      </c>
      <c r="CH159">
        <v>9</v>
      </c>
      <c r="CI159">
        <v>9</v>
      </c>
      <c r="CJ159">
        <v>9</v>
      </c>
      <c r="CK159">
        <v>9</v>
      </c>
      <c r="CL159">
        <v>9</v>
      </c>
      <c r="CM159">
        <v>9</v>
      </c>
      <c r="CN159">
        <v>9</v>
      </c>
      <c r="CO159">
        <v>9</v>
      </c>
      <c r="CP159">
        <v>9</v>
      </c>
      <c r="CQ159">
        <v>9</v>
      </c>
      <c r="CR159">
        <v>9</v>
      </c>
      <c r="CS159">
        <v>9</v>
      </c>
      <c r="CT159">
        <v>9</v>
      </c>
      <c r="CU159">
        <v>9</v>
      </c>
      <c r="CV159">
        <v>9</v>
      </c>
      <c r="CW159">
        <v>9</v>
      </c>
      <c r="CX159">
        <v>10</v>
      </c>
      <c r="CY159">
        <v>10</v>
      </c>
      <c r="CZ159">
        <v>10</v>
      </c>
      <c r="DA159">
        <v>10</v>
      </c>
      <c r="DB159">
        <v>10</v>
      </c>
      <c r="DC159">
        <v>10</v>
      </c>
    </row>
    <row r="160" spans="2:107" x14ac:dyDescent="0.25">
      <c r="B160" t="s">
        <v>92</v>
      </c>
      <c r="C160">
        <v>23.634499999999999</v>
      </c>
      <c r="D160">
        <v>-102.5528</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1</v>
      </c>
      <c r="BL160">
        <v>2</v>
      </c>
      <c r="BM160">
        <v>2</v>
      </c>
      <c r="BN160">
        <v>3</v>
      </c>
      <c r="BO160">
        <v>4</v>
      </c>
      <c r="BP160">
        <v>5</v>
      </c>
      <c r="BQ160">
        <v>6</v>
      </c>
      <c r="BR160">
        <v>8</v>
      </c>
      <c r="BS160">
        <v>12</v>
      </c>
      <c r="BT160">
        <v>16</v>
      </c>
      <c r="BU160">
        <v>20</v>
      </c>
      <c r="BV160">
        <v>28</v>
      </c>
      <c r="BW160">
        <v>29</v>
      </c>
      <c r="BX160">
        <v>37</v>
      </c>
      <c r="BY160">
        <v>50</v>
      </c>
      <c r="BZ160">
        <v>60</v>
      </c>
      <c r="CA160">
        <v>79</v>
      </c>
      <c r="CB160">
        <v>94</v>
      </c>
      <c r="CC160">
        <v>125</v>
      </c>
      <c r="CD160">
        <v>141</v>
      </c>
      <c r="CE160">
        <v>174</v>
      </c>
      <c r="CF160">
        <v>194</v>
      </c>
      <c r="CG160">
        <v>233</v>
      </c>
      <c r="CH160">
        <v>273</v>
      </c>
      <c r="CI160">
        <v>296</v>
      </c>
      <c r="CJ160">
        <v>332</v>
      </c>
      <c r="CK160">
        <v>406</v>
      </c>
      <c r="CL160">
        <v>449</v>
      </c>
      <c r="CM160">
        <v>486</v>
      </c>
      <c r="CN160">
        <v>546</v>
      </c>
      <c r="CO160">
        <v>650</v>
      </c>
      <c r="CP160">
        <v>686</v>
      </c>
      <c r="CQ160">
        <v>712</v>
      </c>
      <c r="CR160">
        <v>857</v>
      </c>
      <c r="CS160">
        <v>970</v>
      </c>
      <c r="CT160">
        <v>1069</v>
      </c>
      <c r="CU160">
        <v>1221</v>
      </c>
      <c r="CV160">
        <v>1305</v>
      </c>
      <c r="CW160">
        <v>1351</v>
      </c>
      <c r="CX160">
        <v>1434</v>
      </c>
      <c r="CY160">
        <v>1569</v>
      </c>
      <c r="CZ160">
        <v>1732</v>
      </c>
      <c r="DA160">
        <v>1859</v>
      </c>
      <c r="DB160">
        <v>1972</v>
      </c>
      <c r="DC160">
        <v>2061</v>
      </c>
    </row>
    <row r="161" spans="1:107" x14ac:dyDescent="0.25">
      <c r="B161" t="s">
        <v>139</v>
      </c>
      <c r="C161">
        <v>47.4116</v>
      </c>
      <c r="D161">
        <v>28.369900000000001</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1</v>
      </c>
      <c r="BK161">
        <v>1</v>
      </c>
      <c r="BL161">
        <v>1</v>
      </c>
      <c r="BM161">
        <v>1</v>
      </c>
      <c r="BN161">
        <v>1</v>
      </c>
      <c r="BO161">
        <v>1</v>
      </c>
      <c r="BP161">
        <v>1</v>
      </c>
      <c r="BQ161">
        <v>1</v>
      </c>
      <c r="BR161">
        <v>1</v>
      </c>
      <c r="BS161">
        <v>2</v>
      </c>
      <c r="BT161">
        <v>2</v>
      </c>
      <c r="BU161">
        <v>2</v>
      </c>
      <c r="BV161">
        <v>2</v>
      </c>
      <c r="BW161">
        <v>4</v>
      </c>
      <c r="BX161">
        <v>5</v>
      </c>
      <c r="BY161">
        <v>6</v>
      </c>
      <c r="BZ161">
        <v>8</v>
      </c>
      <c r="CA161">
        <v>12</v>
      </c>
      <c r="CB161">
        <v>15</v>
      </c>
      <c r="CC161">
        <v>19</v>
      </c>
      <c r="CD161">
        <v>22</v>
      </c>
      <c r="CE161">
        <v>27</v>
      </c>
      <c r="CF161">
        <v>29</v>
      </c>
      <c r="CG161">
        <v>29</v>
      </c>
      <c r="CH161">
        <v>30</v>
      </c>
      <c r="CI161">
        <v>31</v>
      </c>
      <c r="CJ161">
        <v>35</v>
      </c>
      <c r="CK161">
        <v>40</v>
      </c>
      <c r="CL161">
        <v>46</v>
      </c>
      <c r="CM161">
        <v>54</v>
      </c>
      <c r="CN161">
        <v>56</v>
      </c>
      <c r="CO161">
        <v>57</v>
      </c>
      <c r="CP161">
        <v>67</v>
      </c>
      <c r="CQ161">
        <v>70</v>
      </c>
      <c r="CR161">
        <v>72</v>
      </c>
      <c r="CS161">
        <v>75</v>
      </c>
      <c r="CT161">
        <v>80</v>
      </c>
      <c r="CU161">
        <v>84</v>
      </c>
      <c r="CV161">
        <v>94</v>
      </c>
      <c r="CW161">
        <v>96</v>
      </c>
      <c r="CX161">
        <v>102</v>
      </c>
      <c r="CY161">
        <v>103</v>
      </c>
      <c r="CZ161">
        <v>111</v>
      </c>
      <c r="DA161">
        <v>116</v>
      </c>
      <c r="DB161">
        <v>122</v>
      </c>
      <c r="DC161">
        <v>124</v>
      </c>
    </row>
    <row r="162" spans="1:107" x14ac:dyDescent="0.25">
      <c r="B162" t="s">
        <v>97</v>
      </c>
      <c r="C162">
        <v>43.7333</v>
      </c>
      <c r="D162">
        <v>7.4166999999999996</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c r="BM162">
        <v>0</v>
      </c>
      <c r="BN162">
        <v>0</v>
      </c>
      <c r="BO162">
        <v>0</v>
      </c>
      <c r="BP162">
        <v>0</v>
      </c>
      <c r="BQ162">
        <v>0</v>
      </c>
      <c r="BR162">
        <v>0</v>
      </c>
      <c r="BS162">
        <v>0</v>
      </c>
      <c r="BT162">
        <v>0</v>
      </c>
      <c r="BU162">
        <v>1</v>
      </c>
      <c r="BV162">
        <v>1</v>
      </c>
      <c r="BW162">
        <v>1</v>
      </c>
      <c r="BX162">
        <v>1</v>
      </c>
      <c r="BY162">
        <v>1</v>
      </c>
      <c r="BZ162">
        <v>1</v>
      </c>
      <c r="CA162">
        <v>1</v>
      </c>
      <c r="CB162">
        <v>1</v>
      </c>
      <c r="CC162">
        <v>1</v>
      </c>
      <c r="CD162">
        <v>1</v>
      </c>
      <c r="CE162">
        <v>1</v>
      </c>
      <c r="CF162">
        <v>1</v>
      </c>
      <c r="CG162">
        <v>1</v>
      </c>
      <c r="CH162">
        <v>1</v>
      </c>
      <c r="CI162">
        <v>1</v>
      </c>
      <c r="CJ162">
        <v>1</v>
      </c>
      <c r="CK162">
        <v>1</v>
      </c>
      <c r="CL162">
        <v>3</v>
      </c>
      <c r="CM162">
        <v>3</v>
      </c>
      <c r="CN162">
        <v>3</v>
      </c>
      <c r="CO162">
        <v>3</v>
      </c>
      <c r="CP162">
        <v>3</v>
      </c>
      <c r="CQ162">
        <v>3</v>
      </c>
      <c r="CR162">
        <v>3</v>
      </c>
      <c r="CS162">
        <v>3</v>
      </c>
      <c r="CT162">
        <v>4</v>
      </c>
      <c r="CU162">
        <v>4</v>
      </c>
      <c r="CV162">
        <v>4</v>
      </c>
      <c r="CW162">
        <v>4</v>
      </c>
      <c r="CX162">
        <v>4</v>
      </c>
      <c r="CY162">
        <v>4</v>
      </c>
      <c r="CZ162">
        <v>4</v>
      </c>
      <c r="DA162">
        <v>4</v>
      </c>
      <c r="DB162">
        <v>4</v>
      </c>
      <c r="DC162">
        <v>4</v>
      </c>
    </row>
    <row r="163" spans="1:107" x14ac:dyDescent="0.25">
      <c r="B163" t="s">
        <v>151</v>
      </c>
      <c r="C163">
        <v>46.862499999999997</v>
      </c>
      <c r="D163">
        <v>103.8467</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c r="BM163">
        <v>0</v>
      </c>
      <c r="BN163">
        <v>0</v>
      </c>
      <c r="BO163">
        <v>0</v>
      </c>
      <c r="BP163">
        <v>0</v>
      </c>
      <c r="BQ163">
        <v>0</v>
      </c>
      <c r="BR163">
        <v>0</v>
      </c>
      <c r="BS163">
        <v>0</v>
      </c>
      <c r="BT163">
        <v>0</v>
      </c>
      <c r="BU163">
        <v>0</v>
      </c>
      <c r="BV163">
        <v>0</v>
      </c>
      <c r="BW163">
        <v>0</v>
      </c>
      <c r="BX163">
        <v>0</v>
      </c>
      <c r="BY163">
        <v>0</v>
      </c>
      <c r="BZ163">
        <v>0</v>
      </c>
      <c r="CA163">
        <v>0</v>
      </c>
      <c r="CB163">
        <v>0</v>
      </c>
      <c r="CC163">
        <v>0</v>
      </c>
      <c r="CD163">
        <v>0</v>
      </c>
      <c r="CE163">
        <v>0</v>
      </c>
      <c r="CF163">
        <v>0</v>
      </c>
      <c r="CG163">
        <v>0</v>
      </c>
      <c r="CH163">
        <v>0</v>
      </c>
      <c r="CI163">
        <v>0</v>
      </c>
      <c r="CJ163">
        <v>0</v>
      </c>
      <c r="CK163">
        <v>0</v>
      </c>
      <c r="CL163">
        <v>0</v>
      </c>
      <c r="CM163">
        <v>0</v>
      </c>
      <c r="CN163">
        <v>0</v>
      </c>
      <c r="CO163">
        <v>0</v>
      </c>
      <c r="CP163">
        <v>0</v>
      </c>
      <c r="CQ163">
        <v>0</v>
      </c>
      <c r="CR163">
        <v>0</v>
      </c>
      <c r="CS163">
        <v>0</v>
      </c>
      <c r="CT163">
        <v>0</v>
      </c>
      <c r="CU163">
        <v>0</v>
      </c>
      <c r="CV163">
        <v>0</v>
      </c>
      <c r="CW163">
        <v>0</v>
      </c>
      <c r="CX163">
        <v>0</v>
      </c>
      <c r="CY163">
        <v>0</v>
      </c>
      <c r="CZ163">
        <v>0</v>
      </c>
      <c r="DA163">
        <v>0</v>
      </c>
      <c r="DB163">
        <v>0</v>
      </c>
      <c r="DC163">
        <v>0</v>
      </c>
    </row>
    <row r="164" spans="1:107" x14ac:dyDescent="0.25">
      <c r="B164" t="s">
        <v>667</v>
      </c>
      <c r="C164">
        <v>42.5</v>
      </c>
      <c r="D164">
        <v>19.3</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c r="BL164">
        <v>0</v>
      </c>
      <c r="BM164">
        <v>0</v>
      </c>
      <c r="BN164">
        <v>0</v>
      </c>
      <c r="BO164">
        <v>1</v>
      </c>
      <c r="BP164">
        <v>1</v>
      </c>
      <c r="BQ164">
        <v>1</v>
      </c>
      <c r="BR164">
        <v>1</v>
      </c>
      <c r="BS164">
        <v>1</v>
      </c>
      <c r="BT164">
        <v>1</v>
      </c>
      <c r="BU164">
        <v>1</v>
      </c>
      <c r="BV164">
        <v>1</v>
      </c>
      <c r="BW164">
        <v>2</v>
      </c>
      <c r="BX164">
        <v>2</v>
      </c>
      <c r="BY164">
        <v>2</v>
      </c>
      <c r="BZ164">
        <v>2</v>
      </c>
      <c r="CA164">
        <v>2</v>
      </c>
      <c r="CB164">
        <v>2</v>
      </c>
      <c r="CC164">
        <v>2</v>
      </c>
      <c r="CD164">
        <v>2</v>
      </c>
      <c r="CE164">
        <v>2</v>
      </c>
      <c r="CF164">
        <v>2</v>
      </c>
      <c r="CG164">
        <v>2</v>
      </c>
      <c r="CH164">
        <v>2</v>
      </c>
      <c r="CI164">
        <v>3</v>
      </c>
      <c r="CJ164">
        <v>3</v>
      </c>
      <c r="CK164">
        <v>4</v>
      </c>
      <c r="CL164">
        <v>4</v>
      </c>
      <c r="CM164">
        <v>4</v>
      </c>
      <c r="CN164">
        <v>5</v>
      </c>
      <c r="CO164">
        <v>5</v>
      </c>
      <c r="CP164">
        <v>5</v>
      </c>
      <c r="CQ164">
        <v>5</v>
      </c>
      <c r="CR164">
        <v>5</v>
      </c>
      <c r="CS164">
        <v>5</v>
      </c>
      <c r="CT164">
        <v>5</v>
      </c>
      <c r="CU164">
        <v>6</v>
      </c>
      <c r="CV164">
        <v>6</v>
      </c>
      <c r="CW164">
        <v>7</v>
      </c>
      <c r="CX164">
        <v>7</v>
      </c>
      <c r="CY164">
        <v>7</v>
      </c>
      <c r="CZ164">
        <v>7</v>
      </c>
      <c r="DA164">
        <v>7</v>
      </c>
      <c r="DB164">
        <v>7</v>
      </c>
      <c r="DC164">
        <v>8</v>
      </c>
    </row>
    <row r="165" spans="1:107" x14ac:dyDescent="0.25">
      <c r="B165" t="s">
        <v>108</v>
      </c>
      <c r="C165">
        <v>31.791699999999999</v>
      </c>
      <c r="D165">
        <v>-7.0926</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1</v>
      </c>
      <c r="BC165">
        <v>1</v>
      </c>
      <c r="BD165">
        <v>1</v>
      </c>
      <c r="BE165">
        <v>1</v>
      </c>
      <c r="BF165">
        <v>1</v>
      </c>
      <c r="BG165">
        <v>1</v>
      </c>
      <c r="BH165">
        <v>1</v>
      </c>
      <c r="BI165">
        <v>2</v>
      </c>
      <c r="BJ165">
        <v>2</v>
      </c>
      <c r="BK165">
        <v>2</v>
      </c>
      <c r="BL165">
        <v>3</v>
      </c>
      <c r="BM165">
        <v>3</v>
      </c>
      <c r="BN165">
        <v>4</v>
      </c>
      <c r="BO165">
        <v>4</v>
      </c>
      <c r="BP165">
        <v>5</v>
      </c>
      <c r="BQ165">
        <v>6</v>
      </c>
      <c r="BR165">
        <v>11</v>
      </c>
      <c r="BS165">
        <v>23</v>
      </c>
      <c r="BT165">
        <v>25</v>
      </c>
      <c r="BU165">
        <v>26</v>
      </c>
      <c r="BV165">
        <v>33</v>
      </c>
      <c r="BW165">
        <v>36</v>
      </c>
      <c r="BX165">
        <v>39</v>
      </c>
      <c r="BY165">
        <v>44</v>
      </c>
      <c r="BZ165">
        <v>48</v>
      </c>
      <c r="CA165">
        <v>59</v>
      </c>
      <c r="CB165">
        <v>70</v>
      </c>
      <c r="CC165">
        <v>80</v>
      </c>
      <c r="CD165">
        <v>90</v>
      </c>
      <c r="CE165">
        <v>93</v>
      </c>
      <c r="CF165">
        <v>97</v>
      </c>
      <c r="CG165">
        <v>107</v>
      </c>
      <c r="CH165">
        <v>111</v>
      </c>
      <c r="CI165">
        <v>118</v>
      </c>
      <c r="CJ165">
        <v>126</v>
      </c>
      <c r="CK165">
        <v>126</v>
      </c>
      <c r="CL165">
        <v>127</v>
      </c>
      <c r="CM165">
        <v>130</v>
      </c>
      <c r="CN165">
        <v>135</v>
      </c>
      <c r="CO165">
        <v>137</v>
      </c>
      <c r="CP165">
        <v>141</v>
      </c>
      <c r="CQ165">
        <v>143</v>
      </c>
      <c r="CR165">
        <v>145</v>
      </c>
      <c r="CS165">
        <v>149</v>
      </c>
      <c r="CT165">
        <v>155</v>
      </c>
      <c r="CU165">
        <v>158</v>
      </c>
      <c r="CV165">
        <v>159</v>
      </c>
      <c r="CW165">
        <v>161</v>
      </c>
      <c r="CX165">
        <v>162</v>
      </c>
      <c r="CY165">
        <v>165</v>
      </c>
      <c r="CZ165">
        <v>168</v>
      </c>
      <c r="DA165">
        <v>170</v>
      </c>
      <c r="DB165">
        <v>171</v>
      </c>
      <c r="DC165">
        <v>173</v>
      </c>
    </row>
    <row r="166" spans="1:107" x14ac:dyDescent="0.25">
      <c r="B166" t="s">
        <v>358</v>
      </c>
      <c r="C166">
        <v>-22.957599999999999</v>
      </c>
      <c r="D166">
        <v>18.490400000000001</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c r="BM166">
        <v>0</v>
      </c>
      <c r="BN166">
        <v>0</v>
      </c>
      <c r="BO166">
        <v>0</v>
      </c>
      <c r="BP166">
        <v>0</v>
      </c>
      <c r="BQ166">
        <v>0</v>
      </c>
      <c r="BR166">
        <v>0</v>
      </c>
      <c r="BS166">
        <v>0</v>
      </c>
      <c r="BT166">
        <v>0</v>
      </c>
      <c r="BU166">
        <v>0</v>
      </c>
      <c r="BV166">
        <v>0</v>
      </c>
      <c r="BW166">
        <v>0</v>
      </c>
      <c r="BX166">
        <v>0</v>
      </c>
      <c r="BY166">
        <v>0</v>
      </c>
      <c r="BZ166">
        <v>0</v>
      </c>
      <c r="CA166">
        <v>0</v>
      </c>
      <c r="CB166">
        <v>0</v>
      </c>
      <c r="CC166">
        <v>0</v>
      </c>
      <c r="CD166">
        <v>0</v>
      </c>
      <c r="CE166">
        <v>0</v>
      </c>
      <c r="CF166">
        <v>0</v>
      </c>
      <c r="CG166">
        <v>0</v>
      </c>
      <c r="CH166">
        <v>0</v>
      </c>
      <c r="CI166">
        <v>0</v>
      </c>
      <c r="CJ166">
        <v>0</v>
      </c>
      <c r="CK166">
        <v>0</v>
      </c>
      <c r="CL166">
        <v>0</v>
      </c>
      <c r="CM166">
        <v>0</v>
      </c>
      <c r="CN166">
        <v>0</v>
      </c>
      <c r="CO166">
        <v>0</v>
      </c>
      <c r="CP166">
        <v>0</v>
      </c>
      <c r="CQ166">
        <v>0</v>
      </c>
      <c r="CR166">
        <v>0</v>
      </c>
      <c r="CS166">
        <v>0</v>
      </c>
      <c r="CT166">
        <v>0</v>
      </c>
      <c r="CU166">
        <v>0</v>
      </c>
      <c r="CV166">
        <v>0</v>
      </c>
      <c r="CW166">
        <v>0</v>
      </c>
      <c r="CX166">
        <v>0</v>
      </c>
      <c r="CY166">
        <v>0</v>
      </c>
      <c r="CZ166">
        <v>0</v>
      </c>
      <c r="DA166">
        <v>0</v>
      </c>
      <c r="DB166">
        <v>0</v>
      </c>
      <c r="DC166">
        <v>0</v>
      </c>
    </row>
    <row r="167" spans="1:107" x14ac:dyDescent="0.25">
      <c r="B167" t="s">
        <v>43</v>
      </c>
      <c r="C167">
        <v>28.166699999999999</v>
      </c>
      <c r="D167">
        <v>84.25</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c r="BM167">
        <v>0</v>
      </c>
      <c r="BN167">
        <v>0</v>
      </c>
      <c r="BO167">
        <v>0</v>
      </c>
      <c r="BP167">
        <v>0</v>
      </c>
      <c r="BQ167">
        <v>0</v>
      </c>
      <c r="BR167">
        <v>0</v>
      </c>
      <c r="BS167">
        <v>0</v>
      </c>
      <c r="BT167">
        <v>0</v>
      </c>
      <c r="BU167">
        <v>0</v>
      </c>
      <c r="BV167">
        <v>0</v>
      </c>
      <c r="BW167">
        <v>0</v>
      </c>
      <c r="BX167">
        <v>0</v>
      </c>
      <c r="BY167">
        <v>0</v>
      </c>
      <c r="BZ167">
        <v>0</v>
      </c>
      <c r="CA167">
        <v>0</v>
      </c>
      <c r="CB167">
        <v>0</v>
      </c>
      <c r="CC167">
        <v>0</v>
      </c>
      <c r="CD167">
        <v>0</v>
      </c>
      <c r="CE167">
        <v>0</v>
      </c>
      <c r="CF167">
        <v>0</v>
      </c>
      <c r="CG167">
        <v>0</v>
      </c>
      <c r="CH167">
        <v>0</v>
      </c>
      <c r="CI167">
        <v>0</v>
      </c>
      <c r="CJ167">
        <v>0</v>
      </c>
      <c r="CK167">
        <v>0</v>
      </c>
      <c r="CL167">
        <v>0</v>
      </c>
      <c r="CM167">
        <v>0</v>
      </c>
      <c r="CN167">
        <v>0</v>
      </c>
      <c r="CO167">
        <v>0</v>
      </c>
      <c r="CP167">
        <v>0</v>
      </c>
      <c r="CQ167">
        <v>0</v>
      </c>
      <c r="CR167">
        <v>0</v>
      </c>
      <c r="CS167">
        <v>0</v>
      </c>
      <c r="CT167">
        <v>0</v>
      </c>
      <c r="CU167">
        <v>0</v>
      </c>
      <c r="CV167">
        <v>0</v>
      </c>
      <c r="CW167">
        <v>0</v>
      </c>
      <c r="CX167">
        <v>0</v>
      </c>
      <c r="CY167">
        <v>0</v>
      </c>
      <c r="CZ167">
        <v>0</v>
      </c>
      <c r="DA167">
        <v>0</v>
      </c>
      <c r="DB167">
        <v>0</v>
      </c>
      <c r="DC167">
        <v>0</v>
      </c>
    </row>
    <row r="168" spans="1:107" x14ac:dyDescent="0.25">
      <c r="A168" t="s">
        <v>205</v>
      </c>
      <c r="B168" t="s">
        <v>87</v>
      </c>
      <c r="C168">
        <v>12.518599999999999</v>
      </c>
      <c r="D168">
        <v>-70.035799999999995</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c r="BM168">
        <v>0</v>
      </c>
      <c r="BN168">
        <v>0</v>
      </c>
      <c r="BO168">
        <v>0</v>
      </c>
      <c r="BP168">
        <v>0</v>
      </c>
      <c r="BQ168">
        <v>0</v>
      </c>
      <c r="BR168">
        <v>0</v>
      </c>
      <c r="BS168">
        <v>0</v>
      </c>
      <c r="BT168">
        <v>0</v>
      </c>
      <c r="BU168">
        <v>0</v>
      </c>
      <c r="BV168">
        <v>0</v>
      </c>
      <c r="BW168">
        <v>0</v>
      </c>
      <c r="BX168">
        <v>0</v>
      </c>
      <c r="BY168">
        <v>0</v>
      </c>
      <c r="BZ168">
        <v>0</v>
      </c>
      <c r="CA168">
        <v>0</v>
      </c>
      <c r="CB168">
        <v>0</v>
      </c>
      <c r="CC168">
        <v>0</v>
      </c>
      <c r="CD168">
        <v>0</v>
      </c>
      <c r="CE168">
        <v>0</v>
      </c>
      <c r="CF168">
        <v>0</v>
      </c>
      <c r="CG168">
        <v>0</v>
      </c>
      <c r="CH168">
        <v>0</v>
      </c>
      <c r="CI168">
        <v>0</v>
      </c>
      <c r="CJ168">
        <v>0</v>
      </c>
      <c r="CK168">
        <v>0</v>
      </c>
      <c r="CL168">
        <v>1</v>
      </c>
      <c r="CM168">
        <v>2</v>
      </c>
      <c r="CN168">
        <v>2</v>
      </c>
      <c r="CO168">
        <v>2</v>
      </c>
      <c r="CP168">
        <v>2</v>
      </c>
      <c r="CQ168">
        <v>2</v>
      </c>
      <c r="CR168">
        <v>2</v>
      </c>
      <c r="CS168">
        <v>2</v>
      </c>
      <c r="CT168">
        <v>2</v>
      </c>
      <c r="CU168">
        <v>2</v>
      </c>
      <c r="CV168">
        <v>2</v>
      </c>
      <c r="CW168">
        <v>2</v>
      </c>
      <c r="CX168">
        <v>2</v>
      </c>
      <c r="CY168">
        <v>2</v>
      </c>
      <c r="CZ168">
        <v>2</v>
      </c>
      <c r="DA168">
        <v>2</v>
      </c>
      <c r="DB168">
        <v>2</v>
      </c>
      <c r="DC168">
        <v>2</v>
      </c>
    </row>
    <row r="169" spans="1:107" x14ac:dyDescent="0.25">
      <c r="A169" t="s">
        <v>362</v>
      </c>
      <c r="B169" t="s">
        <v>87</v>
      </c>
      <c r="C169">
        <v>12.169600000000001</v>
      </c>
      <c r="D169">
        <v>-68.989999999999995</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1</v>
      </c>
      <c r="BL169">
        <v>1</v>
      </c>
      <c r="BM169">
        <v>1</v>
      </c>
      <c r="BN169">
        <v>1</v>
      </c>
      <c r="BO169">
        <v>1</v>
      </c>
      <c r="BP169">
        <v>1</v>
      </c>
      <c r="BQ169">
        <v>1</v>
      </c>
      <c r="BR169">
        <v>1</v>
      </c>
      <c r="BS169">
        <v>1</v>
      </c>
      <c r="BT169">
        <v>1</v>
      </c>
      <c r="BU169">
        <v>1</v>
      </c>
      <c r="BV169">
        <v>1</v>
      </c>
      <c r="BW169">
        <v>1</v>
      </c>
      <c r="BX169">
        <v>1</v>
      </c>
      <c r="BY169">
        <v>1</v>
      </c>
      <c r="BZ169">
        <v>1</v>
      </c>
      <c r="CA169">
        <v>1</v>
      </c>
      <c r="CB169">
        <v>1</v>
      </c>
      <c r="CC169">
        <v>1</v>
      </c>
      <c r="CD169">
        <v>1</v>
      </c>
      <c r="CE169">
        <v>1</v>
      </c>
      <c r="CF169">
        <v>1</v>
      </c>
      <c r="CG169">
        <v>1</v>
      </c>
      <c r="CH169">
        <v>1</v>
      </c>
      <c r="CI169">
        <v>1</v>
      </c>
      <c r="CJ169">
        <v>1</v>
      </c>
      <c r="CK169">
        <v>1</v>
      </c>
      <c r="CL169">
        <v>1</v>
      </c>
      <c r="CM169">
        <v>1</v>
      </c>
      <c r="CN169">
        <v>1</v>
      </c>
      <c r="CO169">
        <v>1</v>
      </c>
      <c r="CP169">
        <v>1</v>
      </c>
      <c r="CQ169">
        <v>1</v>
      </c>
      <c r="CR169">
        <v>1</v>
      </c>
      <c r="CS169">
        <v>1</v>
      </c>
      <c r="CT169">
        <v>1</v>
      </c>
      <c r="CU169">
        <v>1</v>
      </c>
      <c r="CV169">
        <v>1</v>
      </c>
      <c r="CW169">
        <v>1</v>
      </c>
      <c r="CX169">
        <v>1</v>
      </c>
      <c r="CY169">
        <v>1</v>
      </c>
      <c r="CZ169">
        <v>1</v>
      </c>
      <c r="DA169">
        <v>1</v>
      </c>
      <c r="DB169">
        <v>1</v>
      </c>
      <c r="DC169">
        <v>1</v>
      </c>
    </row>
    <row r="170" spans="1:107" x14ac:dyDescent="0.25">
      <c r="A170" t="s">
        <v>743</v>
      </c>
      <c r="B170" t="s">
        <v>87</v>
      </c>
      <c r="C170">
        <v>18.0425</v>
      </c>
      <c r="D170">
        <v>-63.0548</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0</v>
      </c>
      <c r="BL170">
        <v>0</v>
      </c>
      <c r="BM170">
        <v>0</v>
      </c>
      <c r="BN170">
        <v>0</v>
      </c>
      <c r="BO170">
        <v>0</v>
      </c>
      <c r="BP170">
        <v>0</v>
      </c>
      <c r="BQ170">
        <v>0</v>
      </c>
      <c r="BR170">
        <v>0</v>
      </c>
      <c r="BS170">
        <v>0</v>
      </c>
      <c r="BT170">
        <v>0</v>
      </c>
      <c r="BU170">
        <v>0</v>
      </c>
      <c r="BV170">
        <v>0</v>
      </c>
      <c r="BW170">
        <v>0</v>
      </c>
      <c r="BX170">
        <v>1</v>
      </c>
      <c r="BY170">
        <v>1</v>
      </c>
      <c r="BZ170">
        <v>2</v>
      </c>
      <c r="CA170">
        <v>4</v>
      </c>
      <c r="CB170">
        <v>4</v>
      </c>
      <c r="CC170">
        <v>6</v>
      </c>
      <c r="CD170">
        <v>6</v>
      </c>
      <c r="CE170">
        <v>6</v>
      </c>
      <c r="CF170">
        <v>6</v>
      </c>
      <c r="CG170">
        <v>8</v>
      </c>
      <c r="CH170">
        <v>9</v>
      </c>
      <c r="CI170">
        <v>9</v>
      </c>
      <c r="CJ170">
        <v>9</v>
      </c>
      <c r="CK170">
        <v>9</v>
      </c>
      <c r="CL170">
        <v>9</v>
      </c>
      <c r="CM170">
        <v>9</v>
      </c>
      <c r="CN170">
        <v>9</v>
      </c>
      <c r="CO170">
        <v>9</v>
      </c>
      <c r="CP170">
        <v>10</v>
      </c>
      <c r="CQ170">
        <v>10</v>
      </c>
      <c r="CR170">
        <v>10</v>
      </c>
      <c r="CS170">
        <v>11</v>
      </c>
      <c r="CT170">
        <v>12</v>
      </c>
      <c r="CU170">
        <v>12</v>
      </c>
      <c r="CV170">
        <v>12</v>
      </c>
      <c r="CW170">
        <v>13</v>
      </c>
      <c r="CX170">
        <v>13</v>
      </c>
      <c r="CY170">
        <v>13</v>
      </c>
      <c r="CZ170">
        <v>13</v>
      </c>
      <c r="DA170">
        <v>13</v>
      </c>
      <c r="DB170">
        <v>13</v>
      </c>
      <c r="DC170">
        <v>13</v>
      </c>
    </row>
    <row r="171" spans="1:107" x14ac:dyDescent="0.25">
      <c r="B171" t="s">
        <v>87</v>
      </c>
      <c r="C171">
        <v>52.132599999999996</v>
      </c>
      <c r="D171">
        <v>5.2912999999999997</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1</v>
      </c>
      <c r="AY171">
        <v>1</v>
      </c>
      <c r="AZ171">
        <v>3</v>
      </c>
      <c r="BA171">
        <v>3</v>
      </c>
      <c r="BB171">
        <v>4</v>
      </c>
      <c r="BC171">
        <v>5</v>
      </c>
      <c r="BD171">
        <v>5</v>
      </c>
      <c r="BE171">
        <v>10</v>
      </c>
      <c r="BF171">
        <v>12</v>
      </c>
      <c r="BG171">
        <v>20</v>
      </c>
      <c r="BH171">
        <v>24</v>
      </c>
      <c r="BI171">
        <v>43</v>
      </c>
      <c r="BJ171">
        <v>58</v>
      </c>
      <c r="BK171">
        <v>76</v>
      </c>
      <c r="BL171">
        <v>106</v>
      </c>
      <c r="BM171">
        <v>136</v>
      </c>
      <c r="BN171">
        <v>179</v>
      </c>
      <c r="BO171">
        <v>213</v>
      </c>
      <c r="BP171">
        <v>276</v>
      </c>
      <c r="BQ171">
        <v>356</v>
      </c>
      <c r="BR171">
        <v>434</v>
      </c>
      <c r="BS171">
        <v>546</v>
      </c>
      <c r="BT171">
        <v>639</v>
      </c>
      <c r="BU171">
        <v>771</v>
      </c>
      <c r="BV171">
        <v>864</v>
      </c>
      <c r="BW171">
        <v>1039</v>
      </c>
      <c r="BX171">
        <v>1173</v>
      </c>
      <c r="BY171">
        <v>1339</v>
      </c>
      <c r="BZ171">
        <v>1487</v>
      </c>
      <c r="CA171">
        <v>1651</v>
      </c>
      <c r="CB171">
        <v>1766</v>
      </c>
      <c r="CC171">
        <v>1867</v>
      </c>
      <c r="CD171">
        <v>2101</v>
      </c>
      <c r="CE171">
        <v>2248</v>
      </c>
      <c r="CF171">
        <v>2396</v>
      </c>
      <c r="CG171">
        <v>2511</v>
      </c>
      <c r="CH171">
        <v>2643</v>
      </c>
      <c r="CI171">
        <v>2737</v>
      </c>
      <c r="CJ171">
        <v>2823</v>
      </c>
      <c r="CK171">
        <v>2945</v>
      </c>
      <c r="CL171">
        <v>3134</v>
      </c>
      <c r="CM171">
        <v>3315</v>
      </c>
      <c r="CN171">
        <v>3459</v>
      </c>
      <c r="CO171">
        <v>3601</v>
      </c>
      <c r="CP171">
        <v>3684</v>
      </c>
      <c r="CQ171">
        <v>3751</v>
      </c>
      <c r="CR171">
        <v>3916</v>
      </c>
      <c r="CS171">
        <v>4054</v>
      </c>
      <c r="CT171">
        <v>4177</v>
      </c>
      <c r="CU171">
        <v>4289</v>
      </c>
      <c r="CV171">
        <v>4409</v>
      </c>
      <c r="CW171">
        <v>4475</v>
      </c>
      <c r="CX171">
        <v>4518</v>
      </c>
      <c r="CY171">
        <v>4566</v>
      </c>
      <c r="CZ171">
        <v>4711</v>
      </c>
      <c r="DA171">
        <v>4795</v>
      </c>
      <c r="DB171">
        <v>4893</v>
      </c>
      <c r="DC171">
        <v>4987</v>
      </c>
    </row>
    <row r="172" spans="1:107" x14ac:dyDescent="0.25">
      <c r="B172" t="s">
        <v>93</v>
      </c>
      <c r="C172">
        <v>-40.900599999999997</v>
      </c>
      <c r="D172">
        <v>174.886</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c r="BL172">
        <v>0</v>
      </c>
      <c r="BM172">
        <v>0</v>
      </c>
      <c r="BN172">
        <v>0</v>
      </c>
      <c r="BO172">
        <v>0</v>
      </c>
      <c r="BP172">
        <v>0</v>
      </c>
      <c r="BQ172">
        <v>0</v>
      </c>
      <c r="BR172">
        <v>0</v>
      </c>
      <c r="BS172">
        <v>0</v>
      </c>
      <c r="BT172">
        <v>0</v>
      </c>
      <c r="BU172">
        <v>1</v>
      </c>
      <c r="BV172">
        <v>1</v>
      </c>
      <c r="BW172">
        <v>1</v>
      </c>
      <c r="BX172">
        <v>1</v>
      </c>
      <c r="BY172">
        <v>1</v>
      </c>
      <c r="BZ172">
        <v>1</v>
      </c>
      <c r="CA172">
        <v>1</v>
      </c>
      <c r="CB172">
        <v>1</v>
      </c>
      <c r="CC172">
        <v>1</v>
      </c>
      <c r="CD172">
        <v>1</v>
      </c>
      <c r="CE172">
        <v>1</v>
      </c>
      <c r="CF172">
        <v>1</v>
      </c>
      <c r="CG172">
        <v>2</v>
      </c>
      <c r="CH172">
        <v>4</v>
      </c>
      <c r="CI172">
        <v>4</v>
      </c>
      <c r="CJ172">
        <v>5</v>
      </c>
      <c r="CK172">
        <v>9</v>
      </c>
      <c r="CL172">
        <v>9</v>
      </c>
      <c r="CM172">
        <v>9</v>
      </c>
      <c r="CN172">
        <v>11</v>
      </c>
      <c r="CO172">
        <v>11</v>
      </c>
      <c r="CP172">
        <v>12</v>
      </c>
      <c r="CQ172">
        <v>12</v>
      </c>
      <c r="CR172">
        <v>13</v>
      </c>
      <c r="CS172">
        <v>14</v>
      </c>
      <c r="CT172">
        <v>17</v>
      </c>
      <c r="CU172">
        <v>18</v>
      </c>
      <c r="CV172">
        <v>18</v>
      </c>
      <c r="CW172">
        <v>19</v>
      </c>
      <c r="CX172">
        <v>19</v>
      </c>
      <c r="CY172">
        <v>19</v>
      </c>
      <c r="CZ172">
        <v>19</v>
      </c>
      <c r="DA172">
        <v>19</v>
      </c>
      <c r="DB172">
        <v>20</v>
      </c>
      <c r="DC172">
        <v>20</v>
      </c>
    </row>
    <row r="173" spans="1:107" x14ac:dyDescent="0.25">
      <c r="B173" t="s">
        <v>738</v>
      </c>
      <c r="C173">
        <v>12.865399999999999</v>
      </c>
      <c r="D173">
        <v>-85.2072</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0</v>
      </c>
      <c r="BN173">
        <v>0</v>
      </c>
      <c r="BO173">
        <v>0</v>
      </c>
      <c r="BP173">
        <v>0</v>
      </c>
      <c r="BQ173">
        <v>0</v>
      </c>
      <c r="BR173">
        <v>0</v>
      </c>
      <c r="BS173">
        <v>1</v>
      </c>
      <c r="BT173">
        <v>1</v>
      </c>
      <c r="BU173">
        <v>1</v>
      </c>
      <c r="BV173">
        <v>1</v>
      </c>
      <c r="BW173">
        <v>1</v>
      </c>
      <c r="BX173">
        <v>1</v>
      </c>
      <c r="BY173">
        <v>1</v>
      </c>
      <c r="BZ173">
        <v>1</v>
      </c>
      <c r="CA173">
        <v>1</v>
      </c>
      <c r="CB173">
        <v>1</v>
      </c>
      <c r="CC173">
        <v>1</v>
      </c>
      <c r="CD173">
        <v>1</v>
      </c>
      <c r="CE173">
        <v>1</v>
      </c>
      <c r="CF173">
        <v>1</v>
      </c>
      <c r="CG173">
        <v>1</v>
      </c>
      <c r="CH173">
        <v>1</v>
      </c>
      <c r="CI173">
        <v>1</v>
      </c>
      <c r="CJ173">
        <v>1</v>
      </c>
      <c r="CK173">
        <v>1</v>
      </c>
      <c r="CL173">
        <v>1</v>
      </c>
      <c r="CM173">
        <v>1</v>
      </c>
      <c r="CN173">
        <v>1</v>
      </c>
      <c r="CO173">
        <v>2</v>
      </c>
      <c r="CP173">
        <v>2</v>
      </c>
      <c r="CQ173">
        <v>2</v>
      </c>
      <c r="CR173">
        <v>2</v>
      </c>
      <c r="CS173">
        <v>2</v>
      </c>
      <c r="CT173">
        <v>3</v>
      </c>
      <c r="CU173">
        <v>3</v>
      </c>
      <c r="CV173">
        <v>3</v>
      </c>
      <c r="CW173">
        <v>3</v>
      </c>
      <c r="CX173">
        <v>3</v>
      </c>
      <c r="CY173">
        <v>3</v>
      </c>
      <c r="CZ173">
        <v>3</v>
      </c>
      <c r="DA173">
        <v>3</v>
      </c>
      <c r="DB173">
        <v>3</v>
      </c>
      <c r="DC173">
        <v>3</v>
      </c>
    </row>
    <row r="174" spans="1:107" x14ac:dyDescent="0.25">
      <c r="B174" t="s">
        <v>744</v>
      </c>
      <c r="C174">
        <v>17.607800000000001</v>
      </c>
      <c r="D174">
        <v>8.0816999999999997</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c r="BM174">
        <v>0</v>
      </c>
      <c r="BN174">
        <v>0</v>
      </c>
      <c r="BO174">
        <v>0</v>
      </c>
      <c r="BP174">
        <v>0</v>
      </c>
      <c r="BQ174">
        <v>1</v>
      </c>
      <c r="BR174">
        <v>1</v>
      </c>
      <c r="BS174">
        <v>1</v>
      </c>
      <c r="BT174">
        <v>1</v>
      </c>
      <c r="BU174">
        <v>1</v>
      </c>
      <c r="BV174">
        <v>3</v>
      </c>
      <c r="BW174">
        <v>3</v>
      </c>
      <c r="BX174">
        <v>5</v>
      </c>
      <c r="BY174">
        <v>5</v>
      </c>
      <c r="BZ174">
        <v>5</v>
      </c>
      <c r="CA174">
        <v>8</v>
      </c>
      <c r="CB174">
        <v>10</v>
      </c>
      <c r="CC174">
        <v>10</v>
      </c>
      <c r="CD174">
        <v>11</v>
      </c>
      <c r="CE174">
        <v>11</v>
      </c>
      <c r="CF174">
        <v>11</v>
      </c>
      <c r="CG174">
        <v>11</v>
      </c>
      <c r="CH174">
        <v>11</v>
      </c>
      <c r="CI174">
        <v>12</v>
      </c>
      <c r="CJ174">
        <v>12</v>
      </c>
      <c r="CK174">
        <v>14</v>
      </c>
      <c r="CL174">
        <v>14</v>
      </c>
      <c r="CM174">
        <v>14</v>
      </c>
      <c r="CN174">
        <v>18</v>
      </c>
      <c r="CO174">
        <v>19</v>
      </c>
      <c r="CP174">
        <v>20</v>
      </c>
      <c r="CQ174">
        <v>20</v>
      </c>
      <c r="CR174">
        <v>20</v>
      </c>
      <c r="CS174">
        <v>22</v>
      </c>
      <c r="CT174">
        <v>24</v>
      </c>
      <c r="CU174">
        <v>24</v>
      </c>
      <c r="CV174">
        <v>27</v>
      </c>
      <c r="CW174">
        <v>29</v>
      </c>
      <c r="CX174">
        <v>29</v>
      </c>
      <c r="CY174">
        <v>31</v>
      </c>
      <c r="CZ174">
        <v>32</v>
      </c>
      <c r="DA174">
        <v>32</v>
      </c>
      <c r="DB174">
        <v>33</v>
      </c>
      <c r="DC174">
        <v>35</v>
      </c>
    </row>
    <row r="175" spans="1:107" x14ac:dyDescent="0.25">
      <c r="B175" t="s">
        <v>94</v>
      </c>
      <c r="C175">
        <v>9.0820000000000007</v>
      </c>
      <c r="D175">
        <v>8.6753</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c r="BM175">
        <v>0</v>
      </c>
      <c r="BN175">
        <v>0</v>
      </c>
      <c r="BO175">
        <v>1</v>
      </c>
      <c r="BP175">
        <v>1</v>
      </c>
      <c r="BQ175">
        <v>1</v>
      </c>
      <c r="BR175">
        <v>1</v>
      </c>
      <c r="BS175">
        <v>1</v>
      </c>
      <c r="BT175">
        <v>1</v>
      </c>
      <c r="BU175">
        <v>1</v>
      </c>
      <c r="BV175">
        <v>2</v>
      </c>
      <c r="BW175">
        <v>2</v>
      </c>
      <c r="BX175">
        <v>2</v>
      </c>
      <c r="BY175">
        <v>2</v>
      </c>
      <c r="BZ175">
        <v>4</v>
      </c>
      <c r="CA175">
        <v>4</v>
      </c>
      <c r="CB175">
        <v>5</v>
      </c>
      <c r="CC175">
        <v>5</v>
      </c>
      <c r="CD175">
        <v>6</v>
      </c>
      <c r="CE175">
        <v>6</v>
      </c>
      <c r="CF175">
        <v>7</v>
      </c>
      <c r="CG175">
        <v>7</v>
      </c>
      <c r="CH175">
        <v>10</v>
      </c>
      <c r="CI175">
        <v>10</v>
      </c>
      <c r="CJ175">
        <v>10</v>
      </c>
      <c r="CK175">
        <v>11</v>
      </c>
      <c r="CL175">
        <v>12</v>
      </c>
      <c r="CM175">
        <v>13</v>
      </c>
      <c r="CN175">
        <v>17</v>
      </c>
      <c r="CO175">
        <v>19</v>
      </c>
      <c r="CP175">
        <v>21</v>
      </c>
      <c r="CQ175">
        <v>22</v>
      </c>
      <c r="CR175">
        <v>22</v>
      </c>
      <c r="CS175">
        <v>28</v>
      </c>
      <c r="CT175">
        <v>31</v>
      </c>
      <c r="CU175">
        <v>32</v>
      </c>
      <c r="CV175">
        <v>35</v>
      </c>
      <c r="CW175">
        <v>40</v>
      </c>
      <c r="CX175">
        <v>40</v>
      </c>
      <c r="CY175">
        <v>44</v>
      </c>
      <c r="CZ175">
        <v>51</v>
      </c>
      <c r="DA175">
        <v>58</v>
      </c>
      <c r="DB175">
        <v>68</v>
      </c>
      <c r="DC175">
        <v>85</v>
      </c>
    </row>
    <row r="176" spans="1:107" x14ac:dyDescent="0.25">
      <c r="B176" t="s">
        <v>82</v>
      </c>
      <c r="C176">
        <v>41.608600000000003</v>
      </c>
      <c r="D176">
        <v>21.7453</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1</v>
      </c>
      <c r="BO176">
        <v>2</v>
      </c>
      <c r="BP176">
        <v>2</v>
      </c>
      <c r="BQ176">
        <v>3</v>
      </c>
      <c r="BR176">
        <v>3</v>
      </c>
      <c r="BS176">
        <v>3</v>
      </c>
      <c r="BT176">
        <v>4</v>
      </c>
      <c r="BU176">
        <v>6</v>
      </c>
      <c r="BV176">
        <v>7</v>
      </c>
      <c r="BW176">
        <v>9</v>
      </c>
      <c r="BX176">
        <v>11</v>
      </c>
      <c r="BY176">
        <v>11</v>
      </c>
      <c r="BZ176">
        <v>12</v>
      </c>
      <c r="CA176">
        <v>17</v>
      </c>
      <c r="CB176">
        <v>18</v>
      </c>
      <c r="CC176">
        <v>23</v>
      </c>
      <c r="CD176">
        <v>26</v>
      </c>
      <c r="CE176">
        <v>29</v>
      </c>
      <c r="CF176">
        <v>30</v>
      </c>
      <c r="CG176">
        <v>32</v>
      </c>
      <c r="CH176">
        <v>34</v>
      </c>
      <c r="CI176">
        <v>34</v>
      </c>
      <c r="CJ176">
        <v>38</v>
      </c>
      <c r="CK176">
        <v>44</v>
      </c>
      <c r="CL176">
        <v>45</v>
      </c>
      <c r="CM176">
        <v>46</v>
      </c>
      <c r="CN176">
        <v>49</v>
      </c>
      <c r="CO176">
        <v>49</v>
      </c>
      <c r="CP176">
        <v>51</v>
      </c>
      <c r="CQ176">
        <v>54</v>
      </c>
      <c r="CR176">
        <v>55</v>
      </c>
      <c r="CS176">
        <v>56</v>
      </c>
      <c r="CT176">
        <v>56</v>
      </c>
      <c r="CU176">
        <v>57</v>
      </c>
      <c r="CV176">
        <v>59</v>
      </c>
      <c r="CW176">
        <v>61</v>
      </c>
      <c r="CX176">
        <v>65</v>
      </c>
      <c r="CY176">
        <v>71</v>
      </c>
      <c r="CZ176">
        <v>73</v>
      </c>
      <c r="DA176">
        <v>77</v>
      </c>
      <c r="DB176">
        <v>81</v>
      </c>
      <c r="DC176">
        <v>82</v>
      </c>
    </row>
    <row r="177" spans="2:107" x14ac:dyDescent="0.25">
      <c r="B177" t="s">
        <v>83</v>
      </c>
      <c r="C177">
        <v>60.472000000000001</v>
      </c>
      <c r="D177">
        <v>8.4688999999999997</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3</v>
      </c>
      <c r="BG177">
        <v>3</v>
      </c>
      <c r="BH177">
        <v>3</v>
      </c>
      <c r="BI177">
        <v>3</v>
      </c>
      <c r="BJ177">
        <v>6</v>
      </c>
      <c r="BK177">
        <v>7</v>
      </c>
      <c r="BL177">
        <v>7</v>
      </c>
      <c r="BM177">
        <v>7</v>
      </c>
      <c r="BN177">
        <v>7</v>
      </c>
      <c r="BO177">
        <v>10</v>
      </c>
      <c r="BP177">
        <v>12</v>
      </c>
      <c r="BQ177">
        <v>14</v>
      </c>
      <c r="BR177">
        <v>14</v>
      </c>
      <c r="BS177">
        <v>19</v>
      </c>
      <c r="BT177">
        <v>23</v>
      </c>
      <c r="BU177">
        <v>25</v>
      </c>
      <c r="BV177">
        <v>32</v>
      </c>
      <c r="BW177">
        <v>39</v>
      </c>
      <c r="BX177">
        <v>44</v>
      </c>
      <c r="BY177">
        <v>50</v>
      </c>
      <c r="BZ177">
        <v>59</v>
      </c>
      <c r="CA177">
        <v>62</v>
      </c>
      <c r="CB177">
        <v>71</v>
      </c>
      <c r="CC177">
        <v>76</v>
      </c>
      <c r="CD177">
        <v>89</v>
      </c>
      <c r="CE177">
        <v>101</v>
      </c>
      <c r="CF177">
        <v>108</v>
      </c>
      <c r="CG177">
        <v>113</v>
      </c>
      <c r="CH177">
        <v>119</v>
      </c>
      <c r="CI177">
        <v>128</v>
      </c>
      <c r="CJ177">
        <v>134</v>
      </c>
      <c r="CK177">
        <v>139</v>
      </c>
      <c r="CL177">
        <v>150</v>
      </c>
      <c r="CM177">
        <v>152</v>
      </c>
      <c r="CN177">
        <v>161</v>
      </c>
      <c r="CO177">
        <v>164</v>
      </c>
      <c r="CP177">
        <v>165</v>
      </c>
      <c r="CQ177">
        <v>181</v>
      </c>
      <c r="CR177">
        <v>182</v>
      </c>
      <c r="CS177">
        <v>187</v>
      </c>
      <c r="CT177">
        <v>194</v>
      </c>
      <c r="CU177">
        <v>199</v>
      </c>
      <c r="CV177">
        <v>201</v>
      </c>
      <c r="CW177">
        <v>201</v>
      </c>
      <c r="CX177">
        <v>205</v>
      </c>
      <c r="CY177">
        <v>206</v>
      </c>
      <c r="CZ177">
        <v>207</v>
      </c>
      <c r="DA177">
        <v>210</v>
      </c>
      <c r="DB177">
        <v>210</v>
      </c>
      <c r="DC177">
        <v>211</v>
      </c>
    </row>
    <row r="178" spans="2:107" x14ac:dyDescent="0.25">
      <c r="B178" t="s">
        <v>69</v>
      </c>
      <c r="C178">
        <v>21</v>
      </c>
      <c r="D178">
        <v>57</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c r="BL178">
        <v>0</v>
      </c>
      <c r="BM178">
        <v>0</v>
      </c>
      <c r="BN178">
        <v>0</v>
      </c>
      <c r="BO178">
        <v>0</v>
      </c>
      <c r="BP178">
        <v>0</v>
      </c>
      <c r="BQ178">
        <v>0</v>
      </c>
      <c r="BR178">
        <v>0</v>
      </c>
      <c r="BS178">
        <v>0</v>
      </c>
      <c r="BT178">
        <v>0</v>
      </c>
      <c r="BU178">
        <v>0</v>
      </c>
      <c r="BV178">
        <v>0</v>
      </c>
      <c r="BW178">
        <v>1</v>
      </c>
      <c r="BX178">
        <v>1</v>
      </c>
      <c r="BY178">
        <v>1</v>
      </c>
      <c r="BZ178">
        <v>1</v>
      </c>
      <c r="CA178">
        <v>2</v>
      </c>
      <c r="CB178">
        <v>2</v>
      </c>
      <c r="CC178">
        <v>2</v>
      </c>
      <c r="CD178">
        <v>2</v>
      </c>
      <c r="CE178">
        <v>2</v>
      </c>
      <c r="CF178">
        <v>3</v>
      </c>
      <c r="CG178">
        <v>3</v>
      </c>
      <c r="CH178">
        <v>3</v>
      </c>
      <c r="CI178">
        <v>4</v>
      </c>
      <c r="CJ178">
        <v>4</v>
      </c>
      <c r="CK178">
        <v>4</v>
      </c>
      <c r="CL178">
        <v>4</v>
      </c>
      <c r="CM178">
        <v>4</v>
      </c>
      <c r="CN178">
        <v>6</v>
      </c>
      <c r="CO178">
        <v>6</v>
      </c>
      <c r="CP178">
        <v>7</v>
      </c>
      <c r="CQ178">
        <v>7</v>
      </c>
      <c r="CR178">
        <v>8</v>
      </c>
      <c r="CS178">
        <v>8</v>
      </c>
      <c r="CT178">
        <v>9</v>
      </c>
      <c r="CU178">
        <v>10</v>
      </c>
      <c r="CV178">
        <v>10</v>
      </c>
      <c r="CW178">
        <v>10</v>
      </c>
      <c r="CX178">
        <v>10</v>
      </c>
      <c r="CY178">
        <v>10</v>
      </c>
      <c r="CZ178">
        <v>10</v>
      </c>
      <c r="DA178">
        <v>11</v>
      </c>
      <c r="DB178">
        <v>11</v>
      </c>
      <c r="DC178">
        <v>12</v>
      </c>
    </row>
    <row r="179" spans="2:107" x14ac:dyDescent="0.25">
      <c r="B179" t="s">
        <v>78</v>
      </c>
      <c r="C179">
        <v>30.375299999999999</v>
      </c>
      <c r="D179">
        <v>69.345100000000002</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2</v>
      </c>
      <c r="BL179">
        <v>3</v>
      </c>
      <c r="BM179">
        <v>3</v>
      </c>
      <c r="BN179">
        <v>5</v>
      </c>
      <c r="BO179">
        <v>6</v>
      </c>
      <c r="BP179">
        <v>7</v>
      </c>
      <c r="BQ179">
        <v>8</v>
      </c>
      <c r="BR179">
        <v>9</v>
      </c>
      <c r="BS179">
        <v>11</v>
      </c>
      <c r="BT179">
        <v>12</v>
      </c>
      <c r="BU179">
        <v>14</v>
      </c>
      <c r="BV179">
        <v>21</v>
      </c>
      <c r="BW179">
        <v>26</v>
      </c>
      <c r="BX179">
        <v>27</v>
      </c>
      <c r="BY179">
        <v>34</v>
      </c>
      <c r="BZ179">
        <v>40</v>
      </c>
      <c r="CA179">
        <v>41</v>
      </c>
      <c r="CB179">
        <v>47</v>
      </c>
      <c r="CC179">
        <v>53</v>
      </c>
      <c r="CD179">
        <v>57</v>
      </c>
      <c r="CE179">
        <v>61</v>
      </c>
      <c r="CF179">
        <v>65</v>
      </c>
      <c r="CG179">
        <v>66</v>
      </c>
      <c r="CH179">
        <v>86</v>
      </c>
      <c r="CI179">
        <v>91</v>
      </c>
      <c r="CJ179">
        <v>93</v>
      </c>
      <c r="CK179">
        <v>96</v>
      </c>
      <c r="CL179">
        <v>111</v>
      </c>
      <c r="CM179">
        <v>128</v>
      </c>
      <c r="CN179">
        <v>135</v>
      </c>
      <c r="CO179">
        <v>143</v>
      </c>
      <c r="CP179">
        <v>168</v>
      </c>
      <c r="CQ179">
        <v>176</v>
      </c>
      <c r="CR179">
        <v>201</v>
      </c>
      <c r="CS179">
        <v>212</v>
      </c>
      <c r="CT179">
        <v>237</v>
      </c>
      <c r="CU179">
        <v>253</v>
      </c>
      <c r="CV179">
        <v>269</v>
      </c>
      <c r="CW179">
        <v>281</v>
      </c>
      <c r="CX179">
        <v>292</v>
      </c>
      <c r="CY179">
        <v>312</v>
      </c>
      <c r="CZ179">
        <v>343</v>
      </c>
      <c r="DA179">
        <v>385</v>
      </c>
      <c r="DB179">
        <v>417</v>
      </c>
      <c r="DC179">
        <v>440</v>
      </c>
    </row>
    <row r="180" spans="2:107" x14ac:dyDescent="0.25">
      <c r="B180" t="s">
        <v>152</v>
      </c>
      <c r="C180">
        <v>8.5380000000000003</v>
      </c>
      <c r="D180">
        <v>-80.7821</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1</v>
      </c>
      <c r="BD180">
        <v>1</v>
      </c>
      <c r="BE180">
        <v>1</v>
      </c>
      <c r="BF180">
        <v>1</v>
      </c>
      <c r="BG180">
        <v>1</v>
      </c>
      <c r="BH180">
        <v>1</v>
      </c>
      <c r="BI180">
        <v>1</v>
      </c>
      <c r="BJ180">
        <v>1</v>
      </c>
      <c r="BK180">
        <v>1</v>
      </c>
      <c r="BL180">
        <v>1</v>
      </c>
      <c r="BM180">
        <v>1</v>
      </c>
      <c r="BN180">
        <v>3</v>
      </c>
      <c r="BO180">
        <v>6</v>
      </c>
      <c r="BP180">
        <v>6</v>
      </c>
      <c r="BQ180">
        <v>8</v>
      </c>
      <c r="BR180">
        <v>8</v>
      </c>
      <c r="BS180">
        <v>9</v>
      </c>
      <c r="BT180">
        <v>14</v>
      </c>
      <c r="BU180">
        <v>17</v>
      </c>
      <c r="BV180">
        <v>24</v>
      </c>
      <c r="BW180">
        <v>30</v>
      </c>
      <c r="BX180">
        <v>30</v>
      </c>
      <c r="BY180">
        <v>32</v>
      </c>
      <c r="BZ180">
        <v>37</v>
      </c>
      <c r="CA180">
        <v>41</v>
      </c>
      <c r="CB180">
        <v>46</v>
      </c>
      <c r="CC180">
        <v>54</v>
      </c>
      <c r="CD180">
        <v>55</v>
      </c>
      <c r="CE180">
        <v>59</v>
      </c>
      <c r="CF180">
        <v>63</v>
      </c>
      <c r="CG180">
        <v>66</v>
      </c>
      <c r="CH180">
        <v>74</v>
      </c>
      <c r="CI180">
        <v>79</v>
      </c>
      <c r="CJ180">
        <v>87</v>
      </c>
      <c r="CK180">
        <v>94</v>
      </c>
      <c r="CL180">
        <v>95</v>
      </c>
      <c r="CM180">
        <v>103</v>
      </c>
      <c r="CN180">
        <v>109</v>
      </c>
      <c r="CO180">
        <v>116</v>
      </c>
      <c r="CP180">
        <v>120</v>
      </c>
      <c r="CQ180">
        <v>126</v>
      </c>
      <c r="CR180">
        <v>136</v>
      </c>
      <c r="CS180">
        <v>141</v>
      </c>
      <c r="CT180">
        <v>146</v>
      </c>
      <c r="CU180">
        <v>154</v>
      </c>
      <c r="CV180">
        <v>159</v>
      </c>
      <c r="CW180">
        <v>165</v>
      </c>
      <c r="CX180">
        <v>167</v>
      </c>
      <c r="CY180">
        <v>167</v>
      </c>
      <c r="CZ180">
        <v>178</v>
      </c>
      <c r="DA180">
        <v>188</v>
      </c>
      <c r="DB180">
        <v>192</v>
      </c>
      <c r="DC180">
        <v>197</v>
      </c>
    </row>
    <row r="181" spans="2:107" x14ac:dyDescent="0.25">
      <c r="B181" t="s">
        <v>745</v>
      </c>
      <c r="C181">
        <v>-6.3150000000000004</v>
      </c>
      <c r="D181">
        <v>143.9555</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0</v>
      </c>
      <c r="BL181">
        <v>0</v>
      </c>
      <c r="BM181">
        <v>0</v>
      </c>
      <c r="BN181">
        <v>0</v>
      </c>
      <c r="BO181">
        <v>0</v>
      </c>
      <c r="BP181">
        <v>0</v>
      </c>
      <c r="BQ181">
        <v>0</v>
      </c>
      <c r="BR181">
        <v>0</v>
      </c>
      <c r="BS181">
        <v>0</v>
      </c>
      <c r="BT181">
        <v>0</v>
      </c>
      <c r="BU181">
        <v>0</v>
      </c>
      <c r="BV181">
        <v>0</v>
      </c>
      <c r="BW181">
        <v>0</v>
      </c>
      <c r="BX181">
        <v>0</v>
      </c>
      <c r="BY181">
        <v>0</v>
      </c>
      <c r="BZ181">
        <v>0</v>
      </c>
      <c r="CA181">
        <v>0</v>
      </c>
      <c r="CB181">
        <v>0</v>
      </c>
      <c r="CC181">
        <v>0</v>
      </c>
      <c r="CD181">
        <v>0</v>
      </c>
      <c r="CE181">
        <v>0</v>
      </c>
      <c r="CF181">
        <v>0</v>
      </c>
      <c r="CG181">
        <v>0</v>
      </c>
      <c r="CH181">
        <v>0</v>
      </c>
      <c r="CI181">
        <v>0</v>
      </c>
      <c r="CJ181">
        <v>0</v>
      </c>
      <c r="CK181">
        <v>0</v>
      </c>
      <c r="CL181">
        <v>0</v>
      </c>
      <c r="CM181">
        <v>0</v>
      </c>
      <c r="CN181">
        <v>0</v>
      </c>
      <c r="CO181">
        <v>0</v>
      </c>
      <c r="CP181">
        <v>0</v>
      </c>
      <c r="CQ181">
        <v>0</v>
      </c>
      <c r="CR181">
        <v>0</v>
      </c>
      <c r="CS181">
        <v>0</v>
      </c>
      <c r="CT181">
        <v>0</v>
      </c>
      <c r="CU181">
        <v>0</v>
      </c>
      <c r="CV181">
        <v>0</v>
      </c>
      <c r="CW181">
        <v>0</v>
      </c>
      <c r="CX181">
        <v>0</v>
      </c>
      <c r="CY181">
        <v>0</v>
      </c>
      <c r="CZ181">
        <v>0</v>
      </c>
      <c r="DA181">
        <v>0</v>
      </c>
      <c r="DB181">
        <v>0</v>
      </c>
      <c r="DC181">
        <v>0</v>
      </c>
    </row>
    <row r="182" spans="2:107" x14ac:dyDescent="0.25">
      <c r="B182" t="s">
        <v>140</v>
      </c>
      <c r="C182">
        <v>-23.442499999999999</v>
      </c>
      <c r="D182">
        <v>-58.443800000000003</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c r="BJ182">
        <v>0</v>
      </c>
      <c r="BK182">
        <v>0</v>
      </c>
      <c r="BL182">
        <v>0</v>
      </c>
      <c r="BM182">
        <v>1</v>
      </c>
      <c r="BN182">
        <v>1</v>
      </c>
      <c r="BO182">
        <v>1</v>
      </c>
      <c r="BP182">
        <v>2</v>
      </c>
      <c r="BQ182">
        <v>3</v>
      </c>
      <c r="BR182">
        <v>3</v>
      </c>
      <c r="BS182">
        <v>3</v>
      </c>
      <c r="BT182">
        <v>3</v>
      </c>
      <c r="BU182">
        <v>3</v>
      </c>
      <c r="BV182">
        <v>3</v>
      </c>
      <c r="BW182">
        <v>3</v>
      </c>
      <c r="BX182">
        <v>3</v>
      </c>
      <c r="BY182">
        <v>3</v>
      </c>
      <c r="BZ182">
        <v>3</v>
      </c>
      <c r="CA182">
        <v>3</v>
      </c>
      <c r="CB182">
        <v>3</v>
      </c>
      <c r="CC182">
        <v>5</v>
      </c>
      <c r="CD182">
        <v>5</v>
      </c>
      <c r="CE182">
        <v>5</v>
      </c>
      <c r="CF182">
        <v>5</v>
      </c>
      <c r="CG182">
        <v>6</v>
      </c>
      <c r="CH182">
        <v>6</v>
      </c>
      <c r="CI182">
        <v>6</v>
      </c>
      <c r="CJ182">
        <v>6</v>
      </c>
      <c r="CK182">
        <v>7</v>
      </c>
      <c r="CL182">
        <v>8</v>
      </c>
      <c r="CM182">
        <v>8</v>
      </c>
      <c r="CN182">
        <v>8</v>
      </c>
      <c r="CO182">
        <v>8</v>
      </c>
      <c r="CP182">
        <v>8</v>
      </c>
      <c r="CQ182">
        <v>8</v>
      </c>
      <c r="CR182">
        <v>8</v>
      </c>
      <c r="CS182">
        <v>9</v>
      </c>
      <c r="CT182">
        <v>9</v>
      </c>
      <c r="CU182">
        <v>9</v>
      </c>
      <c r="CV182">
        <v>9</v>
      </c>
      <c r="CW182">
        <v>9</v>
      </c>
      <c r="CX182">
        <v>9</v>
      </c>
      <c r="CY182">
        <v>9</v>
      </c>
      <c r="CZ182">
        <v>9</v>
      </c>
      <c r="DA182">
        <v>10</v>
      </c>
      <c r="DB182">
        <v>10</v>
      </c>
      <c r="DC182">
        <v>10</v>
      </c>
    </row>
    <row r="183" spans="2:107" x14ac:dyDescent="0.25">
      <c r="B183" t="s">
        <v>129</v>
      </c>
      <c r="C183">
        <v>-9.19</v>
      </c>
      <c r="D183">
        <v>-75.015199999999993</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c r="BH183">
        <v>0</v>
      </c>
      <c r="BI183">
        <v>0</v>
      </c>
      <c r="BJ183">
        <v>0</v>
      </c>
      <c r="BK183">
        <v>0</v>
      </c>
      <c r="BL183">
        <v>3</v>
      </c>
      <c r="BM183">
        <v>5</v>
      </c>
      <c r="BN183">
        <v>5</v>
      </c>
      <c r="BO183">
        <v>5</v>
      </c>
      <c r="BP183">
        <v>7</v>
      </c>
      <c r="BQ183">
        <v>9</v>
      </c>
      <c r="BR183">
        <v>9</v>
      </c>
      <c r="BS183">
        <v>11</v>
      </c>
      <c r="BT183">
        <v>16</v>
      </c>
      <c r="BU183">
        <v>18</v>
      </c>
      <c r="BV183">
        <v>24</v>
      </c>
      <c r="BW183">
        <v>30</v>
      </c>
      <c r="BX183">
        <v>38</v>
      </c>
      <c r="BY183">
        <v>55</v>
      </c>
      <c r="BZ183">
        <v>61</v>
      </c>
      <c r="CA183">
        <v>73</v>
      </c>
      <c r="CB183">
        <v>83</v>
      </c>
      <c r="CC183">
        <v>92</v>
      </c>
      <c r="CD183">
        <v>107</v>
      </c>
      <c r="CE183">
        <v>121</v>
      </c>
      <c r="CF183">
        <v>138</v>
      </c>
      <c r="CG183">
        <v>169</v>
      </c>
      <c r="CH183">
        <v>181</v>
      </c>
      <c r="CI183">
        <v>193</v>
      </c>
      <c r="CJ183">
        <v>216</v>
      </c>
      <c r="CK183">
        <v>230</v>
      </c>
      <c r="CL183">
        <v>254</v>
      </c>
      <c r="CM183">
        <v>274</v>
      </c>
      <c r="CN183">
        <v>300</v>
      </c>
      <c r="CO183">
        <v>348</v>
      </c>
      <c r="CP183">
        <v>400</v>
      </c>
      <c r="CQ183">
        <v>445</v>
      </c>
      <c r="CR183">
        <v>484</v>
      </c>
      <c r="CS183">
        <v>530</v>
      </c>
      <c r="CT183">
        <v>572</v>
      </c>
      <c r="CU183">
        <v>634</v>
      </c>
      <c r="CV183">
        <v>700</v>
      </c>
      <c r="CW183">
        <v>728</v>
      </c>
      <c r="CX183">
        <v>782</v>
      </c>
      <c r="CY183">
        <v>854</v>
      </c>
      <c r="CZ183">
        <v>943</v>
      </c>
      <c r="DA183">
        <v>1051</v>
      </c>
      <c r="DB183">
        <v>1124</v>
      </c>
      <c r="DC183">
        <v>1200</v>
      </c>
    </row>
    <row r="184" spans="2:107" x14ac:dyDescent="0.25">
      <c r="B184" t="s">
        <v>56</v>
      </c>
      <c r="C184">
        <v>13</v>
      </c>
      <c r="D184">
        <v>122</v>
      </c>
      <c r="F184">
        <v>0</v>
      </c>
      <c r="G184">
        <v>0</v>
      </c>
      <c r="H184">
        <v>0</v>
      </c>
      <c r="I184">
        <v>0</v>
      </c>
      <c r="J184">
        <v>0</v>
      </c>
      <c r="K184">
        <v>0</v>
      </c>
      <c r="L184">
        <v>0</v>
      </c>
      <c r="M184">
        <v>0</v>
      </c>
      <c r="N184">
        <v>0</v>
      </c>
      <c r="O184">
        <v>0</v>
      </c>
      <c r="P184">
        <v>0</v>
      </c>
      <c r="Q184">
        <v>1</v>
      </c>
      <c r="R184">
        <v>1</v>
      </c>
      <c r="S184">
        <v>1</v>
      </c>
      <c r="T184">
        <v>1</v>
      </c>
      <c r="U184">
        <v>1</v>
      </c>
      <c r="V184">
        <v>1</v>
      </c>
      <c r="W184">
        <v>1</v>
      </c>
      <c r="X184">
        <v>1</v>
      </c>
      <c r="Y184">
        <v>1</v>
      </c>
      <c r="Z184">
        <v>1</v>
      </c>
      <c r="AA184">
        <v>1</v>
      </c>
      <c r="AB184">
        <v>1</v>
      </c>
      <c r="AC184">
        <v>1</v>
      </c>
      <c r="AD184">
        <v>1</v>
      </c>
      <c r="AE184">
        <v>1</v>
      </c>
      <c r="AF184">
        <v>1</v>
      </c>
      <c r="AG184">
        <v>1</v>
      </c>
      <c r="AH184">
        <v>1</v>
      </c>
      <c r="AI184">
        <v>1</v>
      </c>
      <c r="AJ184">
        <v>1</v>
      </c>
      <c r="AK184">
        <v>1</v>
      </c>
      <c r="AL184">
        <v>1</v>
      </c>
      <c r="AM184">
        <v>1</v>
      </c>
      <c r="AN184">
        <v>1</v>
      </c>
      <c r="AO184">
        <v>1</v>
      </c>
      <c r="AP184">
        <v>1</v>
      </c>
      <c r="AQ184">
        <v>1</v>
      </c>
      <c r="AR184">
        <v>1</v>
      </c>
      <c r="AS184">
        <v>1</v>
      </c>
      <c r="AT184">
        <v>1</v>
      </c>
      <c r="AU184">
        <v>1</v>
      </c>
      <c r="AV184">
        <v>1</v>
      </c>
      <c r="AW184">
        <v>1</v>
      </c>
      <c r="AX184">
        <v>1</v>
      </c>
      <c r="AY184">
        <v>1</v>
      </c>
      <c r="AZ184">
        <v>1</v>
      </c>
      <c r="BA184">
        <v>1</v>
      </c>
      <c r="BB184">
        <v>1</v>
      </c>
      <c r="BC184">
        <v>1</v>
      </c>
      <c r="BD184">
        <v>2</v>
      </c>
      <c r="BE184">
        <v>5</v>
      </c>
      <c r="BF184">
        <v>8</v>
      </c>
      <c r="BG184">
        <v>11</v>
      </c>
      <c r="BH184">
        <v>12</v>
      </c>
      <c r="BI184">
        <v>12</v>
      </c>
      <c r="BJ184">
        <v>19</v>
      </c>
      <c r="BK184">
        <v>17</v>
      </c>
      <c r="BL184">
        <v>18</v>
      </c>
      <c r="BM184">
        <v>19</v>
      </c>
      <c r="BN184">
        <v>25</v>
      </c>
      <c r="BO184">
        <v>33</v>
      </c>
      <c r="BP184">
        <v>35</v>
      </c>
      <c r="BQ184">
        <v>38</v>
      </c>
      <c r="BR184">
        <v>45</v>
      </c>
      <c r="BS184">
        <v>54</v>
      </c>
      <c r="BT184">
        <v>68</v>
      </c>
      <c r="BU184">
        <v>71</v>
      </c>
      <c r="BV184">
        <v>78</v>
      </c>
      <c r="BW184">
        <v>88</v>
      </c>
      <c r="BX184">
        <v>96</v>
      </c>
      <c r="BY184">
        <v>107</v>
      </c>
      <c r="BZ184">
        <v>136</v>
      </c>
      <c r="CA184">
        <v>144</v>
      </c>
      <c r="CB184">
        <v>152</v>
      </c>
      <c r="CC184">
        <v>163</v>
      </c>
      <c r="CD184">
        <v>177</v>
      </c>
      <c r="CE184">
        <v>182</v>
      </c>
      <c r="CF184">
        <v>203</v>
      </c>
      <c r="CG184">
        <v>221</v>
      </c>
      <c r="CH184">
        <v>247</v>
      </c>
      <c r="CI184">
        <v>297</v>
      </c>
      <c r="CJ184">
        <v>315</v>
      </c>
      <c r="CK184">
        <v>335</v>
      </c>
      <c r="CL184">
        <v>349</v>
      </c>
      <c r="CM184">
        <v>362</v>
      </c>
      <c r="CN184">
        <v>387</v>
      </c>
      <c r="CO184">
        <v>397</v>
      </c>
      <c r="CP184">
        <v>409</v>
      </c>
      <c r="CQ184">
        <v>428</v>
      </c>
      <c r="CR184">
        <v>437</v>
      </c>
      <c r="CS184">
        <v>446</v>
      </c>
      <c r="CT184">
        <v>462</v>
      </c>
      <c r="CU184">
        <v>477</v>
      </c>
      <c r="CV184">
        <v>494</v>
      </c>
      <c r="CW184">
        <v>501</v>
      </c>
      <c r="CX184">
        <v>511</v>
      </c>
      <c r="CY184">
        <v>530</v>
      </c>
      <c r="CZ184">
        <v>558</v>
      </c>
      <c r="DA184">
        <v>568</v>
      </c>
      <c r="DB184">
        <v>579</v>
      </c>
      <c r="DC184">
        <v>603</v>
      </c>
    </row>
    <row r="185" spans="2:107" x14ac:dyDescent="0.25">
      <c r="B185" t="s">
        <v>120</v>
      </c>
      <c r="C185">
        <v>51.919400000000003</v>
      </c>
      <c r="D185">
        <v>19.145099999999999</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1</v>
      </c>
      <c r="BE185">
        <v>2</v>
      </c>
      <c r="BF185">
        <v>3</v>
      </c>
      <c r="BG185">
        <v>3</v>
      </c>
      <c r="BH185">
        <v>4</v>
      </c>
      <c r="BI185">
        <v>5</v>
      </c>
      <c r="BJ185">
        <v>5</v>
      </c>
      <c r="BK185">
        <v>5</v>
      </c>
      <c r="BL185">
        <v>5</v>
      </c>
      <c r="BM185">
        <v>5</v>
      </c>
      <c r="BN185">
        <v>7</v>
      </c>
      <c r="BO185">
        <v>8</v>
      </c>
      <c r="BP185">
        <v>10</v>
      </c>
      <c r="BQ185">
        <v>14</v>
      </c>
      <c r="BR185">
        <v>16</v>
      </c>
      <c r="BS185">
        <v>16</v>
      </c>
      <c r="BT185">
        <v>18</v>
      </c>
      <c r="BU185">
        <v>22</v>
      </c>
      <c r="BV185">
        <v>31</v>
      </c>
      <c r="BW185">
        <v>33</v>
      </c>
      <c r="BX185">
        <v>43</v>
      </c>
      <c r="BY185">
        <v>57</v>
      </c>
      <c r="BZ185">
        <v>71</v>
      </c>
      <c r="CA185">
        <v>79</v>
      </c>
      <c r="CB185">
        <v>94</v>
      </c>
      <c r="CC185">
        <v>107</v>
      </c>
      <c r="CD185">
        <v>129</v>
      </c>
      <c r="CE185">
        <v>159</v>
      </c>
      <c r="CF185">
        <v>174</v>
      </c>
      <c r="CG185">
        <v>181</v>
      </c>
      <c r="CH185">
        <v>208</v>
      </c>
      <c r="CI185">
        <v>232</v>
      </c>
      <c r="CJ185">
        <v>245</v>
      </c>
      <c r="CK185">
        <v>263</v>
      </c>
      <c r="CL185">
        <v>286</v>
      </c>
      <c r="CM185">
        <v>314</v>
      </c>
      <c r="CN185">
        <v>332</v>
      </c>
      <c r="CO185">
        <v>347</v>
      </c>
      <c r="CP185">
        <v>360</v>
      </c>
      <c r="CQ185">
        <v>380</v>
      </c>
      <c r="CR185">
        <v>401</v>
      </c>
      <c r="CS185">
        <v>426</v>
      </c>
      <c r="CT185">
        <v>454</v>
      </c>
      <c r="CU185">
        <v>494</v>
      </c>
      <c r="CV185">
        <v>524</v>
      </c>
      <c r="CW185">
        <v>535</v>
      </c>
      <c r="CX185">
        <v>562</v>
      </c>
      <c r="CY185">
        <v>596</v>
      </c>
      <c r="CZ185">
        <v>624</v>
      </c>
      <c r="DA185">
        <v>644</v>
      </c>
      <c r="DB185">
        <v>651</v>
      </c>
      <c r="DC185">
        <v>664</v>
      </c>
    </row>
    <row r="186" spans="2:107" x14ac:dyDescent="0.25">
      <c r="B186" t="s">
        <v>104</v>
      </c>
      <c r="C186">
        <v>39.399900000000002</v>
      </c>
      <c r="D186">
        <v>-8.2245000000000008</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1</v>
      </c>
      <c r="BJ186">
        <v>2</v>
      </c>
      <c r="BK186">
        <v>3</v>
      </c>
      <c r="BL186">
        <v>6</v>
      </c>
      <c r="BM186">
        <v>12</v>
      </c>
      <c r="BN186">
        <v>14</v>
      </c>
      <c r="BO186">
        <v>23</v>
      </c>
      <c r="BP186">
        <v>33</v>
      </c>
      <c r="BQ186">
        <v>43</v>
      </c>
      <c r="BR186">
        <v>60</v>
      </c>
      <c r="BS186">
        <v>76</v>
      </c>
      <c r="BT186">
        <v>100</v>
      </c>
      <c r="BU186">
        <v>119</v>
      </c>
      <c r="BV186">
        <v>140</v>
      </c>
      <c r="BW186">
        <v>160</v>
      </c>
      <c r="BX186">
        <v>187</v>
      </c>
      <c r="BY186">
        <v>209</v>
      </c>
      <c r="BZ186">
        <v>246</v>
      </c>
      <c r="CA186">
        <v>266</v>
      </c>
      <c r="CB186">
        <v>295</v>
      </c>
      <c r="CC186">
        <v>311</v>
      </c>
      <c r="CD186">
        <v>345</v>
      </c>
      <c r="CE186">
        <v>380</v>
      </c>
      <c r="CF186">
        <v>409</v>
      </c>
      <c r="CG186">
        <v>435</v>
      </c>
      <c r="CH186">
        <v>470</v>
      </c>
      <c r="CI186">
        <v>504</v>
      </c>
      <c r="CJ186">
        <v>535</v>
      </c>
      <c r="CK186">
        <v>567</v>
      </c>
      <c r="CL186">
        <v>599</v>
      </c>
      <c r="CM186">
        <v>629</v>
      </c>
      <c r="CN186">
        <v>657</v>
      </c>
      <c r="CO186">
        <v>687</v>
      </c>
      <c r="CP186">
        <v>714</v>
      </c>
      <c r="CQ186">
        <v>735</v>
      </c>
      <c r="CR186">
        <v>762</v>
      </c>
      <c r="CS186">
        <v>785</v>
      </c>
      <c r="CT186">
        <v>820</v>
      </c>
      <c r="CU186">
        <v>854</v>
      </c>
      <c r="CV186">
        <v>880</v>
      </c>
      <c r="CW186">
        <v>903</v>
      </c>
      <c r="CX186">
        <v>928</v>
      </c>
      <c r="CY186">
        <v>948</v>
      </c>
      <c r="CZ186">
        <v>973</v>
      </c>
      <c r="DA186">
        <v>989</v>
      </c>
      <c r="DB186">
        <v>1007</v>
      </c>
      <c r="DC186">
        <v>1023</v>
      </c>
    </row>
    <row r="187" spans="2:107" x14ac:dyDescent="0.25">
      <c r="B187" t="s">
        <v>98</v>
      </c>
      <c r="C187">
        <v>25.354800000000001</v>
      </c>
      <c r="D187">
        <v>51.183900000000001</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c r="BM187">
        <v>0</v>
      </c>
      <c r="BN187">
        <v>0</v>
      </c>
      <c r="BO187">
        <v>0</v>
      </c>
      <c r="BP187">
        <v>0</v>
      </c>
      <c r="BQ187">
        <v>0</v>
      </c>
      <c r="BR187">
        <v>0</v>
      </c>
      <c r="BS187">
        <v>0</v>
      </c>
      <c r="BT187">
        <v>1</v>
      </c>
      <c r="BU187">
        <v>1</v>
      </c>
      <c r="BV187">
        <v>1</v>
      </c>
      <c r="BW187">
        <v>2</v>
      </c>
      <c r="BX187">
        <v>2</v>
      </c>
      <c r="BY187">
        <v>3</v>
      </c>
      <c r="BZ187">
        <v>3</v>
      </c>
      <c r="CA187">
        <v>3</v>
      </c>
      <c r="CB187">
        <v>4</v>
      </c>
      <c r="CC187">
        <v>4</v>
      </c>
      <c r="CD187">
        <v>6</v>
      </c>
      <c r="CE187">
        <v>6</v>
      </c>
      <c r="CF187">
        <v>6</v>
      </c>
      <c r="CG187">
        <v>6</v>
      </c>
      <c r="CH187">
        <v>6</v>
      </c>
      <c r="CI187">
        <v>7</v>
      </c>
      <c r="CJ187">
        <v>7</v>
      </c>
      <c r="CK187">
        <v>7</v>
      </c>
      <c r="CL187">
        <v>7</v>
      </c>
      <c r="CM187">
        <v>7</v>
      </c>
      <c r="CN187">
        <v>7</v>
      </c>
      <c r="CO187">
        <v>8</v>
      </c>
      <c r="CP187">
        <v>8</v>
      </c>
      <c r="CQ187">
        <v>9</v>
      </c>
      <c r="CR187">
        <v>9</v>
      </c>
      <c r="CS187">
        <v>10</v>
      </c>
      <c r="CT187">
        <v>10</v>
      </c>
      <c r="CU187">
        <v>10</v>
      </c>
      <c r="CV187">
        <v>10</v>
      </c>
      <c r="CW187">
        <v>10</v>
      </c>
      <c r="CX187">
        <v>10</v>
      </c>
      <c r="CY187">
        <v>10</v>
      </c>
      <c r="CZ187">
        <v>10</v>
      </c>
      <c r="DA187">
        <v>10</v>
      </c>
      <c r="DB187">
        <v>12</v>
      </c>
      <c r="DC187">
        <v>12</v>
      </c>
    </row>
    <row r="188" spans="2:107" x14ac:dyDescent="0.25">
      <c r="B188" t="s">
        <v>84</v>
      </c>
      <c r="C188">
        <v>45.943199999999997</v>
      </c>
      <c r="D188">
        <v>24.966799999999999</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c r="BJ188">
        <v>0</v>
      </c>
      <c r="BK188">
        <v>0</v>
      </c>
      <c r="BL188">
        <v>0</v>
      </c>
      <c r="BM188">
        <v>0</v>
      </c>
      <c r="BN188">
        <v>3</v>
      </c>
      <c r="BO188">
        <v>7</v>
      </c>
      <c r="BP188">
        <v>11</v>
      </c>
      <c r="BQ188">
        <v>17</v>
      </c>
      <c r="BR188">
        <v>23</v>
      </c>
      <c r="BS188">
        <v>26</v>
      </c>
      <c r="BT188">
        <v>37</v>
      </c>
      <c r="BU188">
        <v>43</v>
      </c>
      <c r="BV188">
        <v>65</v>
      </c>
      <c r="BW188">
        <v>82</v>
      </c>
      <c r="BX188">
        <v>92</v>
      </c>
      <c r="BY188">
        <v>115</v>
      </c>
      <c r="BZ188">
        <v>133</v>
      </c>
      <c r="CA188">
        <v>146</v>
      </c>
      <c r="CB188">
        <v>151</v>
      </c>
      <c r="CC188">
        <v>176</v>
      </c>
      <c r="CD188">
        <v>197</v>
      </c>
      <c r="CE188">
        <v>220</v>
      </c>
      <c r="CF188">
        <v>248</v>
      </c>
      <c r="CG188">
        <v>270</v>
      </c>
      <c r="CH188">
        <v>291</v>
      </c>
      <c r="CI188">
        <v>316</v>
      </c>
      <c r="CJ188">
        <v>331</v>
      </c>
      <c r="CK188">
        <v>351</v>
      </c>
      <c r="CL188">
        <v>372</v>
      </c>
      <c r="CM188">
        <v>392</v>
      </c>
      <c r="CN188">
        <v>411</v>
      </c>
      <c r="CO188">
        <v>421</v>
      </c>
      <c r="CP188">
        <v>451</v>
      </c>
      <c r="CQ188">
        <v>478</v>
      </c>
      <c r="CR188">
        <v>498</v>
      </c>
      <c r="CS188">
        <v>524</v>
      </c>
      <c r="CT188">
        <v>545</v>
      </c>
      <c r="CU188">
        <v>567</v>
      </c>
      <c r="CV188">
        <v>601</v>
      </c>
      <c r="CW188">
        <v>619</v>
      </c>
      <c r="CX188">
        <v>641</v>
      </c>
      <c r="CY188">
        <v>663</v>
      </c>
      <c r="CZ188">
        <v>693</v>
      </c>
      <c r="DA188">
        <v>717</v>
      </c>
      <c r="DB188">
        <v>744</v>
      </c>
      <c r="DC188">
        <v>771</v>
      </c>
    </row>
    <row r="189" spans="2:107" x14ac:dyDescent="0.25">
      <c r="B189" t="s">
        <v>59</v>
      </c>
      <c r="C189">
        <v>60</v>
      </c>
      <c r="D189">
        <v>90</v>
      </c>
      <c r="F189">
        <v>0</v>
      </c>
      <c r="G189">
        <v>0</v>
      </c>
      <c r="H189">
        <v>0</v>
      </c>
      <c r="I189">
        <v>0</v>
      </c>
      <c r="J189">
        <v>0</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c r="BJ189">
        <v>0</v>
      </c>
      <c r="BK189">
        <v>1</v>
      </c>
      <c r="BL189">
        <v>1</v>
      </c>
      <c r="BM189">
        <v>1</v>
      </c>
      <c r="BN189">
        <v>1</v>
      </c>
      <c r="BO189">
        <v>1</v>
      </c>
      <c r="BP189">
        <v>1</v>
      </c>
      <c r="BQ189">
        <v>3</v>
      </c>
      <c r="BR189">
        <v>3</v>
      </c>
      <c r="BS189">
        <v>4</v>
      </c>
      <c r="BT189">
        <v>4</v>
      </c>
      <c r="BU189">
        <v>8</v>
      </c>
      <c r="BV189">
        <v>9</v>
      </c>
      <c r="BW189">
        <v>17</v>
      </c>
      <c r="BX189">
        <v>24</v>
      </c>
      <c r="BY189">
        <v>30</v>
      </c>
      <c r="BZ189">
        <v>34</v>
      </c>
      <c r="CA189">
        <v>43</v>
      </c>
      <c r="CB189">
        <v>45</v>
      </c>
      <c r="CC189">
        <v>47</v>
      </c>
      <c r="CD189">
        <v>58</v>
      </c>
      <c r="CE189">
        <v>63</v>
      </c>
      <c r="CF189">
        <v>76</v>
      </c>
      <c r="CG189">
        <v>94</v>
      </c>
      <c r="CH189">
        <v>106</v>
      </c>
      <c r="CI189">
        <v>130</v>
      </c>
      <c r="CJ189">
        <v>148</v>
      </c>
      <c r="CK189">
        <v>170</v>
      </c>
      <c r="CL189">
        <v>198</v>
      </c>
      <c r="CM189">
        <v>232</v>
      </c>
      <c r="CN189">
        <v>273</v>
      </c>
      <c r="CO189">
        <v>313</v>
      </c>
      <c r="CP189">
        <v>361</v>
      </c>
      <c r="CQ189">
        <v>405</v>
      </c>
      <c r="CR189">
        <v>456</v>
      </c>
      <c r="CS189">
        <v>513</v>
      </c>
      <c r="CT189">
        <v>555</v>
      </c>
      <c r="CU189">
        <v>615</v>
      </c>
      <c r="CV189">
        <v>681</v>
      </c>
      <c r="CW189">
        <v>747</v>
      </c>
      <c r="CX189">
        <v>794</v>
      </c>
      <c r="CY189">
        <v>867</v>
      </c>
      <c r="CZ189">
        <v>972</v>
      </c>
      <c r="DA189">
        <v>1073</v>
      </c>
      <c r="DB189">
        <v>1169</v>
      </c>
      <c r="DC189">
        <v>1222</v>
      </c>
    </row>
    <row r="190" spans="2:107" x14ac:dyDescent="0.25">
      <c r="B190" t="s">
        <v>367</v>
      </c>
      <c r="C190">
        <v>-1.9402999999999999</v>
      </c>
      <c r="D190">
        <v>29.873899999999999</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c r="BM190">
        <v>0</v>
      </c>
      <c r="BN190">
        <v>0</v>
      </c>
      <c r="BO190">
        <v>0</v>
      </c>
      <c r="BP190">
        <v>0</v>
      </c>
      <c r="BQ190">
        <v>0</v>
      </c>
      <c r="BR190">
        <v>0</v>
      </c>
      <c r="BS190">
        <v>0</v>
      </c>
      <c r="BT190">
        <v>0</v>
      </c>
      <c r="BU190">
        <v>0</v>
      </c>
      <c r="BV190">
        <v>0</v>
      </c>
      <c r="BW190">
        <v>0</v>
      </c>
      <c r="BX190">
        <v>0</v>
      </c>
      <c r="BY190">
        <v>0</v>
      </c>
      <c r="BZ190">
        <v>0</v>
      </c>
      <c r="CA190">
        <v>0</v>
      </c>
      <c r="CB190">
        <v>0</v>
      </c>
      <c r="CC190">
        <v>0</v>
      </c>
      <c r="CD190">
        <v>0</v>
      </c>
      <c r="CE190">
        <v>0</v>
      </c>
      <c r="CF190">
        <v>0</v>
      </c>
      <c r="CG190">
        <v>0</v>
      </c>
      <c r="CH190">
        <v>0</v>
      </c>
      <c r="CI190">
        <v>0</v>
      </c>
      <c r="CJ190">
        <v>0</v>
      </c>
      <c r="CK190">
        <v>0</v>
      </c>
      <c r="CL190">
        <v>0</v>
      </c>
      <c r="CM190">
        <v>0</v>
      </c>
      <c r="CN190">
        <v>0</v>
      </c>
      <c r="CO190">
        <v>0</v>
      </c>
      <c r="CP190">
        <v>0</v>
      </c>
      <c r="CQ190">
        <v>0</v>
      </c>
      <c r="CR190">
        <v>0</v>
      </c>
      <c r="CS190">
        <v>0</v>
      </c>
      <c r="CT190">
        <v>0</v>
      </c>
      <c r="CU190">
        <v>0</v>
      </c>
      <c r="CV190">
        <v>0</v>
      </c>
      <c r="CW190">
        <v>0</v>
      </c>
      <c r="CX190">
        <v>0</v>
      </c>
      <c r="CY190">
        <v>0</v>
      </c>
      <c r="CZ190">
        <v>0</v>
      </c>
      <c r="DA190">
        <v>0</v>
      </c>
      <c r="DB190">
        <v>0</v>
      </c>
      <c r="DC190">
        <v>0</v>
      </c>
    </row>
    <row r="191" spans="2:107" x14ac:dyDescent="0.25">
      <c r="B191" t="s">
        <v>368</v>
      </c>
      <c r="C191">
        <v>13.9094</v>
      </c>
      <c r="D191">
        <v>-60.978900000000003</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c r="BL191">
        <v>0</v>
      </c>
      <c r="BM191">
        <v>0</v>
      </c>
      <c r="BN191">
        <v>0</v>
      </c>
      <c r="BO191">
        <v>0</v>
      </c>
      <c r="BP191">
        <v>0</v>
      </c>
      <c r="BQ191">
        <v>0</v>
      </c>
      <c r="BR191">
        <v>0</v>
      </c>
      <c r="BS191">
        <v>0</v>
      </c>
      <c r="BT191">
        <v>0</v>
      </c>
      <c r="BU191">
        <v>0</v>
      </c>
      <c r="BV191">
        <v>0</v>
      </c>
      <c r="BW191">
        <v>0</v>
      </c>
      <c r="BX191">
        <v>0</v>
      </c>
      <c r="BY191">
        <v>0</v>
      </c>
      <c r="BZ191">
        <v>0</v>
      </c>
      <c r="CA191">
        <v>0</v>
      </c>
      <c r="CB191">
        <v>0</v>
      </c>
      <c r="CC191">
        <v>0</v>
      </c>
      <c r="CD191">
        <v>0</v>
      </c>
      <c r="CE191">
        <v>0</v>
      </c>
      <c r="CF191">
        <v>0</v>
      </c>
      <c r="CG191">
        <v>0</v>
      </c>
      <c r="CH191">
        <v>0</v>
      </c>
      <c r="CI191">
        <v>0</v>
      </c>
      <c r="CJ191">
        <v>0</v>
      </c>
      <c r="CK191">
        <v>0</v>
      </c>
      <c r="CL191">
        <v>0</v>
      </c>
      <c r="CM191">
        <v>0</v>
      </c>
      <c r="CN191">
        <v>0</v>
      </c>
      <c r="CO191">
        <v>0</v>
      </c>
      <c r="CP191">
        <v>0</v>
      </c>
      <c r="CQ191">
        <v>0</v>
      </c>
      <c r="CR191">
        <v>0</v>
      </c>
      <c r="CS191">
        <v>0</v>
      </c>
      <c r="CT191">
        <v>0</v>
      </c>
      <c r="CU191">
        <v>0</v>
      </c>
      <c r="CV191">
        <v>0</v>
      </c>
      <c r="CW191">
        <v>0</v>
      </c>
      <c r="CX191">
        <v>0</v>
      </c>
      <c r="CY191">
        <v>0</v>
      </c>
      <c r="CZ191">
        <v>0</v>
      </c>
      <c r="DA191">
        <v>0</v>
      </c>
      <c r="DB191">
        <v>0</v>
      </c>
      <c r="DC191">
        <v>0</v>
      </c>
    </row>
    <row r="192" spans="2:107" x14ac:dyDescent="0.25">
      <c r="B192" t="s">
        <v>369</v>
      </c>
      <c r="C192">
        <v>12.984299999999999</v>
      </c>
      <c r="D192">
        <v>-61.287199999999999</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c r="BM192">
        <v>0</v>
      </c>
      <c r="BN192">
        <v>0</v>
      </c>
      <c r="BO192">
        <v>0</v>
      </c>
      <c r="BP192">
        <v>0</v>
      </c>
      <c r="BQ192">
        <v>0</v>
      </c>
      <c r="BR192">
        <v>0</v>
      </c>
      <c r="BS192">
        <v>0</v>
      </c>
      <c r="BT192">
        <v>0</v>
      </c>
      <c r="BU192">
        <v>0</v>
      </c>
      <c r="BV192">
        <v>0</v>
      </c>
      <c r="BW192">
        <v>0</v>
      </c>
      <c r="BX192">
        <v>0</v>
      </c>
      <c r="BY192">
        <v>0</v>
      </c>
      <c r="BZ192">
        <v>0</v>
      </c>
      <c r="CA192">
        <v>0</v>
      </c>
      <c r="CB192">
        <v>0</v>
      </c>
      <c r="CC192">
        <v>0</v>
      </c>
      <c r="CD192">
        <v>0</v>
      </c>
      <c r="CE192">
        <v>0</v>
      </c>
      <c r="CF192">
        <v>0</v>
      </c>
      <c r="CG192">
        <v>0</v>
      </c>
      <c r="CH192">
        <v>0</v>
      </c>
      <c r="CI192">
        <v>0</v>
      </c>
      <c r="CJ192">
        <v>0</v>
      </c>
      <c r="CK192">
        <v>0</v>
      </c>
      <c r="CL192">
        <v>0</v>
      </c>
      <c r="CM192">
        <v>0</v>
      </c>
      <c r="CN192">
        <v>0</v>
      </c>
      <c r="CO192">
        <v>0</v>
      </c>
      <c r="CP192">
        <v>0</v>
      </c>
      <c r="CQ192">
        <v>0</v>
      </c>
      <c r="CR192">
        <v>0</v>
      </c>
      <c r="CS192">
        <v>0</v>
      </c>
      <c r="CT192">
        <v>0</v>
      </c>
      <c r="CU192">
        <v>0</v>
      </c>
      <c r="CV192">
        <v>0</v>
      </c>
      <c r="CW192">
        <v>0</v>
      </c>
      <c r="CX192">
        <v>0</v>
      </c>
      <c r="CY192">
        <v>0</v>
      </c>
      <c r="CZ192">
        <v>0</v>
      </c>
      <c r="DA192">
        <v>0</v>
      </c>
      <c r="DB192">
        <v>0</v>
      </c>
      <c r="DC192">
        <v>0</v>
      </c>
    </row>
    <row r="193" spans="2:107" x14ac:dyDescent="0.25">
      <c r="B193" t="s">
        <v>88</v>
      </c>
      <c r="C193">
        <v>43.942399999999999</v>
      </c>
      <c r="D193">
        <v>12.457800000000001</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1</v>
      </c>
      <c r="AV193">
        <v>1</v>
      </c>
      <c r="AW193">
        <v>1</v>
      </c>
      <c r="AX193">
        <v>1</v>
      </c>
      <c r="AY193">
        <v>1</v>
      </c>
      <c r="AZ193">
        <v>1</v>
      </c>
      <c r="BA193">
        <v>1</v>
      </c>
      <c r="BB193">
        <v>2</v>
      </c>
      <c r="BC193">
        <v>2</v>
      </c>
      <c r="BD193">
        <v>3</v>
      </c>
      <c r="BE193">
        <v>5</v>
      </c>
      <c r="BF193">
        <v>5</v>
      </c>
      <c r="BG193">
        <v>5</v>
      </c>
      <c r="BH193">
        <v>7</v>
      </c>
      <c r="BI193">
        <v>7</v>
      </c>
      <c r="BJ193">
        <v>11</v>
      </c>
      <c r="BK193">
        <v>11</v>
      </c>
      <c r="BL193">
        <v>14</v>
      </c>
      <c r="BM193">
        <v>20</v>
      </c>
      <c r="BN193">
        <v>20</v>
      </c>
      <c r="BO193">
        <v>20</v>
      </c>
      <c r="BP193">
        <v>21</v>
      </c>
      <c r="BQ193">
        <v>21</v>
      </c>
      <c r="BR193">
        <v>21</v>
      </c>
      <c r="BS193">
        <v>21</v>
      </c>
      <c r="BT193">
        <v>22</v>
      </c>
      <c r="BU193">
        <v>22</v>
      </c>
      <c r="BV193">
        <v>25</v>
      </c>
      <c r="BW193">
        <v>26</v>
      </c>
      <c r="BX193">
        <v>26</v>
      </c>
      <c r="BY193">
        <v>30</v>
      </c>
      <c r="BZ193">
        <v>30</v>
      </c>
      <c r="CA193">
        <v>32</v>
      </c>
      <c r="CB193">
        <v>32</v>
      </c>
      <c r="CC193">
        <v>32</v>
      </c>
      <c r="CD193">
        <v>34</v>
      </c>
      <c r="CE193">
        <v>34</v>
      </c>
      <c r="CF193">
        <v>34</v>
      </c>
      <c r="CG193">
        <v>34</v>
      </c>
      <c r="CH193">
        <v>35</v>
      </c>
      <c r="CI193">
        <v>35</v>
      </c>
      <c r="CJ193">
        <v>35</v>
      </c>
      <c r="CK193">
        <v>36</v>
      </c>
      <c r="CL193">
        <v>36</v>
      </c>
      <c r="CM193">
        <v>38</v>
      </c>
      <c r="CN193">
        <v>39</v>
      </c>
      <c r="CO193">
        <v>39</v>
      </c>
      <c r="CP193">
        <v>39</v>
      </c>
      <c r="CQ193">
        <v>39</v>
      </c>
      <c r="CR193">
        <v>40</v>
      </c>
      <c r="CS193">
        <v>40</v>
      </c>
      <c r="CT193">
        <v>40</v>
      </c>
      <c r="CU193">
        <v>40</v>
      </c>
      <c r="CV193">
        <v>40</v>
      </c>
      <c r="CW193">
        <v>41</v>
      </c>
      <c r="CX193">
        <v>41</v>
      </c>
      <c r="CY193">
        <v>41</v>
      </c>
      <c r="CZ193">
        <v>41</v>
      </c>
      <c r="DA193">
        <v>41</v>
      </c>
      <c r="DB193">
        <v>41</v>
      </c>
      <c r="DC193">
        <v>41</v>
      </c>
    </row>
    <row r="194" spans="2:107" x14ac:dyDescent="0.25">
      <c r="B194" t="s">
        <v>109</v>
      </c>
      <c r="C194">
        <v>24</v>
      </c>
      <c r="D194">
        <v>45</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0</v>
      </c>
      <c r="BJ194">
        <v>0</v>
      </c>
      <c r="BK194">
        <v>0</v>
      </c>
      <c r="BL194">
        <v>0</v>
      </c>
      <c r="BM194">
        <v>0</v>
      </c>
      <c r="BN194">
        <v>0</v>
      </c>
      <c r="BO194">
        <v>0</v>
      </c>
      <c r="BP194">
        <v>1</v>
      </c>
      <c r="BQ194">
        <v>2</v>
      </c>
      <c r="BR194">
        <v>3</v>
      </c>
      <c r="BS194">
        <v>3</v>
      </c>
      <c r="BT194">
        <v>4</v>
      </c>
      <c r="BU194">
        <v>8</v>
      </c>
      <c r="BV194">
        <v>8</v>
      </c>
      <c r="BW194">
        <v>10</v>
      </c>
      <c r="BX194">
        <v>16</v>
      </c>
      <c r="BY194">
        <v>21</v>
      </c>
      <c r="BZ194">
        <v>25</v>
      </c>
      <c r="CA194">
        <v>29</v>
      </c>
      <c r="CB194">
        <v>34</v>
      </c>
      <c r="CC194">
        <v>38</v>
      </c>
      <c r="CD194">
        <v>41</v>
      </c>
      <c r="CE194">
        <v>41</v>
      </c>
      <c r="CF194">
        <v>44</v>
      </c>
      <c r="CG194">
        <v>47</v>
      </c>
      <c r="CH194">
        <v>52</v>
      </c>
      <c r="CI194">
        <v>59</v>
      </c>
      <c r="CJ194">
        <v>65</v>
      </c>
      <c r="CK194">
        <v>73</v>
      </c>
      <c r="CL194">
        <v>79</v>
      </c>
      <c r="CM194">
        <v>83</v>
      </c>
      <c r="CN194">
        <v>87</v>
      </c>
      <c r="CO194">
        <v>92</v>
      </c>
      <c r="CP194">
        <v>97</v>
      </c>
      <c r="CQ194">
        <v>103</v>
      </c>
      <c r="CR194">
        <v>109</v>
      </c>
      <c r="CS194">
        <v>114</v>
      </c>
      <c r="CT194">
        <v>121</v>
      </c>
      <c r="CU194">
        <v>127</v>
      </c>
      <c r="CV194">
        <v>136</v>
      </c>
      <c r="CW194">
        <v>139</v>
      </c>
      <c r="CX194">
        <v>144</v>
      </c>
      <c r="CY194">
        <v>152</v>
      </c>
      <c r="CZ194">
        <v>157</v>
      </c>
      <c r="DA194">
        <v>162</v>
      </c>
      <c r="DB194">
        <v>169</v>
      </c>
      <c r="DC194">
        <v>176</v>
      </c>
    </row>
    <row r="195" spans="2:107" x14ac:dyDescent="0.25">
      <c r="B195" t="s">
        <v>110</v>
      </c>
      <c r="C195">
        <v>14.497400000000001</v>
      </c>
      <c r="D195">
        <v>-14.452400000000001</v>
      </c>
      <c r="F195">
        <v>0</v>
      </c>
      <c r="G195">
        <v>0</v>
      </c>
      <c r="H195">
        <v>0</v>
      </c>
      <c r="I195">
        <v>0</v>
      </c>
      <c r="J195">
        <v>0</v>
      </c>
      <c r="K195">
        <v>0</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0</v>
      </c>
      <c r="BK195">
        <v>0</v>
      </c>
      <c r="BL195">
        <v>0</v>
      </c>
      <c r="BM195">
        <v>0</v>
      </c>
      <c r="BN195">
        <v>0</v>
      </c>
      <c r="BO195">
        <v>0</v>
      </c>
      <c r="BP195">
        <v>0</v>
      </c>
      <c r="BQ195">
        <v>0</v>
      </c>
      <c r="BR195">
        <v>0</v>
      </c>
      <c r="BS195">
        <v>0</v>
      </c>
      <c r="BT195">
        <v>0</v>
      </c>
      <c r="BU195">
        <v>0</v>
      </c>
      <c r="BV195">
        <v>0</v>
      </c>
      <c r="BW195">
        <v>0</v>
      </c>
      <c r="BX195">
        <v>1</v>
      </c>
      <c r="BY195">
        <v>1</v>
      </c>
      <c r="BZ195">
        <v>1</v>
      </c>
      <c r="CA195">
        <v>2</v>
      </c>
      <c r="CB195">
        <v>2</v>
      </c>
      <c r="CC195">
        <v>2</v>
      </c>
      <c r="CD195">
        <v>2</v>
      </c>
      <c r="CE195">
        <v>2</v>
      </c>
      <c r="CF195">
        <v>2</v>
      </c>
      <c r="CG195">
        <v>2</v>
      </c>
      <c r="CH195">
        <v>2</v>
      </c>
      <c r="CI195">
        <v>2</v>
      </c>
      <c r="CJ195">
        <v>2</v>
      </c>
      <c r="CK195">
        <v>2</v>
      </c>
      <c r="CL195">
        <v>2</v>
      </c>
      <c r="CM195">
        <v>2</v>
      </c>
      <c r="CN195">
        <v>2</v>
      </c>
      <c r="CO195">
        <v>3</v>
      </c>
      <c r="CP195">
        <v>3</v>
      </c>
      <c r="CQ195">
        <v>5</v>
      </c>
      <c r="CR195">
        <v>5</v>
      </c>
      <c r="CS195">
        <v>6</v>
      </c>
      <c r="CT195">
        <v>6</v>
      </c>
      <c r="CU195">
        <v>7</v>
      </c>
      <c r="CV195">
        <v>7</v>
      </c>
      <c r="CW195">
        <v>9</v>
      </c>
      <c r="CX195">
        <v>9</v>
      </c>
      <c r="CY195">
        <v>9</v>
      </c>
      <c r="CZ195">
        <v>9</v>
      </c>
      <c r="DA195">
        <v>9</v>
      </c>
      <c r="DB195">
        <v>9</v>
      </c>
      <c r="DC195">
        <v>9</v>
      </c>
    </row>
    <row r="196" spans="2:107" x14ac:dyDescent="0.25">
      <c r="B196" t="s">
        <v>130</v>
      </c>
      <c r="C196">
        <v>44.016500000000001</v>
      </c>
      <c r="D196">
        <v>21.0059</v>
      </c>
      <c r="F196">
        <v>0</v>
      </c>
      <c r="G196">
        <v>0</v>
      </c>
      <c r="H196">
        <v>0</v>
      </c>
      <c r="I196">
        <v>0</v>
      </c>
      <c r="J196">
        <v>0</v>
      </c>
      <c r="K196">
        <v>0</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1</v>
      </c>
      <c r="BM196">
        <v>1</v>
      </c>
      <c r="BN196">
        <v>2</v>
      </c>
      <c r="BO196">
        <v>3</v>
      </c>
      <c r="BP196">
        <v>3</v>
      </c>
      <c r="BQ196">
        <v>4</v>
      </c>
      <c r="BR196">
        <v>1</v>
      </c>
      <c r="BS196">
        <v>1</v>
      </c>
      <c r="BT196">
        <v>10</v>
      </c>
      <c r="BU196">
        <v>13</v>
      </c>
      <c r="BV196">
        <v>16</v>
      </c>
      <c r="BW196">
        <v>16</v>
      </c>
      <c r="BX196">
        <v>28</v>
      </c>
      <c r="BY196">
        <v>31</v>
      </c>
      <c r="BZ196">
        <v>39</v>
      </c>
      <c r="CA196">
        <v>44</v>
      </c>
      <c r="CB196">
        <v>51</v>
      </c>
      <c r="CC196">
        <v>58</v>
      </c>
      <c r="CD196">
        <v>61</v>
      </c>
      <c r="CE196">
        <v>65</v>
      </c>
      <c r="CF196">
        <v>66</v>
      </c>
      <c r="CG196">
        <v>71</v>
      </c>
      <c r="CH196">
        <v>74</v>
      </c>
      <c r="CI196">
        <v>80</v>
      </c>
      <c r="CJ196">
        <v>85</v>
      </c>
      <c r="CK196">
        <v>94</v>
      </c>
      <c r="CL196">
        <v>99</v>
      </c>
      <c r="CM196">
        <v>103</v>
      </c>
      <c r="CN196">
        <v>110</v>
      </c>
      <c r="CO196">
        <v>117</v>
      </c>
      <c r="CP196">
        <v>122</v>
      </c>
      <c r="CQ196">
        <v>125</v>
      </c>
      <c r="CR196">
        <v>130</v>
      </c>
      <c r="CS196">
        <v>134</v>
      </c>
      <c r="CT196">
        <v>139</v>
      </c>
      <c r="CU196">
        <v>144</v>
      </c>
      <c r="CV196">
        <v>151</v>
      </c>
      <c r="CW196">
        <v>156</v>
      </c>
      <c r="CX196">
        <v>162</v>
      </c>
      <c r="CY196">
        <v>168</v>
      </c>
      <c r="CZ196">
        <v>173</v>
      </c>
      <c r="DA196">
        <v>179</v>
      </c>
      <c r="DB196">
        <v>179</v>
      </c>
      <c r="DC196">
        <v>189</v>
      </c>
    </row>
    <row r="197" spans="2:107" x14ac:dyDescent="0.25">
      <c r="B197" t="s">
        <v>359</v>
      </c>
      <c r="C197">
        <v>-4.6795999999999998</v>
      </c>
      <c r="D197">
        <v>55.491999999999997</v>
      </c>
      <c r="F197">
        <v>0</v>
      </c>
      <c r="G197">
        <v>0</v>
      </c>
      <c r="H197">
        <v>0</v>
      </c>
      <c r="I197">
        <v>0</v>
      </c>
      <c r="J197">
        <v>0</v>
      </c>
      <c r="K197">
        <v>0</v>
      </c>
      <c r="L197">
        <v>0</v>
      </c>
      <c r="M197">
        <v>0</v>
      </c>
      <c r="N19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c r="BL197">
        <v>0</v>
      </c>
      <c r="BM197">
        <v>0</v>
      </c>
      <c r="BN197">
        <v>0</v>
      </c>
      <c r="BO197">
        <v>0</v>
      </c>
      <c r="BP197">
        <v>0</v>
      </c>
      <c r="BQ197">
        <v>0</v>
      </c>
      <c r="BR197">
        <v>0</v>
      </c>
      <c r="BS197">
        <v>0</v>
      </c>
      <c r="BT197">
        <v>0</v>
      </c>
      <c r="BU197">
        <v>0</v>
      </c>
      <c r="BV197">
        <v>0</v>
      </c>
      <c r="BW197">
        <v>0</v>
      </c>
      <c r="BX197">
        <v>0</v>
      </c>
      <c r="BY197">
        <v>0</v>
      </c>
      <c r="BZ197">
        <v>0</v>
      </c>
      <c r="CA197">
        <v>0</v>
      </c>
      <c r="CB197">
        <v>0</v>
      </c>
      <c r="CC197">
        <v>0</v>
      </c>
      <c r="CD197">
        <v>0</v>
      </c>
      <c r="CE197">
        <v>0</v>
      </c>
      <c r="CF197">
        <v>0</v>
      </c>
      <c r="CG197">
        <v>0</v>
      </c>
      <c r="CH197">
        <v>0</v>
      </c>
      <c r="CI197">
        <v>0</v>
      </c>
      <c r="CJ197">
        <v>0</v>
      </c>
      <c r="CK197">
        <v>0</v>
      </c>
      <c r="CL197">
        <v>0</v>
      </c>
      <c r="CM197">
        <v>0</v>
      </c>
      <c r="CN197">
        <v>0</v>
      </c>
      <c r="CO197">
        <v>0</v>
      </c>
      <c r="CP197">
        <v>0</v>
      </c>
      <c r="CQ197">
        <v>0</v>
      </c>
      <c r="CR197">
        <v>0</v>
      </c>
      <c r="CS197">
        <v>0</v>
      </c>
      <c r="CT197">
        <v>0</v>
      </c>
      <c r="CU197">
        <v>0</v>
      </c>
      <c r="CV197">
        <v>0</v>
      </c>
      <c r="CW197">
        <v>0</v>
      </c>
      <c r="CX197">
        <v>0</v>
      </c>
      <c r="CY197">
        <v>0</v>
      </c>
      <c r="CZ197">
        <v>0</v>
      </c>
      <c r="DA197">
        <v>0</v>
      </c>
      <c r="DB197">
        <v>0</v>
      </c>
      <c r="DC197">
        <v>0</v>
      </c>
    </row>
    <row r="198" spans="2:107" x14ac:dyDescent="0.25">
      <c r="B198" t="s">
        <v>40</v>
      </c>
      <c r="C198">
        <v>1.2833000000000001</v>
      </c>
      <c r="D198">
        <v>103.83329999999999</v>
      </c>
      <c r="F198">
        <v>0</v>
      </c>
      <c r="G198">
        <v>0</v>
      </c>
      <c r="H198">
        <v>0</v>
      </c>
      <c r="I198">
        <v>0</v>
      </c>
      <c r="J198">
        <v>0</v>
      </c>
      <c r="K198">
        <v>0</v>
      </c>
      <c r="L198">
        <v>0</v>
      </c>
      <c r="M198">
        <v>0</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c r="BL198">
        <v>0</v>
      </c>
      <c r="BM198">
        <v>2</v>
      </c>
      <c r="BN198">
        <v>2</v>
      </c>
      <c r="BO198">
        <v>2</v>
      </c>
      <c r="BP198">
        <v>2</v>
      </c>
      <c r="BQ198">
        <v>2</v>
      </c>
      <c r="BR198">
        <v>2</v>
      </c>
      <c r="BS198">
        <v>2</v>
      </c>
      <c r="BT198">
        <v>2</v>
      </c>
      <c r="BU198">
        <v>3</v>
      </c>
      <c r="BV198">
        <v>3</v>
      </c>
      <c r="BW198">
        <v>3</v>
      </c>
      <c r="BX198">
        <v>3</v>
      </c>
      <c r="BY198">
        <v>4</v>
      </c>
      <c r="BZ198">
        <v>5</v>
      </c>
      <c r="CA198">
        <v>6</v>
      </c>
      <c r="CB198">
        <v>6</v>
      </c>
      <c r="CC198">
        <v>6</v>
      </c>
      <c r="CD198">
        <v>6</v>
      </c>
      <c r="CE198">
        <v>6</v>
      </c>
      <c r="CF198">
        <v>6</v>
      </c>
      <c r="CG198">
        <v>7</v>
      </c>
      <c r="CH198">
        <v>8</v>
      </c>
      <c r="CI198">
        <v>8</v>
      </c>
      <c r="CJ198">
        <v>9</v>
      </c>
      <c r="CK198">
        <v>10</v>
      </c>
      <c r="CL198">
        <v>10</v>
      </c>
      <c r="CM198">
        <v>10</v>
      </c>
      <c r="CN198">
        <v>11</v>
      </c>
      <c r="CO198">
        <v>11</v>
      </c>
      <c r="CP198">
        <v>11</v>
      </c>
      <c r="CQ198">
        <v>11</v>
      </c>
      <c r="CR198">
        <v>11</v>
      </c>
      <c r="CS198">
        <v>12</v>
      </c>
      <c r="CT198">
        <v>12</v>
      </c>
      <c r="CU198">
        <v>12</v>
      </c>
      <c r="CV198">
        <v>12</v>
      </c>
      <c r="CW198">
        <v>12</v>
      </c>
      <c r="CX198">
        <v>14</v>
      </c>
      <c r="CY198">
        <v>14</v>
      </c>
      <c r="CZ198">
        <v>14</v>
      </c>
      <c r="DA198">
        <v>15</v>
      </c>
      <c r="DB198">
        <v>16</v>
      </c>
      <c r="DC198">
        <v>17</v>
      </c>
    </row>
    <row r="199" spans="2:107" x14ac:dyDescent="0.25">
      <c r="B199" t="s">
        <v>131</v>
      </c>
      <c r="C199">
        <v>48.668999999999997</v>
      </c>
      <c r="D199">
        <v>19.699000000000002</v>
      </c>
      <c r="F199">
        <v>0</v>
      </c>
      <c r="G199">
        <v>0</v>
      </c>
      <c r="H199">
        <v>0</v>
      </c>
      <c r="I199">
        <v>0</v>
      </c>
      <c r="J199">
        <v>0</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1</v>
      </c>
      <c r="BK199">
        <v>1</v>
      </c>
      <c r="BL199">
        <v>1</v>
      </c>
      <c r="BM199">
        <v>1</v>
      </c>
      <c r="BN199">
        <v>0</v>
      </c>
      <c r="BO199">
        <v>0</v>
      </c>
      <c r="BP199">
        <v>0</v>
      </c>
      <c r="BQ199">
        <v>0</v>
      </c>
      <c r="BR199">
        <v>0</v>
      </c>
      <c r="BS199">
        <v>0</v>
      </c>
      <c r="BT199">
        <v>0</v>
      </c>
      <c r="BU199">
        <v>0</v>
      </c>
      <c r="BV199">
        <v>0</v>
      </c>
      <c r="BW199">
        <v>0</v>
      </c>
      <c r="BX199">
        <v>1</v>
      </c>
      <c r="BY199">
        <v>1</v>
      </c>
      <c r="BZ199">
        <v>1</v>
      </c>
      <c r="CA199">
        <v>1</v>
      </c>
      <c r="CB199">
        <v>1</v>
      </c>
      <c r="CC199">
        <v>2</v>
      </c>
      <c r="CD199">
        <v>2</v>
      </c>
      <c r="CE199">
        <v>2</v>
      </c>
      <c r="CF199">
        <v>2</v>
      </c>
      <c r="CG199">
        <v>2</v>
      </c>
      <c r="CH199">
        <v>2</v>
      </c>
      <c r="CI199">
        <v>2</v>
      </c>
      <c r="CJ199">
        <v>2</v>
      </c>
      <c r="CK199">
        <v>2</v>
      </c>
      <c r="CL199">
        <v>6</v>
      </c>
      <c r="CM199">
        <v>8</v>
      </c>
      <c r="CN199">
        <v>9</v>
      </c>
      <c r="CO199">
        <v>11</v>
      </c>
      <c r="CP199">
        <v>12</v>
      </c>
      <c r="CQ199">
        <v>13</v>
      </c>
      <c r="CR199">
        <v>14</v>
      </c>
      <c r="CS199">
        <v>14</v>
      </c>
      <c r="CT199">
        <v>15</v>
      </c>
      <c r="CU199">
        <v>17</v>
      </c>
      <c r="CV199">
        <v>17</v>
      </c>
      <c r="CW199">
        <v>18</v>
      </c>
      <c r="CX199">
        <v>18</v>
      </c>
      <c r="CY199">
        <v>20</v>
      </c>
      <c r="CZ199">
        <v>22</v>
      </c>
      <c r="DA199">
        <v>23</v>
      </c>
      <c r="DB199">
        <v>23</v>
      </c>
      <c r="DC199">
        <v>24</v>
      </c>
    </row>
    <row r="200" spans="2:107" x14ac:dyDescent="0.25">
      <c r="B200" t="s">
        <v>123</v>
      </c>
      <c r="C200">
        <v>46.151200000000003</v>
      </c>
      <c r="D200">
        <v>14.9955</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1</v>
      </c>
      <c r="BG200">
        <v>1</v>
      </c>
      <c r="BH200">
        <v>1</v>
      </c>
      <c r="BI200">
        <v>1</v>
      </c>
      <c r="BJ200">
        <v>1</v>
      </c>
      <c r="BK200">
        <v>1</v>
      </c>
      <c r="BL200">
        <v>1</v>
      </c>
      <c r="BM200">
        <v>1</v>
      </c>
      <c r="BN200">
        <v>2</v>
      </c>
      <c r="BO200">
        <v>3</v>
      </c>
      <c r="BP200">
        <v>4</v>
      </c>
      <c r="BQ200">
        <v>5</v>
      </c>
      <c r="BR200">
        <v>6</v>
      </c>
      <c r="BS200">
        <v>9</v>
      </c>
      <c r="BT200">
        <v>9</v>
      </c>
      <c r="BU200">
        <v>11</v>
      </c>
      <c r="BV200">
        <v>11</v>
      </c>
      <c r="BW200">
        <v>15</v>
      </c>
      <c r="BX200">
        <v>15</v>
      </c>
      <c r="BY200">
        <v>17</v>
      </c>
      <c r="BZ200">
        <v>20</v>
      </c>
      <c r="CA200">
        <v>22</v>
      </c>
      <c r="CB200">
        <v>28</v>
      </c>
      <c r="CC200">
        <v>30</v>
      </c>
      <c r="CD200">
        <v>36</v>
      </c>
      <c r="CE200">
        <v>40</v>
      </c>
      <c r="CF200">
        <v>43</v>
      </c>
      <c r="CG200">
        <v>45</v>
      </c>
      <c r="CH200">
        <v>50</v>
      </c>
      <c r="CI200">
        <v>53</v>
      </c>
      <c r="CJ200">
        <v>55</v>
      </c>
      <c r="CK200">
        <v>56</v>
      </c>
      <c r="CL200">
        <v>61</v>
      </c>
      <c r="CM200">
        <v>61</v>
      </c>
      <c r="CN200">
        <v>66</v>
      </c>
      <c r="CO200">
        <v>70</v>
      </c>
      <c r="CP200">
        <v>74</v>
      </c>
      <c r="CQ200">
        <v>77</v>
      </c>
      <c r="CR200">
        <v>77</v>
      </c>
      <c r="CS200">
        <v>79</v>
      </c>
      <c r="CT200">
        <v>79</v>
      </c>
      <c r="CU200">
        <v>80</v>
      </c>
      <c r="CV200">
        <v>81</v>
      </c>
      <c r="CW200">
        <v>82</v>
      </c>
      <c r="CX200">
        <v>83</v>
      </c>
      <c r="CY200">
        <v>86</v>
      </c>
      <c r="CZ200">
        <v>89</v>
      </c>
      <c r="DA200">
        <v>91</v>
      </c>
      <c r="DB200">
        <v>92</v>
      </c>
      <c r="DC200">
        <v>94</v>
      </c>
    </row>
    <row r="201" spans="2:107" x14ac:dyDescent="0.25">
      <c r="B201" t="s">
        <v>664</v>
      </c>
      <c r="C201">
        <v>5.1520999999999999</v>
      </c>
      <c r="D201">
        <v>46.199599999999997</v>
      </c>
      <c r="F201">
        <v>0</v>
      </c>
      <c r="G201">
        <v>0</v>
      </c>
      <c r="H201">
        <v>0</v>
      </c>
      <c r="I201">
        <v>0</v>
      </c>
      <c r="J201">
        <v>0</v>
      </c>
      <c r="K201">
        <v>0</v>
      </c>
      <c r="L201">
        <v>0</v>
      </c>
      <c r="M201">
        <v>0</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c r="BJ201">
        <v>0</v>
      </c>
      <c r="BK201">
        <v>0</v>
      </c>
      <c r="BL201">
        <v>0</v>
      </c>
      <c r="BM201">
        <v>0</v>
      </c>
      <c r="BN201">
        <v>0</v>
      </c>
      <c r="BO201">
        <v>0</v>
      </c>
      <c r="BP201">
        <v>0</v>
      </c>
      <c r="BQ201">
        <v>0</v>
      </c>
      <c r="BR201">
        <v>0</v>
      </c>
      <c r="BS201">
        <v>0</v>
      </c>
      <c r="BT201">
        <v>0</v>
      </c>
      <c r="BU201">
        <v>0</v>
      </c>
      <c r="BV201">
        <v>0</v>
      </c>
      <c r="BW201">
        <v>0</v>
      </c>
      <c r="BX201">
        <v>0</v>
      </c>
      <c r="BY201">
        <v>0</v>
      </c>
      <c r="BZ201">
        <v>0</v>
      </c>
      <c r="CA201">
        <v>0</v>
      </c>
      <c r="CB201">
        <v>0</v>
      </c>
      <c r="CC201">
        <v>0</v>
      </c>
      <c r="CD201">
        <v>0</v>
      </c>
      <c r="CE201">
        <v>1</v>
      </c>
      <c r="CF201">
        <v>1</v>
      </c>
      <c r="CG201">
        <v>1</v>
      </c>
      <c r="CH201">
        <v>1</v>
      </c>
      <c r="CI201">
        <v>1</v>
      </c>
      <c r="CJ201">
        <v>2</v>
      </c>
      <c r="CK201">
        <v>2</v>
      </c>
      <c r="CL201">
        <v>5</v>
      </c>
      <c r="CM201">
        <v>5</v>
      </c>
      <c r="CN201">
        <v>6</v>
      </c>
      <c r="CO201">
        <v>7</v>
      </c>
      <c r="CP201">
        <v>7</v>
      </c>
      <c r="CQ201">
        <v>8</v>
      </c>
      <c r="CR201">
        <v>8</v>
      </c>
      <c r="CS201">
        <v>8</v>
      </c>
      <c r="CT201">
        <v>16</v>
      </c>
      <c r="CU201">
        <v>16</v>
      </c>
      <c r="CV201">
        <v>18</v>
      </c>
      <c r="CW201">
        <v>23</v>
      </c>
      <c r="CX201">
        <v>26</v>
      </c>
      <c r="CY201">
        <v>28</v>
      </c>
      <c r="CZ201">
        <v>28</v>
      </c>
      <c r="DA201">
        <v>28</v>
      </c>
      <c r="DB201">
        <v>28</v>
      </c>
      <c r="DC201">
        <v>31</v>
      </c>
    </row>
    <row r="202" spans="2:107" x14ac:dyDescent="0.25">
      <c r="B202" t="s">
        <v>124</v>
      </c>
      <c r="C202">
        <v>-30.5595</v>
      </c>
      <c r="D202">
        <v>22.9375</v>
      </c>
      <c r="F202">
        <v>0</v>
      </c>
      <c r="G202">
        <v>0</v>
      </c>
      <c r="H202">
        <v>0</v>
      </c>
      <c r="I202">
        <v>0</v>
      </c>
      <c r="J202">
        <v>0</v>
      </c>
      <c r="K202">
        <v>0</v>
      </c>
      <c r="L202">
        <v>0</v>
      </c>
      <c r="M202">
        <v>0</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c r="BL202">
        <v>0</v>
      </c>
      <c r="BM202">
        <v>0</v>
      </c>
      <c r="BN202">
        <v>0</v>
      </c>
      <c r="BO202">
        <v>0</v>
      </c>
      <c r="BP202">
        <v>0</v>
      </c>
      <c r="BQ202">
        <v>0</v>
      </c>
      <c r="BR202">
        <v>0</v>
      </c>
      <c r="BS202">
        <v>1</v>
      </c>
      <c r="BT202">
        <v>1</v>
      </c>
      <c r="BU202">
        <v>2</v>
      </c>
      <c r="BV202">
        <v>3</v>
      </c>
      <c r="BW202">
        <v>5</v>
      </c>
      <c r="BX202">
        <v>5</v>
      </c>
      <c r="BY202">
        <v>5</v>
      </c>
      <c r="BZ202">
        <v>9</v>
      </c>
      <c r="CA202">
        <v>9</v>
      </c>
      <c r="CB202">
        <v>11</v>
      </c>
      <c r="CC202">
        <v>12</v>
      </c>
      <c r="CD202">
        <v>13</v>
      </c>
      <c r="CE202">
        <v>18</v>
      </c>
      <c r="CF202">
        <v>18</v>
      </c>
      <c r="CG202">
        <v>24</v>
      </c>
      <c r="CH202">
        <v>25</v>
      </c>
      <c r="CI202">
        <v>25</v>
      </c>
      <c r="CJ202">
        <v>27</v>
      </c>
      <c r="CK202">
        <v>27</v>
      </c>
      <c r="CL202">
        <v>34</v>
      </c>
      <c r="CM202">
        <v>48</v>
      </c>
      <c r="CN202">
        <v>50</v>
      </c>
      <c r="CO202">
        <v>52</v>
      </c>
      <c r="CP202">
        <v>54</v>
      </c>
      <c r="CQ202">
        <v>58</v>
      </c>
      <c r="CR202">
        <v>58</v>
      </c>
      <c r="CS202">
        <v>65</v>
      </c>
      <c r="CT202">
        <v>75</v>
      </c>
      <c r="CU202">
        <v>79</v>
      </c>
      <c r="CV202">
        <v>86</v>
      </c>
      <c r="CW202">
        <v>87</v>
      </c>
      <c r="CX202">
        <v>90</v>
      </c>
      <c r="CY202">
        <v>93</v>
      </c>
      <c r="CZ202">
        <v>103</v>
      </c>
      <c r="DA202">
        <v>103</v>
      </c>
      <c r="DB202">
        <v>116</v>
      </c>
      <c r="DC202">
        <v>123</v>
      </c>
    </row>
    <row r="203" spans="2:107" x14ac:dyDescent="0.25">
      <c r="B203" t="s">
        <v>61</v>
      </c>
      <c r="C203">
        <v>40</v>
      </c>
      <c r="D203">
        <v>-4</v>
      </c>
      <c r="F203">
        <v>0</v>
      </c>
      <c r="G203">
        <v>0</v>
      </c>
      <c r="H203">
        <v>0</v>
      </c>
      <c r="I203">
        <v>0</v>
      </c>
      <c r="J203">
        <v>0</v>
      </c>
      <c r="K203">
        <v>0</v>
      </c>
      <c r="L203">
        <v>0</v>
      </c>
      <c r="M203">
        <v>0</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0</v>
      </c>
      <c r="AN203">
        <v>0</v>
      </c>
      <c r="AO203">
        <v>0</v>
      </c>
      <c r="AP203">
        <v>0</v>
      </c>
      <c r="AQ203">
        <v>0</v>
      </c>
      <c r="AR203">
        <v>0</v>
      </c>
      <c r="AS203">
        <v>0</v>
      </c>
      <c r="AT203">
        <v>0</v>
      </c>
      <c r="AU203">
        <v>1</v>
      </c>
      <c r="AV203">
        <v>2</v>
      </c>
      <c r="AW203">
        <v>3</v>
      </c>
      <c r="AX203">
        <v>5</v>
      </c>
      <c r="AY203">
        <v>10</v>
      </c>
      <c r="AZ203">
        <v>17</v>
      </c>
      <c r="BA203">
        <v>28</v>
      </c>
      <c r="BB203">
        <v>35</v>
      </c>
      <c r="BC203">
        <v>54</v>
      </c>
      <c r="BD203">
        <v>55</v>
      </c>
      <c r="BE203">
        <v>133</v>
      </c>
      <c r="BF203">
        <v>195</v>
      </c>
      <c r="BG203">
        <v>289</v>
      </c>
      <c r="BH203">
        <v>342</v>
      </c>
      <c r="BI203">
        <v>533</v>
      </c>
      <c r="BJ203">
        <v>623</v>
      </c>
      <c r="BK203">
        <v>830</v>
      </c>
      <c r="BL203">
        <v>1043</v>
      </c>
      <c r="BM203">
        <v>1375</v>
      </c>
      <c r="BN203">
        <v>1772</v>
      </c>
      <c r="BO203">
        <v>2311</v>
      </c>
      <c r="BP203">
        <v>2808</v>
      </c>
      <c r="BQ203">
        <v>3647</v>
      </c>
      <c r="BR203">
        <v>4365</v>
      </c>
      <c r="BS203">
        <v>5138</v>
      </c>
      <c r="BT203">
        <v>5982</v>
      </c>
      <c r="BU203">
        <v>6803</v>
      </c>
      <c r="BV203">
        <v>7716</v>
      </c>
      <c r="BW203">
        <v>8464</v>
      </c>
      <c r="BX203">
        <v>9387</v>
      </c>
      <c r="BY203">
        <v>10348</v>
      </c>
      <c r="BZ203">
        <v>11198</v>
      </c>
      <c r="CA203">
        <v>11947</v>
      </c>
      <c r="CB203">
        <v>12641</v>
      </c>
      <c r="CC203">
        <v>13341</v>
      </c>
      <c r="CD203">
        <v>14045</v>
      </c>
      <c r="CE203">
        <v>14792</v>
      </c>
      <c r="CF203">
        <v>15447</v>
      </c>
      <c r="CG203">
        <v>16081</v>
      </c>
      <c r="CH203">
        <v>16606</v>
      </c>
      <c r="CI203">
        <v>17209</v>
      </c>
      <c r="CJ203">
        <v>17756</v>
      </c>
      <c r="CK203">
        <v>18056</v>
      </c>
      <c r="CL203">
        <v>18708</v>
      </c>
      <c r="CM203">
        <v>19315</v>
      </c>
      <c r="CN203">
        <v>20002</v>
      </c>
      <c r="CO203">
        <v>20043</v>
      </c>
      <c r="CP203">
        <v>20453</v>
      </c>
      <c r="CQ203">
        <v>20852</v>
      </c>
      <c r="CR203">
        <v>21282</v>
      </c>
      <c r="CS203">
        <v>21717</v>
      </c>
      <c r="CT203">
        <v>22157</v>
      </c>
      <c r="CU203">
        <v>22524</v>
      </c>
      <c r="CV203">
        <v>22902</v>
      </c>
      <c r="CW203">
        <v>23190</v>
      </c>
      <c r="CX203">
        <v>23521</v>
      </c>
      <c r="CY203">
        <v>23822</v>
      </c>
      <c r="CZ203">
        <v>24275</v>
      </c>
      <c r="DA203">
        <v>24543</v>
      </c>
      <c r="DB203">
        <v>24543</v>
      </c>
      <c r="DC203">
        <v>25100</v>
      </c>
    </row>
    <row r="204" spans="2:107" x14ac:dyDescent="0.25">
      <c r="B204" t="s">
        <v>52</v>
      </c>
      <c r="C204">
        <v>7</v>
      </c>
      <c r="D204">
        <v>81</v>
      </c>
      <c r="F204">
        <v>0</v>
      </c>
      <c r="G204">
        <v>0</v>
      </c>
      <c r="H204">
        <v>0</v>
      </c>
      <c r="I204">
        <v>0</v>
      </c>
      <c r="J204">
        <v>0</v>
      </c>
      <c r="K204">
        <v>0</v>
      </c>
      <c r="L204">
        <v>0</v>
      </c>
      <c r="M204">
        <v>0</v>
      </c>
      <c r="N204">
        <v>0</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0</v>
      </c>
      <c r="BJ204">
        <v>0</v>
      </c>
      <c r="BK204">
        <v>0</v>
      </c>
      <c r="BL204">
        <v>0</v>
      </c>
      <c r="BM204">
        <v>0</v>
      </c>
      <c r="BN204">
        <v>0</v>
      </c>
      <c r="BO204">
        <v>0</v>
      </c>
      <c r="BP204">
        <v>0</v>
      </c>
      <c r="BQ204">
        <v>0</v>
      </c>
      <c r="BR204">
        <v>0</v>
      </c>
      <c r="BS204">
        <v>0</v>
      </c>
      <c r="BT204">
        <v>1</v>
      </c>
      <c r="BU204">
        <v>1</v>
      </c>
      <c r="BV204">
        <v>2</v>
      </c>
      <c r="BW204">
        <v>2</v>
      </c>
      <c r="BX204">
        <v>3</v>
      </c>
      <c r="BY204">
        <v>4</v>
      </c>
      <c r="BZ204">
        <v>4</v>
      </c>
      <c r="CA204">
        <v>5</v>
      </c>
      <c r="CB204">
        <v>5</v>
      </c>
      <c r="CC204">
        <v>5</v>
      </c>
      <c r="CD204">
        <v>6</v>
      </c>
      <c r="CE204">
        <v>7</v>
      </c>
      <c r="CF204">
        <v>7</v>
      </c>
      <c r="CG204">
        <v>7</v>
      </c>
      <c r="CH204">
        <v>7</v>
      </c>
      <c r="CI204">
        <v>7</v>
      </c>
      <c r="CJ204">
        <v>7</v>
      </c>
      <c r="CK204">
        <v>7</v>
      </c>
      <c r="CL204">
        <v>7</v>
      </c>
      <c r="CM204">
        <v>7</v>
      </c>
      <c r="CN204">
        <v>7</v>
      </c>
      <c r="CO204">
        <v>7</v>
      </c>
      <c r="CP204">
        <v>7</v>
      </c>
      <c r="CQ204">
        <v>7</v>
      </c>
      <c r="CR204">
        <v>7</v>
      </c>
      <c r="CS204">
        <v>7</v>
      </c>
      <c r="CT204">
        <v>7</v>
      </c>
      <c r="CU204">
        <v>7</v>
      </c>
      <c r="CV204">
        <v>7</v>
      </c>
      <c r="CW204">
        <v>7</v>
      </c>
      <c r="CX204">
        <v>7</v>
      </c>
      <c r="CY204">
        <v>7</v>
      </c>
      <c r="CZ204">
        <v>7</v>
      </c>
      <c r="DA204">
        <v>7</v>
      </c>
      <c r="DB204">
        <v>7</v>
      </c>
      <c r="DC204">
        <v>7</v>
      </c>
    </row>
    <row r="205" spans="2:107" x14ac:dyDescent="0.25">
      <c r="B205" t="s">
        <v>203</v>
      </c>
      <c r="C205">
        <v>12.8628</v>
      </c>
      <c r="D205">
        <v>30.217600000000001</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0</v>
      </c>
      <c r="BE205">
        <v>1</v>
      </c>
      <c r="BF205">
        <v>1</v>
      </c>
      <c r="BG205">
        <v>1</v>
      </c>
      <c r="BH205">
        <v>1</v>
      </c>
      <c r="BI205">
        <v>1</v>
      </c>
      <c r="BJ205">
        <v>1</v>
      </c>
      <c r="BK205">
        <v>1</v>
      </c>
      <c r="BL205">
        <v>1</v>
      </c>
      <c r="BM205">
        <v>1</v>
      </c>
      <c r="BN205">
        <v>1</v>
      </c>
      <c r="BO205">
        <v>1</v>
      </c>
      <c r="BP205">
        <v>1</v>
      </c>
      <c r="BQ205">
        <v>1</v>
      </c>
      <c r="BR205">
        <v>1</v>
      </c>
      <c r="BS205">
        <v>1</v>
      </c>
      <c r="BT205">
        <v>1</v>
      </c>
      <c r="BU205">
        <v>1</v>
      </c>
      <c r="BV205">
        <v>2</v>
      </c>
      <c r="BW205">
        <v>2</v>
      </c>
      <c r="BX205">
        <v>2</v>
      </c>
      <c r="BY205">
        <v>2</v>
      </c>
      <c r="BZ205">
        <v>2</v>
      </c>
      <c r="CA205">
        <v>2</v>
      </c>
      <c r="CB205">
        <v>2</v>
      </c>
      <c r="CC205">
        <v>2</v>
      </c>
      <c r="CD205">
        <v>2</v>
      </c>
      <c r="CE205">
        <v>2</v>
      </c>
      <c r="CF205">
        <v>2</v>
      </c>
      <c r="CG205">
        <v>2</v>
      </c>
      <c r="CH205">
        <v>2</v>
      </c>
      <c r="CI205">
        <v>2</v>
      </c>
      <c r="CJ205">
        <v>4</v>
      </c>
      <c r="CK205">
        <v>5</v>
      </c>
      <c r="CL205">
        <v>5</v>
      </c>
      <c r="CM205">
        <v>5</v>
      </c>
      <c r="CN205">
        <v>6</v>
      </c>
      <c r="CO205">
        <v>10</v>
      </c>
      <c r="CP205">
        <v>10</v>
      </c>
      <c r="CQ205">
        <v>12</v>
      </c>
      <c r="CR205">
        <v>12</v>
      </c>
      <c r="CS205">
        <v>13</v>
      </c>
      <c r="CT205">
        <v>16</v>
      </c>
      <c r="CU205">
        <v>16</v>
      </c>
      <c r="CV205">
        <v>17</v>
      </c>
      <c r="CW205">
        <v>21</v>
      </c>
      <c r="CX205">
        <v>22</v>
      </c>
      <c r="CY205">
        <v>25</v>
      </c>
      <c r="CZ205">
        <v>28</v>
      </c>
      <c r="DA205">
        <v>31</v>
      </c>
      <c r="DB205">
        <v>36</v>
      </c>
      <c r="DC205">
        <v>41</v>
      </c>
    </row>
    <row r="206" spans="2:107" x14ac:dyDescent="0.25">
      <c r="B206" t="s">
        <v>370</v>
      </c>
      <c r="C206">
        <v>3.9192999999999998</v>
      </c>
      <c r="D206">
        <v>-56.027799999999999</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0</v>
      </c>
      <c r="BF206">
        <v>0</v>
      </c>
      <c r="BG206">
        <v>0</v>
      </c>
      <c r="BH206">
        <v>0</v>
      </c>
      <c r="BI206">
        <v>0</v>
      </c>
      <c r="BJ206">
        <v>0</v>
      </c>
      <c r="BK206">
        <v>0</v>
      </c>
      <c r="BL206">
        <v>0</v>
      </c>
      <c r="BM206">
        <v>0</v>
      </c>
      <c r="BN206">
        <v>0</v>
      </c>
      <c r="BO206">
        <v>0</v>
      </c>
      <c r="BP206">
        <v>0</v>
      </c>
      <c r="BQ206">
        <v>0</v>
      </c>
      <c r="BR206">
        <v>0</v>
      </c>
      <c r="BS206">
        <v>0</v>
      </c>
      <c r="BT206">
        <v>0</v>
      </c>
      <c r="BU206">
        <v>0</v>
      </c>
      <c r="BV206">
        <v>0</v>
      </c>
      <c r="BW206">
        <v>0</v>
      </c>
      <c r="BX206">
        <v>0</v>
      </c>
      <c r="BY206">
        <v>0</v>
      </c>
      <c r="BZ206">
        <v>1</v>
      </c>
      <c r="CA206">
        <v>1</v>
      </c>
      <c r="CB206">
        <v>1</v>
      </c>
      <c r="CC206">
        <v>1</v>
      </c>
      <c r="CD206">
        <v>1</v>
      </c>
      <c r="CE206">
        <v>1</v>
      </c>
      <c r="CF206">
        <v>1</v>
      </c>
      <c r="CG206">
        <v>1</v>
      </c>
      <c r="CH206">
        <v>1</v>
      </c>
      <c r="CI206">
        <v>1</v>
      </c>
      <c r="CJ206">
        <v>1</v>
      </c>
      <c r="CK206">
        <v>1</v>
      </c>
      <c r="CL206">
        <v>1</v>
      </c>
      <c r="CM206">
        <v>1</v>
      </c>
      <c r="CN206">
        <v>1</v>
      </c>
      <c r="CO206">
        <v>1</v>
      </c>
      <c r="CP206">
        <v>1</v>
      </c>
      <c r="CQ206">
        <v>1</v>
      </c>
      <c r="CR206">
        <v>1</v>
      </c>
      <c r="CS206">
        <v>1</v>
      </c>
      <c r="CT206">
        <v>1</v>
      </c>
      <c r="CU206">
        <v>1</v>
      </c>
      <c r="CV206">
        <v>1</v>
      </c>
      <c r="CW206">
        <v>1</v>
      </c>
      <c r="CX206">
        <v>1</v>
      </c>
      <c r="CY206">
        <v>1</v>
      </c>
      <c r="CZ206">
        <v>1</v>
      </c>
      <c r="DA206">
        <v>1</v>
      </c>
      <c r="DB206">
        <v>1</v>
      </c>
      <c r="DC206">
        <v>1</v>
      </c>
    </row>
    <row r="207" spans="2:107" x14ac:dyDescent="0.25">
      <c r="B207" t="s">
        <v>60</v>
      </c>
      <c r="C207">
        <v>63</v>
      </c>
      <c r="D207">
        <v>16</v>
      </c>
      <c r="F207">
        <v>0</v>
      </c>
      <c r="G207">
        <v>0</v>
      </c>
      <c r="H207">
        <v>0</v>
      </c>
      <c r="I207">
        <v>0</v>
      </c>
      <c r="J207">
        <v>0</v>
      </c>
      <c r="K207">
        <v>0</v>
      </c>
      <c r="L207">
        <v>0</v>
      </c>
      <c r="M207">
        <v>0</v>
      </c>
      <c r="N207">
        <v>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0</v>
      </c>
      <c r="AY207">
        <v>0</v>
      </c>
      <c r="AZ207">
        <v>0</v>
      </c>
      <c r="BA207">
        <v>0</v>
      </c>
      <c r="BB207">
        <v>0</v>
      </c>
      <c r="BC207">
        <v>1</v>
      </c>
      <c r="BD207">
        <v>1</v>
      </c>
      <c r="BE207">
        <v>1</v>
      </c>
      <c r="BF207">
        <v>2</v>
      </c>
      <c r="BG207">
        <v>3</v>
      </c>
      <c r="BH207">
        <v>6</v>
      </c>
      <c r="BI207">
        <v>7</v>
      </c>
      <c r="BJ207">
        <v>10</v>
      </c>
      <c r="BK207">
        <v>11</v>
      </c>
      <c r="BL207">
        <v>16</v>
      </c>
      <c r="BM207">
        <v>20</v>
      </c>
      <c r="BN207">
        <v>21</v>
      </c>
      <c r="BO207">
        <v>25</v>
      </c>
      <c r="BP207">
        <v>36</v>
      </c>
      <c r="BQ207">
        <v>62</v>
      </c>
      <c r="BR207">
        <v>77</v>
      </c>
      <c r="BS207">
        <v>105</v>
      </c>
      <c r="BT207">
        <v>105</v>
      </c>
      <c r="BU207">
        <v>110</v>
      </c>
      <c r="BV207">
        <v>146</v>
      </c>
      <c r="BW207">
        <v>180</v>
      </c>
      <c r="BX207">
        <v>239</v>
      </c>
      <c r="BY207">
        <v>308</v>
      </c>
      <c r="BZ207">
        <v>358</v>
      </c>
      <c r="CA207">
        <v>373</v>
      </c>
      <c r="CB207">
        <v>401</v>
      </c>
      <c r="CC207">
        <v>477</v>
      </c>
      <c r="CD207">
        <v>591</v>
      </c>
      <c r="CE207">
        <v>687</v>
      </c>
      <c r="CF207">
        <v>793</v>
      </c>
      <c r="CG207">
        <v>870</v>
      </c>
      <c r="CH207">
        <v>887</v>
      </c>
      <c r="CI207">
        <v>899</v>
      </c>
      <c r="CJ207">
        <v>919</v>
      </c>
      <c r="CK207">
        <v>1033</v>
      </c>
      <c r="CL207">
        <v>1203</v>
      </c>
      <c r="CM207">
        <v>1333</v>
      </c>
      <c r="CN207">
        <v>1400</v>
      </c>
      <c r="CO207">
        <v>1511</v>
      </c>
      <c r="CP207">
        <v>1540</v>
      </c>
      <c r="CQ207">
        <v>1580</v>
      </c>
      <c r="CR207">
        <v>1765</v>
      </c>
      <c r="CS207">
        <v>1937</v>
      </c>
      <c r="CT207">
        <v>2021</v>
      </c>
      <c r="CU207">
        <v>2152</v>
      </c>
      <c r="CV207">
        <v>2192</v>
      </c>
      <c r="CW207">
        <v>2194</v>
      </c>
      <c r="CX207">
        <v>2274</v>
      </c>
      <c r="CY207">
        <v>2355</v>
      </c>
      <c r="CZ207">
        <v>2462</v>
      </c>
      <c r="DA207">
        <v>2586</v>
      </c>
      <c r="DB207">
        <v>2653</v>
      </c>
      <c r="DC207">
        <v>2669</v>
      </c>
    </row>
    <row r="208" spans="2:107" x14ac:dyDescent="0.25">
      <c r="B208" t="s">
        <v>75</v>
      </c>
      <c r="C208">
        <v>46.818199999999997</v>
      </c>
      <c r="D208">
        <v>8.2274999999999991</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1</v>
      </c>
      <c r="AX208">
        <v>1</v>
      </c>
      <c r="AY208">
        <v>1</v>
      </c>
      <c r="AZ208">
        <v>2</v>
      </c>
      <c r="BA208">
        <v>2</v>
      </c>
      <c r="BB208">
        <v>3</v>
      </c>
      <c r="BC208">
        <v>4</v>
      </c>
      <c r="BD208">
        <v>4</v>
      </c>
      <c r="BE208">
        <v>11</v>
      </c>
      <c r="BF208">
        <v>13</v>
      </c>
      <c r="BG208">
        <v>14</v>
      </c>
      <c r="BH208">
        <v>14</v>
      </c>
      <c r="BI208">
        <v>27</v>
      </c>
      <c r="BJ208">
        <v>28</v>
      </c>
      <c r="BK208">
        <v>41</v>
      </c>
      <c r="BL208">
        <v>54</v>
      </c>
      <c r="BM208">
        <v>75</v>
      </c>
      <c r="BN208">
        <v>98</v>
      </c>
      <c r="BO208">
        <v>120</v>
      </c>
      <c r="BP208">
        <v>122</v>
      </c>
      <c r="BQ208">
        <v>153</v>
      </c>
      <c r="BR208">
        <v>191</v>
      </c>
      <c r="BS208">
        <v>231</v>
      </c>
      <c r="BT208">
        <v>264</v>
      </c>
      <c r="BU208">
        <v>300</v>
      </c>
      <c r="BV208">
        <v>359</v>
      </c>
      <c r="BW208">
        <v>433</v>
      </c>
      <c r="BX208">
        <v>488</v>
      </c>
      <c r="BY208">
        <v>536</v>
      </c>
      <c r="BZ208">
        <v>591</v>
      </c>
      <c r="CA208">
        <v>666</v>
      </c>
      <c r="CB208">
        <v>715</v>
      </c>
      <c r="CC208">
        <v>765</v>
      </c>
      <c r="CD208">
        <v>821</v>
      </c>
      <c r="CE208">
        <v>895</v>
      </c>
      <c r="CF208">
        <v>948</v>
      </c>
      <c r="CG208">
        <v>1002</v>
      </c>
      <c r="CH208">
        <v>1036</v>
      </c>
      <c r="CI208">
        <v>1106</v>
      </c>
      <c r="CJ208">
        <v>1138</v>
      </c>
      <c r="CK208">
        <v>1174</v>
      </c>
      <c r="CL208">
        <v>1239</v>
      </c>
      <c r="CM208">
        <v>1281</v>
      </c>
      <c r="CN208">
        <v>1327</v>
      </c>
      <c r="CO208">
        <v>1368</v>
      </c>
      <c r="CP208">
        <v>1393</v>
      </c>
      <c r="CQ208">
        <v>1429</v>
      </c>
      <c r="CR208">
        <v>1478</v>
      </c>
      <c r="CS208">
        <v>1509</v>
      </c>
      <c r="CT208">
        <v>1549</v>
      </c>
      <c r="CU208">
        <v>1589</v>
      </c>
      <c r="CV208">
        <v>1599</v>
      </c>
      <c r="CW208">
        <v>1610</v>
      </c>
      <c r="CX208">
        <v>1665</v>
      </c>
      <c r="CY208">
        <v>1699</v>
      </c>
      <c r="CZ208">
        <v>1716</v>
      </c>
      <c r="DA208">
        <v>1737</v>
      </c>
      <c r="DB208">
        <v>1754</v>
      </c>
      <c r="DC208">
        <v>1762</v>
      </c>
    </row>
    <row r="209" spans="1:107" x14ac:dyDescent="0.25">
      <c r="B209" t="s">
        <v>2133</v>
      </c>
      <c r="C209">
        <v>23.7</v>
      </c>
      <c r="D209">
        <v>121</v>
      </c>
      <c r="F209">
        <v>0</v>
      </c>
      <c r="G209">
        <v>0</v>
      </c>
      <c r="H209">
        <v>0</v>
      </c>
      <c r="I209">
        <v>0</v>
      </c>
      <c r="J209">
        <v>0</v>
      </c>
      <c r="K209">
        <v>0</v>
      </c>
      <c r="L209">
        <v>0</v>
      </c>
      <c r="M209">
        <v>0</v>
      </c>
      <c r="N209">
        <v>0</v>
      </c>
      <c r="O209">
        <v>0</v>
      </c>
      <c r="P209">
        <v>0</v>
      </c>
      <c r="Q209">
        <v>0</v>
      </c>
      <c r="R209">
        <v>0</v>
      </c>
      <c r="S209">
        <v>0</v>
      </c>
      <c r="T209">
        <v>0</v>
      </c>
      <c r="U209">
        <v>0</v>
      </c>
      <c r="V209">
        <v>0</v>
      </c>
      <c r="W209">
        <v>0</v>
      </c>
      <c r="X209">
        <v>0</v>
      </c>
      <c r="Y209">
        <v>0</v>
      </c>
      <c r="Z209">
        <v>0</v>
      </c>
      <c r="AA209">
        <v>0</v>
      </c>
      <c r="AB209">
        <v>0</v>
      </c>
      <c r="AC209">
        <v>0</v>
      </c>
      <c r="AD209">
        <v>0</v>
      </c>
      <c r="AE209">
        <v>1</v>
      </c>
      <c r="AF209">
        <v>1</v>
      </c>
      <c r="AG209">
        <v>1</v>
      </c>
      <c r="AH209">
        <v>1</v>
      </c>
      <c r="AI209">
        <v>1</v>
      </c>
      <c r="AJ209">
        <v>1</v>
      </c>
      <c r="AK209">
        <v>1</v>
      </c>
      <c r="AL209">
        <v>1</v>
      </c>
      <c r="AM209">
        <v>1</v>
      </c>
      <c r="AN209">
        <v>1</v>
      </c>
      <c r="AO209">
        <v>1</v>
      </c>
      <c r="AP209">
        <v>1</v>
      </c>
      <c r="AQ209">
        <v>1</v>
      </c>
      <c r="AR209">
        <v>1</v>
      </c>
      <c r="AS209">
        <v>1</v>
      </c>
      <c r="AT209">
        <v>1</v>
      </c>
      <c r="AU209">
        <v>1</v>
      </c>
      <c r="AV209">
        <v>1</v>
      </c>
      <c r="AW209">
        <v>1</v>
      </c>
      <c r="AX209">
        <v>1</v>
      </c>
      <c r="AY209">
        <v>1</v>
      </c>
      <c r="AZ209">
        <v>1</v>
      </c>
      <c r="BA209">
        <v>1</v>
      </c>
      <c r="BB209">
        <v>1</v>
      </c>
      <c r="BC209">
        <v>1</v>
      </c>
      <c r="BD209">
        <v>1</v>
      </c>
      <c r="BE209">
        <v>1</v>
      </c>
      <c r="BF209">
        <v>1</v>
      </c>
      <c r="BG209">
        <v>1</v>
      </c>
      <c r="BH209">
        <v>1</v>
      </c>
      <c r="BI209">
        <v>1</v>
      </c>
      <c r="BJ209">
        <v>1</v>
      </c>
      <c r="BK209">
        <v>1</v>
      </c>
      <c r="BL209">
        <v>2</v>
      </c>
      <c r="BM209">
        <v>2</v>
      </c>
      <c r="BN209">
        <v>2</v>
      </c>
      <c r="BO209">
        <v>2</v>
      </c>
      <c r="BP209">
        <v>2</v>
      </c>
      <c r="BQ209">
        <v>2</v>
      </c>
      <c r="BR209">
        <v>2</v>
      </c>
      <c r="BS209">
        <v>2</v>
      </c>
      <c r="BT209">
        <v>2</v>
      </c>
      <c r="BU209">
        <v>2</v>
      </c>
      <c r="BV209">
        <v>5</v>
      </c>
      <c r="BW209">
        <v>5</v>
      </c>
      <c r="BX209">
        <v>5</v>
      </c>
      <c r="BY209">
        <v>5</v>
      </c>
      <c r="BZ209">
        <v>5</v>
      </c>
      <c r="CA209">
        <v>5</v>
      </c>
      <c r="CB209">
        <v>5</v>
      </c>
      <c r="CC209">
        <v>5</v>
      </c>
      <c r="CD209">
        <v>5</v>
      </c>
      <c r="CE209">
        <v>5</v>
      </c>
      <c r="CF209">
        <v>5</v>
      </c>
      <c r="CG209">
        <v>6</v>
      </c>
      <c r="CH209">
        <v>6</v>
      </c>
      <c r="CI209">
        <v>6</v>
      </c>
      <c r="CJ209">
        <v>6</v>
      </c>
      <c r="CK209">
        <v>6</v>
      </c>
      <c r="CL209">
        <v>6</v>
      </c>
      <c r="CM209">
        <v>6</v>
      </c>
      <c r="CN209">
        <v>6</v>
      </c>
      <c r="CO209">
        <v>6</v>
      </c>
      <c r="CP209">
        <v>6</v>
      </c>
      <c r="CQ209">
        <v>6</v>
      </c>
      <c r="CR209">
        <v>6</v>
      </c>
      <c r="CS209">
        <v>6</v>
      </c>
      <c r="CT209">
        <v>6</v>
      </c>
      <c r="CU209">
        <v>6</v>
      </c>
      <c r="CV209">
        <v>6</v>
      </c>
      <c r="CW209">
        <v>6</v>
      </c>
      <c r="CX209">
        <v>6</v>
      </c>
      <c r="CY209">
        <v>6</v>
      </c>
      <c r="CZ209">
        <v>6</v>
      </c>
      <c r="DA209">
        <v>6</v>
      </c>
      <c r="DB209">
        <v>6</v>
      </c>
      <c r="DC209">
        <v>6</v>
      </c>
    </row>
    <row r="210" spans="1:107" x14ac:dyDescent="0.25">
      <c r="B210" t="s">
        <v>665</v>
      </c>
      <c r="C210">
        <v>-6.3689999999999998</v>
      </c>
      <c r="D210">
        <v>34.888800000000003</v>
      </c>
      <c r="F210">
        <v>0</v>
      </c>
      <c r="G210">
        <v>0</v>
      </c>
      <c r="H210">
        <v>0</v>
      </c>
      <c r="I210">
        <v>0</v>
      </c>
      <c r="J210">
        <v>0</v>
      </c>
      <c r="K210">
        <v>0</v>
      </c>
      <c r="L210">
        <v>0</v>
      </c>
      <c r="M210">
        <v>0</v>
      </c>
      <c r="N210">
        <v>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0</v>
      </c>
      <c r="BH210">
        <v>0</v>
      </c>
      <c r="BI210">
        <v>0</v>
      </c>
      <c r="BJ210">
        <v>0</v>
      </c>
      <c r="BK210">
        <v>0</v>
      </c>
      <c r="BL210">
        <v>0</v>
      </c>
      <c r="BM210">
        <v>0</v>
      </c>
      <c r="BN210">
        <v>0</v>
      </c>
      <c r="BO210">
        <v>0</v>
      </c>
      <c r="BP210">
        <v>0</v>
      </c>
      <c r="BQ210">
        <v>0</v>
      </c>
      <c r="BR210">
        <v>0</v>
      </c>
      <c r="BS210">
        <v>0</v>
      </c>
      <c r="BT210">
        <v>0</v>
      </c>
      <c r="BU210">
        <v>0</v>
      </c>
      <c r="BV210">
        <v>0</v>
      </c>
      <c r="BW210">
        <v>1</v>
      </c>
      <c r="BX210">
        <v>1</v>
      </c>
      <c r="BY210">
        <v>1</v>
      </c>
      <c r="BZ210">
        <v>1</v>
      </c>
      <c r="CA210">
        <v>1</v>
      </c>
      <c r="CB210">
        <v>1</v>
      </c>
      <c r="CC210">
        <v>1</v>
      </c>
      <c r="CD210">
        <v>1</v>
      </c>
      <c r="CE210">
        <v>1</v>
      </c>
      <c r="CF210">
        <v>1</v>
      </c>
      <c r="CG210">
        <v>3</v>
      </c>
      <c r="CH210">
        <v>3</v>
      </c>
      <c r="CI210">
        <v>3</v>
      </c>
      <c r="CJ210">
        <v>3</v>
      </c>
      <c r="CK210">
        <v>3</v>
      </c>
      <c r="CL210">
        <v>4</v>
      </c>
      <c r="CM210">
        <v>4</v>
      </c>
      <c r="CN210">
        <v>5</v>
      </c>
      <c r="CO210">
        <v>5</v>
      </c>
      <c r="CP210">
        <v>7</v>
      </c>
      <c r="CQ210">
        <v>10</v>
      </c>
      <c r="CR210">
        <v>10</v>
      </c>
      <c r="CS210">
        <v>10</v>
      </c>
      <c r="CT210">
        <v>10</v>
      </c>
      <c r="CU210">
        <v>10</v>
      </c>
      <c r="CV210">
        <v>10</v>
      </c>
      <c r="CW210">
        <v>10</v>
      </c>
      <c r="CX210">
        <v>10</v>
      </c>
      <c r="CY210">
        <v>10</v>
      </c>
      <c r="CZ210">
        <v>16</v>
      </c>
      <c r="DA210">
        <v>16</v>
      </c>
      <c r="DB210">
        <v>16</v>
      </c>
      <c r="DC210">
        <v>16</v>
      </c>
    </row>
    <row r="211" spans="1:107" x14ac:dyDescent="0.25">
      <c r="B211" t="s">
        <v>35</v>
      </c>
      <c r="C211">
        <v>15</v>
      </c>
      <c r="D211">
        <v>101</v>
      </c>
      <c r="F211">
        <v>0</v>
      </c>
      <c r="G211">
        <v>0</v>
      </c>
      <c r="H211">
        <v>0</v>
      </c>
      <c r="I211">
        <v>0</v>
      </c>
      <c r="J211">
        <v>0</v>
      </c>
      <c r="K211">
        <v>0</v>
      </c>
      <c r="L211">
        <v>0</v>
      </c>
      <c r="M211">
        <v>0</v>
      </c>
      <c r="N211">
        <v>0</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1</v>
      </c>
      <c r="AT211">
        <v>1</v>
      </c>
      <c r="AU211">
        <v>1</v>
      </c>
      <c r="AV211">
        <v>1</v>
      </c>
      <c r="AW211">
        <v>1</v>
      </c>
      <c r="AX211">
        <v>1</v>
      </c>
      <c r="AY211">
        <v>1</v>
      </c>
      <c r="AZ211">
        <v>1</v>
      </c>
      <c r="BA211">
        <v>1</v>
      </c>
      <c r="BB211">
        <v>1</v>
      </c>
      <c r="BC211">
        <v>1</v>
      </c>
      <c r="BD211">
        <v>1</v>
      </c>
      <c r="BE211">
        <v>1</v>
      </c>
      <c r="BF211">
        <v>1</v>
      </c>
      <c r="BG211">
        <v>1</v>
      </c>
      <c r="BH211">
        <v>1</v>
      </c>
      <c r="BI211">
        <v>1</v>
      </c>
      <c r="BJ211">
        <v>1</v>
      </c>
      <c r="BK211">
        <v>1</v>
      </c>
      <c r="BL211">
        <v>1</v>
      </c>
      <c r="BM211">
        <v>1</v>
      </c>
      <c r="BN211">
        <v>1</v>
      </c>
      <c r="BO211">
        <v>1</v>
      </c>
      <c r="BP211">
        <v>4</v>
      </c>
      <c r="BQ211">
        <v>4</v>
      </c>
      <c r="BR211">
        <v>4</v>
      </c>
      <c r="BS211">
        <v>5</v>
      </c>
      <c r="BT211">
        <v>6</v>
      </c>
      <c r="BU211">
        <v>7</v>
      </c>
      <c r="BV211">
        <v>9</v>
      </c>
      <c r="BW211">
        <v>10</v>
      </c>
      <c r="BX211">
        <v>12</v>
      </c>
      <c r="BY211">
        <v>15</v>
      </c>
      <c r="BZ211">
        <v>19</v>
      </c>
      <c r="CA211">
        <v>20</v>
      </c>
      <c r="CB211">
        <v>23</v>
      </c>
      <c r="CC211">
        <v>26</v>
      </c>
      <c r="CD211">
        <v>27</v>
      </c>
      <c r="CE211">
        <v>30</v>
      </c>
      <c r="CF211">
        <v>32</v>
      </c>
      <c r="CG211">
        <v>33</v>
      </c>
      <c r="CH211">
        <v>35</v>
      </c>
      <c r="CI211">
        <v>38</v>
      </c>
      <c r="CJ211">
        <v>40</v>
      </c>
      <c r="CK211">
        <v>41</v>
      </c>
      <c r="CL211">
        <v>43</v>
      </c>
      <c r="CM211">
        <v>46</v>
      </c>
      <c r="CN211">
        <v>47</v>
      </c>
      <c r="CO211">
        <v>47</v>
      </c>
      <c r="CP211">
        <v>47</v>
      </c>
      <c r="CQ211">
        <v>47</v>
      </c>
      <c r="CR211">
        <v>48</v>
      </c>
      <c r="CS211">
        <v>49</v>
      </c>
      <c r="CT211">
        <v>50</v>
      </c>
      <c r="CU211">
        <v>51</v>
      </c>
      <c r="CV211">
        <v>51</v>
      </c>
      <c r="CW211">
        <v>51</v>
      </c>
      <c r="CX211">
        <v>52</v>
      </c>
      <c r="CY211">
        <v>54</v>
      </c>
      <c r="CZ211">
        <v>54</v>
      </c>
      <c r="DA211">
        <v>54</v>
      </c>
      <c r="DB211">
        <v>54</v>
      </c>
      <c r="DC211">
        <v>54</v>
      </c>
    </row>
    <row r="212" spans="1:107" x14ac:dyDescent="0.25">
      <c r="B212" t="s">
        <v>132</v>
      </c>
      <c r="C212">
        <v>8.6195000000000004</v>
      </c>
      <c r="D212">
        <v>0.82479999999999998</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v>0</v>
      </c>
      <c r="BH212">
        <v>0</v>
      </c>
      <c r="BI212">
        <v>0</v>
      </c>
      <c r="BJ212">
        <v>0</v>
      </c>
      <c r="BK212">
        <v>0</v>
      </c>
      <c r="BL212">
        <v>0</v>
      </c>
      <c r="BM212">
        <v>0</v>
      </c>
      <c r="BN212">
        <v>0</v>
      </c>
      <c r="BO212">
        <v>0</v>
      </c>
      <c r="BP212">
        <v>0</v>
      </c>
      <c r="BQ212">
        <v>0</v>
      </c>
      <c r="BR212">
        <v>0</v>
      </c>
      <c r="BS212">
        <v>1</v>
      </c>
      <c r="BT212">
        <v>1</v>
      </c>
      <c r="BU212">
        <v>1</v>
      </c>
      <c r="BV212">
        <v>1</v>
      </c>
      <c r="BW212">
        <v>1</v>
      </c>
      <c r="BX212">
        <v>2</v>
      </c>
      <c r="BY212">
        <v>2</v>
      </c>
      <c r="BZ212">
        <v>3</v>
      </c>
      <c r="CA212">
        <v>3</v>
      </c>
      <c r="CB212">
        <v>3</v>
      </c>
      <c r="CC212">
        <v>3</v>
      </c>
      <c r="CD212">
        <v>3</v>
      </c>
      <c r="CE212">
        <v>3</v>
      </c>
      <c r="CF212">
        <v>3</v>
      </c>
      <c r="CG212">
        <v>3</v>
      </c>
      <c r="CH212">
        <v>3</v>
      </c>
      <c r="CI212">
        <v>3</v>
      </c>
      <c r="CJ212">
        <v>3</v>
      </c>
      <c r="CK212">
        <v>3</v>
      </c>
      <c r="CL212">
        <v>3</v>
      </c>
      <c r="CM212">
        <v>5</v>
      </c>
      <c r="CN212">
        <v>5</v>
      </c>
      <c r="CO212">
        <v>5</v>
      </c>
      <c r="CP212">
        <v>5</v>
      </c>
      <c r="CQ212">
        <v>6</v>
      </c>
      <c r="CR212">
        <v>6</v>
      </c>
      <c r="CS212">
        <v>6</v>
      </c>
      <c r="CT212">
        <v>6</v>
      </c>
      <c r="CU212">
        <v>6</v>
      </c>
      <c r="CV212">
        <v>6</v>
      </c>
      <c r="CW212">
        <v>6</v>
      </c>
      <c r="CX212">
        <v>6</v>
      </c>
      <c r="CY212">
        <v>6</v>
      </c>
      <c r="CZ212">
        <v>7</v>
      </c>
      <c r="DA212">
        <v>9</v>
      </c>
      <c r="DB212">
        <v>9</v>
      </c>
      <c r="DC212">
        <v>9</v>
      </c>
    </row>
    <row r="213" spans="1:107" x14ac:dyDescent="0.25">
      <c r="B213" t="s">
        <v>360</v>
      </c>
      <c r="C213">
        <v>10.691800000000001</v>
      </c>
      <c r="D213">
        <v>-61.222499999999997</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v>0</v>
      </c>
      <c r="BH213">
        <v>0</v>
      </c>
      <c r="BI213">
        <v>0</v>
      </c>
      <c r="BJ213">
        <v>0</v>
      </c>
      <c r="BK213">
        <v>0</v>
      </c>
      <c r="BL213">
        <v>0</v>
      </c>
      <c r="BM213">
        <v>0</v>
      </c>
      <c r="BN213">
        <v>0</v>
      </c>
      <c r="BO213">
        <v>0</v>
      </c>
      <c r="BP213">
        <v>0</v>
      </c>
      <c r="BQ213">
        <v>1</v>
      </c>
      <c r="BR213">
        <v>1</v>
      </c>
      <c r="BS213">
        <v>2</v>
      </c>
      <c r="BT213">
        <v>3</v>
      </c>
      <c r="BU213">
        <v>3</v>
      </c>
      <c r="BV213">
        <v>3</v>
      </c>
      <c r="BW213">
        <v>3</v>
      </c>
      <c r="BX213">
        <v>5</v>
      </c>
      <c r="BY213">
        <v>5</v>
      </c>
      <c r="BZ213">
        <v>6</v>
      </c>
      <c r="CA213">
        <v>6</v>
      </c>
      <c r="CB213">
        <v>7</v>
      </c>
      <c r="CC213">
        <v>8</v>
      </c>
      <c r="CD213">
        <v>8</v>
      </c>
      <c r="CE213">
        <v>8</v>
      </c>
      <c r="CF213">
        <v>8</v>
      </c>
      <c r="CG213">
        <v>8</v>
      </c>
      <c r="CH213">
        <v>8</v>
      </c>
      <c r="CI213">
        <v>8</v>
      </c>
      <c r="CJ213">
        <v>8</v>
      </c>
      <c r="CK213">
        <v>8</v>
      </c>
      <c r="CL213">
        <v>8</v>
      </c>
      <c r="CM213">
        <v>8</v>
      </c>
      <c r="CN213">
        <v>8</v>
      </c>
      <c r="CO213">
        <v>8</v>
      </c>
      <c r="CP213">
        <v>8</v>
      </c>
      <c r="CQ213">
        <v>8</v>
      </c>
      <c r="CR213">
        <v>8</v>
      </c>
      <c r="CS213">
        <v>8</v>
      </c>
      <c r="CT213">
        <v>8</v>
      </c>
      <c r="CU213">
        <v>8</v>
      </c>
      <c r="CV213">
        <v>8</v>
      </c>
      <c r="CW213">
        <v>8</v>
      </c>
      <c r="CX213">
        <v>8</v>
      </c>
      <c r="CY213">
        <v>8</v>
      </c>
      <c r="CZ213">
        <v>8</v>
      </c>
      <c r="DA213">
        <v>8</v>
      </c>
      <c r="DB213">
        <v>8</v>
      </c>
      <c r="DC213">
        <v>8</v>
      </c>
    </row>
    <row r="214" spans="1:107" x14ac:dyDescent="0.25">
      <c r="B214" t="s">
        <v>121</v>
      </c>
      <c r="C214">
        <v>34</v>
      </c>
      <c r="D214">
        <v>9</v>
      </c>
      <c r="F214">
        <v>0</v>
      </c>
      <c r="G214">
        <v>0</v>
      </c>
      <c r="H214">
        <v>0</v>
      </c>
      <c r="I214">
        <v>0</v>
      </c>
      <c r="J214">
        <v>0</v>
      </c>
      <c r="K214">
        <v>0</v>
      </c>
      <c r="L214">
        <v>0</v>
      </c>
      <c r="M214">
        <v>0</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0</v>
      </c>
      <c r="BJ214">
        <v>0</v>
      </c>
      <c r="BK214">
        <v>1</v>
      </c>
      <c r="BL214">
        <v>1</v>
      </c>
      <c r="BM214">
        <v>1</v>
      </c>
      <c r="BN214">
        <v>3</v>
      </c>
      <c r="BO214">
        <v>3</v>
      </c>
      <c r="BP214">
        <v>4</v>
      </c>
      <c r="BQ214">
        <v>5</v>
      </c>
      <c r="BR214">
        <v>6</v>
      </c>
      <c r="BS214">
        <v>6</v>
      </c>
      <c r="BT214">
        <v>8</v>
      </c>
      <c r="BU214">
        <v>8</v>
      </c>
      <c r="BV214">
        <v>8</v>
      </c>
      <c r="BW214">
        <v>10</v>
      </c>
      <c r="BX214">
        <v>12</v>
      </c>
      <c r="BY214">
        <v>14</v>
      </c>
      <c r="BZ214">
        <v>18</v>
      </c>
      <c r="CA214">
        <v>18</v>
      </c>
      <c r="CB214">
        <v>22</v>
      </c>
      <c r="CC214">
        <v>22</v>
      </c>
      <c r="CD214">
        <v>23</v>
      </c>
      <c r="CE214">
        <v>24</v>
      </c>
      <c r="CF214">
        <v>25</v>
      </c>
      <c r="CG214">
        <v>25</v>
      </c>
      <c r="CH214">
        <v>28</v>
      </c>
      <c r="CI214">
        <v>31</v>
      </c>
      <c r="CJ214">
        <v>34</v>
      </c>
      <c r="CK214">
        <v>34</v>
      </c>
      <c r="CL214">
        <v>35</v>
      </c>
      <c r="CM214">
        <v>37</v>
      </c>
      <c r="CN214">
        <v>37</v>
      </c>
      <c r="CO214">
        <v>37</v>
      </c>
      <c r="CP214">
        <v>38</v>
      </c>
      <c r="CQ214">
        <v>38</v>
      </c>
      <c r="CR214">
        <v>38</v>
      </c>
      <c r="CS214">
        <v>38</v>
      </c>
      <c r="CT214">
        <v>38</v>
      </c>
      <c r="CU214">
        <v>38</v>
      </c>
      <c r="CV214">
        <v>38</v>
      </c>
      <c r="CW214">
        <v>38</v>
      </c>
      <c r="CX214">
        <v>39</v>
      </c>
      <c r="CY214">
        <v>40</v>
      </c>
      <c r="CZ214">
        <v>40</v>
      </c>
      <c r="DA214">
        <v>41</v>
      </c>
      <c r="DB214">
        <v>41</v>
      </c>
      <c r="DC214">
        <v>42</v>
      </c>
    </row>
    <row r="215" spans="1:107" x14ac:dyDescent="0.25">
      <c r="B215" t="s">
        <v>186</v>
      </c>
      <c r="C215">
        <v>38.963700000000003</v>
      </c>
      <c r="D215">
        <v>35.243299999999998</v>
      </c>
      <c r="F215">
        <v>0</v>
      </c>
      <c r="G215">
        <v>0</v>
      </c>
      <c r="H215">
        <v>0</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v>0</v>
      </c>
      <c r="BH215">
        <v>0</v>
      </c>
      <c r="BI215">
        <v>1</v>
      </c>
      <c r="BJ215">
        <v>1</v>
      </c>
      <c r="BK215">
        <v>3</v>
      </c>
      <c r="BL215">
        <v>4</v>
      </c>
      <c r="BM215">
        <v>9</v>
      </c>
      <c r="BN215">
        <v>30</v>
      </c>
      <c r="BO215">
        <v>37</v>
      </c>
      <c r="BP215">
        <v>44</v>
      </c>
      <c r="BQ215">
        <v>59</v>
      </c>
      <c r="BR215">
        <v>75</v>
      </c>
      <c r="BS215">
        <v>92</v>
      </c>
      <c r="BT215">
        <v>108</v>
      </c>
      <c r="BU215">
        <v>131</v>
      </c>
      <c r="BV215">
        <v>168</v>
      </c>
      <c r="BW215">
        <v>214</v>
      </c>
      <c r="BX215">
        <v>277</v>
      </c>
      <c r="BY215">
        <v>356</v>
      </c>
      <c r="BZ215">
        <v>425</v>
      </c>
      <c r="CA215">
        <v>501</v>
      </c>
      <c r="CB215">
        <v>574</v>
      </c>
      <c r="CC215">
        <v>649</v>
      </c>
      <c r="CD215">
        <v>725</v>
      </c>
      <c r="CE215">
        <v>812</v>
      </c>
      <c r="CF215">
        <v>908</v>
      </c>
      <c r="CG215">
        <v>1006</v>
      </c>
      <c r="CH215">
        <v>1101</v>
      </c>
      <c r="CI215">
        <v>1198</v>
      </c>
      <c r="CJ215">
        <v>1296</v>
      </c>
      <c r="CK215">
        <v>1403</v>
      </c>
      <c r="CL215">
        <v>1518</v>
      </c>
      <c r="CM215">
        <v>1643</v>
      </c>
      <c r="CN215">
        <v>1769</v>
      </c>
      <c r="CO215">
        <v>1890</v>
      </c>
      <c r="CP215">
        <v>2017</v>
      </c>
      <c r="CQ215">
        <v>2140</v>
      </c>
      <c r="CR215">
        <v>2259</v>
      </c>
      <c r="CS215">
        <v>2376</v>
      </c>
      <c r="CT215">
        <v>2491</v>
      </c>
      <c r="CU215">
        <v>2600</v>
      </c>
      <c r="CV215">
        <v>2706</v>
      </c>
      <c r="CW215">
        <v>2805</v>
      </c>
      <c r="CX215">
        <v>2900</v>
      </c>
      <c r="CY215">
        <v>2992</v>
      </c>
      <c r="CZ215">
        <v>3081</v>
      </c>
      <c r="DA215">
        <v>3174</v>
      </c>
      <c r="DB215">
        <v>3258</v>
      </c>
      <c r="DC215">
        <v>3336</v>
      </c>
    </row>
    <row r="216" spans="1:107" x14ac:dyDescent="0.25">
      <c r="B216" t="s">
        <v>805</v>
      </c>
      <c r="C216">
        <v>1</v>
      </c>
      <c r="D216">
        <v>32</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0</v>
      </c>
      <c r="BM216">
        <v>0</v>
      </c>
      <c r="BN216">
        <v>0</v>
      </c>
      <c r="BO216">
        <v>0</v>
      </c>
      <c r="BP216">
        <v>0</v>
      </c>
      <c r="BQ216">
        <v>0</v>
      </c>
      <c r="BR216">
        <v>0</v>
      </c>
      <c r="BS216">
        <v>0</v>
      </c>
      <c r="BT216">
        <v>0</v>
      </c>
      <c r="BU216">
        <v>0</v>
      </c>
      <c r="BV216">
        <v>0</v>
      </c>
      <c r="BW216">
        <v>0</v>
      </c>
      <c r="BX216">
        <v>0</v>
      </c>
      <c r="BY216">
        <v>0</v>
      </c>
      <c r="BZ216">
        <v>0</v>
      </c>
      <c r="CA216">
        <v>0</v>
      </c>
      <c r="CB216">
        <v>0</v>
      </c>
      <c r="CC216">
        <v>0</v>
      </c>
      <c r="CD216">
        <v>0</v>
      </c>
      <c r="CE216">
        <v>0</v>
      </c>
      <c r="CF216">
        <v>0</v>
      </c>
      <c r="CG216">
        <v>0</v>
      </c>
      <c r="CH216">
        <v>0</v>
      </c>
      <c r="CI216">
        <v>0</v>
      </c>
      <c r="CJ216">
        <v>0</v>
      </c>
      <c r="CK216">
        <v>0</v>
      </c>
      <c r="CL216">
        <v>0</v>
      </c>
      <c r="CM216">
        <v>0</v>
      </c>
      <c r="CN216">
        <v>0</v>
      </c>
      <c r="CO216">
        <v>0</v>
      </c>
      <c r="CP216">
        <v>0</v>
      </c>
      <c r="CQ216">
        <v>0</v>
      </c>
      <c r="CR216">
        <v>0</v>
      </c>
      <c r="CS216">
        <v>0</v>
      </c>
      <c r="CT216">
        <v>0</v>
      </c>
      <c r="CU216">
        <v>0</v>
      </c>
      <c r="CV216">
        <v>0</v>
      </c>
      <c r="CW216">
        <v>0</v>
      </c>
      <c r="CX216">
        <v>0</v>
      </c>
      <c r="CY216">
        <v>0</v>
      </c>
      <c r="CZ216">
        <v>0</v>
      </c>
      <c r="DA216">
        <v>0</v>
      </c>
      <c r="DB216">
        <v>0</v>
      </c>
      <c r="DC216">
        <v>0</v>
      </c>
    </row>
    <row r="217" spans="1:107" x14ac:dyDescent="0.25">
      <c r="B217" t="s">
        <v>114</v>
      </c>
      <c r="C217">
        <v>48.379399999999997</v>
      </c>
      <c r="D217">
        <v>31.165600000000001</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1</v>
      </c>
      <c r="BF217">
        <v>1</v>
      </c>
      <c r="BG217">
        <v>1</v>
      </c>
      <c r="BH217">
        <v>1</v>
      </c>
      <c r="BI217">
        <v>2</v>
      </c>
      <c r="BJ217">
        <v>2</v>
      </c>
      <c r="BK217">
        <v>2</v>
      </c>
      <c r="BL217">
        <v>3</v>
      </c>
      <c r="BM217">
        <v>3</v>
      </c>
      <c r="BN217">
        <v>3</v>
      </c>
      <c r="BO217">
        <v>3</v>
      </c>
      <c r="BP217">
        <v>3</v>
      </c>
      <c r="BQ217">
        <v>5</v>
      </c>
      <c r="BR217">
        <v>5</v>
      </c>
      <c r="BS217">
        <v>5</v>
      </c>
      <c r="BT217">
        <v>9</v>
      </c>
      <c r="BU217">
        <v>10</v>
      </c>
      <c r="BV217">
        <v>13</v>
      </c>
      <c r="BW217">
        <v>17</v>
      </c>
      <c r="BX217">
        <v>20</v>
      </c>
      <c r="BY217">
        <v>22</v>
      </c>
      <c r="BZ217">
        <v>27</v>
      </c>
      <c r="CA217">
        <v>32</v>
      </c>
      <c r="CB217">
        <v>37</v>
      </c>
      <c r="CC217">
        <v>38</v>
      </c>
      <c r="CD217">
        <v>45</v>
      </c>
      <c r="CE217">
        <v>52</v>
      </c>
      <c r="CF217">
        <v>57</v>
      </c>
      <c r="CG217">
        <v>69</v>
      </c>
      <c r="CH217">
        <v>73</v>
      </c>
      <c r="CI217">
        <v>83</v>
      </c>
      <c r="CJ217">
        <v>93</v>
      </c>
      <c r="CK217">
        <v>98</v>
      </c>
      <c r="CL217">
        <v>108</v>
      </c>
      <c r="CM217">
        <v>116</v>
      </c>
      <c r="CN217">
        <v>125</v>
      </c>
      <c r="CO217">
        <v>133</v>
      </c>
      <c r="CP217">
        <v>141</v>
      </c>
      <c r="CQ217">
        <v>151</v>
      </c>
      <c r="CR217">
        <v>161</v>
      </c>
      <c r="CS217">
        <v>174</v>
      </c>
      <c r="CT217">
        <v>187</v>
      </c>
      <c r="CU217">
        <v>201</v>
      </c>
      <c r="CV217">
        <v>201</v>
      </c>
      <c r="CW217">
        <v>209</v>
      </c>
      <c r="CX217">
        <v>220</v>
      </c>
      <c r="CY217">
        <v>239</v>
      </c>
      <c r="CZ217">
        <v>250</v>
      </c>
      <c r="DA217">
        <v>261</v>
      </c>
      <c r="DB217">
        <v>272</v>
      </c>
      <c r="DC217">
        <v>279</v>
      </c>
    </row>
    <row r="218" spans="1:107" x14ac:dyDescent="0.25">
      <c r="B218" t="s">
        <v>55</v>
      </c>
      <c r="C218">
        <v>24</v>
      </c>
      <c r="D218">
        <v>54</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v>0</v>
      </c>
      <c r="BH218">
        <v>0</v>
      </c>
      <c r="BI218">
        <v>0</v>
      </c>
      <c r="BJ218">
        <v>0</v>
      </c>
      <c r="BK218">
        <v>0</v>
      </c>
      <c r="BL218">
        <v>2</v>
      </c>
      <c r="BM218">
        <v>2</v>
      </c>
      <c r="BN218">
        <v>2</v>
      </c>
      <c r="BO218">
        <v>2</v>
      </c>
      <c r="BP218">
        <v>2</v>
      </c>
      <c r="BQ218">
        <v>2</v>
      </c>
      <c r="BR218">
        <v>2</v>
      </c>
      <c r="BS218">
        <v>2</v>
      </c>
      <c r="BT218">
        <v>2</v>
      </c>
      <c r="BU218">
        <v>3</v>
      </c>
      <c r="BV218">
        <v>5</v>
      </c>
      <c r="BW218">
        <v>6</v>
      </c>
      <c r="BX218">
        <v>8</v>
      </c>
      <c r="BY218">
        <v>8</v>
      </c>
      <c r="BZ218">
        <v>9</v>
      </c>
      <c r="CA218">
        <v>10</v>
      </c>
      <c r="CB218">
        <v>10</v>
      </c>
      <c r="CC218">
        <v>11</v>
      </c>
      <c r="CD218">
        <v>12</v>
      </c>
      <c r="CE218">
        <v>12</v>
      </c>
      <c r="CF218">
        <v>14</v>
      </c>
      <c r="CG218">
        <v>16</v>
      </c>
      <c r="CH218">
        <v>20</v>
      </c>
      <c r="CI218">
        <v>22</v>
      </c>
      <c r="CJ218">
        <v>25</v>
      </c>
      <c r="CK218">
        <v>28</v>
      </c>
      <c r="CL218">
        <v>33</v>
      </c>
      <c r="CM218">
        <v>35</v>
      </c>
      <c r="CN218">
        <v>37</v>
      </c>
      <c r="CO218">
        <v>37</v>
      </c>
      <c r="CP218">
        <v>41</v>
      </c>
      <c r="CQ218">
        <v>43</v>
      </c>
      <c r="CR218">
        <v>46</v>
      </c>
      <c r="CS218">
        <v>52</v>
      </c>
      <c r="CT218">
        <v>56</v>
      </c>
      <c r="CU218">
        <v>64</v>
      </c>
      <c r="CV218">
        <v>71</v>
      </c>
      <c r="CW218">
        <v>76</v>
      </c>
      <c r="CX218">
        <v>82</v>
      </c>
      <c r="CY218">
        <v>89</v>
      </c>
      <c r="CZ218">
        <v>98</v>
      </c>
      <c r="DA218">
        <v>105</v>
      </c>
      <c r="DB218">
        <v>111</v>
      </c>
      <c r="DC218">
        <v>119</v>
      </c>
    </row>
    <row r="219" spans="1:107" x14ac:dyDescent="0.25">
      <c r="A219" t="s">
        <v>734</v>
      </c>
      <c r="B219" t="s">
        <v>609</v>
      </c>
      <c r="C219">
        <v>32.3078</v>
      </c>
      <c r="D219">
        <v>-64.750500000000002</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0</v>
      </c>
      <c r="BK219">
        <v>0</v>
      </c>
      <c r="BL219">
        <v>0</v>
      </c>
      <c r="BM219">
        <v>0</v>
      </c>
      <c r="BN219">
        <v>0</v>
      </c>
      <c r="BO219">
        <v>0</v>
      </c>
      <c r="BP219">
        <v>0</v>
      </c>
      <c r="BQ219">
        <v>0</v>
      </c>
      <c r="BR219">
        <v>0</v>
      </c>
      <c r="BS219">
        <v>0</v>
      </c>
      <c r="BT219">
        <v>0</v>
      </c>
      <c r="BU219">
        <v>0</v>
      </c>
      <c r="BV219">
        <v>0</v>
      </c>
      <c r="BW219">
        <v>0</v>
      </c>
      <c r="BX219">
        <v>0</v>
      </c>
      <c r="BY219">
        <v>0</v>
      </c>
      <c r="BZ219">
        <v>0</v>
      </c>
      <c r="CA219">
        <v>0</v>
      </c>
      <c r="CB219">
        <v>0</v>
      </c>
      <c r="CC219">
        <v>2</v>
      </c>
      <c r="CD219">
        <v>2</v>
      </c>
      <c r="CE219">
        <v>3</v>
      </c>
      <c r="CF219">
        <v>4</v>
      </c>
      <c r="CG219">
        <v>4</v>
      </c>
      <c r="CH219">
        <v>4</v>
      </c>
      <c r="CI219">
        <v>4</v>
      </c>
      <c r="CJ219">
        <v>5</v>
      </c>
      <c r="CK219">
        <v>5</v>
      </c>
      <c r="CL219">
        <v>5</v>
      </c>
      <c r="CM219">
        <v>5</v>
      </c>
      <c r="CN219">
        <v>5</v>
      </c>
      <c r="CO219">
        <v>5</v>
      </c>
      <c r="CP219">
        <v>5</v>
      </c>
      <c r="CQ219">
        <v>5</v>
      </c>
      <c r="CR219">
        <v>5</v>
      </c>
      <c r="CS219">
        <v>5</v>
      </c>
      <c r="CT219">
        <v>5</v>
      </c>
      <c r="CU219">
        <v>5</v>
      </c>
      <c r="CV219">
        <v>5</v>
      </c>
      <c r="CW219">
        <v>5</v>
      </c>
      <c r="CX219">
        <v>6</v>
      </c>
      <c r="CY219">
        <v>6</v>
      </c>
      <c r="CZ219">
        <v>6</v>
      </c>
      <c r="DA219">
        <v>6</v>
      </c>
      <c r="DB219">
        <v>6</v>
      </c>
      <c r="DC219">
        <v>7</v>
      </c>
    </row>
    <row r="220" spans="1:107" x14ac:dyDescent="0.25">
      <c r="A220" t="s">
        <v>731</v>
      </c>
      <c r="B220" t="s">
        <v>609</v>
      </c>
      <c r="C220">
        <v>19.313300000000002</v>
      </c>
      <c r="D220">
        <v>-81.254599999999996</v>
      </c>
      <c r="F220">
        <v>0</v>
      </c>
      <c r="G220">
        <v>0</v>
      </c>
      <c r="H220">
        <v>0</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0</v>
      </c>
      <c r="BE220">
        <v>0</v>
      </c>
      <c r="BF220">
        <v>0</v>
      </c>
      <c r="BG220">
        <v>0</v>
      </c>
      <c r="BH220">
        <v>1</v>
      </c>
      <c r="BI220">
        <v>1</v>
      </c>
      <c r="BJ220">
        <v>1</v>
      </c>
      <c r="BK220">
        <v>1</v>
      </c>
      <c r="BL220">
        <v>1</v>
      </c>
      <c r="BM220">
        <v>1</v>
      </c>
      <c r="BN220">
        <v>1</v>
      </c>
      <c r="BO220">
        <v>1</v>
      </c>
      <c r="BP220">
        <v>1</v>
      </c>
      <c r="BQ220">
        <v>1</v>
      </c>
      <c r="BR220">
        <v>1</v>
      </c>
      <c r="BS220">
        <v>1</v>
      </c>
      <c r="BT220">
        <v>1</v>
      </c>
      <c r="BU220">
        <v>1</v>
      </c>
      <c r="BV220">
        <v>1</v>
      </c>
      <c r="BW220">
        <v>1</v>
      </c>
      <c r="BX220">
        <v>1</v>
      </c>
      <c r="BY220">
        <v>1</v>
      </c>
      <c r="BZ220">
        <v>1</v>
      </c>
      <c r="CA220">
        <v>1</v>
      </c>
      <c r="CB220">
        <v>1</v>
      </c>
      <c r="CC220">
        <v>1</v>
      </c>
      <c r="CD220">
        <v>1</v>
      </c>
      <c r="CE220">
        <v>1</v>
      </c>
      <c r="CF220">
        <v>1</v>
      </c>
      <c r="CG220">
        <v>1</v>
      </c>
      <c r="CH220">
        <v>1</v>
      </c>
      <c r="CI220">
        <v>1</v>
      </c>
      <c r="CJ220">
        <v>1</v>
      </c>
      <c r="CK220">
        <v>1</v>
      </c>
      <c r="CL220">
        <v>1</v>
      </c>
      <c r="CM220">
        <v>1</v>
      </c>
      <c r="CN220">
        <v>1</v>
      </c>
      <c r="CO220">
        <v>1</v>
      </c>
      <c r="CP220">
        <v>1</v>
      </c>
      <c r="CQ220">
        <v>1</v>
      </c>
      <c r="CR220">
        <v>1</v>
      </c>
      <c r="CS220">
        <v>1</v>
      </c>
      <c r="CT220">
        <v>1</v>
      </c>
      <c r="CU220">
        <v>1</v>
      </c>
      <c r="CV220">
        <v>1</v>
      </c>
      <c r="CW220">
        <v>1</v>
      </c>
      <c r="CX220">
        <v>1</v>
      </c>
      <c r="CY220">
        <v>1</v>
      </c>
      <c r="CZ220">
        <v>1</v>
      </c>
      <c r="DA220">
        <v>1</v>
      </c>
      <c r="DB220">
        <v>1</v>
      </c>
      <c r="DC220">
        <v>1</v>
      </c>
    </row>
    <row r="221" spans="1:107" x14ac:dyDescent="0.25">
      <c r="A221" t="s">
        <v>729</v>
      </c>
      <c r="B221" t="s">
        <v>609</v>
      </c>
      <c r="C221">
        <v>49.372300000000003</v>
      </c>
      <c r="D221">
        <v>-2.3643999999999998</v>
      </c>
      <c r="F221">
        <v>0</v>
      </c>
      <c r="G221">
        <v>0</v>
      </c>
      <c r="H221">
        <v>0</v>
      </c>
      <c r="I221">
        <v>0</v>
      </c>
      <c r="J221">
        <v>0</v>
      </c>
      <c r="K221">
        <v>0</v>
      </c>
      <c r="L221">
        <v>0</v>
      </c>
      <c r="M221">
        <v>0</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v>0</v>
      </c>
      <c r="BL221">
        <v>0</v>
      </c>
      <c r="BM221">
        <v>0</v>
      </c>
      <c r="BN221">
        <v>0</v>
      </c>
      <c r="BO221">
        <v>0</v>
      </c>
      <c r="BP221">
        <v>0</v>
      </c>
      <c r="BQ221">
        <v>0</v>
      </c>
      <c r="BR221">
        <v>1</v>
      </c>
      <c r="BS221">
        <v>1</v>
      </c>
      <c r="BT221">
        <v>1</v>
      </c>
      <c r="BU221">
        <v>2</v>
      </c>
      <c r="BV221">
        <v>2</v>
      </c>
      <c r="BW221">
        <v>3</v>
      </c>
      <c r="BX221">
        <v>3</v>
      </c>
      <c r="BY221">
        <v>3</v>
      </c>
      <c r="BZ221">
        <v>4</v>
      </c>
      <c r="CA221">
        <v>5</v>
      </c>
      <c r="CB221">
        <v>6</v>
      </c>
      <c r="CC221">
        <v>7</v>
      </c>
      <c r="CD221">
        <v>7</v>
      </c>
      <c r="CE221">
        <v>8</v>
      </c>
      <c r="CF221">
        <v>8</v>
      </c>
      <c r="CG221">
        <v>9</v>
      </c>
      <c r="CH221">
        <v>9</v>
      </c>
      <c r="CI221">
        <v>9</v>
      </c>
      <c r="CJ221">
        <v>9</v>
      </c>
      <c r="CK221">
        <v>13</v>
      </c>
      <c r="CL221">
        <v>15</v>
      </c>
      <c r="CM221">
        <v>19</v>
      </c>
      <c r="CN221">
        <v>20</v>
      </c>
      <c r="CO221">
        <v>21</v>
      </c>
      <c r="CP221">
        <v>21</v>
      </c>
      <c r="CQ221">
        <v>24</v>
      </c>
      <c r="CR221">
        <v>24</v>
      </c>
      <c r="CS221">
        <v>28</v>
      </c>
      <c r="CT221">
        <v>29</v>
      </c>
      <c r="CU221">
        <v>34</v>
      </c>
      <c r="CV221">
        <v>35</v>
      </c>
      <c r="CW221">
        <v>35</v>
      </c>
      <c r="CX221">
        <v>35</v>
      </c>
      <c r="CY221">
        <v>36</v>
      </c>
      <c r="CZ221">
        <v>38</v>
      </c>
      <c r="DA221">
        <v>40</v>
      </c>
      <c r="DB221">
        <v>41</v>
      </c>
      <c r="DC221">
        <v>41</v>
      </c>
    </row>
    <row r="222" spans="1:107" x14ac:dyDescent="0.25">
      <c r="A222" t="s">
        <v>730</v>
      </c>
      <c r="B222" t="s">
        <v>609</v>
      </c>
      <c r="C222">
        <v>36.140799999999999</v>
      </c>
      <c r="D222">
        <v>-5.3536000000000001</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0</v>
      </c>
      <c r="BD222">
        <v>0</v>
      </c>
      <c r="BE222">
        <v>0</v>
      </c>
      <c r="BF222">
        <v>0</v>
      </c>
      <c r="BG222">
        <v>0</v>
      </c>
      <c r="BH222">
        <v>0</v>
      </c>
      <c r="BI222">
        <v>0</v>
      </c>
      <c r="BJ222">
        <v>0</v>
      </c>
      <c r="BK222">
        <v>0</v>
      </c>
      <c r="BL222">
        <v>0</v>
      </c>
      <c r="BM222">
        <v>0</v>
      </c>
      <c r="BN222">
        <v>0</v>
      </c>
      <c r="BO222">
        <v>0</v>
      </c>
      <c r="BP222">
        <v>0</v>
      </c>
      <c r="BQ222">
        <v>0</v>
      </c>
      <c r="BR222">
        <v>0</v>
      </c>
      <c r="BS222">
        <v>0</v>
      </c>
      <c r="BT222">
        <v>0</v>
      </c>
      <c r="BU222">
        <v>0</v>
      </c>
      <c r="BV222">
        <v>0</v>
      </c>
      <c r="BW222">
        <v>0</v>
      </c>
      <c r="BX222">
        <v>0</v>
      </c>
      <c r="BY222">
        <v>0</v>
      </c>
      <c r="BZ222">
        <v>0</v>
      </c>
      <c r="CA222">
        <v>0</v>
      </c>
      <c r="CB222">
        <v>0</v>
      </c>
      <c r="CC222">
        <v>0</v>
      </c>
      <c r="CD222">
        <v>0</v>
      </c>
      <c r="CE222">
        <v>0</v>
      </c>
      <c r="CF222">
        <v>0</v>
      </c>
      <c r="CG222">
        <v>0</v>
      </c>
      <c r="CH222">
        <v>0</v>
      </c>
      <c r="CI222">
        <v>0</v>
      </c>
      <c r="CJ222">
        <v>0</v>
      </c>
      <c r="CK222">
        <v>0</v>
      </c>
      <c r="CL222">
        <v>0</v>
      </c>
      <c r="CM222">
        <v>0</v>
      </c>
      <c r="CN222">
        <v>0</v>
      </c>
      <c r="CO222">
        <v>0</v>
      </c>
      <c r="CP222">
        <v>0</v>
      </c>
      <c r="CQ222">
        <v>0</v>
      </c>
      <c r="CR222">
        <v>0</v>
      </c>
      <c r="CS222">
        <v>0</v>
      </c>
      <c r="CT222">
        <v>0</v>
      </c>
      <c r="CU222">
        <v>0</v>
      </c>
      <c r="CV222">
        <v>0</v>
      </c>
      <c r="CW222">
        <v>0</v>
      </c>
      <c r="CX222">
        <v>0</v>
      </c>
      <c r="CY222">
        <v>0</v>
      </c>
      <c r="CZ222">
        <v>0</v>
      </c>
      <c r="DA222">
        <v>0</v>
      </c>
      <c r="DB222">
        <v>0</v>
      </c>
      <c r="DC222">
        <v>0</v>
      </c>
    </row>
    <row r="223" spans="1:107" x14ac:dyDescent="0.25">
      <c r="A223" t="s">
        <v>746</v>
      </c>
      <c r="B223" t="s">
        <v>609</v>
      </c>
      <c r="C223">
        <v>54.2361</v>
      </c>
      <c r="D223">
        <v>-4.5480999999999998</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0</v>
      </c>
      <c r="BL223">
        <v>0</v>
      </c>
      <c r="BM223">
        <v>0</v>
      </c>
      <c r="BN223">
        <v>0</v>
      </c>
      <c r="BO223">
        <v>0</v>
      </c>
      <c r="BP223">
        <v>0</v>
      </c>
      <c r="BQ223">
        <v>0</v>
      </c>
      <c r="BR223">
        <v>0</v>
      </c>
      <c r="BS223">
        <v>0</v>
      </c>
      <c r="BT223">
        <v>0</v>
      </c>
      <c r="BU223">
        <v>0</v>
      </c>
      <c r="BV223">
        <v>0</v>
      </c>
      <c r="BW223">
        <v>0</v>
      </c>
      <c r="BX223">
        <v>1</v>
      </c>
      <c r="BY223">
        <v>1</v>
      </c>
      <c r="BZ223">
        <v>1</v>
      </c>
      <c r="CA223">
        <v>1</v>
      </c>
      <c r="CB223">
        <v>1</v>
      </c>
      <c r="CC223">
        <v>1</v>
      </c>
      <c r="CD223">
        <v>1</v>
      </c>
      <c r="CE223">
        <v>1</v>
      </c>
      <c r="CF223">
        <v>1</v>
      </c>
      <c r="CG223">
        <v>1</v>
      </c>
      <c r="CH223">
        <v>2</v>
      </c>
      <c r="CI223">
        <v>2</v>
      </c>
      <c r="CJ223">
        <v>2</v>
      </c>
      <c r="CK223">
        <v>2</v>
      </c>
      <c r="CL223">
        <v>4</v>
      </c>
      <c r="CM223">
        <v>4</v>
      </c>
      <c r="CN223">
        <v>4</v>
      </c>
      <c r="CO223">
        <v>6</v>
      </c>
      <c r="CP223">
        <v>6</v>
      </c>
      <c r="CQ223">
        <v>9</v>
      </c>
      <c r="CR223">
        <v>9</v>
      </c>
      <c r="CS223">
        <v>15</v>
      </c>
      <c r="CT223">
        <v>16</v>
      </c>
      <c r="CU223">
        <v>18</v>
      </c>
      <c r="CV223">
        <v>18</v>
      </c>
      <c r="CW223">
        <v>18</v>
      </c>
      <c r="CX223">
        <v>20</v>
      </c>
      <c r="CY223">
        <v>21</v>
      </c>
      <c r="CZ223">
        <v>21</v>
      </c>
      <c r="DA223">
        <v>21</v>
      </c>
      <c r="DB223">
        <v>22</v>
      </c>
      <c r="DC223">
        <v>22</v>
      </c>
    </row>
    <row r="224" spans="1:107" x14ac:dyDescent="0.25">
      <c r="A224" t="s">
        <v>732</v>
      </c>
      <c r="B224" t="s">
        <v>609</v>
      </c>
      <c r="C224">
        <v>16.7425</v>
      </c>
      <c r="D224">
        <v>-62.187399999999997</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0</v>
      </c>
      <c r="BJ224">
        <v>0</v>
      </c>
      <c r="BK224">
        <v>0</v>
      </c>
      <c r="BL224">
        <v>0</v>
      </c>
      <c r="BM224">
        <v>0</v>
      </c>
      <c r="BN224">
        <v>0</v>
      </c>
      <c r="BO224">
        <v>0</v>
      </c>
      <c r="BP224">
        <v>0</v>
      </c>
      <c r="BQ224">
        <v>0</v>
      </c>
      <c r="BR224">
        <v>0</v>
      </c>
      <c r="BS224">
        <v>0</v>
      </c>
      <c r="BT224">
        <v>0</v>
      </c>
      <c r="BU224">
        <v>0</v>
      </c>
      <c r="BV224">
        <v>0</v>
      </c>
      <c r="BW224">
        <v>0</v>
      </c>
      <c r="BX224">
        <v>0</v>
      </c>
      <c r="BY224">
        <v>0</v>
      </c>
      <c r="BZ224">
        <v>0</v>
      </c>
      <c r="CA224">
        <v>0</v>
      </c>
      <c r="CB224">
        <v>0</v>
      </c>
      <c r="CC224">
        <v>0</v>
      </c>
      <c r="CD224">
        <v>0</v>
      </c>
      <c r="CE224">
        <v>0</v>
      </c>
      <c r="CF224">
        <v>0</v>
      </c>
      <c r="CG224">
        <v>0</v>
      </c>
      <c r="CH224">
        <v>0</v>
      </c>
      <c r="CI224">
        <v>0</v>
      </c>
      <c r="CJ224">
        <v>0</v>
      </c>
      <c r="CK224">
        <v>0</v>
      </c>
      <c r="CL224">
        <v>0</v>
      </c>
      <c r="CM224">
        <v>0</v>
      </c>
      <c r="CN224">
        <v>0</v>
      </c>
      <c r="CO224">
        <v>0</v>
      </c>
      <c r="CP224">
        <v>0</v>
      </c>
      <c r="CQ224">
        <v>0</v>
      </c>
      <c r="CR224">
        <v>0</v>
      </c>
      <c r="CS224">
        <v>0</v>
      </c>
      <c r="CT224">
        <v>0</v>
      </c>
      <c r="CU224">
        <v>1</v>
      </c>
      <c r="CV224">
        <v>1</v>
      </c>
      <c r="CW224">
        <v>1</v>
      </c>
      <c r="CX224">
        <v>1</v>
      </c>
      <c r="CY224">
        <v>1</v>
      </c>
      <c r="CZ224">
        <v>1</v>
      </c>
      <c r="DA224">
        <v>1</v>
      </c>
      <c r="DB224">
        <v>1</v>
      </c>
      <c r="DC224">
        <v>1</v>
      </c>
    </row>
    <row r="225" spans="1:107" x14ac:dyDescent="0.25">
      <c r="B225" t="s">
        <v>609</v>
      </c>
      <c r="C225">
        <v>55.378100000000003</v>
      </c>
      <c r="D225">
        <v>-3.4360000000000004</v>
      </c>
      <c r="F225">
        <v>0</v>
      </c>
      <c r="G225">
        <v>0</v>
      </c>
      <c r="H225">
        <v>0</v>
      </c>
      <c r="I225">
        <v>0</v>
      </c>
      <c r="J225">
        <v>0</v>
      </c>
      <c r="K225">
        <v>0</v>
      </c>
      <c r="L225">
        <v>0</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0</v>
      </c>
      <c r="AN225">
        <v>0</v>
      </c>
      <c r="AO225">
        <v>0</v>
      </c>
      <c r="AP225">
        <v>0</v>
      </c>
      <c r="AQ225">
        <v>0</v>
      </c>
      <c r="AR225">
        <v>0</v>
      </c>
      <c r="AS225">
        <v>0</v>
      </c>
      <c r="AT225">
        <v>0</v>
      </c>
      <c r="AU225">
        <v>0</v>
      </c>
      <c r="AV225">
        <v>0</v>
      </c>
      <c r="AW225">
        <v>0</v>
      </c>
      <c r="AX225">
        <v>1</v>
      </c>
      <c r="AY225">
        <v>2</v>
      </c>
      <c r="AZ225">
        <v>2</v>
      </c>
      <c r="BA225">
        <v>3</v>
      </c>
      <c r="BB225">
        <v>7</v>
      </c>
      <c r="BC225">
        <v>7</v>
      </c>
      <c r="BD225">
        <v>9</v>
      </c>
      <c r="BE225">
        <v>10</v>
      </c>
      <c r="BF225">
        <v>28</v>
      </c>
      <c r="BG225">
        <v>43</v>
      </c>
      <c r="BH225">
        <v>65</v>
      </c>
      <c r="BI225">
        <v>81</v>
      </c>
      <c r="BJ225">
        <v>115</v>
      </c>
      <c r="BK225">
        <v>158</v>
      </c>
      <c r="BL225">
        <v>194</v>
      </c>
      <c r="BM225">
        <v>250</v>
      </c>
      <c r="BN225">
        <v>285</v>
      </c>
      <c r="BO225">
        <v>359</v>
      </c>
      <c r="BP225">
        <v>508</v>
      </c>
      <c r="BQ225">
        <v>694</v>
      </c>
      <c r="BR225">
        <v>877</v>
      </c>
      <c r="BS225">
        <v>1161</v>
      </c>
      <c r="BT225">
        <v>1455</v>
      </c>
      <c r="BU225">
        <v>1669</v>
      </c>
      <c r="BV225">
        <v>2043</v>
      </c>
      <c r="BW225">
        <v>2425</v>
      </c>
      <c r="BX225">
        <v>3095</v>
      </c>
      <c r="BY225">
        <v>3747</v>
      </c>
      <c r="BZ225">
        <v>4461</v>
      </c>
      <c r="CA225">
        <v>5221</v>
      </c>
      <c r="CB225">
        <v>5865</v>
      </c>
      <c r="CC225">
        <v>6433</v>
      </c>
      <c r="CD225">
        <v>7471</v>
      </c>
      <c r="CE225">
        <v>8505</v>
      </c>
      <c r="CF225">
        <v>9608</v>
      </c>
      <c r="CG225">
        <v>10760</v>
      </c>
      <c r="CH225">
        <v>11599</v>
      </c>
      <c r="CI225">
        <v>12285</v>
      </c>
      <c r="CJ225">
        <v>13029</v>
      </c>
      <c r="CK225">
        <v>14073</v>
      </c>
      <c r="CL225">
        <v>14915</v>
      </c>
      <c r="CM225">
        <v>15944</v>
      </c>
      <c r="CN225">
        <v>16879</v>
      </c>
      <c r="CO225">
        <v>17994</v>
      </c>
      <c r="CP225">
        <v>18492</v>
      </c>
      <c r="CQ225">
        <v>19051</v>
      </c>
      <c r="CR225">
        <v>20223</v>
      </c>
      <c r="CS225">
        <v>21060</v>
      </c>
      <c r="CT225">
        <v>21787</v>
      </c>
      <c r="CU225">
        <v>22792</v>
      </c>
      <c r="CV225">
        <v>23635</v>
      </c>
      <c r="CW225">
        <v>24055</v>
      </c>
      <c r="CX225">
        <v>24393</v>
      </c>
      <c r="CY225">
        <v>25302</v>
      </c>
      <c r="CZ225">
        <v>26097</v>
      </c>
      <c r="DA225">
        <v>26771</v>
      </c>
      <c r="DB225">
        <v>27510</v>
      </c>
      <c r="DC225">
        <v>28131</v>
      </c>
    </row>
    <row r="226" spans="1:107" x14ac:dyDescent="0.25">
      <c r="B226" t="s">
        <v>356</v>
      </c>
      <c r="C226">
        <v>-32.522799999999997</v>
      </c>
      <c r="D226">
        <v>-55.765799999999999</v>
      </c>
      <c r="F226">
        <v>0</v>
      </c>
      <c r="G226">
        <v>0</v>
      </c>
      <c r="H226">
        <v>0</v>
      </c>
      <c r="I226">
        <v>0</v>
      </c>
      <c r="J226">
        <v>0</v>
      </c>
      <c r="K226">
        <v>0</v>
      </c>
      <c r="L226">
        <v>0</v>
      </c>
      <c r="M226">
        <v>0</v>
      </c>
      <c r="N226">
        <v>0</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0</v>
      </c>
      <c r="BF226">
        <v>0</v>
      </c>
      <c r="BG226">
        <v>0</v>
      </c>
      <c r="BH226">
        <v>0</v>
      </c>
      <c r="BI226">
        <v>0</v>
      </c>
      <c r="BJ226">
        <v>0</v>
      </c>
      <c r="BK226">
        <v>0</v>
      </c>
      <c r="BL226">
        <v>0</v>
      </c>
      <c r="BM226">
        <v>0</v>
      </c>
      <c r="BN226">
        <v>0</v>
      </c>
      <c r="BO226">
        <v>0</v>
      </c>
      <c r="BP226">
        <v>0</v>
      </c>
      <c r="BQ226">
        <v>0</v>
      </c>
      <c r="BR226">
        <v>0</v>
      </c>
      <c r="BS226">
        <v>0</v>
      </c>
      <c r="BT226">
        <v>0</v>
      </c>
      <c r="BU226">
        <v>1</v>
      </c>
      <c r="BV226">
        <v>1</v>
      </c>
      <c r="BW226">
        <v>1</v>
      </c>
      <c r="BX226">
        <v>2</v>
      </c>
      <c r="BY226">
        <v>4</v>
      </c>
      <c r="BZ226">
        <v>4</v>
      </c>
      <c r="CA226">
        <v>5</v>
      </c>
      <c r="CB226">
        <v>5</v>
      </c>
      <c r="CC226">
        <v>6</v>
      </c>
      <c r="CD226">
        <v>7</v>
      </c>
      <c r="CE226">
        <v>7</v>
      </c>
      <c r="CF226">
        <v>7</v>
      </c>
      <c r="CG226">
        <v>7</v>
      </c>
      <c r="CH226">
        <v>7</v>
      </c>
      <c r="CI226">
        <v>7</v>
      </c>
      <c r="CJ226">
        <v>8</v>
      </c>
      <c r="CK226">
        <v>8</v>
      </c>
      <c r="CL226">
        <v>8</v>
      </c>
      <c r="CM226">
        <v>9</v>
      </c>
      <c r="CN226">
        <v>9</v>
      </c>
      <c r="CO226">
        <v>9</v>
      </c>
      <c r="CP226">
        <v>10</v>
      </c>
      <c r="CQ226">
        <v>10</v>
      </c>
      <c r="CR226">
        <v>11</v>
      </c>
      <c r="CS226">
        <v>12</v>
      </c>
      <c r="CT226">
        <v>12</v>
      </c>
      <c r="CU226">
        <v>12</v>
      </c>
      <c r="CV226">
        <v>14</v>
      </c>
      <c r="CW226">
        <v>15</v>
      </c>
      <c r="CX226">
        <v>15</v>
      </c>
      <c r="CY226">
        <v>15</v>
      </c>
      <c r="CZ226">
        <v>15</v>
      </c>
      <c r="DA226">
        <v>17</v>
      </c>
      <c r="DB226">
        <v>17</v>
      </c>
      <c r="DC226">
        <v>17</v>
      </c>
    </row>
    <row r="227" spans="1:107" x14ac:dyDescent="0.25">
      <c r="B227" t="s">
        <v>37</v>
      </c>
      <c r="C227">
        <v>37.090200000000003</v>
      </c>
      <c r="D227">
        <v>-95.712900000000005</v>
      </c>
      <c r="F227">
        <v>0</v>
      </c>
      <c r="G227">
        <v>0</v>
      </c>
      <c r="H227">
        <v>0</v>
      </c>
      <c r="I227">
        <v>0</v>
      </c>
      <c r="J227">
        <v>0</v>
      </c>
      <c r="K227">
        <v>0</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0</v>
      </c>
      <c r="AN227">
        <v>0</v>
      </c>
      <c r="AO227">
        <v>0</v>
      </c>
      <c r="AP227">
        <v>0</v>
      </c>
      <c r="AQ227">
        <v>0</v>
      </c>
      <c r="AR227">
        <v>1</v>
      </c>
      <c r="AS227">
        <v>1</v>
      </c>
      <c r="AT227">
        <v>6</v>
      </c>
      <c r="AU227">
        <v>7</v>
      </c>
      <c r="AV227">
        <v>11</v>
      </c>
      <c r="AW227">
        <v>12</v>
      </c>
      <c r="AX227">
        <v>14</v>
      </c>
      <c r="AY227">
        <v>17</v>
      </c>
      <c r="AZ227">
        <v>21</v>
      </c>
      <c r="BA227">
        <v>22</v>
      </c>
      <c r="BB227">
        <v>28</v>
      </c>
      <c r="BC227">
        <v>36</v>
      </c>
      <c r="BD227">
        <v>41</v>
      </c>
      <c r="BE227">
        <v>49</v>
      </c>
      <c r="BF227">
        <v>58</v>
      </c>
      <c r="BG227">
        <v>73</v>
      </c>
      <c r="BH227">
        <v>99</v>
      </c>
      <c r="BI227">
        <v>133</v>
      </c>
      <c r="BJ227">
        <v>164</v>
      </c>
      <c r="BK227">
        <v>258</v>
      </c>
      <c r="BL227">
        <v>349</v>
      </c>
      <c r="BM227">
        <v>442</v>
      </c>
      <c r="BN227">
        <v>586</v>
      </c>
      <c r="BO227">
        <v>786</v>
      </c>
      <c r="BP227">
        <v>1008</v>
      </c>
      <c r="BQ227">
        <v>1316</v>
      </c>
      <c r="BR227">
        <v>1726</v>
      </c>
      <c r="BS227">
        <v>2265</v>
      </c>
      <c r="BT227">
        <v>2731</v>
      </c>
      <c r="BU227">
        <v>3420</v>
      </c>
      <c r="BV227">
        <v>4192</v>
      </c>
      <c r="BW227">
        <v>5367</v>
      </c>
      <c r="BX227">
        <v>6501</v>
      </c>
      <c r="BY227">
        <v>7921</v>
      </c>
      <c r="BZ227">
        <v>9246</v>
      </c>
      <c r="CA227">
        <v>10855</v>
      </c>
      <c r="CB227">
        <v>12375</v>
      </c>
      <c r="CC227">
        <v>13894</v>
      </c>
      <c r="CD227">
        <v>16191</v>
      </c>
      <c r="CE227">
        <v>18270</v>
      </c>
      <c r="CF227">
        <v>20255</v>
      </c>
      <c r="CG227">
        <v>22333</v>
      </c>
      <c r="CH227">
        <v>24342</v>
      </c>
      <c r="CI227">
        <v>26086</v>
      </c>
      <c r="CJ227">
        <v>27870</v>
      </c>
      <c r="CK227">
        <v>30262</v>
      </c>
      <c r="CL227">
        <v>32734</v>
      </c>
      <c r="CM227">
        <v>34827</v>
      </c>
      <c r="CN227">
        <v>37411</v>
      </c>
      <c r="CO227">
        <v>39753</v>
      </c>
      <c r="CP227">
        <v>40945</v>
      </c>
      <c r="CQ227">
        <v>42659</v>
      </c>
      <c r="CR227">
        <v>45086</v>
      </c>
      <c r="CS227">
        <v>47412</v>
      </c>
      <c r="CT227">
        <v>49724</v>
      </c>
      <c r="CU227">
        <v>51493</v>
      </c>
      <c r="CV227">
        <v>53755</v>
      </c>
      <c r="CW227">
        <v>54881</v>
      </c>
      <c r="CX227">
        <v>56259</v>
      </c>
      <c r="CY227">
        <v>58355</v>
      </c>
      <c r="CZ227">
        <v>60967</v>
      </c>
      <c r="DA227">
        <v>62996</v>
      </c>
      <c r="DB227">
        <v>64943</v>
      </c>
      <c r="DC227">
        <v>66369</v>
      </c>
    </row>
    <row r="228" spans="1:107" x14ac:dyDescent="0.25">
      <c r="B228" t="s">
        <v>494</v>
      </c>
      <c r="C228">
        <v>41.377499999999998</v>
      </c>
      <c r="D228">
        <v>64.585300000000004</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c r="BL228">
        <v>0</v>
      </c>
      <c r="BM228">
        <v>0</v>
      </c>
      <c r="BN228">
        <v>0</v>
      </c>
      <c r="BO228">
        <v>0</v>
      </c>
      <c r="BP228">
        <v>0</v>
      </c>
      <c r="BQ228">
        <v>0</v>
      </c>
      <c r="BR228">
        <v>0</v>
      </c>
      <c r="BS228">
        <v>1</v>
      </c>
      <c r="BT228">
        <v>2</v>
      </c>
      <c r="BU228">
        <v>2</v>
      </c>
      <c r="BV228">
        <v>2</v>
      </c>
      <c r="BW228">
        <v>2</v>
      </c>
      <c r="BX228">
        <v>2</v>
      </c>
      <c r="BY228">
        <v>2</v>
      </c>
      <c r="BZ228">
        <v>2</v>
      </c>
      <c r="CA228">
        <v>2</v>
      </c>
      <c r="CB228">
        <v>2</v>
      </c>
      <c r="CC228">
        <v>2</v>
      </c>
      <c r="CD228">
        <v>2</v>
      </c>
      <c r="CE228">
        <v>3</v>
      </c>
      <c r="CF228">
        <v>3</v>
      </c>
      <c r="CG228">
        <v>3</v>
      </c>
      <c r="CH228">
        <v>4</v>
      </c>
      <c r="CI228">
        <v>4</v>
      </c>
      <c r="CJ228">
        <v>4</v>
      </c>
      <c r="CK228">
        <v>4</v>
      </c>
      <c r="CL228">
        <v>4</v>
      </c>
      <c r="CM228">
        <v>4</v>
      </c>
      <c r="CN228">
        <v>4</v>
      </c>
      <c r="CO228">
        <v>5</v>
      </c>
      <c r="CP228">
        <v>5</v>
      </c>
      <c r="CQ228">
        <v>5</v>
      </c>
      <c r="CR228">
        <v>6</v>
      </c>
      <c r="CS228">
        <v>7</v>
      </c>
      <c r="CT228">
        <v>7</v>
      </c>
      <c r="CU228">
        <v>8</v>
      </c>
      <c r="CV228">
        <v>8</v>
      </c>
      <c r="CW228">
        <v>8</v>
      </c>
      <c r="CX228">
        <v>8</v>
      </c>
      <c r="CY228">
        <v>8</v>
      </c>
      <c r="CZ228">
        <v>9</v>
      </c>
      <c r="DA228">
        <v>9</v>
      </c>
      <c r="DB228">
        <v>9</v>
      </c>
      <c r="DC228">
        <v>9</v>
      </c>
    </row>
    <row r="229" spans="1:107" x14ac:dyDescent="0.25">
      <c r="B229" t="s">
        <v>361</v>
      </c>
      <c r="C229">
        <v>6.4238</v>
      </c>
      <c r="D229">
        <v>-66.589699999999993</v>
      </c>
      <c r="F229">
        <v>0</v>
      </c>
      <c r="G229">
        <v>0</v>
      </c>
      <c r="H229">
        <v>0</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0</v>
      </c>
      <c r="BF229">
        <v>0</v>
      </c>
      <c r="BG229">
        <v>0</v>
      </c>
      <c r="BH229">
        <v>0</v>
      </c>
      <c r="BI229">
        <v>0</v>
      </c>
      <c r="BJ229">
        <v>0</v>
      </c>
      <c r="BK229">
        <v>0</v>
      </c>
      <c r="BL229">
        <v>0</v>
      </c>
      <c r="BM229">
        <v>0</v>
      </c>
      <c r="BN229">
        <v>0</v>
      </c>
      <c r="BO229">
        <v>0</v>
      </c>
      <c r="BP229">
        <v>0</v>
      </c>
      <c r="BQ229">
        <v>0</v>
      </c>
      <c r="BR229">
        <v>0</v>
      </c>
      <c r="BS229">
        <v>1</v>
      </c>
      <c r="BT229">
        <v>2</v>
      </c>
      <c r="BU229">
        <v>2</v>
      </c>
      <c r="BV229">
        <v>3</v>
      </c>
      <c r="BW229">
        <v>3</v>
      </c>
      <c r="BX229">
        <v>3</v>
      </c>
      <c r="BY229">
        <v>5</v>
      </c>
      <c r="BZ229">
        <v>7</v>
      </c>
      <c r="CA229">
        <v>7</v>
      </c>
      <c r="CB229">
        <v>7</v>
      </c>
      <c r="CC229">
        <v>7</v>
      </c>
      <c r="CD229">
        <v>7</v>
      </c>
      <c r="CE229">
        <v>9</v>
      </c>
      <c r="CF229">
        <v>9</v>
      </c>
      <c r="CG229">
        <v>9</v>
      </c>
      <c r="CH229">
        <v>9</v>
      </c>
      <c r="CI229">
        <v>9</v>
      </c>
      <c r="CJ229">
        <v>9</v>
      </c>
      <c r="CK229">
        <v>9</v>
      </c>
      <c r="CL229">
        <v>9</v>
      </c>
      <c r="CM229">
        <v>9</v>
      </c>
      <c r="CN229">
        <v>9</v>
      </c>
      <c r="CO229">
        <v>9</v>
      </c>
      <c r="CP229">
        <v>9</v>
      </c>
      <c r="CQ229">
        <v>9</v>
      </c>
      <c r="CR229">
        <v>10</v>
      </c>
      <c r="CS229">
        <v>10</v>
      </c>
      <c r="CT229">
        <v>10</v>
      </c>
      <c r="CU229">
        <v>10</v>
      </c>
      <c r="CV229">
        <v>10</v>
      </c>
      <c r="CW229">
        <v>10</v>
      </c>
      <c r="CX229">
        <v>10</v>
      </c>
      <c r="CY229">
        <v>10</v>
      </c>
      <c r="CZ229">
        <v>10</v>
      </c>
      <c r="DA229">
        <v>16</v>
      </c>
      <c r="DB229">
        <v>10</v>
      </c>
      <c r="DC229">
        <v>10</v>
      </c>
    </row>
    <row r="230" spans="1:107" x14ac:dyDescent="0.25">
      <c r="B230" t="s">
        <v>41</v>
      </c>
      <c r="C230">
        <v>16</v>
      </c>
      <c r="D230">
        <v>108</v>
      </c>
      <c r="F230">
        <v>0</v>
      </c>
      <c r="G230">
        <v>0</v>
      </c>
      <c r="H230">
        <v>0</v>
      </c>
      <c r="I230">
        <v>0</v>
      </c>
      <c r="J230">
        <v>0</v>
      </c>
      <c r="K230">
        <v>0</v>
      </c>
      <c r="L230">
        <v>0</v>
      </c>
      <c r="M230">
        <v>0</v>
      </c>
      <c r="N230">
        <v>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0</v>
      </c>
      <c r="BD230">
        <v>0</v>
      </c>
      <c r="BE230">
        <v>0</v>
      </c>
      <c r="BF230">
        <v>0</v>
      </c>
      <c r="BG230">
        <v>0</v>
      </c>
      <c r="BH230">
        <v>0</v>
      </c>
      <c r="BI230">
        <v>0</v>
      </c>
      <c r="BJ230">
        <v>0</v>
      </c>
      <c r="BK230">
        <v>0</v>
      </c>
      <c r="BL230">
        <v>0</v>
      </c>
      <c r="BM230">
        <v>0</v>
      </c>
      <c r="BN230">
        <v>0</v>
      </c>
      <c r="BO230">
        <v>0</v>
      </c>
      <c r="BP230">
        <v>0</v>
      </c>
      <c r="BQ230">
        <v>0</v>
      </c>
      <c r="BR230">
        <v>0</v>
      </c>
      <c r="BS230">
        <v>0</v>
      </c>
      <c r="BT230">
        <v>0</v>
      </c>
      <c r="BU230">
        <v>0</v>
      </c>
      <c r="BV230">
        <v>0</v>
      </c>
      <c r="BW230">
        <v>0</v>
      </c>
      <c r="BX230">
        <v>0</v>
      </c>
      <c r="BY230">
        <v>0</v>
      </c>
      <c r="BZ230">
        <v>0</v>
      </c>
      <c r="CA230">
        <v>0</v>
      </c>
      <c r="CB230">
        <v>0</v>
      </c>
      <c r="CC230">
        <v>0</v>
      </c>
      <c r="CD230">
        <v>0</v>
      </c>
      <c r="CE230">
        <v>0</v>
      </c>
      <c r="CF230">
        <v>0</v>
      </c>
      <c r="CG230">
        <v>0</v>
      </c>
      <c r="CH230">
        <v>0</v>
      </c>
      <c r="CI230">
        <v>0</v>
      </c>
      <c r="CJ230">
        <v>0</v>
      </c>
      <c r="CK230">
        <v>0</v>
      </c>
      <c r="CL230">
        <v>0</v>
      </c>
      <c r="CM230">
        <v>0</v>
      </c>
      <c r="CN230">
        <v>0</v>
      </c>
      <c r="CO230">
        <v>0</v>
      </c>
      <c r="CP230">
        <v>0</v>
      </c>
      <c r="CQ230">
        <v>0</v>
      </c>
      <c r="CR230">
        <v>0</v>
      </c>
      <c r="CS230">
        <v>0</v>
      </c>
      <c r="CT230">
        <v>0</v>
      </c>
      <c r="CU230">
        <v>0</v>
      </c>
      <c r="CV230">
        <v>0</v>
      </c>
      <c r="CW230">
        <v>0</v>
      </c>
      <c r="CX230">
        <v>0</v>
      </c>
      <c r="CY230">
        <v>0</v>
      </c>
      <c r="CZ230">
        <v>0</v>
      </c>
      <c r="DA230">
        <v>0</v>
      </c>
      <c r="DB230">
        <v>0</v>
      </c>
      <c r="DC230">
        <v>0</v>
      </c>
    </row>
    <row r="231" spans="1:107" x14ac:dyDescent="0.25">
      <c r="B231" t="s">
        <v>670</v>
      </c>
      <c r="C231">
        <v>-15.416700000000001</v>
      </c>
      <c r="D231">
        <v>28.283300000000001</v>
      </c>
      <c r="F231">
        <v>0</v>
      </c>
      <c r="G231">
        <v>0</v>
      </c>
      <c r="H231">
        <v>0</v>
      </c>
      <c r="I231">
        <v>0</v>
      </c>
      <c r="J231">
        <v>0</v>
      </c>
      <c r="K231">
        <v>0</v>
      </c>
      <c r="L231">
        <v>0</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0</v>
      </c>
      <c r="BJ231">
        <v>0</v>
      </c>
      <c r="BK231">
        <v>0</v>
      </c>
      <c r="BL231">
        <v>0</v>
      </c>
      <c r="BM231">
        <v>0</v>
      </c>
      <c r="BN231">
        <v>0</v>
      </c>
      <c r="BO231">
        <v>0</v>
      </c>
      <c r="BP231">
        <v>0</v>
      </c>
      <c r="BQ231">
        <v>0</v>
      </c>
      <c r="BR231">
        <v>0</v>
      </c>
      <c r="BS231">
        <v>0</v>
      </c>
      <c r="BT231">
        <v>0</v>
      </c>
      <c r="BU231">
        <v>0</v>
      </c>
      <c r="BV231">
        <v>0</v>
      </c>
      <c r="BW231">
        <v>0</v>
      </c>
      <c r="BX231">
        <v>0</v>
      </c>
      <c r="BY231">
        <v>1</v>
      </c>
      <c r="BZ231">
        <v>1</v>
      </c>
      <c r="CA231">
        <v>1</v>
      </c>
      <c r="CB231">
        <v>1</v>
      </c>
      <c r="CC231">
        <v>1</v>
      </c>
      <c r="CD231">
        <v>1</v>
      </c>
      <c r="CE231">
        <v>1</v>
      </c>
      <c r="CF231">
        <v>1</v>
      </c>
      <c r="CG231">
        <v>2</v>
      </c>
      <c r="CH231">
        <v>2</v>
      </c>
      <c r="CI231">
        <v>2</v>
      </c>
      <c r="CJ231">
        <v>2</v>
      </c>
      <c r="CK231">
        <v>2</v>
      </c>
      <c r="CL231">
        <v>2</v>
      </c>
      <c r="CM231">
        <v>2</v>
      </c>
      <c r="CN231">
        <v>2</v>
      </c>
      <c r="CO231">
        <v>2</v>
      </c>
      <c r="CP231">
        <v>3</v>
      </c>
      <c r="CQ231">
        <v>3</v>
      </c>
      <c r="CR231">
        <v>3</v>
      </c>
      <c r="CS231">
        <v>3</v>
      </c>
      <c r="CT231">
        <v>3</v>
      </c>
      <c r="CU231">
        <v>3</v>
      </c>
      <c r="CV231">
        <v>3</v>
      </c>
      <c r="CW231">
        <v>3</v>
      </c>
      <c r="CX231">
        <v>3</v>
      </c>
      <c r="CY231">
        <v>3</v>
      </c>
      <c r="CZ231">
        <v>3</v>
      </c>
      <c r="DA231">
        <v>3</v>
      </c>
      <c r="DB231">
        <v>3</v>
      </c>
      <c r="DC231">
        <v>3</v>
      </c>
    </row>
    <row r="232" spans="1:107" x14ac:dyDescent="0.25">
      <c r="B232" t="s">
        <v>747</v>
      </c>
      <c r="C232">
        <v>-20</v>
      </c>
      <c r="D232">
        <v>30</v>
      </c>
      <c r="F232">
        <v>0</v>
      </c>
      <c r="G232">
        <v>0</v>
      </c>
      <c r="H232">
        <v>0</v>
      </c>
      <c r="I232">
        <v>0</v>
      </c>
      <c r="J232">
        <v>0</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0</v>
      </c>
      <c r="BL232">
        <v>0</v>
      </c>
      <c r="BM232">
        <v>0</v>
      </c>
      <c r="BN232">
        <v>0</v>
      </c>
      <c r="BO232">
        <v>1</v>
      </c>
      <c r="BP232">
        <v>1</v>
      </c>
      <c r="BQ232">
        <v>1</v>
      </c>
      <c r="BR232">
        <v>1</v>
      </c>
      <c r="BS232">
        <v>1</v>
      </c>
      <c r="BT232">
        <v>1</v>
      </c>
      <c r="BU232">
        <v>1</v>
      </c>
      <c r="BV232">
        <v>1</v>
      </c>
      <c r="BW232">
        <v>1</v>
      </c>
      <c r="BX232">
        <v>1</v>
      </c>
      <c r="BY232">
        <v>1</v>
      </c>
      <c r="BZ232">
        <v>1</v>
      </c>
      <c r="CA232">
        <v>1</v>
      </c>
      <c r="CB232">
        <v>1</v>
      </c>
      <c r="CC232">
        <v>1</v>
      </c>
      <c r="CD232">
        <v>2</v>
      </c>
      <c r="CE232">
        <v>3</v>
      </c>
      <c r="CF232">
        <v>3</v>
      </c>
      <c r="CG232">
        <v>3</v>
      </c>
      <c r="CH232">
        <v>3</v>
      </c>
      <c r="CI232">
        <v>3</v>
      </c>
      <c r="CJ232">
        <v>3</v>
      </c>
      <c r="CK232">
        <v>3</v>
      </c>
      <c r="CL232">
        <v>3</v>
      </c>
      <c r="CM232">
        <v>3</v>
      </c>
      <c r="CN232">
        <v>3</v>
      </c>
      <c r="CO232">
        <v>3</v>
      </c>
      <c r="CP232">
        <v>3</v>
      </c>
      <c r="CQ232">
        <v>3</v>
      </c>
      <c r="CR232">
        <v>3</v>
      </c>
      <c r="CS232">
        <v>4</v>
      </c>
      <c r="CT232">
        <v>4</v>
      </c>
      <c r="CU232">
        <v>4</v>
      </c>
      <c r="CV232">
        <v>4</v>
      </c>
      <c r="CW232">
        <v>4</v>
      </c>
      <c r="CX232">
        <v>4</v>
      </c>
      <c r="CY232">
        <v>4</v>
      </c>
      <c r="CZ232">
        <v>4</v>
      </c>
      <c r="DA232">
        <v>4</v>
      </c>
      <c r="DB232">
        <v>4</v>
      </c>
      <c r="DC232">
        <v>4</v>
      </c>
    </row>
    <row r="233" spans="1:107" x14ac:dyDescent="0.25">
      <c r="A233" t="s">
        <v>147</v>
      </c>
      <c r="B233" t="s">
        <v>46</v>
      </c>
      <c r="C233">
        <v>0</v>
      </c>
      <c r="D233">
        <v>0</v>
      </c>
      <c r="F233">
        <v>0</v>
      </c>
      <c r="G233">
        <v>0</v>
      </c>
      <c r="H233">
        <v>0</v>
      </c>
      <c r="I233">
        <v>0</v>
      </c>
      <c r="J233">
        <v>0</v>
      </c>
      <c r="K233">
        <v>0</v>
      </c>
      <c r="L233">
        <v>0</v>
      </c>
      <c r="M233">
        <v>0</v>
      </c>
      <c r="N233">
        <v>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0</v>
      </c>
      <c r="BJ233">
        <v>0</v>
      </c>
      <c r="BK233">
        <v>0</v>
      </c>
      <c r="BL233">
        <v>0</v>
      </c>
      <c r="BM233">
        <v>0</v>
      </c>
      <c r="BN233">
        <v>1</v>
      </c>
      <c r="BO233">
        <v>1</v>
      </c>
      <c r="BP233">
        <v>1</v>
      </c>
      <c r="BQ233">
        <v>1</v>
      </c>
      <c r="BR233">
        <v>1</v>
      </c>
      <c r="BS233">
        <v>1</v>
      </c>
      <c r="BT233">
        <v>1</v>
      </c>
      <c r="BU233">
        <v>1</v>
      </c>
      <c r="BV233">
        <v>1</v>
      </c>
      <c r="BW233">
        <v>1</v>
      </c>
      <c r="BX233">
        <v>1</v>
      </c>
      <c r="BY233">
        <v>1</v>
      </c>
      <c r="BZ233">
        <v>1</v>
      </c>
      <c r="CA233">
        <v>1</v>
      </c>
      <c r="CB233">
        <v>1</v>
      </c>
      <c r="CC233">
        <v>1</v>
      </c>
      <c r="CD233">
        <v>1</v>
      </c>
      <c r="CE233">
        <v>1</v>
      </c>
      <c r="CF233">
        <v>1</v>
      </c>
      <c r="CG233">
        <v>1</v>
      </c>
      <c r="CH233">
        <v>1</v>
      </c>
      <c r="CI233">
        <v>1</v>
      </c>
      <c r="CJ233">
        <v>1</v>
      </c>
      <c r="CK233">
        <v>1</v>
      </c>
      <c r="CL233">
        <v>1</v>
      </c>
      <c r="CM233">
        <v>1</v>
      </c>
      <c r="CN233">
        <v>1</v>
      </c>
      <c r="CO233">
        <v>1</v>
      </c>
      <c r="CP233">
        <v>1</v>
      </c>
      <c r="CQ233">
        <v>1</v>
      </c>
      <c r="CR233">
        <v>1</v>
      </c>
      <c r="CS233">
        <v>1</v>
      </c>
      <c r="CT233">
        <v>1</v>
      </c>
      <c r="CU233">
        <v>1</v>
      </c>
      <c r="CV233">
        <v>1</v>
      </c>
      <c r="CW233">
        <v>1</v>
      </c>
      <c r="CX233">
        <v>1</v>
      </c>
      <c r="CY233">
        <v>1</v>
      </c>
      <c r="CZ233">
        <v>1</v>
      </c>
      <c r="DA233">
        <v>1</v>
      </c>
      <c r="DB233">
        <v>1</v>
      </c>
      <c r="DC233">
        <v>1</v>
      </c>
    </row>
    <row r="234" spans="1:107" x14ac:dyDescent="0.25">
      <c r="B234" t="s">
        <v>977</v>
      </c>
      <c r="C234">
        <v>15.414999999999999</v>
      </c>
      <c r="D234">
        <v>-61.371000000000002</v>
      </c>
      <c r="F234">
        <v>0</v>
      </c>
      <c r="G234">
        <v>0</v>
      </c>
      <c r="H234">
        <v>0</v>
      </c>
      <c r="I234">
        <v>0</v>
      </c>
      <c r="J234">
        <v>0</v>
      </c>
      <c r="K234">
        <v>0</v>
      </c>
      <c r="L234">
        <v>0</v>
      </c>
      <c r="M234">
        <v>0</v>
      </c>
      <c r="N234">
        <v>0</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c r="BL234">
        <v>0</v>
      </c>
      <c r="BM234">
        <v>0</v>
      </c>
      <c r="BN234">
        <v>0</v>
      </c>
      <c r="BO234">
        <v>0</v>
      </c>
      <c r="BP234">
        <v>0</v>
      </c>
      <c r="BQ234">
        <v>0</v>
      </c>
      <c r="BR234">
        <v>0</v>
      </c>
      <c r="BS234">
        <v>0</v>
      </c>
      <c r="BT234">
        <v>0</v>
      </c>
      <c r="BU234">
        <v>0</v>
      </c>
      <c r="BV234">
        <v>0</v>
      </c>
      <c r="BW234">
        <v>0</v>
      </c>
      <c r="BX234">
        <v>0</v>
      </c>
      <c r="BY234">
        <v>0</v>
      </c>
      <c r="BZ234">
        <v>0</v>
      </c>
      <c r="CA234">
        <v>0</v>
      </c>
      <c r="CB234">
        <v>0</v>
      </c>
      <c r="CC234">
        <v>0</v>
      </c>
      <c r="CD234">
        <v>0</v>
      </c>
      <c r="CE234">
        <v>0</v>
      </c>
      <c r="CF234">
        <v>0</v>
      </c>
      <c r="CG234">
        <v>0</v>
      </c>
      <c r="CH234">
        <v>0</v>
      </c>
      <c r="CI234">
        <v>0</v>
      </c>
      <c r="CJ234">
        <v>0</v>
      </c>
      <c r="CK234">
        <v>0</v>
      </c>
      <c r="CL234">
        <v>0</v>
      </c>
      <c r="CM234">
        <v>0</v>
      </c>
      <c r="CN234">
        <v>0</v>
      </c>
      <c r="CO234">
        <v>0</v>
      </c>
      <c r="CP234">
        <v>0</v>
      </c>
      <c r="CQ234">
        <v>0</v>
      </c>
      <c r="CR234">
        <v>0</v>
      </c>
      <c r="CS234">
        <v>0</v>
      </c>
      <c r="CT234">
        <v>0</v>
      </c>
      <c r="CU234">
        <v>0</v>
      </c>
      <c r="CV234">
        <v>0</v>
      </c>
      <c r="CW234">
        <v>0</v>
      </c>
      <c r="CX234">
        <v>0</v>
      </c>
      <c r="CY234">
        <v>0</v>
      </c>
      <c r="CZ234">
        <v>0</v>
      </c>
      <c r="DA234">
        <v>0</v>
      </c>
      <c r="DB234">
        <v>0</v>
      </c>
      <c r="DC234">
        <v>0</v>
      </c>
    </row>
    <row r="235" spans="1:107" x14ac:dyDescent="0.25">
      <c r="B235" t="s">
        <v>978</v>
      </c>
      <c r="C235">
        <v>12.1165</v>
      </c>
      <c r="D235">
        <v>-61.678999999999995</v>
      </c>
      <c r="F235">
        <v>0</v>
      </c>
      <c r="G235">
        <v>0</v>
      </c>
      <c r="H235">
        <v>0</v>
      </c>
      <c r="I235">
        <v>0</v>
      </c>
      <c r="J235">
        <v>0</v>
      </c>
      <c r="K235">
        <v>0</v>
      </c>
      <c r="L235">
        <v>0</v>
      </c>
      <c r="M235">
        <v>0</v>
      </c>
      <c r="N235">
        <v>0</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v>0</v>
      </c>
      <c r="BE235">
        <v>0</v>
      </c>
      <c r="BF235">
        <v>0</v>
      </c>
      <c r="BG235">
        <v>0</v>
      </c>
      <c r="BH235">
        <v>0</v>
      </c>
      <c r="BI235">
        <v>0</v>
      </c>
      <c r="BJ235">
        <v>0</v>
      </c>
      <c r="BK235">
        <v>0</v>
      </c>
      <c r="BL235">
        <v>0</v>
      </c>
      <c r="BM235">
        <v>0</v>
      </c>
      <c r="BN235">
        <v>0</v>
      </c>
      <c r="BO235">
        <v>0</v>
      </c>
      <c r="BP235">
        <v>0</v>
      </c>
      <c r="BQ235">
        <v>0</v>
      </c>
      <c r="BR235">
        <v>0</v>
      </c>
      <c r="BS235">
        <v>0</v>
      </c>
      <c r="BT235">
        <v>0</v>
      </c>
      <c r="BU235">
        <v>0</v>
      </c>
      <c r="BV235">
        <v>0</v>
      </c>
      <c r="BW235">
        <v>0</v>
      </c>
      <c r="BX235">
        <v>0</v>
      </c>
      <c r="BY235">
        <v>0</v>
      </c>
      <c r="BZ235">
        <v>0</v>
      </c>
      <c r="CA235">
        <v>0</v>
      </c>
      <c r="CB235">
        <v>0</v>
      </c>
      <c r="CC235">
        <v>0</v>
      </c>
      <c r="CD235">
        <v>0</v>
      </c>
      <c r="CE235">
        <v>0</v>
      </c>
      <c r="CF235">
        <v>0</v>
      </c>
      <c r="CG235">
        <v>0</v>
      </c>
      <c r="CH235">
        <v>0</v>
      </c>
      <c r="CI235">
        <v>0</v>
      </c>
      <c r="CJ235">
        <v>0</v>
      </c>
      <c r="CK235">
        <v>0</v>
      </c>
      <c r="CL235">
        <v>0</v>
      </c>
      <c r="CM235">
        <v>0</v>
      </c>
      <c r="CN235">
        <v>0</v>
      </c>
      <c r="CO235">
        <v>0</v>
      </c>
      <c r="CP235">
        <v>0</v>
      </c>
      <c r="CQ235">
        <v>0</v>
      </c>
      <c r="CR235">
        <v>0</v>
      </c>
      <c r="CS235">
        <v>0</v>
      </c>
      <c r="CT235">
        <v>0</v>
      </c>
      <c r="CU235">
        <v>0</v>
      </c>
      <c r="CV235">
        <v>0</v>
      </c>
      <c r="CW235">
        <v>0</v>
      </c>
      <c r="CX235">
        <v>0</v>
      </c>
      <c r="CY235">
        <v>0</v>
      </c>
      <c r="CZ235">
        <v>0</v>
      </c>
      <c r="DA235">
        <v>0</v>
      </c>
      <c r="DB235">
        <v>0</v>
      </c>
      <c r="DC235">
        <v>0</v>
      </c>
    </row>
    <row r="236" spans="1:107" x14ac:dyDescent="0.25">
      <c r="B236" t="s">
        <v>979</v>
      </c>
      <c r="C236">
        <v>-18.665694999999999</v>
      </c>
      <c r="D236">
        <v>35.529561999999999</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c r="BL236">
        <v>0</v>
      </c>
      <c r="BM236">
        <v>0</v>
      </c>
      <c r="BN236">
        <v>0</v>
      </c>
      <c r="BO236">
        <v>0</v>
      </c>
      <c r="BP236">
        <v>0</v>
      </c>
      <c r="BQ236">
        <v>0</v>
      </c>
      <c r="BR236">
        <v>0</v>
      </c>
      <c r="BS236">
        <v>0</v>
      </c>
      <c r="BT236">
        <v>0</v>
      </c>
      <c r="BU236">
        <v>0</v>
      </c>
      <c r="BV236">
        <v>0</v>
      </c>
      <c r="BW236">
        <v>0</v>
      </c>
      <c r="BX236">
        <v>0</v>
      </c>
      <c r="BY236">
        <v>0</v>
      </c>
      <c r="BZ236">
        <v>0</v>
      </c>
      <c r="CA236">
        <v>0</v>
      </c>
      <c r="CB236">
        <v>0</v>
      </c>
      <c r="CC236">
        <v>0</v>
      </c>
      <c r="CD236">
        <v>0</v>
      </c>
      <c r="CE236">
        <v>0</v>
      </c>
      <c r="CF236">
        <v>0</v>
      </c>
      <c r="CG236">
        <v>0</v>
      </c>
      <c r="CH236">
        <v>0</v>
      </c>
      <c r="CI236">
        <v>0</v>
      </c>
      <c r="CJ236">
        <v>0</v>
      </c>
      <c r="CK236">
        <v>0</v>
      </c>
      <c r="CL236">
        <v>0</v>
      </c>
      <c r="CM236">
        <v>0</v>
      </c>
      <c r="CN236">
        <v>0</v>
      </c>
      <c r="CO236">
        <v>0</v>
      </c>
      <c r="CP236">
        <v>0</v>
      </c>
      <c r="CQ236">
        <v>0</v>
      </c>
      <c r="CR236">
        <v>0</v>
      </c>
      <c r="CS236">
        <v>0</v>
      </c>
      <c r="CT236">
        <v>0</v>
      </c>
      <c r="CU236">
        <v>0</v>
      </c>
      <c r="CV236">
        <v>0</v>
      </c>
      <c r="CW236">
        <v>0</v>
      </c>
      <c r="CX236">
        <v>0</v>
      </c>
      <c r="CY236">
        <v>0</v>
      </c>
      <c r="CZ236">
        <v>0</v>
      </c>
      <c r="DA236">
        <v>0</v>
      </c>
      <c r="DB236">
        <v>0</v>
      </c>
      <c r="DC236">
        <v>0</v>
      </c>
    </row>
    <row r="237" spans="1:107" x14ac:dyDescent="0.25">
      <c r="B237" t="s">
        <v>980</v>
      </c>
      <c r="C237">
        <v>34.802075000000002</v>
      </c>
      <c r="D237">
        <v>38.996815000000012</v>
      </c>
      <c r="F237">
        <v>0</v>
      </c>
      <c r="G237">
        <v>0</v>
      </c>
      <c r="H237">
        <v>0</v>
      </c>
      <c r="I237">
        <v>0</v>
      </c>
      <c r="J237">
        <v>0</v>
      </c>
      <c r="K237">
        <v>0</v>
      </c>
      <c r="L237">
        <v>0</v>
      </c>
      <c r="M237">
        <v>0</v>
      </c>
      <c r="N237">
        <v>0</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0</v>
      </c>
      <c r="BL237">
        <v>0</v>
      </c>
      <c r="BM237">
        <v>0</v>
      </c>
      <c r="BN237">
        <v>0</v>
      </c>
      <c r="BO237">
        <v>0</v>
      </c>
      <c r="BP237">
        <v>0</v>
      </c>
      <c r="BQ237">
        <v>0</v>
      </c>
      <c r="BR237">
        <v>0</v>
      </c>
      <c r="BS237">
        <v>0</v>
      </c>
      <c r="BT237">
        <v>0</v>
      </c>
      <c r="BU237">
        <v>1</v>
      </c>
      <c r="BV237">
        <v>2</v>
      </c>
      <c r="BW237">
        <v>2</v>
      </c>
      <c r="BX237">
        <v>2</v>
      </c>
      <c r="BY237">
        <v>2</v>
      </c>
      <c r="BZ237">
        <v>2</v>
      </c>
      <c r="CA237">
        <v>2</v>
      </c>
      <c r="CB237">
        <v>2</v>
      </c>
      <c r="CC237">
        <v>2</v>
      </c>
      <c r="CD237">
        <v>2</v>
      </c>
      <c r="CE237">
        <v>2</v>
      </c>
      <c r="CF237">
        <v>2</v>
      </c>
      <c r="CG237">
        <v>2</v>
      </c>
      <c r="CH237">
        <v>2</v>
      </c>
      <c r="CI237">
        <v>2</v>
      </c>
      <c r="CJ237">
        <v>2</v>
      </c>
      <c r="CK237">
        <v>2</v>
      </c>
      <c r="CL237">
        <v>2</v>
      </c>
      <c r="CM237">
        <v>2</v>
      </c>
      <c r="CN237">
        <v>2</v>
      </c>
      <c r="CO237">
        <v>2</v>
      </c>
      <c r="CP237">
        <v>3</v>
      </c>
      <c r="CQ237">
        <v>3</v>
      </c>
      <c r="CR237">
        <v>3</v>
      </c>
      <c r="CS237">
        <v>3</v>
      </c>
      <c r="CT237">
        <v>3</v>
      </c>
      <c r="CU237">
        <v>3</v>
      </c>
      <c r="CV237">
        <v>3</v>
      </c>
      <c r="CW237">
        <v>3</v>
      </c>
      <c r="CX237">
        <v>3</v>
      </c>
      <c r="CY237">
        <v>3</v>
      </c>
      <c r="CZ237">
        <v>3</v>
      </c>
      <c r="DA237">
        <v>3</v>
      </c>
      <c r="DB237">
        <v>3</v>
      </c>
      <c r="DC237">
        <v>3</v>
      </c>
    </row>
    <row r="238" spans="1:107" x14ac:dyDescent="0.25">
      <c r="B238" t="s">
        <v>981</v>
      </c>
      <c r="C238">
        <v>-8.8742169999999998</v>
      </c>
      <c r="D238">
        <v>125.72753899999999</v>
      </c>
      <c r="F238">
        <v>0</v>
      </c>
      <c r="G238">
        <v>0</v>
      </c>
      <c r="H238">
        <v>0</v>
      </c>
      <c r="I238">
        <v>0</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c r="BL238">
        <v>0</v>
      </c>
      <c r="BM238">
        <v>0</v>
      </c>
      <c r="BN238">
        <v>0</v>
      </c>
      <c r="BO238">
        <v>0</v>
      </c>
      <c r="BP238">
        <v>0</v>
      </c>
      <c r="BQ238">
        <v>0</v>
      </c>
      <c r="BR238">
        <v>0</v>
      </c>
      <c r="BS238">
        <v>0</v>
      </c>
      <c r="BT238">
        <v>0</v>
      </c>
      <c r="BU238">
        <v>0</v>
      </c>
      <c r="BV238">
        <v>0</v>
      </c>
      <c r="BW238">
        <v>0</v>
      </c>
      <c r="BX238">
        <v>0</v>
      </c>
      <c r="BY238">
        <v>0</v>
      </c>
      <c r="BZ238">
        <v>0</v>
      </c>
      <c r="CA238">
        <v>0</v>
      </c>
      <c r="CB238">
        <v>0</v>
      </c>
      <c r="CC238">
        <v>0</v>
      </c>
      <c r="CD238">
        <v>0</v>
      </c>
      <c r="CE238">
        <v>0</v>
      </c>
      <c r="CF238">
        <v>0</v>
      </c>
      <c r="CG238">
        <v>0</v>
      </c>
      <c r="CH238">
        <v>0</v>
      </c>
      <c r="CI238">
        <v>0</v>
      </c>
      <c r="CJ238">
        <v>0</v>
      </c>
      <c r="CK238">
        <v>0</v>
      </c>
      <c r="CL238">
        <v>0</v>
      </c>
      <c r="CM238">
        <v>0</v>
      </c>
      <c r="CN238">
        <v>0</v>
      </c>
      <c r="CO238">
        <v>0</v>
      </c>
      <c r="CP238">
        <v>0</v>
      </c>
      <c r="CQ238">
        <v>0</v>
      </c>
      <c r="CR238">
        <v>0</v>
      </c>
      <c r="CS238">
        <v>0</v>
      </c>
      <c r="CT238">
        <v>0</v>
      </c>
      <c r="CU238">
        <v>0</v>
      </c>
      <c r="CV238">
        <v>0</v>
      </c>
      <c r="CW238">
        <v>0</v>
      </c>
      <c r="CX238">
        <v>0</v>
      </c>
      <c r="CY238">
        <v>0</v>
      </c>
      <c r="CZ238">
        <v>0</v>
      </c>
      <c r="DA238">
        <v>0</v>
      </c>
      <c r="DB238">
        <v>0</v>
      </c>
      <c r="DC238">
        <v>0</v>
      </c>
    </row>
    <row r="239" spans="1:107" x14ac:dyDescent="0.25">
      <c r="B239" t="s">
        <v>1132</v>
      </c>
      <c r="C239">
        <v>13.193899999999999</v>
      </c>
      <c r="D239">
        <v>-59.543199999999999</v>
      </c>
      <c r="F239">
        <v>0</v>
      </c>
      <c r="G239">
        <v>0</v>
      </c>
      <c r="H239">
        <v>0</v>
      </c>
      <c r="I239">
        <v>0</v>
      </c>
      <c r="J239">
        <v>0</v>
      </c>
      <c r="K239">
        <v>0</v>
      </c>
      <c r="L239">
        <v>0</v>
      </c>
      <c r="M239">
        <v>0</v>
      </c>
      <c r="N239">
        <v>0</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0</v>
      </c>
      <c r="BK239">
        <v>0</v>
      </c>
      <c r="BL239">
        <v>0</v>
      </c>
      <c r="BM239">
        <v>0</v>
      </c>
      <c r="BN239">
        <v>0</v>
      </c>
      <c r="BO239">
        <v>0</v>
      </c>
      <c r="BP239">
        <v>0</v>
      </c>
      <c r="BQ239">
        <v>0</v>
      </c>
      <c r="BR239">
        <v>0</v>
      </c>
      <c r="BS239">
        <v>0</v>
      </c>
      <c r="BT239">
        <v>0</v>
      </c>
      <c r="BU239">
        <v>0</v>
      </c>
      <c r="BV239">
        <v>0</v>
      </c>
      <c r="BW239">
        <v>0</v>
      </c>
      <c r="BX239">
        <v>0</v>
      </c>
      <c r="BY239">
        <v>0</v>
      </c>
      <c r="BZ239">
        <v>0</v>
      </c>
      <c r="CA239">
        <v>0</v>
      </c>
      <c r="CB239">
        <v>0</v>
      </c>
      <c r="CC239">
        <v>1</v>
      </c>
      <c r="CD239">
        <v>1</v>
      </c>
      <c r="CE239">
        <v>1</v>
      </c>
      <c r="CF239">
        <v>1</v>
      </c>
      <c r="CG239">
        <v>2</v>
      </c>
      <c r="CH239">
        <v>2</v>
      </c>
      <c r="CI239">
        <v>2</v>
      </c>
      <c r="CJ239">
        <v>2</v>
      </c>
      <c r="CK239">
        <v>2</v>
      </c>
      <c r="CL239">
        <v>2</v>
      </c>
      <c r="CM239">
        <v>2</v>
      </c>
      <c r="CN239">
        <v>2</v>
      </c>
      <c r="CO239">
        <v>2</v>
      </c>
      <c r="CP239">
        <v>2</v>
      </c>
      <c r="CQ239">
        <v>2</v>
      </c>
      <c r="CR239">
        <v>2</v>
      </c>
      <c r="CS239">
        <v>2</v>
      </c>
      <c r="CT239">
        <v>2</v>
      </c>
      <c r="CU239">
        <v>2</v>
      </c>
      <c r="CV239">
        <v>2</v>
      </c>
      <c r="CW239">
        <v>2</v>
      </c>
      <c r="CX239">
        <v>2</v>
      </c>
      <c r="CY239">
        <v>2</v>
      </c>
      <c r="CZ239">
        <v>2</v>
      </c>
      <c r="DA239">
        <v>2</v>
      </c>
      <c r="DB239">
        <v>2</v>
      </c>
      <c r="DC239">
        <v>2</v>
      </c>
    </row>
    <row r="240" spans="1:107" x14ac:dyDescent="0.25">
      <c r="A240" t="s">
        <v>1133</v>
      </c>
      <c r="B240" t="s">
        <v>46</v>
      </c>
      <c r="C240">
        <v>0</v>
      </c>
      <c r="D240">
        <v>0</v>
      </c>
      <c r="F240">
        <v>0</v>
      </c>
      <c r="G240">
        <v>0</v>
      </c>
      <c r="H240">
        <v>0</v>
      </c>
      <c r="I240">
        <v>0</v>
      </c>
      <c r="J240">
        <v>0</v>
      </c>
      <c r="K240">
        <v>0</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c r="BJ240">
        <v>0</v>
      </c>
      <c r="BK240">
        <v>0</v>
      </c>
      <c r="BL240">
        <v>0</v>
      </c>
      <c r="BM240">
        <v>0</v>
      </c>
      <c r="BN240">
        <v>0</v>
      </c>
      <c r="BO240">
        <v>0</v>
      </c>
      <c r="BP240">
        <v>0</v>
      </c>
      <c r="BQ240">
        <v>0</v>
      </c>
      <c r="BR240">
        <v>0</v>
      </c>
      <c r="BS240">
        <v>0</v>
      </c>
      <c r="BT240">
        <v>0</v>
      </c>
      <c r="BU240">
        <v>0</v>
      </c>
      <c r="BV240">
        <v>0</v>
      </c>
      <c r="BW240">
        <v>0</v>
      </c>
      <c r="BX240">
        <v>0</v>
      </c>
      <c r="BY240">
        <v>0</v>
      </c>
      <c r="BZ240">
        <v>0</v>
      </c>
      <c r="CA240">
        <v>0</v>
      </c>
      <c r="CB240">
        <v>0</v>
      </c>
      <c r="CC240">
        <v>0</v>
      </c>
      <c r="CD240">
        <v>0</v>
      </c>
      <c r="CE240">
        <v>0</v>
      </c>
      <c r="CF240">
        <v>0</v>
      </c>
      <c r="CG240">
        <v>0</v>
      </c>
      <c r="CH240">
        <v>0</v>
      </c>
      <c r="CI240">
        <v>0</v>
      </c>
      <c r="CJ240">
        <v>0</v>
      </c>
      <c r="CK240">
        <v>0</v>
      </c>
      <c r="CL240">
        <v>0</v>
      </c>
      <c r="CM240">
        <v>0</v>
      </c>
      <c r="CN240">
        <v>0</v>
      </c>
      <c r="CO240">
        <v>0</v>
      </c>
      <c r="CP240">
        <v>0</v>
      </c>
      <c r="CQ240">
        <v>0</v>
      </c>
      <c r="CR240">
        <v>0</v>
      </c>
      <c r="CS240">
        <v>0</v>
      </c>
      <c r="CT240">
        <v>0</v>
      </c>
      <c r="CU240">
        <v>0</v>
      </c>
      <c r="CV240">
        <v>0</v>
      </c>
      <c r="CW240">
        <v>0</v>
      </c>
      <c r="CX240">
        <v>0</v>
      </c>
      <c r="CY240">
        <v>0</v>
      </c>
      <c r="CZ240">
        <v>0</v>
      </c>
      <c r="DA240">
        <v>0</v>
      </c>
      <c r="DB240">
        <v>0</v>
      </c>
      <c r="DC240">
        <v>0</v>
      </c>
    </row>
    <row r="241" spans="1:107" x14ac:dyDescent="0.25">
      <c r="B241" t="s">
        <v>1134</v>
      </c>
      <c r="C241">
        <v>19.856270000000002</v>
      </c>
      <c r="D241">
        <v>102.495496</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c r="BM241">
        <v>0</v>
      </c>
      <c r="BN241">
        <v>0</v>
      </c>
      <c r="BO241">
        <v>0</v>
      </c>
      <c r="BP241">
        <v>0</v>
      </c>
      <c r="BQ241">
        <v>0</v>
      </c>
      <c r="BR241">
        <v>0</v>
      </c>
      <c r="BS241">
        <v>0</v>
      </c>
      <c r="BT241">
        <v>0</v>
      </c>
      <c r="BU241">
        <v>0</v>
      </c>
      <c r="BV241">
        <v>0</v>
      </c>
      <c r="BW241">
        <v>0</v>
      </c>
      <c r="BX241">
        <v>0</v>
      </c>
      <c r="BY241">
        <v>0</v>
      </c>
      <c r="BZ241">
        <v>0</v>
      </c>
      <c r="CA241">
        <v>0</v>
      </c>
      <c r="CB241">
        <v>0</v>
      </c>
      <c r="CC241">
        <v>0</v>
      </c>
      <c r="CD241">
        <v>0</v>
      </c>
      <c r="CE241">
        <v>0</v>
      </c>
      <c r="CF241">
        <v>0</v>
      </c>
      <c r="CG241">
        <v>0</v>
      </c>
      <c r="CH241">
        <v>0</v>
      </c>
      <c r="CI241">
        <v>0</v>
      </c>
      <c r="CJ241">
        <v>0</v>
      </c>
      <c r="CK241">
        <v>0</v>
      </c>
      <c r="CL241">
        <v>0</v>
      </c>
      <c r="CM241">
        <v>0</v>
      </c>
      <c r="CN241">
        <v>0</v>
      </c>
      <c r="CO241">
        <v>0</v>
      </c>
      <c r="CP241">
        <v>0</v>
      </c>
      <c r="CQ241">
        <v>0</v>
      </c>
      <c r="CR241">
        <v>0</v>
      </c>
      <c r="CS241">
        <v>0</v>
      </c>
      <c r="CT241">
        <v>0</v>
      </c>
      <c r="CU241">
        <v>0</v>
      </c>
      <c r="CV241">
        <v>0</v>
      </c>
      <c r="CW241">
        <v>0</v>
      </c>
      <c r="CX241">
        <v>0</v>
      </c>
      <c r="CY241">
        <v>0</v>
      </c>
      <c r="CZ241">
        <v>0</v>
      </c>
      <c r="DA241">
        <v>0</v>
      </c>
      <c r="DB241">
        <v>0</v>
      </c>
      <c r="DC241">
        <v>0</v>
      </c>
    </row>
    <row r="242" spans="1:107" x14ac:dyDescent="0.25">
      <c r="B242" t="s">
        <v>1135</v>
      </c>
      <c r="C242">
        <v>26.335100000000001</v>
      </c>
      <c r="D242">
        <v>17.228331000000001</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c r="BL242">
        <v>0</v>
      </c>
      <c r="BM242">
        <v>0</v>
      </c>
      <c r="BN242">
        <v>0</v>
      </c>
      <c r="BO242">
        <v>0</v>
      </c>
      <c r="BP242">
        <v>0</v>
      </c>
      <c r="BQ242">
        <v>0</v>
      </c>
      <c r="BR242">
        <v>0</v>
      </c>
      <c r="BS242">
        <v>0</v>
      </c>
      <c r="BT242">
        <v>0</v>
      </c>
      <c r="BU242">
        <v>0</v>
      </c>
      <c r="BV242">
        <v>0</v>
      </c>
      <c r="BW242">
        <v>0</v>
      </c>
      <c r="BX242">
        <v>0</v>
      </c>
      <c r="BY242">
        <v>1</v>
      </c>
      <c r="BZ242">
        <v>1</v>
      </c>
      <c r="CA242">
        <v>1</v>
      </c>
      <c r="CB242">
        <v>1</v>
      </c>
      <c r="CC242">
        <v>1</v>
      </c>
      <c r="CD242">
        <v>1</v>
      </c>
      <c r="CE242">
        <v>1</v>
      </c>
      <c r="CF242">
        <v>1</v>
      </c>
      <c r="CG242">
        <v>1</v>
      </c>
      <c r="CH242">
        <v>1</v>
      </c>
      <c r="CI242">
        <v>1</v>
      </c>
      <c r="CJ242">
        <v>1</v>
      </c>
      <c r="CK242">
        <v>1</v>
      </c>
      <c r="CL242">
        <v>1</v>
      </c>
      <c r="CM242">
        <v>1</v>
      </c>
      <c r="CN242">
        <v>1</v>
      </c>
      <c r="CO242">
        <v>1</v>
      </c>
      <c r="CP242">
        <v>1</v>
      </c>
      <c r="CQ242">
        <v>1</v>
      </c>
      <c r="CR242">
        <v>1</v>
      </c>
      <c r="CS242">
        <v>1</v>
      </c>
      <c r="CT242">
        <v>2</v>
      </c>
      <c r="CU242">
        <v>2</v>
      </c>
      <c r="CV242">
        <v>2</v>
      </c>
      <c r="CW242">
        <v>2</v>
      </c>
      <c r="CX242">
        <v>2</v>
      </c>
      <c r="CY242">
        <v>2</v>
      </c>
      <c r="CZ242">
        <v>2</v>
      </c>
      <c r="DA242">
        <v>3</v>
      </c>
      <c r="DB242">
        <v>3</v>
      </c>
      <c r="DC242">
        <v>3</v>
      </c>
    </row>
    <row r="243" spans="1:107" x14ac:dyDescent="0.25">
      <c r="B243" t="s">
        <v>1229</v>
      </c>
      <c r="C243">
        <v>31.952200000000001</v>
      </c>
      <c r="D243">
        <v>35.233199999999997</v>
      </c>
      <c r="F243">
        <v>0</v>
      </c>
      <c r="G243">
        <v>0</v>
      </c>
      <c r="H243">
        <v>0</v>
      </c>
      <c r="I243">
        <v>0</v>
      </c>
      <c r="J243">
        <v>0</v>
      </c>
      <c r="K243">
        <v>0</v>
      </c>
      <c r="L243">
        <v>0</v>
      </c>
      <c r="M243">
        <v>0</v>
      </c>
      <c r="N243">
        <v>0</v>
      </c>
      <c r="O243">
        <v>0</v>
      </c>
      <c r="P243">
        <v>0</v>
      </c>
      <c r="Q243">
        <v>0</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c r="BL243">
        <v>0</v>
      </c>
      <c r="BM243">
        <v>0</v>
      </c>
      <c r="BN243">
        <v>0</v>
      </c>
      <c r="BO243">
        <v>0</v>
      </c>
      <c r="BP243">
        <v>0</v>
      </c>
      <c r="BQ243">
        <v>0</v>
      </c>
      <c r="BR243">
        <v>1</v>
      </c>
      <c r="BS243">
        <v>1</v>
      </c>
      <c r="BT243">
        <v>1</v>
      </c>
      <c r="BU243">
        <v>1</v>
      </c>
      <c r="BV243">
        <v>1</v>
      </c>
      <c r="BW243">
        <v>1</v>
      </c>
      <c r="BX243">
        <v>1</v>
      </c>
      <c r="BY243">
        <v>1</v>
      </c>
      <c r="BZ243">
        <v>1</v>
      </c>
      <c r="CA243">
        <v>1</v>
      </c>
      <c r="CB243">
        <v>1</v>
      </c>
      <c r="CC243">
        <v>1</v>
      </c>
      <c r="CD243">
        <v>1</v>
      </c>
      <c r="CE243">
        <v>1</v>
      </c>
      <c r="CF243">
        <v>1</v>
      </c>
      <c r="CG243">
        <v>2</v>
      </c>
      <c r="CH243">
        <v>2</v>
      </c>
      <c r="CI243">
        <v>2</v>
      </c>
      <c r="CJ243">
        <v>2</v>
      </c>
      <c r="CK243">
        <v>2</v>
      </c>
      <c r="CL243">
        <v>2</v>
      </c>
      <c r="CM243">
        <v>2</v>
      </c>
      <c r="CN243">
        <v>2</v>
      </c>
      <c r="CO243">
        <v>2</v>
      </c>
      <c r="CP243">
        <v>3</v>
      </c>
      <c r="CQ243">
        <v>3</v>
      </c>
      <c r="CR243">
        <v>4</v>
      </c>
      <c r="CS243">
        <v>4</v>
      </c>
      <c r="CT243">
        <v>4</v>
      </c>
      <c r="CU243">
        <v>4</v>
      </c>
      <c r="CV243">
        <v>2</v>
      </c>
      <c r="CW243">
        <v>2</v>
      </c>
      <c r="CX243">
        <v>2</v>
      </c>
      <c r="CY243">
        <v>2</v>
      </c>
      <c r="CZ243">
        <v>2</v>
      </c>
      <c r="DA243">
        <v>2</v>
      </c>
      <c r="DB243">
        <v>2</v>
      </c>
      <c r="DC243">
        <v>2</v>
      </c>
    </row>
    <row r="244" spans="1:107" x14ac:dyDescent="0.25">
      <c r="B244" t="s">
        <v>1230</v>
      </c>
      <c r="C244">
        <v>11.803699999999999</v>
      </c>
      <c r="D244">
        <v>-15.180400000000001</v>
      </c>
      <c r="F244">
        <v>0</v>
      </c>
      <c r="G244">
        <v>0</v>
      </c>
      <c r="H244">
        <v>0</v>
      </c>
      <c r="I244">
        <v>0</v>
      </c>
      <c r="J244">
        <v>0</v>
      </c>
      <c r="K244">
        <v>0</v>
      </c>
      <c r="L244">
        <v>0</v>
      </c>
      <c r="M244">
        <v>0</v>
      </c>
      <c r="N244">
        <v>0</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c r="BM244">
        <v>0</v>
      </c>
      <c r="BN244">
        <v>0</v>
      </c>
      <c r="BO244">
        <v>0</v>
      </c>
      <c r="BP244">
        <v>0</v>
      </c>
      <c r="BQ244">
        <v>0</v>
      </c>
      <c r="BR244">
        <v>0</v>
      </c>
      <c r="BS244">
        <v>0</v>
      </c>
      <c r="BT244">
        <v>0</v>
      </c>
      <c r="BU244">
        <v>0</v>
      </c>
      <c r="BV244">
        <v>0</v>
      </c>
      <c r="BW244">
        <v>0</v>
      </c>
      <c r="BX244">
        <v>0</v>
      </c>
      <c r="BY244">
        <v>0</v>
      </c>
      <c r="BZ244">
        <v>0</v>
      </c>
      <c r="CA244">
        <v>0</v>
      </c>
      <c r="CB244">
        <v>0</v>
      </c>
      <c r="CC244">
        <v>0</v>
      </c>
      <c r="CD244">
        <v>0</v>
      </c>
      <c r="CE244">
        <v>0</v>
      </c>
      <c r="CF244">
        <v>0</v>
      </c>
      <c r="CG244">
        <v>0</v>
      </c>
      <c r="CH244">
        <v>0</v>
      </c>
      <c r="CI244">
        <v>0</v>
      </c>
      <c r="CJ244">
        <v>0</v>
      </c>
      <c r="CK244">
        <v>0</v>
      </c>
      <c r="CL244">
        <v>0</v>
      </c>
      <c r="CM244">
        <v>0</v>
      </c>
      <c r="CN244">
        <v>0</v>
      </c>
      <c r="CO244">
        <v>0</v>
      </c>
      <c r="CP244">
        <v>0</v>
      </c>
      <c r="CQ244">
        <v>0</v>
      </c>
      <c r="CR244">
        <v>0</v>
      </c>
      <c r="CS244">
        <v>0</v>
      </c>
      <c r="CT244">
        <v>0</v>
      </c>
      <c r="CU244">
        <v>0</v>
      </c>
      <c r="CV244">
        <v>0</v>
      </c>
      <c r="CW244">
        <v>1</v>
      </c>
      <c r="CX244">
        <v>1</v>
      </c>
      <c r="CY244">
        <v>1</v>
      </c>
      <c r="CZ244">
        <v>1</v>
      </c>
      <c r="DA244">
        <v>1</v>
      </c>
      <c r="DB244">
        <v>1</v>
      </c>
      <c r="DC244">
        <v>1</v>
      </c>
    </row>
    <row r="245" spans="1:107" x14ac:dyDescent="0.25">
      <c r="B245" t="s">
        <v>1231</v>
      </c>
      <c r="C245">
        <v>17.570692000000001</v>
      </c>
      <c r="D245">
        <v>-3.996166000000001</v>
      </c>
      <c r="F245">
        <v>0</v>
      </c>
      <c r="G245">
        <v>0</v>
      </c>
      <c r="H245">
        <v>0</v>
      </c>
      <c r="I245">
        <v>0</v>
      </c>
      <c r="J245">
        <v>0</v>
      </c>
      <c r="K245">
        <v>0</v>
      </c>
      <c r="L245">
        <v>0</v>
      </c>
      <c r="M245">
        <v>0</v>
      </c>
      <c r="N245">
        <v>0</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c r="BL245">
        <v>0</v>
      </c>
      <c r="BM245">
        <v>0</v>
      </c>
      <c r="BN245">
        <v>0</v>
      </c>
      <c r="BO245">
        <v>0</v>
      </c>
      <c r="BP245">
        <v>0</v>
      </c>
      <c r="BQ245">
        <v>0</v>
      </c>
      <c r="BR245">
        <v>0</v>
      </c>
      <c r="BS245">
        <v>0</v>
      </c>
      <c r="BT245">
        <v>0</v>
      </c>
      <c r="BU245">
        <v>1</v>
      </c>
      <c r="BV245">
        <v>2</v>
      </c>
      <c r="BW245">
        <v>2</v>
      </c>
      <c r="BX245">
        <v>3</v>
      </c>
      <c r="BY245">
        <v>3</v>
      </c>
      <c r="BZ245">
        <v>3</v>
      </c>
      <c r="CA245">
        <v>3</v>
      </c>
      <c r="CB245">
        <v>5</v>
      </c>
      <c r="CC245">
        <v>5</v>
      </c>
      <c r="CD245">
        <v>5</v>
      </c>
      <c r="CE245">
        <v>7</v>
      </c>
      <c r="CF245">
        <v>7</v>
      </c>
      <c r="CG245">
        <v>7</v>
      </c>
      <c r="CH245">
        <v>7</v>
      </c>
      <c r="CI245">
        <v>9</v>
      </c>
      <c r="CJ245">
        <v>10</v>
      </c>
      <c r="CK245">
        <v>13</v>
      </c>
      <c r="CL245">
        <v>13</v>
      </c>
      <c r="CM245">
        <v>13</v>
      </c>
      <c r="CN245">
        <v>13</v>
      </c>
      <c r="CO245">
        <v>13</v>
      </c>
      <c r="CP245">
        <v>14</v>
      </c>
      <c r="CQ245">
        <v>14</v>
      </c>
      <c r="CR245">
        <v>14</v>
      </c>
      <c r="CS245">
        <v>17</v>
      </c>
      <c r="CT245">
        <v>21</v>
      </c>
      <c r="CU245">
        <v>21</v>
      </c>
      <c r="CV245">
        <v>21</v>
      </c>
      <c r="CW245">
        <v>23</v>
      </c>
      <c r="CX245">
        <v>23</v>
      </c>
      <c r="CY245">
        <v>24</v>
      </c>
      <c r="CZ245">
        <v>25</v>
      </c>
      <c r="DA245">
        <v>26</v>
      </c>
      <c r="DB245">
        <v>26</v>
      </c>
      <c r="DC245">
        <v>26</v>
      </c>
    </row>
    <row r="246" spans="1:107" x14ac:dyDescent="0.25">
      <c r="B246" t="s">
        <v>1232</v>
      </c>
      <c r="C246">
        <v>17.357821999999999</v>
      </c>
      <c r="D246">
        <v>-62.782997999999999</v>
      </c>
      <c r="F246">
        <v>0</v>
      </c>
      <c r="G246">
        <v>0</v>
      </c>
      <c r="H246">
        <v>0</v>
      </c>
      <c r="I246">
        <v>0</v>
      </c>
      <c r="J246">
        <v>0</v>
      </c>
      <c r="K246">
        <v>0</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c r="BM246">
        <v>0</v>
      </c>
      <c r="BN246">
        <v>0</v>
      </c>
      <c r="BO246">
        <v>0</v>
      </c>
      <c r="BP246">
        <v>0</v>
      </c>
      <c r="BQ246">
        <v>0</v>
      </c>
      <c r="BR246">
        <v>0</v>
      </c>
      <c r="BS246">
        <v>0</v>
      </c>
      <c r="BT246">
        <v>0</v>
      </c>
      <c r="BU246">
        <v>0</v>
      </c>
      <c r="BV246">
        <v>0</v>
      </c>
      <c r="BW246">
        <v>0</v>
      </c>
      <c r="BX246">
        <v>0</v>
      </c>
      <c r="BY246">
        <v>0</v>
      </c>
      <c r="BZ246">
        <v>0</v>
      </c>
      <c r="CA246">
        <v>0</v>
      </c>
      <c r="CB246">
        <v>0</v>
      </c>
      <c r="CC246">
        <v>0</v>
      </c>
      <c r="CD246">
        <v>0</v>
      </c>
      <c r="CE246">
        <v>0</v>
      </c>
      <c r="CF246">
        <v>0</v>
      </c>
      <c r="CG246">
        <v>0</v>
      </c>
      <c r="CH246">
        <v>0</v>
      </c>
      <c r="CI246">
        <v>0</v>
      </c>
      <c r="CJ246">
        <v>0</v>
      </c>
      <c r="CK246">
        <v>0</v>
      </c>
      <c r="CL246">
        <v>0</v>
      </c>
      <c r="CM246">
        <v>0</v>
      </c>
      <c r="CN246">
        <v>0</v>
      </c>
      <c r="CO246">
        <v>0</v>
      </c>
      <c r="CP246">
        <v>0</v>
      </c>
      <c r="CQ246">
        <v>0</v>
      </c>
      <c r="CR246">
        <v>0</v>
      </c>
      <c r="CS246">
        <v>0</v>
      </c>
      <c r="CT246">
        <v>0</v>
      </c>
      <c r="CU246">
        <v>0</v>
      </c>
      <c r="CV246">
        <v>0</v>
      </c>
      <c r="CW246">
        <v>0</v>
      </c>
      <c r="CX246">
        <v>0</v>
      </c>
      <c r="CY246">
        <v>0</v>
      </c>
      <c r="CZ246">
        <v>0</v>
      </c>
      <c r="DA246">
        <v>0</v>
      </c>
      <c r="DB246">
        <v>0</v>
      </c>
      <c r="DC246">
        <v>0</v>
      </c>
    </row>
    <row r="247" spans="1:107" x14ac:dyDescent="0.25">
      <c r="A247" t="s">
        <v>1233</v>
      </c>
      <c r="B247" t="s">
        <v>46</v>
      </c>
      <c r="C247">
        <v>64.825500000000005</v>
      </c>
      <c r="D247">
        <v>-124.84569999999999</v>
      </c>
      <c r="F247">
        <v>0</v>
      </c>
      <c r="G247">
        <v>0</v>
      </c>
      <c r="H247">
        <v>0</v>
      </c>
      <c r="I247">
        <v>0</v>
      </c>
      <c r="J247">
        <v>0</v>
      </c>
      <c r="K247">
        <v>0</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c r="BM247">
        <v>0</v>
      </c>
      <c r="BN247">
        <v>0</v>
      </c>
      <c r="BO247">
        <v>0</v>
      </c>
      <c r="BP247">
        <v>0</v>
      </c>
      <c r="BQ247">
        <v>0</v>
      </c>
      <c r="BR247">
        <v>0</v>
      </c>
      <c r="BS247">
        <v>0</v>
      </c>
      <c r="BT247">
        <v>0</v>
      </c>
      <c r="BU247">
        <v>0</v>
      </c>
      <c r="BV247">
        <v>0</v>
      </c>
      <c r="BW247">
        <v>0</v>
      </c>
      <c r="BX247">
        <v>0</v>
      </c>
      <c r="BY247">
        <v>0</v>
      </c>
      <c r="BZ247">
        <v>0</v>
      </c>
      <c r="CA247">
        <v>0</v>
      </c>
      <c r="CB247">
        <v>0</v>
      </c>
      <c r="CC247">
        <v>0</v>
      </c>
      <c r="CD247">
        <v>0</v>
      </c>
      <c r="CE247">
        <v>0</v>
      </c>
      <c r="CF247">
        <v>0</v>
      </c>
      <c r="CG247">
        <v>0</v>
      </c>
      <c r="CH247">
        <v>0</v>
      </c>
      <c r="CI247">
        <v>0</v>
      </c>
      <c r="CJ247">
        <v>0</v>
      </c>
      <c r="CK247">
        <v>0</v>
      </c>
      <c r="CL247">
        <v>0</v>
      </c>
      <c r="CM247">
        <v>0</v>
      </c>
      <c r="CN247">
        <v>0</v>
      </c>
      <c r="CO247">
        <v>0</v>
      </c>
      <c r="CP247">
        <v>0</v>
      </c>
      <c r="CQ247">
        <v>0</v>
      </c>
      <c r="CR247">
        <v>0</v>
      </c>
      <c r="CS247">
        <v>0</v>
      </c>
      <c r="CT247">
        <v>0</v>
      </c>
      <c r="CU247">
        <v>0</v>
      </c>
      <c r="CV247">
        <v>0</v>
      </c>
      <c r="CW247">
        <v>0</v>
      </c>
      <c r="CX247">
        <v>0</v>
      </c>
      <c r="CY247">
        <v>0</v>
      </c>
      <c r="CZ247">
        <v>0</v>
      </c>
      <c r="DA247">
        <v>0</v>
      </c>
      <c r="DB247">
        <v>0</v>
      </c>
      <c r="DC247">
        <v>0</v>
      </c>
    </row>
    <row r="248" spans="1:107" x14ac:dyDescent="0.25">
      <c r="A248" t="s">
        <v>1234</v>
      </c>
      <c r="B248" t="s">
        <v>46</v>
      </c>
      <c r="C248">
        <v>64.282300000000006</v>
      </c>
      <c r="D248">
        <v>-135</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0</v>
      </c>
      <c r="BR248">
        <v>0</v>
      </c>
      <c r="BS248">
        <v>0</v>
      </c>
      <c r="BT248">
        <v>0</v>
      </c>
      <c r="BU248">
        <v>0</v>
      </c>
      <c r="BV248">
        <v>0</v>
      </c>
      <c r="BW248">
        <v>0</v>
      </c>
      <c r="BX248">
        <v>0</v>
      </c>
      <c r="BY248">
        <v>0</v>
      </c>
      <c r="BZ248">
        <v>0</v>
      </c>
      <c r="CA248">
        <v>0</v>
      </c>
      <c r="CB248">
        <v>0</v>
      </c>
      <c r="CC248">
        <v>0</v>
      </c>
      <c r="CD248">
        <v>0</v>
      </c>
      <c r="CE248">
        <v>0</v>
      </c>
      <c r="CF248">
        <v>0</v>
      </c>
      <c r="CG248">
        <v>0</v>
      </c>
      <c r="CH248">
        <v>0</v>
      </c>
      <c r="CI248">
        <v>0</v>
      </c>
      <c r="CJ248">
        <v>0</v>
      </c>
      <c r="CK248">
        <v>0</v>
      </c>
      <c r="CL248">
        <v>0</v>
      </c>
      <c r="CM248">
        <v>0</v>
      </c>
      <c r="CN248">
        <v>0</v>
      </c>
      <c r="CO248">
        <v>0</v>
      </c>
      <c r="CP248">
        <v>0</v>
      </c>
      <c r="CQ248">
        <v>0</v>
      </c>
      <c r="CR248">
        <v>0</v>
      </c>
      <c r="CS248">
        <v>0</v>
      </c>
      <c r="CT248">
        <v>0</v>
      </c>
      <c r="CU248">
        <v>0</v>
      </c>
      <c r="CV248">
        <v>0</v>
      </c>
      <c r="CW248">
        <v>0</v>
      </c>
      <c r="CX248">
        <v>0</v>
      </c>
      <c r="CY248">
        <v>0</v>
      </c>
      <c r="CZ248">
        <v>0</v>
      </c>
      <c r="DA248">
        <v>0</v>
      </c>
      <c r="DB248">
        <v>0</v>
      </c>
      <c r="DC248">
        <v>0</v>
      </c>
    </row>
    <row r="249" spans="1:107" x14ac:dyDescent="0.25">
      <c r="B249" t="s">
        <v>1235</v>
      </c>
      <c r="C249">
        <v>42.602635999999997</v>
      </c>
      <c r="D249">
        <v>20.902977</v>
      </c>
      <c r="F249">
        <v>0</v>
      </c>
      <c r="G249">
        <v>0</v>
      </c>
      <c r="H249">
        <v>0</v>
      </c>
      <c r="I249">
        <v>0</v>
      </c>
      <c r="J249">
        <v>0</v>
      </c>
      <c r="K249">
        <v>0</v>
      </c>
      <c r="L249">
        <v>0</v>
      </c>
      <c r="M249">
        <v>0</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c r="BM249">
        <v>0</v>
      </c>
      <c r="BN249">
        <v>0</v>
      </c>
      <c r="BO249">
        <v>0</v>
      </c>
      <c r="BP249">
        <v>0</v>
      </c>
      <c r="BQ249">
        <v>0</v>
      </c>
      <c r="BR249">
        <v>1</v>
      </c>
      <c r="BS249">
        <v>1</v>
      </c>
      <c r="BT249">
        <v>1</v>
      </c>
      <c r="BU249">
        <v>1</v>
      </c>
      <c r="BV249">
        <v>1</v>
      </c>
      <c r="BW249">
        <v>1</v>
      </c>
      <c r="BX249">
        <v>1</v>
      </c>
      <c r="BY249">
        <v>1</v>
      </c>
      <c r="BZ249">
        <v>1</v>
      </c>
      <c r="CA249">
        <v>1</v>
      </c>
      <c r="CB249">
        <v>1</v>
      </c>
      <c r="CC249">
        <v>1</v>
      </c>
      <c r="CD249">
        <v>4</v>
      </c>
      <c r="CE249">
        <v>5</v>
      </c>
      <c r="CF249">
        <v>5</v>
      </c>
      <c r="CG249">
        <v>7</v>
      </c>
      <c r="CH249">
        <v>7</v>
      </c>
      <c r="CI249">
        <v>7</v>
      </c>
      <c r="CJ249">
        <v>7</v>
      </c>
      <c r="CK249">
        <v>8</v>
      </c>
      <c r="CL249">
        <v>8</v>
      </c>
      <c r="CM249">
        <v>11</v>
      </c>
      <c r="CN249">
        <v>12</v>
      </c>
      <c r="CO249">
        <v>12</v>
      </c>
      <c r="CP249">
        <v>12</v>
      </c>
      <c r="CQ249">
        <v>15</v>
      </c>
      <c r="CR249">
        <v>18</v>
      </c>
      <c r="CS249">
        <v>18</v>
      </c>
      <c r="CT249">
        <v>19</v>
      </c>
      <c r="CU249">
        <v>19</v>
      </c>
      <c r="CV249">
        <v>20</v>
      </c>
      <c r="CW249">
        <v>21</v>
      </c>
      <c r="CX249">
        <v>22</v>
      </c>
      <c r="CY249">
        <v>22</v>
      </c>
      <c r="CZ249">
        <v>22</v>
      </c>
      <c r="DA249">
        <v>22</v>
      </c>
      <c r="DB249">
        <v>22</v>
      </c>
      <c r="DC249">
        <v>22</v>
      </c>
    </row>
    <row r="250" spans="1:107" x14ac:dyDescent="0.25">
      <c r="B250" t="s">
        <v>1333</v>
      </c>
      <c r="C250">
        <v>21.9162</v>
      </c>
      <c r="D250">
        <v>95.956000000000003</v>
      </c>
      <c r="F250">
        <v>0</v>
      </c>
      <c r="G250">
        <v>0</v>
      </c>
      <c r="H250">
        <v>0</v>
      </c>
      <c r="I250">
        <v>0</v>
      </c>
      <c r="J250">
        <v>0</v>
      </c>
      <c r="K250">
        <v>0</v>
      </c>
      <c r="L250">
        <v>0</v>
      </c>
      <c r="M250">
        <v>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c r="BM250">
        <v>0</v>
      </c>
      <c r="BN250">
        <v>0</v>
      </c>
      <c r="BO250">
        <v>0</v>
      </c>
      <c r="BP250">
        <v>0</v>
      </c>
      <c r="BQ250">
        <v>0</v>
      </c>
      <c r="BR250">
        <v>0</v>
      </c>
      <c r="BS250">
        <v>0</v>
      </c>
      <c r="BT250">
        <v>0</v>
      </c>
      <c r="BU250">
        <v>0</v>
      </c>
      <c r="BV250">
        <v>0</v>
      </c>
      <c r="BW250">
        <v>1</v>
      </c>
      <c r="BX250">
        <v>1</v>
      </c>
      <c r="BY250">
        <v>1</v>
      </c>
      <c r="BZ250">
        <v>1</v>
      </c>
      <c r="CA250">
        <v>1</v>
      </c>
      <c r="CB250">
        <v>1</v>
      </c>
      <c r="CC250">
        <v>1</v>
      </c>
      <c r="CD250">
        <v>1</v>
      </c>
      <c r="CE250">
        <v>3</v>
      </c>
      <c r="CF250">
        <v>3</v>
      </c>
      <c r="CG250">
        <v>3</v>
      </c>
      <c r="CH250">
        <v>3</v>
      </c>
      <c r="CI250">
        <v>4</v>
      </c>
      <c r="CJ250">
        <v>4</v>
      </c>
      <c r="CK250">
        <v>4</v>
      </c>
      <c r="CL250">
        <v>4</v>
      </c>
      <c r="CM250">
        <v>4</v>
      </c>
      <c r="CN250">
        <v>4</v>
      </c>
      <c r="CO250">
        <v>5</v>
      </c>
      <c r="CP250">
        <v>5</v>
      </c>
      <c r="CQ250">
        <v>5</v>
      </c>
      <c r="CR250">
        <v>5</v>
      </c>
      <c r="CS250">
        <v>5</v>
      </c>
      <c r="CT250">
        <v>5</v>
      </c>
      <c r="CU250">
        <v>5</v>
      </c>
      <c r="CV250">
        <v>5</v>
      </c>
      <c r="CW250">
        <v>5</v>
      </c>
      <c r="CX250">
        <v>5</v>
      </c>
      <c r="CY250">
        <v>5</v>
      </c>
      <c r="CZ250">
        <v>6</v>
      </c>
      <c r="DA250">
        <v>6</v>
      </c>
      <c r="DB250">
        <v>6</v>
      </c>
      <c r="DC250">
        <v>6</v>
      </c>
    </row>
    <row r="251" spans="1:107" x14ac:dyDescent="0.25">
      <c r="A251" t="s">
        <v>1410</v>
      </c>
      <c r="B251" t="s">
        <v>609</v>
      </c>
      <c r="C251">
        <v>18.220600000000001</v>
      </c>
      <c r="D251">
        <v>-63.068600000000004</v>
      </c>
      <c r="F251">
        <v>0</v>
      </c>
      <c r="G251">
        <v>0</v>
      </c>
      <c r="H251">
        <v>0</v>
      </c>
      <c r="I251">
        <v>0</v>
      </c>
      <c r="J251">
        <v>0</v>
      </c>
      <c r="K251">
        <v>0</v>
      </c>
      <c r="L251">
        <v>0</v>
      </c>
      <c r="M251">
        <v>0</v>
      </c>
      <c r="N251">
        <v>0</v>
      </c>
      <c r="O251">
        <v>0</v>
      </c>
      <c r="P251">
        <v>0</v>
      </c>
      <c r="Q251">
        <v>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c r="BM251">
        <v>0</v>
      </c>
      <c r="BN251">
        <v>0</v>
      </c>
      <c r="BO251">
        <v>0</v>
      </c>
      <c r="BP251">
        <v>0</v>
      </c>
      <c r="BQ251">
        <v>0</v>
      </c>
      <c r="BR251">
        <v>0</v>
      </c>
      <c r="BS251">
        <v>0</v>
      </c>
      <c r="BT251">
        <v>0</v>
      </c>
      <c r="BU251">
        <v>0</v>
      </c>
      <c r="BV251">
        <v>0</v>
      </c>
      <c r="BW251">
        <v>0</v>
      </c>
      <c r="BX251">
        <v>0</v>
      </c>
      <c r="BY251">
        <v>0</v>
      </c>
      <c r="BZ251">
        <v>0</v>
      </c>
      <c r="CA251">
        <v>0</v>
      </c>
      <c r="CB251">
        <v>0</v>
      </c>
      <c r="CC251">
        <v>0</v>
      </c>
      <c r="CD251">
        <v>0</v>
      </c>
      <c r="CE251">
        <v>0</v>
      </c>
      <c r="CF251">
        <v>0</v>
      </c>
      <c r="CG251">
        <v>0</v>
      </c>
      <c r="CH251">
        <v>0</v>
      </c>
      <c r="CI251">
        <v>0</v>
      </c>
      <c r="CJ251">
        <v>0</v>
      </c>
      <c r="CK251">
        <v>0</v>
      </c>
      <c r="CL251">
        <v>0</v>
      </c>
      <c r="CM251">
        <v>0</v>
      </c>
      <c r="CN251">
        <v>0</v>
      </c>
      <c r="CO251">
        <v>0</v>
      </c>
      <c r="CP251">
        <v>0</v>
      </c>
      <c r="CQ251">
        <v>0</v>
      </c>
      <c r="CR251">
        <v>0</v>
      </c>
      <c r="CS251">
        <v>0</v>
      </c>
      <c r="CT251">
        <v>0</v>
      </c>
      <c r="CU251">
        <v>0</v>
      </c>
      <c r="CV251">
        <v>0</v>
      </c>
      <c r="CW251">
        <v>0</v>
      </c>
      <c r="CX251">
        <v>0</v>
      </c>
      <c r="CY251">
        <v>0</v>
      </c>
      <c r="CZ251">
        <v>0</v>
      </c>
      <c r="DA251">
        <v>0</v>
      </c>
      <c r="DB251">
        <v>0</v>
      </c>
      <c r="DC251">
        <v>0</v>
      </c>
    </row>
    <row r="252" spans="1:107" x14ac:dyDescent="0.25">
      <c r="A252" t="s">
        <v>1411</v>
      </c>
      <c r="B252" t="s">
        <v>609</v>
      </c>
      <c r="C252">
        <v>18.4207</v>
      </c>
      <c r="D252">
        <v>-64.64</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c r="BL252">
        <v>0</v>
      </c>
      <c r="BM252">
        <v>0</v>
      </c>
      <c r="BN252">
        <v>0</v>
      </c>
      <c r="BO252">
        <v>0</v>
      </c>
      <c r="BP252">
        <v>0</v>
      </c>
      <c r="BQ252">
        <v>0</v>
      </c>
      <c r="BR252">
        <v>0</v>
      </c>
      <c r="BS252">
        <v>0</v>
      </c>
      <c r="BT252">
        <v>0</v>
      </c>
      <c r="BU252">
        <v>0</v>
      </c>
      <c r="BV252">
        <v>0</v>
      </c>
      <c r="BW252">
        <v>0</v>
      </c>
      <c r="BX252">
        <v>0</v>
      </c>
      <c r="BY252">
        <v>0</v>
      </c>
      <c r="BZ252">
        <v>0</v>
      </c>
      <c r="CA252">
        <v>0</v>
      </c>
      <c r="CB252">
        <v>0</v>
      </c>
      <c r="CC252">
        <v>0</v>
      </c>
      <c r="CD252">
        <v>0</v>
      </c>
      <c r="CE252">
        <v>0</v>
      </c>
      <c r="CF252">
        <v>0</v>
      </c>
      <c r="CG252">
        <v>0</v>
      </c>
      <c r="CH252">
        <v>0</v>
      </c>
      <c r="CI252">
        <v>0</v>
      </c>
      <c r="CJ252">
        <v>0</v>
      </c>
      <c r="CK252">
        <v>0</v>
      </c>
      <c r="CL252">
        <v>0</v>
      </c>
      <c r="CM252">
        <v>0</v>
      </c>
      <c r="CN252">
        <v>0</v>
      </c>
      <c r="CO252">
        <v>0</v>
      </c>
      <c r="CP252">
        <v>1</v>
      </c>
      <c r="CQ252">
        <v>1</v>
      </c>
      <c r="CR252">
        <v>1</v>
      </c>
      <c r="CS252">
        <v>1</v>
      </c>
      <c r="CT252">
        <v>1</v>
      </c>
      <c r="CU252">
        <v>1</v>
      </c>
      <c r="CV252">
        <v>1</v>
      </c>
      <c r="CW252">
        <v>1</v>
      </c>
      <c r="CX252">
        <v>1</v>
      </c>
      <c r="CY252">
        <v>1</v>
      </c>
      <c r="CZ252">
        <v>1</v>
      </c>
      <c r="DA252">
        <v>1</v>
      </c>
      <c r="DB252">
        <v>1</v>
      </c>
      <c r="DC252">
        <v>1</v>
      </c>
    </row>
    <row r="253" spans="1:107" x14ac:dyDescent="0.25">
      <c r="A253" t="s">
        <v>1412</v>
      </c>
      <c r="B253" t="s">
        <v>609</v>
      </c>
      <c r="C253">
        <v>21.69400000000001</v>
      </c>
      <c r="D253">
        <v>-71.797899999999998</v>
      </c>
      <c r="F253">
        <v>0</v>
      </c>
      <c r="G253">
        <v>0</v>
      </c>
      <c r="H253">
        <v>0</v>
      </c>
      <c r="I253">
        <v>0</v>
      </c>
      <c r="J253">
        <v>0</v>
      </c>
      <c r="K253">
        <v>0</v>
      </c>
      <c r="L253">
        <v>0</v>
      </c>
      <c r="M253">
        <v>0</v>
      </c>
      <c r="N253">
        <v>0</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c r="BM253">
        <v>0</v>
      </c>
      <c r="BN253">
        <v>0</v>
      </c>
      <c r="BO253">
        <v>0</v>
      </c>
      <c r="BP253">
        <v>0</v>
      </c>
      <c r="BQ253">
        <v>0</v>
      </c>
      <c r="BR253">
        <v>0</v>
      </c>
      <c r="BS253">
        <v>0</v>
      </c>
      <c r="BT253">
        <v>0</v>
      </c>
      <c r="BU253">
        <v>0</v>
      </c>
      <c r="BV253">
        <v>0</v>
      </c>
      <c r="BW253">
        <v>0</v>
      </c>
      <c r="BX253">
        <v>0</v>
      </c>
      <c r="BY253">
        <v>0</v>
      </c>
      <c r="BZ253">
        <v>0</v>
      </c>
      <c r="CA253">
        <v>0</v>
      </c>
      <c r="CB253">
        <v>1</v>
      </c>
      <c r="CC253">
        <v>1</v>
      </c>
      <c r="CD253">
        <v>1</v>
      </c>
      <c r="CE253">
        <v>1</v>
      </c>
      <c r="CF253">
        <v>1</v>
      </c>
      <c r="CG253">
        <v>1</v>
      </c>
      <c r="CH253">
        <v>1</v>
      </c>
      <c r="CI253">
        <v>1</v>
      </c>
      <c r="CJ253">
        <v>1</v>
      </c>
      <c r="CK253">
        <v>1</v>
      </c>
      <c r="CL253">
        <v>1</v>
      </c>
      <c r="CM253">
        <v>1</v>
      </c>
      <c r="CN253">
        <v>1</v>
      </c>
      <c r="CO253">
        <v>1</v>
      </c>
      <c r="CP253">
        <v>1</v>
      </c>
      <c r="CQ253">
        <v>1</v>
      </c>
      <c r="CR253">
        <v>1</v>
      </c>
      <c r="CS253">
        <v>1</v>
      </c>
      <c r="CT253">
        <v>1</v>
      </c>
      <c r="CU253">
        <v>1</v>
      </c>
      <c r="CV253">
        <v>1</v>
      </c>
      <c r="CW253">
        <v>1</v>
      </c>
      <c r="CX253">
        <v>1</v>
      </c>
      <c r="CY253">
        <v>1</v>
      </c>
      <c r="CZ253">
        <v>1</v>
      </c>
      <c r="DA253">
        <v>1</v>
      </c>
      <c r="DB253">
        <v>1</v>
      </c>
      <c r="DC253">
        <v>1</v>
      </c>
    </row>
    <row r="254" spans="1:107" x14ac:dyDescent="0.25">
      <c r="B254" t="s">
        <v>1413</v>
      </c>
      <c r="C254">
        <v>0</v>
      </c>
      <c r="D254">
        <v>0</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c r="BL254">
        <v>0</v>
      </c>
      <c r="BM254">
        <v>0</v>
      </c>
      <c r="BN254">
        <v>0</v>
      </c>
      <c r="BO254">
        <v>0</v>
      </c>
      <c r="BP254">
        <v>0</v>
      </c>
      <c r="BQ254">
        <v>0</v>
      </c>
      <c r="BR254">
        <v>0</v>
      </c>
      <c r="BS254">
        <v>0</v>
      </c>
      <c r="BT254">
        <v>0</v>
      </c>
      <c r="BU254">
        <v>0</v>
      </c>
      <c r="BV254">
        <v>0</v>
      </c>
      <c r="BW254">
        <v>0</v>
      </c>
      <c r="BX254">
        <v>2</v>
      </c>
      <c r="BY254">
        <v>2</v>
      </c>
      <c r="BZ254">
        <v>2</v>
      </c>
      <c r="CA254">
        <v>2</v>
      </c>
      <c r="CB254">
        <v>2</v>
      </c>
      <c r="CC254">
        <v>2</v>
      </c>
      <c r="CD254">
        <v>2</v>
      </c>
      <c r="CE254">
        <v>2</v>
      </c>
      <c r="CF254">
        <v>2</v>
      </c>
      <c r="CG254">
        <v>2</v>
      </c>
      <c r="CH254">
        <v>2</v>
      </c>
      <c r="CI254">
        <v>2</v>
      </c>
      <c r="CJ254">
        <v>2</v>
      </c>
      <c r="CK254">
        <v>2</v>
      </c>
      <c r="CL254">
        <v>2</v>
      </c>
      <c r="CM254">
        <v>2</v>
      </c>
      <c r="CN254">
        <v>2</v>
      </c>
      <c r="CO254">
        <v>2</v>
      </c>
      <c r="CP254">
        <v>2</v>
      </c>
      <c r="CQ254">
        <v>2</v>
      </c>
      <c r="CR254">
        <v>2</v>
      </c>
      <c r="CS254">
        <v>2</v>
      </c>
      <c r="CT254">
        <v>2</v>
      </c>
      <c r="CU254">
        <v>2</v>
      </c>
      <c r="CV254">
        <v>2</v>
      </c>
      <c r="CW254">
        <v>2</v>
      </c>
      <c r="CX254">
        <v>2</v>
      </c>
      <c r="CY254">
        <v>2</v>
      </c>
      <c r="CZ254">
        <v>2</v>
      </c>
      <c r="DA254">
        <v>2</v>
      </c>
      <c r="DB254">
        <v>2</v>
      </c>
      <c r="DC254">
        <v>2</v>
      </c>
    </row>
    <row r="255" spans="1:107" x14ac:dyDescent="0.25">
      <c r="B255" t="s">
        <v>1482</v>
      </c>
      <c r="C255">
        <v>-22.328499999999998</v>
      </c>
      <c r="D255">
        <v>24.684899999999999</v>
      </c>
      <c r="F255">
        <v>0</v>
      </c>
      <c r="G255">
        <v>0</v>
      </c>
      <c r="H255">
        <v>0</v>
      </c>
      <c r="I255">
        <v>0</v>
      </c>
      <c r="J255">
        <v>0</v>
      </c>
      <c r="K255">
        <v>0</v>
      </c>
      <c r="L255">
        <v>0</v>
      </c>
      <c r="M255">
        <v>0</v>
      </c>
      <c r="N255">
        <v>0</v>
      </c>
      <c r="O255">
        <v>0</v>
      </c>
      <c r="P255">
        <v>0</v>
      </c>
      <c r="Q255">
        <v>0</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0</v>
      </c>
      <c r="BV255">
        <v>0</v>
      </c>
      <c r="BW255">
        <v>1</v>
      </c>
      <c r="BX255">
        <v>1</v>
      </c>
      <c r="BY255">
        <v>1</v>
      </c>
      <c r="BZ255">
        <v>1</v>
      </c>
      <c r="CA255">
        <v>1</v>
      </c>
      <c r="CB255">
        <v>1</v>
      </c>
      <c r="CC255">
        <v>1</v>
      </c>
      <c r="CD255">
        <v>1</v>
      </c>
      <c r="CE255">
        <v>1</v>
      </c>
      <c r="CF255">
        <v>1</v>
      </c>
      <c r="CG255">
        <v>1</v>
      </c>
      <c r="CH255">
        <v>1</v>
      </c>
      <c r="CI255">
        <v>1</v>
      </c>
      <c r="CJ255">
        <v>1</v>
      </c>
      <c r="CK255">
        <v>1</v>
      </c>
      <c r="CL255">
        <v>1</v>
      </c>
      <c r="CM255">
        <v>1</v>
      </c>
      <c r="CN255">
        <v>1</v>
      </c>
      <c r="CO255">
        <v>1</v>
      </c>
      <c r="CP255">
        <v>1</v>
      </c>
      <c r="CQ255">
        <v>1</v>
      </c>
      <c r="CR255">
        <v>1</v>
      </c>
      <c r="CS255">
        <v>1</v>
      </c>
      <c r="CT255">
        <v>1</v>
      </c>
      <c r="CU255">
        <v>1</v>
      </c>
      <c r="CV255">
        <v>1</v>
      </c>
      <c r="CW255">
        <v>1</v>
      </c>
      <c r="CX255">
        <v>1</v>
      </c>
      <c r="CY255">
        <v>1</v>
      </c>
      <c r="CZ255">
        <v>1</v>
      </c>
      <c r="DA255">
        <v>1</v>
      </c>
      <c r="DB255">
        <v>1</v>
      </c>
      <c r="DC255">
        <v>1</v>
      </c>
    </row>
    <row r="256" spans="1:107" x14ac:dyDescent="0.25">
      <c r="B256" t="s">
        <v>1532</v>
      </c>
      <c r="C256">
        <v>-3.3731</v>
      </c>
      <c r="D256">
        <v>29.918900000000001</v>
      </c>
      <c r="F256">
        <v>0</v>
      </c>
      <c r="G256">
        <v>0</v>
      </c>
      <c r="H256">
        <v>0</v>
      </c>
      <c r="I256">
        <v>0</v>
      </c>
      <c r="J256">
        <v>0</v>
      </c>
      <c r="K256">
        <v>0</v>
      </c>
      <c r="L256">
        <v>0</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c r="BL256">
        <v>0</v>
      </c>
      <c r="BM256">
        <v>0</v>
      </c>
      <c r="BN256">
        <v>0</v>
      </c>
      <c r="BO256">
        <v>0</v>
      </c>
      <c r="BP256">
        <v>0</v>
      </c>
      <c r="BQ256">
        <v>0</v>
      </c>
      <c r="BR256">
        <v>0</v>
      </c>
      <c r="BS256">
        <v>0</v>
      </c>
      <c r="BT256">
        <v>0</v>
      </c>
      <c r="BU256">
        <v>0</v>
      </c>
      <c r="BV256">
        <v>0</v>
      </c>
      <c r="BW256">
        <v>0</v>
      </c>
      <c r="BX256">
        <v>0</v>
      </c>
      <c r="BY256">
        <v>0</v>
      </c>
      <c r="BZ256">
        <v>0</v>
      </c>
      <c r="CA256">
        <v>0</v>
      </c>
      <c r="CB256">
        <v>0</v>
      </c>
      <c r="CC256">
        <v>0</v>
      </c>
      <c r="CD256">
        <v>0</v>
      </c>
      <c r="CE256">
        <v>0</v>
      </c>
      <c r="CF256">
        <v>0</v>
      </c>
      <c r="CG256">
        <v>0</v>
      </c>
      <c r="CH256">
        <v>0</v>
      </c>
      <c r="CI256">
        <v>0</v>
      </c>
      <c r="CJ256">
        <v>1</v>
      </c>
      <c r="CK256">
        <v>1</v>
      </c>
      <c r="CL256">
        <v>1</v>
      </c>
      <c r="CM256">
        <v>1</v>
      </c>
      <c r="CN256">
        <v>1</v>
      </c>
      <c r="CO256">
        <v>1</v>
      </c>
      <c r="CP256">
        <v>1</v>
      </c>
      <c r="CQ256">
        <v>1</v>
      </c>
      <c r="CR256">
        <v>1</v>
      </c>
      <c r="CS256">
        <v>1</v>
      </c>
      <c r="CT256">
        <v>1</v>
      </c>
      <c r="CU256">
        <v>1</v>
      </c>
      <c r="CV256">
        <v>1</v>
      </c>
      <c r="CW256">
        <v>1</v>
      </c>
      <c r="CX256">
        <v>1</v>
      </c>
      <c r="CY256">
        <v>1</v>
      </c>
      <c r="CZ256">
        <v>1</v>
      </c>
      <c r="DA256">
        <v>1</v>
      </c>
      <c r="DB256">
        <v>1</v>
      </c>
      <c r="DC256">
        <v>1</v>
      </c>
    </row>
    <row r="257" spans="1:107" x14ac:dyDescent="0.25">
      <c r="B257" t="s">
        <v>1533</v>
      </c>
      <c r="C257">
        <v>8.4605550000000012</v>
      </c>
      <c r="D257">
        <v>-11.779889000000001</v>
      </c>
      <c r="F257">
        <v>0</v>
      </c>
      <c r="G257">
        <v>0</v>
      </c>
      <c r="H257">
        <v>0</v>
      </c>
      <c r="I257">
        <v>0</v>
      </c>
      <c r="J257">
        <v>0</v>
      </c>
      <c r="K257">
        <v>0</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0</v>
      </c>
      <c r="BW257">
        <v>0</v>
      </c>
      <c r="BX257">
        <v>0</v>
      </c>
      <c r="BY257">
        <v>0</v>
      </c>
      <c r="BZ257">
        <v>0</v>
      </c>
      <c r="CA257">
        <v>0</v>
      </c>
      <c r="CB257">
        <v>0</v>
      </c>
      <c r="CC257">
        <v>0</v>
      </c>
      <c r="CD257">
        <v>0</v>
      </c>
      <c r="CE257">
        <v>0</v>
      </c>
      <c r="CF257">
        <v>0</v>
      </c>
      <c r="CG257">
        <v>0</v>
      </c>
      <c r="CH257">
        <v>0</v>
      </c>
      <c r="CI257">
        <v>0</v>
      </c>
      <c r="CJ257">
        <v>0</v>
      </c>
      <c r="CK257">
        <v>0</v>
      </c>
      <c r="CL257">
        <v>0</v>
      </c>
      <c r="CM257">
        <v>0</v>
      </c>
      <c r="CN257">
        <v>0</v>
      </c>
      <c r="CO257">
        <v>0</v>
      </c>
      <c r="CP257">
        <v>0</v>
      </c>
      <c r="CQ257">
        <v>0</v>
      </c>
      <c r="CR257">
        <v>0</v>
      </c>
      <c r="CS257">
        <v>0</v>
      </c>
      <c r="CT257">
        <v>1</v>
      </c>
      <c r="CU257">
        <v>2</v>
      </c>
      <c r="CV257">
        <v>2</v>
      </c>
      <c r="CW257">
        <v>4</v>
      </c>
      <c r="CX257">
        <v>4</v>
      </c>
      <c r="CY257">
        <v>4</v>
      </c>
      <c r="CZ257">
        <v>4</v>
      </c>
      <c r="DA257">
        <v>7</v>
      </c>
      <c r="DB257">
        <v>7</v>
      </c>
      <c r="DC257">
        <v>8</v>
      </c>
    </row>
    <row r="258" spans="1:107" x14ac:dyDescent="0.25">
      <c r="A258" t="s">
        <v>2943</v>
      </c>
      <c r="B258" t="s">
        <v>87</v>
      </c>
      <c r="C258">
        <v>12.1784</v>
      </c>
      <c r="D258">
        <v>-68.238500000000002</v>
      </c>
      <c r="F258">
        <v>0</v>
      </c>
      <c r="G258">
        <v>0</v>
      </c>
      <c r="H258">
        <v>0</v>
      </c>
      <c r="I258">
        <v>0</v>
      </c>
      <c r="J258">
        <v>0</v>
      </c>
      <c r="K258">
        <v>0</v>
      </c>
      <c r="L258">
        <v>0</v>
      </c>
      <c r="M258">
        <v>0</v>
      </c>
      <c r="N258">
        <v>0</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v>0</v>
      </c>
      <c r="BL258">
        <v>0</v>
      </c>
      <c r="BM258">
        <v>0</v>
      </c>
      <c r="BN258">
        <v>0</v>
      </c>
      <c r="BO258">
        <v>0</v>
      </c>
      <c r="BP258">
        <v>0</v>
      </c>
      <c r="BQ258">
        <v>0</v>
      </c>
      <c r="BR258">
        <v>0</v>
      </c>
      <c r="BS258">
        <v>0</v>
      </c>
      <c r="BT258">
        <v>0</v>
      </c>
      <c r="BU258">
        <v>0</v>
      </c>
      <c r="BV258">
        <v>0</v>
      </c>
      <c r="BW258">
        <v>0</v>
      </c>
      <c r="BX258">
        <v>0</v>
      </c>
      <c r="BY258">
        <v>0</v>
      </c>
      <c r="BZ258">
        <v>0</v>
      </c>
      <c r="CA258">
        <v>0</v>
      </c>
      <c r="CB258">
        <v>0</v>
      </c>
      <c r="CC258">
        <v>0</v>
      </c>
      <c r="CD258">
        <v>0</v>
      </c>
      <c r="CE258">
        <v>0</v>
      </c>
      <c r="CF258">
        <v>0</v>
      </c>
      <c r="CG258">
        <v>0</v>
      </c>
      <c r="CH258">
        <v>0</v>
      </c>
      <c r="CI258">
        <v>0</v>
      </c>
      <c r="CJ258">
        <v>0</v>
      </c>
      <c r="CK258">
        <v>0</v>
      </c>
      <c r="CL258">
        <v>0</v>
      </c>
      <c r="CM258">
        <v>0</v>
      </c>
      <c r="CN258">
        <v>0</v>
      </c>
      <c r="CO258">
        <v>0</v>
      </c>
      <c r="CP258">
        <v>0</v>
      </c>
      <c r="CQ258">
        <v>0</v>
      </c>
      <c r="CR258">
        <v>0</v>
      </c>
      <c r="CS258">
        <v>0</v>
      </c>
      <c r="CT258">
        <v>0</v>
      </c>
      <c r="CU258">
        <v>0</v>
      </c>
      <c r="CV258">
        <v>0</v>
      </c>
      <c r="CW258">
        <v>0</v>
      </c>
      <c r="CX258">
        <v>0</v>
      </c>
      <c r="CY258">
        <v>0</v>
      </c>
      <c r="CZ258">
        <v>0</v>
      </c>
      <c r="DA258">
        <v>0</v>
      </c>
      <c r="DB258">
        <v>0</v>
      </c>
      <c r="DC258">
        <v>0</v>
      </c>
    </row>
    <row r="259" spans="1:107" x14ac:dyDescent="0.25">
      <c r="B259" t="s">
        <v>1633</v>
      </c>
      <c r="C259">
        <v>-13.254307999999998</v>
      </c>
      <c r="D259">
        <v>34.301524999999998</v>
      </c>
      <c r="F259">
        <v>0</v>
      </c>
      <c r="G259">
        <v>0</v>
      </c>
      <c r="H259">
        <v>0</v>
      </c>
      <c r="I259">
        <v>0</v>
      </c>
      <c r="J259">
        <v>0</v>
      </c>
      <c r="K259">
        <v>0</v>
      </c>
      <c r="L259">
        <v>0</v>
      </c>
      <c r="M259">
        <v>0</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v>0</v>
      </c>
      <c r="BJ259">
        <v>0</v>
      </c>
      <c r="BK259">
        <v>0</v>
      </c>
      <c r="BL259">
        <v>0</v>
      </c>
      <c r="BM259">
        <v>0</v>
      </c>
      <c r="BN259">
        <v>0</v>
      </c>
      <c r="BO259">
        <v>0</v>
      </c>
      <c r="BP259">
        <v>0</v>
      </c>
      <c r="BQ259">
        <v>0</v>
      </c>
      <c r="BR259">
        <v>0</v>
      </c>
      <c r="BS259">
        <v>0</v>
      </c>
      <c r="BT259">
        <v>0</v>
      </c>
      <c r="BU259">
        <v>0</v>
      </c>
      <c r="BV259">
        <v>0</v>
      </c>
      <c r="BW259">
        <v>0</v>
      </c>
      <c r="BX259">
        <v>0</v>
      </c>
      <c r="BY259">
        <v>0</v>
      </c>
      <c r="BZ259">
        <v>0</v>
      </c>
      <c r="CA259">
        <v>0</v>
      </c>
      <c r="CB259">
        <v>0</v>
      </c>
      <c r="CC259">
        <v>0</v>
      </c>
      <c r="CD259">
        <v>1</v>
      </c>
      <c r="CE259">
        <v>1</v>
      </c>
      <c r="CF259">
        <v>1</v>
      </c>
      <c r="CG259">
        <v>1</v>
      </c>
      <c r="CH259">
        <v>2</v>
      </c>
      <c r="CI259">
        <v>2</v>
      </c>
      <c r="CJ259">
        <v>2</v>
      </c>
      <c r="CK259">
        <v>2</v>
      </c>
      <c r="CL259">
        <v>2</v>
      </c>
      <c r="CM259">
        <v>2</v>
      </c>
      <c r="CN259">
        <v>2</v>
      </c>
      <c r="CO259">
        <v>2</v>
      </c>
      <c r="CP259">
        <v>2</v>
      </c>
      <c r="CQ259">
        <v>2</v>
      </c>
      <c r="CR259">
        <v>2</v>
      </c>
      <c r="CS259">
        <v>3</v>
      </c>
      <c r="CT259">
        <v>3</v>
      </c>
      <c r="CU259">
        <v>3</v>
      </c>
      <c r="CV259">
        <v>3</v>
      </c>
      <c r="CW259">
        <v>3</v>
      </c>
      <c r="CX259">
        <v>3</v>
      </c>
      <c r="CY259">
        <v>3</v>
      </c>
      <c r="CZ259">
        <v>3</v>
      </c>
      <c r="DA259">
        <v>3</v>
      </c>
      <c r="DB259">
        <v>3</v>
      </c>
      <c r="DC259">
        <v>3</v>
      </c>
    </row>
    <row r="260" spans="1:107" x14ac:dyDescent="0.25">
      <c r="A260" t="s">
        <v>2006</v>
      </c>
      <c r="B260" t="s">
        <v>609</v>
      </c>
      <c r="C260">
        <v>-51.796300000000002</v>
      </c>
      <c r="D260">
        <v>-59.523600000000002</v>
      </c>
      <c r="F260">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0</v>
      </c>
      <c r="BD260">
        <v>0</v>
      </c>
      <c r="BE260">
        <v>0</v>
      </c>
      <c r="BF260">
        <v>0</v>
      </c>
      <c r="BG260">
        <v>0</v>
      </c>
      <c r="BH260">
        <v>0</v>
      </c>
      <c r="BI260">
        <v>0</v>
      </c>
      <c r="BJ260">
        <v>0</v>
      </c>
      <c r="BK260">
        <v>0</v>
      </c>
      <c r="BL260">
        <v>0</v>
      </c>
      <c r="BM260">
        <v>0</v>
      </c>
      <c r="BN260">
        <v>0</v>
      </c>
      <c r="BO260">
        <v>0</v>
      </c>
      <c r="BP260">
        <v>0</v>
      </c>
      <c r="BQ260">
        <v>0</v>
      </c>
      <c r="BR260">
        <v>0</v>
      </c>
      <c r="BS260">
        <v>0</v>
      </c>
      <c r="BT260">
        <v>0</v>
      </c>
      <c r="BU260">
        <v>0</v>
      </c>
      <c r="BV260">
        <v>0</v>
      </c>
      <c r="BW260">
        <v>0</v>
      </c>
      <c r="BX260">
        <v>0</v>
      </c>
      <c r="BY260">
        <v>0</v>
      </c>
      <c r="BZ260">
        <v>0</v>
      </c>
      <c r="CA260">
        <v>0</v>
      </c>
      <c r="CB260">
        <v>0</v>
      </c>
      <c r="CC260">
        <v>0</v>
      </c>
      <c r="CD260">
        <v>0</v>
      </c>
      <c r="CE260">
        <v>0</v>
      </c>
      <c r="CF260">
        <v>0</v>
      </c>
      <c r="CG260">
        <v>0</v>
      </c>
      <c r="CH260">
        <v>0</v>
      </c>
      <c r="CI260">
        <v>0</v>
      </c>
      <c r="CJ260">
        <v>0</v>
      </c>
      <c r="CK260">
        <v>0</v>
      </c>
      <c r="CL260">
        <v>0</v>
      </c>
      <c r="CM260">
        <v>0</v>
      </c>
      <c r="CN260">
        <v>0</v>
      </c>
      <c r="CO260">
        <v>0</v>
      </c>
      <c r="CP260">
        <v>0</v>
      </c>
      <c r="CQ260">
        <v>0</v>
      </c>
      <c r="CR260">
        <v>0</v>
      </c>
      <c r="CS260">
        <v>0</v>
      </c>
      <c r="CT260">
        <v>0</v>
      </c>
      <c r="CU260">
        <v>0</v>
      </c>
      <c r="CV260">
        <v>0</v>
      </c>
      <c r="CW260">
        <v>0</v>
      </c>
      <c r="CX260">
        <v>0</v>
      </c>
      <c r="CY260">
        <v>0</v>
      </c>
      <c r="CZ260">
        <v>0</v>
      </c>
      <c r="DA260">
        <v>0</v>
      </c>
      <c r="DB260">
        <v>0</v>
      </c>
      <c r="DC260">
        <v>0</v>
      </c>
    </row>
    <row r="261" spans="1:107" x14ac:dyDescent="0.25">
      <c r="A261" t="s">
        <v>1909</v>
      </c>
      <c r="B261" t="s">
        <v>42</v>
      </c>
      <c r="C261">
        <v>46.885199999999998</v>
      </c>
      <c r="D261">
        <v>-56.315899999999999</v>
      </c>
      <c r="F261">
        <v>0</v>
      </c>
      <c r="G261">
        <v>0</v>
      </c>
      <c r="H261">
        <v>0</v>
      </c>
      <c r="I261">
        <v>0</v>
      </c>
      <c r="J261">
        <v>0</v>
      </c>
      <c r="K261">
        <v>0</v>
      </c>
      <c r="L261">
        <v>0</v>
      </c>
      <c r="M261">
        <v>0</v>
      </c>
      <c r="N261">
        <v>0</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v>0</v>
      </c>
      <c r="BI261">
        <v>0</v>
      </c>
      <c r="BJ261">
        <v>0</v>
      </c>
      <c r="BK261">
        <v>0</v>
      </c>
      <c r="BL261">
        <v>0</v>
      </c>
      <c r="BM261">
        <v>0</v>
      </c>
      <c r="BN261">
        <v>0</v>
      </c>
      <c r="BO261">
        <v>0</v>
      </c>
      <c r="BP261">
        <v>0</v>
      </c>
      <c r="BQ261">
        <v>0</v>
      </c>
      <c r="BR261">
        <v>0</v>
      </c>
      <c r="BS261">
        <v>0</v>
      </c>
      <c r="BT261">
        <v>0</v>
      </c>
      <c r="BU261">
        <v>0</v>
      </c>
      <c r="BV261">
        <v>0</v>
      </c>
      <c r="BW261">
        <v>0</v>
      </c>
      <c r="BX261">
        <v>0</v>
      </c>
      <c r="BY261">
        <v>0</v>
      </c>
      <c r="BZ261">
        <v>0</v>
      </c>
      <c r="CA261">
        <v>0</v>
      </c>
      <c r="CB261">
        <v>0</v>
      </c>
      <c r="CC261">
        <v>0</v>
      </c>
      <c r="CD261">
        <v>0</v>
      </c>
      <c r="CE261">
        <v>0</v>
      </c>
      <c r="CF261">
        <v>0</v>
      </c>
      <c r="CG261">
        <v>0</v>
      </c>
      <c r="CH261">
        <v>0</v>
      </c>
      <c r="CI261">
        <v>0</v>
      </c>
      <c r="CJ261">
        <v>0</v>
      </c>
      <c r="CK261">
        <v>0</v>
      </c>
      <c r="CL261">
        <v>0</v>
      </c>
      <c r="CM261">
        <v>0</v>
      </c>
      <c r="CN261">
        <v>0</v>
      </c>
      <c r="CO261">
        <v>0</v>
      </c>
      <c r="CP261">
        <v>0</v>
      </c>
      <c r="CQ261">
        <v>0</v>
      </c>
      <c r="CR261">
        <v>0</v>
      </c>
      <c r="CS261">
        <v>0</v>
      </c>
      <c r="CT261">
        <v>0</v>
      </c>
      <c r="CU261">
        <v>0</v>
      </c>
      <c r="CV261">
        <v>0</v>
      </c>
      <c r="CW261">
        <v>0</v>
      </c>
      <c r="CX261">
        <v>0</v>
      </c>
      <c r="CY261">
        <v>0</v>
      </c>
      <c r="CZ261">
        <v>0</v>
      </c>
      <c r="DA261">
        <v>0</v>
      </c>
      <c r="DB261">
        <v>0</v>
      </c>
      <c r="DC261">
        <v>0</v>
      </c>
    </row>
    <row r="262" spans="1:107" x14ac:dyDescent="0.25">
      <c r="B262" t="s">
        <v>1910</v>
      </c>
      <c r="C262">
        <v>6.8770000000000024</v>
      </c>
      <c r="D262">
        <v>31.306999999999999</v>
      </c>
      <c r="F262">
        <v>0</v>
      </c>
      <c r="G262">
        <v>0</v>
      </c>
      <c r="H262">
        <v>0</v>
      </c>
      <c r="I262">
        <v>0</v>
      </c>
      <c r="J262">
        <v>0</v>
      </c>
      <c r="K262">
        <v>0</v>
      </c>
      <c r="L262">
        <v>0</v>
      </c>
      <c r="M262">
        <v>0</v>
      </c>
      <c r="N262">
        <v>0</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v>0</v>
      </c>
      <c r="BH262">
        <v>0</v>
      </c>
      <c r="BI262">
        <v>0</v>
      </c>
      <c r="BJ262">
        <v>0</v>
      </c>
      <c r="BK262">
        <v>0</v>
      </c>
      <c r="BL262">
        <v>0</v>
      </c>
      <c r="BM262">
        <v>0</v>
      </c>
      <c r="BN262">
        <v>0</v>
      </c>
      <c r="BO262">
        <v>0</v>
      </c>
      <c r="BP262">
        <v>0</v>
      </c>
      <c r="BQ262">
        <v>0</v>
      </c>
      <c r="BR262">
        <v>0</v>
      </c>
      <c r="BS262">
        <v>0</v>
      </c>
      <c r="BT262">
        <v>0</v>
      </c>
      <c r="BU262">
        <v>0</v>
      </c>
      <c r="BV262">
        <v>0</v>
      </c>
      <c r="BW262">
        <v>0</v>
      </c>
      <c r="BX262">
        <v>0</v>
      </c>
      <c r="BY262">
        <v>0</v>
      </c>
      <c r="BZ262">
        <v>0</v>
      </c>
      <c r="CA262">
        <v>0</v>
      </c>
      <c r="CB262">
        <v>0</v>
      </c>
      <c r="CC262">
        <v>0</v>
      </c>
      <c r="CD262">
        <v>0</v>
      </c>
      <c r="CE262">
        <v>0</v>
      </c>
      <c r="CF262">
        <v>0</v>
      </c>
      <c r="CG262">
        <v>0</v>
      </c>
      <c r="CH262">
        <v>0</v>
      </c>
      <c r="CI262">
        <v>0</v>
      </c>
      <c r="CJ262">
        <v>0</v>
      </c>
      <c r="CK262">
        <v>0</v>
      </c>
      <c r="CL262">
        <v>0</v>
      </c>
      <c r="CM262">
        <v>0</v>
      </c>
      <c r="CN262">
        <v>0</v>
      </c>
      <c r="CO262">
        <v>0</v>
      </c>
      <c r="CP262">
        <v>0</v>
      </c>
      <c r="CQ262">
        <v>0</v>
      </c>
      <c r="CR262">
        <v>0</v>
      </c>
      <c r="CS262">
        <v>0</v>
      </c>
      <c r="CT262">
        <v>0</v>
      </c>
      <c r="CU262">
        <v>0</v>
      </c>
      <c r="CV262">
        <v>0</v>
      </c>
      <c r="CW262">
        <v>0</v>
      </c>
      <c r="CX262">
        <v>0</v>
      </c>
      <c r="CY262">
        <v>0</v>
      </c>
      <c r="CZ262">
        <v>0</v>
      </c>
      <c r="DA262">
        <v>0</v>
      </c>
      <c r="DB262">
        <v>0</v>
      </c>
      <c r="DC262">
        <v>0</v>
      </c>
    </row>
    <row r="263" spans="1:107" x14ac:dyDescent="0.25">
      <c r="B263" t="s">
        <v>1911</v>
      </c>
      <c r="C263">
        <v>24.215499999999999</v>
      </c>
      <c r="D263">
        <v>-12.8858</v>
      </c>
      <c r="F263">
        <v>0</v>
      </c>
      <c r="G263">
        <v>0</v>
      </c>
      <c r="H263">
        <v>0</v>
      </c>
      <c r="I263">
        <v>0</v>
      </c>
      <c r="J263">
        <v>0</v>
      </c>
      <c r="K263">
        <v>0</v>
      </c>
      <c r="L263">
        <v>0</v>
      </c>
      <c r="M263">
        <v>0</v>
      </c>
      <c r="N263">
        <v>0</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0</v>
      </c>
      <c r="BH263">
        <v>0</v>
      </c>
      <c r="BI263">
        <v>0</v>
      </c>
      <c r="BJ263">
        <v>0</v>
      </c>
      <c r="BK263">
        <v>0</v>
      </c>
      <c r="BL263">
        <v>0</v>
      </c>
      <c r="BM263">
        <v>0</v>
      </c>
      <c r="BN263">
        <v>0</v>
      </c>
      <c r="BO263">
        <v>0</v>
      </c>
      <c r="BP263">
        <v>0</v>
      </c>
      <c r="BQ263">
        <v>0</v>
      </c>
      <c r="BR263">
        <v>0</v>
      </c>
      <c r="BS263">
        <v>0</v>
      </c>
      <c r="BT263">
        <v>0</v>
      </c>
      <c r="BU263">
        <v>0</v>
      </c>
      <c r="BV263">
        <v>0</v>
      </c>
      <c r="BW263">
        <v>0</v>
      </c>
      <c r="BX263">
        <v>0</v>
      </c>
      <c r="BY263">
        <v>0</v>
      </c>
      <c r="BZ263">
        <v>0</v>
      </c>
      <c r="CA263">
        <v>0</v>
      </c>
      <c r="CB263">
        <v>0</v>
      </c>
      <c r="CC263">
        <v>0</v>
      </c>
      <c r="CD263">
        <v>0</v>
      </c>
      <c r="CE263">
        <v>0</v>
      </c>
      <c r="CF263">
        <v>0</v>
      </c>
      <c r="CG263">
        <v>0</v>
      </c>
      <c r="CH263">
        <v>0</v>
      </c>
      <c r="CI263">
        <v>0</v>
      </c>
      <c r="CJ263">
        <v>0</v>
      </c>
      <c r="CK263">
        <v>0</v>
      </c>
      <c r="CL263">
        <v>0</v>
      </c>
      <c r="CM263">
        <v>0</v>
      </c>
      <c r="CN263">
        <v>0</v>
      </c>
      <c r="CO263">
        <v>0</v>
      </c>
      <c r="CP263">
        <v>0</v>
      </c>
      <c r="CQ263">
        <v>0</v>
      </c>
      <c r="CR263">
        <v>0</v>
      </c>
      <c r="CS263">
        <v>0</v>
      </c>
      <c r="CT263">
        <v>0</v>
      </c>
      <c r="CU263">
        <v>0</v>
      </c>
      <c r="CV263">
        <v>0</v>
      </c>
      <c r="CW263">
        <v>0</v>
      </c>
      <c r="CX263">
        <v>0</v>
      </c>
      <c r="CY263">
        <v>0</v>
      </c>
      <c r="CZ263">
        <v>0</v>
      </c>
      <c r="DA263">
        <v>0</v>
      </c>
      <c r="DB263">
        <v>0</v>
      </c>
      <c r="DC263">
        <v>0</v>
      </c>
    </row>
    <row r="264" spans="1:107" x14ac:dyDescent="0.25">
      <c r="B264" t="s">
        <v>1963</v>
      </c>
      <c r="C264">
        <v>0.18636</v>
      </c>
      <c r="D264">
        <v>6.6130810000000002</v>
      </c>
      <c r="F264">
        <v>0</v>
      </c>
      <c r="G264">
        <v>0</v>
      </c>
      <c r="H264">
        <v>0</v>
      </c>
      <c r="I264">
        <v>0</v>
      </c>
      <c r="J264">
        <v>0</v>
      </c>
      <c r="K264">
        <v>0</v>
      </c>
      <c r="L264">
        <v>0</v>
      </c>
      <c r="M264">
        <v>0</v>
      </c>
      <c r="N264">
        <v>0</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c r="BJ264">
        <v>0</v>
      </c>
      <c r="BK264">
        <v>0</v>
      </c>
      <c r="BL264">
        <v>0</v>
      </c>
      <c r="BM264">
        <v>0</v>
      </c>
      <c r="BN264">
        <v>0</v>
      </c>
      <c r="BO264">
        <v>0</v>
      </c>
      <c r="BP264">
        <v>0</v>
      </c>
      <c r="BQ264">
        <v>0</v>
      </c>
      <c r="BR264">
        <v>0</v>
      </c>
      <c r="BS264">
        <v>0</v>
      </c>
      <c r="BT264">
        <v>0</v>
      </c>
      <c r="BU264">
        <v>0</v>
      </c>
      <c r="BV264">
        <v>0</v>
      </c>
      <c r="BW264">
        <v>0</v>
      </c>
      <c r="BX264">
        <v>0</v>
      </c>
      <c r="BY264">
        <v>0</v>
      </c>
      <c r="BZ264">
        <v>0</v>
      </c>
      <c r="CA264">
        <v>0</v>
      </c>
      <c r="CB264">
        <v>0</v>
      </c>
      <c r="CC264">
        <v>0</v>
      </c>
      <c r="CD264">
        <v>0</v>
      </c>
      <c r="CE264">
        <v>0</v>
      </c>
      <c r="CF264">
        <v>0</v>
      </c>
      <c r="CG264">
        <v>0</v>
      </c>
      <c r="CH264">
        <v>0</v>
      </c>
      <c r="CI264">
        <v>0</v>
      </c>
      <c r="CJ264">
        <v>0</v>
      </c>
      <c r="CK264">
        <v>0</v>
      </c>
      <c r="CL264">
        <v>0</v>
      </c>
      <c r="CM264">
        <v>0</v>
      </c>
      <c r="CN264">
        <v>0</v>
      </c>
      <c r="CO264">
        <v>0</v>
      </c>
      <c r="CP264">
        <v>0</v>
      </c>
      <c r="CQ264">
        <v>0</v>
      </c>
      <c r="CR264">
        <v>0</v>
      </c>
      <c r="CS264">
        <v>0</v>
      </c>
      <c r="CT264">
        <v>0</v>
      </c>
      <c r="CU264">
        <v>0</v>
      </c>
      <c r="CV264">
        <v>0</v>
      </c>
      <c r="CW264">
        <v>0</v>
      </c>
      <c r="CX264">
        <v>0</v>
      </c>
      <c r="CY264">
        <v>0</v>
      </c>
      <c r="CZ264">
        <v>0</v>
      </c>
      <c r="DA264">
        <v>0</v>
      </c>
      <c r="DB264">
        <v>1</v>
      </c>
      <c r="DC264">
        <v>1</v>
      </c>
    </row>
    <row r="265" spans="1:107" x14ac:dyDescent="0.25">
      <c r="B265" t="s">
        <v>2202</v>
      </c>
      <c r="C265">
        <v>15.552726999999999</v>
      </c>
      <c r="D265">
        <v>48.516387999999999</v>
      </c>
      <c r="F265">
        <v>0</v>
      </c>
      <c r="G265">
        <v>0</v>
      </c>
      <c r="H265">
        <v>0</v>
      </c>
      <c r="I265">
        <v>0</v>
      </c>
      <c r="J265">
        <v>0</v>
      </c>
      <c r="K265">
        <v>0</v>
      </c>
      <c r="L265">
        <v>0</v>
      </c>
      <c r="M265">
        <v>0</v>
      </c>
      <c r="N265">
        <v>0</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0</v>
      </c>
      <c r="BI265">
        <v>0</v>
      </c>
      <c r="BJ265">
        <v>0</v>
      </c>
      <c r="BK265">
        <v>0</v>
      </c>
      <c r="BL265">
        <v>0</v>
      </c>
      <c r="BM265">
        <v>0</v>
      </c>
      <c r="BN265">
        <v>0</v>
      </c>
      <c r="BO265">
        <v>0</v>
      </c>
      <c r="BP265">
        <v>0</v>
      </c>
      <c r="BQ265">
        <v>0</v>
      </c>
      <c r="BR265">
        <v>0</v>
      </c>
      <c r="BS265">
        <v>0</v>
      </c>
      <c r="BT265">
        <v>0</v>
      </c>
      <c r="BU265">
        <v>0</v>
      </c>
      <c r="BV265">
        <v>0</v>
      </c>
      <c r="BW265">
        <v>0</v>
      </c>
      <c r="BX265">
        <v>0</v>
      </c>
      <c r="BY265">
        <v>0</v>
      </c>
      <c r="BZ265">
        <v>0</v>
      </c>
      <c r="CA265">
        <v>0</v>
      </c>
      <c r="CB265">
        <v>0</v>
      </c>
      <c r="CC265">
        <v>0</v>
      </c>
      <c r="CD265">
        <v>0</v>
      </c>
      <c r="CE265">
        <v>0</v>
      </c>
      <c r="CF265">
        <v>0</v>
      </c>
      <c r="CG265">
        <v>0</v>
      </c>
      <c r="CH265">
        <v>0</v>
      </c>
      <c r="CI265">
        <v>0</v>
      </c>
      <c r="CJ265">
        <v>0</v>
      </c>
      <c r="CK265">
        <v>0</v>
      </c>
      <c r="CL265">
        <v>0</v>
      </c>
      <c r="CM265">
        <v>0</v>
      </c>
      <c r="CN265">
        <v>0</v>
      </c>
      <c r="CO265">
        <v>0</v>
      </c>
      <c r="CP265">
        <v>0</v>
      </c>
      <c r="CQ265">
        <v>0</v>
      </c>
      <c r="CR265">
        <v>0</v>
      </c>
      <c r="CS265">
        <v>0</v>
      </c>
      <c r="CT265">
        <v>0</v>
      </c>
      <c r="CU265">
        <v>0</v>
      </c>
      <c r="CV265">
        <v>0</v>
      </c>
      <c r="CW265">
        <v>0</v>
      </c>
      <c r="CX265">
        <v>0</v>
      </c>
      <c r="CY265">
        <v>0</v>
      </c>
      <c r="CZ265">
        <v>0</v>
      </c>
      <c r="DA265">
        <v>2</v>
      </c>
      <c r="DB265">
        <v>2</v>
      </c>
      <c r="DC265">
        <v>2</v>
      </c>
    </row>
    <row r="266" spans="1:107" x14ac:dyDescent="0.25">
      <c r="B266" t="s">
        <v>3737</v>
      </c>
      <c r="C266">
        <v>-11.6455</v>
      </c>
      <c r="D266">
        <v>43.333300000000001</v>
      </c>
      <c r="F266">
        <v>0</v>
      </c>
      <c r="G266">
        <v>0</v>
      </c>
      <c r="H266">
        <v>0</v>
      </c>
      <c r="I266">
        <v>0</v>
      </c>
      <c r="J266">
        <v>0</v>
      </c>
      <c r="K266">
        <v>0</v>
      </c>
      <c r="L266">
        <v>0</v>
      </c>
      <c r="M266">
        <v>0</v>
      </c>
      <c r="N266">
        <v>0</v>
      </c>
      <c r="O266">
        <v>0</v>
      </c>
      <c r="P266">
        <v>0</v>
      </c>
      <c r="Q266">
        <v>0</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0</v>
      </c>
      <c r="BJ266">
        <v>0</v>
      </c>
      <c r="BK266">
        <v>0</v>
      </c>
      <c r="BL266">
        <v>0</v>
      </c>
      <c r="BM266">
        <v>0</v>
      </c>
      <c r="BN266">
        <v>0</v>
      </c>
      <c r="BO266">
        <v>0</v>
      </c>
      <c r="BP266">
        <v>0</v>
      </c>
      <c r="BQ266">
        <v>0</v>
      </c>
      <c r="BR266">
        <v>0</v>
      </c>
      <c r="BS266">
        <v>0</v>
      </c>
      <c r="BT266">
        <v>0</v>
      </c>
      <c r="BU266">
        <v>0</v>
      </c>
      <c r="BV266">
        <v>0</v>
      </c>
      <c r="BW266">
        <v>0</v>
      </c>
      <c r="BX266">
        <v>0</v>
      </c>
      <c r="BY266">
        <v>0</v>
      </c>
      <c r="BZ266">
        <v>0</v>
      </c>
      <c r="CA266">
        <v>0</v>
      </c>
      <c r="CB266">
        <v>0</v>
      </c>
      <c r="CC266">
        <v>0</v>
      </c>
      <c r="CD266">
        <v>0</v>
      </c>
      <c r="CE266">
        <v>0</v>
      </c>
      <c r="CF266">
        <v>0</v>
      </c>
      <c r="CG266">
        <v>0</v>
      </c>
      <c r="CH266">
        <v>0</v>
      </c>
      <c r="CI266">
        <v>0</v>
      </c>
      <c r="CJ266">
        <v>0</v>
      </c>
      <c r="CK266">
        <v>0</v>
      </c>
      <c r="CL266">
        <v>0</v>
      </c>
      <c r="CM266">
        <v>0</v>
      </c>
      <c r="CN266">
        <v>0</v>
      </c>
      <c r="CO266">
        <v>0</v>
      </c>
      <c r="CP266">
        <v>0</v>
      </c>
      <c r="CQ266">
        <v>0</v>
      </c>
      <c r="CR266">
        <v>0</v>
      </c>
      <c r="CS266">
        <v>0</v>
      </c>
      <c r="CT266">
        <v>0</v>
      </c>
      <c r="CU266">
        <v>0</v>
      </c>
      <c r="CV266">
        <v>0</v>
      </c>
      <c r="CW266">
        <v>0</v>
      </c>
      <c r="CX266">
        <v>0</v>
      </c>
      <c r="CY266">
        <v>0</v>
      </c>
      <c r="CZ266">
        <v>0</v>
      </c>
      <c r="DA266">
        <v>0</v>
      </c>
      <c r="DB266">
        <v>0</v>
      </c>
      <c r="DC266">
        <v>0</v>
      </c>
    </row>
    <row r="267" spans="1:107" x14ac:dyDescent="0.25">
      <c r="B267" t="s">
        <v>3738</v>
      </c>
      <c r="C267">
        <v>38.861033999999997</v>
      </c>
      <c r="D267">
        <v>71.276093000000003</v>
      </c>
      <c r="F267">
        <v>0</v>
      </c>
      <c r="G267">
        <v>0</v>
      </c>
      <c r="H267">
        <v>0</v>
      </c>
      <c r="I267">
        <v>0</v>
      </c>
      <c r="J267">
        <v>0</v>
      </c>
      <c r="K267">
        <v>0</v>
      </c>
      <c r="L267">
        <v>0</v>
      </c>
      <c r="M267">
        <v>0</v>
      </c>
      <c r="N267">
        <v>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c r="BL267">
        <v>0</v>
      </c>
      <c r="BM267">
        <v>0</v>
      </c>
      <c r="BN267">
        <v>0</v>
      </c>
      <c r="BO267">
        <v>0</v>
      </c>
      <c r="BP267">
        <v>0</v>
      </c>
      <c r="BQ267">
        <v>0</v>
      </c>
      <c r="BR267">
        <v>0</v>
      </c>
      <c r="BS267">
        <v>0</v>
      </c>
      <c r="BT267">
        <v>0</v>
      </c>
      <c r="BU267">
        <v>0</v>
      </c>
      <c r="BV267">
        <v>0</v>
      </c>
      <c r="BW267">
        <v>0</v>
      </c>
      <c r="BX267">
        <v>0</v>
      </c>
      <c r="BY267">
        <v>0</v>
      </c>
      <c r="BZ267">
        <v>0</v>
      </c>
      <c r="CA267">
        <v>0</v>
      </c>
      <c r="CB267">
        <v>0</v>
      </c>
      <c r="CC267">
        <v>0</v>
      </c>
      <c r="CD267">
        <v>0</v>
      </c>
      <c r="CE267">
        <v>0</v>
      </c>
      <c r="CF267">
        <v>0</v>
      </c>
      <c r="CG267">
        <v>0</v>
      </c>
      <c r="CH267">
        <v>0</v>
      </c>
      <c r="CI267">
        <v>0</v>
      </c>
      <c r="CJ267">
        <v>0</v>
      </c>
      <c r="CK267">
        <v>0</v>
      </c>
      <c r="CL267">
        <v>0</v>
      </c>
      <c r="CM267">
        <v>0</v>
      </c>
      <c r="CN267">
        <v>0</v>
      </c>
      <c r="CO267">
        <v>0</v>
      </c>
      <c r="CP267">
        <v>0</v>
      </c>
      <c r="CQ267">
        <v>0</v>
      </c>
      <c r="CR267">
        <v>0</v>
      </c>
      <c r="CS267">
        <v>0</v>
      </c>
      <c r="CT267">
        <v>0</v>
      </c>
      <c r="CU267">
        <v>0</v>
      </c>
      <c r="CV267">
        <v>0</v>
      </c>
      <c r="CW267">
        <v>0</v>
      </c>
      <c r="CX267">
        <v>0</v>
      </c>
      <c r="CY267">
        <v>0</v>
      </c>
      <c r="CZ267">
        <v>0</v>
      </c>
      <c r="DA267">
        <v>0</v>
      </c>
      <c r="DB267">
        <v>0</v>
      </c>
      <c r="DC267">
        <v>2</v>
      </c>
    </row>
    <row r="268" spans="1:107" x14ac:dyDescent="0.25">
      <c r="A268" t="s">
        <v>2944</v>
      </c>
      <c r="B268" t="s">
        <v>37</v>
      </c>
      <c r="C268">
        <v>-14.270999999999999</v>
      </c>
      <c r="D268">
        <v>-170.13200000000001</v>
      </c>
      <c r="E268">
        <v>55641</v>
      </c>
      <c r="F268">
        <v>0</v>
      </c>
      <c r="G268">
        <v>0</v>
      </c>
      <c r="H268">
        <v>0</v>
      </c>
      <c r="I268">
        <v>0</v>
      </c>
      <c r="J268">
        <v>0</v>
      </c>
      <c r="K268">
        <v>0</v>
      </c>
      <c r="L268">
        <v>0</v>
      </c>
      <c r="M268">
        <v>0</v>
      </c>
      <c r="N268">
        <v>0</v>
      </c>
      <c r="O268">
        <v>0</v>
      </c>
      <c r="P268">
        <v>0</v>
      </c>
      <c r="Q268">
        <v>0</v>
      </c>
      <c r="R268">
        <v>0</v>
      </c>
      <c r="S268">
        <v>0</v>
      </c>
      <c r="T268">
        <v>0</v>
      </c>
      <c r="U268">
        <v>0</v>
      </c>
      <c r="V268">
        <v>0</v>
      </c>
      <c r="W268">
        <v>0</v>
      </c>
      <c r="X268">
        <v>0</v>
      </c>
      <c r="Y268">
        <v>0</v>
      </c>
      <c r="Z268">
        <v>0</v>
      </c>
      <c r="AA268">
        <v>0</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c r="BJ268">
        <v>0</v>
      </c>
      <c r="BK268">
        <v>0</v>
      </c>
      <c r="BL268">
        <v>0</v>
      </c>
      <c r="BM268">
        <v>0</v>
      </c>
      <c r="BN268">
        <v>0</v>
      </c>
      <c r="BO268">
        <v>0</v>
      </c>
      <c r="BP268">
        <v>0</v>
      </c>
      <c r="BQ268">
        <v>0</v>
      </c>
      <c r="BR268">
        <v>0</v>
      </c>
      <c r="BS268">
        <v>0</v>
      </c>
      <c r="BT268">
        <v>0</v>
      </c>
      <c r="BU268">
        <v>0</v>
      </c>
      <c r="BV268">
        <v>0</v>
      </c>
      <c r="BW268">
        <v>0</v>
      </c>
      <c r="BX268">
        <v>0</v>
      </c>
      <c r="BY268">
        <v>0</v>
      </c>
      <c r="BZ268">
        <v>0</v>
      </c>
      <c r="CA268">
        <v>0</v>
      </c>
      <c r="CB268">
        <v>0</v>
      </c>
      <c r="CC268">
        <v>0</v>
      </c>
      <c r="CD268">
        <v>0</v>
      </c>
      <c r="CE268">
        <v>0</v>
      </c>
      <c r="CF268">
        <v>0</v>
      </c>
      <c r="CG268">
        <v>0</v>
      </c>
      <c r="CH268">
        <v>0</v>
      </c>
      <c r="CI268">
        <v>0</v>
      </c>
      <c r="CJ268">
        <v>0</v>
      </c>
      <c r="CK268">
        <v>0</v>
      </c>
      <c r="CL268">
        <v>0</v>
      </c>
      <c r="CM268">
        <v>0</v>
      </c>
      <c r="CN268">
        <v>0</v>
      </c>
      <c r="CO268">
        <v>0</v>
      </c>
      <c r="CP268">
        <v>0</v>
      </c>
      <c r="CQ268">
        <v>0</v>
      </c>
      <c r="CR268">
        <v>0</v>
      </c>
      <c r="CS268">
        <v>0</v>
      </c>
      <c r="CT268">
        <v>0</v>
      </c>
      <c r="CU268">
        <v>0</v>
      </c>
      <c r="CV268">
        <v>0</v>
      </c>
      <c r="CW268">
        <v>0</v>
      </c>
      <c r="CX268">
        <v>0</v>
      </c>
      <c r="CY268">
        <v>0</v>
      </c>
      <c r="CZ268">
        <v>0</v>
      </c>
      <c r="DA268">
        <v>0</v>
      </c>
      <c r="DB268">
        <v>0</v>
      </c>
      <c r="DC268">
        <v>0</v>
      </c>
    </row>
    <row r="269" spans="1:107" x14ac:dyDescent="0.25">
      <c r="A269" t="s">
        <v>2945</v>
      </c>
      <c r="B269" t="s">
        <v>37</v>
      </c>
      <c r="C269">
        <v>13.4443</v>
      </c>
      <c r="D269">
        <v>144.7937</v>
      </c>
      <c r="E269">
        <v>164229</v>
      </c>
      <c r="F269">
        <v>0</v>
      </c>
      <c r="G269">
        <v>0</v>
      </c>
      <c r="H269">
        <v>0</v>
      </c>
      <c r="I269">
        <v>0</v>
      </c>
      <c r="J269">
        <v>0</v>
      </c>
      <c r="K269">
        <v>0</v>
      </c>
      <c r="L269">
        <v>0</v>
      </c>
      <c r="M269">
        <v>0</v>
      </c>
      <c r="N269">
        <v>0</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0</v>
      </c>
      <c r="BD269">
        <v>0</v>
      </c>
      <c r="BE269">
        <v>0</v>
      </c>
      <c r="BF269">
        <v>0</v>
      </c>
      <c r="BG269">
        <v>0</v>
      </c>
      <c r="BH269">
        <v>0</v>
      </c>
      <c r="BI269">
        <v>0</v>
      </c>
      <c r="BJ269">
        <v>0</v>
      </c>
      <c r="BK269">
        <v>0</v>
      </c>
      <c r="BL269">
        <v>0</v>
      </c>
      <c r="BM269">
        <v>0</v>
      </c>
      <c r="BN269">
        <v>1</v>
      </c>
      <c r="BO269">
        <v>1</v>
      </c>
      <c r="BP269">
        <v>1</v>
      </c>
      <c r="BQ269">
        <v>1</v>
      </c>
      <c r="BR269">
        <v>1</v>
      </c>
      <c r="BS269">
        <v>1</v>
      </c>
      <c r="BT269">
        <v>1</v>
      </c>
      <c r="BU269">
        <v>1</v>
      </c>
      <c r="BV269">
        <v>1</v>
      </c>
      <c r="BW269">
        <v>2</v>
      </c>
      <c r="BX269">
        <v>3</v>
      </c>
      <c r="BY269">
        <v>3</v>
      </c>
      <c r="BZ269">
        <v>4</v>
      </c>
      <c r="CA269">
        <v>4</v>
      </c>
      <c r="CB269">
        <v>4</v>
      </c>
      <c r="CC269">
        <v>4</v>
      </c>
      <c r="CD269">
        <v>4</v>
      </c>
      <c r="CE269">
        <v>4</v>
      </c>
      <c r="CF269">
        <v>4</v>
      </c>
      <c r="CG269">
        <v>4</v>
      </c>
      <c r="CH269">
        <v>5</v>
      </c>
      <c r="CI269">
        <v>5</v>
      </c>
      <c r="CJ269">
        <v>5</v>
      </c>
      <c r="CK269">
        <v>5</v>
      </c>
      <c r="CL269">
        <v>5</v>
      </c>
      <c r="CM269">
        <v>5</v>
      </c>
      <c r="CN269">
        <v>5</v>
      </c>
      <c r="CO269">
        <v>5</v>
      </c>
      <c r="CP269">
        <v>5</v>
      </c>
      <c r="CQ269">
        <v>5</v>
      </c>
      <c r="CR269">
        <v>5</v>
      </c>
      <c r="CS269">
        <v>5</v>
      </c>
      <c r="CT269">
        <v>5</v>
      </c>
      <c r="CU269">
        <v>5</v>
      </c>
      <c r="CV269">
        <v>5</v>
      </c>
      <c r="CW269">
        <v>5</v>
      </c>
      <c r="CX269">
        <v>5</v>
      </c>
      <c r="CY269">
        <v>5</v>
      </c>
      <c r="CZ269">
        <v>5</v>
      </c>
      <c r="DA269">
        <v>5</v>
      </c>
      <c r="DB269">
        <v>5</v>
      </c>
      <c r="DC269">
        <v>5</v>
      </c>
    </row>
    <row r="270" spans="1:107" x14ac:dyDescent="0.25">
      <c r="A270" t="s">
        <v>2946</v>
      </c>
      <c r="B270" t="s">
        <v>37</v>
      </c>
      <c r="C270">
        <v>15.097899999999999</v>
      </c>
      <c r="D270">
        <v>145.6739</v>
      </c>
      <c r="E270">
        <v>55144</v>
      </c>
      <c r="F270">
        <v>0</v>
      </c>
      <c r="G270">
        <v>0</v>
      </c>
      <c r="H270">
        <v>0</v>
      </c>
      <c r="I270">
        <v>0</v>
      </c>
      <c r="J270">
        <v>0</v>
      </c>
      <c r="K270">
        <v>0</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c r="AY270">
        <v>0</v>
      </c>
      <c r="AZ270">
        <v>0</v>
      </c>
      <c r="BA270">
        <v>0</v>
      </c>
      <c r="BB270">
        <v>0</v>
      </c>
      <c r="BC270">
        <v>0</v>
      </c>
      <c r="BD270">
        <v>0</v>
      </c>
      <c r="BE270">
        <v>0</v>
      </c>
      <c r="BF270">
        <v>0</v>
      </c>
      <c r="BG270">
        <v>0</v>
      </c>
      <c r="BH270">
        <v>0</v>
      </c>
      <c r="BI270">
        <v>0</v>
      </c>
      <c r="BJ270">
        <v>0</v>
      </c>
      <c r="BK270">
        <v>0</v>
      </c>
      <c r="BL270">
        <v>0</v>
      </c>
      <c r="BM270">
        <v>0</v>
      </c>
      <c r="BN270">
        <v>0</v>
      </c>
      <c r="BO270">
        <v>0</v>
      </c>
      <c r="BP270">
        <v>0</v>
      </c>
      <c r="BQ270">
        <v>0</v>
      </c>
      <c r="BR270">
        <v>0</v>
      </c>
      <c r="BS270">
        <v>0</v>
      </c>
      <c r="BT270">
        <v>0</v>
      </c>
      <c r="BU270">
        <v>0</v>
      </c>
      <c r="BV270">
        <v>0</v>
      </c>
      <c r="BW270">
        <v>0</v>
      </c>
      <c r="BX270">
        <v>1</v>
      </c>
      <c r="BY270">
        <v>1</v>
      </c>
      <c r="BZ270">
        <v>1</v>
      </c>
      <c r="CA270">
        <v>1</v>
      </c>
      <c r="CB270">
        <v>1</v>
      </c>
      <c r="CC270">
        <v>1</v>
      </c>
      <c r="CD270">
        <v>2</v>
      </c>
      <c r="CE270">
        <v>2</v>
      </c>
      <c r="CF270">
        <v>2</v>
      </c>
      <c r="CG270">
        <v>2</v>
      </c>
      <c r="CH270">
        <v>2</v>
      </c>
      <c r="CI270">
        <v>2</v>
      </c>
      <c r="CJ270">
        <v>2</v>
      </c>
      <c r="CK270">
        <v>2</v>
      </c>
      <c r="CL270">
        <v>2</v>
      </c>
      <c r="CM270">
        <v>2</v>
      </c>
      <c r="CN270">
        <v>2</v>
      </c>
      <c r="CO270">
        <v>2</v>
      </c>
      <c r="CP270">
        <v>2</v>
      </c>
      <c r="CQ270">
        <v>2</v>
      </c>
      <c r="CR270">
        <v>2</v>
      </c>
      <c r="CS270">
        <v>2</v>
      </c>
      <c r="CT270">
        <v>2</v>
      </c>
      <c r="CU270">
        <v>2</v>
      </c>
      <c r="CV270">
        <v>2</v>
      </c>
      <c r="CW270">
        <v>2</v>
      </c>
      <c r="CX270">
        <v>2</v>
      </c>
      <c r="CY270">
        <v>2</v>
      </c>
      <c r="CZ270">
        <v>2</v>
      </c>
      <c r="DA270">
        <v>2</v>
      </c>
      <c r="DB270">
        <v>2</v>
      </c>
      <c r="DC270">
        <v>2</v>
      </c>
    </row>
    <row r="271" spans="1:107" x14ac:dyDescent="0.25">
      <c r="A271" t="s">
        <v>2947</v>
      </c>
      <c r="B271" t="s">
        <v>37</v>
      </c>
      <c r="C271">
        <v>18.220800000000001</v>
      </c>
      <c r="D271">
        <v>-66.590100000000007</v>
      </c>
      <c r="E271">
        <v>2933408</v>
      </c>
      <c r="F271">
        <v>0</v>
      </c>
      <c r="G271">
        <v>0</v>
      </c>
      <c r="H271">
        <v>0</v>
      </c>
      <c r="I271">
        <v>0</v>
      </c>
      <c r="J271">
        <v>0</v>
      </c>
      <c r="K271">
        <v>0</v>
      </c>
      <c r="L271">
        <v>0</v>
      </c>
      <c r="M271">
        <v>0</v>
      </c>
      <c r="N271">
        <v>0</v>
      </c>
      <c r="O271">
        <v>0</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0</v>
      </c>
      <c r="BH271">
        <v>0</v>
      </c>
      <c r="BI271">
        <v>0</v>
      </c>
      <c r="BJ271">
        <v>0</v>
      </c>
      <c r="BK271">
        <v>0</v>
      </c>
      <c r="BL271">
        <v>0</v>
      </c>
      <c r="BM271">
        <v>1</v>
      </c>
      <c r="BN271">
        <v>1</v>
      </c>
      <c r="BO271">
        <v>2</v>
      </c>
      <c r="BP271">
        <v>2</v>
      </c>
      <c r="BQ271">
        <v>2</v>
      </c>
      <c r="BR271">
        <v>2</v>
      </c>
      <c r="BS271">
        <v>3</v>
      </c>
      <c r="BT271">
        <v>3</v>
      </c>
      <c r="BU271">
        <v>3</v>
      </c>
      <c r="BV271">
        <v>6</v>
      </c>
      <c r="BW271">
        <v>8</v>
      </c>
      <c r="BX271">
        <v>11</v>
      </c>
      <c r="BY271">
        <v>12</v>
      </c>
      <c r="BZ271">
        <v>15</v>
      </c>
      <c r="CA271">
        <v>18</v>
      </c>
      <c r="CB271">
        <v>20</v>
      </c>
      <c r="CC271">
        <v>21</v>
      </c>
      <c r="CD271">
        <v>23</v>
      </c>
      <c r="CE271">
        <v>24</v>
      </c>
      <c r="CF271">
        <v>33</v>
      </c>
      <c r="CG271">
        <v>39</v>
      </c>
      <c r="CH271">
        <v>42</v>
      </c>
      <c r="CI271">
        <v>44</v>
      </c>
      <c r="CJ271">
        <v>45</v>
      </c>
      <c r="CK271">
        <v>45</v>
      </c>
      <c r="CL271">
        <v>51</v>
      </c>
      <c r="CM271">
        <v>56</v>
      </c>
      <c r="CN271">
        <v>58</v>
      </c>
      <c r="CO271">
        <v>60</v>
      </c>
      <c r="CP271">
        <v>62</v>
      </c>
      <c r="CQ271">
        <v>63</v>
      </c>
      <c r="CR271">
        <v>64</v>
      </c>
      <c r="CS271">
        <v>63</v>
      </c>
      <c r="CT271">
        <v>69</v>
      </c>
      <c r="CU271">
        <v>77</v>
      </c>
      <c r="CV271">
        <v>83</v>
      </c>
      <c r="CW271">
        <v>84</v>
      </c>
      <c r="CX271">
        <v>84</v>
      </c>
      <c r="CY271">
        <v>86</v>
      </c>
      <c r="CZ271">
        <v>86</v>
      </c>
      <c r="DA271">
        <v>92</v>
      </c>
      <c r="DB271">
        <v>94</v>
      </c>
      <c r="DC271">
        <v>95</v>
      </c>
    </row>
    <row r="272" spans="1:107" x14ac:dyDescent="0.25">
      <c r="A272" t="s">
        <v>2948</v>
      </c>
      <c r="B272" t="s">
        <v>37</v>
      </c>
      <c r="C272">
        <v>18.335799999999999</v>
      </c>
      <c r="D272">
        <v>-64.896299999999997</v>
      </c>
      <c r="E272">
        <v>107268</v>
      </c>
      <c r="F272">
        <v>0</v>
      </c>
      <c r="G272">
        <v>0</v>
      </c>
      <c r="H272">
        <v>0</v>
      </c>
      <c r="I272">
        <v>0</v>
      </c>
      <c r="J272">
        <v>0</v>
      </c>
      <c r="K272">
        <v>0</v>
      </c>
      <c r="L272">
        <v>0</v>
      </c>
      <c r="M272">
        <v>0</v>
      </c>
      <c r="N272">
        <v>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0</v>
      </c>
      <c r="BL272">
        <v>0</v>
      </c>
      <c r="BM272">
        <v>0</v>
      </c>
      <c r="BN272">
        <v>0</v>
      </c>
      <c r="BO272">
        <v>0</v>
      </c>
      <c r="BP272">
        <v>0</v>
      </c>
      <c r="BQ272">
        <v>0</v>
      </c>
      <c r="BR272">
        <v>0</v>
      </c>
      <c r="BS272">
        <v>0</v>
      </c>
      <c r="BT272">
        <v>0</v>
      </c>
      <c r="BU272">
        <v>0</v>
      </c>
      <c r="BV272">
        <v>0</v>
      </c>
      <c r="BW272">
        <v>0</v>
      </c>
      <c r="BX272">
        <v>0</v>
      </c>
      <c r="BY272">
        <v>0</v>
      </c>
      <c r="BZ272">
        <v>0</v>
      </c>
      <c r="CA272">
        <v>0</v>
      </c>
      <c r="CB272">
        <v>1</v>
      </c>
      <c r="CC272">
        <v>1</v>
      </c>
      <c r="CD272">
        <v>1</v>
      </c>
      <c r="CE272">
        <v>1</v>
      </c>
      <c r="CF272">
        <v>1</v>
      </c>
      <c r="CG272">
        <v>1</v>
      </c>
      <c r="CH272">
        <v>1</v>
      </c>
      <c r="CI272">
        <v>1</v>
      </c>
      <c r="CJ272">
        <v>1</v>
      </c>
      <c r="CK272">
        <v>1</v>
      </c>
      <c r="CL272">
        <v>1</v>
      </c>
      <c r="CM272">
        <v>1</v>
      </c>
      <c r="CN272">
        <v>2</v>
      </c>
      <c r="CO272">
        <v>3</v>
      </c>
      <c r="CP272">
        <v>3</v>
      </c>
      <c r="CQ272">
        <v>3</v>
      </c>
      <c r="CR272">
        <v>3</v>
      </c>
      <c r="CS272">
        <v>3</v>
      </c>
      <c r="CT272">
        <v>3</v>
      </c>
      <c r="CU272">
        <v>3</v>
      </c>
      <c r="CV272">
        <v>3</v>
      </c>
      <c r="CW272">
        <v>4</v>
      </c>
      <c r="CX272">
        <v>4</v>
      </c>
      <c r="CY272">
        <v>4</v>
      </c>
      <c r="CZ272">
        <v>4</v>
      </c>
      <c r="DA272">
        <v>4</v>
      </c>
      <c r="DB272">
        <v>4</v>
      </c>
      <c r="DC272">
        <v>4</v>
      </c>
    </row>
    <row r="273" spans="1:107" x14ac:dyDescent="0.25">
      <c r="A273" t="s">
        <v>2949</v>
      </c>
      <c r="B273" t="s">
        <v>37</v>
      </c>
      <c r="C273">
        <v>2203.24678369</v>
      </c>
      <c r="D273">
        <v>-5809.5781992500024</v>
      </c>
      <c r="E273">
        <v>4903185</v>
      </c>
      <c r="F273">
        <v>0</v>
      </c>
      <c r="G273">
        <v>0</v>
      </c>
      <c r="H273">
        <v>0</v>
      </c>
      <c r="I273">
        <v>0</v>
      </c>
      <c r="J273">
        <v>0</v>
      </c>
      <c r="K273">
        <v>0</v>
      </c>
      <c r="L273">
        <v>0</v>
      </c>
      <c r="M273">
        <v>0</v>
      </c>
      <c r="N273">
        <v>0</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0</v>
      </c>
      <c r="BD273">
        <v>0</v>
      </c>
      <c r="BE273">
        <v>0</v>
      </c>
      <c r="BF273">
        <v>0</v>
      </c>
      <c r="BG273">
        <v>0</v>
      </c>
      <c r="BH273">
        <v>0</v>
      </c>
      <c r="BI273">
        <v>0</v>
      </c>
      <c r="BJ273">
        <v>0</v>
      </c>
      <c r="BK273">
        <v>0</v>
      </c>
      <c r="BL273">
        <v>0</v>
      </c>
      <c r="BM273">
        <v>0</v>
      </c>
      <c r="BN273">
        <v>0</v>
      </c>
      <c r="BO273">
        <v>0</v>
      </c>
      <c r="BP273">
        <v>0</v>
      </c>
      <c r="BQ273">
        <v>1</v>
      </c>
      <c r="BR273">
        <v>1</v>
      </c>
      <c r="BS273">
        <v>4</v>
      </c>
      <c r="BT273">
        <v>4</v>
      </c>
      <c r="BU273">
        <v>10</v>
      </c>
      <c r="BV273">
        <v>10</v>
      </c>
      <c r="BW273">
        <v>23</v>
      </c>
      <c r="BX273">
        <v>27</v>
      </c>
      <c r="BY273">
        <v>32</v>
      </c>
      <c r="BZ273">
        <v>38</v>
      </c>
      <c r="CA273">
        <v>44</v>
      </c>
      <c r="CB273">
        <v>45</v>
      </c>
      <c r="CC273">
        <v>49</v>
      </c>
      <c r="CD273">
        <v>64</v>
      </c>
      <c r="CE273">
        <v>66</v>
      </c>
      <c r="CF273">
        <v>70</v>
      </c>
      <c r="CG273">
        <v>80</v>
      </c>
      <c r="CH273">
        <v>92</v>
      </c>
      <c r="CI273">
        <v>93</v>
      </c>
      <c r="CJ273">
        <v>99</v>
      </c>
      <c r="CK273">
        <v>114</v>
      </c>
      <c r="CL273">
        <v>118</v>
      </c>
      <c r="CM273">
        <v>133</v>
      </c>
      <c r="CN273">
        <v>148</v>
      </c>
      <c r="CO273">
        <v>153</v>
      </c>
      <c r="CP273">
        <v>157</v>
      </c>
      <c r="CQ273">
        <v>163</v>
      </c>
      <c r="CR273">
        <v>183</v>
      </c>
      <c r="CS273">
        <v>196</v>
      </c>
      <c r="CT273">
        <v>202</v>
      </c>
      <c r="CU273">
        <v>209</v>
      </c>
      <c r="CV273">
        <v>209</v>
      </c>
      <c r="CW273">
        <v>219</v>
      </c>
      <c r="CX273">
        <v>228</v>
      </c>
      <c r="CY273">
        <v>242</v>
      </c>
      <c r="CZ273">
        <v>256</v>
      </c>
      <c r="DA273">
        <v>272</v>
      </c>
      <c r="DB273">
        <v>289</v>
      </c>
      <c r="DC273">
        <v>288</v>
      </c>
    </row>
    <row r="274" spans="1:107" x14ac:dyDescent="0.25">
      <c r="A274" t="s">
        <v>2950</v>
      </c>
      <c r="B274" t="s">
        <v>37</v>
      </c>
      <c r="C274">
        <v>1747.5798765500003</v>
      </c>
      <c r="D274">
        <v>-4229.3193343000003</v>
      </c>
      <c r="E274">
        <v>731545</v>
      </c>
      <c r="F274">
        <v>0</v>
      </c>
      <c r="G274">
        <v>0</v>
      </c>
      <c r="H274">
        <v>0</v>
      </c>
      <c r="I274">
        <v>0</v>
      </c>
      <c r="J274">
        <v>0</v>
      </c>
      <c r="K274">
        <v>0</v>
      </c>
      <c r="L274">
        <v>0</v>
      </c>
      <c r="M274">
        <v>0</v>
      </c>
      <c r="N274">
        <v>0</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0</v>
      </c>
      <c r="BD274">
        <v>0</v>
      </c>
      <c r="BE274">
        <v>0</v>
      </c>
      <c r="BF274">
        <v>0</v>
      </c>
      <c r="BG274">
        <v>0</v>
      </c>
      <c r="BH274">
        <v>0</v>
      </c>
      <c r="BI274">
        <v>0</v>
      </c>
      <c r="BJ274">
        <v>0</v>
      </c>
      <c r="BK274">
        <v>0</v>
      </c>
      <c r="BL274">
        <v>0</v>
      </c>
      <c r="BM274">
        <v>0</v>
      </c>
      <c r="BN274">
        <v>0</v>
      </c>
      <c r="BO274">
        <v>0</v>
      </c>
      <c r="BP274">
        <v>0</v>
      </c>
      <c r="BQ274">
        <v>1</v>
      </c>
      <c r="BR274">
        <v>1</v>
      </c>
      <c r="BS274">
        <v>1</v>
      </c>
      <c r="BT274">
        <v>2</v>
      </c>
      <c r="BU274">
        <v>2</v>
      </c>
      <c r="BV274">
        <v>3</v>
      </c>
      <c r="BW274">
        <v>3</v>
      </c>
      <c r="BX274">
        <v>3</v>
      </c>
      <c r="BY274">
        <v>3</v>
      </c>
      <c r="BZ274">
        <v>3</v>
      </c>
      <c r="CA274">
        <v>5</v>
      </c>
      <c r="CB274">
        <v>6</v>
      </c>
      <c r="CC274">
        <v>6</v>
      </c>
      <c r="CD274">
        <v>6</v>
      </c>
      <c r="CE274">
        <v>7</v>
      </c>
      <c r="CF274">
        <v>7</v>
      </c>
      <c r="CG274">
        <v>7</v>
      </c>
      <c r="CH274">
        <v>8</v>
      </c>
      <c r="CI274">
        <v>8</v>
      </c>
      <c r="CJ274">
        <v>8</v>
      </c>
      <c r="CK274">
        <v>9</v>
      </c>
      <c r="CL274">
        <v>9</v>
      </c>
      <c r="CM274">
        <v>9</v>
      </c>
      <c r="CN274">
        <v>9</v>
      </c>
      <c r="CO274">
        <v>9</v>
      </c>
      <c r="CP274">
        <v>9</v>
      </c>
      <c r="CQ274">
        <v>9</v>
      </c>
      <c r="CR274">
        <v>9</v>
      </c>
      <c r="CS274">
        <v>9</v>
      </c>
      <c r="CT274">
        <v>9</v>
      </c>
      <c r="CU274">
        <v>9</v>
      </c>
      <c r="CV274">
        <v>9</v>
      </c>
      <c r="CW274">
        <v>9</v>
      </c>
      <c r="CX274">
        <v>9</v>
      </c>
      <c r="CY274">
        <v>9</v>
      </c>
      <c r="CZ274">
        <v>9</v>
      </c>
      <c r="DA274">
        <v>9</v>
      </c>
      <c r="DB274">
        <v>9</v>
      </c>
      <c r="DC274">
        <v>9</v>
      </c>
    </row>
    <row r="275" spans="1:107" x14ac:dyDescent="0.25">
      <c r="A275" t="s">
        <v>2951</v>
      </c>
      <c r="B275" t="s">
        <v>37</v>
      </c>
      <c r="C275">
        <v>505.13855462999999</v>
      </c>
      <c r="D275">
        <v>-1671.9484818999999</v>
      </c>
      <c r="E275">
        <v>7278717</v>
      </c>
      <c r="F275">
        <v>0</v>
      </c>
      <c r="G275">
        <v>0</v>
      </c>
      <c r="H275">
        <v>0</v>
      </c>
      <c r="I275">
        <v>0</v>
      </c>
      <c r="J275">
        <v>0</v>
      </c>
      <c r="K275">
        <v>0</v>
      </c>
      <c r="L275">
        <v>0</v>
      </c>
      <c r="M275">
        <v>0</v>
      </c>
      <c r="N275">
        <v>0</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0</v>
      </c>
      <c r="AN275">
        <v>0</v>
      </c>
      <c r="AO275">
        <v>0</v>
      </c>
      <c r="AP275">
        <v>0</v>
      </c>
      <c r="AQ275">
        <v>0</v>
      </c>
      <c r="AR275">
        <v>0</v>
      </c>
      <c r="AS275">
        <v>0</v>
      </c>
      <c r="AT275">
        <v>0</v>
      </c>
      <c r="AU275">
        <v>0</v>
      </c>
      <c r="AV275">
        <v>0</v>
      </c>
      <c r="AW275">
        <v>0</v>
      </c>
      <c r="AX275">
        <v>0</v>
      </c>
      <c r="AY275">
        <v>0</v>
      </c>
      <c r="AZ275">
        <v>0</v>
      </c>
      <c r="BA275">
        <v>0</v>
      </c>
      <c r="BB275">
        <v>0</v>
      </c>
      <c r="BC275">
        <v>0</v>
      </c>
      <c r="BD275">
        <v>0</v>
      </c>
      <c r="BE275">
        <v>0</v>
      </c>
      <c r="BF275">
        <v>0</v>
      </c>
      <c r="BG275">
        <v>0</v>
      </c>
      <c r="BH275">
        <v>0</v>
      </c>
      <c r="BI275">
        <v>0</v>
      </c>
      <c r="BJ275">
        <v>0</v>
      </c>
      <c r="BK275">
        <v>0</v>
      </c>
      <c r="BL275">
        <v>0</v>
      </c>
      <c r="BM275">
        <v>1</v>
      </c>
      <c r="BN275">
        <v>2</v>
      </c>
      <c r="BO275">
        <v>2</v>
      </c>
      <c r="BP275">
        <v>5</v>
      </c>
      <c r="BQ275">
        <v>6</v>
      </c>
      <c r="BR275">
        <v>8</v>
      </c>
      <c r="BS275">
        <v>13</v>
      </c>
      <c r="BT275">
        <v>15</v>
      </c>
      <c r="BU275">
        <v>17</v>
      </c>
      <c r="BV275">
        <v>20</v>
      </c>
      <c r="BW275">
        <v>25</v>
      </c>
      <c r="BX275">
        <v>32</v>
      </c>
      <c r="BY275">
        <v>35</v>
      </c>
      <c r="BZ275">
        <v>44</v>
      </c>
      <c r="CA275">
        <v>52</v>
      </c>
      <c r="CB275">
        <v>64</v>
      </c>
      <c r="CC275">
        <v>65</v>
      </c>
      <c r="CD275">
        <v>73</v>
      </c>
      <c r="CE275">
        <v>89</v>
      </c>
      <c r="CF275">
        <v>98</v>
      </c>
      <c r="CG275">
        <v>106</v>
      </c>
      <c r="CH275">
        <v>117</v>
      </c>
      <c r="CI275">
        <v>125</v>
      </c>
      <c r="CJ275">
        <v>132</v>
      </c>
      <c r="CK275">
        <v>143</v>
      </c>
      <c r="CL275">
        <v>155</v>
      </c>
      <c r="CM275">
        <v>164</v>
      </c>
      <c r="CN275">
        <v>183</v>
      </c>
      <c r="CO275">
        <v>180</v>
      </c>
      <c r="CP275">
        <v>184</v>
      </c>
      <c r="CQ275">
        <v>191</v>
      </c>
      <c r="CR275">
        <v>208</v>
      </c>
      <c r="CS275">
        <v>231</v>
      </c>
      <c r="CT275">
        <v>249</v>
      </c>
      <c r="CU275">
        <v>266</v>
      </c>
      <c r="CV275">
        <v>273</v>
      </c>
      <c r="CW275">
        <v>275</v>
      </c>
      <c r="CX275">
        <v>275</v>
      </c>
      <c r="CY275">
        <v>275</v>
      </c>
      <c r="CZ275">
        <v>308</v>
      </c>
      <c r="DA275">
        <v>320</v>
      </c>
      <c r="DB275">
        <v>330</v>
      </c>
      <c r="DC275">
        <v>330</v>
      </c>
    </row>
    <row r="276" spans="1:107" x14ac:dyDescent="0.25">
      <c r="A276" t="s">
        <v>2952</v>
      </c>
      <c r="B276" t="s">
        <v>37</v>
      </c>
      <c r="C276">
        <v>2618.39170427</v>
      </c>
      <c r="D276">
        <v>-6932.5483701299991</v>
      </c>
      <c r="E276">
        <v>3017804</v>
      </c>
      <c r="F276">
        <v>0</v>
      </c>
      <c r="G276">
        <v>0</v>
      </c>
      <c r="H276">
        <v>0</v>
      </c>
      <c r="I276">
        <v>0</v>
      </c>
      <c r="J276">
        <v>0</v>
      </c>
      <c r="K276">
        <v>0</v>
      </c>
      <c r="L276">
        <v>0</v>
      </c>
      <c r="M276">
        <v>0</v>
      </c>
      <c r="N276">
        <v>0</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v>0</v>
      </c>
      <c r="BK276">
        <v>0</v>
      </c>
      <c r="BL276">
        <v>0</v>
      </c>
      <c r="BM276">
        <v>0</v>
      </c>
      <c r="BN276">
        <v>0</v>
      </c>
      <c r="BO276">
        <v>0</v>
      </c>
      <c r="BP276">
        <v>2</v>
      </c>
      <c r="BQ276">
        <v>2</v>
      </c>
      <c r="BR276">
        <v>2</v>
      </c>
      <c r="BS276">
        <v>3</v>
      </c>
      <c r="BT276">
        <v>5</v>
      </c>
      <c r="BU276">
        <v>6</v>
      </c>
      <c r="BV276">
        <v>7</v>
      </c>
      <c r="BW276">
        <v>8</v>
      </c>
      <c r="BX276">
        <v>10</v>
      </c>
      <c r="BY276">
        <v>12</v>
      </c>
      <c r="BZ276">
        <v>12</v>
      </c>
      <c r="CA276">
        <v>14</v>
      </c>
      <c r="CB276">
        <v>16</v>
      </c>
      <c r="CC276">
        <v>16</v>
      </c>
      <c r="CD276">
        <v>18</v>
      </c>
      <c r="CE276">
        <v>18</v>
      </c>
      <c r="CF276">
        <v>21</v>
      </c>
      <c r="CG276">
        <v>21</v>
      </c>
      <c r="CH276">
        <v>25</v>
      </c>
      <c r="CI276">
        <v>27</v>
      </c>
      <c r="CJ276">
        <v>29</v>
      </c>
      <c r="CK276">
        <v>32</v>
      </c>
      <c r="CL276">
        <v>33</v>
      </c>
      <c r="CM276">
        <v>37</v>
      </c>
      <c r="CN276">
        <v>37</v>
      </c>
      <c r="CO276">
        <v>38</v>
      </c>
      <c r="CP276">
        <v>39</v>
      </c>
      <c r="CQ276">
        <v>41</v>
      </c>
      <c r="CR276">
        <v>42</v>
      </c>
      <c r="CS276">
        <v>42</v>
      </c>
      <c r="CT276">
        <v>45</v>
      </c>
      <c r="CU276">
        <v>47</v>
      </c>
      <c r="CV276">
        <v>48</v>
      </c>
      <c r="CW276">
        <v>51</v>
      </c>
      <c r="CX276">
        <v>51</v>
      </c>
      <c r="CY276">
        <v>57</v>
      </c>
      <c r="CZ276">
        <v>57</v>
      </c>
      <c r="DA276">
        <v>61</v>
      </c>
      <c r="DB276">
        <v>64</v>
      </c>
      <c r="DC276">
        <v>72</v>
      </c>
    </row>
    <row r="277" spans="1:107" x14ac:dyDescent="0.25">
      <c r="A277" t="s">
        <v>2953</v>
      </c>
      <c r="B277" t="s">
        <v>37</v>
      </c>
      <c r="C277">
        <v>2194.9497754700001</v>
      </c>
      <c r="D277">
        <v>-7002.2584614999987</v>
      </c>
      <c r="E277">
        <v>39512223</v>
      </c>
      <c r="F277">
        <v>0</v>
      </c>
      <c r="G277">
        <v>0</v>
      </c>
      <c r="H277">
        <v>0</v>
      </c>
      <c r="I277">
        <v>0</v>
      </c>
      <c r="J277">
        <v>0</v>
      </c>
      <c r="K277">
        <v>0</v>
      </c>
      <c r="L277">
        <v>0</v>
      </c>
      <c r="M277">
        <v>0</v>
      </c>
      <c r="N277">
        <v>0</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0</v>
      </c>
      <c r="AN277">
        <v>0</v>
      </c>
      <c r="AO277">
        <v>0</v>
      </c>
      <c r="AP277">
        <v>0</v>
      </c>
      <c r="AQ277">
        <v>0</v>
      </c>
      <c r="AR277">
        <v>0</v>
      </c>
      <c r="AS277">
        <v>0</v>
      </c>
      <c r="AT277">
        <v>0</v>
      </c>
      <c r="AU277">
        <v>0</v>
      </c>
      <c r="AV277">
        <v>1</v>
      </c>
      <c r="AW277">
        <v>1</v>
      </c>
      <c r="AX277">
        <v>1</v>
      </c>
      <c r="AY277">
        <v>1</v>
      </c>
      <c r="AZ277">
        <v>1</v>
      </c>
      <c r="BA277">
        <v>1</v>
      </c>
      <c r="BB277">
        <v>2</v>
      </c>
      <c r="BC277">
        <v>4</v>
      </c>
      <c r="BD277">
        <v>4</v>
      </c>
      <c r="BE277">
        <v>4</v>
      </c>
      <c r="BF277">
        <v>3</v>
      </c>
      <c r="BG277">
        <v>5</v>
      </c>
      <c r="BH277">
        <v>7</v>
      </c>
      <c r="BI277">
        <v>12</v>
      </c>
      <c r="BJ277">
        <v>16</v>
      </c>
      <c r="BK277">
        <v>18</v>
      </c>
      <c r="BL277">
        <v>24</v>
      </c>
      <c r="BM277">
        <v>25</v>
      </c>
      <c r="BN277">
        <v>30</v>
      </c>
      <c r="BO277">
        <v>39</v>
      </c>
      <c r="BP277">
        <v>50</v>
      </c>
      <c r="BQ277">
        <v>65</v>
      </c>
      <c r="BR277">
        <v>81</v>
      </c>
      <c r="BS277">
        <v>94</v>
      </c>
      <c r="BT277">
        <v>110</v>
      </c>
      <c r="BU277">
        <v>124</v>
      </c>
      <c r="BV277">
        <v>146</v>
      </c>
      <c r="BW277">
        <v>173</v>
      </c>
      <c r="BX277">
        <v>199</v>
      </c>
      <c r="BY277">
        <v>238</v>
      </c>
      <c r="BZ277">
        <v>265</v>
      </c>
      <c r="CA277">
        <v>289</v>
      </c>
      <c r="CB277">
        <v>348</v>
      </c>
      <c r="CC277">
        <v>380</v>
      </c>
      <c r="CD277">
        <v>432</v>
      </c>
      <c r="CE277">
        <v>495</v>
      </c>
      <c r="CF277">
        <v>544</v>
      </c>
      <c r="CG277">
        <v>583</v>
      </c>
      <c r="CH277">
        <v>604</v>
      </c>
      <c r="CI277">
        <v>640</v>
      </c>
      <c r="CJ277">
        <v>714</v>
      </c>
      <c r="CK277">
        <v>767</v>
      </c>
      <c r="CL277">
        <v>860</v>
      </c>
      <c r="CM277">
        <v>956</v>
      </c>
      <c r="CN277">
        <v>1037</v>
      </c>
      <c r="CO277">
        <v>1140</v>
      </c>
      <c r="CP277">
        <v>1177</v>
      </c>
      <c r="CQ277">
        <v>1225</v>
      </c>
      <c r="CR277">
        <v>1282</v>
      </c>
      <c r="CS277">
        <v>1421</v>
      </c>
      <c r="CT277">
        <v>1533</v>
      </c>
      <c r="CU277">
        <v>1621</v>
      </c>
      <c r="CV277">
        <v>1689</v>
      </c>
      <c r="CW277">
        <v>1725</v>
      </c>
      <c r="CX277">
        <v>1779</v>
      </c>
      <c r="CY277">
        <v>1864</v>
      </c>
      <c r="CZ277">
        <v>1946</v>
      </c>
      <c r="DA277">
        <v>2031</v>
      </c>
      <c r="DB277">
        <v>2126</v>
      </c>
      <c r="DC277">
        <v>2180</v>
      </c>
    </row>
    <row r="278" spans="1:107" x14ac:dyDescent="0.25">
      <c r="A278" t="s">
        <v>2954</v>
      </c>
      <c r="B278" t="s">
        <v>37</v>
      </c>
      <c r="C278">
        <v>2491.870365929999</v>
      </c>
      <c r="D278">
        <v>-6751.1193573999981</v>
      </c>
      <c r="E278">
        <v>5758736</v>
      </c>
      <c r="F278">
        <v>0</v>
      </c>
      <c r="G278">
        <v>0</v>
      </c>
      <c r="H278">
        <v>0</v>
      </c>
      <c r="I278">
        <v>0</v>
      </c>
      <c r="J278">
        <v>0</v>
      </c>
      <c r="K278">
        <v>0</v>
      </c>
      <c r="L278">
        <v>0</v>
      </c>
      <c r="M278">
        <v>0</v>
      </c>
      <c r="N278">
        <v>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v>0</v>
      </c>
      <c r="AX278">
        <v>0</v>
      </c>
      <c r="AY278">
        <v>0</v>
      </c>
      <c r="AZ278">
        <v>0</v>
      </c>
      <c r="BA278">
        <v>0</v>
      </c>
      <c r="BB278">
        <v>0</v>
      </c>
      <c r="BC278">
        <v>0</v>
      </c>
      <c r="BD278">
        <v>0</v>
      </c>
      <c r="BE278">
        <v>1</v>
      </c>
      <c r="BF278">
        <v>0</v>
      </c>
      <c r="BG278">
        <v>1</v>
      </c>
      <c r="BH278">
        <v>1</v>
      </c>
      <c r="BI278">
        <v>2</v>
      </c>
      <c r="BJ278">
        <v>2</v>
      </c>
      <c r="BK278">
        <v>4</v>
      </c>
      <c r="BL278">
        <v>4</v>
      </c>
      <c r="BM278">
        <v>6</v>
      </c>
      <c r="BN278">
        <v>6</v>
      </c>
      <c r="BO278">
        <v>7</v>
      </c>
      <c r="BP278">
        <v>8</v>
      </c>
      <c r="BQ278">
        <v>16</v>
      </c>
      <c r="BR278">
        <v>19</v>
      </c>
      <c r="BS278">
        <v>27</v>
      </c>
      <c r="BT278">
        <v>31</v>
      </c>
      <c r="BU278">
        <v>47</v>
      </c>
      <c r="BV278">
        <v>47</v>
      </c>
      <c r="BW278">
        <v>69</v>
      </c>
      <c r="BX278">
        <v>69</v>
      </c>
      <c r="BY278">
        <v>80</v>
      </c>
      <c r="BZ278">
        <v>97</v>
      </c>
      <c r="CA278">
        <v>111</v>
      </c>
      <c r="CB278">
        <v>140</v>
      </c>
      <c r="CC278">
        <v>150</v>
      </c>
      <c r="CD278">
        <v>179</v>
      </c>
      <c r="CE278">
        <v>193</v>
      </c>
      <c r="CF278">
        <v>193</v>
      </c>
      <c r="CG278">
        <v>226</v>
      </c>
      <c r="CH278">
        <v>250</v>
      </c>
      <c r="CI278">
        <v>289</v>
      </c>
      <c r="CJ278">
        <v>306</v>
      </c>
      <c r="CK278">
        <v>327</v>
      </c>
      <c r="CL278">
        <v>328</v>
      </c>
      <c r="CM278">
        <v>355</v>
      </c>
      <c r="CN278">
        <v>372</v>
      </c>
      <c r="CO278">
        <v>389</v>
      </c>
      <c r="CP278">
        <v>420</v>
      </c>
      <c r="CQ278">
        <v>420</v>
      </c>
      <c r="CR278">
        <v>483</v>
      </c>
      <c r="CS278">
        <v>506</v>
      </c>
      <c r="CT278">
        <v>552</v>
      </c>
      <c r="CU278">
        <v>674</v>
      </c>
      <c r="CV278">
        <v>684</v>
      </c>
      <c r="CW278">
        <v>688</v>
      </c>
      <c r="CX278">
        <v>706</v>
      </c>
      <c r="CY278">
        <v>736</v>
      </c>
      <c r="CZ278">
        <v>766</v>
      </c>
      <c r="DA278">
        <v>777</v>
      </c>
      <c r="DB278">
        <v>821</v>
      </c>
      <c r="DC278">
        <v>832</v>
      </c>
    </row>
    <row r="279" spans="1:107" x14ac:dyDescent="0.25">
      <c r="A279" t="s">
        <v>2955</v>
      </c>
      <c r="B279" t="s">
        <v>37</v>
      </c>
      <c r="C279">
        <v>332.90944112</v>
      </c>
      <c r="D279">
        <v>-581.25463743</v>
      </c>
      <c r="E279">
        <v>3565287</v>
      </c>
      <c r="F279">
        <v>0</v>
      </c>
      <c r="G279">
        <v>0</v>
      </c>
      <c r="H279">
        <v>0</v>
      </c>
      <c r="I279">
        <v>0</v>
      </c>
      <c r="J279">
        <v>0</v>
      </c>
      <c r="K279">
        <v>0</v>
      </c>
      <c r="L279">
        <v>0</v>
      </c>
      <c r="M279">
        <v>0</v>
      </c>
      <c r="N279">
        <v>0</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0</v>
      </c>
      <c r="BJ279">
        <v>1</v>
      </c>
      <c r="BK279">
        <v>3</v>
      </c>
      <c r="BL279">
        <v>4</v>
      </c>
      <c r="BM279">
        <v>4</v>
      </c>
      <c r="BN279">
        <v>8</v>
      </c>
      <c r="BO279">
        <v>10</v>
      </c>
      <c r="BP279">
        <v>12</v>
      </c>
      <c r="BQ279">
        <v>19</v>
      </c>
      <c r="BR279">
        <v>21</v>
      </c>
      <c r="BS279">
        <v>27</v>
      </c>
      <c r="BT279">
        <v>33</v>
      </c>
      <c r="BU279">
        <v>34</v>
      </c>
      <c r="BV279">
        <v>36</v>
      </c>
      <c r="BW279">
        <v>69</v>
      </c>
      <c r="BX279">
        <v>85</v>
      </c>
      <c r="BY279">
        <v>112</v>
      </c>
      <c r="BZ279">
        <v>131</v>
      </c>
      <c r="CA279">
        <v>165</v>
      </c>
      <c r="CB279">
        <v>189</v>
      </c>
      <c r="CC279">
        <v>206</v>
      </c>
      <c r="CD279">
        <v>277</v>
      </c>
      <c r="CE279">
        <v>326</v>
      </c>
      <c r="CF279">
        <v>380</v>
      </c>
      <c r="CG279">
        <v>448</v>
      </c>
      <c r="CH279">
        <v>494</v>
      </c>
      <c r="CI279">
        <v>554</v>
      </c>
      <c r="CJ279">
        <v>602</v>
      </c>
      <c r="CK279">
        <v>671</v>
      </c>
      <c r="CL279">
        <v>868</v>
      </c>
      <c r="CM279">
        <v>971</v>
      </c>
      <c r="CN279">
        <v>1036</v>
      </c>
      <c r="CO279">
        <v>1086</v>
      </c>
      <c r="CP279">
        <v>1127</v>
      </c>
      <c r="CQ279">
        <v>1331</v>
      </c>
      <c r="CR279">
        <v>1423</v>
      </c>
      <c r="CS279">
        <v>1544</v>
      </c>
      <c r="CT279">
        <v>1639</v>
      </c>
      <c r="CU279">
        <v>1767</v>
      </c>
      <c r="CV279">
        <v>1865</v>
      </c>
      <c r="CW279">
        <v>1924</v>
      </c>
      <c r="CX279">
        <v>2012</v>
      </c>
      <c r="CY279">
        <v>2087</v>
      </c>
      <c r="CZ279">
        <v>2169</v>
      </c>
      <c r="DA279">
        <v>2257</v>
      </c>
      <c r="DB279">
        <v>2339</v>
      </c>
      <c r="DC279">
        <v>2436</v>
      </c>
    </row>
    <row r="280" spans="1:107" x14ac:dyDescent="0.25">
      <c r="A280" t="s">
        <v>2956</v>
      </c>
      <c r="B280" t="s">
        <v>37</v>
      </c>
      <c r="C280">
        <v>117.32783047000001</v>
      </c>
      <c r="D280">
        <v>-226.59971236999996</v>
      </c>
      <c r="E280">
        <v>973764</v>
      </c>
      <c r="F280">
        <v>0</v>
      </c>
      <c r="G280">
        <v>0</v>
      </c>
      <c r="H280">
        <v>0</v>
      </c>
      <c r="I280">
        <v>0</v>
      </c>
      <c r="J280">
        <v>0</v>
      </c>
      <c r="K280">
        <v>0</v>
      </c>
      <c r="L280">
        <v>0</v>
      </c>
      <c r="M280">
        <v>0</v>
      </c>
      <c r="N280">
        <v>0</v>
      </c>
      <c r="O280">
        <v>0</v>
      </c>
      <c r="P280">
        <v>0</v>
      </c>
      <c r="Q280">
        <v>0</v>
      </c>
      <c r="R280">
        <v>0</v>
      </c>
      <c r="S280">
        <v>0</v>
      </c>
      <c r="T280">
        <v>0</v>
      </c>
      <c r="U280">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0</v>
      </c>
      <c r="AW280">
        <v>0</v>
      </c>
      <c r="AX280">
        <v>0</v>
      </c>
      <c r="AY280">
        <v>0</v>
      </c>
      <c r="AZ280">
        <v>0</v>
      </c>
      <c r="BA280">
        <v>0</v>
      </c>
      <c r="BB280">
        <v>0</v>
      </c>
      <c r="BC280">
        <v>0</v>
      </c>
      <c r="BD280">
        <v>0</v>
      </c>
      <c r="BE280">
        <v>0</v>
      </c>
      <c r="BF280">
        <v>0</v>
      </c>
      <c r="BG280">
        <v>0</v>
      </c>
      <c r="BH280">
        <v>0</v>
      </c>
      <c r="BI280">
        <v>0</v>
      </c>
      <c r="BJ280">
        <v>0</v>
      </c>
      <c r="BK280">
        <v>0</v>
      </c>
      <c r="BL280">
        <v>0</v>
      </c>
      <c r="BM280">
        <v>0</v>
      </c>
      <c r="BN280">
        <v>0</v>
      </c>
      <c r="BO280">
        <v>0</v>
      </c>
      <c r="BP280">
        <v>0</v>
      </c>
      <c r="BQ280">
        <v>0</v>
      </c>
      <c r="BR280">
        <v>1</v>
      </c>
      <c r="BS280">
        <v>2</v>
      </c>
      <c r="BT280">
        <v>5</v>
      </c>
      <c r="BU280">
        <v>6</v>
      </c>
      <c r="BV280">
        <v>6</v>
      </c>
      <c r="BW280">
        <v>10</v>
      </c>
      <c r="BX280">
        <v>11</v>
      </c>
      <c r="BY280">
        <v>12</v>
      </c>
      <c r="BZ280">
        <v>14</v>
      </c>
      <c r="CA280">
        <v>14</v>
      </c>
      <c r="CB280">
        <v>14</v>
      </c>
      <c r="CC280">
        <v>15</v>
      </c>
      <c r="CD280">
        <v>16</v>
      </c>
      <c r="CE280">
        <v>19</v>
      </c>
      <c r="CF280">
        <v>23</v>
      </c>
      <c r="CG280">
        <v>32</v>
      </c>
      <c r="CH280">
        <v>33</v>
      </c>
      <c r="CI280">
        <v>35</v>
      </c>
      <c r="CJ280">
        <v>41</v>
      </c>
      <c r="CK280">
        <v>43</v>
      </c>
      <c r="CL280">
        <v>46</v>
      </c>
      <c r="CM280">
        <v>55</v>
      </c>
      <c r="CN280">
        <v>61</v>
      </c>
      <c r="CO280">
        <v>67</v>
      </c>
      <c r="CP280">
        <v>67</v>
      </c>
      <c r="CQ280">
        <v>72</v>
      </c>
      <c r="CR280">
        <v>82</v>
      </c>
      <c r="CS280">
        <v>89</v>
      </c>
      <c r="CT280">
        <v>92</v>
      </c>
      <c r="CU280">
        <v>100</v>
      </c>
      <c r="CV280">
        <v>112</v>
      </c>
      <c r="CW280">
        <v>120</v>
      </c>
      <c r="CX280">
        <v>125</v>
      </c>
      <c r="CY280">
        <v>137</v>
      </c>
      <c r="CZ280">
        <v>144</v>
      </c>
      <c r="DA280">
        <v>152</v>
      </c>
      <c r="DB280">
        <v>159</v>
      </c>
      <c r="DC280">
        <v>168</v>
      </c>
    </row>
    <row r="281" spans="1:107" x14ac:dyDescent="0.25">
      <c r="A281" t="s">
        <v>2957</v>
      </c>
      <c r="B281" t="s">
        <v>37</v>
      </c>
      <c r="C281">
        <v>38.904177730000001</v>
      </c>
      <c r="D281">
        <v>-77.016559920000006</v>
      </c>
      <c r="E281">
        <v>705749</v>
      </c>
      <c r="F281">
        <v>0</v>
      </c>
      <c r="G281">
        <v>0</v>
      </c>
      <c r="H281">
        <v>0</v>
      </c>
      <c r="I281">
        <v>0</v>
      </c>
      <c r="J281">
        <v>0</v>
      </c>
      <c r="K281">
        <v>0</v>
      </c>
      <c r="L281">
        <v>0</v>
      </c>
      <c r="M281">
        <v>0</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0</v>
      </c>
      <c r="BD281">
        <v>0</v>
      </c>
      <c r="BE281">
        <v>0</v>
      </c>
      <c r="BF281">
        <v>0</v>
      </c>
      <c r="BG281">
        <v>0</v>
      </c>
      <c r="BH281">
        <v>0</v>
      </c>
      <c r="BI281">
        <v>0</v>
      </c>
      <c r="BJ281">
        <v>0</v>
      </c>
      <c r="BK281">
        <v>0</v>
      </c>
      <c r="BL281">
        <v>1</v>
      </c>
      <c r="BM281">
        <v>0</v>
      </c>
      <c r="BN281">
        <v>2</v>
      </c>
      <c r="BO281">
        <v>2</v>
      </c>
      <c r="BP281">
        <v>2</v>
      </c>
      <c r="BQ281">
        <v>2</v>
      </c>
      <c r="BR281">
        <v>3</v>
      </c>
      <c r="BS281">
        <v>3</v>
      </c>
      <c r="BT281">
        <v>4</v>
      </c>
      <c r="BU281">
        <v>5</v>
      </c>
      <c r="BV281">
        <v>9</v>
      </c>
      <c r="BW281">
        <v>9</v>
      </c>
      <c r="BX281">
        <v>9</v>
      </c>
      <c r="BY281">
        <v>12</v>
      </c>
      <c r="BZ281">
        <v>15</v>
      </c>
      <c r="CA281">
        <v>21</v>
      </c>
      <c r="CB281">
        <v>22</v>
      </c>
      <c r="CC281">
        <v>24</v>
      </c>
      <c r="CD281">
        <v>22</v>
      </c>
      <c r="CE281">
        <v>27</v>
      </c>
      <c r="CF281">
        <v>32</v>
      </c>
      <c r="CG281">
        <v>38</v>
      </c>
      <c r="CH281">
        <v>47</v>
      </c>
      <c r="CI281">
        <v>50</v>
      </c>
      <c r="CJ281">
        <v>52</v>
      </c>
      <c r="CK281">
        <v>67</v>
      </c>
      <c r="CL281">
        <v>72</v>
      </c>
      <c r="CM281">
        <v>81</v>
      </c>
      <c r="CN281">
        <v>86</v>
      </c>
      <c r="CO281">
        <v>91</v>
      </c>
      <c r="CP281">
        <v>96</v>
      </c>
      <c r="CQ281">
        <v>105</v>
      </c>
      <c r="CR281">
        <v>112</v>
      </c>
      <c r="CS281">
        <v>127</v>
      </c>
      <c r="CT281">
        <v>139</v>
      </c>
      <c r="CU281">
        <v>153</v>
      </c>
      <c r="CV281">
        <v>165</v>
      </c>
      <c r="CW281">
        <v>178</v>
      </c>
      <c r="CX281">
        <v>185</v>
      </c>
      <c r="CY281">
        <v>190</v>
      </c>
      <c r="CZ281">
        <v>205</v>
      </c>
      <c r="DA281">
        <v>224</v>
      </c>
      <c r="DB281">
        <v>231</v>
      </c>
      <c r="DC281">
        <v>240</v>
      </c>
    </row>
    <row r="282" spans="1:107" x14ac:dyDescent="0.25">
      <c r="A282" t="s">
        <v>2958</v>
      </c>
      <c r="B282" t="s">
        <v>37</v>
      </c>
      <c r="C282">
        <v>1939.0305769000004</v>
      </c>
      <c r="D282">
        <v>-5540.9498419200008</v>
      </c>
      <c r="E282">
        <v>21477737</v>
      </c>
      <c r="F282">
        <v>0</v>
      </c>
      <c r="G282">
        <v>0</v>
      </c>
      <c r="H282">
        <v>0</v>
      </c>
      <c r="I282">
        <v>0</v>
      </c>
      <c r="J282">
        <v>0</v>
      </c>
      <c r="K282">
        <v>0</v>
      </c>
      <c r="L282">
        <v>0</v>
      </c>
      <c r="M282">
        <v>0</v>
      </c>
      <c r="N282">
        <v>0</v>
      </c>
      <c r="O282">
        <v>0</v>
      </c>
      <c r="P282">
        <v>0</v>
      </c>
      <c r="Q282">
        <v>0</v>
      </c>
      <c r="R282">
        <v>0</v>
      </c>
      <c r="S282">
        <v>0</v>
      </c>
      <c r="T282">
        <v>0</v>
      </c>
      <c r="U282">
        <v>0</v>
      </c>
      <c r="V282">
        <v>0</v>
      </c>
      <c r="W282">
        <v>0</v>
      </c>
      <c r="X282">
        <v>0</v>
      </c>
      <c r="Y282">
        <v>0</v>
      </c>
      <c r="Z282">
        <v>0</v>
      </c>
      <c r="AA282">
        <v>0</v>
      </c>
      <c r="AB282">
        <v>0</v>
      </c>
      <c r="AC282">
        <v>0</v>
      </c>
      <c r="AD282">
        <v>0</v>
      </c>
      <c r="AE282">
        <v>0</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2</v>
      </c>
      <c r="BA282">
        <v>2</v>
      </c>
      <c r="BB282">
        <v>2</v>
      </c>
      <c r="BC282">
        <v>2</v>
      </c>
      <c r="BD282">
        <v>2</v>
      </c>
      <c r="BE282">
        <v>2</v>
      </c>
      <c r="BF282">
        <v>2</v>
      </c>
      <c r="BG282">
        <v>3</v>
      </c>
      <c r="BH282">
        <v>3</v>
      </c>
      <c r="BI282">
        <v>5</v>
      </c>
      <c r="BJ282">
        <v>7</v>
      </c>
      <c r="BK282">
        <v>9</v>
      </c>
      <c r="BL282">
        <v>11</v>
      </c>
      <c r="BM282">
        <v>13</v>
      </c>
      <c r="BN282">
        <v>13</v>
      </c>
      <c r="BO282">
        <v>18</v>
      </c>
      <c r="BP282">
        <v>18</v>
      </c>
      <c r="BQ282">
        <v>23</v>
      </c>
      <c r="BR282">
        <v>29</v>
      </c>
      <c r="BS282">
        <v>35</v>
      </c>
      <c r="BT282">
        <v>54</v>
      </c>
      <c r="BU282">
        <v>56</v>
      </c>
      <c r="BV282">
        <v>63</v>
      </c>
      <c r="BW282">
        <v>85</v>
      </c>
      <c r="BX282">
        <v>87</v>
      </c>
      <c r="BY282">
        <v>164</v>
      </c>
      <c r="BZ282">
        <v>170</v>
      </c>
      <c r="CA282">
        <v>195</v>
      </c>
      <c r="CB282">
        <v>221</v>
      </c>
      <c r="CC282">
        <v>236</v>
      </c>
      <c r="CD282">
        <v>283</v>
      </c>
      <c r="CE282">
        <v>309</v>
      </c>
      <c r="CF282">
        <v>354</v>
      </c>
      <c r="CG282">
        <v>390</v>
      </c>
      <c r="CH282">
        <v>438</v>
      </c>
      <c r="CI282">
        <v>461</v>
      </c>
      <c r="CJ282">
        <v>499</v>
      </c>
      <c r="CK282">
        <v>571</v>
      </c>
      <c r="CL282">
        <v>596</v>
      </c>
      <c r="CM282">
        <v>668</v>
      </c>
      <c r="CN282">
        <v>725</v>
      </c>
      <c r="CO282">
        <v>748</v>
      </c>
      <c r="CP282">
        <v>774</v>
      </c>
      <c r="CQ282">
        <v>822</v>
      </c>
      <c r="CR282">
        <v>867</v>
      </c>
      <c r="CS282">
        <v>893</v>
      </c>
      <c r="CT282">
        <v>987</v>
      </c>
      <c r="CU282">
        <v>1046</v>
      </c>
      <c r="CV282">
        <v>1055</v>
      </c>
      <c r="CW282">
        <v>1075</v>
      </c>
      <c r="CX282">
        <v>1088</v>
      </c>
      <c r="CY282">
        <v>1171</v>
      </c>
      <c r="CZ282">
        <v>1218</v>
      </c>
      <c r="DA282">
        <v>1268</v>
      </c>
      <c r="DB282">
        <v>1314</v>
      </c>
      <c r="DC282">
        <v>1364</v>
      </c>
    </row>
    <row r="283" spans="1:107" x14ac:dyDescent="0.25">
      <c r="A283" t="s">
        <v>80</v>
      </c>
      <c r="B283" t="s">
        <v>37</v>
      </c>
      <c r="C283">
        <v>5216.5566110300015</v>
      </c>
      <c r="D283">
        <v>-13288.811358250005</v>
      </c>
      <c r="E283">
        <v>10617423</v>
      </c>
      <c r="F283">
        <v>0</v>
      </c>
      <c r="G283">
        <v>0</v>
      </c>
      <c r="H283">
        <v>0</v>
      </c>
      <c r="I283">
        <v>0</v>
      </c>
      <c r="J283">
        <v>0</v>
      </c>
      <c r="K283">
        <v>0</v>
      </c>
      <c r="L283">
        <v>0</v>
      </c>
      <c r="M283">
        <v>0</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c r="AP283">
        <v>0</v>
      </c>
      <c r="AQ283">
        <v>0</v>
      </c>
      <c r="AR283">
        <v>0</v>
      </c>
      <c r="AS283">
        <v>0</v>
      </c>
      <c r="AT283">
        <v>0</v>
      </c>
      <c r="AU283">
        <v>0</v>
      </c>
      <c r="AV283">
        <v>0</v>
      </c>
      <c r="AW283">
        <v>0</v>
      </c>
      <c r="AX283">
        <v>0</v>
      </c>
      <c r="AY283">
        <v>0</v>
      </c>
      <c r="AZ283">
        <v>0</v>
      </c>
      <c r="BA283">
        <v>0</v>
      </c>
      <c r="BB283">
        <v>0</v>
      </c>
      <c r="BC283">
        <v>0</v>
      </c>
      <c r="BD283">
        <v>1</v>
      </c>
      <c r="BE283">
        <v>1</v>
      </c>
      <c r="BF283">
        <v>1</v>
      </c>
      <c r="BG283">
        <v>1</v>
      </c>
      <c r="BH283">
        <v>1</v>
      </c>
      <c r="BI283">
        <v>1</v>
      </c>
      <c r="BJ283">
        <v>3</v>
      </c>
      <c r="BK283">
        <v>10</v>
      </c>
      <c r="BL283">
        <v>14</v>
      </c>
      <c r="BM283">
        <v>20</v>
      </c>
      <c r="BN283">
        <v>25</v>
      </c>
      <c r="BO283">
        <v>25</v>
      </c>
      <c r="BP283">
        <v>32</v>
      </c>
      <c r="BQ283">
        <v>40</v>
      </c>
      <c r="BR283">
        <v>48</v>
      </c>
      <c r="BS283">
        <v>64</v>
      </c>
      <c r="BT283">
        <v>69</v>
      </c>
      <c r="BU283">
        <v>80</v>
      </c>
      <c r="BV283">
        <v>87</v>
      </c>
      <c r="BW283">
        <v>111</v>
      </c>
      <c r="BX283">
        <v>139</v>
      </c>
      <c r="BY283">
        <v>163</v>
      </c>
      <c r="BZ283">
        <v>184</v>
      </c>
      <c r="CA283">
        <v>201</v>
      </c>
      <c r="CB283">
        <v>211</v>
      </c>
      <c r="CC283">
        <v>229</v>
      </c>
      <c r="CD283">
        <v>329</v>
      </c>
      <c r="CE283">
        <v>362</v>
      </c>
      <c r="CF283">
        <v>379</v>
      </c>
      <c r="CG283">
        <v>416</v>
      </c>
      <c r="CH283">
        <v>429</v>
      </c>
      <c r="CI283">
        <v>433</v>
      </c>
      <c r="CJ283">
        <v>465</v>
      </c>
      <c r="CK283">
        <v>525</v>
      </c>
      <c r="CL283">
        <v>552</v>
      </c>
      <c r="CM283">
        <v>587</v>
      </c>
      <c r="CN283">
        <v>650</v>
      </c>
      <c r="CO283">
        <v>673</v>
      </c>
      <c r="CP283">
        <v>687</v>
      </c>
      <c r="CQ283">
        <v>775</v>
      </c>
      <c r="CR283">
        <v>798</v>
      </c>
      <c r="CS283">
        <v>848</v>
      </c>
      <c r="CT283">
        <v>881</v>
      </c>
      <c r="CU283">
        <v>899</v>
      </c>
      <c r="CV283">
        <v>907</v>
      </c>
      <c r="CW283">
        <v>916</v>
      </c>
      <c r="CX283">
        <v>995</v>
      </c>
      <c r="CY283">
        <v>1036</v>
      </c>
      <c r="CZ283">
        <v>1101</v>
      </c>
      <c r="DA283">
        <v>1132</v>
      </c>
      <c r="DB283">
        <v>1169</v>
      </c>
      <c r="DC283">
        <v>1177</v>
      </c>
    </row>
    <row r="284" spans="1:107" x14ac:dyDescent="0.25">
      <c r="A284" t="s">
        <v>2959</v>
      </c>
      <c r="B284" t="s">
        <v>37</v>
      </c>
      <c r="C284">
        <v>105.14141503</v>
      </c>
      <c r="D284">
        <v>-786.61618239999996</v>
      </c>
      <c r="E284">
        <v>1415872</v>
      </c>
      <c r="F284">
        <v>0</v>
      </c>
      <c r="G284">
        <v>0</v>
      </c>
      <c r="H284">
        <v>0</v>
      </c>
      <c r="I284">
        <v>0</v>
      </c>
      <c r="J284">
        <v>0</v>
      </c>
      <c r="K284">
        <v>0</v>
      </c>
      <c r="L284">
        <v>0</v>
      </c>
      <c r="M284">
        <v>0</v>
      </c>
      <c r="N284">
        <v>0</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0</v>
      </c>
      <c r="AY284">
        <v>0</v>
      </c>
      <c r="AZ284">
        <v>0</v>
      </c>
      <c r="BA284">
        <v>0</v>
      </c>
      <c r="BB284">
        <v>0</v>
      </c>
      <c r="BC284">
        <v>0</v>
      </c>
      <c r="BD284">
        <v>0</v>
      </c>
      <c r="BE284">
        <v>0</v>
      </c>
      <c r="BF284">
        <v>0</v>
      </c>
      <c r="BG284">
        <v>0</v>
      </c>
      <c r="BH284">
        <v>0</v>
      </c>
      <c r="BI284">
        <v>0</v>
      </c>
      <c r="BJ284">
        <v>0</v>
      </c>
      <c r="BK284">
        <v>0</v>
      </c>
      <c r="BL284">
        <v>0</v>
      </c>
      <c r="BM284">
        <v>0</v>
      </c>
      <c r="BN284">
        <v>0</v>
      </c>
      <c r="BO284">
        <v>0</v>
      </c>
      <c r="BP284">
        <v>1</v>
      </c>
      <c r="BQ284">
        <v>0</v>
      </c>
      <c r="BR284">
        <v>0</v>
      </c>
      <c r="BS284">
        <v>0</v>
      </c>
      <c r="BT284">
        <v>0</v>
      </c>
      <c r="BU284">
        <v>0</v>
      </c>
      <c r="BV284">
        <v>0</v>
      </c>
      <c r="BW284">
        <v>0</v>
      </c>
      <c r="BX284">
        <v>1</v>
      </c>
      <c r="BY284">
        <v>1</v>
      </c>
      <c r="BZ284">
        <v>3</v>
      </c>
      <c r="CA284">
        <v>3</v>
      </c>
      <c r="CB284">
        <v>4</v>
      </c>
      <c r="CC284">
        <v>5</v>
      </c>
      <c r="CD284">
        <v>5</v>
      </c>
      <c r="CE284">
        <v>5</v>
      </c>
      <c r="CF284">
        <v>6</v>
      </c>
      <c r="CG284">
        <v>6</v>
      </c>
      <c r="CH284">
        <v>8</v>
      </c>
      <c r="CI284">
        <v>9</v>
      </c>
      <c r="CJ284">
        <v>9</v>
      </c>
      <c r="CK284">
        <v>9</v>
      </c>
      <c r="CL284">
        <v>9</v>
      </c>
      <c r="CM284">
        <v>9</v>
      </c>
      <c r="CN284">
        <v>9</v>
      </c>
      <c r="CO284">
        <v>9</v>
      </c>
      <c r="CP284">
        <v>10</v>
      </c>
      <c r="CQ284">
        <v>10</v>
      </c>
      <c r="CR284">
        <v>10</v>
      </c>
      <c r="CS284">
        <v>12</v>
      </c>
      <c r="CT284">
        <v>12</v>
      </c>
      <c r="CU284">
        <v>13</v>
      </c>
      <c r="CV284">
        <v>13</v>
      </c>
      <c r="CW284">
        <v>14</v>
      </c>
      <c r="CX284">
        <v>16</v>
      </c>
      <c r="CY284">
        <v>16</v>
      </c>
      <c r="CZ284">
        <v>16</v>
      </c>
      <c r="DA284">
        <v>16</v>
      </c>
      <c r="DB284">
        <v>16</v>
      </c>
      <c r="DC284">
        <v>16</v>
      </c>
    </row>
    <row r="285" spans="1:107" x14ac:dyDescent="0.25">
      <c r="A285" t="s">
        <v>2960</v>
      </c>
      <c r="B285" t="s">
        <v>37</v>
      </c>
      <c r="C285">
        <v>1947.5896553700004</v>
      </c>
      <c r="D285">
        <v>-5036.245496399999</v>
      </c>
      <c r="E285">
        <v>1787065</v>
      </c>
      <c r="F285">
        <v>0</v>
      </c>
      <c r="G285">
        <v>0</v>
      </c>
      <c r="H285">
        <v>0</v>
      </c>
      <c r="I285">
        <v>0</v>
      </c>
      <c r="J285">
        <v>0</v>
      </c>
      <c r="K285">
        <v>0</v>
      </c>
      <c r="L285">
        <v>0</v>
      </c>
      <c r="M285">
        <v>0</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0</v>
      </c>
      <c r="BD285">
        <v>0</v>
      </c>
      <c r="BE285">
        <v>0</v>
      </c>
      <c r="BF285">
        <v>0</v>
      </c>
      <c r="BG285">
        <v>0</v>
      </c>
      <c r="BH285">
        <v>0</v>
      </c>
      <c r="BI285">
        <v>0</v>
      </c>
      <c r="BJ285">
        <v>0</v>
      </c>
      <c r="BK285">
        <v>0</v>
      </c>
      <c r="BL285">
        <v>0</v>
      </c>
      <c r="BM285">
        <v>0</v>
      </c>
      <c r="BN285">
        <v>0</v>
      </c>
      <c r="BO285">
        <v>0</v>
      </c>
      <c r="BP285">
        <v>0</v>
      </c>
      <c r="BQ285">
        <v>0</v>
      </c>
      <c r="BR285">
        <v>3</v>
      </c>
      <c r="BS285">
        <v>3</v>
      </c>
      <c r="BT285">
        <v>4</v>
      </c>
      <c r="BU285">
        <v>5</v>
      </c>
      <c r="BV285">
        <v>6</v>
      </c>
      <c r="BW285">
        <v>8</v>
      </c>
      <c r="BX285">
        <v>9</v>
      </c>
      <c r="BY285">
        <v>9</v>
      </c>
      <c r="BZ285">
        <v>9</v>
      </c>
      <c r="CA285">
        <v>10</v>
      </c>
      <c r="CB285">
        <v>10</v>
      </c>
      <c r="CC285">
        <v>10</v>
      </c>
      <c r="CD285">
        <v>13</v>
      </c>
      <c r="CE285">
        <v>15</v>
      </c>
      <c r="CF285">
        <v>18</v>
      </c>
      <c r="CG285">
        <v>24</v>
      </c>
      <c r="CH285">
        <v>25</v>
      </c>
      <c r="CI285">
        <v>27</v>
      </c>
      <c r="CJ285">
        <v>27</v>
      </c>
      <c r="CK285">
        <v>33</v>
      </c>
      <c r="CL285">
        <v>39</v>
      </c>
      <c r="CM285">
        <v>41</v>
      </c>
      <c r="CN285">
        <v>41</v>
      </c>
      <c r="CO285">
        <v>43</v>
      </c>
      <c r="CP285">
        <v>44</v>
      </c>
      <c r="CQ285">
        <v>45</v>
      </c>
      <c r="CR285">
        <v>48</v>
      </c>
      <c r="CS285">
        <v>51</v>
      </c>
      <c r="CT285">
        <v>54</v>
      </c>
      <c r="CU285">
        <v>54</v>
      </c>
      <c r="CV285">
        <v>56</v>
      </c>
      <c r="CW285">
        <v>56</v>
      </c>
      <c r="CX285">
        <v>56</v>
      </c>
      <c r="CY285">
        <v>60</v>
      </c>
      <c r="CZ285">
        <v>60</v>
      </c>
      <c r="DA285">
        <v>60</v>
      </c>
      <c r="DB285">
        <v>63</v>
      </c>
      <c r="DC285">
        <v>64</v>
      </c>
    </row>
    <row r="286" spans="1:107" x14ac:dyDescent="0.25">
      <c r="A286" t="s">
        <v>2961</v>
      </c>
      <c r="B286" t="s">
        <v>37</v>
      </c>
      <c r="C286">
        <v>4064.0490055300002</v>
      </c>
      <c r="D286">
        <v>-9096.1896670999995</v>
      </c>
      <c r="E286">
        <v>12671821</v>
      </c>
      <c r="F286">
        <v>0</v>
      </c>
      <c r="G286">
        <v>0</v>
      </c>
      <c r="H286">
        <v>0</v>
      </c>
      <c r="I286">
        <v>0</v>
      </c>
      <c r="J286">
        <v>0</v>
      </c>
      <c r="K286">
        <v>0</v>
      </c>
      <c r="L286">
        <v>0</v>
      </c>
      <c r="M286">
        <v>0</v>
      </c>
      <c r="N286">
        <v>0</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0</v>
      </c>
      <c r="BD286">
        <v>0</v>
      </c>
      <c r="BE286">
        <v>0</v>
      </c>
      <c r="BF286">
        <v>0</v>
      </c>
      <c r="BG286">
        <v>0</v>
      </c>
      <c r="BH286">
        <v>0</v>
      </c>
      <c r="BI286">
        <v>1</v>
      </c>
      <c r="BJ286">
        <v>1</v>
      </c>
      <c r="BK286">
        <v>4</v>
      </c>
      <c r="BL286">
        <v>5</v>
      </c>
      <c r="BM286">
        <v>6</v>
      </c>
      <c r="BN286">
        <v>9</v>
      </c>
      <c r="BO286">
        <v>12</v>
      </c>
      <c r="BP286">
        <v>16</v>
      </c>
      <c r="BQ286">
        <v>19</v>
      </c>
      <c r="BR286">
        <v>26</v>
      </c>
      <c r="BS286">
        <v>34</v>
      </c>
      <c r="BT286">
        <v>47</v>
      </c>
      <c r="BU286">
        <v>66</v>
      </c>
      <c r="BV286">
        <v>73</v>
      </c>
      <c r="BW286">
        <v>99</v>
      </c>
      <c r="BX286">
        <v>141</v>
      </c>
      <c r="BY286">
        <v>163</v>
      </c>
      <c r="BZ286">
        <v>210</v>
      </c>
      <c r="CA286">
        <v>244</v>
      </c>
      <c r="CB286">
        <v>274</v>
      </c>
      <c r="CC286">
        <v>307</v>
      </c>
      <c r="CD286">
        <v>380</v>
      </c>
      <c r="CE286">
        <v>462</v>
      </c>
      <c r="CF286">
        <v>528</v>
      </c>
      <c r="CG286">
        <v>597</v>
      </c>
      <c r="CH286">
        <v>677</v>
      </c>
      <c r="CI286">
        <v>720</v>
      </c>
      <c r="CJ286">
        <v>798</v>
      </c>
      <c r="CK286">
        <v>868</v>
      </c>
      <c r="CL286">
        <v>949</v>
      </c>
      <c r="CM286">
        <v>1072</v>
      </c>
      <c r="CN286">
        <v>1132</v>
      </c>
      <c r="CO286">
        <v>1259</v>
      </c>
      <c r="CP286">
        <v>1290</v>
      </c>
      <c r="CQ286">
        <v>1349</v>
      </c>
      <c r="CR286">
        <v>1468</v>
      </c>
      <c r="CS286">
        <v>1565</v>
      </c>
      <c r="CT286">
        <v>1688</v>
      </c>
      <c r="CU286">
        <v>1795</v>
      </c>
      <c r="CV286">
        <v>1875</v>
      </c>
      <c r="CW286">
        <v>1933</v>
      </c>
      <c r="CX286">
        <v>1983</v>
      </c>
      <c r="CY286">
        <v>2125</v>
      </c>
      <c r="CZ286">
        <v>2215</v>
      </c>
      <c r="DA286">
        <v>2355</v>
      </c>
      <c r="DB286">
        <v>2457</v>
      </c>
      <c r="DC286">
        <v>2559</v>
      </c>
    </row>
    <row r="287" spans="1:107" x14ac:dyDescent="0.25">
      <c r="A287" t="s">
        <v>2962</v>
      </c>
      <c r="B287" t="s">
        <v>37</v>
      </c>
      <c r="C287">
        <v>3665.0364912399991</v>
      </c>
      <c r="D287">
        <v>-7932.1082973199955</v>
      </c>
      <c r="E287">
        <v>6732219</v>
      </c>
      <c r="F287">
        <v>0</v>
      </c>
      <c r="G287">
        <v>0</v>
      </c>
      <c r="H287">
        <v>0</v>
      </c>
      <c r="I287">
        <v>0</v>
      </c>
      <c r="J287">
        <v>0</v>
      </c>
      <c r="K287">
        <v>0</v>
      </c>
      <c r="L287">
        <v>0</v>
      </c>
      <c r="M287">
        <v>0</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v>0</v>
      </c>
      <c r="BB287">
        <v>0</v>
      </c>
      <c r="BC287">
        <v>0</v>
      </c>
      <c r="BD287">
        <v>0</v>
      </c>
      <c r="BE287">
        <v>0</v>
      </c>
      <c r="BF287">
        <v>0</v>
      </c>
      <c r="BG287">
        <v>0</v>
      </c>
      <c r="BH287">
        <v>1</v>
      </c>
      <c r="BI287">
        <v>2</v>
      </c>
      <c r="BJ287">
        <v>2</v>
      </c>
      <c r="BK287">
        <v>2</v>
      </c>
      <c r="BL287">
        <v>3</v>
      </c>
      <c r="BM287">
        <v>4</v>
      </c>
      <c r="BN287">
        <v>6</v>
      </c>
      <c r="BO287">
        <v>7</v>
      </c>
      <c r="BP287">
        <v>12</v>
      </c>
      <c r="BQ287">
        <v>14</v>
      </c>
      <c r="BR287">
        <v>17</v>
      </c>
      <c r="BS287">
        <v>25</v>
      </c>
      <c r="BT287">
        <v>31</v>
      </c>
      <c r="BU287">
        <v>32</v>
      </c>
      <c r="BV287">
        <v>35</v>
      </c>
      <c r="BW287">
        <v>49</v>
      </c>
      <c r="BX287">
        <v>65</v>
      </c>
      <c r="BY287">
        <v>78</v>
      </c>
      <c r="BZ287">
        <v>102</v>
      </c>
      <c r="CA287">
        <v>116</v>
      </c>
      <c r="CB287">
        <v>127</v>
      </c>
      <c r="CC287">
        <v>143</v>
      </c>
      <c r="CD287">
        <v>173</v>
      </c>
      <c r="CE287">
        <v>203</v>
      </c>
      <c r="CF287">
        <v>245</v>
      </c>
      <c r="CG287">
        <v>300</v>
      </c>
      <c r="CH287">
        <v>330</v>
      </c>
      <c r="CI287">
        <v>343</v>
      </c>
      <c r="CJ287">
        <v>350</v>
      </c>
      <c r="CK287">
        <v>387</v>
      </c>
      <c r="CL287">
        <v>436</v>
      </c>
      <c r="CM287">
        <v>477</v>
      </c>
      <c r="CN287">
        <v>522</v>
      </c>
      <c r="CO287">
        <v>545</v>
      </c>
      <c r="CP287">
        <v>562</v>
      </c>
      <c r="CQ287">
        <v>577</v>
      </c>
      <c r="CR287">
        <v>635</v>
      </c>
      <c r="CS287">
        <v>666</v>
      </c>
      <c r="CT287">
        <v>706</v>
      </c>
      <c r="CU287">
        <v>741</v>
      </c>
      <c r="CV287">
        <v>786</v>
      </c>
      <c r="CW287">
        <v>813</v>
      </c>
      <c r="CX287">
        <v>844</v>
      </c>
      <c r="CY287">
        <v>901</v>
      </c>
      <c r="CZ287">
        <v>964</v>
      </c>
      <c r="DA287">
        <v>1114</v>
      </c>
      <c r="DB287">
        <v>1175</v>
      </c>
      <c r="DC287">
        <v>1115</v>
      </c>
    </row>
    <row r="288" spans="1:107" x14ac:dyDescent="0.25">
      <c r="A288" t="s">
        <v>2963</v>
      </c>
      <c r="B288" t="s">
        <v>37</v>
      </c>
      <c r="C288">
        <v>4160.9610923300015</v>
      </c>
      <c r="D288">
        <v>-9253.0864229199997</v>
      </c>
      <c r="E288">
        <v>3155070</v>
      </c>
      <c r="F288">
        <v>0</v>
      </c>
      <c r="G288">
        <v>0</v>
      </c>
      <c r="H288">
        <v>0</v>
      </c>
      <c r="I288">
        <v>0</v>
      </c>
      <c r="J288">
        <v>0</v>
      </c>
      <c r="K288">
        <v>0</v>
      </c>
      <c r="L288">
        <v>0</v>
      </c>
      <c r="M288">
        <v>0</v>
      </c>
      <c r="N288">
        <v>0</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c r="AP288">
        <v>0</v>
      </c>
      <c r="AQ288">
        <v>0</v>
      </c>
      <c r="AR288">
        <v>0</v>
      </c>
      <c r="AS288">
        <v>0</v>
      </c>
      <c r="AT288">
        <v>0</v>
      </c>
      <c r="AU288">
        <v>0</v>
      </c>
      <c r="AV288">
        <v>0</v>
      </c>
      <c r="AW288">
        <v>0</v>
      </c>
      <c r="AX288">
        <v>0</v>
      </c>
      <c r="AY288">
        <v>0</v>
      </c>
      <c r="AZ288">
        <v>0</v>
      </c>
      <c r="BA288">
        <v>0</v>
      </c>
      <c r="BB288">
        <v>0</v>
      </c>
      <c r="BC288">
        <v>0</v>
      </c>
      <c r="BD288">
        <v>0</v>
      </c>
      <c r="BE288">
        <v>0</v>
      </c>
      <c r="BF288">
        <v>0</v>
      </c>
      <c r="BG288">
        <v>0</v>
      </c>
      <c r="BH288">
        <v>0</v>
      </c>
      <c r="BI288">
        <v>0</v>
      </c>
      <c r="BJ288">
        <v>0</v>
      </c>
      <c r="BK288">
        <v>0</v>
      </c>
      <c r="BL288">
        <v>0</v>
      </c>
      <c r="BM288">
        <v>0</v>
      </c>
      <c r="BN288">
        <v>0</v>
      </c>
      <c r="BO288">
        <v>0</v>
      </c>
      <c r="BP288">
        <v>0</v>
      </c>
      <c r="BQ288">
        <v>1</v>
      </c>
      <c r="BR288">
        <v>1</v>
      </c>
      <c r="BS288">
        <v>3</v>
      </c>
      <c r="BT288">
        <v>3</v>
      </c>
      <c r="BU288">
        <v>4</v>
      </c>
      <c r="BV288">
        <v>6</v>
      </c>
      <c r="BW288">
        <v>7</v>
      </c>
      <c r="BX288">
        <v>9</v>
      </c>
      <c r="BY288">
        <v>11</v>
      </c>
      <c r="BZ288">
        <v>11</v>
      </c>
      <c r="CA288">
        <v>14</v>
      </c>
      <c r="CB288">
        <v>18</v>
      </c>
      <c r="CC288">
        <v>25</v>
      </c>
      <c r="CD288">
        <v>25</v>
      </c>
      <c r="CE288">
        <v>27</v>
      </c>
      <c r="CF288">
        <v>29</v>
      </c>
      <c r="CG288">
        <v>31</v>
      </c>
      <c r="CH288">
        <v>34</v>
      </c>
      <c r="CI288">
        <v>41</v>
      </c>
      <c r="CJ288">
        <v>41</v>
      </c>
      <c r="CK288">
        <v>49</v>
      </c>
      <c r="CL288">
        <v>53</v>
      </c>
      <c r="CM288">
        <v>60</v>
      </c>
      <c r="CN288">
        <v>64</v>
      </c>
      <c r="CO288">
        <v>74</v>
      </c>
      <c r="CP288">
        <v>75</v>
      </c>
      <c r="CQ288">
        <v>79</v>
      </c>
      <c r="CR288">
        <v>83</v>
      </c>
      <c r="CS288">
        <v>90</v>
      </c>
      <c r="CT288">
        <v>96</v>
      </c>
      <c r="CU288">
        <v>107</v>
      </c>
      <c r="CV288">
        <v>112</v>
      </c>
      <c r="CW288">
        <v>118</v>
      </c>
      <c r="CX288">
        <v>127</v>
      </c>
      <c r="CY288">
        <v>136</v>
      </c>
      <c r="CZ288">
        <v>148</v>
      </c>
      <c r="DA288">
        <v>162</v>
      </c>
      <c r="DB288">
        <v>170</v>
      </c>
      <c r="DC288">
        <v>175</v>
      </c>
    </row>
    <row r="289" spans="1:107" x14ac:dyDescent="0.25">
      <c r="A289" t="s">
        <v>2964</v>
      </c>
      <c r="B289" t="s">
        <v>37</v>
      </c>
      <c r="C289">
        <v>4040.9647841699993</v>
      </c>
      <c r="D289">
        <v>-10298.87791087</v>
      </c>
      <c r="E289">
        <v>2913314</v>
      </c>
      <c r="F289">
        <v>0</v>
      </c>
      <c r="G289">
        <v>0</v>
      </c>
      <c r="H289">
        <v>0</v>
      </c>
      <c r="I289">
        <v>0</v>
      </c>
      <c r="J289">
        <v>0</v>
      </c>
      <c r="K289">
        <v>0</v>
      </c>
      <c r="L289">
        <v>0</v>
      </c>
      <c r="M289">
        <v>0</v>
      </c>
      <c r="N289">
        <v>0</v>
      </c>
      <c r="O289">
        <v>0</v>
      </c>
      <c r="P289">
        <v>0</v>
      </c>
      <c r="Q289">
        <v>0</v>
      </c>
      <c r="R289">
        <v>0</v>
      </c>
      <c r="S289">
        <v>0</v>
      </c>
      <c r="T289">
        <v>0</v>
      </c>
      <c r="U289">
        <v>0</v>
      </c>
      <c r="V289">
        <v>0</v>
      </c>
      <c r="W289">
        <v>0</v>
      </c>
      <c r="X289">
        <v>0</v>
      </c>
      <c r="Y289">
        <v>0</v>
      </c>
      <c r="Z289">
        <v>0</v>
      </c>
      <c r="AA289">
        <v>0</v>
      </c>
      <c r="AB289">
        <v>0</v>
      </c>
      <c r="AC289">
        <v>0</v>
      </c>
      <c r="AD289">
        <v>0</v>
      </c>
      <c r="AE289">
        <v>0</v>
      </c>
      <c r="AF289">
        <v>0</v>
      </c>
      <c r="AG289">
        <v>0</v>
      </c>
      <c r="AH289">
        <v>0</v>
      </c>
      <c r="AI289">
        <v>0</v>
      </c>
      <c r="AJ289">
        <v>0</v>
      </c>
      <c r="AK289">
        <v>0</v>
      </c>
      <c r="AL289">
        <v>0</v>
      </c>
      <c r="AM289">
        <v>0</v>
      </c>
      <c r="AN289">
        <v>0</v>
      </c>
      <c r="AO289">
        <v>0</v>
      </c>
      <c r="AP289">
        <v>0</v>
      </c>
      <c r="AQ289">
        <v>0</v>
      </c>
      <c r="AR289">
        <v>0</v>
      </c>
      <c r="AS289">
        <v>0</v>
      </c>
      <c r="AT289">
        <v>0</v>
      </c>
      <c r="AU289">
        <v>0</v>
      </c>
      <c r="AV289">
        <v>0</v>
      </c>
      <c r="AW289">
        <v>0</v>
      </c>
      <c r="AX289">
        <v>0</v>
      </c>
      <c r="AY289">
        <v>0</v>
      </c>
      <c r="AZ289">
        <v>0</v>
      </c>
      <c r="BA289">
        <v>0</v>
      </c>
      <c r="BB289">
        <v>0</v>
      </c>
      <c r="BC289">
        <v>0</v>
      </c>
      <c r="BD289">
        <v>0</v>
      </c>
      <c r="BE289">
        <v>1</v>
      </c>
      <c r="BF289">
        <v>1</v>
      </c>
      <c r="BG289">
        <v>1</v>
      </c>
      <c r="BH289">
        <v>1</v>
      </c>
      <c r="BI289">
        <v>1</v>
      </c>
      <c r="BJ289">
        <v>1</v>
      </c>
      <c r="BK289">
        <v>1</v>
      </c>
      <c r="BL289">
        <v>1</v>
      </c>
      <c r="BM289">
        <v>2</v>
      </c>
      <c r="BN289">
        <v>2</v>
      </c>
      <c r="BO289">
        <v>2</v>
      </c>
      <c r="BP289">
        <v>2</v>
      </c>
      <c r="BQ289">
        <v>3</v>
      </c>
      <c r="BR289">
        <v>3</v>
      </c>
      <c r="BS289">
        <v>4</v>
      </c>
      <c r="BT289">
        <v>4</v>
      </c>
      <c r="BU289">
        <v>7</v>
      </c>
      <c r="BV289">
        <v>8</v>
      </c>
      <c r="BW289">
        <v>9</v>
      </c>
      <c r="BX289">
        <v>10</v>
      </c>
      <c r="BY289">
        <v>12</v>
      </c>
      <c r="BZ289">
        <v>18</v>
      </c>
      <c r="CA289">
        <v>21</v>
      </c>
      <c r="CB289">
        <v>22</v>
      </c>
      <c r="CC289">
        <v>25</v>
      </c>
      <c r="CD289">
        <v>29</v>
      </c>
      <c r="CE289">
        <v>34</v>
      </c>
      <c r="CF289">
        <v>42</v>
      </c>
      <c r="CG289">
        <v>42</v>
      </c>
      <c r="CH289">
        <v>55</v>
      </c>
      <c r="CI289">
        <v>56</v>
      </c>
      <c r="CJ289">
        <v>62</v>
      </c>
      <c r="CK289">
        <v>69</v>
      </c>
      <c r="CL289">
        <v>71</v>
      </c>
      <c r="CM289">
        <v>80</v>
      </c>
      <c r="CN289">
        <v>82</v>
      </c>
      <c r="CO289">
        <v>85</v>
      </c>
      <c r="CP289">
        <v>93</v>
      </c>
      <c r="CQ289">
        <v>102</v>
      </c>
      <c r="CR289">
        <v>109</v>
      </c>
      <c r="CS289">
        <v>112</v>
      </c>
      <c r="CT289">
        <v>113</v>
      </c>
      <c r="CU289">
        <v>118</v>
      </c>
      <c r="CV289">
        <v>120</v>
      </c>
      <c r="CW289">
        <v>121</v>
      </c>
      <c r="CX289">
        <v>126</v>
      </c>
      <c r="CY289">
        <v>127</v>
      </c>
      <c r="CZ289">
        <v>134</v>
      </c>
      <c r="DA289">
        <v>134</v>
      </c>
      <c r="DB289">
        <v>140</v>
      </c>
      <c r="DC289">
        <v>142</v>
      </c>
    </row>
    <row r="290" spans="1:107" x14ac:dyDescent="0.25">
      <c r="A290" t="s">
        <v>2965</v>
      </c>
      <c r="B290" t="s">
        <v>37</v>
      </c>
      <c r="C290">
        <v>4514.6572620000006</v>
      </c>
      <c r="D290">
        <v>-10223.986874159998</v>
      </c>
      <c r="E290">
        <v>4467673</v>
      </c>
      <c r="F290">
        <v>0</v>
      </c>
      <c r="G290">
        <v>0</v>
      </c>
      <c r="H290">
        <v>0</v>
      </c>
      <c r="I290">
        <v>0</v>
      </c>
      <c r="J290">
        <v>0</v>
      </c>
      <c r="K290">
        <v>0</v>
      </c>
      <c r="L290">
        <v>0</v>
      </c>
      <c r="M290">
        <v>0</v>
      </c>
      <c r="N290">
        <v>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1</v>
      </c>
      <c r="BI290">
        <v>1</v>
      </c>
      <c r="BJ290">
        <v>1</v>
      </c>
      <c r="BK290">
        <v>2</v>
      </c>
      <c r="BL290">
        <v>2</v>
      </c>
      <c r="BM290">
        <v>3</v>
      </c>
      <c r="BN290">
        <v>3</v>
      </c>
      <c r="BO290">
        <v>4</v>
      </c>
      <c r="BP290">
        <v>4</v>
      </c>
      <c r="BQ290">
        <v>5</v>
      </c>
      <c r="BR290">
        <v>5</v>
      </c>
      <c r="BS290">
        <v>7</v>
      </c>
      <c r="BT290">
        <v>9</v>
      </c>
      <c r="BU290">
        <v>9</v>
      </c>
      <c r="BV290">
        <v>11</v>
      </c>
      <c r="BW290">
        <v>11</v>
      </c>
      <c r="BX290">
        <v>18</v>
      </c>
      <c r="BY290">
        <v>31</v>
      </c>
      <c r="BZ290">
        <v>34</v>
      </c>
      <c r="CA290">
        <v>40</v>
      </c>
      <c r="CB290">
        <v>45</v>
      </c>
      <c r="CC290">
        <v>45</v>
      </c>
      <c r="CD290">
        <v>65</v>
      </c>
      <c r="CE290">
        <v>65</v>
      </c>
      <c r="CF290">
        <v>73</v>
      </c>
      <c r="CG290">
        <v>90</v>
      </c>
      <c r="CH290">
        <v>90</v>
      </c>
      <c r="CI290">
        <v>97</v>
      </c>
      <c r="CJ290">
        <v>113</v>
      </c>
      <c r="CK290">
        <v>106</v>
      </c>
      <c r="CL290">
        <v>115</v>
      </c>
      <c r="CM290">
        <v>129</v>
      </c>
      <c r="CN290">
        <v>137</v>
      </c>
      <c r="CO290">
        <v>144</v>
      </c>
      <c r="CP290">
        <v>146</v>
      </c>
      <c r="CQ290">
        <v>154</v>
      </c>
      <c r="CR290">
        <v>171</v>
      </c>
      <c r="CS290">
        <v>185</v>
      </c>
      <c r="CT290">
        <v>191</v>
      </c>
      <c r="CU290">
        <v>200</v>
      </c>
      <c r="CV290">
        <v>205</v>
      </c>
      <c r="CW290">
        <v>208</v>
      </c>
      <c r="CX290">
        <v>213</v>
      </c>
      <c r="CY290">
        <v>225</v>
      </c>
      <c r="CZ290">
        <v>234</v>
      </c>
      <c r="DA290">
        <v>240</v>
      </c>
      <c r="DB290">
        <v>246</v>
      </c>
      <c r="DC290">
        <v>248</v>
      </c>
    </row>
    <row r="291" spans="1:107" x14ac:dyDescent="0.25">
      <c r="A291" t="s">
        <v>2966</v>
      </c>
      <c r="B291" t="s">
        <v>37</v>
      </c>
      <c r="C291">
        <v>1989.9153525399995</v>
      </c>
      <c r="D291">
        <v>-5876.7479459900014</v>
      </c>
      <c r="E291">
        <v>4648794</v>
      </c>
      <c r="F291">
        <v>0</v>
      </c>
      <c r="G291">
        <v>0</v>
      </c>
      <c r="H291">
        <v>0</v>
      </c>
      <c r="I291">
        <v>0</v>
      </c>
      <c r="J291">
        <v>0</v>
      </c>
      <c r="K291">
        <v>0</v>
      </c>
      <c r="L291">
        <v>0</v>
      </c>
      <c r="M291">
        <v>0</v>
      </c>
      <c r="N291">
        <v>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c r="AY291">
        <v>0</v>
      </c>
      <c r="AZ291">
        <v>0</v>
      </c>
      <c r="BA291">
        <v>0</v>
      </c>
      <c r="BB291">
        <v>0</v>
      </c>
      <c r="BC291">
        <v>0</v>
      </c>
      <c r="BD291">
        <v>0</v>
      </c>
      <c r="BE291">
        <v>0</v>
      </c>
      <c r="BF291">
        <v>1</v>
      </c>
      <c r="BG291">
        <v>2</v>
      </c>
      <c r="BH291">
        <v>3</v>
      </c>
      <c r="BI291">
        <v>4</v>
      </c>
      <c r="BJ291">
        <v>6</v>
      </c>
      <c r="BK291">
        <v>10</v>
      </c>
      <c r="BL291">
        <v>14</v>
      </c>
      <c r="BM291">
        <v>20</v>
      </c>
      <c r="BN291">
        <v>20</v>
      </c>
      <c r="BO291">
        <v>35</v>
      </c>
      <c r="BP291">
        <v>46</v>
      </c>
      <c r="BQ291">
        <v>65</v>
      </c>
      <c r="BR291">
        <v>83</v>
      </c>
      <c r="BS291">
        <v>119</v>
      </c>
      <c r="BT291">
        <v>137</v>
      </c>
      <c r="BU291">
        <v>151</v>
      </c>
      <c r="BV291">
        <v>185</v>
      </c>
      <c r="BW291">
        <v>239</v>
      </c>
      <c r="BX291">
        <v>273</v>
      </c>
      <c r="BY291">
        <v>310</v>
      </c>
      <c r="BZ291">
        <v>370</v>
      </c>
      <c r="CA291">
        <v>409</v>
      </c>
      <c r="CB291">
        <v>477</v>
      </c>
      <c r="CC291">
        <v>512</v>
      </c>
      <c r="CD291">
        <v>582</v>
      </c>
      <c r="CE291">
        <v>652</v>
      </c>
      <c r="CF291">
        <v>702</v>
      </c>
      <c r="CG291">
        <v>755</v>
      </c>
      <c r="CH291">
        <v>806</v>
      </c>
      <c r="CI291">
        <v>840</v>
      </c>
      <c r="CJ291">
        <v>884</v>
      </c>
      <c r="CK291">
        <v>1013</v>
      </c>
      <c r="CL291">
        <v>1103</v>
      </c>
      <c r="CM291">
        <v>1156</v>
      </c>
      <c r="CN291">
        <v>1213</v>
      </c>
      <c r="CO291">
        <v>1267</v>
      </c>
      <c r="CP291">
        <v>1296</v>
      </c>
      <c r="CQ291">
        <v>1328</v>
      </c>
      <c r="CR291">
        <v>1405</v>
      </c>
      <c r="CS291">
        <v>1473</v>
      </c>
      <c r="CT291">
        <v>1599</v>
      </c>
      <c r="CU291">
        <v>1660</v>
      </c>
      <c r="CV291">
        <v>1707</v>
      </c>
      <c r="CW291">
        <v>1729</v>
      </c>
      <c r="CX291">
        <v>1740</v>
      </c>
      <c r="CY291">
        <v>1801</v>
      </c>
      <c r="CZ291">
        <v>1845</v>
      </c>
      <c r="DA291">
        <v>1905</v>
      </c>
      <c r="DB291">
        <v>1970</v>
      </c>
      <c r="DC291">
        <v>1993</v>
      </c>
    </row>
    <row r="292" spans="1:107" x14ac:dyDescent="0.25">
      <c r="A292" t="s">
        <v>2967</v>
      </c>
      <c r="B292" t="s">
        <v>37</v>
      </c>
      <c r="C292">
        <v>715.00301449999995</v>
      </c>
      <c r="D292">
        <v>-1112.38029805</v>
      </c>
      <c r="E292">
        <v>1344212</v>
      </c>
      <c r="F292">
        <v>0</v>
      </c>
      <c r="G292">
        <v>0</v>
      </c>
      <c r="H292">
        <v>0</v>
      </c>
      <c r="I292">
        <v>0</v>
      </c>
      <c r="J292">
        <v>0</v>
      </c>
      <c r="K292">
        <v>0</v>
      </c>
      <c r="L292">
        <v>0</v>
      </c>
      <c r="M292">
        <v>0</v>
      </c>
      <c r="N292">
        <v>0</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0</v>
      </c>
      <c r="BH292">
        <v>0</v>
      </c>
      <c r="BI292">
        <v>0</v>
      </c>
      <c r="BJ292">
        <v>0</v>
      </c>
      <c r="BK292">
        <v>0</v>
      </c>
      <c r="BL292">
        <v>0</v>
      </c>
      <c r="BM292">
        <v>0</v>
      </c>
      <c r="BN292">
        <v>0</v>
      </c>
      <c r="BO292">
        <v>0</v>
      </c>
      <c r="BP292">
        <v>0</v>
      </c>
      <c r="BQ292">
        <v>0</v>
      </c>
      <c r="BR292">
        <v>0</v>
      </c>
      <c r="BS292">
        <v>1</v>
      </c>
      <c r="BT292">
        <v>1</v>
      </c>
      <c r="BU292">
        <v>3</v>
      </c>
      <c r="BV292">
        <v>3</v>
      </c>
      <c r="BW292">
        <v>5</v>
      </c>
      <c r="BX292">
        <v>5</v>
      </c>
      <c r="BY292">
        <v>7</v>
      </c>
      <c r="BZ292">
        <v>9</v>
      </c>
      <c r="CA292">
        <v>10</v>
      </c>
      <c r="CB292">
        <v>10</v>
      </c>
      <c r="CC292">
        <v>10</v>
      </c>
      <c r="CD292">
        <v>12</v>
      </c>
      <c r="CE292">
        <v>14</v>
      </c>
      <c r="CF292">
        <v>16</v>
      </c>
      <c r="CG292">
        <v>17</v>
      </c>
      <c r="CH292">
        <v>19</v>
      </c>
      <c r="CI292">
        <v>19</v>
      </c>
      <c r="CJ292">
        <v>19</v>
      </c>
      <c r="CK292">
        <v>20</v>
      </c>
      <c r="CL292">
        <v>24</v>
      </c>
      <c r="CM292">
        <v>27</v>
      </c>
      <c r="CN292">
        <v>29</v>
      </c>
      <c r="CO292">
        <v>32</v>
      </c>
      <c r="CP292">
        <v>34</v>
      </c>
      <c r="CQ292">
        <v>35</v>
      </c>
      <c r="CR292">
        <v>36</v>
      </c>
      <c r="CS292">
        <v>39</v>
      </c>
      <c r="CT292">
        <v>44</v>
      </c>
      <c r="CU292">
        <v>47</v>
      </c>
      <c r="CV292">
        <v>47</v>
      </c>
      <c r="CW292">
        <v>50</v>
      </c>
      <c r="CX292">
        <v>51</v>
      </c>
      <c r="CY292">
        <v>51</v>
      </c>
      <c r="CZ292">
        <v>52</v>
      </c>
      <c r="DA292">
        <v>53</v>
      </c>
      <c r="DB292">
        <v>55</v>
      </c>
      <c r="DC292">
        <v>56</v>
      </c>
    </row>
    <row r="293" spans="1:107" x14ac:dyDescent="0.25">
      <c r="A293" t="s">
        <v>2968</v>
      </c>
      <c r="B293" t="s">
        <v>37</v>
      </c>
      <c r="C293">
        <v>936.35809657000004</v>
      </c>
      <c r="D293">
        <v>-1840.2112226099998</v>
      </c>
      <c r="E293">
        <v>6045680</v>
      </c>
      <c r="F293">
        <v>0</v>
      </c>
      <c r="G293">
        <v>0</v>
      </c>
      <c r="H293">
        <v>0</v>
      </c>
      <c r="I293">
        <v>0</v>
      </c>
      <c r="J293">
        <v>0</v>
      </c>
      <c r="K293">
        <v>0</v>
      </c>
      <c r="L293">
        <v>0</v>
      </c>
      <c r="M293">
        <v>0</v>
      </c>
      <c r="N293">
        <v>0</v>
      </c>
      <c r="O293">
        <v>0</v>
      </c>
      <c r="P293">
        <v>0</v>
      </c>
      <c r="Q293">
        <v>0</v>
      </c>
      <c r="R293">
        <v>0</v>
      </c>
      <c r="S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0</v>
      </c>
      <c r="BC293">
        <v>0</v>
      </c>
      <c r="BD293">
        <v>0</v>
      </c>
      <c r="BE293">
        <v>0</v>
      </c>
      <c r="BF293">
        <v>0</v>
      </c>
      <c r="BG293">
        <v>0</v>
      </c>
      <c r="BH293">
        <v>0</v>
      </c>
      <c r="BI293">
        <v>0</v>
      </c>
      <c r="BJ293">
        <v>0</v>
      </c>
      <c r="BK293">
        <v>1</v>
      </c>
      <c r="BL293">
        <v>2</v>
      </c>
      <c r="BM293">
        <v>2</v>
      </c>
      <c r="BN293">
        <v>3</v>
      </c>
      <c r="BO293">
        <v>3</v>
      </c>
      <c r="BP293">
        <v>4</v>
      </c>
      <c r="BQ293">
        <v>4</v>
      </c>
      <c r="BR293">
        <v>4</v>
      </c>
      <c r="BS293">
        <v>5</v>
      </c>
      <c r="BT293">
        <v>5</v>
      </c>
      <c r="BU293">
        <v>10</v>
      </c>
      <c r="BV293">
        <v>15</v>
      </c>
      <c r="BW293">
        <v>18</v>
      </c>
      <c r="BX293">
        <v>31</v>
      </c>
      <c r="BY293">
        <v>36</v>
      </c>
      <c r="BZ293">
        <v>43</v>
      </c>
      <c r="CA293">
        <v>54</v>
      </c>
      <c r="CB293">
        <v>67</v>
      </c>
      <c r="CC293">
        <v>91</v>
      </c>
      <c r="CD293">
        <v>103</v>
      </c>
      <c r="CE293">
        <v>124</v>
      </c>
      <c r="CF293">
        <v>138</v>
      </c>
      <c r="CG293">
        <v>171</v>
      </c>
      <c r="CH293">
        <v>206</v>
      </c>
      <c r="CI293">
        <v>236</v>
      </c>
      <c r="CJ293">
        <v>262</v>
      </c>
      <c r="CK293">
        <v>302</v>
      </c>
      <c r="CL293">
        <v>311</v>
      </c>
      <c r="CM293">
        <v>319</v>
      </c>
      <c r="CN293">
        <v>334</v>
      </c>
      <c r="CO293">
        <v>421</v>
      </c>
      <c r="CP293">
        <v>461</v>
      </c>
      <c r="CQ293">
        <v>582</v>
      </c>
      <c r="CR293">
        <v>652</v>
      </c>
      <c r="CS293">
        <v>698</v>
      </c>
      <c r="CT293">
        <v>748</v>
      </c>
      <c r="CU293">
        <v>798</v>
      </c>
      <c r="CV293">
        <v>875</v>
      </c>
      <c r="CW293">
        <v>910</v>
      </c>
      <c r="CX293">
        <v>945</v>
      </c>
      <c r="CY293">
        <v>1016</v>
      </c>
      <c r="CZ293">
        <v>1078</v>
      </c>
      <c r="DA293">
        <v>1140</v>
      </c>
      <c r="DB293">
        <v>1080</v>
      </c>
      <c r="DC293">
        <v>1251</v>
      </c>
    </row>
    <row r="294" spans="1:107" x14ac:dyDescent="0.25">
      <c r="A294" t="s">
        <v>2969</v>
      </c>
      <c r="B294" t="s">
        <v>37</v>
      </c>
      <c r="C294">
        <v>630.99414890999992</v>
      </c>
      <c r="D294">
        <v>-1071.2770314100001</v>
      </c>
      <c r="E294">
        <v>6892503</v>
      </c>
      <c r="F294">
        <v>0</v>
      </c>
      <c r="G294">
        <v>0</v>
      </c>
      <c r="H294">
        <v>0</v>
      </c>
      <c r="I294">
        <v>0</v>
      </c>
      <c r="J294">
        <v>0</v>
      </c>
      <c r="K294">
        <v>0</v>
      </c>
      <c r="L294">
        <v>0</v>
      </c>
      <c r="M294">
        <v>0</v>
      </c>
      <c r="N294">
        <v>0</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0</v>
      </c>
      <c r="BJ294">
        <v>0</v>
      </c>
      <c r="BK294">
        <v>0</v>
      </c>
      <c r="BL294">
        <v>1</v>
      </c>
      <c r="BM294">
        <v>1</v>
      </c>
      <c r="BN294">
        <v>5</v>
      </c>
      <c r="BO294">
        <v>9</v>
      </c>
      <c r="BP294">
        <v>11</v>
      </c>
      <c r="BQ294">
        <v>15</v>
      </c>
      <c r="BR294">
        <v>25</v>
      </c>
      <c r="BS294">
        <v>35</v>
      </c>
      <c r="BT294">
        <v>44</v>
      </c>
      <c r="BU294">
        <v>48</v>
      </c>
      <c r="BV294">
        <v>56</v>
      </c>
      <c r="BW294">
        <v>89</v>
      </c>
      <c r="BX294">
        <v>122</v>
      </c>
      <c r="BY294">
        <v>154</v>
      </c>
      <c r="BZ294">
        <v>192</v>
      </c>
      <c r="CA294">
        <v>216</v>
      </c>
      <c r="CB294">
        <v>231</v>
      </c>
      <c r="CC294">
        <v>260</v>
      </c>
      <c r="CD294">
        <v>356</v>
      </c>
      <c r="CE294">
        <v>433</v>
      </c>
      <c r="CF294">
        <v>503</v>
      </c>
      <c r="CG294">
        <v>599</v>
      </c>
      <c r="CH294">
        <v>686</v>
      </c>
      <c r="CI294">
        <v>756</v>
      </c>
      <c r="CJ294">
        <v>844</v>
      </c>
      <c r="CK294">
        <v>844</v>
      </c>
      <c r="CL294">
        <v>1108</v>
      </c>
      <c r="CM294">
        <v>1108</v>
      </c>
      <c r="CN294">
        <v>1245</v>
      </c>
      <c r="CO294">
        <v>1404</v>
      </c>
      <c r="CP294">
        <v>1706</v>
      </c>
      <c r="CQ294">
        <v>1706</v>
      </c>
      <c r="CR294">
        <v>1961</v>
      </c>
      <c r="CS294">
        <v>2182</v>
      </c>
      <c r="CT294">
        <v>2360</v>
      </c>
      <c r="CU294">
        <v>2556</v>
      </c>
      <c r="CV294">
        <v>2730</v>
      </c>
      <c r="CW294">
        <v>2899</v>
      </c>
      <c r="CX294">
        <v>3003</v>
      </c>
      <c r="CY294">
        <v>3153</v>
      </c>
      <c r="CZ294">
        <v>3405</v>
      </c>
      <c r="DA294">
        <v>3562</v>
      </c>
      <c r="DB294">
        <v>3716</v>
      </c>
      <c r="DC294">
        <v>3846</v>
      </c>
    </row>
    <row r="295" spans="1:107" x14ac:dyDescent="0.25">
      <c r="A295" t="s">
        <v>2970</v>
      </c>
      <c r="B295" t="s">
        <v>37</v>
      </c>
      <c r="C295">
        <v>3655.6204674499986</v>
      </c>
      <c r="D295">
        <v>-7070.0807294400029</v>
      </c>
      <c r="E295">
        <v>9986857</v>
      </c>
      <c r="F295">
        <v>0</v>
      </c>
      <c r="G295">
        <v>0</v>
      </c>
      <c r="H295">
        <v>0</v>
      </c>
      <c r="I295">
        <v>0</v>
      </c>
      <c r="J295">
        <v>0</v>
      </c>
      <c r="K295">
        <v>0</v>
      </c>
      <c r="L295">
        <v>0</v>
      </c>
      <c r="M295">
        <v>0</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0</v>
      </c>
      <c r="BC295">
        <v>0</v>
      </c>
      <c r="BD295">
        <v>0</v>
      </c>
      <c r="BE295">
        <v>0</v>
      </c>
      <c r="BF295">
        <v>0</v>
      </c>
      <c r="BG295">
        <v>0</v>
      </c>
      <c r="BH295">
        <v>0</v>
      </c>
      <c r="BI295">
        <v>0</v>
      </c>
      <c r="BJ295">
        <v>1</v>
      </c>
      <c r="BK295">
        <v>1</v>
      </c>
      <c r="BL295">
        <v>1</v>
      </c>
      <c r="BM295">
        <v>3</v>
      </c>
      <c r="BN295">
        <v>9</v>
      </c>
      <c r="BO295">
        <v>15</v>
      </c>
      <c r="BP295">
        <v>24</v>
      </c>
      <c r="BQ295">
        <v>43</v>
      </c>
      <c r="BR295">
        <v>61</v>
      </c>
      <c r="BS295">
        <v>92</v>
      </c>
      <c r="BT295">
        <v>111</v>
      </c>
      <c r="BU295">
        <v>132</v>
      </c>
      <c r="BV295">
        <v>184</v>
      </c>
      <c r="BW295">
        <v>259</v>
      </c>
      <c r="BX295">
        <v>335</v>
      </c>
      <c r="BY295">
        <v>417</v>
      </c>
      <c r="BZ295">
        <v>479</v>
      </c>
      <c r="CA295">
        <v>540</v>
      </c>
      <c r="CB295">
        <v>617</v>
      </c>
      <c r="CC295">
        <v>727</v>
      </c>
      <c r="CD295">
        <v>845</v>
      </c>
      <c r="CE295">
        <v>959</v>
      </c>
      <c r="CF295">
        <v>1076</v>
      </c>
      <c r="CG295">
        <v>1276</v>
      </c>
      <c r="CH295">
        <v>1384</v>
      </c>
      <c r="CI295">
        <v>1479</v>
      </c>
      <c r="CJ295">
        <v>1602</v>
      </c>
      <c r="CK295">
        <v>1768</v>
      </c>
      <c r="CL295">
        <v>1921</v>
      </c>
      <c r="CM295">
        <v>1996</v>
      </c>
      <c r="CN295">
        <v>2227</v>
      </c>
      <c r="CO295">
        <v>2308</v>
      </c>
      <c r="CP295">
        <v>2391</v>
      </c>
      <c r="CQ295">
        <v>2468</v>
      </c>
      <c r="CR295">
        <v>2575</v>
      </c>
      <c r="CS295">
        <v>2813</v>
      </c>
      <c r="CT295">
        <v>2977</v>
      </c>
      <c r="CU295">
        <v>3085</v>
      </c>
      <c r="CV295">
        <v>3155</v>
      </c>
      <c r="CW295">
        <v>3315</v>
      </c>
      <c r="CX295">
        <v>3407</v>
      </c>
      <c r="CY295">
        <v>3568</v>
      </c>
      <c r="CZ295">
        <v>3670</v>
      </c>
      <c r="DA295">
        <v>3789</v>
      </c>
      <c r="DB295">
        <v>3866</v>
      </c>
      <c r="DC295">
        <v>4021</v>
      </c>
    </row>
    <row r="296" spans="1:107" x14ac:dyDescent="0.25">
      <c r="A296" t="s">
        <v>2971</v>
      </c>
      <c r="B296" t="s">
        <v>37</v>
      </c>
      <c r="C296">
        <v>3963.0251292199996</v>
      </c>
      <c r="D296">
        <v>-8215.4929133399983</v>
      </c>
      <c r="E296">
        <v>5639632</v>
      </c>
      <c r="F296">
        <v>0</v>
      </c>
      <c r="G296">
        <v>0</v>
      </c>
      <c r="H296">
        <v>0</v>
      </c>
      <c r="I296">
        <v>0</v>
      </c>
      <c r="J296">
        <v>0</v>
      </c>
      <c r="K296">
        <v>0</v>
      </c>
      <c r="L296">
        <v>0</v>
      </c>
      <c r="M296">
        <v>0</v>
      </c>
      <c r="N296">
        <v>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0</v>
      </c>
      <c r="BJ296">
        <v>0</v>
      </c>
      <c r="BK296">
        <v>0</v>
      </c>
      <c r="BL296">
        <v>0</v>
      </c>
      <c r="BM296">
        <v>1</v>
      </c>
      <c r="BN296">
        <v>1</v>
      </c>
      <c r="BO296">
        <v>1</v>
      </c>
      <c r="BP296">
        <v>1</v>
      </c>
      <c r="BQ296">
        <v>1</v>
      </c>
      <c r="BR296">
        <v>2</v>
      </c>
      <c r="BS296">
        <v>4</v>
      </c>
      <c r="BT296">
        <v>5</v>
      </c>
      <c r="BU296">
        <v>9</v>
      </c>
      <c r="BV296">
        <v>10</v>
      </c>
      <c r="BW296">
        <v>12</v>
      </c>
      <c r="BX296">
        <v>17</v>
      </c>
      <c r="BY296">
        <v>18</v>
      </c>
      <c r="BZ296">
        <v>22</v>
      </c>
      <c r="CA296">
        <v>24</v>
      </c>
      <c r="CB296">
        <v>29</v>
      </c>
      <c r="CC296">
        <v>30</v>
      </c>
      <c r="CD296">
        <v>34</v>
      </c>
      <c r="CE296">
        <v>39</v>
      </c>
      <c r="CF296">
        <v>50</v>
      </c>
      <c r="CG296">
        <v>57</v>
      </c>
      <c r="CH296">
        <v>64</v>
      </c>
      <c r="CI296">
        <v>70</v>
      </c>
      <c r="CJ296">
        <v>70</v>
      </c>
      <c r="CK296">
        <v>79</v>
      </c>
      <c r="CL296">
        <v>87</v>
      </c>
      <c r="CM296">
        <v>87</v>
      </c>
      <c r="CN296">
        <v>111</v>
      </c>
      <c r="CO296">
        <v>121</v>
      </c>
      <c r="CP296">
        <v>134</v>
      </c>
      <c r="CQ296">
        <v>143</v>
      </c>
      <c r="CR296">
        <v>160</v>
      </c>
      <c r="CS296">
        <v>179</v>
      </c>
      <c r="CT296">
        <v>200</v>
      </c>
      <c r="CU296">
        <v>221</v>
      </c>
      <c r="CV296">
        <v>244</v>
      </c>
      <c r="CW296">
        <v>272</v>
      </c>
      <c r="CX296">
        <v>286</v>
      </c>
      <c r="CY296">
        <v>301</v>
      </c>
      <c r="CZ296">
        <v>319</v>
      </c>
      <c r="DA296">
        <v>343</v>
      </c>
      <c r="DB296">
        <v>370</v>
      </c>
      <c r="DC296">
        <v>394</v>
      </c>
    </row>
    <row r="297" spans="1:107" x14ac:dyDescent="0.25">
      <c r="A297" t="s">
        <v>2972</v>
      </c>
      <c r="B297" t="s">
        <v>37</v>
      </c>
      <c r="C297">
        <v>2689.00357846</v>
      </c>
      <c r="D297">
        <v>-7350.9495156400008</v>
      </c>
      <c r="E297">
        <v>2976149</v>
      </c>
      <c r="F297">
        <v>0</v>
      </c>
      <c r="G297">
        <v>0</v>
      </c>
      <c r="H297">
        <v>0</v>
      </c>
      <c r="I297">
        <v>0</v>
      </c>
      <c r="J297">
        <v>0</v>
      </c>
      <c r="K297">
        <v>0</v>
      </c>
      <c r="L297">
        <v>0</v>
      </c>
      <c r="M297">
        <v>0</v>
      </c>
      <c r="N297">
        <v>0</v>
      </c>
      <c r="O297">
        <v>0</v>
      </c>
      <c r="P297">
        <v>0</v>
      </c>
      <c r="Q297">
        <v>0</v>
      </c>
      <c r="R297">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v>0</v>
      </c>
      <c r="AX297">
        <v>0</v>
      </c>
      <c r="AY297">
        <v>0</v>
      </c>
      <c r="AZ297">
        <v>0</v>
      </c>
      <c r="BA297">
        <v>0</v>
      </c>
      <c r="BB297">
        <v>0</v>
      </c>
      <c r="BC297">
        <v>0</v>
      </c>
      <c r="BD297">
        <v>0</v>
      </c>
      <c r="BE297">
        <v>0</v>
      </c>
      <c r="BF297">
        <v>0</v>
      </c>
      <c r="BG297">
        <v>0</v>
      </c>
      <c r="BH297">
        <v>0</v>
      </c>
      <c r="BI297">
        <v>0</v>
      </c>
      <c r="BJ297">
        <v>0</v>
      </c>
      <c r="BK297">
        <v>1</v>
      </c>
      <c r="BL297">
        <v>1</v>
      </c>
      <c r="BM297">
        <v>1</v>
      </c>
      <c r="BN297">
        <v>1</v>
      </c>
      <c r="BO297">
        <v>1</v>
      </c>
      <c r="BP297">
        <v>1</v>
      </c>
      <c r="BQ297">
        <v>3</v>
      </c>
      <c r="BR297">
        <v>6</v>
      </c>
      <c r="BS297">
        <v>8</v>
      </c>
      <c r="BT297">
        <v>13</v>
      </c>
      <c r="BU297">
        <v>14</v>
      </c>
      <c r="BV297">
        <v>16</v>
      </c>
      <c r="BW297">
        <v>20</v>
      </c>
      <c r="BX297">
        <v>22</v>
      </c>
      <c r="BY297">
        <v>26</v>
      </c>
      <c r="BZ297">
        <v>29</v>
      </c>
      <c r="CA297">
        <v>35</v>
      </c>
      <c r="CB297">
        <v>43</v>
      </c>
      <c r="CC297">
        <v>51</v>
      </c>
      <c r="CD297">
        <v>60</v>
      </c>
      <c r="CE297">
        <v>67</v>
      </c>
      <c r="CF297">
        <v>76</v>
      </c>
      <c r="CG297">
        <v>82</v>
      </c>
      <c r="CH297">
        <v>93</v>
      </c>
      <c r="CI297">
        <v>96</v>
      </c>
      <c r="CJ297">
        <v>98</v>
      </c>
      <c r="CK297">
        <v>111</v>
      </c>
      <c r="CL297">
        <v>122</v>
      </c>
      <c r="CM297">
        <v>129</v>
      </c>
      <c r="CN297">
        <v>140</v>
      </c>
      <c r="CO297">
        <v>152</v>
      </c>
      <c r="CP297">
        <v>159</v>
      </c>
      <c r="CQ297">
        <v>169</v>
      </c>
      <c r="CR297">
        <v>183</v>
      </c>
      <c r="CS297">
        <v>193</v>
      </c>
      <c r="CT297">
        <v>201</v>
      </c>
      <c r="CU297">
        <v>209</v>
      </c>
      <c r="CV297">
        <v>221</v>
      </c>
      <c r="CW297">
        <v>227</v>
      </c>
      <c r="CX297">
        <v>229</v>
      </c>
      <c r="CY297">
        <v>239</v>
      </c>
      <c r="CZ297">
        <v>250</v>
      </c>
      <c r="DA297">
        <v>261</v>
      </c>
      <c r="DB297">
        <v>281</v>
      </c>
      <c r="DC297">
        <v>291</v>
      </c>
    </row>
    <row r="298" spans="1:107" x14ac:dyDescent="0.25">
      <c r="A298" t="s">
        <v>2973</v>
      </c>
      <c r="B298" t="s">
        <v>37</v>
      </c>
      <c r="C298">
        <v>4460.9847262700005</v>
      </c>
      <c r="D298">
        <v>-10729.940478620003</v>
      </c>
      <c r="E298">
        <v>6626371</v>
      </c>
      <c r="F298">
        <v>0</v>
      </c>
      <c r="G298">
        <v>0</v>
      </c>
      <c r="H298">
        <v>0</v>
      </c>
      <c r="I298">
        <v>0</v>
      </c>
      <c r="J298">
        <v>0</v>
      </c>
      <c r="K298">
        <v>0</v>
      </c>
      <c r="L298">
        <v>0</v>
      </c>
      <c r="M298">
        <v>0</v>
      </c>
      <c r="N298">
        <v>0</v>
      </c>
      <c r="O298">
        <v>0</v>
      </c>
      <c r="P298">
        <v>0</v>
      </c>
      <c r="Q298">
        <v>0</v>
      </c>
      <c r="R298">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c r="AP298">
        <v>0</v>
      </c>
      <c r="AQ298">
        <v>0</v>
      </c>
      <c r="AR298">
        <v>0</v>
      </c>
      <c r="AS298">
        <v>0</v>
      </c>
      <c r="AT298">
        <v>0</v>
      </c>
      <c r="AU298">
        <v>0</v>
      </c>
      <c r="AV298">
        <v>0</v>
      </c>
      <c r="AW298">
        <v>0</v>
      </c>
      <c r="AX298">
        <v>0</v>
      </c>
      <c r="AY298">
        <v>0</v>
      </c>
      <c r="AZ298">
        <v>0</v>
      </c>
      <c r="BA298">
        <v>0</v>
      </c>
      <c r="BB298">
        <v>0</v>
      </c>
      <c r="BC298">
        <v>0</v>
      </c>
      <c r="BD298">
        <v>0</v>
      </c>
      <c r="BE298">
        <v>0</v>
      </c>
      <c r="BF298">
        <v>0</v>
      </c>
      <c r="BG298">
        <v>0</v>
      </c>
      <c r="BH298">
        <v>0</v>
      </c>
      <c r="BI298">
        <v>0</v>
      </c>
      <c r="BJ298">
        <v>1</v>
      </c>
      <c r="BK298">
        <v>1</v>
      </c>
      <c r="BL298">
        <v>3</v>
      </c>
      <c r="BM298">
        <v>3</v>
      </c>
      <c r="BN298">
        <v>3</v>
      </c>
      <c r="BO298">
        <v>4</v>
      </c>
      <c r="BP298">
        <v>7</v>
      </c>
      <c r="BQ298">
        <v>8</v>
      </c>
      <c r="BR298">
        <v>9</v>
      </c>
      <c r="BS298">
        <v>9</v>
      </c>
      <c r="BT298">
        <v>10</v>
      </c>
      <c r="BU298">
        <v>13</v>
      </c>
      <c r="BV298">
        <v>13</v>
      </c>
      <c r="BW298">
        <v>15</v>
      </c>
      <c r="BX298">
        <v>18</v>
      </c>
      <c r="BY298">
        <v>22</v>
      </c>
      <c r="BZ298">
        <v>25</v>
      </c>
      <c r="CA298">
        <v>33</v>
      </c>
      <c r="CB298">
        <v>44</v>
      </c>
      <c r="CC298">
        <v>47</v>
      </c>
      <c r="CD298">
        <v>65</v>
      </c>
      <c r="CE298">
        <v>86</v>
      </c>
      <c r="CF298">
        <v>93</v>
      </c>
      <c r="CG298">
        <v>99</v>
      </c>
      <c r="CH298">
        <v>116</v>
      </c>
      <c r="CI298">
        <v>118</v>
      </c>
      <c r="CJ298">
        <v>123</v>
      </c>
      <c r="CK298">
        <v>149</v>
      </c>
      <c r="CL298">
        <v>153</v>
      </c>
      <c r="CM298">
        <v>169</v>
      </c>
      <c r="CN298">
        <v>184</v>
      </c>
      <c r="CO298">
        <v>197</v>
      </c>
      <c r="CP298">
        <v>199</v>
      </c>
      <c r="CQ298">
        <v>200</v>
      </c>
      <c r="CR298">
        <v>224</v>
      </c>
      <c r="CS298">
        <v>238</v>
      </c>
      <c r="CT298">
        <v>252</v>
      </c>
      <c r="CU298">
        <v>272</v>
      </c>
      <c r="CV298">
        <v>281</v>
      </c>
      <c r="CW298">
        <v>283</v>
      </c>
      <c r="CX298">
        <v>343</v>
      </c>
      <c r="CY298">
        <v>330</v>
      </c>
      <c r="CZ298">
        <v>338</v>
      </c>
      <c r="DA298">
        <v>350</v>
      </c>
      <c r="DB298">
        <v>360</v>
      </c>
      <c r="DC298">
        <v>376</v>
      </c>
    </row>
    <row r="299" spans="1:107" x14ac:dyDescent="0.25">
      <c r="A299" t="s">
        <v>2974</v>
      </c>
      <c r="B299" t="s">
        <v>37</v>
      </c>
      <c r="C299">
        <v>2630.5827033899996</v>
      </c>
      <c r="D299">
        <v>-6143.222113400001</v>
      </c>
      <c r="E299">
        <v>1068778</v>
      </c>
      <c r="F299">
        <v>0</v>
      </c>
      <c r="G299">
        <v>0</v>
      </c>
      <c r="H299">
        <v>0</v>
      </c>
      <c r="I299">
        <v>0</v>
      </c>
      <c r="J299">
        <v>0</v>
      </c>
      <c r="K299">
        <v>0</v>
      </c>
      <c r="L299">
        <v>0</v>
      </c>
      <c r="M299">
        <v>0</v>
      </c>
      <c r="N299">
        <v>0</v>
      </c>
      <c r="O299">
        <v>0</v>
      </c>
      <c r="P299">
        <v>0</v>
      </c>
      <c r="Q299">
        <v>0</v>
      </c>
      <c r="R299">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0</v>
      </c>
      <c r="BF299">
        <v>0</v>
      </c>
      <c r="BG299">
        <v>0</v>
      </c>
      <c r="BH299">
        <v>0</v>
      </c>
      <c r="BI299">
        <v>0</v>
      </c>
      <c r="BJ299">
        <v>0</v>
      </c>
      <c r="BK299">
        <v>0</v>
      </c>
      <c r="BL299">
        <v>0</v>
      </c>
      <c r="BM299">
        <v>0</v>
      </c>
      <c r="BN299">
        <v>0</v>
      </c>
      <c r="BO299">
        <v>0</v>
      </c>
      <c r="BP299">
        <v>0</v>
      </c>
      <c r="BQ299">
        <v>0</v>
      </c>
      <c r="BR299">
        <v>0</v>
      </c>
      <c r="BS299">
        <v>1</v>
      </c>
      <c r="BT299">
        <v>1</v>
      </c>
      <c r="BU299">
        <v>1</v>
      </c>
      <c r="BV299">
        <v>5</v>
      </c>
      <c r="BW299">
        <v>5</v>
      </c>
      <c r="BX299">
        <v>6</v>
      </c>
      <c r="BY299">
        <v>6</v>
      </c>
      <c r="BZ299">
        <v>5</v>
      </c>
      <c r="CA299">
        <v>6</v>
      </c>
      <c r="CB299">
        <v>6</v>
      </c>
      <c r="CC299">
        <v>6</v>
      </c>
      <c r="CD299">
        <v>6</v>
      </c>
      <c r="CE299">
        <v>6</v>
      </c>
      <c r="CF299">
        <v>6</v>
      </c>
      <c r="CG299">
        <v>6</v>
      </c>
      <c r="CH299">
        <v>6</v>
      </c>
      <c r="CI299">
        <v>6</v>
      </c>
      <c r="CJ299">
        <v>7</v>
      </c>
      <c r="CK299">
        <v>7</v>
      </c>
      <c r="CL299">
        <v>7</v>
      </c>
      <c r="CM299">
        <v>7</v>
      </c>
      <c r="CN299">
        <v>8</v>
      </c>
      <c r="CO299">
        <v>10</v>
      </c>
      <c r="CP299">
        <v>10</v>
      </c>
      <c r="CQ299">
        <v>10</v>
      </c>
      <c r="CR299">
        <v>12</v>
      </c>
      <c r="CS299">
        <v>14</v>
      </c>
      <c r="CT299">
        <v>14</v>
      </c>
      <c r="CU299">
        <v>14</v>
      </c>
      <c r="CV299">
        <v>14</v>
      </c>
      <c r="CW299">
        <v>14</v>
      </c>
      <c r="CX299">
        <v>14</v>
      </c>
      <c r="CY299">
        <v>15</v>
      </c>
      <c r="CZ299">
        <v>16</v>
      </c>
      <c r="DA299">
        <v>16</v>
      </c>
      <c r="DB299">
        <v>16</v>
      </c>
      <c r="DC299">
        <v>16</v>
      </c>
    </row>
    <row r="300" spans="1:107" x14ac:dyDescent="0.25">
      <c r="A300" t="s">
        <v>2975</v>
      </c>
      <c r="B300" t="s">
        <v>37</v>
      </c>
      <c r="C300">
        <v>3842.9269300899973</v>
      </c>
      <c r="D300">
        <v>-9210.6281368199998</v>
      </c>
      <c r="E300">
        <v>1934408</v>
      </c>
      <c r="F300">
        <v>0</v>
      </c>
      <c r="G300">
        <v>0</v>
      </c>
      <c r="H300">
        <v>0</v>
      </c>
      <c r="I300">
        <v>0</v>
      </c>
      <c r="J300">
        <v>0</v>
      </c>
      <c r="K300">
        <v>0</v>
      </c>
      <c r="L300">
        <v>0</v>
      </c>
      <c r="M300">
        <v>0</v>
      </c>
      <c r="N300">
        <v>0</v>
      </c>
      <c r="O300">
        <v>0</v>
      </c>
      <c r="P300">
        <v>0</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v>0</v>
      </c>
      <c r="BB300">
        <v>0</v>
      </c>
      <c r="BC300">
        <v>0</v>
      </c>
      <c r="BD300">
        <v>0</v>
      </c>
      <c r="BE300">
        <v>0</v>
      </c>
      <c r="BF300">
        <v>0</v>
      </c>
      <c r="BG300">
        <v>0</v>
      </c>
      <c r="BH300">
        <v>0</v>
      </c>
      <c r="BI300">
        <v>0</v>
      </c>
      <c r="BJ300">
        <v>0</v>
      </c>
      <c r="BK300">
        <v>0</v>
      </c>
      <c r="BL300">
        <v>0</v>
      </c>
      <c r="BM300">
        <v>0</v>
      </c>
      <c r="BN300">
        <v>0</v>
      </c>
      <c r="BO300">
        <v>0</v>
      </c>
      <c r="BP300">
        <v>0</v>
      </c>
      <c r="BQ300">
        <v>0</v>
      </c>
      <c r="BR300">
        <v>0</v>
      </c>
      <c r="BS300">
        <v>0</v>
      </c>
      <c r="BT300">
        <v>2</v>
      </c>
      <c r="BU300">
        <v>2</v>
      </c>
      <c r="BV300">
        <v>2</v>
      </c>
      <c r="BW300">
        <v>3</v>
      </c>
      <c r="BX300">
        <v>4</v>
      </c>
      <c r="BY300">
        <v>5</v>
      </c>
      <c r="BZ300">
        <v>6</v>
      </c>
      <c r="CA300">
        <v>6</v>
      </c>
      <c r="CB300">
        <v>8</v>
      </c>
      <c r="CC300">
        <v>9</v>
      </c>
      <c r="CD300">
        <v>10</v>
      </c>
      <c r="CE300">
        <v>12</v>
      </c>
      <c r="CF300">
        <v>14</v>
      </c>
      <c r="CG300">
        <v>15</v>
      </c>
      <c r="CH300">
        <v>17</v>
      </c>
      <c r="CI300">
        <v>17</v>
      </c>
      <c r="CJ300">
        <v>17</v>
      </c>
      <c r="CK300">
        <v>20</v>
      </c>
      <c r="CL300">
        <v>20</v>
      </c>
      <c r="CM300">
        <v>21</v>
      </c>
      <c r="CN300">
        <v>24</v>
      </c>
      <c r="CO300">
        <v>24</v>
      </c>
      <c r="CP300">
        <v>28</v>
      </c>
      <c r="CQ300">
        <v>33</v>
      </c>
      <c r="CR300">
        <v>33</v>
      </c>
      <c r="CS300">
        <v>38</v>
      </c>
      <c r="CT300">
        <v>47</v>
      </c>
      <c r="CU300">
        <v>50</v>
      </c>
      <c r="CV300">
        <v>50</v>
      </c>
      <c r="CW300">
        <v>56</v>
      </c>
      <c r="CX300">
        <v>56</v>
      </c>
      <c r="CY300">
        <v>56</v>
      </c>
      <c r="CZ300">
        <v>56</v>
      </c>
      <c r="DA300">
        <v>70</v>
      </c>
      <c r="DB300">
        <v>73</v>
      </c>
      <c r="DC300">
        <v>73</v>
      </c>
    </row>
    <row r="301" spans="1:107" x14ac:dyDescent="0.25">
      <c r="A301" t="s">
        <v>2976</v>
      </c>
      <c r="B301" t="s">
        <v>37</v>
      </c>
      <c r="C301">
        <v>667.35194466000007</v>
      </c>
      <c r="D301">
        <v>-1998.5878900999996</v>
      </c>
      <c r="E301">
        <v>3080156</v>
      </c>
      <c r="F301">
        <v>0</v>
      </c>
      <c r="G301">
        <v>0</v>
      </c>
      <c r="H301">
        <v>0</v>
      </c>
      <c r="I301">
        <v>0</v>
      </c>
      <c r="J301">
        <v>0</v>
      </c>
      <c r="K301">
        <v>0</v>
      </c>
      <c r="L301">
        <v>0</v>
      </c>
      <c r="M301">
        <v>0</v>
      </c>
      <c r="N301">
        <v>0</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0</v>
      </c>
      <c r="AW301">
        <v>0</v>
      </c>
      <c r="AX301">
        <v>0</v>
      </c>
      <c r="AY301">
        <v>0</v>
      </c>
      <c r="AZ301">
        <v>0</v>
      </c>
      <c r="BA301">
        <v>0</v>
      </c>
      <c r="BB301">
        <v>0</v>
      </c>
      <c r="BC301">
        <v>0</v>
      </c>
      <c r="BD301">
        <v>0</v>
      </c>
      <c r="BE301">
        <v>0</v>
      </c>
      <c r="BF301">
        <v>0</v>
      </c>
      <c r="BG301">
        <v>0</v>
      </c>
      <c r="BH301">
        <v>1</v>
      </c>
      <c r="BI301">
        <v>1</v>
      </c>
      <c r="BJ301">
        <v>1</v>
      </c>
      <c r="BK301">
        <v>1</v>
      </c>
      <c r="BL301">
        <v>2</v>
      </c>
      <c r="BM301">
        <v>2</v>
      </c>
      <c r="BN301">
        <v>2</v>
      </c>
      <c r="BO301">
        <v>4</v>
      </c>
      <c r="BP301">
        <v>4</v>
      </c>
      <c r="BQ301">
        <v>6</v>
      </c>
      <c r="BR301">
        <v>10</v>
      </c>
      <c r="BS301">
        <v>10</v>
      </c>
      <c r="BT301">
        <v>10</v>
      </c>
      <c r="BU301">
        <v>15</v>
      </c>
      <c r="BV301">
        <v>15</v>
      </c>
      <c r="BW301">
        <v>26</v>
      </c>
      <c r="BX301">
        <v>31</v>
      </c>
      <c r="BY301">
        <v>38</v>
      </c>
      <c r="BZ301">
        <v>43</v>
      </c>
      <c r="CA301">
        <v>46</v>
      </c>
      <c r="CB301">
        <v>46</v>
      </c>
      <c r="CC301">
        <v>46</v>
      </c>
      <c r="CD301">
        <v>72</v>
      </c>
      <c r="CE301">
        <v>72</v>
      </c>
      <c r="CF301">
        <v>81</v>
      </c>
      <c r="CG301">
        <v>90</v>
      </c>
      <c r="CH301">
        <v>102</v>
      </c>
      <c r="CI301">
        <v>112</v>
      </c>
      <c r="CJ301">
        <v>114</v>
      </c>
      <c r="CK301">
        <v>126</v>
      </c>
      <c r="CL301">
        <v>131</v>
      </c>
      <c r="CM301">
        <v>137</v>
      </c>
      <c r="CN301">
        <v>142</v>
      </c>
      <c r="CO301">
        <v>151</v>
      </c>
      <c r="CP301">
        <v>158</v>
      </c>
      <c r="CQ301">
        <v>159</v>
      </c>
      <c r="CR301">
        <v>163</v>
      </c>
      <c r="CS301">
        <v>172</v>
      </c>
      <c r="CT301">
        <v>195</v>
      </c>
      <c r="CU301">
        <v>197</v>
      </c>
      <c r="CV301">
        <v>205</v>
      </c>
      <c r="CW301">
        <v>206</v>
      </c>
      <c r="CX301">
        <v>206</v>
      </c>
      <c r="CY301">
        <v>219</v>
      </c>
      <c r="CZ301">
        <v>230</v>
      </c>
      <c r="DA301">
        <v>243</v>
      </c>
      <c r="DB301">
        <v>246</v>
      </c>
      <c r="DC301">
        <v>255</v>
      </c>
    </row>
    <row r="302" spans="1:107" x14ac:dyDescent="0.25">
      <c r="A302" t="s">
        <v>2977</v>
      </c>
      <c r="B302" t="s">
        <v>37</v>
      </c>
      <c r="C302">
        <v>434.78972876</v>
      </c>
      <c r="D302">
        <v>-715.77656705000004</v>
      </c>
      <c r="E302">
        <v>1359711</v>
      </c>
      <c r="F302">
        <v>0</v>
      </c>
      <c r="G302">
        <v>0</v>
      </c>
      <c r="H302">
        <v>0</v>
      </c>
      <c r="I302">
        <v>0</v>
      </c>
      <c r="J302">
        <v>0</v>
      </c>
      <c r="K302">
        <v>0</v>
      </c>
      <c r="L302">
        <v>0</v>
      </c>
      <c r="M302">
        <v>0</v>
      </c>
      <c r="N302">
        <v>0</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c r="AP302">
        <v>0</v>
      </c>
      <c r="AQ302">
        <v>0</v>
      </c>
      <c r="AR302">
        <v>0</v>
      </c>
      <c r="AS302">
        <v>0</v>
      </c>
      <c r="AT302">
        <v>0</v>
      </c>
      <c r="AU302">
        <v>0</v>
      </c>
      <c r="AV302">
        <v>0</v>
      </c>
      <c r="AW302">
        <v>0</v>
      </c>
      <c r="AX302">
        <v>0</v>
      </c>
      <c r="AY302">
        <v>0</v>
      </c>
      <c r="AZ302">
        <v>0</v>
      </c>
      <c r="BA302">
        <v>0</v>
      </c>
      <c r="BB302">
        <v>0</v>
      </c>
      <c r="BC302">
        <v>0</v>
      </c>
      <c r="BD302">
        <v>0</v>
      </c>
      <c r="BE302">
        <v>0</v>
      </c>
      <c r="BF302">
        <v>0</v>
      </c>
      <c r="BG302">
        <v>0</v>
      </c>
      <c r="BH302">
        <v>0</v>
      </c>
      <c r="BI302">
        <v>0</v>
      </c>
      <c r="BJ302">
        <v>0</v>
      </c>
      <c r="BK302">
        <v>0</v>
      </c>
      <c r="BL302">
        <v>0</v>
      </c>
      <c r="BM302">
        <v>0</v>
      </c>
      <c r="BN302">
        <v>0</v>
      </c>
      <c r="BO302">
        <v>1</v>
      </c>
      <c r="BP302">
        <v>1</v>
      </c>
      <c r="BQ302">
        <v>1</v>
      </c>
      <c r="BR302">
        <v>1</v>
      </c>
      <c r="BS302">
        <v>1</v>
      </c>
      <c r="BT302">
        <v>2</v>
      </c>
      <c r="BU302">
        <v>2</v>
      </c>
      <c r="BV302">
        <v>3</v>
      </c>
      <c r="BW302">
        <v>3</v>
      </c>
      <c r="BX302">
        <v>3</v>
      </c>
      <c r="BY302">
        <v>3</v>
      </c>
      <c r="BZ302">
        <v>5</v>
      </c>
      <c r="CA302">
        <v>7</v>
      </c>
      <c r="CB302">
        <v>9</v>
      </c>
      <c r="CC302">
        <v>9</v>
      </c>
      <c r="CD302">
        <v>9</v>
      </c>
      <c r="CE302">
        <v>13</v>
      </c>
      <c r="CF302">
        <v>21</v>
      </c>
      <c r="CG302">
        <v>21</v>
      </c>
      <c r="CH302">
        <v>22</v>
      </c>
      <c r="CI302">
        <v>23</v>
      </c>
      <c r="CJ302">
        <v>23</v>
      </c>
      <c r="CK302">
        <v>25</v>
      </c>
      <c r="CL302">
        <v>32</v>
      </c>
      <c r="CM302">
        <v>32</v>
      </c>
      <c r="CN302">
        <v>37</v>
      </c>
      <c r="CO302">
        <v>38</v>
      </c>
      <c r="CP302">
        <v>38</v>
      </c>
      <c r="CQ302">
        <v>42</v>
      </c>
      <c r="CR302">
        <v>42</v>
      </c>
      <c r="CS302">
        <v>48</v>
      </c>
      <c r="CT302">
        <v>51</v>
      </c>
      <c r="CU302">
        <v>53</v>
      </c>
      <c r="CV302">
        <v>53</v>
      </c>
      <c r="CW302">
        <v>60</v>
      </c>
      <c r="CX302">
        <v>60</v>
      </c>
      <c r="CY302">
        <v>60</v>
      </c>
      <c r="CZ302">
        <v>60</v>
      </c>
      <c r="DA302">
        <v>72</v>
      </c>
      <c r="DB302">
        <v>81</v>
      </c>
      <c r="DC302">
        <v>84</v>
      </c>
    </row>
    <row r="303" spans="1:107" x14ac:dyDescent="0.25">
      <c r="A303" t="s">
        <v>2978</v>
      </c>
      <c r="B303" t="s">
        <v>37</v>
      </c>
      <c r="C303">
        <v>846.01525913000012</v>
      </c>
      <c r="D303">
        <v>-1567.0714440100001</v>
      </c>
      <c r="E303">
        <v>8882190</v>
      </c>
      <c r="F303">
        <v>0</v>
      </c>
      <c r="G303">
        <v>0</v>
      </c>
      <c r="H303">
        <v>0</v>
      </c>
      <c r="I303">
        <v>0</v>
      </c>
      <c r="J303">
        <v>0</v>
      </c>
      <c r="K303">
        <v>0</v>
      </c>
      <c r="L303">
        <v>0</v>
      </c>
      <c r="M303">
        <v>0</v>
      </c>
      <c r="N303">
        <v>0</v>
      </c>
      <c r="O303">
        <v>0</v>
      </c>
      <c r="P303">
        <v>0</v>
      </c>
      <c r="Q303">
        <v>0</v>
      </c>
      <c r="R303">
        <v>0</v>
      </c>
      <c r="S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1</v>
      </c>
      <c r="BC303">
        <v>1</v>
      </c>
      <c r="BD303">
        <v>1</v>
      </c>
      <c r="BE303">
        <v>1</v>
      </c>
      <c r="BF303">
        <v>1</v>
      </c>
      <c r="BG303">
        <v>2</v>
      </c>
      <c r="BH303">
        <v>2</v>
      </c>
      <c r="BI303">
        <v>3</v>
      </c>
      <c r="BJ303">
        <v>5</v>
      </c>
      <c r="BK303">
        <v>9</v>
      </c>
      <c r="BL303">
        <v>11</v>
      </c>
      <c r="BM303">
        <v>16</v>
      </c>
      <c r="BN303">
        <v>20</v>
      </c>
      <c r="BO303">
        <v>27</v>
      </c>
      <c r="BP303">
        <v>44</v>
      </c>
      <c r="BQ303">
        <v>62</v>
      </c>
      <c r="BR303">
        <v>81</v>
      </c>
      <c r="BS303">
        <v>108</v>
      </c>
      <c r="BT303">
        <v>140</v>
      </c>
      <c r="BU303">
        <v>161</v>
      </c>
      <c r="BV303">
        <v>198</v>
      </c>
      <c r="BW303">
        <v>267</v>
      </c>
      <c r="BX303">
        <v>355</v>
      </c>
      <c r="BY303">
        <v>537</v>
      </c>
      <c r="BZ303">
        <v>646</v>
      </c>
      <c r="CA303">
        <v>846</v>
      </c>
      <c r="CB303">
        <v>917</v>
      </c>
      <c r="CC303">
        <v>1003</v>
      </c>
      <c r="CD303">
        <v>1232</v>
      </c>
      <c r="CE303">
        <v>1504</v>
      </c>
      <c r="CF303">
        <v>1709</v>
      </c>
      <c r="CG303">
        <v>1932</v>
      </c>
      <c r="CH303">
        <v>2183</v>
      </c>
      <c r="CI303">
        <v>2350</v>
      </c>
      <c r="CJ303">
        <v>2443</v>
      </c>
      <c r="CK303">
        <v>2805</v>
      </c>
      <c r="CL303">
        <v>3156</v>
      </c>
      <c r="CM303">
        <v>3518</v>
      </c>
      <c r="CN303">
        <v>3840</v>
      </c>
      <c r="CO303">
        <v>4070</v>
      </c>
      <c r="CP303">
        <v>4362</v>
      </c>
      <c r="CQ303">
        <v>4496</v>
      </c>
      <c r="CR303">
        <v>4753</v>
      </c>
      <c r="CS303">
        <v>5150</v>
      </c>
      <c r="CT303">
        <v>5426</v>
      </c>
      <c r="CU303">
        <v>5683</v>
      </c>
      <c r="CV303">
        <v>5914</v>
      </c>
      <c r="CW303">
        <v>5938</v>
      </c>
      <c r="CX303">
        <v>6044</v>
      </c>
      <c r="CY303">
        <v>6442</v>
      </c>
      <c r="CZ303">
        <v>6771</v>
      </c>
      <c r="DA303">
        <v>7228</v>
      </c>
      <c r="DB303">
        <v>7538</v>
      </c>
      <c r="DC303">
        <v>7742</v>
      </c>
    </row>
    <row r="304" spans="1:107" x14ac:dyDescent="0.25">
      <c r="A304" t="s">
        <v>2979</v>
      </c>
      <c r="B304" t="s">
        <v>37</v>
      </c>
      <c r="C304">
        <v>1140.1288462999999</v>
      </c>
      <c r="D304">
        <v>-3494.2745445</v>
      </c>
      <c r="E304">
        <v>2096829</v>
      </c>
      <c r="F304">
        <v>0</v>
      </c>
      <c r="G304">
        <v>0</v>
      </c>
      <c r="H304">
        <v>0</v>
      </c>
      <c r="I304">
        <v>0</v>
      </c>
      <c r="J304">
        <v>0</v>
      </c>
      <c r="K304">
        <v>0</v>
      </c>
      <c r="L304">
        <v>0</v>
      </c>
      <c r="M304">
        <v>0</v>
      </c>
      <c r="N304">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v>0</v>
      </c>
      <c r="AZ304">
        <v>0</v>
      </c>
      <c r="BA304">
        <v>0</v>
      </c>
      <c r="BB304">
        <v>0</v>
      </c>
      <c r="BC304">
        <v>0</v>
      </c>
      <c r="BD304">
        <v>0</v>
      </c>
      <c r="BE304">
        <v>0</v>
      </c>
      <c r="BF304">
        <v>0</v>
      </c>
      <c r="BG304">
        <v>0</v>
      </c>
      <c r="BH304">
        <v>0</v>
      </c>
      <c r="BI304">
        <v>0</v>
      </c>
      <c r="BJ304">
        <v>0</v>
      </c>
      <c r="BK304">
        <v>0</v>
      </c>
      <c r="BL304">
        <v>0</v>
      </c>
      <c r="BM304">
        <v>0</v>
      </c>
      <c r="BN304">
        <v>0</v>
      </c>
      <c r="BO304">
        <v>0</v>
      </c>
      <c r="BP304">
        <v>0</v>
      </c>
      <c r="BQ304">
        <v>1</v>
      </c>
      <c r="BR304">
        <v>1</v>
      </c>
      <c r="BS304">
        <v>1</v>
      </c>
      <c r="BT304">
        <v>1</v>
      </c>
      <c r="BU304">
        <v>2</v>
      </c>
      <c r="BV304">
        <v>2</v>
      </c>
      <c r="BW304">
        <v>4</v>
      </c>
      <c r="BX304">
        <v>5</v>
      </c>
      <c r="BY304">
        <v>6</v>
      </c>
      <c r="BZ304">
        <v>10</v>
      </c>
      <c r="CA304">
        <v>11</v>
      </c>
      <c r="CB304">
        <v>12</v>
      </c>
      <c r="CC304">
        <v>12</v>
      </c>
      <c r="CD304">
        <v>13</v>
      </c>
      <c r="CE304">
        <v>13</v>
      </c>
      <c r="CF304">
        <v>16</v>
      </c>
      <c r="CG304">
        <v>17</v>
      </c>
      <c r="CH304">
        <v>19</v>
      </c>
      <c r="CI304">
        <v>26</v>
      </c>
      <c r="CJ304">
        <v>26</v>
      </c>
      <c r="CK304">
        <v>31</v>
      </c>
      <c r="CL304">
        <v>36</v>
      </c>
      <c r="CM304">
        <v>36</v>
      </c>
      <c r="CN304">
        <v>44</v>
      </c>
      <c r="CO304">
        <v>53</v>
      </c>
      <c r="CP304">
        <v>55</v>
      </c>
      <c r="CQ304">
        <v>58</v>
      </c>
      <c r="CR304">
        <v>58</v>
      </c>
      <c r="CS304">
        <v>71</v>
      </c>
      <c r="CT304">
        <v>78</v>
      </c>
      <c r="CU304">
        <v>84</v>
      </c>
      <c r="CV304">
        <v>93</v>
      </c>
      <c r="CW304">
        <v>99</v>
      </c>
      <c r="CX304">
        <v>99</v>
      </c>
      <c r="CY304">
        <v>105</v>
      </c>
      <c r="CZ304">
        <v>112</v>
      </c>
      <c r="DA304">
        <v>123</v>
      </c>
      <c r="DB304">
        <v>131</v>
      </c>
      <c r="DC304">
        <v>138</v>
      </c>
    </row>
    <row r="305" spans="1:107" x14ac:dyDescent="0.25">
      <c r="A305" t="s">
        <v>2980</v>
      </c>
      <c r="B305" t="s">
        <v>37</v>
      </c>
      <c r="C305">
        <v>2637.7373826599996</v>
      </c>
      <c r="D305">
        <v>-4679.3993650800003</v>
      </c>
      <c r="E305">
        <v>23628065</v>
      </c>
      <c r="F305">
        <v>0</v>
      </c>
      <c r="G305">
        <v>0</v>
      </c>
      <c r="H305">
        <v>0</v>
      </c>
      <c r="I305">
        <v>0</v>
      </c>
      <c r="J305">
        <v>0</v>
      </c>
      <c r="K305">
        <v>0</v>
      </c>
      <c r="L305">
        <v>0</v>
      </c>
      <c r="M305">
        <v>0</v>
      </c>
      <c r="N305">
        <v>0</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c r="AP305">
        <v>0</v>
      </c>
      <c r="AQ305">
        <v>0</v>
      </c>
      <c r="AR305">
        <v>0</v>
      </c>
      <c r="AS305">
        <v>0</v>
      </c>
      <c r="AT305">
        <v>0</v>
      </c>
      <c r="AU305">
        <v>0</v>
      </c>
      <c r="AV305">
        <v>0</v>
      </c>
      <c r="AW305">
        <v>0</v>
      </c>
      <c r="AX305">
        <v>0</v>
      </c>
      <c r="AY305">
        <v>0</v>
      </c>
      <c r="AZ305">
        <v>0</v>
      </c>
      <c r="BA305">
        <v>0</v>
      </c>
      <c r="BB305">
        <v>0</v>
      </c>
      <c r="BC305">
        <v>0</v>
      </c>
      <c r="BD305">
        <v>1</v>
      </c>
      <c r="BE305">
        <v>2</v>
      </c>
      <c r="BF305">
        <v>6</v>
      </c>
      <c r="BG305">
        <v>12</v>
      </c>
      <c r="BH305">
        <v>24</v>
      </c>
      <c r="BI305">
        <v>38</v>
      </c>
      <c r="BJ305">
        <v>63</v>
      </c>
      <c r="BK305">
        <v>96</v>
      </c>
      <c r="BL305">
        <v>151</v>
      </c>
      <c r="BM305">
        <v>195</v>
      </c>
      <c r="BN305">
        <v>286</v>
      </c>
      <c r="BO305">
        <v>387</v>
      </c>
      <c r="BP305">
        <v>512</v>
      </c>
      <c r="BQ305">
        <v>659</v>
      </c>
      <c r="BR305">
        <v>902</v>
      </c>
      <c r="BS305">
        <v>1211</v>
      </c>
      <c r="BT305">
        <v>1588</v>
      </c>
      <c r="BU305">
        <v>2016</v>
      </c>
      <c r="BV305">
        <v>2556</v>
      </c>
      <c r="BW305">
        <v>3207</v>
      </c>
      <c r="BX305">
        <v>3917</v>
      </c>
      <c r="BY305">
        <v>4730</v>
      </c>
      <c r="BZ305">
        <v>5418</v>
      </c>
      <c r="CA305">
        <v>5991</v>
      </c>
      <c r="CB305">
        <v>6785</v>
      </c>
      <c r="CC305">
        <v>7809</v>
      </c>
      <c r="CD305">
        <v>8886</v>
      </c>
      <c r="CE305">
        <v>9834</v>
      </c>
      <c r="CF305">
        <v>10778</v>
      </c>
      <c r="CG305">
        <v>11605</v>
      </c>
      <c r="CH305">
        <v>12498</v>
      </c>
      <c r="CI305">
        <v>13442</v>
      </c>
      <c r="CJ305">
        <v>14390</v>
      </c>
      <c r="CK305">
        <v>15261</v>
      </c>
      <c r="CL305">
        <v>16013</v>
      </c>
      <c r="CM305">
        <v>16729</v>
      </c>
      <c r="CN305">
        <v>17755</v>
      </c>
      <c r="CO305">
        <v>18760</v>
      </c>
      <c r="CP305">
        <v>18582</v>
      </c>
      <c r="CQ305">
        <v>19176</v>
      </c>
      <c r="CR305">
        <v>19746</v>
      </c>
      <c r="CS305">
        <v>20203</v>
      </c>
      <c r="CT305">
        <v>20743</v>
      </c>
      <c r="CU305">
        <v>20955</v>
      </c>
      <c r="CV305">
        <v>22009</v>
      </c>
      <c r="CW305">
        <v>22269</v>
      </c>
      <c r="CX305">
        <v>22668</v>
      </c>
      <c r="CY305">
        <v>22912</v>
      </c>
      <c r="CZ305">
        <v>23477</v>
      </c>
      <c r="DA305">
        <v>23587</v>
      </c>
      <c r="DB305">
        <v>24039</v>
      </c>
      <c r="DC305">
        <v>24198</v>
      </c>
    </row>
    <row r="306" spans="1:107" x14ac:dyDescent="0.25">
      <c r="A306" t="s">
        <v>2981</v>
      </c>
      <c r="B306" t="s">
        <v>37</v>
      </c>
      <c r="C306">
        <v>3562.4209710000009</v>
      </c>
      <c r="D306">
        <v>-7950.1098739600029</v>
      </c>
      <c r="E306">
        <v>10488084</v>
      </c>
      <c r="F306">
        <v>0</v>
      </c>
      <c r="G306">
        <v>0</v>
      </c>
      <c r="H306">
        <v>0</v>
      </c>
      <c r="I306">
        <v>0</v>
      </c>
      <c r="J306">
        <v>0</v>
      </c>
      <c r="K306">
        <v>0</v>
      </c>
      <c r="L306">
        <v>0</v>
      </c>
      <c r="M306">
        <v>0</v>
      </c>
      <c r="N306">
        <v>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c r="BJ306">
        <v>0</v>
      </c>
      <c r="BK306">
        <v>0</v>
      </c>
      <c r="BL306">
        <v>0</v>
      </c>
      <c r="BM306">
        <v>0</v>
      </c>
      <c r="BN306">
        <v>0</v>
      </c>
      <c r="BO306">
        <v>0</v>
      </c>
      <c r="BP306">
        <v>0</v>
      </c>
      <c r="BQ306">
        <v>2</v>
      </c>
      <c r="BR306">
        <v>3</v>
      </c>
      <c r="BS306">
        <v>4</v>
      </c>
      <c r="BT306">
        <v>5</v>
      </c>
      <c r="BU306">
        <v>7</v>
      </c>
      <c r="BV306">
        <v>7</v>
      </c>
      <c r="BW306">
        <v>12</v>
      </c>
      <c r="BX306">
        <v>14</v>
      </c>
      <c r="BY306">
        <v>21</v>
      </c>
      <c r="BZ306">
        <v>27</v>
      </c>
      <c r="CA306">
        <v>34</v>
      </c>
      <c r="CB306">
        <v>38</v>
      </c>
      <c r="CC306">
        <v>45</v>
      </c>
      <c r="CD306">
        <v>53</v>
      </c>
      <c r="CE306">
        <v>66</v>
      </c>
      <c r="CF306">
        <v>76</v>
      </c>
      <c r="CG306">
        <v>83</v>
      </c>
      <c r="CH306">
        <v>89</v>
      </c>
      <c r="CI306">
        <v>89</v>
      </c>
      <c r="CJ306">
        <v>94</v>
      </c>
      <c r="CK306">
        <v>112</v>
      </c>
      <c r="CL306">
        <v>130</v>
      </c>
      <c r="CM306">
        <v>150</v>
      </c>
      <c r="CN306">
        <v>177</v>
      </c>
      <c r="CO306">
        <v>187</v>
      </c>
      <c r="CP306">
        <v>200</v>
      </c>
      <c r="CQ306">
        <v>218</v>
      </c>
      <c r="CR306">
        <v>245</v>
      </c>
      <c r="CS306">
        <v>265</v>
      </c>
      <c r="CT306">
        <v>281</v>
      </c>
      <c r="CU306">
        <v>294</v>
      </c>
      <c r="CV306">
        <v>305</v>
      </c>
      <c r="CW306">
        <v>324</v>
      </c>
      <c r="CX306">
        <v>340</v>
      </c>
      <c r="CY306">
        <v>363</v>
      </c>
      <c r="CZ306">
        <v>382</v>
      </c>
      <c r="DA306">
        <v>406</v>
      </c>
      <c r="DB306">
        <v>419</v>
      </c>
      <c r="DC306">
        <v>431</v>
      </c>
    </row>
    <row r="307" spans="1:107" x14ac:dyDescent="0.25">
      <c r="A307" t="s">
        <v>2982</v>
      </c>
      <c r="B307" t="s">
        <v>37</v>
      </c>
      <c r="C307">
        <v>2511.8558565800004</v>
      </c>
      <c r="D307">
        <v>-5313.2178520900006</v>
      </c>
      <c r="E307">
        <v>762062</v>
      </c>
      <c r="F307">
        <v>0</v>
      </c>
      <c r="G307">
        <v>0</v>
      </c>
      <c r="H307">
        <v>0</v>
      </c>
      <c r="I307">
        <v>0</v>
      </c>
      <c r="J307">
        <v>0</v>
      </c>
      <c r="K307">
        <v>0</v>
      </c>
      <c r="L307">
        <v>0</v>
      </c>
      <c r="M307">
        <v>0</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c r="AP307">
        <v>0</v>
      </c>
      <c r="AQ307">
        <v>0</v>
      </c>
      <c r="AR307">
        <v>0</v>
      </c>
      <c r="AS307">
        <v>0</v>
      </c>
      <c r="AT307">
        <v>0</v>
      </c>
      <c r="AU307">
        <v>0</v>
      </c>
      <c r="AV307">
        <v>0</v>
      </c>
      <c r="AW307">
        <v>0</v>
      </c>
      <c r="AX307">
        <v>0</v>
      </c>
      <c r="AY307">
        <v>0</v>
      </c>
      <c r="AZ307">
        <v>0</v>
      </c>
      <c r="BA307">
        <v>0</v>
      </c>
      <c r="BB307">
        <v>0</v>
      </c>
      <c r="BC307">
        <v>0</v>
      </c>
      <c r="BD307">
        <v>0</v>
      </c>
      <c r="BE307">
        <v>0</v>
      </c>
      <c r="BF307">
        <v>0</v>
      </c>
      <c r="BG307">
        <v>0</v>
      </c>
      <c r="BH307">
        <v>0</v>
      </c>
      <c r="BI307">
        <v>0</v>
      </c>
      <c r="BJ307">
        <v>0</v>
      </c>
      <c r="BK307">
        <v>0</v>
      </c>
      <c r="BL307">
        <v>0</v>
      </c>
      <c r="BM307">
        <v>0</v>
      </c>
      <c r="BN307">
        <v>0</v>
      </c>
      <c r="BO307">
        <v>0</v>
      </c>
      <c r="BP307">
        <v>0</v>
      </c>
      <c r="BQ307">
        <v>0</v>
      </c>
      <c r="BR307">
        <v>0</v>
      </c>
      <c r="BS307">
        <v>1</v>
      </c>
      <c r="BT307">
        <v>1</v>
      </c>
      <c r="BU307">
        <v>1</v>
      </c>
      <c r="BV307">
        <v>2</v>
      </c>
      <c r="BW307">
        <v>3</v>
      </c>
      <c r="BX307">
        <v>3</v>
      </c>
      <c r="BY307">
        <v>3</v>
      </c>
      <c r="BZ307">
        <v>3</v>
      </c>
      <c r="CA307">
        <v>3</v>
      </c>
      <c r="CB307">
        <v>3</v>
      </c>
      <c r="CC307">
        <v>3</v>
      </c>
      <c r="CD307">
        <v>4</v>
      </c>
      <c r="CE307">
        <v>4</v>
      </c>
      <c r="CF307">
        <v>5</v>
      </c>
      <c r="CG307">
        <v>6</v>
      </c>
      <c r="CH307">
        <v>7</v>
      </c>
      <c r="CI307">
        <v>7</v>
      </c>
      <c r="CJ307">
        <v>8</v>
      </c>
      <c r="CK307">
        <v>8</v>
      </c>
      <c r="CL307">
        <v>9</v>
      </c>
      <c r="CM307">
        <v>9</v>
      </c>
      <c r="CN307">
        <v>9</v>
      </c>
      <c r="CO307">
        <v>9</v>
      </c>
      <c r="CP307">
        <v>9</v>
      </c>
      <c r="CQ307">
        <v>9</v>
      </c>
      <c r="CR307">
        <v>13</v>
      </c>
      <c r="CS307">
        <v>14</v>
      </c>
      <c r="CT307">
        <v>15</v>
      </c>
      <c r="CU307">
        <v>15</v>
      </c>
      <c r="CV307">
        <v>16</v>
      </c>
      <c r="CW307">
        <v>17</v>
      </c>
      <c r="CX307">
        <v>19</v>
      </c>
      <c r="CY307">
        <v>19</v>
      </c>
      <c r="CZ307">
        <v>19</v>
      </c>
      <c r="DA307">
        <v>19</v>
      </c>
      <c r="DB307">
        <v>23</v>
      </c>
      <c r="DC307">
        <v>24</v>
      </c>
    </row>
    <row r="308" spans="1:107" x14ac:dyDescent="0.25">
      <c r="A308" t="s">
        <v>2983</v>
      </c>
      <c r="B308" t="s">
        <v>37</v>
      </c>
      <c r="C308">
        <v>3547.3389435400018</v>
      </c>
      <c r="D308">
        <v>-7289.5159045800001</v>
      </c>
      <c r="E308">
        <v>11689100</v>
      </c>
      <c r="F308">
        <v>0</v>
      </c>
      <c r="G308">
        <v>0</v>
      </c>
      <c r="H308">
        <v>0</v>
      </c>
      <c r="I308">
        <v>0</v>
      </c>
      <c r="J308">
        <v>0</v>
      </c>
      <c r="K308">
        <v>0</v>
      </c>
      <c r="L308">
        <v>0</v>
      </c>
      <c r="M308">
        <v>0</v>
      </c>
      <c r="N308">
        <v>0</v>
      </c>
      <c r="O308">
        <v>0</v>
      </c>
      <c r="P308">
        <v>0</v>
      </c>
      <c r="Q308">
        <v>0</v>
      </c>
      <c r="R308">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0</v>
      </c>
      <c r="BH308">
        <v>0</v>
      </c>
      <c r="BI308">
        <v>0</v>
      </c>
      <c r="BJ308">
        <v>0</v>
      </c>
      <c r="BK308">
        <v>0</v>
      </c>
      <c r="BL308">
        <v>3</v>
      </c>
      <c r="BM308">
        <v>3</v>
      </c>
      <c r="BN308">
        <v>3</v>
      </c>
      <c r="BO308">
        <v>6</v>
      </c>
      <c r="BP308">
        <v>8</v>
      </c>
      <c r="BQ308">
        <v>11</v>
      </c>
      <c r="BR308">
        <v>15</v>
      </c>
      <c r="BS308">
        <v>19</v>
      </c>
      <c r="BT308">
        <v>25</v>
      </c>
      <c r="BU308">
        <v>29</v>
      </c>
      <c r="BV308">
        <v>40</v>
      </c>
      <c r="BW308">
        <v>55</v>
      </c>
      <c r="BX308">
        <v>65</v>
      </c>
      <c r="BY308">
        <v>81</v>
      </c>
      <c r="BZ308">
        <v>91</v>
      </c>
      <c r="CA308">
        <v>102</v>
      </c>
      <c r="CB308">
        <v>119</v>
      </c>
      <c r="CC308">
        <v>142</v>
      </c>
      <c r="CD308">
        <v>167</v>
      </c>
      <c r="CE308">
        <v>193</v>
      </c>
      <c r="CF308">
        <v>213</v>
      </c>
      <c r="CG308">
        <v>231</v>
      </c>
      <c r="CH308">
        <v>247</v>
      </c>
      <c r="CI308">
        <v>253</v>
      </c>
      <c r="CJ308">
        <v>274</v>
      </c>
      <c r="CK308">
        <v>324</v>
      </c>
      <c r="CL308">
        <v>362</v>
      </c>
      <c r="CM308">
        <v>407</v>
      </c>
      <c r="CN308">
        <v>418</v>
      </c>
      <c r="CO308">
        <v>451</v>
      </c>
      <c r="CP308">
        <v>471</v>
      </c>
      <c r="CQ308">
        <v>509</v>
      </c>
      <c r="CR308">
        <v>557</v>
      </c>
      <c r="CS308">
        <v>610</v>
      </c>
      <c r="CT308">
        <v>656</v>
      </c>
      <c r="CU308">
        <v>690</v>
      </c>
      <c r="CV308">
        <v>711</v>
      </c>
      <c r="CW308">
        <v>728</v>
      </c>
      <c r="CX308">
        <v>753</v>
      </c>
      <c r="CY308">
        <v>799</v>
      </c>
      <c r="CZ308">
        <v>937</v>
      </c>
      <c r="DA308">
        <v>976</v>
      </c>
      <c r="DB308">
        <v>1003</v>
      </c>
      <c r="DC308">
        <v>1022</v>
      </c>
    </row>
    <row r="309" spans="1:107" x14ac:dyDescent="0.25">
      <c r="A309" t="s">
        <v>2984</v>
      </c>
      <c r="B309" t="s">
        <v>37</v>
      </c>
      <c r="C309">
        <v>2733.6474108000002</v>
      </c>
      <c r="D309">
        <v>-7488.3577667199997</v>
      </c>
      <c r="E309">
        <v>3956971</v>
      </c>
      <c r="F309">
        <v>0</v>
      </c>
      <c r="G309">
        <v>0</v>
      </c>
      <c r="H309">
        <v>0</v>
      </c>
      <c r="I309">
        <v>0</v>
      </c>
      <c r="J309">
        <v>0</v>
      </c>
      <c r="K309">
        <v>0</v>
      </c>
      <c r="L309">
        <v>0</v>
      </c>
      <c r="M309">
        <v>0</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c r="AP309">
        <v>0</v>
      </c>
      <c r="AQ309">
        <v>0</v>
      </c>
      <c r="AR309">
        <v>0</v>
      </c>
      <c r="AS309">
        <v>0</v>
      </c>
      <c r="AT309">
        <v>0</v>
      </c>
      <c r="AU309">
        <v>0</v>
      </c>
      <c r="AV309">
        <v>0</v>
      </c>
      <c r="AW309">
        <v>0</v>
      </c>
      <c r="AX309">
        <v>0</v>
      </c>
      <c r="AY309">
        <v>0</v>
      </c>
      <c r="AZ309">
        <v>0</v>
      </c>
      <c r="BA309">
        <v>0</v>
      </c>
      <c r="BB309">
        <v>0</v>
      </c>
      <c r="BC309">
        <v>0</v>
      </c>
      <c r="BD309">
        <v>0</v>
      </c>
      <c r="BE309">
        <v>0</v>
      </c>
      <c r="BF309">
        <v>0</v>
      </c>
      <c r="BG309">
        <v>0</v>
      </c>
      <c r="BH309">
        <v>0</v>
      </c>
      <c r="BI309">
        <v>0</v>
      </c>
      <c r="BJ309">
        <v>0</v>
      </c>
      <c r="BK309">
        <v>1</v>
      </c>
      <c r="BL309">
        <v>1</v>
      </c>
      <c r="BM309">
        <v>1</v>
      </c>
      <c r="BN309">
        <v>2</v>
      </c>
      <c r="BO309">
        <v>2</v>
      </c>
      <c r="BP309">
        <v>3</v>
      </c>
      <c r="BQ309">
        <v>5</v>
      </c>
      <c r="BR309">
        <v>7</v>
      </c>
      <c r="BS309">
        <v>8</v>
      </c>
      <c r="BT309">
        <v>15</v>
      </c>
      <c r="BU309">
        <v>16</v>
      </c>
      <c r="BV309">
        <v>16</v>
      </c>
      <c r="BW309">
        <v>23</v>
      </c>
      <c r="BX309">
        <v>30</v>
      </c>
      <c r="BY309">
        <v>34</v>
      </c>
      <c r="BZ309">
        <v>38</v>
      </c>
      <c r="CA309">
        <v>42</v>
      </c>
      <c r="CB309">
        <v>46</v>
      </c>
      <c r="CC309">
        <v>51</v>
      </c>
      <c r="CD309">
        <v>67</v>
      </c>
      <c r="CE309">
        <v>79</v>
      </c>
      <c r="CF309">
        <v>80</v>
      </c>
      <c r="CG309">
        <v>88</v>
      </c>
      <c r="CH309">
        <v>94</v>
      </c>
      <c r="CI309">
        <v>96</v>
      </c>
      <c r="CJ309">
        <v>99</v>
      </c>
      <c r="CK309">
        <v>108</v>
      </c>
      <c r="CL309">
        <v>123</v>
      </c>
      <c r="CM309">
        <v>131</v>
      </c>
      <c r="CN309">
        <v>136</v>
      </c>
      <c r="CO309">
        <v>136</v>
      </c>
      <c r="CP309">
        <v>140</v>
      </c>
      <c r="CQ309">
        <v>143</v>
      </c>
      <c r="CR309">
        <v>164</v>
      </c>
      <c r="CS309">
        <v>170</v>
      </c>
      <c r="CT309">
        <v>179</v>
      </c>
      <c r="CU309">
        <v>188</v>
      </c>
      <c r="CV309">
        <v>194</v>
      </c>
      <c r="CW309">
        <v>195</v>
      </c>
      <c r="CX309">
        <v>197</v>
      </c>
      <c r="CY309">
        <v>207</v>
      </c>
      <c r="CZ309">
        <v>214</v>
      </c>
      <c r="DA309">
        <v>222</v>
      </c>
      <c r="DB309">
        <v>230</v>
      </c>
      <c r="DC309">
        <v>238</v>
      </c>
    </row>
    <row r="310" spans="1:107" x14ac:dyDescent="0.25">
      <c r="A310" t="s">
        <v>2985</v>
      </c>
      <c r="B310" t="s">
        <v>37</v>
      </c>
      <c r="C310">
        <v>1601.7264242899996</v>
      </c>
      <c r="D310">
        <v>-4373.1691055000001</v>
      </c>
      <c r="E310">
        <v>4217737</v>
      </c>
      <c r="F310">
        <v>0</v>
      </c>
      <c r="G310">
        <v>0</v>
      </c>
      <c r="H310">
        <v>0</v>
      </c>
      <c r="I310">
        <v>0</v>
      </c>
      <c r="J310">
        <v>0</v>
      </c>
      <c r="K310">
        <v>0</v>
      </c>
      <c r="L310">
        <v>0</v>
      </c>
      <c r="M310">
        <v>0</v>
      </c>
      <c r="N310">
        <v>0</v>
      </c>
      <c r="O310">
        <v>0</v>
      </c>
      <c r="P310">
        <v>0</v>
      </c>
      <c r="Q310">
        <v>0</v>
      </c>
      <c r="R310">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1</v>
      </c>
      <c r="BH310">
        <v>1</v>
      </c>
      <c r="BI310">
        <v>1</v>
      </c>
      <c r="BJ310">
        <v>3</v>
      </c>
      <c r="BK310">
        <v>3</v>
      </c>
      <c r="BL310">
        <v>3</v>
      </c>
      <c r="BM310">
        <v>4</v>
      </c>
      <c r="BN310">
        <v>5</v>
      </c>
      <c r="BO310">
        <v>5</v>
      </c>
      <c r="BP310">
        <v>8</v>
      </c>
      <c r="BQ310">
        <v>10</v>
      </c>
      <c r="BR310">
        <v>11</v>
      </c>
      <c r="BS310">
        <v>12</v>
      </c>
      <c r="BT310">
        <v>13</v>
      </c>
      <c r="BU310">
        <v>13</v>
      </c>
      <c r="BV310">
        <v>16</v>
      </c>
      <c r="BW310">
        <v>18</v>
      </c>
      <c r="BX310">
        <v>19</v>
      </c>
      <c r="BY310">
        <v>21</v>
      </c>
      <c r="BZ310">
        <v>22</v>
      </c>
      <c r="CA310">
        <v>22</v>
      </c>
      <c r="CB310">
        <v>27</v>
      </c>
      <c r="CC310">
        <v>27</v>
      </c>
      <c r="CD310">
        <v>29</v>
      </c>
      <c r="CE310">
        <v>33</v>
      </c>
      <c r="CF310">
        <v>44</v>
      </c>
      <c r="CG310">
        <v>44</v>
      </c>
      <c r="CH310">
        <v>48</v>
      </c>
      <c r="CI310">
        <v>52</v>
      </c>
      <c r="CJ310">
        <v>53</v>
      </c>
      <c r="CK310">
        <v>55</v>
      </c>
      <c r="CL310">
        <v>58</v>
      </c>
      <c r="CM310">
        <v>64</v>
      </c>
      <c r="CN310">
        <v>70</v>
      </c>
      <c r="CO310">
        <v>72</v>
      </c>
      <c r="CP310">
        <v>74</v>
      </c>
      <c r="CQ310">
        <v>75</v>
      </c>
      <c r="CR310">
        <v>78</v>
      </c>
      <c r="CS310">
        <v>78</v>
      </c>
      <c r="CT310">
        <v>83</v>
      </c>
      <c r="CU310">
        <v>86</v>
      </c>
      <c r="CV310">
        <v>87</v>
      </c>
      <c r="CW310">
        <v>92</v>
      </c>
      <c r="CX310">
        <v>92</v>
      </c>
      <c r="CY310">
        <v>99</v>
      </c>
      <c r="CZ310">
        <v>101</v>
      </c>
      <c r="DA310">
        <v>103</v>
      </c>
      <c r="DB310">
        <v>104</v>
      </c>
      <c r="DC310">
        <v>109</v>
      </c>
    </row>
    <row r="311" spans="1:107" x14ac:dyDescent="0.25">
      <c r="A311" t="s">
        <v>2986</v>
      </c>
      <c r="B311" t="s">
        <v>37</v>
      </c>
      <c r="C311">
        <v>2734.8112497699994</v>
      </c>
      <c r="D311">
        <v>-5200.2262951800003</v>
      </c>
      <c r="E311">
        <v>12801989</v>
      </c>
      <c r="F311">
        <v>0</v>
      </c>
      <c r="G311">
        <v>0</v>
      </c>
      <c r="H311">
        <v>0</v>
      </c>
      <c r="I311">
        <v>0</v>
      </c>
      <c r="J311">
        <v>0</v>
      </c>
      <c r="K311">
        <v>0</v>
      </c>
      <c r="L311">
        <v>0</v>
      </c>
      <c r="M311">
        <v>0</v>
      </c>
      <c r="N311">
        <v>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c r="AY311">
        <v>0</v>
      </c>
      <c r="AZ311">
        <v>0</v>
      </c>
      <c r="BA311">
        <v>0</v>
      </c>
      <c r="BB311">
        <v>0</v>
      </c>
      <c r="BC311">
        <v>0</v>
      </c>
      <c r="BD311">
        <v>0</v>
      </c>
      <c r="BE311">
        <v>0</v>
      </c>
      <c r="BF311">
        <v>0</v>
      </c>
      <c r="BG311">
        <v>0</v>
      </c>
      <c r="BH311">
        <v>0</v>
      </c>
      <c r="BI311">
        <v>0</v>
      </c>
      <c r="BJ311">
        <v>1</v>
      </c>
      <c r="BK311">
        <v>1</v>
      </c>
      <c r="BL311">
        <v>1</v>
      </c>
      <c r="BM311">
        <v>2</v>
      </c>
      <c r="BN311">
        <v>4</v>
      </c>
      <c r="BO311">
        <v>6</v>
      </c>
      <c r="BP311">
        <v>8</v>
      </c>
      <c r="BQ311">
        <v>15</v>
      </c>
      <c r="BR311">
        <v>18</v>
      </c>
      <c r="BS311">
        <v>22</v>
      </c>
      <c r="BT311">
        <v>34</v>
      </c>
      <c r="BU311">
        <v>41</v>
      </c>
      <c r="BV311">
        <v>50</v>
      </c>
      <c r="BW311">
        <v>63</v>
      </c>
      <c r="BX311">
        <v>74</v>
      </c>
      <c r="BY311">
        <v>90</v>
      </c>
      <c r="BZ311">
        <v>102</v>
      </c>
      <c r="CA311">
        <v>136</v>
      </c>
      <c r="CB311">
        <v>151</v>
      </c>
      <c r="CC311">
        <v>179</v>
      </c>
      <c r="CD311">
        <v>247</v>
      </c>
      <c r="CE311">
        <v>318</v>
      </c>
      <c r="CF311">
        <v>345</v>
      </c>
      <c r="CG311">
        <v>418</v>
      </c>
      <c r="CH311">
        <v>503</v>
      </c>
      <c r="CI311">
        <v>557</v>
      </c>
      <c r="CJ311">
        <v>589</v>
      </c>
      <c r="CK311">
        <v>691</v>
      </c>
      <c r="CL311">
        <v>779</v>
      </c>
      <c r="CM311">
        <v>841</v>
      </c>
      <c r="CN311">
        <v>921</v>
      </c>
      <c r="CO311">
        <v>1042</v>
      </c>
      <c r="CP311">
        <v>1276</v>
      </c>
      <c r="CQ311">
        <v>1348</v>
      </c>
      <c r="CR311">
        <v>1614</v>
      </c>
      <c r="CS311">
        <v>1673</v>
      </c>
      <c r="CT311">
        <v>1724</v>
      </c>
      <c r="CU311">
        <v>1747</v>
      </c>
      <c r="CV311">
        <v>1793</v>
      </c>
      <c r="CW311">
        <v>1816</v>
      </c>
      <c r="CX311">
        <v>1886</v>
      </c>
      <c r="CY311">
        <v>2046</v>
      </c>
      <c r="CZ311">
        <v>2373</v>
      </c>
      <c r="DA311">
        <v>2475</v>
      </c>
      <c r="DB311">
        <v>2635</v>
      </c>
      <c r="DC311">
        <v>2695</v>
      </c>
    </row>
    <row r="312" spans="1:107" x14ac:dyDescent="0.25">
      <c r="A312" t="s">
        <v>2987</v>
      </c>
      <c r="B312" t="s">
        <v>37</v>
      </c>
      <c r="C312">
        <v>208.27571053</v>
      </c>
      <c r="D312">
        <v>-357.32052549000002</v>
      </c>
      <c r="E312">
        <v>1059361</v>
      </c>
      <c r="F312">
        <v>0</v>
      </c>
      <c r="G312">
        <v>0</v>
      </c>
      <c r="H312">
        <v>0</v>
      </c>
      <c r="I312">
        <v>0</v>
      </c>
      <c r="J312">
        <v>0</v>
      </c>
      <c r="K312">
        <v>0</v>
      </c>
      <c r="L312">
        <v>0</v>
      </c>
      <c r="M312">
        <v>0</v>
      </c>
      <c r="N312">
        <v>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c r="AP312">
        <v>0</v>
      </c>
      <c r="AQ312">
        <v>0</v>
      </c>
      <c r="AR312">
        <v>0</v>
      </c>
      <c r="AS312">
        <v>0</v>
      </c>
      <c r="AT312">
        <v>0</v>
      </c>
      <c r="AU312">
        <v>0</v>
      </c>
      <c r="AV312">
        <v>0</v>
      </c>
      <c r="AW312">
        <v>0</v>
      </c>
      <c r="AX312">
        <v>0</v>
      </c>
      <c r="AY312">
        <v>0</v>
      </c>
      <c r="AZ312">
        <v>0</v>
      </c>
      <c r="BA312">
        <v>0</v>
      </c>
      <c r="BB312">
        <v>0</v>
      </c>
      <c r="BC312">
        <v>0</v>
      </c>
      <c r="BD312">
        <v>0</v>
      </c>
      <c r="BE312">
        <v>0</v>
      </c>
      <c r="BF312">
        <v>0</v>
      </c>
      <c r="BG312">
        <v>0</v>
      </c>
      <c r="BH312">
        <v>0</v>
      </c>
      <c r="BI312">
        <v>0</v>
      </c>
      <c r="BJ312">
        <v>0</v>
      </c>
      <c r="BK312">
        <v>0</v>
      </c>
      <c r="BL312">
        <v>0</v>
      </c>
      <c r="BM312">
        <v>0</v>
      </c>
      <c r="BN312">
        <v>0</v>
      </c>
      <c r="BO312">
        <v>0</v>
      </c>
      <c r="BP312">
        <v>0</v>
      </c>
      <c r="BQ312">
        <v>0</v>
      </c>
      <c r="BR312">
        <v>0</v>
      </c>
      <c r="BS312">
        <v>0</v>
      </c>
      <c r="BT312">
        <v>2</v>
      </c>
      <c r="BU312">
        <v>3</v>
      </c>
      <c r="BV312">
        <v>4</v>
      </c>
      <c r="BW312">
        <v>8</v>
      </c>
      <c r="BX312">
        <v>10</v>
      </c>
      <c r="BY312">
        <v>12</v>
      </c>
      <c r="BZ312">
        <v>14</v>
      </c>
      <c r="CA312">
        <v>17</v>
      </c>
      <c r="CB312">
        <v>25</v>
      </c>
      <c r="CC312">
        <v>27</v>
      </c>
      <c r="CD312">
        <v>30</v>
      </c>
      <c r="CE312">
        <v>35</v>
      </c>
      <c r="CF312">
        <v>43</v>
      </c>
      <c r="CG312">
        <v>43</v>
      </c>
      <c r="CH312">
        <v>56</v>
      </c>
      <c r="CI312">
        <v>63</v>
      </c>
      <c r="CJ312">
        <v>63</v>
      </c>
      <c r="CK312">
        <v>80</v>
      </c>
      <c r="CL312">
        <v>80</v>
      </c>
      <c r="CM312">
        <v>87</v>
      </c>
      <c r="CN312">
        <v>118</v>
      </c>
      <c r="CO312">
        <v>137</v>
      </c>
      <c r="CP312">
        <v>150</v>
      </c>
      <c r="CQ312">
        <v>155</v>
      </c>
      <c r="CR312">
        <v>171</v>
      </c>
      <c r="CS312">
        <v>181</v>
      </c>
      <c r="CT312">
        <v>189</v>
      </c>
      <c r="CU312">
        <v>202</v>
      </c>
      <c r="CV312">
        <v>215</v>
      </c>
      <c r="CW312">
        <v>226</v>
      </c>
      <c r="CX312">
        <v>233</v>
      </c>
      <c r="CY312">
        <v>239</v>
      </c>
      <c r="CZ312">
        <v>251</v>
      </c>
      <c r="DA312">
        <v>266</v>
      </c>
      <c r="DB312">
        <v>279</v>
      </c>
      <c r="DC312">
        <v>296</v>
      </c>
    </row>
    <row r="313" spans="1:107" x14ac:dyDescent="0.25">
      <c r="A313" t="s">
        <v>2988</v>
      </c>
      <c r="B313" t="s">
        <v>37</v>
      </c>
      <c r="C313">
        <v>1562.0437180300005</v>
      </c>
      <c r="D313">
        <v>-3725.2363858399995</v>
      </c>
      <c r="E313">
        <v>5148714</v>
      </c>
      <c r="F313">
        <v>0</v>
      </c>
      <c r="G313">
        <v>0</v>
      </c>
      <c r="H313">
        <v>0</v>
      </c>
      <c r="I313">
        <v>0</v>
      </c>
      <c r="J313">
        <v>0</v>
      </c>
      <c r="K313">
        <v>0</v>
      </c>
      <c r="L313">
        <v>0</v>
      </c>
      <c r="M313">
        <v>0</v>
      </c>
      <c r="N313">
        <v>0</v>
      </c>
      <c r="O313">
        <v>0</v>
      </c>
      <c r="P313">
        <v>0</v>
      </c>
      <c r="Q313">
        <v>0</v>
      </c>
      <c r="R313">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0</v>
      </c>
      <c r="AY313">
        <v>0</v>
      </c>
      <c r="AZ313">
        <v>0</v>
      </c>
      <c r="BA313">
        <v>0</v>
      </c>
      <c r="BB313">
        <v>0</v>
      </c>
      <c r="BC313">
        <v>0</v>
      </c>
      <c r="BD313">
        <v>0</v>
      </c>
      <c r="BE313">
        <v>0</v>
      </c>
      <c r="BF313">
        <v>0</v>
      </c>
      <c r="BG313">
        <v>0</v>
      </c>
      <c r="BH313">
        <v>1</v>
      </c>
      <c r="BI313">
        <v>1</v>
      </c>
      <c r="BJ313">
        <v>1</v>
      </c>
      <c r="BK313">
        <v>1</v>
      </c>
      <c r="BL313">
        <v>3</v>
      </c>
      <c r="BM313">
        <v>3</v>
      </c>
      <c r="BN313">
        <v>3</v>
      </c>
      <c r="BO313">
        <v>5</v>
      </c>
      <c r="BP313">
        <v>5</v>
      </c>
      <c r="BQ313">
        <v>7</v>
      </c>
      <c r="BR313">
        <v>9</v>
      </c>
      <c r="BS313">
        <v>13</v>
      </c>
      <c r="BT313">
        <v>15</v>
      </c>
      <c r="BU313">
        <v>16</v>
      </c>
      <c r="BV313">
        <v>18</v>
      </c>
      <c r="BW313">
        <v>22</v>
      </c>
      <c r="BX313">
        <v>26</v>
      </c>
      <c r="BY313">
        <v>31</v>
      </c>
      <c r="BZ313">
        <v>34</v>
      </c>
      <c r="CA313">
        <v>40</v>
      </c>
      <c r="CB313">
        <v>44</v>
      </c>
      <c r="CC313">
        <v>48</v>
      </c>
      <c r="CD313">
        <v>51</v>
      </c>
      <c r="CE313">
        <v>51</v>
      </c>
      <c r="CF313">
        <v>67</v>
      </c>
      <c r="CG313">
        <v>72</v>
      </c>
      <c r="CH313">
        <v>80</v>
      </c>
      <c r="CI313">
        <v>82</v>
      </c>
      <c r="CJ313">
        <v>82</v>
      </c>
      <c r="CK313">
        <v>97</v>
      </c>
      <c r="CL313">
        <v>106</v>
      </c>
      <c r="CM313">
        <v>111</v>
      </c>
      <c r="CN313">
        <v>116</v>
      </c>
      <c r="CO313">
        <v>119</v>
      </c>
      <c r="CP313">
        <v>120</v>
      </c>
      <c r="CQ313">
        <v>123</v>
      </c>
      <c r="CR313">
        <v>124</v>
      </c>
      <c r="CS313">
        <v>140</v>
      </c>
      <c r="CT313">
        <v>150</v>
      </c>
      <c r="CU313">
        <v>157</v>
      </c>
      <c r="CV313">
        <v>166</v>
      </c>
      <c r="CW313">
        <v>174</v>
      </c>
      <c r="CX313">
        <v>177</v>
      </c>
      <c r="CY313">
        <v>192</v>
      </c>
      <c r="CZ313">
        <v>231</v>
      </c>
      <c r="DA313">
        <v>244</v>
      </c>
      <c r="DB313">
        <v>256</v>
      </c>
      <c r="DC313">
        <v>267</v>
      </c>
    </row>
    <row r="314" spans="1:107" x14ac:dyDescent="0.25">
      <c r="A314" t="s">
        <v>2989</v>
      </c>
      <c r="B314" t="s">
        <v>37</v>
      </c>
      <c r="C314">
        <v>2921.9978651999995</v>
      </c>
      <c r="D314">
        <v>-6554.5019881099997</v>
      </c>
      <c r="E314">
        <v>884659</v>
      </c>
      <c r="F314">
        <v>0</v>
      </c>
      <c r="G314">
        <v>0</v>
      </c>
      <c r="H314">
        <v>0</v>
      </c>
      <c r="I314">
        <v>0</v>
      </c>
      <c r="J314">
        <v>0</v>
      </c>
      <c r="K314">
        <v>0</v>
      </c>
      <c r="L314">
        <v>0</v>
      </c>
      <c r="M314">
        <v>0</v>
      </c>
      <c r="N314">
        <v>0</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v>0</v>
      </c>
      <c r="AZ314">
        <v>0</v>
      </c>
      <c r="BA314">
        <v>0</v>
      </c>
      <c r="BB314">
        <v>0</v>
      </c>
      <c r="BC314">
        <v>1</v>
      </c>
      <c r="BD314">
        <v>1</v>
      </c>
      <c r="BE314">
        <v>1</v>
      </c>
      <c r="BF314">
        <v>1</v>
      </c>
      <c r="BG314">
        <v>1</v>
      </c>
      <c r="BH314">
        <v>1</v>
      </c>
      <c r="BI314">
        <v>1</v>
      </c>
      <c r="BJ314">
        <v>1</v>
      </c>
      <c r="BK314">
        <v>1</v>
      </c>
      <c r="BL314">
        <v>1</v>
      </c>
      <c r="BM314">
        <v>1</v>
      </c>
      <c r="BN314">
        <v>1</v>
      </c>
      <c r="BO314">
        <v>1</v>
      </c>
      <c r="BP314">
        <v>1</v>
      </c>
      <c r="BQ314">
        <v>1</v>
      </c>
      <c r="BR314">
        <v>1</v>
      </c>
      <c r="BS314">
        <v>1</v>
      </c>
      <c r="BT314">
        <v>1</v>
      </c>
      <c r="BU314">
        <v>1</v>
      </c>
      <c r="BV314">
        <v>1</v>
      </c>
      <c r="BW314">
        <v>1</v>
      </c>
      <c r="BX314">
        <v>2</v>
      </c>
      <c r="BY314">
        <v>2</v>
      </c>
      <c r="BZ314">
        <v>2</v>
      </c>
      <c r="CA314">
        <v>2</v>
      </c>
      <c r="CB314">
        <v>2</v>
      </c>
      <c r="CC314">
        <v>4</v>
      </c>
      <c r="CD314">
        <v>6</v>
      </c>
      <c r="CE314">
        <v>6</v>
      </c>
      <c r="CF314">
        <v>6</v>
      </c>
      <c r="CG314">
        <v>6</v>
      </c>
      <c r="CH314">
        <v>6</v>
      </c>
      <c r="CI314">
        <v>6</v>
      </c>
      <c r="CJ314">
        <v>6</v>
      </c>
      <c r="CK314">
        <v>6</v>
      </c>
      <c r="CL314">
        <v>6</v>
      </c>
      <c r="CM314">
        <v>7</v>
      </c>
      <c r="CN314">
        <v>7</v>
      </c>
      <c r="CO314">
        <v>7</v>
      </c>
      <c r="CP314">
        <v>7</v>
      </c>
      <c r="CQ314">
        <v>7</v>
      </c>
      <c r="CR314">
        <v>8</v>
      </c>
      <c r="CS314">
        <v>9</v>
      </c>
      <c r="CT314">
        <v>9</v>
      </c>
      <c r="CU314">
        <v>10</v>
      </c>
      <c r="CV314">
        <v>10</v>
      </c>
      <c r="CW314">
        <v>11</v>
      </c>
      <c r="CX314">
        <v>11</v>
      </c>
      <c r="CY314">
        <v>11</v>
      </c>
      <c r="CZ314">
        <v>13</v>
      </c>
      <c r="DA314">
        <v>17</v>
      </c>
      <c r="DB314">
        <v>21</v>
      </c>
      <c r="DC314">
        <v>21</v>
      </c>
    </row>
    <row r="315" spans="1:107" x14ac:dyDescent="0.25">
      <c r="A315" t="s">
        <v>2990</v>
      </c>
      <c r="B315" t="s">
        <v>37</v>
      </c>
      <c r="C315">
        <v>3409.0847101599993</v>
      </c>
      <c r="D315">
        <v>-8180.3286839199982</v>
      </c>
      <c r="E315">
        <v>6829174</v>
      </c>
      <c r="F315">
        <v>0</v>
      </c>
      <c r="G315">
        <v>0</v>
      </c>
      <c r="H315">
        <v>0</v>
      </c>
      <c r="I315">
        <v>0</v>
      </c>
      <c r="J315">
        <v>0</v>
      </c>
      <c r="K315">
        <v>0</v>
      </c>
      <c r="L315">
        <v>0</v>
      </c>
      <c r="M315">
        <v>0</v>
      </c>
      <c r="N315">
        <v>0</v>
      </c>
      <c r="O315">
        <v>0</v>
      </c>
      <c r="P315">
        <v>0</v>
      </c>
      <c r="Q315">
        <v>0</v>
      </c>
      <c r="R31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0</v>
      </c>
      <c r="BD315">
        <v>0</v>
      </c>
      <c r="BE315">
        <v>0</v>
      </c>
      <c r="BF315">
        <v>0</v>
      </c>
      <c r="BG315">
        <v>0</v>
      </c>
      <c r="BH315">
        <v>0</v>
      </c>
      <c r="BI315">
        <v>0</v>
      </c>
      <c r="BJ315">
        <v>0</v>
      </c>
      <c r="BK315">
        <v>0</v>
      </c>
      <c r="BL315">
        <v>1</v>
      </c>
      <c r="BM315">
        <v>1</v>
      </c>
      <c r="BN315">
        <v>2</v>
      </c>
      <c r="BO315">
        <v>2</v>
      </c>
      <c r="BP315">
        <v>2</v>
      </c>
      <c r="BQ315">
        <v>3</v>
      </c>
      <c r="BR315">
        <v>3</v>
      </c>
      <c r="BS315">
        <v>6</v>
      </c>
      <c r="BT315">
        <v>7</v>
      </c>
      <c r="BU315">
        <v>8</v>
      </c>
      <c r="BV315">
        <v>14</v>
      </c>
      <c r="BW315">
        <v>23</v>
      </c>
      <c r="BX315">
        <v>24</v>
      </c>
      <c r="BY315">
        <v>36</v>
      </c>
      <c r="BZ315">
        <v>41</v>
      </c>
      <c r="CA315">
        <v>50</v>
      </c>
      <c r="CB315">
        <v>53</v>
      </c>
      <c r="CC315">
        <v>65</v>
      </c>
      <c r="CD315">
        <v>72</v>
      </c>
      <c r="CE315">
        <v>80</v>
      </c>
      <c r="CF315">
        <v>94</v>
      </c>
      <c r="CG315">
        <v>98</v>
      </c>
      <c r="CH315">
        <v>106</v>
      </c>
      <c r="CI315">
        <v>106</v>
      </c>
      <c r="CJ315">
        <v>109</v>
      </c>
      <c r="CK315">
        <v>124</v>
      </c>
      <c r="CL315">
        <v>124</v>
      </c>
      <c r="CM315">
        <v>136</v>
      </c>
      <c r="CN315">
        <v>141</v>
      </c>
      <c r="CO315">
        <v>142</v>
      </c>
      <c r="CP315">
        <v>148</v>
      </c>
      <c r="CQ315">
        <v>152</v>
      </c>
      <c r="CR315">
        <v>157</v>
      </c>
      <c r="CS315">
        <v>157</v>
      </c>
      <c r="CT315">
        <v>171</v>
      </c>
      <c r="CU315">
        <v>169</v>
      </c>
      <c r="CV315">
        <v>177</v>
      </c>
      <c r="CW315">
        <v>181</v>
      </c>
      <c r="CX315">
        <v>184</v>
      </c>
      <c r="CY315">
        <v>188</v>
      </c>
      <c r="CZ315">
        <v>195</v>
      </c>
      <c r="DA315">
        <v>199</v>
      </c>
      <c r="DB315">
        <v>204</v>
      </c>
      <c r="DC315">
        <v>209</v>
      </c>
    </row>
    <row r="316" spans="1:107" x14ac:dyDescent="0.25">
      <c r="A316" t="s">
        <v>2991</v>
      </c>
      <c r="B316" t="s">
        <v>37</v>
      </c>
      <c r="C316">
        <v>8041.8034343399986</v>
      </c>
      <c r="D316">
        <v>-25057.879425249983</v>
      </c>
      <c r="E316">
        <v>28995881</v>
      </c>
      <c r="F316">
        <v>0</v>
      </c>
      <c r="G316">
        <v>0</v>
      </c>
      <c r="H316">
        <v>0</v>
      </c>
      <c r="I316">
        <v>0</v>
      </c>
      <c r="J316">
        <v>0</v>
      </c>
      <c r="K316">
        <v>0</v>
      </c>
      <c r="L316">
        <v>0</v>
      </c>
      <c r="M316">
        <v>0</v>
      </c>
      <c r="N316">
        <v>0</v>
      </c>
      <c r="O316">
        <v>0</v>
      </c>
      <c r="P316">
        <v>0</v>
      </c>
      <c r="Q316">
        <v>0</v>
      </c>
      <c r="R316">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0</v>
      </c>
      <c r="BD316">
        <v>0</v>
      </c>
      <c r="BE316">
        <v>0</v>
      </c>
      <c r="BF316">
        <v>0</v>
      </c>
      <c r="BG316">
        <v>0</v>
      </c>
      <c r="BH316">
        <v>0</v>
      </c>
      <c r="BI316">
        <v>1</v>
      </c>
      <c r="BJ316">
        <v>3</v>
      </c>
      <c r="BK316">
        <v>5</v>
      </c>
      <c r="BL316">
        <v>4</v>
      </c>
      <c r="BM316">
        <v>5</v>
      </c>
      <c r="BN316">
        <v>7</v>
      </c>
      <c r="BO316">
        <v>9</v>
      </c>
      <c r="BP316">
        <v>12</v>
      </c>
      <c r="BQ316">
        <v>15</v>
      </c>
      <c r="BR316">
        <v>21</v>
      </c>
      <c r="BS316">
        <v>26</v>
      </c>
      <c r="BT316">
        <v>30</v>
      </c>
      <c r="BU316">
        <v>37</v>
      </c>
      <c r="BV316">
        <v>45</v>
      </c>
      <c r="BW316">
        <v>54</v>
      </c>
      <c r="BX316">
        <v>66</v>
      </c>
      <c r="BY316">
        <v>77</v>
      </c>
      <c r="BZ316">
        <v>100</v>
      </c>
      <c r="CA316">
        <v>116</v>
      </c>
      <c r="CB316">
        <v>136</v>
      </c>
      <c r="CC316">
        <v>150</v>
      </c>
      <c r="CD316">
        <v>160</v>
      </c>
      <c r="CE316">
        <v>189</v>
      </c>
      <c r="CF316">
        <v>210</v>
      </c>
      <c r="CG316">
        <v>238</v>
      </c>
      <c r="CH316">
        <v>266</v>
      </c>
      <c r="CI316">
        <v>283</v>
      </c>
      <c r="CJ316">
        <v>305</v>
      </c>
      <c r="CK316">
        <v>342</v>
      </c>
      <c r="CL316">
        <v>375</v>
      </c>
      <c r="CM316">
        <v>414</v>
      </c>
      <c r="CN316">
        <v>451</v>
      </c>
      <c r="CO316">
        <v>476</v>
      </c>
      <c r="CP316">
        <v>490</v>
      </c>
      <c r="CQ316">
        <v>507</v>
      </c>
      <c r="CR316">
        <v>533</v>
      </c>
      <c r="CS316">
        <v>556</v>
      </c>
      <c r="CT316">
        <v>604</v>
      </c>
      <c r="CU316">
        <v>624</v>
      </c>
      <c r="CV316">
        <v>638</v>
      </c>
      <c r="CW316">
        <v>651</v>
      </c>
      <c r="CX316">
        <v>666</v>
      </c>
      <c r="CY316">
        <v>719</v>
      </c>
      <c r="CZ316">
        <v>754</v>
      </c>
      <c r="DA316">
        <v>812</v>
      </c>
      <c r="DB316">
        <v>840</v>
      </c>
      <c r="DC316">
        <v>863</v>
      </c>
    </row>
    <row r="317" spans="1:107" x14ac:dyDescent="0.25">
      <c r="A317" t="s">
        <v>2992</v>
      </c>
      <c r="B317" t="s">
        <v>37</v>
      </c>
      <c r="C317">
        <v>1388.55098628</v>
      </c>
      <c r="D317">
        <v>-3904.519943400001</v>
      </c>
      <c r="E317">
        <v>3205958</v>
      </c>
      <c r="F317">
        <v>0</v>
      </c>
      <c r="G317">
        <v>0</v>
      </c>
      <c r="H317">
        <v>0</v>
      </c>
      <c r="I317">
        <v>0</v>
      </c>
      <c r="J317">
        <v>0</v>
      </c>
      <c r="K317">
        <v>0</v>
      </c>
      <c r="L317">
        <v>0</v>
      </c>
      <c r="M317">
        <v>0</v>
      </c>
      <c r="N317">
        <v>0</v>
      </c>
      <c r="O317">
        <v>0</v>
      </c>
      <c r="P317">
        <v>0</v>
      </c>
      <c r="Q317">
        <v>0</v>
      </c>
      <c r="R317">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0</v>
      </c>
      <c r="AY317">
        <v>0</v>
      </c>
      <c r="AZ317">
        <v>0</v>
      </c>
      <c r="BA317">
        <v>0</v>
      </c>
      <c r="BB317">
        <v>0</v>
      </c>
      <c r="BC317">
        <v>0</v>
      </c>
      <c r="BD317">
        <v>0</v>
      </c>
      <c r="BE317">
        <v>0</v>
      </c>
      <c r="BF317">
        <v>0</v>
      </c>
      <c r="BG317">
        <v>0</v>
      </c>
      <c r="BH317">
        <v>0</v>
      </c>
      <c r="BI317">
        <v>0</v>
      </c>
      <c r="BJ317">
        <v>0</v>
      </c>
      <c r="BK317">
        <v>0</v>
      </c>
      <c r="BL317">
        <v>0</v>
      </c>
      <c r="BM317">
        <v>0</v>
      </c>
      <c r="BN317">
        <v>1</v>
      </c>
      <c r="BO317">
        <v>1</v>
      </c>
      <c r="BP317">
        <v>1</v>
      </c>
      <c r="BQ317">
        <v>1</v>
      </c>
      <c r="BR317">
        <v>1</v>
      </c>
      <c r="BS317">
        <v>1</v>
      </c>
      <c r="BT317">
        <v>1</v>
      </c>
      <c r="BU317">
        <v>2</v>
      </c>
      <c r="BV317">
        <v>4</v>
      </c>
      <c r="BW317">
        <v>5</v>
      </c>
      <c r="BX317">
        <v>5</v>
      </c>
      <c r="BY317">
        <v>7</v>
      </c>
      <c r="BZ317">
        <v>7</v>
      </c>
      <c r="CA317">
        <v>8</v>
      </c>
      <c r="CB317">
        <v>8</v>
      </c>
      <c r="CC317">
        <v>13</v>
      </c>
      <c r="CD317">
        <v>13</v>
      </c>
      <c r="CE317">
        <v>13</v>
      </c>
      <c r="CF317">
        <v>13</v>
      </c>
      <c r="CG317">
        <v>17</v>
      </c>
      <c r="CH317">
        <v>18</v>
      </c>
      <c r="CI317">
        <v>18</v>
      </c>
      <c r="CJ317">
        <v>13</v>
      </c>
      <c r="CK317">
        <v>18</v>
      </c>
      <c r="CL317">
        <v>20</v>
      </c>
      <c r="CM317">
        <v>20</v>
      </c>
      <c r="CN317">
        <v>23</v>
      </c>
      <c r="CO317">
        <v>25</v>
      </c>
      <c r="CP317">
        <v>27</v>
      </c>
      <c r="CQ317">
        <v>28</v>
      </c>
      <c r="CR317">
        <v>32</v>
      </c>
      <c r="CS317">
        <v>32</v>
      </c>
      <c r="CT317">
        <v>35</v>
      </c>
      <c r="CU317">
        <v>39</v>
      </c>
      <c r="CV317">
        <v>41</v>
      </c>
      <c r="CW317">
        <v>41</v>
      </c>
      <c r="CX317">
        <v>41</v>
      </c>
      <c r="CY317">
        <v>41</v>
      </c>
      <c r="CZ317">
        <v>45</v>
      </c>
      <c r="DA317">
        <v>46</v>
      </c>
      <c r="DB317">
        <v>46</v>
      </c>
      <c r="DC317">
        <v>49</v>
      </c>
    </row>
    <row r="318" spans="1:107" x14ac:dyDescent="0.25">
      <c r="A318" t="s">
        <v>2993</v>
      </c>
      <c r="B318" t="s">
        <v>37</v>
      </c>
      <c r="C318">
        <v>618.23294118000013</v>
      </c>
      <c r="D318">
        <v>-1017.58132988</v>
      </c>
      <c r="E318">
        <v>623989</v>
      </c>
      <c r="F318">
        <v>0</v>
      </c>
      <c r="G318">
        <v>0</v>
      </c>
      <c r="H318">
        <v>0</v>
      </c>
      <c r="I318">
        <v>0</v>
      </c>
      <c r="J318">
        <v>0</v>
      </c>
      <c r="K318">
        <v>0</v>
      </c>
      <c r="L318">
        <v>0</v>
      </c>
      <c r="M318">
        <v>0</v>
      </c>
      <c r="N318">
        <v>0</v>
      </c>
      <c r="O318">
        <v>0</v>
      </c>
      <c r="P318">
        <v>0</v>
      </c>
      <c r="Q318">
        <v>0</v>
      </c>
      <c r="R318">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c r="AP318">
        <v>0</v>
      </c>
      <c r="AQ318">
        <v>0</v>
      </c>
      <c r="AR318">
        <v>0</v>
      </c>
      <c r="AS318">
        <v>0</v>
      </c>
      <c r="AT318">
        <v>0</v>
      </c>
      <c r="AU318">
        <v>0</v>
      </c>
      <c r="AV318">
        <v>0</v>
      </c>
      <c r="AW318">
        <v>0</v>
      </c>
      <c r="AX318">
        <v>0</v>
      </c>
      <c r="AY318">
        <v>0</v>
      </c>
      <c r="AZ318">
        <v>0</v>
      </c>
      <c r="BA318">
        <v>0</v>
      </c>
      <c r="BB318">
        <v>0</v>
      </c>
      <c r="BC318">
        <v>0</v>
      </c>
      <c r="BD318">
        <v>0</v>
      </c>
      <c r="BE318">
        <v>0</v>
      </c>
      <c r="BF318">
        <v>0</v>
      </c>
      <c r="BG318">
        <v>0</v>
      </c>
      <c r="BH318">
        <v>0</v>
      </c>
      <c r="BI318">
        <v>0</v>
      </c>
      <c r="BJ318">
        <v>0</v>
      </c>
      <c r="BK318">
        <v>2</v>
      </c>
      <c r="BL318">
        <v>2</v>
      </c>
      <c r="BM318">
        <v>2</v>
      </c>
      <c r="BN318">
        <v>2</v>
      </c>
      <c r="BO318">
        <v>5</v>
      </c>
      <c r="BP318">
        <v>7</v>
      </c>
      <c r="BQ318">
        <v>8</v>
      </c>
      <c r="BR318">
        <v>9</v>
      </c>
      <c r="BS318">
        <v>10</v>
      </c>
      <c r="BT318">
        <v>12</v>
      </c>
      <c r="BU318">
        <v>12</v>
      </c>
      <c r="BV318">
        <v>12</v>
      </c>
      <c r="BW318">
        <v>13</v>
      </c>
      <c r="BX318">
        <v>16</v>
      </c>
      <c r="BY318">
        <v>17</v>
      </c>
      <c r="BZ318">
        <v>17</v>
      </c>
      <c r="CA318">
        <v>20</v>
      </c>
      <c r="CB318">
        <v>22</v>
      </c>
      <c r="CC318">
        <v>23</v>
      </c>
      <c r="CD318">
        <v>23</v>
      </c>
      <c r="CE318">
        <v>23</v>
      </c>
      <c r="CF318">
        <v>23</v>
      </c>
      <c r="CG318">
        <v>24</v>
      </c>
      <c r="CH318">
        <v>25</v>
      </c>
      <c r="CI318">
        <v>27</v>
      </c>
      <c r="CJ318">
        <v>28</v>
      </c>
      <c r="CK318">
        <v>29</v>
      </c>
      <c r="CL318">
        <v>29</v>
      </c>
      <c r="CM318">
        <v>33</v>
      </c>
      <c r="CN318">
        <v>35</v>
      </c>
      <c r="CO318">
        <v>38</v>
      </c>
      <c r="CP318">
        <v>38</v>
      </c>
      <c r="CQ318">
        <v>38</v>
      </c>
      <c r="CR318">
        <v>40</v>
      </c>
      <c r="CS318">
        <v>40</v>
      </c>
      <c r="CT318">
        <v>43</v>
      </c>
      <c r="CU318">
        <v>44</v>
      </c>
      <c r="CV318">
        <v>46</v>
      </c>
      <c r="CW318">
        <v>46</v>
      </c>
      <c r="CX318">
        <v>47</v>
      </c>
      <c r="CY318">
        <v>47</v>
      </c>
      <c r="CZ318">
        <v>47</v>
      </c>
      <c r="DA318">
        <v>49</v>
      </c>
      <c r="DB318">
        <v>50</v>
      </c>
      <c r="DC318">
        <v>51</v>
      </c>
    </row>
    <row r="319" spans="1:107" x14ac:dyDescent="0.25">
      <c r="A319" t="s">
        <v>2994</v>
      </c>
      <c r="B319" t="s">
        <v>37</v>
      </c>
      <c r="C319">
        <v>4996.2979932599992</v>
      </c>
      <c r="D319">
        <v>-10442.323660759994</v>
      </c>
      <c r="E319">
        <v>8535519</v>
      </c>
      <c r="F319">
        <v>0</v>
      </c>
      <c r="G319">
        <v>0</v>
      </c>
      <c r="H319">
        <v>0</v>
      </c>
      <c r="I319">
        <v>0</v>
      </c>
      <c r="J319">
        <v>0</v>
      </c>
      <c r="K319">
        <v>0</v>
      </c>
      <c r="L319">
        <v>0</v>
      </c>
      <c r="M319">
        <v>0</v>
      </c>
      <c r="N319">
        <v>0</v>
      </c>
      <c r="O319">
        <v>0</v>
      </c>
      <c r="P319">
        <v>0</v>
      </c>
      <c r="Q319">
        <v>0</v>
      </c>
      <c r="R319">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v>0</v>
      </c>
      <c r="AZ319">
        <v>0</v>
      </c>
      <c r="BA319">
        <v>0</v>
      </c>
      <c r="BB319">
        <v>0</v>
      </c>
      <c r="BC319">
        <v>0</v>
      </c>
      <c r="BD319">
        <v>0</v>
      </c>
      <c r="BE319">
        <v>0</v>
      </c>
      <c r="BF319">
        <v>1</v>
      </c>
      <c r="BG319">
        <v>1</v>
      </c>
      <c r="BH319">
        <v>2</v>
      </c>
      <c r="BI319">
        <v>2</v>
      </c>
      <c r="BJ319">
        <v>2</v>
      </c>
      <c r="BK319">
        <v>2</v>
      </c>
      <c r="BL319">
        <v>2</v>
      </c>
      <c r="BM319">
        <v>3</v>
      </c>
      <c r="BN319">
        <v>6</v>
      </c>
      <c r="BO319">
        <v>6</v>
      </c>
      <c r="BP319">
        <v>9</v>
      </c>
      <c r="BQ319">
        <v>9</v>
      </c>
      <c r="BR319">
        <v>10</v>
      </c>
      <c r="BS319">
        <v>10</v>
      </c>
      <c r="BT319">
        <v>13</v>
      </c>
      <c r="BU319">
        <v>20</v>
      </c>
      <c r="BV319">
        <v>15</v>
      </c>
      <c r="BW319">
        <v>27</v>
      </c>
      <c r="BX319">
        <v>34</v>
      </c>
      <c r="BY319">
        <v>41</v>
      </c>
      <c r="BZ319">
        <v>46</v>
      </c>
      <c r="CA319">
        <v>52</v>
      </c>
      <c r="CB319">
        <v>52</v>
      </c>
      <c r="CC319">
        <v>66</v>
      </c>
      <c r="CD319">
        <v>66</v>
      </c>
      <c r="CE319">
        <v>66</v>
      </c>
      <c r="CF319">
        <v>109</v>
      </c>
      <c r="CG319">
        <v>121</v>
      </c>
      <c r="CH319">
        <v>130</v>
      </c>
      <c r="CI319">
        <v>141</v>
      </c>
      <c r="CJ319">
        <v>149</v>
      </c>
      <c r="CK319">
        <v>154</v>
      </c>
      <c r="CL319">
        <v>195</v>
      </c>
      <c r="CM319">
        <v>208</v>
      </c>
      <c r="CN319">
        <v>231</v>
      </c>
      <c r="CO319">
        <v>258</v>
      </c>
      <c r="CP319">
        <v>277</v>
      </c>
      <c r="CQ319">
        <v>300</v>
      </c>
      <c r="CR319">
        <v>324</v>
      </c>
      <c r="CS319">
        <v>349</v>
      </c>
      <c r="CT319">
        <v>373</v>
      </c>
      <c r="CU319">
        <v>411</v>
      </c>
      <c r="CV319">
        <v>437</v>
      </c>
      <c r="CW319">
        <v>449</v>
      </c>
      <c r="CX319">
        <v>460</v>
      </c>
      <c r="CY319">
        <v>492</v>
      </c>
      <c r="CZ319">
        <v>522</v>
      </c>
      <c r="DA319">
        <v>552</v>
      </c>
      <c r="DB319">
        <v>581</v>
      </c>
      <c r="DC319">
        <v>617</v>
      </c>
    </row>
    <row r="320" spans="1:107" x14ac:dyDescent="0.25">
      <c r="A320" t="s">
        <v>2995</v>
      </c>
      <c r="B320" t="s">
        <v>37</v>
      </c>
      <c r="C320">
        <v>1842.1176703799999</v>
      </c>
      <c r="D320">
        <v>-4708.0495962000014</v>
      </c>
      <c r="E320">
        <v>7614893</v>
      </c>
      <c r="F320">
        <v>0</v>
      </c>
      <c r="G320">
        <v>0</v>
      </c>
      <c r="H320">
        <v>0</v>
      </c>
      <c r="I320">
        <v>0</v>
      </c>
      <c r="J320">
        <v>0</v>
      </c>
      <c r="K320">
        <v>0</v>
      </c>
      <c r="L320">
        <v>0</v>
      </c>
      <c r="M320">
        <v>0</v>
      </c>
      <c r="N320">
        <v>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c r="AP320">
        <v>0</v>
      </c>
      <c r="AQ320">
        <v>0</v>
      </c>
      <c r="AR320">
        <v>1</v>
      </c>
      <c r="AS320">
        <v>1</v>
      </c>
      <c r="AT320">
        <v>6</v>
      </c>
      <c r="AU320">
        <v>7</v>
      </c>
      <c r="AV320">
        <v>10</v>
      </c>
      <c r="AW320">
        <v>11</v>
      </c>
      <c r="AX320">
        <v>13</v>
      </c>
      <c r="AY320">
        <v>16</v>
      </c>
      <c r="AZ320">
        <v>18</v>
      </c>
      <c r="BA320">
        <v>19</v>
      </c>
      <c r="BB320">
        <v>23</v>
      </c>
      <c r="BC320">
        <v>24</v>
      </c>
      <c r="BD320">
        <v>31</v>
      </c>
      <c r="BE320">
        <v>37</v>
      </c>
      <c r="BF320">
        <v>39</v>
      </c>
      <c r="BG320">
        <v>40</v>
      </c>
      <c r="BH320">
        <v>48</v>
      </c>
      <c r="BI320">
        <v>55</v>
      </c>
      <c r="BJ320">
        <v>67</v>
      </c>
      <c r="BK320">
        <v>73</v>
      </c>
      <c r="BL320">
        <v>83</v>
      </c>
      <c r="BM320">
        <v>94</v>
      </c>
      <c r="BN320">
        <v>97</v>
      </c>
      <c r="BO320">
        <v>109</v>
      </c>
      <c r="BP320">
        <v>116</v>
      </c>
      <c r="BQ320">
        <v>133</v>
      </c>
      <c r="BR320">
        <v>150</v>
      </c>
      <c r="BS320">
        <v>157</v>
      </c>
      <c r="BT320">
        <v>188</v>
      </c>
      <c r="BU320">
        <v>198</v>
      </c>
      <c r="BV320">
        <v>205</v>
      </c>
      <c r="BW320">
        <v>225</v>
      </c>
      <c r="BX320">
        <v>234</v>
      </c>
      <c r="BY320">
        <v>271</v>
      </c>
      <c r="BZ320">
        <v>291</v>
      </c>
      <c r="CA320">
        <v>315</v>
      </c>
      <c r="CB320">
        <v>336</v>
      </c>
      <c r="CC320">
        <v>381</v>
      </c>
      <c r="CD320">
        <v>400</v>
      </c>
      <c r="CE320">
        <v>426</v>
      </c>
      <c r="CF320">
        <v>456</v>
      </c>
      <c r="CG320">
        <v>483</v>
      </c>
      <c r="CH320">
        <v>495</v>
      </c>
      <c r="CI320">
        <v>506</v>
      </c>
      <c r="CJ320">
        <v>513</v>
      </c>
      <c r="CK320">
        <v>530</v>
      </c>
      <c r="CL320">
        <v>552</v>
      </c>
      <c r="CM320">
        <v>579</v>
      </c>
      <c r="CN320">
        <v>603</v>
      </c>
      <c r="CO320">
        <v>613</v>
      </c>
      <c r="CP320">
        <v>636</v>
      </c>
      <c r="CQ320">
        <v>643</v>
      </c>
      <c r="CR320">
        <v>664</v>
      </c>
      <c r="CS320">
        <v>686</v>
      </c>
      <c r="CT320">
        <v>711</v>
      </c>
      <c r="CU320">
        <v>722</v>
      </c>
      <c r="CV320">
        <v>737</v>
      </c>
      <c r="CW320">
        <v>749</v>
      </c>
      <c r="CX320">
        <v>764</v>
      </c>
      <c r="CY320">
        <v>786</v>
      </c>
      <c r="CZ320">
        <v>801</v>
      </c>
      <c r="DA320">
        <v>814</v>
      </c>
      <c r="DB320">
        <v>824</v>
      </c>
      <c r="DC320">
        <v>830</v>
      </c>
    </row>
    <row r="321" spans="1:107" x14ac:dyDescent="0.25">
      <c r="A321" t="s">
        <v>2996</v>
      </c>
      <c r="B321" t="s">
        <v>37</v>
      </c>
      <c r="C321">
        <v>2134.78395387</v>
      </c>
      <c r="D321">
        <v>-4433.9599982299987</v>
      </c>
      <c r="E321">
        <v>1792147</v>
      </c>
      <c r="F321">
        <v>0</v>
      </c>
      <c r="G321">
        <v>0</v>
      </c>
      <c r="H321">
        <v>0</v>
      </c>
      <c r="I321">
        <v>0</v>
      </c>
      <c r="J321">
        <v>0</v>
      </c>
      <c r="K321">
        <v>0</v>
      </c>
      <c r="L321">
        <v>0</v>
      </c>
      <c r="M321">
        <v>0</v>
      </c>
      <c r="N321">
        <v>0</v>
      </c>
      <c r="O321">
        <v>0</v>
      </c>
      <c r="P321">
        <v>0</v>
      </c>
      <c r="Q321">
        <v>0</v>
      </c>
      <c r="R321">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c r="AY321">
        <v>0</v>
      </c>
      <c r="AZ321">
        <v>0</v>
      </c>
      <c r="BA321">
        <v>0</v>
      </c>
      <c r="BB321">
        <v>0</v>
      </c>
      <c r="BC321">
        <v>0</v>
      </c>
      <c r="BD321">
        <v>0</v>
      </c>
      <c r="BE321">
        <v>0</v>
      </c>
      <c r="BF321">
        <v>0</v>
      </c>
      <c r="BG321">
        <v>0</v>
      </c>
      <c r="BH321">
        <v>0</v>
      </c>
      <c r="BI321">
        <v>0</v>
      </c>
      <c r="BJ321">
        <v>0</v>
      </c>
      <c r="BK321">
        <v>0</v>
      </c>
      <c r="BL321">
        <v>0</v>
      </c>
      <c r="BM321">
        <v>0</v>
      </c>
      <c r="BN321">
        <v>0</v>
      </c>
      <c r="BO321">
        <v>0</v>
      </c>
      <c r="BP321">
        <v>0</v>
      </c>
      <c r="BQ321">
        <v>0</v>
      </c>
      <c r="BR321">
        <v>0</v>
      </c>
      <c r="BS321">
        <v>0</v>
      </c>
      <c r="BT321">
        <v>0</v>
      </c>
      <c r="BU321">
        <v>0</v>
      </c>
      <c r="BV321">
        <v>1</v>
      </c>
      <c r="BW321">
        <v>1</v>
      </c>
      <c r="BX321">
        <v>1</v>
      </c>
      <c r="BY321">
        <v>2</v>
      </c>
      <c r="BZ321">
        <v>2</v>
      </c>
      <c r="CA321">
        <v>2</v>
      </c>
      <c r="CB321">
        <v>3</v>
      </c>
      <c r="CC321">
        <v>4</v>
      </c>
      <c r="CD321">
        <v>4</v>
      </c>
      <c r="CE321">
        <v>4</v>
      </c>
      <c r="CF321">
        <v>5</v>
      </c>
      <c r="CG321">
        <v>5</v>
      </c>
      <c r="CH321">
        <v>5</v>
      </c>
      <c r="CI321">
        <v>6</v>
      </c>
      <c r="CJ321">
        <v>8</v>
      </c>
      <c r="CK321">
        <v>9</v>
      </c>
      <c r="CL321">
        <v>10</v>
      </c>
      <c r="CM321">
        <v>12</v>
      </c>
      <c r="CN321">
        <v>16</v>
      </c>
      <c r="CO321">
        <v>16</v>
      </c>
      <c r="CP321">
        <v>18</v>
      </c>
      <c r="CQ321">
        <v>24</v>
      </c>
      <c r="CR321">
        <v>26</v>
      </c>
      <c r="CS321">
        <v>27</v>
      </c>
      <c r="CT321">
        <v>31</v>
      </c>
      <c r="CU321">
        <v>32</v>
      </c>
      <c r="CV321">
        <v>32</v>
      </c>
      <c r="CW321">
        <v>34</v>
      </c>
      <c r="CX321">
        <v>34</v>
      </c>
      <c r="CY321">
        <v>38</v>
      </c>
      <c r="CZ321">
        <v>38</v>
      </c>
      <c r="DA321">
        <v>41</v>
      </c>
      <c r="DB321">
        <v>46</v>
      </c>
      <c r="DC321">
        <v>48</v>
      </c>
    </row>
    <row r="322" spans="1:107" x14ac:dyDescent="0.25">
      <c r="A322" t="s">
        <v>2997</v>
      </c>
      <c r="B322" t="s">
        <v>37</v>
      </c>
      <c r="C322">
        <v>3196.4503316300011</v>
      </c>
      <c r="D322">
        <v>-6465.4545586299992</v>
      </c>
      <c r="E322">
        <v>5822434</v>
      </c>
      <c r="F322">
        <v>0</v>
      </c>
      <c r="G322">
        <v>0</v>
      </c>
      <c r="H322">
        <v>0</v>
      </c>
      <c r="I322">
        <v>0</v>
      </c>
      <c r="J322">
        <v>0</v>
      </c>
      <c r="K322">
        <v>0</v>
      </c>
      <c r="L322">
        <v>0</v>
      </c>
      <c r="M322">
        <v>0</v>
      </c>
      <c r="N322">
        <v>0</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v>0</v>
      </c>
      <c r="BB322">
        <v>0</v>
      </c>
      <c r="BC322">
        <v>0</v>
      </c>
      <c r="BD322">
        <v>0</v>
      </c>
      <c r="BE322">
        <v>0</v>
      </c>
      <c r="BF322">
        <v>0</v>
      </c>
      <c r="BG322">
        <v>0</v>
      </c>
      <c r="BH322">
        <v>0</v>
      </c>
      <c r="BI322">
        <v>0</v>
      </c>
      <c r="BJ322">
        <v>0</v>
      </c>
      <c r="BK322">
        <v>4</v>
      </c>
      <c r="BL322">
        <v>3</v>
      </c>
      <c r="BM322">
        <v>4</v>
      </c>
      <c r="BN322">
        <v>4</v>
      </c>
      <c r="BO322">
        <v>5</v>
      </c>
      <c r="BP322">
        <v>5</v>
      </c>
      <c r="BQ322">
        <v>7</v>
      </c>
      <c r="BR322">
        <v>10</v>
      </c>
      <c r="BS322">
        <v>14</v>
      </c>
      <c r="BT322">
        <v>17</v>
      </c>
      <c r="BU322">
        <v>18</v>
      </c>
      <c r="BV322">
        <v>20</v>
      </c>
      <c r="BW322">
        <v>25</v>
      </c>
      <c r="BX322">
        <v>27</v>
      </c>
      <c r="BY322">
        <v>38</v>
      </c>
      <c r="BZ322">
        <v>51</v>
      </c>
      <c r="CA322">
        <v>54</v>
      </c>
      <c r="CB322">
        <v>74</v>
      </c>
      <c r="CC322">
        <v>78</v>
      </c>
      <c r="CD322">
        <v>92</v>
      </c>
      <c r="CE322">
        <v>100</v>
      </c>
      <c r="CF322">
        <v>111</v>
      </c>
      <c r="CG322">
        <v>128</v>
      </c>
      <c r="CH322">
        <v>137</v>
      </c>
      <c r="CI322">
        <v>144</v>
      </c>
      <c r="CJ322">
        <v>154</v>
      </c>
      <c r="CK322">
        <v>170</v>
      </c>
      <c r="CL322">
        <v>183</v>
      </c>
      <c r="CM322">
        <v>197</v>
      </c>
      <c r="CN322">
        <v>206</v>
      </c>
      <c r="CO322">
        <v>212</v>
      </c>
      <c r="CP322">
        <v>220</v>
      </c>
      <c r="CQ322">
        <v>230</v>
      </c>
      <c r="CR322">
        <v>244</v>
      </c>
      <c r="CS322">
        <v>248</v>
      </c>
      <c r="CT322">
        <v>258</v>
      </c>
      <c r="CU322">
        <v>263</v>
      </c>
      <c r="CV322">
        <v>266</v>
      </c>
      <c r="CW322">
        <v>272</v>
      </c>
      <c r="CX322">
        <v>281</v>
      </c>
      <c r="CY322">
        <v>300</v>
      </c>
      <c r="CZ322">
        <v>308</v>
      </c>
      <c r="DA322">
        <v>316</v>
      </c>
      <c r="DB322">
        <v>327</v>
      </c>
      <c r="DC322">
        <v>334</v>
      </c>
    </row>
    <row r="323" spans="1:107" x14ac:dyDescent="0.25">
      <c r="A323" t="s">
        <v>2998</v>
      </c>
      <c r="B323" t="s">
        <v>37</v>
      </c>
      <c r="C323">
        <v>990.99836662000007</v>
      </c>
      <c r="D323">
        <v>-2464.5245706999999</v>
      </c>
      <c r="E323">
        <v>578759</v>
      </c>
      <c r="F323">
        <v>0</v>
      </c>
      <c r="G323">
        <v>0</v>
      </c>
      <c r="H323">
        <v>0</v>
      </c>
      <c r="I323">
        <v>0</v>
      </c>
      <c r="J323">
        <v>0</v>
      </c>
      <c r="K323">
        <v>0</v>
      </c>
      <c r="L323">
        <v>0</v>
      </c>
      <c r="M323">
        <v>0</v>
      </c>
      <c r="N323">
        <v>0</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0</v>
      </c>
      <c r="AZ323">
        <v>0</v>
      </c>
      <c r="BA323">
        <v>0</v>
      </c>
      <c r="BB323">
        <v>0</v>
      </c>
      <c r="BC323">
        <v>0</v>
      </c>
      <c r="BD323">
        <v>0</v>
      </c>
      <c r="BE323">
        <v>0</v>
      </c>
      <c r="BF323">
        <v>0</v>
      </c>
      <c r="BG323">
        <v>0</v>
      </c>
      <c r="BH323">
        <v>0</v>
      </c>
      <c r="BI323">
        <v>0</v>
      </c>
      <c r="BJ323">
        <v>0</v>
      </c>
      <c r="BK323">
        <v>0</v>
      </c>
      <c r="BL323">
        <v>0</v>
      </c>
      <c r="BM323">
        <v>0</v>
      </c>
      <c r="BN323">
        <v>0</v>
      </c>
      <c r="BO323">
        <v>0</v>
      </c>
      <c r="BP323">
        <v>0</v>
      </c>
      <c r="BQ323">
        <v>0</v>
      </c>
      <c r="BR323">
        <v>0</v>
      </c>
      <c r="BS323">
        <v>0</v>
      </c>
      <c r="BT323">
        <v>0</v>
      </c>
      <c r="BU323">
        <v>0</v>
      </c>
      <c r="BV323">
        <v>0</v>
      </c>
      <c r="BW323">
        <v>0</v>
      </c>
      <c r="BX323">
        <v>0</v>
      </c>
      <c r="BY323">
        <v>0</v>
      </c>
      <c r="BZ323">
        <v>0</v>
      </c>
      <c r="CA323">
        <v>0</v>
      </c>
      <c r="CB323">
        <v>0</v>
      </c>
      <c r="CC323">
        <v>0</v>
      </c>
      <c r="CD323">
        <v>0</v>
      </c>
      <c r="CE323">
        <v>0</v>
      </c>
      <c r="CF323">
        <v>0</v>
      </c>
      <c r="CG323">
        <v>0</v>
      </c>
      <c r="CH323">
        <v>0</v>
      </c>
      <c r="CI323">
        <v>0</v>
      </c>
      <c r="CJ323">
        <v>1</v>
      </c>
      <c r="CK323">
        <v>1</v>
      </c>
      <c r="CL323">
        <v>1</v>
      </c>
      <c r="CM323">
        <v>2</v>
      </c>
      <c r="CN323">
        <v>2</v>
      </c>
      <c r="CO323">
        <v>2</v>
      </c>
      <c r="CP323">
        <v>2</v>
      </c>
      <c r="CQ323">
        <v>2</v>
      </c>
      <c r="CR323">
        <v>2</v>
      </c>
      <c r="CS323">
        <v>6</v>
      </c>
      <c r="CT323">
        <v>7</v>
      </c>
      <c r="CU323">
        <v>7</v>
      </c>
      <c r="CV323">
        <v>7</v>
      </c>
      <c r="CW323">
        <v>7</v>
      </c>
      <c r="CX323">
        <v>7</v>
      </c>
      <c r="CY323">
        <v>7</v>
      </c>
      <c r="CZ323">
        <v>7</v>
      </c>
      <c r="DA323">
        <v>7</v>
      </c>
      <c r="DB323">
        <v>7</v>
      </c>
      <c r="DC323">
        <v>7</v>
      </c>
    </row>
    <row r="324" spans="1:107" x14ac:dyDescent="0.25">
      <c r="A324" t="s">
        <v>147</v>
      </c>
      <c r="B324" t="s">
        <v>37</v>
      </c>
      <c r="C324">
        <v>0</v>
      </c>
      <c r="D324">
        <v>0</v>
      </c>
      <c r="E324">
        <v>0</v>
      </c>
      <c r="F324">
        <v>0</v>
      </c>
      <c r="G324">
        <v>0</v>
      </c>
      <c r="H324">
        <v>0</v>
      </c>
      <c r="I324">
        <v>0</v>
      </c>
      <c r="J324">
        <v>0</v>
      </c>
      <c r="K324">
        <v>0</v>
      </c>
      <c r="L324">
        <v>0</v>
      </c>
      <c r="M324">
        <v>0</v>
      </c>
      <c r="N324">
        <v>0</v>
      </c>
      <c r="O324">
        <v>0</v>
      </c>
      <c r="P324">
        <v>0</v>
      </c>
      <c r="Q324">
        <v>0</v>
      </c>
      <c r="R324">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0</v>
      </c>
      <c r="BI324">
        <v>0</v>
      </c>
      <c r="BJ324">
        <v>0</v>
      </c>
      <c r="BK324">
        <v>0</v>
      </c>
      <c r="BL324">
        <v>0</v>
      </c>
      <c r="BM324">
        <v>0</v>
      </c>
      <c r="BN324">
        <v>0</v>
      </c>
      <c r="BO324">
        <v>0</v>
      </c>
      <c r="BP324">
        <v>0</v>
      </c>
      <c r="BQ324">
        <v>0</v>
      </c>
      <c r="BR324">
        <v>0</v>
      </c>
      <c r="BS324">
        <v>0</v>
      </c>
      <c r="BT324">
        <v>0</v>
      </c>
      <c r="BU324">
        <v>0</v>
      </c>
      <c r="BV324">
        <v>0</v>
      </c>
      <c r="BW324">
        <v>0</v>
      </c>
      <c r="BX324">
        <v>0</v>
      </c>
      <c r="BY324">
        <v>0</v>
      </c>
      <c r="BZ324">
        <v>0</v>
      </c>
      <c r="CA324">
        <v>0</v>
      </c>
      <c r="CB324">
        <v>0</v>
      </c>
      <c r="CC324">
        <v>0</v>
      </c>
      <c r="CD324">
        <v>0</v>
      </c>
      <c r="CE324">
        <v>0</v>
      </c>
      <c r="CF324">
        <v>0</v>
      </c>
      <c r="CG324">
        <v>0</v>
      </c>
      <c r="CH324">
        <v>0</v>
      </c>
      <c r="CI324">
        <v>0</v>
      </c>
      <c r="CJ324">
        <v>0</v>
      </c>
      <c r="CK324">
        <v>0</v>
      </c>
      <c r="CL324">
        <v>0</v>
      </c>
      <c r="CM324">
        <v>0</v>
      </c>
      <c r="CN324">
        <v>0</v>
      </c>
      <c r="CO324">
        <v>0</v>
      </c>
      <c r="CP324">
        <v>0</v>
      </c>
      <c r="CQ324">
        <v>0</v>
      </c>
      <c r="CR324">
        <v>0</v>
      </c>
      <c r="CS324">
        <v>0</v>
      </c>
      <c r="CT324">
        <v>0</v>
      </c>
      <c r="CU324">
        <v>0</v>
      </c>
      <c r="CV324">
        <v>0</v>
      </c>
      <c r="CW324">
        <v>0</v>
      </c>
      <c r="CX324">
        <v>0</v>
      </c>
      <c r="CY324">
        <v>0</v>
      </c>
      <c r="CZ324">
        <v>0</v>
      </c>
      <c r="DA324">
        <v>0</v>
      </c>
      <c r="DB324">
        <v>0</v>
      </c>
      <c r="DC324">
        <v>0</v>
      </c>
    </row>
    <row r="325" spans="1:107" x14ac:dyDescent="0.25">
      <c r="A325" t="s">
        <v>148</v>
      </c>
      <c r="B325" t="s">
        <v>37</v>
      </c>
      <c r="C325">
        <v>0</v>
      </c>
      <c r="D325">
        <v>0</v>
      </c>
      <c r="E325">
        <v>0</v>
      </c>
      <c r="F325">
        <v>0</v>
      </c>
      <c r="G325">
        <v>0</v>
      </c>
      <c r="H325">
        <v>0</v>
      </c>
      <c r="I325">
        <v>0</v>
      </c>
      <c r="J325">
        <v>0</v>
      </c>
      <c r="K325">
        <v>0</v>
      </c>
      <c r="L325">
        <v>0</v>
      </c>
      <c r="M325">
        <v>0</v>
      </c>
      <c r="N325">
        <v>0</v>
      </c>
      <c r="O325">
        <v>0</v>
      </c>
      <c r="P325">
        <v>0</v>
      </c>
      <c r="Q325">
        <v>0</v>
      </c>
      <c r="R3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0</v>
      </c>
      <c r="BD325">
        <v>0</v>
      </c>
      <c r="BE325">
        <v>0</v>
      </c>
      <c r="BF325">
        <v>0</v>
      </c>
      <c r="BG325">
        <v>0</v>
      </c>
      <c r="BH325">
        <v>0</v>
      </c>
      <c r="BI325">
        <v>0</v>
      </c>
      <c r="BJ325">
        <v>0</v>
      </c>
      <c r="BK325">
        <v>1</v>
      </c>
      <c r="BL325">
        <v>1</v>
      </c>
      <c r="BM325">
        <v>1</v>
      </c>
      <c r="BN325">
        <v>1</v>
      </c>
      <c r="BO325">
        <v>1</v>
      </c>
      <c r="BP325">
        <v>1</v>
      </c>
      <c r="BQ325">
        <v>1</v>
      </c>
      <c r="BR325">
        <v>1</v>
      </c>
      <c r="BS325">
        <v>3</v>
      </c>
      <c r="BT325">
        <v>3</v>
      </c>
      <c r="BU325">
        <v>3</v>
      </c>
      <c r="BV325">
        <v>3</v>
      </c>
      <c r="BW325">
        <v>3</v>
      </c>
      <c r="BX325">
        <v>3</v>
      </c>
      <c r="BY325">
        <v>3</v>
      </c>
      <c r="BZ325">
        <v>3</v>
      </c>
      <c r="CA325">
        <v>3</v>
      </c>
      <c r="CB325">
        <v>3</v>
      </c>
      <c r="CC325">
        <v>3</v>
      </c>
      <c r="CD325">
        <v>3</v>
      </c>
      <c r="CE325">
        <v>3</v>
      </c>
      <c r="CF325">
        <v>3</v>
      </c>
      <c r="CG325">
        <v>3</v>
      </c>
      <c r="CH325">
        <v>3</v>
      </c>
      <c r="CI325">
        <v>0</v>
      </c>
      <c r="CJ325">
        <v>0</v>
      </c>
      <c r="CK325">
        <v>0</v>
      </c>
      <c r="CL325">
        <v>0</v>
      </c>
      <c r="CM325">
        <v>0</v>
      </c>
      <c r="CN325">
        <v>0</v>
      </c>
      <c r="CO325">
        <v>0</v>
      </c>
      <c r="CP325">
        <v>0</v>
      </c>
      <c r="CQ325">
        <v>0</v>
      </c>
      <c r="CR325">
        <v>0</v>
      </c>
      <c r="CS325">
        <v>0</v>
      </c>
      <c r="CT325">
        <v>3</v>
      </c>
      <c r="CU325">
        <v>3</v>
      </c>
      <c r="CV325">
        <v>3</v>
      </c>
      <c r="CW325">
        <v>3</v>
      </c>
      <c r="CX325">
        <v>3</v>
      </c>
      <c r="CY325">
        <v>3</v>
      </c>
      <c r="CZ325">
        <v>3</v>
      </c>
      <c r="DA325">
        <v>3</v>
      </c>
      <c r="DB325">
        <v>3</v>
      </c>
      <c r="DC325">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K119"/>
  <sheetViews>
    <sheetView topLeftCell="A92" zoomScale="96" zoomScaleNormal="96" workbookViewId="0">
      <selection activeCell="G112" sqref="G112"/>
    </sheetView>
  </sheetViews>
  <sheetFormatPr defaultRowHeight="15" x14ac:dyDescent="0.25"/>
  <cols>
    <col min="1" max="1" width="15.140625" style="156" bestFit="1" customWidth="1"/>
    <col min="11" max="11" width="9.140625" style="292"/>
    <col min="13" max="13" width="9.140625" style="289"/>
    <col min="15" max="15" width="9.140625" style="40"/>
    <col min="16" max="16" width="9.140625" style="286"/>
    <col min="207" max="207" width="9.140625" style="11"/>
    <col min="266" max="266" width="9.140625" style="25"/>
    <col min="267" max="267" width="9.28515625" style="25" bestFit="1" customWidth="1"/>
    <col min="268" max="269" width="9.28515625" style="25" customWidth="1"/>
    <col min="270" max="302" width="9.28515625" style="25" bestFit="1" customWidth="1"/>
    <col min="303" max="303" width="9.5703125" style="25" bestFit="1" customWidth="1"/>
    <col min="304" max="304" width="9.28515625" style="25" bestFit="1" customWidth="1"/>
    <col min="305" max="305" width="9.5703125" style="25" bestFit="1" customWidth="1"/>
    <col min="306" max="323" width="9.28515625" style="25" bestFit="1" customWidth="1"/>
    <col min="324" max="325" width="9.140625" style="25"/>
    <col min="326" max="326" width="11.5703125" style="11" customWidth="1"/>
    <col min="327" max="327" width="10.28515625" customWidth="1"/>
    <col min="328" max="328" width="8.85546875" customWidth="1"/>
    <col min="329" max="329" width="9.7109375" customWidth="1"/>
    <col min="330" max="330" width="10.7109375" style="281" customWidth="1"/>
    <col min="331" max="331" width="12.42578125" style="281" customWidth="1"/>
    <col min="332" max="332" width="8.42578125" customWidth="1"/>
    <col min="333" max="333" width="8.28515625" customWidth="1"/>
    <col min="334" max="334" width="9.42578125" customWidth="1"/>
    <col min="335" max="335" width="9.5703125" bestFit="1" customWidth="1"/>
    <col min="336" max="336" width="10.5703125" customWidth="1"/>
    <col min="337" max="337" width="10.85546875" customWidth="1"/>
    <col min="338" max="338" width="11.28515625" customWidth="1"/>
    <col min="339" max="339" width="11.140625" customWidth="1"/>
    <col min="340" max="340" width="13.140625" customWidth="1"/>
    <col min="341" max="341" width="10.7109375" customWidth="1"/>
    <col min="342" max="342" width="11.140625" customWidth="1"/>
    <col min="343" max="343" width="10.42578125" customWidth="1"/>
    <col min="344" max="344" width="10.7109375" customWidth="1"/>
    <col min="345" max="345" width="10.42578125" customWidth="1"/>
    <col min="347" max="347" width="10" bestFit="1" customWidth="1"/>
    <col min="349" max="349" width="10" bestFit="1" customWidth="1"/>
    <col min="351" max="351" width="10" bestFit="1" customWidth="1"/>
    <col min="353" max="353" width="10" bestFit="1" customWidth="1"/>
    <col min="355" max="355" width="10" bestFit="1" customWidth="1"/>
    <col min="357" max="357" width="10" bestFit="1" customWidth="1"/>
    <col min="359" max="359" width="10" bestFit="1" customWidth="1"/>
    <col min="361" max="361" width="10" bestFit="1" customWidth="1"/>
    <col min="364" max="364" width="9.140625" style="25"/>
  </cols>
  <sheetData>
    <row r="1" spans="1:375" x14ac:dyDescent="0.25">
      <c r="JE1" s="25"/>
      <c r="JG1" s="25" t="s">
        <v>3393</v>
      </c>
      <c r="JH1" s="25">
        <f ca="1">MAX(OFFSET(JH10,0,0,ROWS(TST!DateCol),1))</f>
        <v>0</v>
      </c>
      <c r="JI1" s="25">
        <f ca="1">MAX(OFFSET(JI10,0,0,ROWS(TST!DateCol),1))</f>
        <v>145</v>
      </c>
      <c r="JJ1" s="25">
        <f ca="1">MAX(OFFSET(JJ10,0,0,ROWS(TST!DateCol),1))</f>
        <v>14</v>
      </c>
      <c r="JK1" s="25">
        <f ca="1">MAX(OFFSET(JK10,0,0,ROWS(TST!DateCol),1))</f>
        <v>1757</v>
      </c>
      <c r="JL1" s="25">
        <f ca="1">MAX(OFFSET(JL10,0,0,ROWS(TST!DateCol),1))</f>
        <v>66</v>
      </c>
      <c r="JM1" s="25">
        <f ca="1">MAX(OFFSET(JM10,0,0,ROWS(TST!DateCol),1))</f>
        <v>7611</v>
      </c>
      <c r="JN1" s="25">
        <f ca="1">MAX(OFFSET(JN10,0,0,ROWS(TST!DateCol),1))</f>
        <v>365</v>
      </c>
      <c r="JO1" s="25">
        <f ca="1">MAX(OFFSET(JO10,0,0,ROWS(TST!DateCol),1))</f>
        <v>8364</v>
      </c>
      <c r="JP1" s="25">
        <f ca="1">MAX(OFFSET(JP10,0,0,ROWS(TST!DateCol),1))</f>
        <v>3372</v>
      </c>
      <c r="JQ1" s="25">
        <f ca="1">MAX(OFFSET(JQ10,0,0,ROWS(TST!DateCol),1))</f>
        <v>53347</v>
      </c>
      <c r="JR1" s="25">
        <f ca="1">MAX(OFFSET(JR10,0,0,ROWS(TST!DateCol),1))</f>
        <v>16225</v>
      </c>
      <c r="JS1" s="25">
        <f ca="1">MAX(OFFSET(JS10,0,0,ROWS(TST!DateCol),1))</f>
        <v>29287</v>
      </c>
      <c r="JT1" s="25">
        <f ca="1">MAX(OFFSET(JT10,0,0,ROWS(TST!DateCol),1))</f>
        <v>5038</v>
      </c>
      <c r="JU1" s="25">
        <f ca="1">MAX(OFFSET(JU10,0,0,ROWS(TST!DateCol),1))</f>
        <v>4797</v>
      </c>
      <c r="JV1" s="25">
        <f ca="1">MAX(OFFSET(JV10,0,0,ROWS(TST!DateCol),1))</f>
        <v>35463</v>
      </c>
      <c r="JW1" s="25">
        <f ca="1">MAX(OFFSET(JW10,0,0,ROWS(TST!DateCol),1))</f>
        <v>28331</v>
      </c>
      <c r="JX1" s="25">
        <f ca="1">MAX(OFFSET(JX10,0,0,ROWS(TST!DateCol),1))</f>
        <v>620</v>
      </c>
      <c r="JY1" s="25">
        <f ca="1">MAX(OFFSET(JY10,0,0,ROWS(TST!DateCol),1))</f>
        <v>2061</v>
      </c>
      <c r="JZ1" s="25">
        <f ca="1">MAX(OFFSET(JZ10,0,0,ROWS(TST!DateCol),1))</f>
        <v>58505</v>
      </c>
      <c r="KA1" s="25">
        <f ca="1">MAX(OFFSET(KA10,0,0,ROWS(TST!DateCol),1))</f>
        <v>19295</v>
      </c>
      <c r="KB1" s="25">
        <f ca="1">MAX(OFFSET(KB10,0,0,ROWS(TST!DateCol),1))</f>
        <v>8643</v>
      </c>
      <c r="KC1" s="25">
        <f ca="1">MAX(OFFSET(KC10,0,0,ROWS(TST!DateCol),1))</f>
        <v>4885</v>
      </c>
      <c r="KD1" s="25">
        <f ca="1">MAX(OFFSET(KD10,0,0,ROWS(TST!DateCol),1))</f>
        <v>4882</v>
      </c>
      <c r="KE1" s="25">
        <f ca="1">MAX(OFFSET(KE10,0,0,ROWS(TST!DateCol),1))</f>
        <v>29140</v>
      </c>
      <c r="KF1" s="25">
        <f ca="1">MAX(OFFSET(KF10,0,0,ROWS(TST!DateCol),1))</f>
        <v>1153</v>
      </c>
      <c r="KG1" s="25">
        <f ca="1">MAX(OFFSET(KG10,0,0,ROWS(TST!DateCol),1))</f>
        <v>24473</v>
      </c>
      <c r="KH1" s="25">
        <f ca="1">MAX(OFFSET(KH10,0,0,ROWS(TST!DateCol),1))</f>
        <v>66263</v>
      </c>
      <c r="KI1" s="25">
        <f ca="1">MAX(OFFSET(KI10,0,0,ROWS(TST!DateCol),1))</f>
        <v>43207</v>
      </c>
      <c r="KJ1" s="25">
        <f ca="1">MAX(OFFSET(KJ10,0,0,ROWS(TST!DateCol),1))</f>
        <v>6232</v>
      </c>
      <c r="KK1" s="25">
        <f ca="1">MAX(OFFSET(KK10,0,0,ROWS(TST!DateCol),1))</f>
        <v>7441</v>
      </c>
      <c r="KL1" s="25">
        <f ca="1">MAX(OFFSET(KL10,0,0,ROWS(TST!DateCol),1))</f>
        <v>8356</v>
      </c>
      <c r="KM1" s="25">
        <f ca="1">MAX(OFFSET(KM10,0,0,ROWS(TST!DateCol),1))</f>
        <v>455</v>
      </c>
      <c r="KN1" s="25">
        <f ca="1">MAX(OFFSET(KN10,0,0,ROWS(TST!DateCol),1))</f>
        <v>5317</v>
      </c>
      <c r="KO1" s="25">
        <f ca="1">MAX(OFFSET(KO10,0,0,ROWS(TST!DateCol),1))</f>
        <v>5389</v>
      </c>
      <c r="KP1" s="25">
        <f ca="1">MAX(OFFSET(KP10,0,0,ROWS(TST!DateCol),1))</f>
        <v>2429</v>
      </c>
      <c r="KQ1" s="25">
        <f ca="1">MAX(OFFSET(KQ10,0,0,ROWS(TST!DateCol),1))</f>
        <v>123717</v>
      </c>
      <c r="KR1" s="25">
        <f ca="1">MAX(OFFSET(KR10,0,0,ROWS(TST!DateCol),1))</f>
        <v>3732</v>
      </c>
      <c r="KS1" s="25">
        <f ca="1">MAX(OFFSET(KS10,0,0,ROWS(TST!DateCol),1))</f>
        <v>312977</v>
      </c>
      <c r="KT1" s="25">
        <f ca="1">MAX(OFFSET(KT10,0,0,ROWS(TST!DateCol),1))</f>
        <v>11588</v>
      </c>
      <c r="KU1" s="25">
        <f ca="1">MAX(OFFSET(KU10,0,0,ROWS(TST!DateCol),1))</f>
        <v>1153</v>
      </c>
      <c r="KV1" s="25">
        <f ca="1">MAX(OFFSET(KV10,0,0,ROWS(TST!DateCol),1))</f>
        <v>19335</v>
      </c>
      <c r="KW1" s="25">
        <f ca="1">MAX(OFFSET(KW10,0,0,ROWS(TST!DateCol),1))</f>
        <v>3851</v>
      </c>
      <c r="KX1" s="25">
        <f ca="1">MAX(OFFSET(KX10,0,0,ROWS(TST!DateCol),1))</f>
        <v>2635</v>
      </c>
      <c r="KY1" s="25">
        <f ca="1">MAX(OFFSET(KY10,0,0,ROWS(TST!DateCol),1))</f>
        <v>50494</v>
      </c>
      <c r="KZ1" s="25">
        <f ca="1">MAX(OFFSET(KZ10,0,0,ROWS(TST!DateCol),1))</f>
        <v>9289</v>
      </c>
      <c r="LA1" s="25">
        <f ca="1">MAX(OFFSET(LA10,0,0,ROWS(TST!DateCol),1))</f>
        <v>6489</v>
      </c>
      <c r="LB1" s="25">
        <f ca="1">MAX(OFFSET(LB10,0,0,ROWS(TST!DateCol),1))</f>
        <v>2588</v>
      </c>
      <c r="LC1" s="25">
        <f ca="1">MAX(OFFSET(LC10,0,0,ROWS(TST!DateCol),1))</f>
        <v>12661</v>
      </c>
      <c r="LD1" s="25">
        <f ca="1">MAX(OFFSET(LD10,0,0,ROWS(TST!DateCol),1))</f>
        <v>30917</v>
      </c>
      <c r="LE1" s="25">
        <f ca="1">MAX(OFFSET(LE10,0,0,ROWS(TST!DateCol),1))</f>
        <v>4985</v>
      </c>
      <c r="LF1" s="25">
        <f ca="1">MAX(OFFSET(LF10,0,0,ROWS(TST!DateCol),1))</f>
        <v>886</v>
      </c>
      <c r="LG1" s="25">
        <f ca="1">MAX(OFFSET(LG10,0,0,ROWS(TST!DateCol),1))</f>
        <v>17738</v>
      </c>
      <c r="LH1" s="25">
        <f ca="1">MAX(OFFSET(LH10,0,0,ROWS(TST!DateCol),1))</f>
        <v>15003</v>
      </c>
      <c r="LI1" s="25">
        <f ca="1">MAX(OFFSET(LI10,0,0,ROWS(TST!DateCol),1))</f>
        <v>1185</v>
      </c>
      <c r="LJ1" s="25">
        <f ca="1">MAX(OFFSET(LJ10,0,0,ROWS(TST!DateCol),1))</f>
        <v>7660</v>
      </c>
      <c r="LK1" s="25">
        <f ca="1">MAX(OFFSET(LK10,0,0,ROWS(TST!DateCol),1))</f>
        <v>579</v>
      </c>
      <c r="LL1" s="25">
        <f ca="1">MAX(OFFSET(LL10,0,0,ROWS(TST!DateCol),1))</f>
        <v>49</v>
      </c>
      <c r="LM1" s="25">
        <f ca="1">MAX(OFFSET(LM10,0,0,ROWS(TST!DateCol),1))</f>
        <v>103</v>
      </c>
      <c r="LN1" s="25">
        <f ca="1">SUM(JH1:LM1)</f>
        <v>1132542</v>
      </c>
      <c r="LO1" s="25" t="s">
        <v>3740</v>
      </c>
      <c r="LP1" s="25"/>
      <c r="LQ1" s="11">
        <f ca="1">MAX(tblDeath100[Spain])</f>
        <v>4940.3493821900302</v>
      </c>
      <c r="LS1" s="11">
        <f ca="1">MAX(tblDeath100[Victoria])</f>
        <v>25.644893649117513</v>
      </c>
      <c r="LW1" s="11">
        <f ca="1">MAX(tblDeath100[Japan])</f>
        <v>29.394519595686603</v>
      </c>
      <c r="MI1" s="11">
        <f ca="1">MAX(tblDeath100[Western Australia])</f>
        <v>30.899961375048278</v>
      </c>
      <c r="MK1" s="11">
        <f ca="1">MAX(tblDeath100[Germany])</f>
        <v>719.8265478198025</v>
      </c>
      <c r="MM1" s="11">
        <f ca="1">MAX(tblDeath100[Denmark])</f>
        <v>726.83430933517047</v>
      </c>
      <c r="MO1" s="11">
        <f ca="1">MAX(tblDeath100[South Africa])</f>
        <v>15.057113187954311</v>
      </c>
      <c r="MQ1" s="11">
        <f ca="1">MAX(tblDeath100[United Kingdom])</f>
        <v>3620.5599036724866</v>
      </c>
      <c r="MS1" s="11">
        <f ca="1">MAX(tblDeath100[Ireland])</f>
        <v>2218.3673469387754</v>
      </c>
      <c r="MU1" s="11">
        <f ca="1">MAX(tblDeath100[Italy])</f>
        <v>4405.0591055633631</v>
      </c>
      <c r="MW1" s="11">
        <f ca="1">MAX(tblDeath100[US])</f>
        <v>1666.9615689073789</v>
      </c>
    </row>
    <row r="2" spans="1:375" x14ac:dyDescent="0.25">
      <c r="JD2" s="25"/>
      <c r="JE2" s="25"/>
      <c r="JG2" s="25" t="s">
        <v>503</v>
      </c>
      <c r="JH2" s="25">
        <f ca="1">INDEX(OFFSET(DeathsTimeS!HeadRow,5,0),MATCH(JH5,DeathsTimeS!HeadRow,0))</f>
        <v>55641</v>
      </c>
      <c r="JI2" s="25">
        <f ca="1">INDEX(OFFSET(DeathsTimeS!HeadRow,5,0),MATCH(JI5,DeathsTimeS!HeadRow,0))</f>
        <v>164229</v>
      </c>
      <c r="JJ2" s="25">
        <f ca="1">INDEX(OFFSET(DeathsTimeS!HeadRow,5,0),MATCH(JJ5,DeathsTimeS!HeadRow,0))</f>
        <v>55144</v>
      </c>
      <c r="JK2" s="25">
        <f ca="1">INDEX(OFFSET(DeathsTimeS!HeadRow,5,0),MATCH(JK5,DeathsTimeS!HeadRow,0))</f>
        <v>2933408</v>
      </c>
      <c r="JL2" s="25">
        <f ca="1">INDEX(OFFSET(DeathsTimeS!HeadRow,5,0),MATCH(JL5,DeathsTimeS!HeadRow,0))</f>
        <v>107268</v>
      </c>
      <c r="JM2" s="25">
        <f ca="1">INDEX(OFFSET(DeathsTimeS!HeadRow,5,0),MATCH(JM5,DeathsTimeS!HeadRow,0))</f>
        <v>4903185</v>
      </c>
      <c r="JN2" s="25">
        <f ca="1">INDEX(OFFSET(DeathsTimeS!HeadRow,5,0),MATCH(JN5,DeathsTimeS!HeadRow,0))</f>
        <v>731545</v>
      </c>
      <c r="JO2" s="25">
        <f ca="1">INDEX(OFFSET(DeathsTimeS!HeadRow,5,0),MATCH(JO5,DeathsTimeS!HeadRow,0))</f>
        <v>7278717</v>
      </c>
      <c r="JP2" s="25">
        <f ca="1">INDEX(OFFSET(DeathsTimeS!HeadRow,5,0),MATCH(JP5,DeathsTimeS!HeadRow,0))</f>
        <v>3017804</v>
      </c>
      <c r="JQ2" s="25">
        <f ca="1">INDEX(OFFSET(DeathsTimeS!HeadRow,5,0),MATCH(JQ5,DeathsTimeS!HeadRow,0))</f>
        <v>39512223</v>
      </c>
      <c r="JR2" s="25">
        <f ca="1">INDEX(OFFSET(DeathsTimeS!HeadRow,5,0),MATCH(JR5,DeathsTimeS!HeadRow,0))</f>
        <v>5758736</v>
      </c>
      <c r="JS2" s="25">
        <f ca="1">INDEX(OFFSET(DeathsTimeS!HeadRow,5,0),MATCH(JS5,DeathsTimeS!HeadRow,0))</f>
        <v>3565287</v>
      </c>
      <c r="JT2" s="25">
        <f ca="1">INDEX(OFFSET(DeathsTimeS!HeadRow,5,0),MATCH(JT5,DeathsTimeS!HeadRow,0))</f>
        <v>973764</v>
      </c>
      <c r="JU2" s="25">
        <f ca="1">INDEX(OFFSET(DeathsTimeS!HeadRow,5,0),MATCH(JU5,DeathsTimeS!HeadRow,0))</f>
        <v>705749</v>
      </c>
      <c r="JV2" s="25">
        <f ca="1">INDEX(OFFSET(DeathsTimeS!HeadRow,5,0),MATCH(JV5,DeathsTimeS!HeadRow,0))</f>
        <v>21477737</v>
      </c>
      <c r="JW2" s="25">
        <f ca="1">INDEX(OFFSET(DeathsTimeS!HeadRow,5,0),MATCH(JW5,DeathsTimeS!HeadRow,0))</f>
        <v>10617423</v>
      </c>
      <c r="JX2" s="25">
        <f ca="1">INDEX(OFFSET(DeathsTimeS!HeadRow,5,0),MATCH(JX5,DeathsTimeS!HeadRow,0))</f>
        <v>1415872</v>
      </c>
      <c r="JY2" s="25">
        <f ca="1">INDEX(OFFSET(DeathsTimeS!HeadRow,5,0),MATCH(JY5,DeathsTimeS!HeadRow,0))</f>
        <v>1787065</v>
      </c>
      <c r="JZ2" s="25">
        <f ca="1">INDEX(OFFSET(DeathsTimeS!HeadRow,5,0),MATCH(JZ5,DeathsTimeS!HeadRow,0))</f>
        <v>12671821</v>
      </c>
      <c r="KA2" s="25">
        <f ca="1">INDEX(OFFSET(DeathsTimeS!HeadRow,5,0),MATCH(KA5,DeathsTimeS!HeadRow,0))</f>
        <v>6732219</v>
      </c>
      <c r="KB2" s="25">
        <f ca="1">INDEX(OFFSET(DeathsTimeS!HeadRow,5,0),MATCH(KB5,DeathsTimeS!HeadRow,0))</f>
        <v>3155070</v>
      </c>
      <c r="KC2" s="25">
        <f ca="1">INDEX(OFFSET(DeathsTimeS!HeadRow,5,0),MATCH(KC5,DeathsTimeS!HeadRow,0))</f>
        <v>2913314</v>
      </c>
      <c r="KD2" s="25">
        <f ca="1">INDEX(OFFSET(DeathsTimeS!HeadRow,5,0),MATCH(KD5,DeathsTimeS!HeadRow,0))</f>
        <v>4467673</v>
      </c>
      <c r="KE2" s="25">
        <f ca="1">INDEX(OFFSET(DeathsTimeS!HeadRow,5,0),MATCH(KE5,DeathsTimeS!HeadRow,0))</f>
        <v>4648794</v>
      </c>
      <c r="KF2" s="25">
        <f ca="1">INDEX(OFFSET(DeathsTimeS!HeadRow,5,0),MATCH(KF5,DeathsTimeS!HeadRow,0))</f>
        <v>1344212</v>
      </c>
      <c r="KG2" s="25">
        <f ca="1">INDEX(OFFSET(DeathsTimeS!HeadRow,5,0),MATCH(KG5,DeathsTimeS!HeadRow,0))</f>
        <v>6045680</v>
      </c>
      <c r="KH2" s="25">
        <f ca="1">INDEX(OFFSET(DeathsTimeS!HeadRow,5,0),MATCH(KH5,DeathsTimeS!HeadRow,0))</f>
        <v>6892503</v>
      </c>
      <c r="KI2" s="25">
        <f ca="1">INDEX(OFFSET(DeathsTimeS!HeadRow,5,0),MATCH(KI5,DeathsTimeS!HeadRow,0))</f>
        <v>9986857</v>
      </c>
      <c r="KJ2" s="25">
        <f ca="1">INDEX(OFFSET(DeathsTimeS!HeadRow,5,0),MATCH(KJ5,DeathsTimeS!HeadRow,0))</f>
        <v>5639632</v>
      </c>
      <c r="KK2" s="25">
        <f ca="1">INDEX(OFFSET(DeathsTimeS!HeadRow,5,0),MATCH(KK5,DeathsTimeS!HeadRow,0))</f>
        <v>2976149</v>
      </c>
      <c r="KL2" s="25">
        <f ca="1">INDEX(OFFSET(DeathsTimeS!HeadRow,5,0),MATCH(KL5,DeathsTimeS!HeadRow,0))</f>
        <v>6626371</v>
      </c>
      <c r="KM2" s="25">
        <f ca="1">INDEX(OFFSET(DeathsTimeS!HeadRow,5,0),MATCH(KM5,DeathsTimeS!HeadRow,0))</f>
        <v>1068778</v>
      </c>
      <c r="KN2" s="25">
        <f ca="1">INDEX(OFFSET(DeathsTimeS!HeadRow,5,0),MATCH(KN5,DeathsTimeS!HeadRow,0))</f>
        <v>1934408</v>
      </c>
      <c r="KO2" s="25">
        <f ca="1">INDEX(OFFSET(DeathsTimeS!HeadRow,5,0),MATCH(KO5,DeathsTimeS!HeadRow,0))</f>
        <v>3080156</v>
      </c>
      <c r="KP2" s="25">
        <f ca="1">INDEX(OFFSET(DeathsTimeS!HeadRow,5,0),MATCH(KP5,DeathsTimeS!HeadRow,0))</f>
        <v>1359711</v>
      </c>
      <c r="KQ2" s="25">
        <f ca="1">INDEX(OFFSET(DeathsTimeS!HeadRow,5,0),MATCH(KQ5,DeathsTimeS!HeadRow,0))</f>
        <v>8882190</v>
      </c>
      <c r="KR2" s="25">
        <f ca="1">INDEX(OFFSET(DeathsTimeS!HeadRow,5,0),MATCH(KR5,DeathsTimeS!HeadRow,0))</f>
        <v>2096829</v>
      </c>
      <c r="KS2" s="25">
        <f ca="1">INDEX(OFFSET(DeathsTimeS!HeadRow,5,0),MATCH(KS5,DeathsTimeS!HeadRow,0))</f>
        <v>23628065</v>
      </c>
      <c r="KT2" s="25">
        <f ca="1">INDEX(OFFSET(DeathsTimeS!HeadRow,5,0),MATCH(KT5,DeathsTimeS!HeadRow,0))</f>
        <v>10488084</v>
      </c>
      <c r="KU2" s="25">
        <f ca="1">INDEX(OFFSET(DeathsTimeS!HeadRow,5,0),MATCH(KU5,DeathsTimeS!HeadRow,0))</f>
        <v>762062</v>
      </c>
      <c r="KV2" s="25">
        <f ca="1">INDEX(OFFSET(DeathsTimeS!HeadRow,5,0),MATCH(KV5,DeathsTimeS!HeadRow,0))</f>
        <v>11689100</v>
      </c>
      <c r="KW2" s="25">
        <f ca="1">INDEX(OFFSET(DeathsTimeS!HeadRow,5,0),MATCH(KW5,DeathsTimeS!HeadRow,0))</f>
        <v>3956971</v>
      </c>
      <c r="KX2" s="25">
        <f ca="1">INDEX(OFFSET(DeathsTimeS!HeadRow,5,0),MATCH(KX5,DeathsTimeS!HeadRow,0))</f>
        <v>4217737</v>
      </c>
      <c r="KY2" s="25">
        <f ca="1">INDEX(OFFSET(DeathsTimeS!HeadRow,5,0),MATCH(KY5,DeathsTimeS!HeadRow,0))</f>
        <v>12801989</v>
      </c>
      <c r="KZ2" s="25">
        <f ca="1">INDEX(OFFSET(DeathsTimeS!HeadRow,5,0),MATCH(KZ5,DeathsTimeS!HeadRow,0))</f>
        <v>1059361</v>
      </c>
      <c r="LA2" s="25">
        <f ca="1">INDEX(OFFSET(DeathsTimeS!HeadRow,5,0),MATCH(LA5,DeathsTimeS!HeadRow,0))</f>
        <v>5148714</v>
      </c>
      <c r="LB2" s="25">
        <f ca="1">INDEX(OFFSET(DeathsTimeS!HeadRow,5,0),MATCH(LB5,DeathsTimeS!HeadRow,0))</f>
        <v>884659</v>
      </c>
      <c r="LC2" s="25">
        <f ca="1">INDEX(OFFSET(DeathsTimeS!HeadRow,5,0),MATCH(LC5,DeathsTimeS!HeadRow,0))</f>
        <v>6829174</v>
      </c>
      <c r="LD2" s="25">
        <f ca="1">INDEX(OFFSET(DeathsTimeS!HeadRow,5,0),MATCH(LD5,DeathsTimeS!HeadRow,0))</f>
        <v>28995881</v>
      </c>
      <c r="LE2" s="25">
        <f ca="1">INDEX(OFFSET(DeathsTimeS!HeadRow,5,0),MATCH(LE5,DeathsTimeS!HeadRow,0))</f>
        <v>3205958</v>
      </c>
      <c r="LF2" s="25">
        <f ca="1">INDEX(OFFSET(DeathsTimeS!HeadRow,5,0),MATCH(LF5,DeathsTimeS!HeadRow,0))</f>
        <v>623989</v>
      </c>
      <c r="LG2" s="25">
        <f ca="1">INDEX(OFFSET(DeathsTimeS!HeadRow,5,0),MATCH(LG5,DeathsTimeS!HeadRow,0))</f>
        <v>8535519</v>
      </c>
      <c r="LH2" s="25">
        <f ca="1">INDEX(OFFSET(DeathsTimeS!HeadRow,5,0),MATCH(LH5,DeathsTimeS!HeadRow,0))</f>
        <v>7614893</v>
      </c>
      <c r="LI2" s="25">
        <f ca="1">INDEX(OFFSET(DeathsTimeS!HeadRow,5,0),MATCH(LI5,DeathsTimeS!HeadRow,0))</f>
        <v>1792147</v>
      </c>
      <c r="LJ2" s="25">
        <f ca="1">INDEX(OFFSET(DeathsTimeS!HeadRow,5,0),MATCH(LJ5,DeathsTimeS!HeadRow,0))</f>
        <v>5822434</v>
      </c>
      <c r="LK2" s="25">
        <f ca="1">INDEX(OFFSET(DeathsTimeS!HeadRow,5,0),MATCH(LK5,DeathsTimeS!HeadRow,0))</f>
        <v>578759</v>
      </c>
      <c r="LL2" s="25">
        <f ca="1">INDEX(OFFSET(DeathsTimeS!HeadRow,5,0),MATCH(LL5,DeathsTimeS!HeadRow,0))</f>
        <v>0</v>
      </c>
      <c r="LM2" s="25">
        <f ca="1">INDEX(OFFSET(DeathsTimeS!HeadRow,5,0),MATCH(LM5,DeathsTimeS!HeadRow,0))</f>
        <v>0</v>
      </c>
      <c r="LN2" s="25">
        <f ca="1">SUM(JH2:LM2)</f>
        <v>336218660</v>
      </c>
      <c r="LP2" s="25"/>
      <c r="LQ2" s="11">
        <f ca="1">MAX(tblTST100[Spain])</f>
        <v>46140.178951853428</v>
      </c>
      <c r="LS2" s="11">
        <f ca="1">MAX(tblTST100[Victoria])</f>
        <v>2087.7960476693315</v>
      </c>
      <c r="LW2" s="11">
        <f ca="1">MAX(tblTST100[Japan])</f>
        <v>1151.3643683568534</v>
      </c>
      <c r="MD2" s="26"/>
      <c r="MI2" s="11">
        <f ca="1">MAX(tblTST100[Western Australia])</f>
        <v>2128.2348397064502</v>
      </c>
      <c r="MK2" s="11">
        <f ca="1">MAX(tblTST100[Germany])</f>
        <v>19870.754035172249</v>
      </c>
      <c r="MM2" s="11">
        <f ca="1">MAX(tblTST100[Denmark])</f>
        <v>16202.20461591457</v>
      </c>
      <c r="MO2" s="11">
        <f ca="1">MAX(tblTST100[South Africa])</f>
        <v>1096.5732087227416</v>
      </c>
      <c r="MQ2" s="11">
        <f ca="1">MAX(tblTST100[United Kingdom])</f>
        <v>27432.269717037929</v>
      </c>
      <c r="MS2" s="11">
        <f ca="1">MAX(tblTST100[Ireland])</f>
        <v>43216.326530612248</v>
      </c>
      <c r="MU2" s="11">
        <f ca="1">MAX(tblTST100[Italy])</f>
        <v>34608.249979333719</v>
      </c>
      <c r="MW2" s="11">
        <f ca="1">MAX(tblTST100[US])</f>
        <v>34399.864949414077</v>
      </c>
      <c r="NE2" s="11">
        <f ca="1">MAX(tblTST100[Hubei])</f>
        <v>11645.811965811967</v>
      </c>
    </row>
    <row r="3" spans="1:375" x14ac:dyDescent="0.25">
      <c r="JD3" s="25"/>
      <c r="JE3" s="25"/>
      <c r="JG3" s="25" t="s">
        <v>3394</v>
      </c>
      <c r="JH3" s="11">
        <f ca="1">IF(JH2&gt;0,JH1/JH2*myData!PerPerson,"")</f>
        <v>0</v>
      </c>
      <c r="JI3" s="11">
        <f ca="1">IF(JI2&gt;0,JI1/JI2*myData!PerPerson,"")</f>
        <v>8829.1349274488675</v>
      </c>
      <c r="JJ3" s="11">
        <f ca="1">IF(JJ2&gt;0,JJ1/JJ2*myData!PerPerson,"")</f>
        <v>2538.8074858552154</v>
      </c>
      <c r="JK3" s="11">
        <f ca="1">IF(JK2&gt;0,JK1/JK2*myData!PerPerson,"")</f>
        <v>5989.6202642114558</v>
      </c>
      <c r="JL3" s="11">
        <f ca="1">IF(JL2&gt;0,JL1/JL2*myData!PerPerson,"")</f>
        <v>6152.8135138158632</v>
      </c>
      <c r="JM3" s="11">
        <f ca="1">IF(JM2&gt;0,JM1/JM2*myData!PerPerson,"")</f>
        <v>15522.563395017727</v>
      </c>
      <c r="JN3" s="11">
        <f ca="1">IF(JN2&gt;0,JN1/JN2*myData!PerPerson,"")</f>
        <v>4989.4401574749336</v>
      </c>
      <c r="JO3" s="11">
        <f ca="1">IF(JO2&gt;0,JO1/JO2*myData!PerPerson,"")</f>
        <v>11491.036126284343</v>
      </c>
      <c r="JP3" s="11">
        <f ca="1">IF(JP2&gt;0,JP1/JP2*myData!PerPerson,"")</f>
        <v>11173.687886953559</v>
      </c>
      <c r="JQ3" s="11">
        <f ca="1">IF(JQ2&gt;0,JQ1/JQ2*myData!PerPerson,"")</f>
        <v>13501.391708585974</v>
      </c>
      <c r="JR3" s="11">
        <f ca="1">IF(JR2&gt;0,JR1/JR2*myData!PerPerson,"")</f>
        <v>28174.585534047746</v>
      </c>
      <c r="JS3" s="11">
        <f ca="1">IF(JS2&gt;0,JS1/JS2*myData!PerPerson,"")</f>
        <v>82144.859586339051</v>
      </c>
      <c r="JT3" s="11">
        <f ca="1">IF(JT2&gt;0,JT1/JT2*myData!PerPerson,"")</f>
        <v>51737.381952916723</v>
      </c>
      <c r="JU3" s="11">
        <f ca="1">IF(JU2&gt;0,JU1/JU2*myData!PerPerson,"")</f>
        <v>67970.340730202952</v>
      </c>
      <c r="JV3" s="11">
        <f ca="1">IF(JV2&gt;0,JV1/JV2*myData!PerPerson,"")</f>
        <v>16511.516087565462</v>
      </c>
      <c r="JW3" s="11">
        <f ca="1">IF(JW2&gt;0,JW1/JW2*myData!PerPerson,"")</f>
        <v>26683.499376449447</v>
      </c>
      <c r="JX3" s="11">
        <f ca="1">IF(JX2&gt;0,JX1/JX2*myData!PerPerson,"")</f>
        <v>4378.9269086471095</v>
      </c>
      <c r="JY3" s="11">
        <f ca="1">IF(JY2&gt;0,JY1/JY2*myData!PerPerson,"")</f>
        <v>11532.876532191051</v>
      </c>
      <c r="JZ3" s="11">
        <f ca="1">IF(JZ2&gt;0,JZ1/JZ2*myData!PerPerson,"")</f>
        <v>46169.370605850578</v>
      </c>
      <c r="KA3" s="11">
        <f ca="1">IF(KA2&gt;0,KA1/KA2*myData!PerPerson,"")</f>
        <v>28660.68379534296</v>
      </c>
      <c r="KB3" s="11">
        <f ca="1">IF(KB2&gt;0,KB1/KB2*myData!PerPerson,"")</f>
        <v>27394.003936521218</v>
      </c>
      <c r="KC3" s="11">
        <f ca="1">IF(KC2&gt;0,KC1/KC2*myData!PerPerson,"")</f>
        <v>16767.845827809841</v>
      </c>
      <c r="KD3" s="11">
        <f ca="1">IF(KD2&gt;0,KD1/KD2*myData!PerPerson,"")</f>
        <v>10927.388821876624</v>
      </c>
      <c r="KE3" s="11">
        <f ca="1">IF(KE2&gt;0,KE1/KE2*myData!PerPerson,"")</f>
        <v>62682.923786255102</v>
      </c>
      <c r="KF3" s="11">
        <f ca="1">IF(KF2&gt;0,KF1/KF2*myData!PerPerson,"")</f>
        <v>8577.5160465759873</v>
      </c>
      <c r="KG3" s="11">
        <f ca="1">IF(KG2&gt;0,KG1/KG2*myData!PerPerson,"")</f>
        <v>40480.144499874295</v>
      </c>
      <c r="KH3" s="11">
        <f ca="1">IF(KH2&gt;0,KH1/KH2*myData!PerPerson,"")</f>
        <v>96137.789131176294</v>
      </c>
      <c r="KI3" s="11">
        <f ca="1">IF(KI2&gt;0,KI1/KI2*myData!PerPerson,"")</f>
        <v>43263.861693423663</v>
      </c>
      <c r="KJ3" s="11">
        <f ca="1">IF(KJ2&gt;0,KJ1/KJ2*myData!PerPerson,"")</f>
        <v>11050.366406886124</v>
      </c>
      <c r="KK3" s="11">
        <f ca="1">IF(KK2&gt;0,KK1/KK2*myData!PerPerson,"")</f>
        <v>25002.108429383075</v>
      </c>
      <c r="KL3" s="11">
        <f ca="1">IF(KL2&gt;0,KL1/KL2*myData!PerPerson,"")</f>
        <v>12610.220586803849</v>
      </c>
      <c r="KM3" s="11">
        <f ca="1">IF(KM2&gt;0,KM1/KM2*myData!PerPerson,"")</f>
        <v>4257.19840790136</v>
      </c>
      <c r="KN3" s="11">
        <f ca="1">IF(KN2&gt;0,KN1/KN2*myData!PerPerson,"")</f>
        <v>27486.445465486082</v>
      </c>
      <c r="KO3" s="11">
        <f ca="1">IF(KO2&gt;0,KO1/KO2*myData!PerPerson,"")</f>
        <v>17495.867092445966</v>
      </c>
      <c r="KP3" s="11">
        <f ca="1">IF(KP2&gt;0,KP1/KP2*myData!PerPerson,"")</f>
        <v>17864.090236822383</v>
      </c>
      <c r="KQ3" s="11">
        <f ca="1">IF(KQ2&gt;0,KQ1/KQ2*myData!PerPerson,"")</f>
        <v>139286.59486005141</v>
      </c>
      <c r="KR3" s="11">
        <f ca="1">IF(KR2&gt;0,KR1/KR2*myData!PerPerson,"")</f>
        <v>17798.304010484404</v>
      </c>
      <c r="KS3" s="11">
        <f ca="1">IF(KS2&gt;0,KS1/KS2*myData!PerPerson,"")</f>
        <v>132459.8522985272</v>
      </c>
      <c r="KT3" s="11">
        <f ca="1">IF(KT2&gt;0,KT1/KT2*myData!PerPerson,"")</f>
        <v>11048.729205448773</v>
      </c>
      <c r="KU3" s="11">
        <f ca="1">IF(KU2&gt;0,KU1/KU2*myData!PerPerson,"")</f>
        <v>15130.002545724625</v>
      </c>
      <c r="KV3" s="11">
        <f ca="1">IF(KV2&gt;0,KV1/KV2*myData!PerPerson,"")</f>
        <v>16541.051064667085</v>
      </c>
      <c r="KW3" s="11">
        <f ca="1">IF(KW2&gt;0,KW1/KW2*myData!PerPerson,"")</f>
        <v>9732.191618285804</v>
      </c>
      <c r="KX3" s="11">
        <f ca="1">IF(KX2&gt;0,KX1/KX2*myData!PerPerson,"")</f>
        <v>6247.4260486132735</v>
      </c>
      <c r="KY3" s="11">
        <f ca="1">IF(KY2&gt;0,KY1/KY2*myData!PerPerson,"")</f>
        <v>39442.308535025302</v>
      </c>
      <c r="KZ3" s="11">
        <f ca="1">IF(KZ2&gt;0,KZ1/KZ2*myData!PerPerson,"")</f>
        <v>87684.934597365776</v>
      </c>
      <c r="LA3" s="11">
        <f ca="1">IF(LA2&gt;0,LA1/LA2*myData!PerPerson,"")</f>
        <v>12603.14711595944</v>
      </c>
      <c r="LB3" s="11">
        <f ca="1">IF(LB2&gt;0,LB1/LB2*myData!PerPerson,"")</f>
        <v>29254.209814176986</v>
      </c>
      <c r="LC3" s="11">
        <f ca="1">IF(LC2&gt;0,LC1/LC2*myData!PerPerson,"")</f>
        <v>18539.577407165201</v>
      </c>
      <c r="LD3" s="11">
        <f ca="1">IF(LD2&gt;0,LD1/LD2*myData!PerPerson,"")</f>
        <v>10662.54893238112</v>
      </c>
      <c r="LE3" s="11">
        <f ca="1">IF(LE2&gt;0,LE1/LE2*myData!PerPerson,"")</f>
        <v>15549.174380949469</v>
      </c>
      <c r="LF3" s="11">
        <f ca="1">IF(LF2&gt;0,LF1/LF2*myData!PerPerson,"")</f>
        <v>14198.968251042887</v>
      </c>
      <c r="LG3" s="11">
        <f ca="1">IF(LG2&gt;0,LG1/LG2*myData!PerPerson,"")</f>
        <v>20781.395952606981</v>
      </c>
      <c r="LH3" s="11">
        <f ca="1">IF(LH2&gt;0,LH1/LH2*myData!PerPerson,"")</f>
        <v>19702.180976147662</v>
      </c>
      <c r="LI3" s="11">
        <f ca="1">IF(LI2&gt;0,LI1/LI2*myData!PerPerson,"")</f>
        <v>6612.1808088287407</v>
      </c>
      <c r="LJ3" s="11">
        <f ca="1">IF(LJ2&gt;0,LJ1/LJ2*myData!PerPerson,"")</f>
        <v>13156.010012307568</v>
      </c>
      <c r="LK3" s="11">
        <f ca="1">IF(LK2&gt;0,LK1/LK2*myData!PerPerson,"")</f>
        <v>10004.164082113626</v>
      </c>
      <c r="LL3" s="11" t="str">
        <f ca="1">IF(LL2&gt;0,LL1/LL2*myData!PerPerson,"")</f>
        <v/>
      </c>
      <c r="LM3" s="11" t="str">
        <f ca="1">IF(LM2&gt;0,LM1/LM2*myData!PerPerson,"")</f>
        <v/>
      </c>
      <c r="LN3" s="11">
        <f ca="1">IF(LN2&gt;0,LN1/LN2*myData!PerPerson,"")</f>
        <v>33684.686031405872</v>
      </c>
      <c r="LO3" s="25" t="s">
        <v>3739</v>
      </c>
      <c r="LQ3" s="11"/>
      <c r="LR3"/>
      <c r="LS3"/>
      <c r="LU3" s="281"/>
      <c r="LV3" s="281"/>
      <c r="MH3">
        <f ca="1">TST!Vietnam100dt</f>
        <v>0</v>
      </c>
      <c r="MI3" t="s">
        <v>3387</v>
      </c>
      <c r="MP3" t="s">
        <v>3016</v>
      </c>
      <c r="MZ3"/>
      <c r="NC3" s="25"/>
      <c r="NK3" t="s">
        <v>3484</v>
      </c>
    </row>
    <row r="4" spans="1:375" s="25" customFormat="1" x14ac:dyDescent="0.25">
      <c r="A4" s="156"/>
      <c r="K4" s="292"/>
      <c r="M4" s="289"/>
      <c r="O4" s="40"/>
      <c r="P4" s="286"/>
      <c r="GY4" s="11"/>
      <c r="JI4" s="295">
        <f ca="1">JI3/$LN$3</f>
        <v>0.26211124305024053</v>
      </c>
      <c r="JJ4" s="295">
        <f t="shared" ref="JJ4:LK4" ca="1" si="0">JJ3/$LN$3</f>
        <v>7.5369783274457772E-2</v>
      </c>
      <c r="JK4" s="295">
        <f t="shared" ca="1" si="0"/>
        <v>0.1778143414674265</v>
      </c>
      <c r="JL4" s="295">
        <f t="shared" ca="1" si="0"/>
        <v>0.18265907267413137</v>
      </c>
      <c r="JM4" s="295">
        <f t="shared" ca="1" si="0"/>
        <v>0.46081959560333396</v>
      </c>
      <c r="JN4" s="295">
        <f t="shared" ca="1" si="0"/>
        <v>0.14812191370354574</v>
      </c>
      <c r="JO4" s="295">
        <f t="shared" ca="1" si="0"/>
        <v>0.34113531934276281</v>
      </c>
      <c r="JP4" s="295">
        <f t="shared" ca="1" si="0"/>
        <v>0.33171417648173374</v>
      </c>
      <c r="JQ4" s="295">
        <f t="shared" ca="1" si="0"/>
        <v>0.40081690819376997</v>
      </c>
      <c r="JR4" s="295">
        <f t="shared" ca="1" si="0"/>
        <v>0.83642120065418479</v>
      </c>
      <c r="JS4" s="295">
        <f t="shared" ca="1" si="0"/>
        <v>2.4386410937525556</v>
      </c>
      <c r="JT4" s="295">
        <f t="shared" ca="1" si="0"/>
        <v>1.5359318446572263</v>
      </c>
      <c r="JU4" s="295">
        <f t="shared" ca="1" si="0"/>
        <v>2.0178410054595997</v>
      </c>
      <c r="JV4" s="295">
        <f t="shared" ca="1" si="0"/>
        <v>0.49017871421366288</v>
      </c>
      <c r="JW4" s="295">
        <f t="shared" ca="1" si="0"/>
        <v>0.79215520523394878</v>
      </c>
      <c r="JX4" s="295">
        <f t="shared" ca="1" si="0"/>
        <v>0.12999755748248396</v>
      </c>
      <c r="JY4" s="295">
        <f t="shared" ca="1" si="0"/>
        <v>0.34237743885866678</v>
      </c>
      <c r="JZ4" s="295">
        <f t="shared" ca="1" si="0"/>
        <v>1.3706338412299472</v>
      </c>
      <c r="KA4" s="295">
        <f t="shared" ca="1" si="0"/>
        <v>0.85085203907262819</v>
      </c>
      <c r="KB4" s="295">
        <f t="shared" ca="1" si="0"/>
        <v>0.81324801160326843</v>
      </c>
      <c r="KC4" s="295">
        <f t="shared" ca="1" si="0"/>
        <v>0.49778839595465907</v>
      </c>
      <c r="KD4" s="295">
        <f t="shared" ca="1" si="0"/>
        <v>0.32440227620612189</v>
      </c>
      <c r="KE4" s="295">
        <f t="shared" ca="1" si="0"/>
        <v>1.8608730307835661</v>
      </c>
      <c r="KF4" s="295">
        <f t="shared" ca="1" si="0"/>
        <v>0.25464141297261167</v>
      </c>
      <c r="KG4" s="295">
        <f t="shared" ca="1" si="0"/>
        <v>1.2017373254461297</v>
      </c>
      <c r="KH4" s="295">
        <f t="shared" ca="1" si="0"/>
        <v>2.8540503254666634</v>
      </c>
      <c r="KI4" s="295">
        <f t="shared" ca="1" si="0"/>
        <v>1.2843777630311488</v>
      </c>
      <c r="KJ4" s="295">
        <f t="shared" ca="1" si="0"/>
        <v>0.32805312172372125</v>
      </c>
      <c r="KK4" s="295">
        <f t="shared" ca="1" si="0"/>
        <v>0.74223961612919276</v>
      </c>
      <c r="KL4" s="295">
        <f t="shared" ca="1" si="0"/>
        <v>0.37436063898730498</v>
      </c>
      <c r="KM4" s="295">
        <f t="shared" ca="1" si="0"/>
        <v>0.12638379363049923</v>
      </c>
      <c r="KN4" s="295">
        <f t="shared" ca="1" si="0"/>
        <v>0.81599233075407418</v>
      </c>
      <c r="KO4" s="295">
        <f t="shared" ca="1" si="0"/>
        <v>0.5194012221498433</v>
      </c>
      <c r="KP4" s="295">
        <f t="shared" ca="1" si="0"/>
        <v>0.53033269243379089</v>
      </c>
      <c r="KQ4" s="295">
        <f t="shared" ca="1" si="0"/>
        <v>4.1350124127678596</v>
      </c>
      <c r="KR4" s="295">
        <f t="shared" ca="1" si="0"/>
        <v>0.52837969140903318</v>
      </c>
      <c r="KS4" s="295">
        <f t="shared" ca="1" si="0"/>
        <v>3.9323463539196544</v>
      </c>
      <c r="KT4" s="295">
        <f t="shared" ca="1" si="0"/>
        <v>0.32800451799216729</v>
      </c>
      <c r="KU4" s="295">
        <f t="shared" ca="1" si="0"/>
        <v>0.44916560990410265</v>
      </c>
      <c r="KV4" s="295">
        <f t="shared" ca="1" si="0"/>
        <v>0.49105552146886744</v>
      </c>
      <c r="KW4" s="295">
        <f t="shared" ca="1" si="0"/>
        <v>0.28892036010702338</v>
      </c>
      <c r="KX4" s="295">
        <f t="shared" ca="1" si="0"/>
        <v>0.18546784265076699</v>
      </c>
      <c r="KY4" s="295">
        <f t="shared" ca="1" si="0"/>
        <v>1.1709270051753287</v>
      </c>
      <c r="KZ4" s="295">
        <f t="shared" ca="1" si="0"/>
        <v>2.6031097489112067</v>
      </c>
      <c r="LA4" s="295">
        <f t="shared" ca="1" si="0"/>
        <v>0.3741506482859574</v>
      </c>
      <c r="LB4" s="295">
        <f t="shared" ca="1" si="0"/>
        <v>0.8684720940222469</v>
      </c>
      <c r="LC4" s="295">
        <f t="shared" ca="1" si="0"/>
        <v>0.55038593472059827</v>
      </c>
      <c r="LD4" s="295">
        <f t="shared" ca="1" si="0"/>
        <v>0.31653995297566101</v>
      </c>
      <c r="LE4" s="295">
        <f t="shared" ca="1" si="0"/>
        <v>0.46160959809606705</v>
      </c>
      <c r="LF4" s="295">
        <f t="shared" ca="1" si="0"/>
        <v>0.42152591945801415</v>
      </c>
      <c r="LG4" s="295">
        <f t="shared" ca="1" si="0"/>
        <v>0.61693898328847341</v>
      </c>
      <c r="LH4" s="295">
        <f t="shared" ca="1" si="0"/>
        <v>0.58490024095158133</v>
      </c>
      <c r="LI4" s="295">
        <f t="shared" ca="1" si="0"/>
        <v>0.19629634673346466</v>
      </c>
      <c r="LJ4" s="295">
        <f t="shared" ca="1" si="0"/>
        <v>0.39056353382785219</v>
      </c>
      <c r="LK4" s="295">
        <f t="shared" ca="1" si="0"/>
        <v>0.29699442864886011</v>
      </c>
      <c r="LN4" s="11">
        <f ca="1">STDEV(JH3:LK3)</f>
        <v>29989.580863970346</v>
      </c>
      <c r="LO4" s="102" t="str">
        <f ca="1">SwedenCapita &amp; " from " &amp; TEXT(Sweden100dt,"dd-mmm")</f>
        <v>Sweden from 07-Mar</v>
      </c>
      <c r="LQ4" s="26" t="str">
        <f ca="1">SpainCapita &amp; " from " &amp; TEXT(Spain100dt,"dd-mmm")</f>
        <v>Spain from 07-Mar</v>
      </c>
      <c r="LR4" s="281"/>
      <c r="LS4" s="281" t="str">
        <f ca="1">VictoriaCapita &amp; " from " &amp; TEXT(Victoria100dt,"dd-mmm")</f>
        <v>Victoria from 16-Mar</v>
      </c>
      <c r="LU4" s="25" t="str">
        <f ca="1">IranCapita &amp; " from " &amp; TEXT(Iran100dt,"dd-mmm")</f>
        <v>Iran from 01-Mar</v>
      </c>
      <c r="LW4" s="25" t="str">
        <f ca="1">JapanCapita &amp; " from " &amp; TEXT(Japan100dt,"dd-mmm")</f>
        <v>Japan from 25-Mar</v>
      </c>
      <c r="LY4" s="25" t="str">
        <f ca="1">QueenslandCapita &amp; " from " &amp; TEXT(Queensland100dt,"dd-mmm")</f>
        <v>Queensland from 15-Mar</v>
      </c>
      <c r="MA4" s="25" t="str">
        <f ca="1">TasmaniaCapita &amp; " from " &amp; TEXT(Tasmania100dt,"dd-mmm")</f>
        <v>Tasmania from 15-Mar</v>
      </c>
      <c r="MC4" s="25" t="str">
        <f ca="1">SouthAustraliaCapita &amp; " from " &amp; TEXT(SouthAustralia100dt,"dd-mmm")</f>
        <v>South Australia from 14-Mar</v>
      </c>
      <c r="ME4" s="25" t="str">
        <f ca="1">AustralianCapitalTerritoryCapita &amp; " from " &amp; TEXT(AustralianCapitalTerritory100dt,"dd-mmm")</f>
        <v>Australian Capital Territory from 20-Mar</v>
      </c>
      <c r="MF4" s="25" t="str">
        <f ca="1">VietnamCapita &amp; " from " &amp; TEXT(Vietnam100dt,"dd-mmm")</f>
        <v>Days100 Northern Territory from 00-Jan</v>
      </c>
      <c r="MG4" s="25" t="str">
        <f ca="1">NorthernTerritoryCapita &amp; " from " &amp; TEXT(NorthernTerritory100dt,"dd-mmm")</f>
        <v>Northern Territory from 20-Mar</v>
      </c>
      <c r="MI4" s="25" t="str">
        <f ca="1">WesternAustraliaCapita &amp; " from " &amp; TEXT(WesternAustralia100dt,"dd-mmm")</f>
        <v>Western Australia from 16-Mar</v>
      </c>
      <c r="MK4" s="25" t="str">
        <f ca="1">GermanyCapita &amp; " from " &amp; TEXT(Germany100dt,"dd-mmm")</f>
        <v>Germany from 08-Mar</v>
      </c>
      <c r="MM4" s="25" t="str">
        <f ca="1">DenmarkCapita &amp; " from " &amp; TEXT(Denmark100dt,"dd-mmm")</f>
        <v>Denmark from 09-Mar</v>
      </c>
      <c r="MO4" s="25" t="str">
        <f ca="1">SouthAfricaCapita &amp; " from " &amp; TEXT(SouthAfrica100dt,"dd-mmm")</f>
        <v>South Africa from 25-Mar</v>
      </c>
      <c r="MQ4" s="25" t="str">
        <f ca="1">UnitedKingdomCapita &amp; " from " &amp; TEXT(UnitedKingdom100dt,"dd-mmm")</f>
        <v>United Kingdom from 13-Mar</v>
      </c>
      <c r="MS4" s="25" t="str">
        <f ca="1">IrelandCapita &amp; " from " &amp; TEXT(Ireland100dt,"dd-mmm")</f>
        <v>Ireland from 13-Mar</v>
      </c>
      <c r="MU4" s="25" t="str">
        <f ca="1">ItalyCapita &amp; " from " &amp; TEXT(Italy100dt,"dd-mmm")</f>
        <v>Italy from 27-Feb</v>
      </c>
      <c r="MW4" s="25" t="str">
        <f ca="1">USCapita &amp; " from " &amp; TEXT(US100dt,"dd-mmm")</f>
        <v>US from 15-Mar</v>
      </c>
      <c r="MY4" s="25" t="str">
        <f ca="1">AustraliaSumCapita &amp; " from " &amp; TEXT(AustraliaSum100dt,"dd-mmm")</f>
        <v>Australia Sum from 15-Mar</v>
      </c>
      <c r="NA4" s="25" t="str">
        <f ca="1">NewSouthWalesCapita &amp; " from " &amp; TEXT(NewSouthWales100dt,"dd-mmm")</f>
        <v>New South Wales from 13-Mar</v>
      </c>
      <c r="NC4" s="25" t="str">
        <f ca="1">TaiwanCapita &amp; " from " &amp; TEXT(Taiwan100dt,"dd-mmm")</f>
        <v>Taiwan from 26-Mar</v>
      </c>
      <c r="ND4" s="25">
        <v>-1</v>
      </c>
      <c r="NE4" s="25" t="str">
        <f ca="1">HubeiCapita &amp; " from " &amp; TEXT(Hubei100dt,"dd-mmm")</f>
        <v>Hubei from 25-Jan</v>
      </c>
      <c r="NG4" s="25" t="str">
        <f ca="1">HongKongCapita &amp; " from " &amp; TEXT(HongKong100dt,"dd-mmm")</f>
        <v>Hong Kong from 24-Feb</v>
      </c>
    </row>
    <row r="5" spans="1:375" x14ac:dyDescent="0.25">
      <c r="A5" s="243" t="s">
        <v>2430</v>
      </c>
      <c r="B5" s="23" t="str">
        <f>B6&amp;" - "&amp;B7</f>
        <v xml:space="preserve"> - Afghanistan</v>
      </c>
      <c r="C5" s="23" t="str">
        <f t="shared" ref="C5:BN5" si="1">C6&amp;" - "&amp;C7</f>
        <v xml:space="preserve"> - Albania</v>
      </c>
      <c r="D5" s="23" t="str">
        <f t="shared" si="1"/>
        <v xml:space="preserve"> - Algeria</v>
      </c>
      <c r="E5" s="23" t="str">
        <f t="shared" si="1"/>
        <v xml:space="preserve"> - Andorra</v>
      </c>
      <c r="F5" s="23" t="str">
        <f t="shared" si="1"/>
        <v xml:space="preserve"> - Angola</v>
      </c>
      <c r="G5" s="23" t="str">
        <f t="shared" si="1"/>
        <v xml:space="preserve"> - Antigua and Barbuda</v>
      </c>
      <c r="H5" s="23" t="str">
        <f t="shared" si="1"/>
        <v xml:space="preserve"> - Argentina</v>
      </c>
      <c r="I5" s="23" t="str">
        <f t="shared" si="1"/>
        <v xml:space="preserve"> - Armenia</v>
      </c>
      <c r="J5" s="23" t="str">
        <f t="shared" si="1"/>
        <v>Australian Capital Territory - Australia</v>
      </c>
      <c r="K5" s="23" t="str">
        <f t="shared" si="1"/>
        <v>New South Wales - Australia</v>
      </c>
      <c r="L5" s="23" t="str">
        <f t="shared" si="1"/>
        <v>Northern Territory - Australia</v>
      </c>
      <c r="M5" s="23" t="str">
        <f t="shared" si="1"/>
        <v>Queensland - Australia</v>
      </c>
      <c r="N5" s="23" t="str">
        <f t="shared" si="1"/>
        <v>South Australia - Australia</v>
      </c>
      <c r="O5" s="23" t="str">
        <f t="shared" si="1"/>
        <v>Tasmania - Australia</v>
      </c>
      <c r="P5" s="23" t="str">
        <f t="shared" si="1"/>
        <v>Victoria - Australia</v>
      </c>
      <c r="Q5" s="23" t="str">
        <f t="shared" si="1"/>
        <v>Western Australia - Australia</v>
      </c>
      <c r="R5" s="23" t="str">
        <f t="shared" si="1"/>
        <v xml:space="preserve"> - Austria</v>
      </c>
      <c r="S5" s="23" t="str">
        <f t="shared" si="1"/>
        <v xml:space="preserve"> - Azerbaijan</v>
      </c>
      <c r="T5" s="23" t="str">
        <f t="shared" si="1"/>
        <v xml:space="preserve"> - Bahamas</v>
      </c>
      <c r="U5" s="23" t="str">
        <f t="shared" si="1"/>
        <v xml:space="preserve"> - Bahrain</v>
      </c>
      <c r="V5" s="23" t="str">
        <f t="shared" si="1"/>
        <v xml:space="preserve"> - Bangladesh</v>
      </c>
      <c r="W5" s="23" t="str">
        <f t="shared" si="1"/>
        <v xml:space="preserve"> - Barbados</v>
      </c>
      <c r="X5" s="23" t="str">
        <f t="shared" si="1"/>
        <v xml:space="preserve"> - Belarus</v>
      </c>
      <c r="Y5" s="23" t="str">
        <f t="shared" si="1"/>
        <v xml:space="preserve"> - Belgium</v>
      </c>
      <c r="Z5" s="23" t="str">
        <f t="shared" si="1"/>
        <v xml:space="preserve"> - Benin</v>
      </c>
      <c r="AA5" s="23" t="str">
        <f t="shared" si="1"/>
        <v xml:space="preserve"> - Bhutan</v>
      </c>
      <c r="AB5" s="23" t="str">
        <f t="shared" si="1"/>
        <v xml:space="preserve"> - Bolivia</v>
      </c>
      <c r="AC5" s="23" t="str">
        <f t="shared" si="1"/>
        <v xml:space="preserve"> - Bosnia and Herzegovina</v>
      </c>
      <c r="AD5" s="23" t="str">
        <f t="shared" si="1"/>
        <v xml:space="preserve"> - Brazil</v>
      </c>
      <c r="AE5" s="23" t="str">
        <f t="shared" si="1"/>
        <v xml:space="preserve"> - Brunei</v>
      </c>
      <c r="AF5" s="23" t="str">
        <f t="shared" si="1"/>
        <v xml:space="preserve"> - Bulgaria</v>
      </c>
      <c r="AG5" s="23" t="str">
        <f t="shared" si="1"/>
        <v xml:space="preserve"> - Burkina Faso</v>
      </c>
      <c r="AH5" s="23" t="str">
        <f t="shared" si="1"/>
        <v xml:space="preserve"> - Cabo Verde</v>
      </c>
      <c r="AI5" s="23" t="str">
        <f t="shared" si="1"/>
        <v xml:space="preserve"> - Cambodia</v>
      </c>
      <c r="AJ5" s="23" t="str">
        <f t="shared" si="1"/>
        <v xml:space="preserve"> - Cameroon</v>
      </c>
      <c r="AK5" s="23" t="str">
        <f t="shared" si="1"/>
        <v>Alberta - Canada</v>
      </c>
      <c r="AL5" s="23" t="str">
        <f t="shared" si="1"/>
        <v>British Columbia - Canada</v>
      </c>
      <c r="AM5" s="23" t="str">
        <f t="shared" si="1"/>
        <v>Grand Princess - Canada</v>
      </c>
      <c r="AN5" s="23" t="str">
        <f t="shared" si="1"/>
        <v>Manitoba - Canada</v>
      </c>
      <c r="AO5" s="23" t="str">
        <f t="shared" si="1"/>
        <v>New Brunswick - Canada</v>
      </c>
      <c r="AP5" s="23" t="str">
        <f t="shared" si="1"/>
        <v>Newfoundland and Labrador - Canada</v>
      </c>
      <c r="AQ5" s="23" t="str">
        <f t="shared" si="1"/>
        <v>Nova Scotia - Canada</v>
      </c>
      <c r="AR5" s="23" t="str">
        <f t="shared" si="1"/>
        <v>Ontario - Canada</v>
      </c>
      <c r="AS5" s="23" t="str">
        <f t="shared" si="1"/>
        <v>Prince Edward Island - Canada</v>
      </c>
      <c r="AT5" s="23" t="str">
        <f t="shared" si="1"/>
        <v>Quebec - Canada</v>
      </c>
      <c r="AU5" s="23" t="str">
        <f t="shared" si="1"/>
        <v>Saskatchewan - Canada</v>
      </c>
      <c r="AV5" s="23" t="str">
        <f t="shared" si="1"/>
        <v xml:space="preserve"> - Central African Republic</v>
      </c>
      <c r="AW5" s="23" t="str">
        <f t="shared" si="1"/>
        <v xml:space="preserve"> - Chad</v>
      </c>
      <c r="AX5" s="23" t="str">
        <f t="shared" si="1"/>
        <v xml:space="preserve"> - Chile</v>
      </c>
      <c r="AY5" s="23" t="str">
        <f t="shared" si="1"/>
        <v>Anhui - China</v>
      </c>
      <c r="AZ5" s="23" t="str">
        <f t="shared" si="1"/>
        <v>Beijing - China</v>
      </c>
      <c r="BA5" s="23" t="str">
        <f t="shared" si="1"/>
        <v>Chongqing - China</v>
      </c>
      <c r="BB5" s="23" t="str">
        <f t="shared" si="1"/>
        <v>Fujian - China</v>
      </c>
      <c r="BC5" s="23" t="str">
        <f t="shared" si="1"/>
        <v>Gansu - China</v>
      </c>
      <c r="BD5" s="23" t="str">
        <f t="shared" si="1"/>
        <v>Guangdong - China</v>
      </c>
      <c r="BE5" s="23" t="str">
        <f t="shared" si="1"/>
        <v>Guangxi - China</v>
      </c>
      <c r="BF5" s="23" t="str">
        <f t="shared" si="1"/>
        <v>Guizhou - China</v>
      </c>
      <c r="BG5" s="23" t="str">
        <f t="shared" si="1"/>
        <v>Hainan - China</v>
      </c>
      <c r="BH5" s="23" t="str">
        <f t="shared" si="1"/>
        <v>Hebei - China</v>
      </c>
      <c r="BI5" s="23" t="str">
        <f t="shared" si="1"/>
        <v>Heilongjiang - China</v>
      </c>
      <c r="BJ5" s="23" t="str">
        <f t="shared" si="1"/>
        <v>Henan - China</v>
      </c>
      <c r="BK5" s="23" t="str">
        <f t="shared" si="1"/>
        <v>Hong Kong - China</v>
      </c>
      <c r="BL5" s="23" t="str">
        <f t="shared" si="1"/>
        <v>Hubei - China</v>
      </c>
      <c r="BM5" s="23" t="str">
        <f t="shared" si="1"/>
        <v>Hunan - China</v>
      </c>
      <c r="BN5" s="23" t="str">
        <f t="shared" si="1"/>
        <v>Inner Mongolia - China</v>
      </c>
      <c r="BO5" s="23" t="str">
        <f t="shared" ref="BO5:DZ5" si="2">BO6&amp;" - "&amp;BO7</f>
        <v>Jiangsu - China</v>
      </c>
      <c r="BP5" s="23" t="str">
        <f t="shared" si="2"/>
        <v>Jiangxi - China</v>
      </c>
      <c r="BQ5" s="23" t="str">
        <f t="shared" si="2"/>
        <v>Jilin - China</v>
      </c>
      <c r="BR5" s="23" t="str">
        <f t="shared" si="2"/>
        <v>Liaoning - China</v>
      </c>
      <c r="BS5" s="23" t="str">
        <f t="shared" si="2"/>
        <v>Macau - China</v>
      </c>
      <c r="BT5" s="23" t="str">
        <f t="shared" si="2"/>
        <v>Ningxia - China</v>
      </c>
      <c r="BU5" s="23" t="str">
        <f t="shared" si="2"/>
        <v>Qinghai - China</v>
      </c>
      <c r="BV5" s="23" t="str">
        <f t="shared" si="2"/>
        <v>Shaanxi - China</v>
      </c>
      <c r="BW5" s="23" t="str">
        <f t="shared" si="2"/>
        <v>Shandong - China</v>
      </c>
      <c r="BX5" s="23" t="str">
        <f t="shared" si="2"/>
        <v>Shanghai - China</v>
      </c>
      <c r="BY5" s="23" t="str">
        <f t="shared" si="2"/>
        <v>Shanxi - China</v>
      </c>
      <c r="BZ5" s="23" t="str">
        <f t="shared" si="2"/>
        <v>Sichuan - China</v>
      </c>
      <c r="CA5" s="23" t="str">
        <f t="shared" si="2"/>
        <v>Tianjin - China</v>
      </c>
      <c r="CB5" s="23" t="str">
        <f t="shared" si="2"/>
        <v>Tibet - China</v>
      </c>
      <c r="CC5" s="23" t="str">
        <f t="shared" si="2"/>
        <v>Xinjiang - China</v>
      </c>
      <c r="CD5" s="23" t="str">
        <f t="shared" si="2"/>
        <v>Yunnan - China</v>
      </c>
      <c r="CE5" s="23" t="str">
        <f t="shared" si="2"/>
        <v>Zhejiang - China</v>
      </c>
      <c r="CF5" s="23" t="str">
        <f t="shared" si="2"/>
        <v xml:space="preserve"> - Colombia</v>
      </c>
      <c r="CG5" s="23" t="str">
        <f t="shared" si="2"/>
        <v xml:space="preserve"> - Congo (Brazzaville)</v>
      </c>
      <c r="CH5" s="23" t="str">
        <f t="shared" si="2"/>
        <v xml:space="preserve"> - Congo (Kinshasa)</v>
      </c>
      <c r="CI5" s="23" t="str">
        <f t="shared" si="2"/>
        <v xml:space="preserve"> - Costa Rica</v>
      </c>
      <c r="CJ5" s="23" t="str">
        <f t="shared" si="2"/>
        <v xml:space="preserve"> - Cote d'Ivoire</v>
      </c>
      <c r="CK5" s="23" t="str">
        <f t="shared" si="2"/>
        <v xml:space="preserve"> - Croatia</v>
      </c>
      <c r="CL5" s="23" t="str">
        <f t="shared" si="2"/>
        <v xml:space="preserve"> - Diamond Princess</v>
      </c>
      <c r="CM5" s="23" t="str">
        <f t="shared" si="2"/>
        <v xml:space="preserve"> - Cuba</v>
      </c>
      <c r="CN5" s="23" t="str">
        <f t="shared" si="2"/>
        <v xml:space="preserve"> - Cyprus</v>
      </c>
      <c r="CO5" s="23" t="str">
        <f t="shared" si="2"/>
        <v xml:space="preserve"> - Czechia</v>
      </c>
      <c r="CP5" s="23" t="str">
        <f t="shared" si="2"/>
        <v>Faroe Islands - Denmark</v>
      </c>
      <c r="CQ5" s="23" t="str">
        <f t="shared" si="2"/>
        <v>Greenland - Denmark</v>
      </c>
      <c r="CR5" s="23" t="str">
        <f t="shared" si="2"/>
        <v xml:space="preserve"> - Denmark</v>
      </c>
      <c r="CS5" s="23" t="str">
        <f t="shared" si="2"/>
        <v xml:space="preserve"> - Djibouti</v>
      </c>
      <c r="CT5" s="23" t="str">
        <f t="shared" si="2"/>
        <v xml:space="preserve"> - Dominican Republic</v>
      </c>
      <c r="CU5" s="23" t="str">
        <f t="shared" si="2"/>
        <v xml:space="preserve"> - Ecuador</v>
      </c>
      <c r="CV5" s="23" t="str">
        <f t="shared" si="2"/>
        <v xml:space="preserve"> - Egypt</v>
      </c>
      <c r="CW5" s="23" t="str">
        <f t="shared" si="2"/>
        <v xml:space="preserve"> - El Salvador</v>
      </c>
      <c r="CX5" s="23" t="str">
        <f t="shared" si="2"/>
        <v xml:space="preserve"> - Equatorial Guinea</v>
      </c>
      <c r="CY5" s="23" t="str">
        <f t="shared" si="2"/>
        <v xml:space="preserve"> - Eritrea</v>
      </c>
      <c r="CZ5" s="23" t="str">
        <f t="shared" si="2"/>
        <v xml:space="preserve"> - Estonia</v>
      </c>
      <c r="DA5" s="23" t="str">
        <f t="shared" si="2"/>
        <v xml:space="preserve"> - Eswatini</v>
      </c>
      <c r="DB5" s="23" t="str">
        <f t="shared" si="2"/>
        <v xml:space="preserve"> - Ethiopia</v>
      </c>
      <c r="DC5" s="23" t="str">
        <f t="shared" si="2"/>
        <v xml:space="preserve"> - Fiji</v>
      </c>
      <c r="DD5" s="23" t="str">
        <f t="shared" si="2"/>
        <v xml:space="preserve"> - Finland</v>
      </c>
      <c r="DE5" s="23" t="str">
        <f t="shared" si="2"/>
        <v>French Guiana - France</v>
      </c>
      <c r="DF5" s="23" t="str">
        <f t="shared" si="2"/>
        <v>French Polynesia - France</v>
      </c>
      <c r="DG5" s="23" t="str">
        <f t="shared" si="2"/>
        <v>Guadeloupe - France</v>
      </c>
      <c r="DH5" s="23" t="str">
        <f t="shared" si="2"/>
        <v>Mayotte - France</v>
      </c>
      <c r="DI5" s="23" t="str">
        <f t="shared" si="2"/>
        <v>New Caledonia - France</v>
      </c>
      <c r="DJ5" s="23" t="str">
        <f t="shared" si="2"/>
        <v>Reunion - France</v>
      </c>
      <c r="DK5" s="23" t="str">
        <f t="shared" si="2"/>
        <v>Saint Barthelemy - France</v>
      </c>
      <c r="DL5" s="23" t="str">
        <f t="shared" si="2"/>
        <v>St Martin - France</v>
      </c>
      <c r="DM5" s="23" t="str">
        <f t="shared" si="2"/>
        <v>Martinique - France</v>
      </c>
      <c r="DN5" s="23" t="str">
        <f t="shared" si="2"/>
        <v xml:space="preserve"> - France</v>
      </c>
      <c r="DO5" s="23" t="str">
        <f t="shared" si="2"/>
        <v xml:space="preserve"> - Gabon</v>
      </c>
      <c r="DP5" s="23" t="str">
        <f t="shared" si="2"/>
        <v xml:space="preserve"> - Gambia</v>
      </c>
      <c r="DQ5" s="23" t="str">
        <f t="shared" si="2"/>
        <v xml:space="preserve"> - Georgia</v>
      </c>
      <c r="DR5" s="23" t="str">
        <f t="shared" si="2"/>
        <v xml:space="preserve"> - Germany</v>
      </c>
      <c r="DS5" s="23" t="str">
        <f t="shared" si="2"/>
        <v xml:space="preserve"> - Ghana</v>
      </c>
      <c r="DT5" s="23" t="str">
        <f t="shared" si="2"/>
        <v xml:space="preserve"> - Greece</v>
      </c>
      <c r="DU5" s="23" t="str">
        <f t="shared" si="2"/>
        <v xml:space="preserve"> - Guatemala</v>
      </c>
      <c r="DV5" s="23" t="str">
        <f t="shared" si="2"/>
        <v xml:space="preserve"> - Guinea</v>
      </c>
      <c r="DW5" s="23" t="str">
        <f t="shared" si="2"/>
        <v xml:space="preserve"> - Guyana</v>
      </c>
      <c r="DX5" s="23" t="str">
        <f t="shared" si="2"/>
        <v xml:space="preserve"> - Haiti</v>
      </c>
      <c r="DY5" s="23" t="str">
        <f t="shared" si="2"/>
        <v xml:space="preserve"> - Holy See</v>
      </c>
      <c r="DZ5" s="23" t="str">
        <f t="shared" si="2"/>
        <v xml:space="preserve"> - Honduras</v>
      </c>
      <c r="EA5" s="23" t="str">
        <f t="shared" ref="EA5:GL5" si="3">EA6&amp;" - "&amp;EA7</f>
        <v xml:space="preserve"> - Hungary</v>
      </c>
      <c r="EB5" s="23" t="str">
        <f t="shared" si="3"/>
        <v xml:space="preserve"> - Iceland</v>
      </c>
      <c r="EC5" s="23" t="str">
        <f t="shared" si="3"/>
        <v xml:space="preserve"> - India</v>
      </c>
      <c r="ED5" s="23" t="str">
        <f t="shared" si="3"/>
        <v xml:space="preserve"> - Indonesia</v>
      </c>
      <c r="EE5" s="23" t="str">
        <f t="shared" si="3"/>
        <v xml:space="preserve"> - Iran</v>
      </c>
      <c r="EF5" s="23" t="str">
        <f t="shared" si="3"/>
        <v xml:space="preserve"> - Iraq</v>
      </c>
      <c r="EG5" s="23" t="str">
        <f t="shared" si="3"/>
        <v xml:space="preserve"> - Ireland</v>
      </c>
      <c r="EH5" s="23" t="str">
        <f t="shared" si="3"/>
        <v xml:space="preserve"> - Israel</v>
      </c>
      <c r="EI5" s="23" t="str">
        <f t="shared" si="3"/>
        <v xml:space="preserve"> - Italy</v>
      </c>
      <c r="EJ5" s="23" t="str">
        <f t="shared" si="3"/>
        <v xml:space="preserve"> - Jamaica</v>
      </c>
      <c r="EK5" s="23" t="str">
        <f t="shared" si="3"/>
        <v xml:space="preserve"> - Japan</v>
      </c>
      <c r="EL5" s="23" t="str">
        <f t="shared" si="3"/>
        <v xml:space="preserve"> - Jordan</v>
      </c>
      <c r="EM5" s="23" t="str">
        <f t="shared" si="3"/>
        <v xml:space="preserve"> - Kazakhstan</v>
      </c>
      <c r="EN5" s="23" t="str">
        <f t="shared" si="3"/>
        <v xml:space="preserve"> - Kenya</v>
      </c>
      <c r="EO5" s="23" t="str">
        <f t="shared" si="3"/>
        <v xml:space="preserve"> - Korea South</v>
      </c>
      <c r="EP5" s="23" t="str">
        <f t="shared" si="3"/>
        <v xml:space="preserve"> - Kuwait</v>
      </c>
      <c r="EQ5" s="23" t="str">
        <f t="shared" si="3"/>
        <v xml:space="preserve"> - Kyrgyzstan</v>
      </c>
      <c r="ER5" s="23" t="str">
        <f t="shared" si="3"/>
        <v xml:space="preserve"> - Latvia</v>
      </c>
      <c r="ES5" s="23" t="str">
        <f t="shared" si="3"/>
        <v xml:space="preserve"> - Lebanon</v>
      </c>
      <c r="ET5" s="23" t="str">
        <f t="shared" si="3"/>
        <v xml:space="preserve"> - Liberia</v>
      </c>
      <c r="EU5" s="23" t="str">
        <f t="shared" si="3"/>
        <v xml:space="preserve"> - Liechtenstein</v>
      </c>
      <c r="EV5" s="23" t="str">
        <f t="shared" si="3"/>
        <v xml:space="preserve"> - Lithuania</v>
      </c>
      <c r="EW5" s="23" t="str">
        <f t="shared" si="3"/>
        <v xml:space="preserve"> - Luxembourg</v>
      </c>
      <c r="EX5" s="23" t="str">
        <f t="shared" si="3"/>
        <v xml:space="preserve"> - Madagascar</v>
      </c>
      <c r="EY5" s="23" t="str">
        <f t="shared" si="3"/>
        <v xml:space="preserve"> - Malaysia</v>
      </c>
      <c r="EZ5" s="23" t="str">
        <f t="shared" si="3"/>
        <v xml:space="preserve"> - Maldives</v>
      </c>
      <c r="FA5" s="23" t="str">
        <f t="shared" si="3"/>
        <v xml:space="preserve"> - Malta</v>
      </c>
      <c r="FB5" s="23" t="str">
        <f t="shared" si="3"/>
        <v xml:space="preserve"> - Mauritania</v>
      </c>
      <c r="FC5" s="23" t="str">
        <f t="shared" si="3"/>
        <v xml:space="preserve"> - Mauritius</v>
      </c>
      <c r="FD5" s="23" t="str">
        <f t="shared" si="3"/>
        <v xml:space="preserve"> - Mexico</v>
      </c>
      <c r="FE5" s="23" t="str">
        <f t="shared" si="3"/>
        <v xml:space="preserve"> - Moldova</v>
      </c>
      <c r="FF5" s="23" t="str">
        <f t="shared" si="3"/>
        <v xml:space="preserve"> - Monaco</v>
      </c>
      <c r="FG5" s="23" t="str">
        <f t="shared" si="3"/>
        <v xml:space="preserve"> - Mongolia</v>
      </c>
      <c r="FH5" s="23" t="str">
        <f t="shared" si="3"/>
        <v xml:space="preserve"> - Montenegro</v>
      </c>
      <c r="FI5" s="23" t="str">
        <f t="shared" si="3"/>
        <v xml:space="preserve"> - Morocco</v>
      </c>
      <c r="FJ5" s="23" t="str">
        <f t="shared" si="3"/>
        <v xml:space="preserve"> - Namibia</v>
      </c>
      <c r="FK5" s="23" t="str">
        <f t="shared" si="3"/>
        <v xml:space="preserve"> - Nepal</v>
      </c>
      <c r="FL5" s="23" t="str">
        <f t="shared" si="3"/>
        <v>Aruba - Netherlands</v>
      </c>
      <c r="FM5" s="23" t="str">
        <f t="shared" si="3"/>
        <v>Curacao - Netherlands</v>
      </c>
      <c r="FN5" s="23" t="str">
        <f t="shared" si="3"/>
        <v>Sint Maarten - Netherlands</v>
      </c>
      <c r="FO5" s="23" t="str">
        <f t="shared" si="3"/>
        <v xml:space="preserve"> - Netherlands</v>
      </c>
      <c r="FP5" s="23" t="str">
        <f t="shared" si="3"/>
        <v xml:space="preserve"> - New Zealand</v>
      </c>
      <c r="FQ5" s="23" t="str">
        <f t="shared" si="3"/>
        <v xml:space="preserve"> - Nicaragua</v>
      </c>
      <c r="FR5" s="23" t="str">
        <f t="shared" si="3"/>
        <v xml:space="preserve"> - Niger</v>
      </c>
      <c r="FS5" s="23" t="str">
        <f t="shared" si="3"/>
        <v xml:space="preserve"> - Nigeria</v>
      </c>
      <c r="FT5" s="23" t="str">
        <f t="shared" si="3"/>
        <v xml:space="preserve"> - North Macedonia</v>
      </c>
      <c r="FU5" s="23" t="str">
        <f t="shared" si="3"/>
        <v xml:space="preserve"> - Norway</v>
      </c>
      <c r="FV5" s="23" t="str">
        <f t="shared" si="3"/>
        <v xml:space="preserve"> - Oman</v>
      </c>
      <c r="FW5" s="23" t="str">
        <f t="shared" si="3"/>
        <v xml:space="preserve"> - Pakistan</v>
      </c>
      <c r="FX5" s="23" t="str">
        <f t="shared" si="3"/>
        <v xml:space="preserve"> - Panama</v>
      </c>
      <c r="FY5" s="23" t="str">
        <f t="shared" si="3"/>
        <v xml:space="preserve"> - Papua New Guinea</v>
      </c>
      <c r="FZ5" s="23" t="str">
        <f t="shared" si="3"/>
        <v xml:space="preserve"> - Paraguay</v>
      </c>
      <c r="GA5" s="23" t="str">
        <f t="shared" si="3"/>
        <v xml:space="preserve"> - Peru</v>
      </c>
      <c r="GB5" s="23" t="str">
        <f t="shared" si="3"/>
        <v xml:space="preserve"> - Philippines</v>
      </c>
      <c r="GC5" s="23" t="str">
        <f t="shared" si="3"/>
        <v xml:space="preserve"> - Poland</v>
      </c>
      <c r="GD5" s="23" t="str">
        <f t="shared" si="3"/>
        <v xml:space="preserve"> - Portugal</v>
      </c>
      <c r="GE5" s="23" t="str">
        <f t="shared" si="3"/>
        <v xml:space="preserve"> - Qatar</v>
      </c>
      <c r="GF5" s="23" t="str">
        <f t="shared" si="3"/>
        <v xml:space="preserve"> - Romania</v>
      </c>
      <c r="GG5" s="23" t="str">
        <f t="shared" si="3"/>
        <v xml:space="preserve"> - Russia</v>
      </c>
      <c r="GH5" s="23" t="str">
        <f t="shared" si="3"/>
        <v xml:space="preserve"> - Rwanda</v>
      </c>
      <c r="GI5" s="23" t="str">
        <f t="shared" si="3"/>
        <v xml:space="preserve"> - Saint Lucia</v>
      </c>
      <c r="GJ5" s="23" t="str">
        <f t="shared" si="3"/>
        <v xml:space="preserve"> - Saint Vincent and the Grenadines</v>
      </c>
      <c r="GK5" s="23" t="str">
        <f t="shared" si="3"/>
        <v xml:space="preserve"> - San Marino</v>
      </c>
      <c r="GL5" s="23" t="str">
        <f t="shared" si="3"/>
        <v xml:space="preserve"> - Saudi Arabia</v>
      </c>
      <c r="GM5" s="23" t="str">
        <f t="shared" ref="GM5:IX5" si="4">GM6&amp;" - "&amp;GM7</f>
        <v xml:space="preserve"> - Senegal</v>
      </c>
      <c r="GN5" s="23" t="str">
        <f t="shared" si="4"/>
        <v xml:space="preserve"> - Serbia</v>
      </c>
      <c r="GO5" s="23" t="str">
        <f t="shared" si="4"/>
        <v xml:space="preserve"> - Seychelles</v>
      </c>
      <c r="GP5" s="23" t="str">
        <f t="shared" si="4"/>
        <v xml:space="preserve"> - Singapore</v>
      </c>
      <c r="GQ5" s="23" t="str">
        <f t="shared" si="4"/>
        <v xml:space="preserve"> - Slovakia</v>
      </c>
      <c r="GR5" s="23" t="str">
        <f t="shared" si="4"/>
        <v xml:space="preserve"> - Slovenia</v>
      </c>
      <c r="GS5" s="23" t="str">
        <f t="shared" si="4"/>
        <v xml:space="preserve"> - Somalia</v>
      </c>
      <c r="GT5" s="23" t="str">
        <f t="shared" si="4"/>
        <v xml:space="preserve"> - South Africa</v>
      </c>
      <c r="GU5" s="23" t="str">
        <f t="shared" si="4"/>
        <v xml:space="preserve"> - Spain</v>
      </c>
      <c r="GV5" s="23" t="str">
        <f t="shared" si="4"/>
        <v xml:space="preserve"> - Sri Lanka</v>
      </c>
      <c r="GW5" s="23" t="str">
        <f t="shared" si="4"/>
        <v xml:space="preserve"> - Sudan</v>
      </c>
      <c r="GX5" s="23" t="str">
        <f t="shared" si="4"/>
        <v xml:space="preserve"> - Suriname</v>
      </c>
      <c r="GY5" s="23" t="str">
        <f t="shared" si="4"/>
        <v xml:space="preserve"> - Sweden</v>
      </c>
      <c r="GZ5" s="23" t="str">
        <f t="shared" si="4"/>
        <v xml:space="preserve"> - Switzerland</v>
      </c>
      <c r="HA5" s="23" t="str">
        <f t="shared" si="4"/>
        <v xml:space="preserve"> - Taiwan</v>
      </c>
      <c r="HB5" s="23" t="str">
        <f t="shared" si="4"/>
        <v xml:space="preserve"> - Tanzania</v>
      </c>
      <c r="HC5" s="23" t="str">
        <f t="shared" si="4"/>
        <v xml:space="preserve"> - Thailand</v>
      </c>
      <c r="HD5" s="23" t="str">
        <f t="shared" si="4"/>
        <v xml:space="preserve"> - Togo</v>
      </c>
      <c r="HE5" s="23" t="str">
        <f t="shared" si="4"/>
        <v xml:space="preserve"> - Trinidad and Tobago</v>
      </c>
      <c r="HF5" s="23" t="str">
        <f t="shared" si="4"/>
        <v xml:space="preserve"> - Tunisia</v>
      </c>
      <c r="HG5" s="23" t="str">
        <f t="shared" si="4"/>
        <v xml:space="preserve"> - Turkey</v>
      </c>
      <c r="HH5" s="23" t="str">
        <f t="shared" si="4"/>
        <v xml:space="preserve"> - Uganda</v>
      </c>
      <c r="HI5" s="23" t="str">
        <f t="shared" si="4"/>
        <v xml:space="preserve"> - Ukraine</v>
      </c>
      <c r="HJ5" s="23" t="str">
        <f t="shared" si="4"/>
        <v xml:space="preserve"> - United Arab Emirates</v>
      </c>
      <c r="HK5" s="23" t="str">
        <f t="shared" si="4"/>
        <v>Bermuda - United Kingdom</v>
      </c>
      <c r="HL5" s="23" t="str">
        <f t="shared" si="4"/>
        <v>Cayman Islands - United Kingdom</v>
      </c>
      <c r="HM5" s="23" t="str">
        <f t="shared" si="4"/>
        <v>Channel Islands - United Kingdom</v>
      </c>
      <c r="HN5" s="23" t="str">
        <f t="shared" si="4"/>
        <v>Gibraltar - United Kingdom</v>
      </c>
      <c r="HO5" s="23" t="str">
        <f t="shared" si="4"/>
        <v>Isle of Man - United Kingdom</v>
      </c>
      <c r="HP5" s="23" t="str">
        <f t="shared" si="4"/>
        <v>Montserrat - United Kingdom</v>
      </c>
      <c r="HQ5" s="23" t="str">
        <f t="shared" si="4"/>
        <v xml:space="preserve"> - United Kingdom</v>
      </c>
      <c r="HR5" s="23" t="str">
        <f t="shared" si="4"/>
        <v xml:space="preserve"> - Uruguay</v>
      </c>
      <c r="HS5" s="23" t="str">
        <f t="shared" si="4"/>
        <v xml:space="preserve"> - US</v>
      </c>
      <c r="HT5" s="23" t="str">
        <f t="shared" si="4"/>
        <v xml:space="preserve"> - Uzbekistan</v>
      </c>
      <c r="HU5" s="23" t="str">
        <f t="shared" si="4"/>
        <v xml:space="preserve"> - Venezuela</v>
      </c>
      <c r="HV5" s="23" t="str">
        <f t="shared" si="4"/>
        <v xml:space="preserve"> - Vietnam</v>
      </c>
      <c r="HW5" s="23" t="str">
        <f t="shared" si="4"/>
        <v xml:space="preserve"> - Zambia</v>
      </c>
      <c r="HX5" s="23" t="str">
        <f t="shared" si="4"/>
        <v xml:space="preserve"> - Zimbabwe</v>
      </c>
      <c r="HY5" s="23" t="str">
        <f t="shared" si="4"/>
        <v>Diamond Princess - Canada</v>
      </c>
      <c r="HZ5" s="23" t="str">
        <f t="shared" si="4"/>
        <v xml:space="preserve"> - Dominica</v>
      </c>
      <c r="IA5" s="23" t="str">
        <f t="shared" si="4"/>
        <v xml:space="preserve"> - Grenada</v>
      </c>
      <c r="IB5" s="23" t="str">
        <f t="shared" si="4"/>
        <v xml:space="preserve"> - Mozambique</v>
      </c>
      <c r="IC5" s="23" t="str">
        <f t="shared" si="4"/>
        <v xml:space="preserve"> - Syria</v>
      </c>
      <c r="ID5" s="23" t="str">
        <f t="shared" si="4"/>
        <v xml:space="preserve"> - Timor-Leste</v>
      </c>
      <c r="IE5" s="23" t="str">
        <f t="shared" si="4"/>
        <v xml:space="preserve"> - Belize</v>
      </c>
      <c r="IF5" s="23" t="str">
        <f t="shared" si="4"/>
        <v>Recovered - Canada</v>
      </c>
      <c r="IG5" s="23" t="str">
        <f t="shared" si="4"/>
        <v xml:space="preserve"> - Laos</v>
      </c>
      <c r="IH5" s="23" t="str">
        <f t="shared" si="4"/>
        <v xml:space="preserve"> - Libya</v>
      </c>
      <c r="II5" s="23" t="str">
        <f t="shared" si="4"/>
        <v xml:space="preserve"> - West Bank and Gaza</v>
      </c>
      <c r="IJ5" s="23" t="str">
        <f t="shared" si="4"/>
        <v xml:space="preserve"> - Guinea-Bissau</v>
      </c>
      <c r="IK5" s="23" t="str">
        <f t="shared" si="4"/>
        <v xml:space="preserve"> - Mali</v>
      </c>
      <c r="IL5" s="23" t="str">
        <f t="shared" si="4"/>
        <v xml:space="preserve"> - Saint Kitts and Nevis</v>
      </c>
      <c r="IM5" s="23" t="str">
        <f t="shared" si="4"/>
        <v>Northwest Territories - Canada</v>
      </c>
      <c r="IN5" s="23" t="str">
        <f t="shared" si="4"/>
        <v>Yukon - Canada</v>
      </c>
      <c r="IO5" s="23" t="str">
        <f t="shared" si="4"/>
        <v xml:space="preserve"> - Kosovo</v>
      </c>
      <c r="IP5" s="23" t="str">
        <f t="shared" si="4"/>
        <v xml:space="preserve"> - Burma</v>
      </c>
      <c r="IQ5" s="23" t="str">
        <f t="shared" si="4"/>
        <v>Anguilla - United Kingdom</v>
      </c>
      <c r="IR5" s="23" t="str">
        <f t="shared" si="4"/>
        <v>British Virgin Islands - United Kingdom</v>
      </c>
      <c r="IS5" s="23" t="str">
        <f t="shared" si="4"/>
        <v>Turks and Caicos Islands - United Kingdom</v>
      </c>
      <c r="IT5" s="23" t="str">
        <f t="shared" si="4"/>
        <v xml:space="preserve"> - MS Zaandam</v>
      </c>
      <c r="IU5" s="23" t="str">
        <f t="shared" si="4"/>
        <v xml:space="preserve"> - Botswana</v>
      </c>
      <c r="IV5" s="23" t="str">
        <f t="shared" si="4"/>
        <v xml:space="preserve"> - Burundi</v>
      </c>
      <c r="IW5" s="23" t="str">
        <f t="shared" si="4"/>
        <v xml:space="preserve"> - Sierra Leone</v>
      </c>
      <c r="IX5" s="23" t="str">
        <f t="shared" si="4"/>
        <v>BES Islands - Netherlands</v>
      </c>
      <c r="IY5" s="23" t="str">
        <f t="shared" ref="IY5:LJ5" si="5">IY6&amp;" - "&amp;IY7</f>
        <v xml:space="preserve"> - Malawi</v>
      </c>
      <c r="IZ5" s="23" t="str">
        <f t="shared" si="5"/>
        <v>Falkland Islands (Malvinas) - United Kingdom</v>
      </c>
      <c r="JA5" s="23" t="str">
        <f t="shared" si="5"/>
        <v>Saint Pierre and Miquelon - France</v>
      </c>
      <c r="JB5" s="23" t="str">
        <f t="shared" si="5"/>
        <v xml:space="preserve"> - South Sudan</v>
      </c>
      <c r="JC5" s="23" t="str">
        <f t="shared" si="5"/>
        <v xml:space="preserve"> - Western Sahara</v>
      </c>
      <c r="JD5" s="23" t="str">
        <f t="shared" si="5"/>
        <v xml:space="preserve"> - Sao Tome and Principe</v>
      </c>
      <c r="JE5" s="23" t="str">
        <f t="shared" si="5"/>
        <v xml:space="preserve"> - Yemen</v>
      </c>
      <c r="JF5" s="23" t="str">
        <f t="shared" si="5"/>
        <v xml:space="preserve"> - Comoros</v>
      </c>
      <c r="JG5" s="23" t="str">
        <f t="shared" si="5"/>
        <v xml:space="preserve"> - Tajikistan</v>
      </c>
      <c r="JH5" s="23" t="str">
        <f t="shared" si="5"/>
        <v>American Samoa - US</v>
      </c>
      <c r="JI5" s="23" t="str">
        <f t="shared" si="5"/>
        <v>Guam - US</v>
      </c>
      <c r="JJ5" s="23" t="str">
        <f t="shared" si="5"/>
        <v>Northern Mariana Islands - US</v>
      </c>
      <c r="JK5" s="23" t="str">
        <f t="shared" si="5"/>
        <v>Puerto Rico - US</v>
      </c>
      <c r="JL5" s="23" t="str">
        <f t="shared" si="5"/>
        <v>Virgin Islands - US</v>
      </c>
      <c r="JM5" s="23" t="str">
        <f t="shared" si="5"/>
        <v>Alabama - US</v>
      </c>
      <c r="JN5" s="23" t="str">
        <f t="shared" si="5"/>
        <v>Alaska - US</v>
      </c>
      <c r="JO5" s="23" t="str">
        <f t="shared" si="5"/>
        <v>Arizona - US</v>
      </c>
      <c r="JP5" s="23" t="str">
        <f t="shared" si="5"/>
        <v>Arkansas - US</v>
      </c>
      <c r="JQ5" s="23" t="str">
        <f t="shared" si="5"/>
        <v>California - US</v>
      </c>
      <c r="JR5" s="23" t="str">
        <f t="shared" si="5"/>
        <v>Colorado - US</v>
      </c>
      <c r="JS5" s="23" t="str">
        <f t="shared" si="5"/>
        <v>Connecticut - US</v>
      </c>
      <c r="JT5" s="23" t="str">
        <f t="shared" si="5"/>
        <v>Delaware - US</v>
      </c>
      <c r="JU5" s="23" t="str">
        <f t="shared" si="5"/>
        <v>District of Columbia - US</v>
      </c>
      <c r="JV5" s="23" t="str">
        <f t="shared" si="5"/>
        <v>Florida - US</v>
      </c>
      <c r="JW5" s="23" t="str">
        <f t="shared" si="5"/>
        <v>Georgia - US</v>
      </c>
      <c r="JX5" s="23" t="str">
        <f t="shared" si="5"/>
        <v>Hawaii - US</v>
      </c>
      <c r="JY5" s="23" t="str">
        <f t="shared" si="5"/>
        <v>Idaho - US</v>
      </c>
      <c r="JZ5" s="23" t="str">
        <f t="shared" si="5"/>
        <v>Illinois - US</v>
      </c>
      <c r="KA5" s="23" t="str">
        <f t="shared" si="5"/>
        <v>Indiana - US</v>
      </c>
      <c r="KB5" s="23" t="str">
        <f t="shared" si="5"/>
        <v>Iowa - US</v>
      </c>
      <c r="KC5" s="23" t="str">
        <f t="shared" si="5"/>
        <v>Kansas - US</v>
      </c>
      <c r="KD5" s="23" t="str">
        <f t="shared" si="5"/>
        <v>Kentucky - US</v>
      </c>
      <c r="KE5" s="23" t="str">
        <f t="shared" si="5"/>
        <v>Louisiana - US</v>
      </c>
      <c r="KF5" s="23" t="str">
        <f t="shared" si="5"/>
        <v>Maine - US</v>
      </c>
      <c r="KG5" s="23" t="str">
        <f t="shared" si="5"/>
        <v>Maryland - US</v>
      </c>
      <c r="KH5" s="23" t="str">
        <f t="shared" si="5"/>
        <v>Massachusetts - US</v>
      </c>
      <c r="KI5" s="23" t="str">
        <f t="shared" si="5"/>
        <v>Michigan - US</v>
      </c>
      <c r="KJ5" s="23" t="str">
        <f t="shared" si="5"/>
        <v>Minnesota - US</v>
      </c>
      <c r="KK5" s="23" t="str">
        <f t="shared" si="5"/>
        <v>Mississippi - US</v>
      </c>
      <c r="KL5" s="23" t="str">
        <f t="shared" si="5"/>
        <v>Missouri - US</v>
      </c>
      <c r="KM5" s="23" t="str">
        <f t="shared" si="5"/>
        <v>Montana - US</v>
      </c>
      <c r="KN5" s="23" t="str">
        <f t="shared" si="5"/>
        <v>Nebraska - US</v>
      </c>
      <c r="KO5" s="23" t="str">
        <f t="shared" si="5"/>
        <v>Nevada - US</v>
      </c>
      <c r="KP5" s="23" t="str">
        <f t="shared" si="5"/>
        <v>New Hampshire - US</v>
      </c>
      <c r="KQ5" s="23" t="str">
        <f t="shared" si="5"/>
        <v>New Jersey - US</v>
      </c>
      <c r="KR5" s="23" t="str">
        <f t="shared" si="5"/>
        <v>New Mexico - US</v>
      </c>
      <c r="KS5" s="23" t="str">
        <f t="shared" si="5"/>
        <v>New York - US</v>
      </c>
      <c r="KT5" s="23" t="str">
        <f t="shared" si="5"/>
        <v>North Carolina - US</v>
      </c>
      <c r="KU5" s="23" t="str">
        <f t="shared" si="5"/>
        <v>North Dakota - US</v>
      </c>
      <c r="KV5" s="23" t="str">
        <f t="shared" si="5"/>
        <v>Ohio - US</v>
      </c>
      <c r="KW5" s="23" t="str">
        <f t="shared" si="5"/>
        <v>Oklahoma - US</v>
      </c>
      <c r="KX5" s="23" t="str">
        <f t="shared" si="5"/>
        <v>Oregon - US</v>
      </c>
      <c r="KY5" s="23" t="str">
        <f t="shared" si="5"/>
        <v>Pennsylvania - US</v>
      </c>
      <c r="KZ5" s="23" t="str">
        <f t="shared" si="5"/>
        <v>Rhode Island - US</v>
      </c>
      <c r="LA5" s="23" t="str">
        <f t="shared" si="5"/>
        <v>South Carolina - US</v>
      </c>
      <c r="LB5" s="23" t="str">
        <f t="shared" si="5"/>
        <v>South Dakota - US</v>
      </c>
      <c r="LC5" s="23" t="str">
        <f t="shared" si="5"/>
        <v>Tennessee - US</v>
      </c>
      <c r="LD5" s="23" t="str">
        <f t="shared" si="5"/>
        <v>Texas - US</v>
      </c>
      <c r="LE5" s="23" t="str">
        <f t="shared" si="5"/>
        <v>Utah - US</v>
      </c>
      <c r="LF5" s="23" t="str">
        <f t="shared" si="5"/>
        <v>Vermont - US</v>
      </c>
      <c r="LG5" s="23" t="str">
        <f t="shared" si="5"/>
        <v>Virginia - US</v>
      </c>
      <c r="LH5" s="23" t="str">
        <f t="shared" si="5"/>
        <v>Washington - US</v>
      </c>
      <c r="LI5" s="23" t="str">
        <f t="shared" si="5"/>
        <v>West Virginia - US</v>
      </c>
      <c r="LJ5" s="23" t="str">
        <f t="shared" si="5"/>
        <v>Wisconsin - US</v>
      </c>
      <c r="LK5" s="23" t="str">
        <f t="shared" ref="LK5:LM5" si="6">LK6&amp;" - "&amp;LK7</f>
        <v>Wyoming - US</v>
      </c>
      <c r="LL5" s="23" t="str">
        <f t="shared" si="6"/>
        <v>Diamond Princess - US</v>
      </c>
      <c r="LM5" s="23" t="str">
        <f t="shared" si="6"/>
        <v>Grand Princess - US</v>
      </c>
      <c r="LN5" s="23" t="s">
        <v>2509</v>
      </c>
      <c r="LO5" s="23" t="s">
        <v>2513</v>
      </c>
      <c r="LP5" s="23"/>
      <c r="LQ5" s="23" t="s">
        <v>3310</v>
      </c>
      <c r="LR5" s="282"/>
      <c r="LS5" s="282" t="s">
        <v>2511</v>
      </c>
      <c r="LU5" t="s">
        <v>2512</v>
      </c>
      <c r="LW5" t="s">
        <v>2886</v>
      </c>
      <c r="LY5" t="s">
        <v>3000</v>
      </c>
      <c r="MA5" t="s">
        <v>3007</v>
      </c>
      <c r="MC5" t="s">
        <v>3014</v>
      </c>
      <c r="ME5" t="s">
        <v>3396</v>
      </c>
      <c r="MF5" s="25"/>
      <c r="MG5" t="s">
        <v>3398</v>
      </c>
      <c r="MI5" t="s">
        <v>3015</v>
      </c>
      <c r="MK5" t="s">
        <v>3463</v>
      </c>
      <c r="MM5" t="s">
        <v>3465</v>
      </c>
      <c r="MO5" t="s">
        <v>3467</v>
      </c>
      <c r="MQ5" t="s">
        <v>3469</v>
      </c>
      <c r="MS5" t="s">
        <v>3471</v>
      </c>
      <c r="MU5" t="s">
        <v>3391</v>
      </c>
      <c r="MW5" t="s">
        <v>3479</v>
      </c>
      <c r="MY5" t="s">
        <v>3486</v>
      </c>
      <c r="NA5" t="s">
        <v>3312</v>
      </c>
      <c r="NC5" t="s">
        <v>3487</v>
      </c>
      <c r="ND5">
        <v>0</v>
      </c>
      <c r="NE5" t="s">
        <v>3491</v>
      </c>
      <c r="NG5" t="s">
        <v>3492</v>
      </c>
    </row>
    <row r="6" spans="1:375" x14ac:dyDescent="0.25">
      <c r="A6" s="243" t="s">
        <v>0</v>
      </c>
      <c r="B6" s="23"/>
      <c r="C6" s="23"/>
      <c r="D6" s="23"/>
      <c r="E6" s="23"/>
      <c r="F6" s="23"/>
      <c r="G6" s="23"/>
      <c r="H6" s="23"/>
      <c r="I6" s="23"/>
      <c r="J6" s="23" t="s">
        <v>196</v>
      </c>
      <c r="K6" s="293" t="s">
        <v>47</v>
      </c>
      <c r="L6" s="23" t="s">
        <v>117</v>
      </c>
      <c r="M6" s="290" t="s">
        <v>50</v>
      </c>
      <c r="N6" s="23" t="s">
        <v>62</v>
      </c>
      <c r="O6" s="384" t="s">
        <v>106</v>
      </c>
      <c r="P6" s="287" t="s">
        <v>49</v>
      </c>
      <c r="Q6" s="23" t="s">
        <v>95</v>
      </c>
      <c r="R6" s="23"/>
      <c r="S6" s="23"/>
      <c r="T6" s="23"/>
      <c r="U6" s="23"/>
      <c r="V6" s="23"/>
      <c r="W6" s="23"/>
      <c r="X6" s="23"/>
      <c r="Y6" s="23"/>
      <c r="Z6" s="23"/>
      <c r="AA6" s="23"/>
      <c r="AB6" s="23"/>
      <c r="AC6" s="23"/>
      <c r="AD6" s="23"/>
      <c r="AE6" s="23"/>
      <c r="AF6" s="23"/>
      <c r="AG6" s="23"/>
      <c r="AH6" s="23"/>
      <c r="AI6" s="23"/>
      <c r="AJ6" s="23"/>
      <c r="AK6" s="23" t="s">
        <v>142</v>
      </c>
      <c r="AL6" s="23" t="s">
        <v>45</v>
      </c>
      <c r="AM6" s="23" t="s">
        <v>148</v>
      </c>
      <c r="AN6" s="23" t="s">
        <v>200</v>
      </c>
      <c r="AO6" s="23" t="s">
        <v>181</v>
      </c>
      <c r="AP6" s="23" t="s">
        <v>488</v>
      </c>
      <c r="AQ6" s="23" t="s">
        <v>660</v>
      </c>
      <c r="AR6" s="23" t="s">
        <v>141</v>
      </c>
      <c r="AS6" s="23" t="s">
        <v>489</v>
      </c>
      <c r="AT6" s="23" t="s">
        <v>143</v>
      </c>
      <c r="AU6" s="23" t="s">
        <v>201</v>
      </c>
      <c r="AV6" s="23"/>
      <c r="AW6" s="23"/>
      <c r="AX6" s="23"/>
      <c r="AY6" s="23" t="s">
        <v>4</v>
      </c>
      <c r="AZ6" s="23" t="s">
        <v>5</v>
      </c>
      <c r="BA6" s="23" t="s">
        <v>6</v>
      </c>
      <c r="BB6" s="23" t="s">
        <v>7</v>
      </c>
      <c r="BC6" s="23" t="s">
        <v>8</v>
      </c>
      <c r="BD6" s="23" t="s">
        <v>9</v>
      </c>
      <c r="BE6" s="23" t="s">
        <v>10</v>
      </c>
      <c r="BF6" s="23" t="s">
        <v>11</v>
      </c>
      <c r="BG6" s="23" t="s">
        <v>12</v>
      </c>
      <c r="BH6" s="23" t="s">
        <v>13</v>
      </c>
      <c r="BI6" s="23" t="s">
        <v>14</v>
      </c>
      <c r="BJ6" s="23" t="s">
        <v>15</v>
      </c>
      <c r="BK6" s="23" t="s">
        <v>39</v>
      </c>
      <c r="BL6" s="23" t="s">
        <v>16</v>
      </c>
      <c r="BM6" s="23" t="s">
        <v>17</v>
      </c>
      <c r="BN6" s="23" t="s">
        <v>18</v>
      </c>
      <c r="BO6" s="23" t="s">
        <v>19</v>
      </c>
      <c r="BP6" s="23" t="s">
        <v>20</v>
      </c>
      <c r="BQ6" s="23" t="s">
        <v>21</v>
      </c>
      <c r="BR6" s="23" t="s">
        <v>22</v>
      </c>
      <c r="BS6" s="23" t="s">
        <v>38</v>
      </c>
      <c r="BT6" s="23" t="s">
        <v>23</v>
      </c>
      <c r="BU6" s="23" t="s">
        <v>24</v>
      </c>
      <c r="BV6" s="23" t="s">
        <v>25</v>
      </c>
      <c r="BW6" s="23" t="s">
        <v>26</v>
      </c>
      <c r="BX6" s="23" t="s">
        <v>27</v>
      </c>
      <c r="BY6" s="23" t="s">
        <v>28</v>
      </c>
      <c r="BZ6" s="23" t="s">
        <v>29</v>
      </c>
      <c r="CA6" s="23" t="s">
        <v>30</v>
      </c>
      <c r="CB6" s="23" t="s">
        <v>31</v>
      </c>
      <c r="CC6" s="23" t="s">
        <v>32</v>
      </c>
      <c r="CD6" s="23" t="s">
        <v>33</v>
      </c>
      <c r="CE6" s="23" t="s">
        <v>34</v>
      </c>
      <c r="CF6" s="23"/>
      <c r="CG6" s="23"/>
      <c r="CH6" s="23"/>
      <c r="CI6" s="23"/>
      <c r="CJ6" s="23"/>
      <c r="CK6" s="23"/>
      <c r="CL6" s="23"/>
      <c r="CM6" s="23"/>
      <c r="CN6" s="23"/>
      <c r="CO6" s="23"/>
      <c r="CP6" s="23" t="s">
        <v>118</v>
      </c>
      <c r="CQ6" s="23" t="s">
        <v>662</v>
      </c>
      <c r="CR6" s="23"/>
      <c r="CS6" s="23"/>
      <c r="CT6" s="23"/>
      <c r="CU6" s="23"/>
      <c r="CV6" s="23"/>
      <c r="CW6" s="23"/>
      <c r="CX6" s="23"/>
      <c r="CY6" s="23"/>
      <c r="CZ6" s="23"/>
      <c r="DA6" s="23"/>
      <c r="DB6" s="23"/>
      <c r="DC6" s="23"/>
      <c r="DD6" s="23"/>
      <c r="DE6" s="23" t="s">
        <v>133</v>
      </c>
      <c r="DF6" s="23" t="s">
        <v>198</v>
      </c>
      <c r="DG6" s="23" t="s">
        <v>199</v>
      </c>
      <c r="DH6" s="23" t="s">
        <v>493</v>
      </c>
      <c r="DI6" s="23" t="s">
        <v>733</v>
      </c>
      <c r="DJ6" s="23" t="s">
        <v>185</v>
      </c>
      <c r="DK6" s="23" t="s">
        <v>115</v>
      </c>
      <c r="DL6" s="23" t="s">
        <v>179</v>
      </c>
      <c r="DM6" s="23" t="s">
        <v>135</v>
      </c>
      <c r="DN6" s="23"/>
      <c r="DO6" s="23"/>
      <c r="DP6" s="23"/>
      <c r="DQ6" s="23"/>
      <c r="DR6" s="23"/>
      <c r="DS6" s="23"/>
      <c r="DT6" s="23"/>
      <c r="DU6" s="23"/>
      <c r="DV6" s="23"/>
      <c r="DW6" s="23"/>
      <c r="DX6" s="23"/>
      <c r="DY6" s="23"/>
      <c r="DZ6" s="23"/>
      <c r="EA6" s="23"/>
      <c r="EB6" s="23"/>
      <c r="EC6" s="23"/>
      <c r="ED6" s="23"/>
      <c r="EE6" s="23"/>
      <c r="EF6" s="23"/>
      <c r="EG6" s="23"/>
      <c r="EH6" s="23"/>
      <c r="EI6" s="23"/>
      <c r="EJ6" s="23"/>
      <c r="EK6" s="23"/>
      <c r="EL6" s="23"/>
      <c r="EM6" s="23"/>
      <c r="EN6" s="23"/>
      <c r="EO6" s="23"/>
      <c r="EP6" s="23"/>
      <c r="EQ6" s="23"/>
      <c r="ER6" s="23"/>
      <c r="ES6" s="23"/>
      <c r="ET6" s="23"/>
      <c r="EU6" s="23"/>
      <c r="EV6" s="23"/>
      <c r="EW6" s="23"/>
      <c r="EX6" s="23"/>
      <c r="EY6" s="23"/>
      <c r="EZ6" s="23"/>
      <c r="FA6" s="23"/>
      <c r="FB6" s="23"/>
      <c r="FC6" s="23"/>
      <c r="FD6" s="23"/>
      <c r="FE6" s="23"/>
      <c r="FF6" s="23"/>
      <c r="FG6" s="23"/>
      <c r="FH6" s="23"/>
      <c r="FI6" s="23"/>
      <c r="FJ6" s="23"/>
      <c r="FK6" s="23"/>
      <c r="FL6" s="23" t="s">
        <v>205</v>
      </c>
      <c r="FM6" s="23" t="s">
        <v>362</v>
      </c>
      <c r="FN6" s="23" t="s">
        <v>743</v>
      </c>
      <c r="FO6" s="23"/>
      <c r="FP6" s="23"/>
      <c r="FQ6" s="23"/>
      <c r="FR6" s="23"/>
      <c r="FS6" s="23"/>
      <c r="FT6" s="23"/>
      <c r="FU6" s="23"/>
      <c r="FV6" s="23"/>
      <c r="FW6" s="23"/>
      <c r="FX6" s="23"/>
      <c r="FY6" s="23"/>
      <c r="FZ6" s="23"/>
      <c r="GA6" s="23"/>
      <c r="GB6" s="23"/>
      <c r="GC6" s="23"/>
      <c r="GD6" s="23"/>
      <c r="GE6" s="23"/>
      <c r="GF6" s="23"/>
      <c r="GG6" s="23"/>
      <c r="GH6" s="23"/>
      <c r="GI6" s="23"/>
      <c r="GJ6" s="23"/>
      <c r="GK6" s="23"/>
      <c r="GL6" s="23"/>
      <c r="GM6" s="23"/>
      <c r="GN6" s="23"/>
      <c r="GO6" s="23"/>
      <c r="GP6" s="23"/>
      <c r="GQ6" s="23"/>
      <c r="GR6" s="23"/>
      <c r="GS6" s="23"/>
      <c r="GT6" s="23"/>
      <c r="GU6" s="23"/>
      <c r="GV6" s="23"/>
      <c r="GW6" s="23"/>
      <c r="GX6" s="23"/>
      <c r="GY6" s="23"/>
      <c r="GZ6" s="23"/>
      <c r="HA6" s="23"/>
      <c r="HB6" s="23"/>
      <c r="HC6" s="23"/>
      <c r="HD6" s="23"/>
      <c r="HE6" s="23"/>
      <c r="HF6" s="23"/>
      <c r="HG6" s="23"/>
      <c r="HH6" s="23"/>
      <c r="HI6" s="23"/>
      <c r="HJ6" s="23"/>
      <c r="HK6" s="23" t="s">
        <v>734</v>
      </c>
      <c r="HL6" s="23" t="s">
        <v>731</v>
      </c>
      <c r="HM6" s="23" t="s">
        <v>729</v>
      </c>
      <c r="HN6" s="23" t="s">
        <v>730</v>
      </c>
      <c r="HO6" s="23" t="s">
        <v>746</v>
      </c>
      <c r="HP6" s="23" t="s">
        <v>732</v>
      </c>
      <c r="HQ6" s="23"/>
      <c r="HR6" s="23"/>
      <c r="HS6" s="23"/>
      <c r="HT6" s="23"/>
      <c r="HU6" s="23"/>
      <c r="HV6" s="23"/>
      <c r="HW6" s="23"/>
      <c r="HX6" s="23"/>
      <c r="HY6" s="23" t="s">
        <v>147</v>
      </c>
      <c r="HZ6" s="23"/>
      <c r="IA6" s="23"/>
      <c r="IB6" s="23"/>
      <c r="IC6" s="23"/>
      <c r="ID6" s="23"/>
      <c r="IE6" s="23"/>
      <c r="IF6" s="23" t="s">
        <v>1133</v>
      </c>
      <c r="IG6" s="23"/>
      <c r="IH6" s="23"/>
      <c r="II6" s="23"/>
      <c r="IJ6" s="23"/>
      <c r="IK6" s="23"/>
      <c r="IL6" s="23"/>
      <c r="IM6" s="23" t="s">
        <v>1233</v>
      </c>
      <c r="IN6" s="23" t="s">
        <v>1234</v>
      </c>
      <c r="IO6" s="23"/>
      <c r="IP6" s="23"/>
      <c r="IQ6" s="23" t="s">
        <v>1410</v>
      </c>
      <c r="IR6" s="23" t="s">
        <v>1411</v>
      </c>
      <c r="IS6" s="23" t="s">
        <v>1412</v>
      </c>
      <c r="IT6" s="23"/>
      <c r="IU6" s="23"/>
      <c r="IV6" s="23"/>
      <c r="IW6" s="23"/>
      <c r="IX6" s="23" t="s">
        <v>2943</v>
      </c>
      <c r="IY6" s="23"/>
      <c r="IZ6" s="23" t="s">
        <v>2006</v>
      </c>
      <c r="JA6" s="23" t="s">
        <v>1909</v>
      </c>
      <c r="JB6" s="23"/>
      <c r="JC6" s="23"/>
      <c r="JD6" s="23"/>
      <c r="JE6" s="23"/>
      <c r="JF6" s="23"/>
      <c r="JG6" s="23"/>
      <c r="JH6" s="23" t="s">
        <v>2944</v>
      </c>
      <c r="JI6" s="23" t="s">
        <v>2945</v>
      </c>
      <c r="JJ6" s="23" t="s">
        <v>2946</v>
      </c>
      <c r="JK6" s="23" t="s">
        <v>2947</v>
      </c>
      <c r="JL6" s="23" t="s">
        <v>2948</v>
      </c>
      <c r="JM6" s="23" t="s">
        <v>2949</v>
      </c>
      <c r="JN6" s="23" t="s">
        <v>2950</v>
      </c>
      <c r="JO6" s="23" t="s">
        <v>2951</v>
      </c>
      <c r="JP6" s="23" t="s">
        <v>2952</v>
      </c>
      <c r="JQ6" s="23" t="s">
        <v>2953</v>
      </c>
      <c r="JR6" s="23" t="s">
        <v>2954</v>
      </c>
      <c r="JS6" s="23" t="s">
        <v>2955</v>
      </c>
      <c r="JT6" s="23" t="s">
        <v>2956</v>
      </c>
      <c r="JU6" s="23" t="s">
        <v>2957</v>
      </c>
      <c r="JV6" s="23" t="s">
        <v>2958</v>
      </c>
      <c r="JW6" s="23" t="s">
        <v>80</v>
      </c>
      <c r="JX6" s="23" t="s">
        <v>2959</v>
      </c>
      <c r="JY6" s="23" t="s">
        <v>2960</v>
      </c>
      <c r="JZ6" s="23" t="s">
        <v>2961</v>
      </c>
      <c r="KA6" s="23" t="s">
        <v>2962</v>
      </c>
      <c r="KB6" s="23" t="s">
        <v>2963</v>
      </c>
      <c r="KC6" s="23" t="s">
        <v>2964</v>
      </c>
      <c r="KD6" s="23" t="s">
        <v>2965</v>
      </c>
      <c r="KE6" s="23" t="s">
        <v>2966</v>
      </c>
      <c r="KF6" s="23" t="s">
        <v>2967</v>
      </c>
      <c r="KG6" s="23" t="s">
        <v>2968</v>
      </c>
      <c r="KH6" s="23" t="s">
        <v>2969</v>
      </c>
      <c r="KI6" s="23" t="s">
        <v>2970</v>
      </c>
      <c r="KJ6" s="23" t="s">
        <v>2971</v>
      </c>
      <c r="KK6" s="23" t="s">
        <v>2972</v>
      </c>
      <c r="KL6" s="23" t="s">
        <v>2973</v>
      </c>
      <c r="KM6" s="23" t="s">
        <v>2974</v>
      </c>
      <c r="KN6" s="23" t="s">
        <v>2975</v>
      </c>
      <c r="KO6" s="23" t="s">
        <v>2976</v>
      </c>
      <c r="KP6" s="23" t="s">
        <v>2977</v>
      </c>
      <c r="KQ6" s="23" t="s">
        <v>2978</v>
      </c>
      <c r="KR6" s="23" t="s">
        <v>2979</v>
      </c>
      <c r="KS6" s="23" t="s">
        <v>2980</v>
      </c>
      <c r="KT6" s="23" t="s">
        <v>2981</v>
      </c>
      <c r="KU6" s="23" t="s">
        <v>2982</v>
      </c>
      <c r="KV6" s="23" t="s">
        <v>2983</v>
      </c>
      <c r="KW6" s="23" t="s">
        <v>2984</v>
      </c>
      <c r="KX6" s="23" t="s">
        <v>2985</v>
      </c>
      <c r="KY6" s="23" t="s">
        <v>2986</v>
      </c>
      <c r="KZ6" s="23" t="s">
        <v>2987</v>
      </c>
      <c r="LA6" s="23" t="s">
        <v>2988</v>
      </c>
      <c r="LB6" s="23" t="s">
        <v>2989</v>
      </c>
      <c r="LC6" s="23" t="s">
        <v>2990</v>
      </c>
      <c r="LD6" s="23" t="s">
        <v>2991</v>
      </c>
      <c r="LE6" s="23" t="s">
        <v>2992</v>
      </c>
      <c r="LF6" s="23" t="s">
        <v>2993</v>
      </c>
      <c r="LG6" s="23" t="s">
        <v>2994</v>
      </c>
      <c r="LH6" s="23" t="s">
        <v>2995</v>
      </c>
      <c r="LI6" s="23" t="s">
        <v>2996</v>
      </c>
      <c r="LJ6" s="23" t="s">
        <v>2997</v>
      </c>
      <c r="LK6" s="23" t="s">
        <v>2998</v>
      </c>
      <c r="LL6" s="23" t="s">
        <v>147</v>
      </c>
      <c r="LM6" s="23" t="s">
        <v>148</v>
      </c>
      <c r="LO6" s="25">
        <f>MATCH(LO$5,TST!HeadRow,0)</f>
        <v>207</v>
      </c>
      <c r="LP6" s="18" t="s">
        <v>2495</v>
      </c>
      <c r="LQ6">
        <f>MATCH(LQ$5,TST!HeadRow,0)</f>
        <v>203</v>
      </c>
      <c r="LR6" s="281" t="s">
        <v>2495</v>
      </c>
      <c r="LS6" s="281">
        <f>MATCH(LS$5,TST!HeadRow,0)</f>
        <v>16</v>
      </c>
      <c r="LU6">
        <f>MATCH(LU$5,TST!HeadRow,0)</f>
        <v>135</v>
      </c>
      <c r="LW6">
        <f>MATCH(LW$5,TST!HeadRow,0)</f>
        <v>141</v>
      </c>
      <c r="LY6">
        <f>MATCH(LY$5,TST!HeadRow,0)</f>
        <v>13</v>
      </c>
      <c r="MA6">
        <f>MATCH(MA$5,TST!HeadRow,0)</f>
        <v>15</v>
      </c>
      <c r="MC6">
        <f>MATCH(MC$5,TST!HeadRow,0)</f>
        <v>14</v>
      </c>
      <c r="MD6" s="25"/>
      <c r="ME6">
        <f>MATCH(ME$5,TST!HeadRow,0)</f>
        <v>10</v>
      </c>
      <c r="MG6">
        <f>MATCH(MG$5,TST!HeadRow,0)</f>
        <v>12</v>
      </c>
      <c r="MI6">
        <f>MATCH(MI$5,TST!HeadRow,0)</f>
        <v>17</v>
      </c>
      <c r="MK6">
        <f>MATCH(MK$5,TST!HeadRow,0)</f>
        <v>122</v>
      </c>
      <c r="MM6">
        <f>MATCH(MM$5,TST!HeadRow,0)</f>
        <v>96</v>
      </c>
      <c r="MO6">
        <f>MATCH(MO$5,TST!HeadRow,0)</f>
        <v>202</v>
      </c>
      <c r="MQ6">
        <f>MATCH(MQ$5,TST!HeadRow,0)</f>
        <v>225</v>
      </c>
      <c r="MS6">
        <f>MATCH(MS$5,TST!HeadRow,0)</f>
        <v>137</v>
      </c>
      <c r="MU6">
        <f>MATCH(MU$5,TST!HeadRow,0)</f>
        <v>139</v>
      </c>
      <c r="MW6">
        <f>MATCH(MW$5,TST!HeadRow,0)</f>
        <v>227</v>
      </c>
      <c r="MY6">
        <f>MATCH(MY$5,TST!HeadRow,1)+1</f>
        <v>10</v>
      </c>
      <c r="NA6">
        <f>MATCH(NA$5,TST!HeadRow,0)</f>
        <v>11</v>
      </c>
      <c r="NC6">
        <f>MATCH(NC$5,TST!HeadRow,0)</f>
        <v>209</v>
      </c>
      <c r="ND6">
        <v>1</v>
      </c>
      <c r="NE6">
        <f>MATCH(NE$5,TST!HeadRow,0)</f>
        <v>64</v>
      </c>
      <c r="NG6">
        <f>MATCH(NG$5,TST!HeadRow,0)</f>
        <v>63</v>
      </c>
    </row>
    <row r="7" spans="1:375" x14ac:dyDescent="0.25">
      <c r="A7" s="243" t="s">
        <v>1</v>
      </c>
      <c r="B7" s="23" t="s">
        <v>70</v>
      </c>
      <c r="C7" s="23" t="s">
        <v>144</v>
      </c>
      <c r="D7" s="23" t="s">
        <v>73</v>
      </c>
      <c r="E7" s="23" t="s">
        <v>105</v>
      </c>
      <c r="F7" s="23" t="s">
        <v>741</v>
      </c>
      <c r="G7" s="23" t="s">
        <v>207</v>
      </c>
      <c r="H7" s="23" t="s">
        <v>111</v>
      </c>
      <c r="I7" s="23" t="s">
        <v>101</v>
      </c>
      <c r="J7" s="23" t="s">
        <v>48</v>
      </c>
      <c r="K7" s="293" t="s">
        <v>48</v>
      </c>
      <c r="L7" s="23" t="s">
        <v>48</v>
      </c>
      <c r="M7" s="290" t="s">
        <v>48</v>
      </c>
      <c r="N7" s="23" t="s">
        <v>48</v>
      </c>
      <c r="O7" s="384" t="s">
        <v>48</v>
      </c>
      <c r="P7" s="287" t="s">
        <v>48</v>
      </c>
      <c r="Q7" s="23" t="s">
        <v>48</v>
      </c>
      <c r="R7" s="23" t="s">
        <v>76</v>
      </c>
      <c r="S7" s="23" t="s">
        <v>100</v>
      </c>
      <c r="T7" s="23" t="s">
        <v>1130</v>
      </c>
      <c r="U7" s="23" t="s">
        <v>71</v>
      </c>
      <c r="V7" s="23" t="s">
        <v>138</v>
      </c>
      <c r="W7" s="23" t="s">
        <v>666</v>
      </c>
      <c r="X7" s="23" t="s">
        <v>89</v>
      </c>
      <c r="Y7" s="23" t="s">
        <v>63</v>
      </c>
      <c r="Z7" s="23" t="s">
        <v>661</v>
      </c>
      <c r="AA7" s="23" t="s">
        <v>125</v>
      </c>
      <c r="AB7" s="23" t="s">
        <v>178</v>
      </c>
      <c r="AC7" s="23" t="s">
        <v>122</v>
      </c>
      <c r="AD7" s="23" t="s">
        <v>79</v>
      </c>
      <c r="AE7" s="23" t="s">
        <v>146</v>
      </c>
      <c r="AF7" s="23" t="s">
        <v>136</v>
      </c>
      <c r="AG7" s="23" t="s">
        <v>149</v>
      </c>
      <c r="AH7" s="23" t="s">
        <v>742</v>
      </c>
      <c r="AI7" s="23" t="s">
        <v>51</v>
      </c>
      <c r="AJ7" s="23" t="s">
        <v>126</v>
      </c>
      <c r="AK7" s="23" t="s">
        <v>46</v>
      </c>
      <c r="AL7" s="23" t="s">
        <v>46</v>
      </c>
      <c r="AM7" s="23" t="s">
        <v>46</v>
      </c>
      <c r="AN7" s="23" t="s">
        <v>46</v>
      </c>
      <c r="AO7" s="23" t="s">
        <v>46</v>
      </c>
      <c r="AP7" s="23" t="s">
        <v>46</v>
      </c>
      <c r="AQ7" s="23" t="s">
        <v>46</v>
      </c>
      <c r="AR7" s="23" t="s">
        <v>46</v>
      </c>
      <c r="AS7" s="23" t="s">
        <v>46</v>
      </c>
      <c r="AT7" s="23" t="s">
        <v>46</v>
      </c>
      <c r="AU7" s="23" t="s">
        <v>46</v>
      </c>
      <c r="AV7" s="23" t="s">
        <v>490</v>
      </c>
      <c r="AW7" s="23" t="s">
        <v>735</v>
      </c>
      <c r="AX7" s="23" t="s">
        <v>112</v>
      </c>
      <c r="AY7" s="23" t="s">
        <v>176</v>
      </c>
      <c r="AZ7" s="23" t="s">
        <v>176</v>
      </c>
      <c r="BA7" s="23" t="s">
        <v>176</v>
      </c>
      <c r="BB7" s="23" t="s">
        <v>176</v>
      </c>
      <c r="BC7" s="23" t="s">
        <v>176</v>
      </c>
      <c r="BD7" s="23" t="s">
        <v>176</v>
      </c>
      <c r="BE7" s="23" t="s">
        <v>176</v>
      </c>
      <c r="BF7" s="23" t="s">
        <v>176</v>
      </c>
      <c r="BG7" s="23" t="s">
        <v>176</v>
      </c>
      <c r="BH7" s="23" t="s">
        <v>176</v>
      </c>
      <c r="BI7" s="23" t="s">
        <v>176</v>
      </c>
      <c r="BJ7" s="23" t="s">
        <v>176</v>
      </c>
      <c r="BK7" s="23" t="s">
        <v>176</v>
      </c>
      <c r="BL7" s="23" t="s">
        <v>176</v>
      </c>
      <c r="BM7" s="23" t="s">
        <v>176</v>
      </c>
      <c r="BN7" s="23" t="s">
        <v>176</v>
      </c>
      <c r="BO7" s="23" t="s">
        <v>176</v>
      </c>
      <c r="BP7" s="23" t="s">
        <v>176</v>
      </c>
      <c r="BQ7" s="23" t="s">
        <v>176</v>
      </c>
      <c r="BR7" s="23" t="s">
        <v>176</v>
      </c>
      <c r="BS7" s="23" t="s">
        <v>176</v>
      </c>
      <c r="BT7" s="23" t="s">
        <v>176</v>
      </c>
      <c r="BU7" s="23" t="s">
        <v>176</v>
      </c>
      <c r="BV7" s="23" t="s">
        <v>176</v>
      </c>
      <c r="BW7" s="23" t="s">
        <v>176</v>
      </c>
      <c r="BX7" s="23" t="s">
        <v>176</v>
      </c>
      <c r="BY7" s="23" t="s">
        <v>176</v>
      </c>
      <c r="BZ7" s="23" t="s">
        <v>176</v>
      </c>
      <c r="CA7" s="23" t="s">
        <v>176</v>
      </c>
      <c r="CB7" s="23" t="s">
        <v>176</v>
      </c>
      <c r="CC7" s="23" t="s">
        <v>176</v>
      </c>
      <c r="CD7" s="23" t="s">
        <v>176</v>
      </c>
      <c r="CE7" s="23" t="s">
        <v>176</v>
      </c>
      <c r="CF7" s="23" t="s">
        <v>127</v>
      </c>
      <c r="CG7" s="23" t="s">
        <v>491</v>
      </c>
      <c r="CH7" s="23" t="s">
        <v>182</v>
      </c>
      <c r="CI7" s="23" t="s">
        <v>128</v>
      </c>
      <c r="CJ7" s="23" t="s">
        <v>183</v>
      </c>
      <c r="CK7" s="23" t="s">
        <v>74</v>
      </c>
      <c r="CL7" s="23" t="s">
        <v>147</v>
      </c>
      <c r="CM7" s="23" t="s">
        <v>194</v>
      </c>
      <c r="CN7" s="23" t="s">
        <v>145</v>
      </c>
      <c r="CO7" s="23" t="s">
        <v>177</v>
      </c>
      <c r="CP7" s="23" t="s">
        <v>85</v>
      </c>
      <c r="CQ7" s="23" t="s">
        <v>85</v>
      </c>
      <c r="CR7" s="23" t="s">
        <v>85</v>
      </c>
      <c r="CS7" s="23" t="s">
        <v>671</v>
      </c>
      <c r="CT7" s="23" t="s">
        <v>102</v>
      </c>
      <c r="CU7" s="23" t="s">
        <v>99</v>
      </c>
      <c r="CV7" s="23" t="s">
        <v>64</v>
      </c>
      <c r="CW7" s="23" t="s">
        <v>736</v>
      </c>
      <c r="CX7" s="23" t="s">
        <v>492</v>
      </c>
      <c r="CY7" s="23" t="s">
        <v>804</v>
      </c>
      <c r="CZ7" s="23" t="s">
        <v>86</v>
      </c>
      <c r="DA7" s="23" t="s">
        <v>363</v>
      </c>
      <c r="DB7" s="23" t="s">
        <v>202</v>
      </c>
      <c r="DC7" s="23" t="s">
        <v>737</v>
      </c>
      <c r="DD7" s="23" t="s">
        <v>54</v>
      </c>
      <c r="DE7" s="23" t="s">
        <v>42</v>
      </c>
      <c r="DF7" s="23" t="s">
        <v>42</v>
      </c>
      <c r="DG7" s="23" t="s">
        <v>42</v>
      </c>
      <c r="DH7" s="23" t="s">
        <v>42</v>
      </c>
      <c r="DI7" s="23" t="s">
        <v>42</v>
      </c>
      <c r="DJ7" s="23" t="s">
        <v>42</v>
      </c>
      <c r="DK7" s="23" t="s">
        <v>42</v>
      </c>
      <c r="DL7" s="23" t="s">
        <v>42</v>
      </c>
      <c r="DM7" s="23" t="s">
        <v>42</v>
      </c>
      <c r="DN7" s="23" t="s">
        <v>42</v>
      </c>
      <c r="DO7" s="23" t="s">
        <v>364</v>
      </c>
      <c r="DP7" s="23" t="s">
        <v>1131</v>
      </c>
      <c r="DQ7" s="23" t="s">
        <v>80</v>
      </c>
      <c r="DR7" s="23" t="s">
        <v>53</v>
      </c>
      <c r="DS7" s="23" t="s">
        <v>357</v>
      </c>
      <c r="DT7" s="23" t="s">
        <v>81</v>
      </c>
      <c r="DU7" s="23" t="s">
        <v>365</v>
      </c>
      <c r="DV7" s="23" t="s">
        <v>204</v>
      </c>
      <c r="DW7" s="23" t="s">
        <v>195</v>
      </c>
      <c r="DX7" s="23" t="s">
        <v>740</v>
      </c>
      <c r="DY7" s="23" t="s">
        <v>150</v>
      </c>
      <c r="DZ7" s="23" t="s">
        <v>180</v>
      </c>
      <c r="EA7" s="23" t="s">
        <v>116</v>
      </c>
      <c r="EB7" s="23" t="s">
        <v>90</v>
      </c>
      <c r="EC7" s="23" t="s">
        <v>57</v>
      </c>
      <c r="ED7" s="23" t="s">
        <v>103</v>
      </c>
      <c r="EE7" s="23" t="s">
        <v>65</v>
      </c>
      <c r="EF7" s="23" t="s">
        <v>68</v>
      </c>
      <c r="EG7" s="23" t="s">
        <v>659</v>
      </c>
      <c r="EH7" s="23" t="s">
        <v>77</v>
      </c>
      <c r="EI7" s="23" t="s">
        <v>58</v>
      </c>
      <c r="EJ7" s="23" t="s">
        <v>184</v>
      </c>
      <c r="EK7" s="23" t="s">
        <v>36</v>
      </c>
      <c r="EL7" s="23" t="s">
        <v>113</v>
      </c>
      <c r="EM7" s="23" t="s">
        <v>197</v>
      </c>
      <c r="EN7" s="23" t="s">
        <v>206</v>
      </c>
      <c r="EO7" s="23" t="s">
        <v>193</v>
      </c>
      <c r="EP7" s="23" t="s">
        <v>72</v>
      </c>
      <c r="EQ7" s="23" t="s">
        <v>668</v>
      </c>
      <c r="ER7" s="23" t="s">
        <v>107</v>
      </c>
      <c r="ES7" s="23" t="s">
        <v>67</v>
      </c>
      <c r="ET7" s="23" t="s">
        <v>663</v>
      </c>
      <c r="EU7" s="23" t="s">
        <v>119</v>
      </c>
      <c r="EV7" s="23" t="s">
        <v>91</v>
      </c>
      <c r="EW7" s="23" t="s">
        <v>96</v>
      </c>
      <c r="EX7" s="23" t="s">
        <v>739</v>
      </c>
      <c r="EY7" s="23" t="s">
        <v>44</v>
      </c>
      <c r="EZ7" s="23" t="s">
        <v>137</v>
      </c>
      <c r="FA7" s="23" t="s">
        <v>134</v>
      </c>
      <c r="FB7" s="23" t="s">
        <v>366</v>
      </c>
      <c r="FC7" s="23" t="s">
        <v>669</v>
      </c>
      <c r="FD7" s="23" t="s">
        <v>92</v>
      </c>
      <c r="FE7" s="23" t="s">
        <v>139</v>
      </c>
      <c r="FF7" s="23" t="s">
        <v>97</v>
      </c>
      <c r="FG7" s="23" t="s">
        <v>151</v>
      </c>
      <c r="FH7" s="23" t="s">
        <v>667</v>
      </c>
      <c r="FI7" s="23" t="s">
        <v>108</v>
      </c>
      <c r="FJ7" s="23" t="s">
        <v>358</v>
      </c>
      <c r="FK7" s="23" t="s">
        <v>43</v>
      </c>
      <c r="FL7" s="23" t="s">
        <v>87</v>
      </c>
      <c r="FM7" s="23" t="s">
        <v>87</v>
      </c>
      <c r="FN7" s="23" t="s">
        <v>87</v>
      </c>
      <c r="FO7" s="23" t="s">
        <v>87</v>
      </c>
      <c r="FP7" s="23" t="s">
        <v>93</v>
      </c>
      <c r="FQ7" s="23" t="s">
        <v>738</v>
      </c>
      <c r="FR7" s="23" t="s">
        <v>744</v>
      </c>
      <c r="FS7" s="23" t="s">
        <v>94</v>
      </c>
      <c r="FT7" s="23" t="s">
        <v>82</v>
      </c>
      <c r="FU7" s="23" t="s">
        <v>83</v>
      </c>
      <c r="FV7" s="23" t="s">
        <v>69</v>
      </c>
      <c r="FW7" s="23" t="s">
        <v>78</v>
      </c>
      <c r="FX7" s="23" t="s">
        <v>152</v>
      </c>
      <c r="FY7" s="23" t="s">
        <v>745</v>
      </c>
      <c r="FZ7" s="23" t="s">
        <v>140</v>
      </c>
      <c r="GA7" s="23" t="s">
        <v>129</v>
      </c>
      <c r="GB7" s="23" t="s">
        <v>56</v>
      </c>
      <c r="GC7" s="23" t="s">
        <v>120</v>
      </c>
      <c r="GD7" s="23" t="s">
        <v>104</v>
      </c>
      <c r="GE7" s="23" t="s">
        <v>98</v>
      </c>
      <c r="GF7" s="23" t="s">
        <v>84</v>
      </c>
      <c r="GG7" s="23" t="s">
        <v>59</v>
      </c>
      <c r="GH7" s="23" t="s">
        <v>367</v>
      </c>
      <c r="GI7" s="23" t="s">
        <v>368</v>
      </c>
      <c r="GJ7" s="23" t="s">
        <v>369</v>
      </c>
      <c r="GK7" s="23" t="s">
        <v>88</v>
      </c>
      <c r="GL7" s="23" t="s">
        <v>109</v>
      </c>
      <c r="GM7" s="23" t="s">
        <v>110</v>
      </c>
      <c r="GN7" s="23" t="s">
        <v>130</v>
      </c>
      <c r="GO7" s="23" t="s">
        <v>359</v>
      </c>
      <c r="GP7" s="23" t="s">
        <v>40</v>
      </c>
      <c r="GQ7" s="23" t="s">
        <v>131</v>
      </c>
      <c r="GR7" s="23" t="s">
        <v>123</v>
      </c>
      <c r="GS7" s="23" t="s">
        <v>664</v>
      </c>
      <c r="GT7" s="23" t="s">
        <v>124</v>
      </c>
      <c r="GU7" s="23" t="s">
        <v>61</v>
      </c>
      <c r="GV7" s="23" t="s">
        <v>52</v>
      </c>
      <c r="GW7" s="23" t="s">
        <v>203</v>
      </c>
      <c r="GX7" s="23" t="s">
        <v>370</v>
      </c>
      <c r="GY7" s="23" t="s">
        <v>60</v>
      </c>
      <c r="GZ7" s="23" t="s">
        <v>75</v>
      </c>
      <c r="HA7" s="23" t="s">
        <v>2133</v>
      </c>
      <c r="HB7" s="23" t="s">
        <v>665</v>
      </c>
      <c r="HC7" s="23" t="s">
        <v>35</v>
      </c>
      <c r="HD7" s="23" t="s">
        <v>132</v>
      </c>
      <c r="HE7" s="23" t="s">
        <v>360</v>
      </c>
      <c r="HF7" s="23" t="s">
        <v>121</v>
      </c>
      <c r="HG7" s="23" t="s">
        <v>186</v>
      </c>
      <c r="HH7" s="23" t="s">
        <v>805</v>
      </c>
      <c r="HI7" s="23" t="s">
        <v>114</v>
      </c>
      <c r="HJ7" s="23" t="s">
        <v>55</v>
      </c>
      <c r="HK7" s="23" t="s">
        <v>609</v>
      </c>
      <c r="HL7" s="23" t="s">
        <v>609</v>
      </c>
      <c r="HM7" s="23" t="s">
        <v>609</v>
      </c>
      <c r="HN7" s="23" t="s">
        <v>609</v>
      </c>
      <c r="HO7" s="23" t="s">
        <v>609</v>
      </c>
      <c r="HP7" s="23" t="s">
        <v>609</v>
      </c>
      <c r="HQ7" s="23" t="s">
        <v>609</v>
      </c>
      <c r="HR7" s="23" t="s">
        <v>356</v>
      </c>
      <c r="HS7" s="23" t="s">
        <v>37</v>
      </c>
      <c r="HT7" s="23" t="s">
        <v>494</v>
      </c>
      <c r="HU7" s="23" t="s">
        <v>361</v>
      </c>
      <c r="HV7" s="23" t="s">
        <v>41</v>
      </c>
      <c r="HW7" s="23" t="s">
        <v>670</v>
      </c>
      <c r="HX7" s="23" t="s">
        <v>747</v>
      </c>
      <c r="HY7" s="23" t="s">
        <v>46</v>
      </c>
      <c r="HZ7" s="23" t="s">
        <v>977</v>
      </c>
      <c r="IA7" s="23" t="s">
        <v>978</v>
      </c>
      <c r="IB7" s="23" t="s">
        <v>979</v>
      </c>
      <c r="IC7" s="23" t="s">
        <v>980</v>
      </c>
      <c r="ID7" s="23" t="s">
        <v>981</v>
      </c>
      <c r="IE7" s="23" t="s">
        <v>1132</v>
      </c>
      <c r="IF7" s="23" t="s">
        <v>46</v>
      </c>
      <c r="IG7" s="23" t="s">
        <v>1134</v>
      </c>
      <c r="IH7" s="23" t="s">
        <v>1135</v>
      </c>
      <c r="II7" s="23" t="s">
        <v>1229</v>
      </c>
      <c r="IJ7" s="23" t="s">
        <v>1230</v>
      </c>
      <c r="IK7" s="23" t="s">
        <v>1231</v>
      </c>
      <c r="IL7" s="23" t="s">
        <v>1232</v>
      </c>
      <c r="IM7" s="23" t="s">
        <v>46</v>
      </c>
      <c r="IN7" s="23" t="s">
        <v>46</v>
      </c>
      <c r="IO7" s="23" t="s">
        <v>1235</v>
      </c>
      <c r="IP7" s="23" t="s">
        <v>1333</v>
      </c>
      <c r="IQ7" s="23" t="s">
        <v>609</v>
      </c>
      <c r="IR7" s="23" t="s">
        <v>609</v>
      </c>
      <c r="IS7" s="23" t="s">
        <v>609</v>
      </c>
      <c r="IT7" s="23" t="s">
        <v>1413</v>
      </c>
      <c r="IU7" s="23" t="s">
        <v>1482</v>
      </c>
      <c r="IV7" s="23" t="s">
        <v>1532</v>
      </c>
      <c r="IW7" s="23" t="s">
        <v>1533</v>
      </c>
      <c r="IX7" s="23" t="s">
        <v>87</v>
      </c>
      <c r="IY7" s="23" t="s">
        <v>1633</v>
      </c>
      <c r="IZ7" s="23" t="s">
        <v>609</v>
      </c>
      <c r="JA7" s="23" t="s">
        <v>42</v>
      </c>
      <c r="JB7" s="23" t="s">
        <v>1910</v>
      </c>
      <c r="JC7" s="23" t="s">
        <v>1911</v>
      </c>
      <c r="JD7" s="23" t="s">
        <v>1963</v>
      </c>
      <c r="JE7" s="23" t="s">
        <v>2202</v>
      </c>
      <c r="JF7" s="23" t="s">
        <v>3737</v>
      </c>
      <c r="JG7" s="23" t="s">
        <v>3738</v>
      </c>
      <c r="JH7" s="23" t="s">
        <v>37</v>
      </c>
      <c r="JI7" s="23" t="s">
        <v>37</v>
      </c>
      <c r="JJ7" s="23" t="s">
        <v>37</v>
      </c>
      <c r="JK7" s="23" t="s">
        <v>37</v>
      </c>
      <c r="JL7" s="23" t="s">
        <v>37</v>
      </c>
      <c r="JM7" s="23" t="s">
        <v>37</v>
      </c>
      <c r="JN7" s="23" t="s">
        <v>37</v>
      </c>
      <c r="JO7" s="23" t="s">
        <v>37</v>
      </c>
      <c r="JP7" s="23" t="s">
        <v>37</v>
      </c>
      <c r="JQ7" s="23" t="s">
        <v>37</v>
      </c>
      <c r="JR7" s="23" t="s">
        <v>37</v>
      </c>
      <c r="JS7" s="23" t="s">
        <v>37</v>
      </c>
      <c r="JT7" s="23" t="s">
        <v>37</v>
      </c>
      <c r="JU7" s="23" t="s">
        <v>37</v>
      </c>
      <c r="JV7" s="23" t="s">
        <v>37</v>
      </c>
      <c r="JW7" s="23" t="s">
        <v>37</v>
      </c>
      <c r="JX7" s="23" t="s">
        <v>37</v>
      </c>
      <c r="JY7" s="23" t="s">
        <v>37</v>
      </c>
      <c r="JZ7" s="23" t="s">
        <v>37</v>
      </c>
      <c r="KA7" s="23" t="s">
        <v>37</v>
      </c>
      <c r="KB7" s="23" t="s">
        <v>37</v>
      </c>
      <c r="KC7" s="23" t="s">
        <v>37</v>
      </c>
      <c r="KD7" s="23" t="s">
        <v>37</v>
      </c>
      <c r="KE7" s="23" t="s">
        <v>37</v>
      </c>
      <c r="KF7" s="23" t="s">
        <v>37</v>
      </c>
      <c r="KG7" s="23" t="s">
        <v>37</v>
      </c>
      <c r="KH7" s="23" t="s">
        <v>37</v>
      </c>
      <c r="KI7" s="23" t="s">
        <v>37</v>
      </c>
      <c r="KJ7" s="23" t="s">
        <v>37</v>
      </c>
      <c r="KK7" s="23" t="s">
        <v>37</v>
      </c>
      <c r="KL7" s="23" t="s">
        <v>37</v>
      </c>
      <c r="KM7" s="23" t="s">
        <v>37</v>
      </c>
      <c r="KN7" s="23" t="s">
        <v>37</v>
      </c>
      <c r="KO7" s="23" t="s">
        <v>37</v>
      </c>
      <c r="KP7" s="23" t="s">
        <v>37</v>
      </c>
      <c r="KQ7" s="23" t="s">
        <v>37</v>
      </c>
      <c r="KR7" s="23" t="s">
        <v>37</v>
      </c>
      <c r="KS7" s="23" t="s">
        <v>37</v>
      </c>
      <c r="KT7" s="23" t="s">
        <v>37</v>
      </c>
      <c r="KU7" s="23" t="s">
        <v>37</v>
      </c>
      <c r="KV7" s="23" t="s">
        <v>37</v>
      </c>
      <c r="KW7" s="23" t="s">
        <v>37</v>
      </c>
      <c r="KX7" s="23" t="s">
        <v>37</v>
      </c>
      <c r="KY7" s="23" t="s">
        <v>37</v>
      </c>
      <c r="KZ7" s="23" t="s">
        <v>37</v>
      </c>
      <c r="LA7" s="23" t="s">
        <v>37</v>
      </c>
      <c r="LB7" s="23" t="s">
        <v>37</v>
      </c>
      <c r="LC7" s="23" t="s">
        <v>37</v>
      </c>
      <c r="LD7" s="23" t="s">
        <v>37</v>
      </c>
      <c r="LE7" s="23" t="s">
        <v>37</v>
      </c>
      <c r="LF7" s="23" t="s">
        <v>37</v>
      </c>
      <c r="LG7" s="23" t="s">
        <v>37</v>
      </c>
      <c r="LH7" s="23" t="s">
        <v>37</v>
      </c>
      <c r="LI7" s="23" t="s">
        <v>37</v>
      </c>
      <c r="LJ7" s="23" t="s">
        <v>37</v>
      </c>
      <c r="LK7" s="23" t="s">
        <v>37</v>
      </c>
      <c r="LL7" s="23" t="s">
        <v>37</v>
      </c>
      <c r="LM7" s="23" t="s">
        <v>37</v>
      </c>
      <c r="LN7" s="11" t="s">
        <v>2509</v>
      </c>
      <c r="LO7" t="str">
        <f>ColIxToLetter($LO$6)</f>
        <v>GY</v>
      </c>
      <c r="LQ7" s="27" t="str">
        <f>ColIxToLetter($LQ$6)</f>
        <v>GU</v>
      </c>
      <c r="LR7" s="283"/>
      <c r="LS7" s="283" t="str">
        <f>ColIxToLetter($LS$6)</f>
        <v>P</v>
      </c>
      <c r="LU7" t="str">
        <f>ColIxToLetter($LU$6)</f>
        <v>EE</v>
      </c>
      <c r="LW7" t="str">
        <f>ColIxToLetter($LW$6)</f>
        <v>EK</v>
      </c>
      <c r="LY7" t="str">
        <f>ColIxToLetter($LY$6)</f>
        <v>M</v>
      </c>
      <c r="MA7" t="str">
        <f>ColIxToLetter($MA$6)</f>
        <v>O</v>
      </c>
      <c r="MC7" t="str">
        <f>ColIxToLetter($MC$6)</f>
        <v>N</v>
      </c>
      <c r="ME7" t="str">
        <f>ColIxToLetter($ME$6)</f>
        <v>J</v>
      </c>
      <c r="MG7" t="str">
        <f>ColIxToLetter($MG$6)</f>
        <v>L</v>
      </c>
      <c r="MI7" t="str">
        <f>ColIxToLetter($MI$6)</f>
        <v>Q</v>
      </c>
      <c r="MK7" t="str">
        <f>ColIxToLetter($MK$6)</f>
        <v>DR</v>
      </c>
      <c r="MM7" t="str">
        <f>ColIxToLetter($MM$6)</f>
        <v>CR</v>
      </c>
      <c r="MO7" t="str">
        <f>ColIxToLetter($MO$6)</f>
        <v>GT</v>
      </c>
      <c r="MQ7" t="str">
        <f>ColIxToLetter($MQ$6)</f>
        <v>HQ</v>
      </c>
      <c r="MS7" t="str">
        <f>ColIxToLetter($MS$6)</f>
        <v>EG</v>
      </c>
      <c r="MU7" t="str">
        <f>ColIxToLetter($MU$6)</f>
        <v>EI</v>
      </c>
      <c r="MW7" t="str">
        <f>ColIxToLetter($MW$6)</f>
        <v>HS</v>
      </c>
      <c r="MY7" t="str">
        <f>ColIxToLetter($MY$6)</f>
        <v>J</v>
      </c>
      <c r="NA7" t="str">
        <f>ColIxToLetter($NA$6)</f>
        <v>K</v>
      </c>
      <c r="NC7" t="str">
        <f>ColIxToLetter($NC$6)</f>
        <v>HA</v>
      </c>
      <c r="ND7">
        <v>2</v>
      </c>
      <c r="NE7" t="str">
        <f>ColIxToLetter($NE$6)</f>
        <v>BL</v>
      </c>
      <c r="NG7" t="str">
        <f>ColIxToLetter($NG$6)</f>
        <v>BK</v>
      </c>
    </row>
    <row r="8" spans="1:375" x14ac:dyDescent="0.25">
      <c r="A8" s="243" t="s">
        <v>2</v>
      </c>
      <c r="B8" s="23">
        <v>33</v>
      </c>
      <c r="C8" s="23">
        <v>41.153300000000002</v>
      </c>
      <c r="D8" s="23">
        <v>28.033899999999999</v>
      </c>
      <c r="E8" s="23">
        <v>42.506300000000003</v>
      </c>
      <c r="F8" s="23">
        <v>-11.2027</v>
      </c>
      <c r="G8" s="23">
        <v>17.0608</v>
      </c>
      <c r="H8" s="23">
        <v>-38.4161</v>
      </c>
      <c r="I8" s="23">
        <v>40.069099999999999</v>
      </c>
      <c r="J8" s="23">
        <v>-35.473500000000001</v>
      </c>
      <c r="K8" s="293">
        <v>-33.8688</v>
      </c>
      <c r="L8" s="23">
        <v>-12.4634</v>
      </c>
      <c r="M8" s="290">
        <v>-28.0167</v>
      </c>
      <c r="N8" s="23">
        <v>-34.9285</v>
      </c>
      <c r="O8" s="384">
        <v>-41.454500000000003</v>
      </c>
      <c r="P8" s="287">
        <v>-37.813600000000001</v>
      </c>
      <c r="Q8" s="23">
        <v>-31.950500000000002</v>
      </c>
      <c r="R8" s="23">
        <v>47.516199999999998</v>
      </c>
      <c r="S8" s="23">
        <v>40.143099999999997</v>
      </c>
      <c r="T8" s="23">
        <v>25.034300000000002</v>
      </c>
      <c r="U8" s="23">
        <v>26.0275</v>
      </c>
      <c r="V8" s="23">
        <v>23.684999999999999</v>
      </c>
      <c r="W8" s="23">
        <v>13.193899999999999</v>
      </c>
      <c r="X8" s="23">
        <v>53.709800000000001</v>
      </c>
      <c r="Y8" s="23">
        <v>50.833300000000001</v>
      </c>
      <c r="Z8" s="23">
        <v>9.3077000000000005</v>
      </c>
      <c r="AA8" s="23">
        <v>27.514199999999999</v>
      </c>
      <c r="AB8" s="23">
        <v>-16.290199999999999</v>
      </c>
      <c r="AC8" s="23">
        <v>43.915900000000001</v>
      </c>
      <c r="AD8" s="23">
        <v>-14.234999999999999</v>
      </c>
      <c r="AE8" s="23">
        <v>4.5353000000000003</v>
      </c>
      <c r="AF8" s="23">
        <v>42.733899999999998</v>
      </c>
      <c r="AG8" s="23">
        <v>12.238300000000001</v>
      </c>
      <c r="AH8" s="23">
        <v>16.538799999999998</v>
      </c>
      <c r="AI8" s="23">
        <v>11.55</v>
      </c>
      <c r="AJ8" s="23">
        <v>3.8480000000000003</v>
      </c>
      <c r="AK8" s="23">
        <v>53.933300000000003</v>
      </c>
      <c r="AL8" s="23">
        <v>49.282699999999998</v>
      </c>
      <c r="AM8" s="23">
        <v>37.648899999999998</v>
      </c>
      <c r="AN8" s="23">
        <v>53.760899999999999</v>
      </c>
      <c r="AO8" s="23">
        <v>46.565300000000001</v>
      </c>
      <c r="AP8" s="23">
        <v>53.1355</v>
      </c>
      <c r="AQ8" s="23">
        <v>44.681999999999995</v>
      </c>
      <c r="AR8" s="23">
        <v>51.253799999999998</v>
      </c>
      <c r="AS8" s="23">
        <v>46.5107</v>
      </c>
      <c r="AT8" s="23">
        <v>52.939900000000002</v>
      </c>
      <c r="AU8" s="23">
        <v>52.939900000000002</v>
      </c>
      <c r="AV8" s="23">
        <v>6.6111000000000004</v>
      </c>
      <c r="AW8" s="23">
        <v>15.4542</v>
      </c>
      <c r="AX8" s="23">
        <v>-35.6751</v>
      </c>
      <c r="AY8" s="23">
        <v>31.825700000000001</v>
      </c>
      <c r="AZ8" s="23">
        <v>40.182400000000001</v>
      </c>
      <c r="BA8" s="23">
        <v>30.057200000000002</v>
      </c>
      <c r="BB8" s="23">
        <v>26.078900000000001</v>
      </c>
      <c r="BC8" s="23">
        <v>37.809899999999999</v>
      </c>
      <c r="BD8" s="23">
        <v>23.341699999999999</v>
      </c>
      <c r="BE8" s="23">
        <v>23.829799999999999</v>
      </c>
      <c r="BF8" s="23">
        <v>26.8154</v>
      </c>
      <c r="BG8" s="23">
        <v>19.195900000000002</v>
      </c>
      <c r="BH8" s="23">
        <v>39.548999999999999</v>
      </c>
      <c r="BI8" s="23">
        <v>47.861999999999995</v>
      </c>
      <c r="BJ8" s="23">
        <v>33.881999999999998</v>
      </c>
      <c r="BK8" s="23">
        <v>22.3</v>
      </c>
      <c r="BL8" s="23">
        <v>30.9756</v>
      </c>
      <c r="BM8" s="23">
        <v>27.610399999999998</v>
      </c>
      <c r="BN8" s="23">
        <v>44.093499999999999</v>
      </c>
      <c r="BO8" s="23">
        <v>32.9711</v>
      </c>
      <c r="BP8" s="23">
        <v>27.614000000000001</v>
      </c>
      <c r="BQ8" s="23">
        <v>43.6661</v>
      </c>
      <c r="BR8" s="23">
        <v>41.2956</v>
      </c>
      <c r="BS8" s="23">
        <v>22.166699999999999</v>
      </c>
      <c r="BT8" s="23">
        <v>37.269199999999998</v>
      </c>
      <c r="BU8" s="23">
        <v>35.745199999999997</v>
      </c>
      <c r="BV8" s="23">
        <v>35.191699999999997</v>
      </c>
      <c r="BW8" s="23">
        <v>36.342700000000001</v>
      </c>
      <c r="BX8" s="23">
        <v>31.201999999999998</v>
      </c>
      <c r="BY8" s="23">
        <v>37.5777</v>
      </c>
      <c r="BZ8" s="23">
        <v>30.617100000000001</v>
      </c>
      <c r="CA8" s="23">
        <v>39.305399999999999</v>
      </c>
      <c r="CB8" s="23">
        <v>31.692699999999999</v>
      </c>
      <c r="CC8" s="23">
        <v>41.112900000000003</v>
      </c>
      <c r="CD8" s="23">
        <v>24.974</v>
      </c>
      <c r="CE8" s="23">
        <v>29.183199999999999</v>
      </c>
      <c r="CF8" s="23">
        <v>4.5709</v>
      </c>
      <c r="CG8" s="23">
        <v>-4.0382999999999996</v>
      </c>
      <c r="CH8" s="23">
        <v>-4.0382999999999996</v>
      </c>
      <c r="CI8" s="23">
        <v>9.7489000000000008</v>
      </c>
      <c r="CJ8" s="23">
        <v>7.54</v>
      </c>
      <c r="CK8" s="23">
        <v>45.1</v>
      </c>
      <c r="CL8" s="23">
        <v>0</v>
      </c>
      <c r="CM8" s="23">
        <v>22</v>
      </c>
      <c r="CN8" s="23">
        <v>35.126399999999997</v>
      </c>
      <c r="CO8" s="23">
        <v>49.817500000000003</v>
      </c>
      <c r="CP8" s="23">
        <v>61.892600000000002</v>
      </c>
      <c r="CQ8" s="23">
        <v>71.706900000000005</v>
      </c>
      <c r="CR8" s="23">
        <v>56.2639</v>
      </c>
      <c r="CS8" s="23">
        <v>11.825100000000001</v>
      </c>
      <c r="CT8" s="23">
        <v>18.735700000000001</v>
      </c>
      <c r="CU8" s="23">
        <v>-1.8311999999999999</v>
      </c>
      <c r="CV8" s="23">
        <v>26</v>
      </c>
      <c r="CW8" s="23">
        <v>13.7942</v>
      </c>
      <c r="CX8" s="23">
        <v>1.5</v>
      </c>
      <c r="CY8" s="23">
        <v>15.179399999999999</v>
      </c>
      <c r="CZ8" s="23">
        <v>58.595300000000002</v>
      </c>
      <c r="DA8" s="23">
        <v>-26.522500000000001</v>
      </c>
      <c r="DB8" s="23">
        <v>9.1449999999999996</v>
      </c>
      <c r="DC8" s="23">
        <v>-17.7134</v>
      </c>
      <c r="DD8" s="23">
        <v>64</v>
      </c>
      <c r="DE8" s="23">
        <v>3.9339</v>
      </c>
      <c r="DF8" s="23">
        <v>-17.6797</v>
      </c>
      <c r="DG8" s="23">
        <v>16.25</v>
      </c>
      <c r="DH8" s="23">
        <v>-12.827500000000001</v>
      </c>
      <c r="DI8" s="23">
        <v>-20.904299999999999</v>
      </c>
      <c r="DJ8" s="23">
        <v>-21.135100000000001</v>
      </c>
      <c r="DK8" s="23">
        <v>17.899999999999999</v>
      </c>
      <c r="DL8" s="23">
        <v>18.070799999999998</v>
      </c>
      <c r="DM8" s="23">
        <v>14.641500000000001</v>
      </c>
      <c r="DN8" s="23">
        <v>46.227600000000002</v>
      </c>
      <c r="DO8" s="23">
        <v>-0.80369999999999997</v>
      </c>
      <c r="DP8" s="23">
        <v>13.443199999999999</v>
      </c>
      <c r="DQ8" s="23">
        <v>42.315399999999997</v>
      </c>
      <c r="DR8" s="23">
        <v>51</v>
      </c>
      <c r="DS8" s="23">
        <v>7.9465000000000003</v>
      </c>
      <c r="DT8" s="23">
        <v>39.074199999999998</v>
      </c>
      <c r="DU8" s="23">
        <v>15.7835</v>
      </c>
      <c r="DV8" s="23">
        <v>9.9456000000000007</v>
      </c>
      <c r="DW8" s="23">
        <v>5</v>
      </c>
      <c r="DX8" s="23">
        <v>18.9712</v>
      </c>
      <c r="DY8" s="23">
        <v>41.902900000000002</v>
      </c>
      <c r="DZ8" s="23">
        <v>15.2</v>
      </c>
      <c r="EA8" s="23">
        <v>47.162500000000001</v>
      </c>
      <c r="EB8" s="23">
        <v>64.963099999999997</v>
      </c>
      <c r="EC8" s="23">
        <v>21</v>
      </c>
      <c r="ED8" s="23">
        <v>-0.7893</v>
      </c>
      <c r="EE8" s="23">
        <v>32</v>
      </c>
      <c r="EF8" s="23">
        <v>33</v>
      </c>
      <c r="EG8" s="23">
        <v>53.142400000000002</v>
      </c>
      <c r="EH8" s="23">
        <v>31</v>
      </c>
      <c r="EI8" s="23">
        <v>43</v>
      </c>
      <c r="EJ8" s="23">
        <v>18.1096</v>
      </c>
      <c r="EK8" s="23">
        <v>36</v>
      </c>
      <c r="EL8" s="23">
        <v>31.24</v>
      </c>
      <c r="EM8" s="23">
        <v>48.019599999999997</v>
      </c>
      <c r="EN8" s="23">
        <v>-2.3599999999999999E-2</v>
      </c>
      <c r="EO8" s="23">
        <v>36</v>
      </c>
      <c r="EP8" s="23">
        <v>29.5</v>
      </c>
      <c r="EQ8" s="23">
        <v>41.2044</v>
      </c>
      <c r="ER8" s="23">
        <v>56.879600000000003</v>
      </c>
      <c r="ES8" s="23">
        <v>33.854700000000001</v>
      </c>
      <c r="ET8" s="23">
        <v>6.4280999999999997</v>
      </c>
      <c r="EU8" s="23">
        <v>47.14</v>
      </c>
      <c r="EV8" s="23">
        <v>55.169400000000003</v>
      </c>
      <c r="EW8" s="23">
        <v>49.815300000000001</v>
      </c>
      <c r="EX8" s="23">
        <v>-18.7669</v>
      </c>
      <c r="EY8" s="23">
        <v>2.5</v>
      </c>
      <c r="EZ8" s="23">
        <v>3.2027999999999999</v>
      </c>
      <c r="FA8" s="23">
        <v>35.9375</v>
      </c>
      <c r="FB8" s="23">
        <v>21.007899999999999</v>
      </c>
      <c r="FC8" s="23">
        <v>-20.2</v>
      </c>
      <c r="FD8" s="23">
        <v>23.634499999999999</v>
      </c>
      <c r="FE8" s="23">
        <v>47.4116</v>
      </c>
      <c r="FF8" s="23">
        <v>43.7333</v>
      </c>
      <c r="FG8" s="23">
        <v>46.862499999999997</v>
      </c>
      <c r="FH8" s="23">
        <v>42.5</v>
      </c>
      <c r="FI8" s="23">
        <v>31.791699999999999</v>
      </c>
      <c r="FJ8" s="23">
        <v>-22.957599999999999</v>
      </c>
      <c r="FK8" s="23">
        <v>28.166699999999999</v>
      </c>
      <c r="FL8" s="23">
        <v>12.518599999999999</v>
      </c>
      <c r="FM8" s="23">
        <v>12.169600000000001</v>
      </c>
      <c r="FN8" s="23">
        <v>18.0425</v>
      </c>
      <c r="FO8" s="23">
        <v>52.132599999999996</v>
      </c>
      <c r="FP8" s="23">
        <v>-40.900599999999997</v>
      </c>
      <c r="FQ8" s="23">
        <v>12.865399999999999</v>
      </c>
      <c r="FR8" s="23">
        <v>17.607800000000001</v>
      </c>
      <c r="FS8" s="23">
        <v>9.0820000000000007</v>
      </c>
      <c r="FT8" s="23">
        <v>41.608600000000003</v>
      </c>
      <c r="FU8" s="23">
        <v>60.472000000000001</v>
      </c>
      <c r="FV8" s="23">
        <v>21</v>
      </c>
      <c r="FW8" s="23">
        <v>30.375299999999999</v>
      </c>
      <c r="FX8" s="23">
        <v>8.5380000000000003</v>
      </c>
      <c r="FY8" s="23">
        <v>-6.3150000000000004</v>
      </c>
      <c r="FZ8" s="23">
        <v>-23.442499999999999</v>
      </c>
      <c r="GA8" s="23">
        <v>-9.19</v>
      </c>
      <c r="GB8" s="23">
        <v>13</v>
      </c>
      <c r="GC8" s="23">
        <v>51.919400000000003</v>
      </c>
      <c r="GD8" s="23">
        <v>39.399900000000002</v>
      </c>
      <c r="GE8" s="23">
        <v>25.354800000000001</v>
      </c>
      <c r="GF8" s="23">
        <v>45.943199999999997</v>
      </c>
      <c r="GG8" s="23">
        <v>60</v>
      </c>
      <c r="GH8" s="23">
        <v>-1.9402999999999999</v>
      </c>
      <c r="GI8" s="23">
        <v>13.9094</v>
      </c>
      <c r="GJ8" s="23">
        <v>12.984299999999999</v>
      </c>
      <c r="GK8" s="23">
        <v>43.942399999999999</v>
      </c>
      <c r="GL8" s="23">
        <v>24</v>
      </c>
      <c r="GM8" s="23">
        <v>14.497400000000001</v>
      </c>
      <c r="GN8" s="23">
        <v>44.016500000000001</v>
      </c>
      <c r="GO8" s="23">
        <v>-4.6795999999999998</v>
      </c>
      <c r="GP8" s="23">
        <v>1.2833000000000001</v>
      </c>
      <c r="GQ8" s="23">
        <v>48.668999999999997</v>
      </c>
      <c r="GR8" s="23">
        <v>46.151200000000003</v>
      </c>
      <c r="GS8" s="23">
        <v>5.1520999999999999</v>
      </c>
      <c r="GT8" s="23">
        <v>-30.5595</v>
      </c>
      <c r="GU8" s="23">
        <v>40</v>
      </c>
      <c r="GV8" s="23">
        <v>7</v>
      </c>
      <c r="GW8" s="23">
        <v>12.8628</v>
      </c>
      <c r="GX8" s="23">
        <v>3.9192999999999998</v>
      </c>
      <c r="GY8" s="23">
        <v>63</v>
      </c>
      <c r="GZ8" s="23">
        <v>46.818199999999997</v>
      </c>
      <c r="HA8" s="23">
        <v>23.7</v>
      </c>
      <c r="HB8" s="23">
        <v>-6.3689999999999998</v>
      </c>
      <c r="HC8" s="23">
        <v>15</v>
      </c>
      <c r="HD8" s="23">
        <v>8.6195000000000004</v>
      </c>
      <c r="HE8" s="23">
        <v>10.691800000000001</v>
      </c>
      <c r="HF8" s="23">
        <v>34</v>
      </c>
      <c r="HG8" s="23">
        <v>38.963700000000003</v>
      </c>
      <c r="HH8" s="23">
        <v>1</v>
      </c>
      <c r="HI8" s="23">
        <v>48.379399999999997</v>
      </c>
      <c r="HJ8" s="23">
        <v>24</v>
      </c>
      <c r="HK8" s="23">
        <v>32.3078</v>
      </c>
      <c r="HL8" s="23">
        <v>19.313300000000002</v>
      </c>
      <c r="HM8" s="23">
        <v>49.372300000000003</v>
      </c>
      <c r="HN8" s="23">
        <v>36.140799999999999</v>
      </c>
      <c r="HO8" s="23">
        <v>54.2361</v>
      </c>
      <c r="HP8" s="23">
        <v>16.7425</v>
      </c>
      <c r="HQ8" s="23">
        <v>55.378100000000003</v>
      </c>
      <c r="HR8" s="23">
        <v>-32.522799999999997</v>
      </c>
      <c r="HS8" s="23">
        <v>37.090200000000003</v>
      </c>
      <c r="HT8" s="23">
        <v>41.377499999999998</v>
      </c>
      <c r="HU8" s="23">
        <v>6.4238</v>
      </c>
      <c r="HV8" s="23">
        <v>16</v>
      </c>
      <c r="HW8" s="23">
        <v>-15.416700000000001</v>
      </c>
      <c r="HX8" s="23">
        <v>-20</v>
      </c>
      <c r="HY8" s="23">
        <v>0</v>
      </c>
      <c r="HZ8" s="23">
        <v>15.414999999999999</v>
      </c>
      <c r="IA8" s="23">
        <v>12.1165</v>
      </c>
      <c r="IB8" s="23">
        <v>-18.665694999999999</v>
      </c>
      <c r="IC8" s="23">
        <v>34.802075000000002</v>
      </c>
      <c r="ID8" s="23">
        <v>-8.8742169999999998</v>
      </c>
      <c r="IE8" s="23">
        <v>13.193899999999999</v>
      </c>
      <c r="IF8" s="23">
        <v>0</v>
      </c>
      <c r="IG8" s="23">
        <v>19.856270000000002</v>
      </c>
      <c r="IH8" s="23">
        <v>26.335100000000001</v>
      </c>
      <c r="II8" s="23">
        <v>31.952200000000001</v>
      </c>
      <c r="IJ8" s="23">
        <v>11.803699999999999</v>
      </c>
      <c r="IK8" s="23">
        <v>17.570692000000001</v>
      </c>
      <c r="IL8" s="23">
        <v>17.357821999999999</v>
      </c>
      <c r="IM8" s="23">
        <v>64.825500000000005</v>
      </c>
      <c r="IN8" s="23">
        <v>64.282300000000006</v>
      </c>
      <c r="IO8" s="23">
        <v>42.602635999999997</v>
      </c>
      <c r="IP8" s="23">
        <v>21.9162</v>
      </c>
      <c r="IQ8" s="23">
        <v>18.220600000000001</v>
      </c>
      <c r="IR8" s="23">
        <v>18.4207</v>
      </c>
      <c r="IS8" s="23">
        <v>21.69400000000001</v>
      </c>
      <c r="IT8" s="23">
        <v>0</v>
      </c>
      <c r="IU8" s="23">
        <v>-22.328499999999998</v>
      </c>
      <c r="IV8" s="23">
        <v>-3.3731</v>
      </c>
      <c r="IW8" s="23">
        <v>8.4605550000000012</v>
      </c>
      <c r="IX8" s="23">
        <v>12.1784</v>
      </c>
      <c r="IY8" s="23">
        <v>-13.254307999999998</v>
      </c>
      <c r="IZ8" s="23">
        <v>-51.796300000000002</v>
      </c>
      <c r="JA8" s="23">
        <v>46.885199999999998</v>
      </c>
      <c r="JB8" s="23">
        <v>6.8770000000000024</v>
      </c>
      <c r="JC8" s="23">
        <v>24.215499999999999</v>
      </c>
      <c r="JD8" s="23">
        <v>0.18636</v>
      </c>
      <c r="JE8" s="23">
        <v>15.552726999999999</v>
      </c>
      <c r="JF8" s="23">
        <v>-11.6455</v>
      </c>
      <c r="JG8" s="23">
        <v>38.861033999999997</v>
      </c>
      <c r="JH8" s="23">
        <v>-14.270999999999999</v>
      </c>
      <c r="JI8" s="23">
        <v>13.4443</v>
      </c>
      <c r="JJ8" s="23">
        <v>15.097899999999999</v>
      </c>
      <c r="JK8" s="23">
        <v>18.220800000000001</v>
      </c>
      <c r="JL8" s="23">
        <v>18.335799999999999</v>
      </c>
      <c r="JM8" s="23">
        <v>2203.24678369</v>
      </c>
      <c r="JN8" s="23">
        <v>1747.5798765500003</v>
      </c>
      <c r="JO8" s="23">
        <v>505.13855462999999</v>
      </c>
      <c r="JP8" s="23">
        <v>2618.39170427</v>
      </c>
      <c r="JQ8" s="23">
        <v>2194.9497754700001</v>
      </c>
      <c r="JR8" s="23">
        <v>2491.870365929999</v>
      </c>
      <c r="JS8" s="23">
        <v>332.90944112</v>
      </c>
      <c r="JT8" s="23">
        <v>117.32783047000001</v>
      </c>
      <c r="JU8" s="23">
        <v>38.904177730000001</v>
      </c>
      <c r="JV8" s="23">
        <v>1939.0305769000004</v>
      </c>
      <c r="JW8" s="23">
        <v>5216.5566110300015</v>
      </c>
      <c r="JX8" s="23">
        <v>105.14141503</v>
      </c>
      <c r="JY8" s="23">
        <v>1947.5896553700004</v>
      </c>
      <c r="JZ8" s="23">
        <v>4064.0490055300002</v>
      </c>
      <c r="KA8" s="23">
        <v>3665.0364912399991</v>
      </c>
      <c r="KB8" s="23">
        <v>4160.9610923300015</v>
      </c>
      <c r="KC8" s="23">
        <v>4040.9647841699993</v>
      </c>
      <c r="KD8" s="23">
        <v>4514.6572620000006</v>
      </c>
      <c r="KE8" s="23">
        <v>1989.9153525399995</v>
      </c>
      <c r="KF8" s="23">
        <v>715.00301449999995</v>
      </c>
      <c r="KG8" s="23">
        <v>936.35809657000004</v>
      </c>
      <c r="KH8" s="23">
        <v>630.99414890999992</v>
      </c>
      <c r="KI8" s="23">
        <v>3655.6204674499986</v>
      </c>
      <c r="KJ8" s="23">
        <v>3963.0251292199996</v>
      </c>
      <c r="KK8" s="23">
        <v>2689.00357846</v>
      </c>
      <c r="KL8" s="23">
        <v>4460.9847262700005</v>
      </c>
      <c r="KM8" s="23">
        <v>2630.5827033899996</v>
      </c>
      <c r="KN8" s="23">
        <v>3842.9269300899973</v>
      </c>
      <c r="KO8" s="23">
        <v>667.35194466000007</v>
      </c>
      <c r="KP8" s="23">
        <v>434.78972876</v>
      </c>
      <c r="KQ8" s="23">
        <v>846.01525913000012</v>
      </c>
      <c r="KR8" s="23">
        <v>1140.1288462999999</v>
      </c>
      <c r="KS8" s="23">
        <v>2637.7373826599996</v>
      </c>
      <c r="KT8" s="23">
        <v>3562.4209710000009</v>
      </c>
      <c r="KU8" s="23">
        <v>2511.8558565800004</v>
      </c>
      <c r="KV8" s="23">
        <v>3547.3389435400018</v>
      </c>
      <c r="KW8" s="23">
        <v>2733.6474108000002</v>
      </c>
      <c r="KX8" s="23">
        <v>1601.7264242899996</v>
      </c>
      <c r="KY8" s="23">
        <v>2734.8112497699994</v>
      </c>
      <c r="KZ8" s="23">
        <v>208.27571053</v>
      </c>
      <c r="LA8" s="23">
        <v>1562.0437180300005</v>
      </c>
      <c r="LB8" s="23">
        <v>2921.9978651999995</v>
      </c>
      <c r="LC8" s="23">
        <v>3409.0847101599993</v>
      </c>
      <c r="LD8" s="23">
        <v>8041.8034343399986</v>
      </c>
      <c r="LE8" s="23">
        <v>1388.55098628</v>
      </c>
      <c r="LF8" s="23">
        <v>618.23294118000013</v>
      </c>
      <c r="LG8" s="23">
        <v>4996.2979932599992</v>
      </c>
      <c r="LH8" s="23">
        <v>1842.1176703799999</v>
      </c>
      <c r="LI8" s="23">
        <v>2134.78395387</v>
      </c>
      <c r="LJ8" s="23">
        <v>3196.4503316300011</v>
      </c>
      <c r="LK8" s="23">
        <v>990.99836662000007</v>
      </c>
      <c r="LL8" s="23">
        <v>0</v>
      </c>
      <c r="LM8" s="23">
        <v>0</v>
      </c>
      <c r="LO8" s="19">
        <f>INDEX(tblPopulation[Population],MATCH(LO$9,tblPopulation[CtryAbbrev],0))/myData!PerPerson</f>
        <v>1.0229999999999999</v>
      </c>
      <c r="LQ8">
        <f>INDEX(tblPopulation[Population],MATCH(LQ$9,tblPopulation[CtryAbbrev],0))/myData!PerPerson</f>
        <v>4.694</v>
      </c>
      <c r="LS8" s="281">
        <f>INDEX(tblPopulation[Population],MATCH(LS$9,tblPopulation[CtryAbbrev],0))/myData!PerPerson</f>
        <v>0.66290000000000004</v>
      </c>
      <c r="LU8">
        <f>INDEX(tblPopulation[Population],MATCH(LU$9,tblPopulation[CtryAbbrev],0))/myData!PerPerson</f>
        <v>8.3773</v>
      </c>
      <c r="LW8">
        <f>INDEX(tblPopulation[Population],MATCH(LW$9,tblPopulation[CtryAbbrev],0))/myData!PerPerson</f>
        <v>12.655420299999999</v>
      </c>
      <c r="LY8">
        <f>INDEX(tblPopulation[Population],MATCH(LY$9,tblPopulation[CtryAbbrev],0))/myData!PerPerson</f>
        <v>0.51154509999999997</v>
      </c>
      <c r="MA8">
        <f>INDEX(tblPopulation[Population],MATCH(MA$9,tblPopulation[CtryAbbrev],0))/myData!PerPerson</f>
        <v>5.1499999999999997E-2</v>
      </c>
      <c r="MC8">
        <f>INDEX(tblPopulation[Population],MATCH(MC$9,tblPopulation[CtryAbbrev],0))/myData!PerPerson</f>
        <v>0.16700000000000001</v>
      </c>
      <c r="ME8">
        <f>INDEX(tblPopulation[Population],MATCH(ME$9,tblPopulation[CtryAbbrev],0))/myData!PerPerson</f>
        <v>4.2805999999999997E-2</v>
      </c>
      <c r="MG8">
        <f>INDEX(tblPopulation[Population],MATCH(MG$9,tblPopulation[CtryAbbrev],0))/myData!PerPerson</f>
        <v>2.1194500000000002E-2</v>
      </c>
      <c r="MI8">
        <f>INDEX(tblPopulation[Population],MATCH(MI$9,tblPopulation[CtryAbbrev],0))/myData!PerPerson</f>
        <v>0.25890000000000002</v>
      </c>
      <c r="MK8">
        <f>INDEX(tblPopulation[Population],MATCH(MK$9,tblPopulation[CtryAbbrev],0))/myData!PerPerson</f>
        <v>8.3019999999999996</v>
      </c>
      <c r="MM8">
        <f>INDEX(tblPopulation[Population],MATCH(MM$9,tblPopulation[CtryAbbrev],0))/myData!PerPerson</f>
        <v>0.5806</v>
      </c>
      <c r="MO8">
        <f>INDEX(tblPopulation[Population],MATCH(MO$9,tblPopulation[CtryAbbrev],0))/myData!PerPerson</f>
        <v>5.7779999999999996</v>
      </c>
      <c r="MQ8">
        <f>INDEX(tblPopulation[Population],MATCH(MQ$9,tblPopulation[CtryAbbrev],0))/myData!PerPerson</f>
        <v>6.6440000000000001</v>
      </c>
      <c r="MS8">
        <f>INDEX(tblPopulation[Population],MATCH(MS$9,tblPopulation[CtryAbbrev],0))/myData!PerPerson</f>
        <v>0.49</v>
      </c>
      <c r="MU8">
        <f>INDEX(tblPopulation[Population],MATCH(MU$9,tblPopulation[CtryAbbrev],0))/myData!PerPerson</f>
        <v>6.0484999999999998</v>
      </c>
      <c r="MW8">
        <f>INDEX(tblPopulation[Population],MATCH(MW$9,tblPopulation[CtryAbbrev],0))/myData!PerPerson</f>
        <v>32.922774599999997</v>
      </c>
      <c r="MY8">
        <f>INDEX(tblPopulation[Population],MATCH(SUBSTITUTE(MY$9," Sum",""),tblPopulation[Country],0))/myData!PerPerson</f>
        <v>2.5364</v>
      </c>
      <c r="NA8">
        <f>INDEX(tblPopulation[Population],MATCH(NA$9,tblPopulation[CtryAbbrev],0))/myData!PerPerson</f>
        <v>0.80800000000000005</v>
      </c>
      <c r="NC8">
        <f>INDEX(tblPopulation[Population],MATCH(NC$9,tblPopulation[CtryAbbrev],0))/myData!PerPerson</f>
        <v>2.3807282000000001</v>
      </c>
      <c r="ND8">
        <v>3</v>
      </c>
      <c r="NE8">
        <f>INDEX(tblPopulation[Population],MATCH(NE$9,tblPopulation[CtryAbbrev],0))/myData!PerPerson</f>
        <v>5.85</v>
      </c>
      <c r="NG8">
        <f>INDEX(tblPopulation[Population],MATCH(NG$9,tblPopulation[CtryAbbrev],0))/myData!PerPerson</f>
        <v>0.74509999999999998</v>
      </c>
    </row>
    <row r="9" spans="1:375" ht="60" x14ac:dyDescent="0.25">
      <c r="A9" s="243" t="s">
        <v>3</v>
      </c>
      <c r="B9" s="23">
        <v>65</v>
      </c>
      <c r="C9" s="23">
        <v>20.168299999999999</v>
      </c>
      <c r="D9" s="23">
        <v>1.6596</v>
      </c>
      <c r="E9" s="23">
        <v>1.5218</v>
      </c>
      <c r="F9" s="23">
        <v>17.873899999999999</v>
      </c>
      <c r="G9" s="23">
        <v>-61.796399999999998</v>
      </c>
      <c r="H9" s="23">
        <v>-63.616700000000002</v>
      </c>
      <c r="I9" s="23">
        <v>45.038200000000003</v>
      </c>
      <c r="J9" s="23">
        <v>149.01240000000001</v>
      </c>
      <c r="K9" s="293">
        <v>151.20930000000001</v>
      </c>
      <c r="L9" s="23">
        <v>130.84559999999999</v>
      </c>
      <c r="M9" s="290">
        <v>153.4</v>
      </c>
      <c r="N9" s="23">
        <v>138.60069999999999</v>
      </c>
      <c r="O9" s="384">
        <v>145.97069999999999</v>
      </c>
      <c r="P9" s="287">
        <v>144.9631</v>
      </c>
      <c r="Q9" s="23">
        <v>115.8605</v>
      </c>
      <c r="R9" s="23">
        <v>14.5501</v>
      </c>
      <c r="S9" s="23">
        <v>47.576900000000002</v>
      </c>
      <c r="T9" s="23">
        <v>-77.396299999999997</v>
      </c>
      <c r="U9" s="23">
        <v>50.55</v>
      </c>
      <c r="V9" s="23">
        <v>90.356300000000005</v>
      </c>
      <c r="W9" s="23">
        <v>-59.543199999999999</v>
      </c>
      <c r="X9" s="23">
        <v>27.953399999999998</v>
      </c>
      <c r="Y9" s="23">
        <v>4</v>
      </c>
      <c r="Z9" s="23">
        <v>2.3157999999999999</v>
      </c>
      <c r="AA9" s="23">
        <v>90.433599999999998</v>
      </c>
      <c r="AB9" s="23">
        <v>-63.588700000000003</v>
      </c>
      <c r="AC9" s="23">
        <v>17.679099999999998</v>
      </c>
      <c r="AD9" s="23">
        <v>-51.9253</v>
      </c>
      <c r="AE9" s="23">
        <v>114.7277</v>
      </c>
      <c r="AF9" s="23">
        <v>25.485800000000001</v>
      </c>
      <c r="AG9" s="23">
        <v>-1.5616000000000001</v>
      </c>
      <c r="AH9" s="23">
        <v>-23.041799999999999</v>
      </c>
      <c r="AI9" s="23">
        <v>104.91670000000001</v>
      </c>
      <c r="AJ9" s="23">
        <v>11.5021</v>
      </c>
      <c r="AK9" s="23">
        <v>-116.5765</v>
      </c>
      <c r="AL9" s="23">
        <v>-123.1207</v>
      </c>
      <c r="AM9" s="23">
        <v>-122.66549999999999</v>
      </c>
      <c r="AN9" s="23">
        <v>-98.813900000000004</v>
      </c>
      <c r="AO9" s="23">
        <v>-66.4619</v>
      </c>
      <c r="AP9" s="23">
        <v>-57.660400000000003</v>
      </c>
      <c r="AQ9" s="23">
        <v>-63.744300000000003</v>
      </c>
      <c r="AR9" s="23">
        <v>-85.3232</v>
      </c>
      <c r="AS9" s="23">
        <v>-63.416800000000002</v>
      </c>
      <c r="AT9" s="23">
        <v>-73.549099999999996</v>
      </c>
      <c r="AU9" s="23">
        <v>-106.4509</v>
      </c>
      <c r="AV9" s="23">
        <v>20.939399999999999</v>
      </c>
      <c r="AW9" s="23">
        <v>18.732199999999999</v>
      </c>
      <c r="AX9" s="23">
        <v>-71.543000000000006</v>
      </c>
      <c r="AY9" s="23">
        <v>117.2264</v>
      </c>
      <c r="AZ9" s="23">
        <v>116.41419999999999</v>
      </c>
      <c r="BA9" s="23">
        <v>107.874</v>
      </c>
      <c r="BB9" s="23">
        <v>117.98739999999999</v>
      </c>
      <c r="BC9" s="23">
        <v>101.0583</v>
      </c>
      <c r="BD9" s="23">
        <v>113.42440000000001</v>
      </c>
      <c r="BE9" s="23">
        <v>108.7881</v>
      </c>
      <c r="BF9" s="23">
        <v>106.87479999999999</v>
      </c>
      <c r="BG9" s="23">
        <v>109.7453</v>
      </c>
      <c r="BH9" s="23">
        <v>116.1306</v>
      </c>
      <c r="BI9" s="23">
        <v>127.7615</v>
      </c>
      <c r="BJ9" s="23">
        <v>113.61399999999999</v>
      </c>
      <c r="BK9" s="23">
        <v>114.2</v>
      </c>
      <c r="BL9" s="23">
        <v>112.27070000000001</v>
      </c>
      <c r="BM9" s="23">
        <v>111.7088</v>
      </c>
      <c r="BN9" s="23">
        <v>113.9448</v>
      </c>
      <c r="BO9" s="23">
        <v>119.455</v>
      </c>
      <c r="BP9" s="23">
        <v>115.7221</v>
      </c>
      <c r="BQ9" s="23">
        <v>126.1923</v>
      </c>
      <c r="BR9" s="23">
        <v>122.60850000000001</v>
      </c>
      <c r="BS9" s="23">
        <v>113.55</v>
      </c>
      <c r="BT9" s="23">
        <v>106.16549999999999</v>
      </c>
      <c r="BU9" s="23">
        <v>95.995599999999996</v>
      </c>
      <c r="BV9" s="23">
        <v>108.87009999999999</v>
      </c>
      <c r="BW9" s="23">
        <v>118.1498</v>
      </c>
      <c r="BX9" s="23">
        <v>121.4491</v>
      </c>
      <c r="BY9" s="23">
        <v>112.29219999999999</v>
      </c>
      <c r="BZ9" s="23">
        <v>102.7103</v>
      </c>
      <c r="CA9" s="23">
        <v>117.32299999999999</v>
      </c>
      <c r="CB9" s="23">
        <v>88.092399999999998</v>
      </c>
      <c r="CC9" s="23">
        <v>85.240099999999998</v>
      </c>
      <c r="CD9" s="23">
        <v>101.48700000000001</v>
      </c>
      <c r="CE9" s="23">
        <v>120.0934</v>
      </c>
      <c r="CF9" s="23">
        <v>-74.297300000000007</v>
      </c>
      <c r="CG9" s="23">
        <v>21.758700000000001</v>
      </c>
      <c r="CH9" s="23">
        <v>21.758700000000001</v>
      </c>
      <c r="CI9" s="23">
        <v>-83.753399999999999</v>
      </c>
      <c r="CJ9" s="23">
        <v>-5.5471000000000004</v>
      </c>
      <c r="CK9" s="23">
        <v>15.2</v>
      </c>
      <c r="CL9" s="23">
        <v>0</v>
      </c>
      <c r="CM9" s="23">
        <v>-80</v>
      </c>
      <c r="CN9" s="23">
        <v>33.429900000000004</v>
      </c>
      <c r="CO9" s="23">
        <v>15.472999999999999</v>
      </c>
      <c r="CP9" s="23">
        <v>-6.9118000000000004</v>
      </c>
      <c r="CQ9" s="23">
        <v>-42.604300000000002</v>
      </c>
      <c r="CR9" s="23">
        <v>9.5017999999999994</v>
      </c>
      <c r="CS9" s="23">
        <v>42.590299999999999</v>
      </c>
      <c r="CT9" s="23">
        <v>-70.162700000000001</v>
      </c>
      <c r="CU9" s="23">
        <v>-78.183400000000006</v>
      </c>
      <c r="CV9" s="23">
        <v>30</v>
      </c>
      <c r="CW9" s="23">
        <v>-88.896500000000003</v>
      </c>
      <c r="CX9" s="23">
        <v>10</v>
      </c>
      <c r="CY9" s="23">
        <v>39.782299999999999</v>
      </c>
      <c r="CZ9" s="23">
        <v>25.0136</v>
      </c>
      <c r="DA9" s="23">
        <v>31.465900000000001</v>
      </c>
      <c r="DB9" s="23">
        <v>40.489699999999999</v>
      </c>
      <c r="DC9" s="23">
        <v>178.065</v>
      </c>
      <c r="DD9" s="23">
        <v>26</v>
      </c>
      <c r="DE9" s="23">
        <v>-53.125799999999998</v>
      </c>
      <c r="DF9" s="23">
        <v>149.4068</v>
      </c>
      <c r="DG9" s="23">
        <v>-61.583300000000001</v>
      </c>
      <c r="DH9" s="23">
        <v>45.166200000000003</v>
      </c>
      <c r="DI9" s="23">
        <v>165.61799999999999</v>
      </c>
      <c r="DJ9" s="23">
        <v>55.247100000000003</v>
      </c>
      <c r="DK9" s="23">
        <v>-62.833300000000001</v>
      </c>
      <c r="DL9" s="23">
        <v>-63.0501</v>
      </c>
      <c r="DM9" s="23">
        <v>-61.0242</v>
      </c>
      <c r="DN9" s="23">
        <v>2.2136999999999998</v>
      </c>
      <c r="DO9" s="23">
        <v>11.609400000000001</v>
      </c>
      <c r="DP9" s="23">
        <v>-15.3101</v>
      </c>
      <c r="DQ9" s="23">
        <v>43.356900000000003</v>
      </c>
      <c r="DR9" s="23">
        <v>9</v>
      </c>
      <c r="DS9" s="23">
        <v>-1.0232000000000001</v>
      </c>
      <c r="DT9" s="23">
        <v>21.824300000000001</v>
      </c>
      <c r="DU9" s="23">
        <v>-90.230800000000002</v>
      </c>
      <c r="DV9" s="23">
        <v>-9.6966000000000001</v>
      </c>
      <c r="DW9" s="23">
        <v>-58.75</v>
      </c>
      <c r="DX9" s="23">
        <v>-72.285200000000003</v>
      </c>
      <c r="DY9" s="23">
        <v>12.4534</v>
      </c>
      <c r="DZ9" s="23">
        <v>-86.241900000000001</v>
      </c>
      <c r="EA9" s="23">
        <v>19.503299999999999</v>
      </c>
      <c r="EB9" s="23">
        <v>-19.020800000000001</v>
      </c>
      <c r="EC9" s="23">
        <v>78</v>
      </c>
      <c r="ED9" s="23">
        <v>113.9213</v>
      </c>
      <c r="EE9" s="23">
        <v>53</v>
      </c>
      <c r="EF9" s="23">
        <v>44</v>
      </c>
      <c r="EG9" s="23">
        <v>-7.6920999999999999</v>
      </c>
      <c r="EH9" s="23">
        <v>35</v>
      </c>
      <c r="EI9" s="23">
        <v>12</v>
      </c>
      <c r="EJ9" s="23">
        <v>-77.297499999999999</v>
      </c>
      <c r="EK9" s="23">
        <v>138</v>
      </c>
      <c r="EL9" s="23">
        <v>36.51</v>
      </c>
      <c r="EM9" s="23">
        <v>66.923699999999997</v>
      </c>
      <c r="EN9" s="23">
        <v>37.906199999999998</v>
      </c>
      <c r="EO9" s="23">
        <v>128</v>
      </c>
      <c r="EP9" s="23">
        <v>47.75</v>
      </c>
      <c r="EQ9" s="23">
        <v>74.766099999999994</v>
      </c>
      <c r="ER9" s="23">
        <v>24.603200000000001</v>
      </c>
      <c r="ES9" s="23">
        <v>35.862299999999998</v>
      </c>
      <c r="ET9" s="23">
        <v>-9.4295000000000009</v>
      </c>
      <c r="EU9" s="23">
        <v>9.5500000000000007</v>
      </c>
      <c r="EV9" s="23">
        <v>23.8813</v>
      </c>
      <c r="EW9" s="23">
        <v>6.1295999999999999</v>
      </c>
      <c r="EX9" s="23">
        <v>46.869100000000003</v>
      </c>
      <c r="EY9" s="23">
        <v>112.5</v>
      </c>
      <c r="EZ9" s="23">
        <v>73.220699999999994</v>
      </c>
      <c r="FA9" s="23">
        <v>14.375400000000001</v>
      </c>
      <c r="FB9" s="23">
        <v>10.940799999999999</v>
      </c>
      <c r="FC9" s="23">
        <v>57.5</v>
      </c>
      <c r="FD9" s="23">
        <v>-102.5528</v>
      </c>
      <c r="FE9" s="23">
        <v>28.369900000000001</v>
      </c>
      <c r="FF9" s="23">
        <v>7.4166999999999996</v>
      </c>
      <c r="FG9" s="23">
        <v>103.8467</v>
      </c>
      <c r="FH9" s="23">
        <v>19.3</v>
      </c>
      <c r="FI9" s="23">
        <v>-7.0926</v>
      </c>
      <c r="FJ9" s="23">
        <v>18.490400000000001</v>
      </c>
      <c r="FK9" s="23">
        <v>84.25</v>
      </c>
      <c r="FL9" s="23">
        <v>-70.035799999999995</v>
      </c>
      <c r="FM9" s="23">
        <v>-68.989999999999995</v>
      </c>
      <c r="FN9" s="23">
        <v>-63.0548</v>
      </c>
      <c r="FO9" s="23">
        <v>5.2912999999999997</v>
      </c>
      <c r="FP9" s="23">
        <v>174.886</v>
      </c>
      <c r="FQ9" s="23">
        <v>-85.2072</v>
      </c>
      <c r="FR9" s="23">
        <v>8.0816999999999997</v>
      </c>
      <c r="FS9" s="23">
        <v>8.6753</v>
      </c>
      <c r="FT9" s="23">
        <v>21.7453</v>
      </c>
      <c r="FU9" s="23">
        <v>8.4688999999999997</v>
      </c>
      <c r="FV9" s="23">
        <v>57</v>
      </c>
      <c r="FW9" s="23">
        <v>69.345100000000002</v>
      </c>
      <c r="FX9" s="23">
        <v>-80.7821</v>
      </c>
      <c r="FY9" s="23">
        <v>143.9555</v>
      </c>
      <c r="FZ9" s="23">
        <v>-58.443800000000003</v>
      </c>
      <c r="GA9" s="23">
        <v>-75.015199999999993</v>
      </c>
      <c r="GB9" s="23">
        <v>122</v>
      </c>
      <c r="GC9" s="23">
        <v>19.145099999999999</v>
      </c>
      <c r="GD9" s="23">
        <v>-8.2245000000000008</v>
      </c>
      <c r="GE9" s="23">
        <v>51.183900000000001</v>
      </c>
      <c r="GF9" s="23">
        <v>24.966799999999999</v>
      </c>
      <c r="GG9" s="23">
        <v>90</v>
      </c>
      <c r="GH9" s="23">
        <v>29.873899999999999</v>
      </c>
      <c r="GI9" s="23">
        <v>-60.978900000000003</v>
      </c>
      <c r="GJ9" s="23">
        <v>-61.287199999999999</v>
      </c>
      <c r="GK9" s="23">
        <v>12.457800000000001</v>
      </c>
      <c r="GL9" s="23">
        <v>45</v>
      </c>
      <c r="GM9" s="23">
        <v>-14.452400000000001</v>
      </c>
      <c r="GN9" s="23">
        <v>21.0059</v>
      </c>
      <c r="GO9" s="23">
        <v>55.491999999999997</v>
      </c>
      <c r="GP9" s="23">
        <v>103.83329999999999</v>
      </c>
      <c r="GQ9" s="23">
        <v>19.699000000000002</v>
      </c>
      <c r="GR9" s="23">
        <v>14.9955</v>
      </c>
      <c r="GS9" s="23">
        <v>46.199599999999997</v>
      </c>
      <c r="GT9" s="23">
        <v>22.9375</v>
      </c>
      <c r="GU9" s="23">
        <v>-4</v>
      </c>
      <c r="GV9" s="23">
        <v>81</v>
      </c>
      <c r="GW9" s="23">
        <v>30.217600000000001</v>
      </c>
      <c r="GX9" s="23">
        <v>-56.027799999999999</v>
      </c>
      <c r="GY9" s="23">
        <v>16</v>
      </c>
      <c r="GZ9" s="23">
        <v>8.2274999999999991</v>
      </c>
      <c r="HA9" s="23">
        <v>121</v>
      </c>
      <c r="HB9" s="23">
        <v>34.888800000000003</v>
      </c>
      <c r="HC9" s="23">
        <v>101</v>
      </c>
      <c r="HD9" s="23">
        <v>0.82479999999999998</v>
      </c>
      <c r="HE9" s="23">
        <v>-61.222499999999997</v>
      </c>
      <c r="HF9" s="23">
        <v>9</v>
      </c>
      <c r="HG9" s="23">
        <v>35.243299999999998</v>
      </c>
      <c r="HH9" s="23">
        <v>32</v>
      </c>
      <c r="HI9" s="23">
        <v>31.165600000000001</v>
      </c>
      <c r="HJ9" s="23">
        <v>54</v>
      </c>
      <c r="HK9" s="23">
        <v>-64.750500000000002</v>
      </c>
      <c r="HL9" s="23">
        <v>-81.254599999999996</v>
      </c>
      <c r="HM9" s="23">
        <v>-2.3643999999999998</v>
      </c>
      <c r="HN9" s="23">
        <v>-5.3536000000000001</v>
      </c>
      <c r="HO9" s="23">
        <v>-4.5480999999999998</v>
      </c>
      <c r="HP9" s="23">
        <v>-62.187399999999997</v>
      </c>
      <c r="HQ9" s="23">
        <v>-3.4360000000000004</v>
      </c>
      <c r="HR9" s="23">
        <v>-55.765799999999999</v>
      </c>
      <c r="HS9" s="23">
        <v>-95.712900000000005</v>
      </c>
      <c r="HT9" s="23">
        <v>64.585300000000004</v>
      </c>
      <c r="HU9" s="23">
        <v>-66.589699999999993</v>
      </c>
      <c r="HV9" s="23">
        <v>108</v>
      </c>
      <c r="HW9" s="23">
        <v>28.283300000000001</v>
      </c>
      <c r="HX9" s="23">
        <v>30</v>
      </c>
      <c r="HY9" s="23">
        <v>0</v>
      </c>
      <c r="HZ9" s="23">
        <v>-61.371000000000002</v>
      </c>
      <c r="IA9" s="23">
        <v>-61.678999999999995</v>
      </c>
      <c r="IB9" s="23">
        <v>35.529561999999999</v>
      </c>
      <c r="IC9" s="23">
        <v>38.996815000000012</v>
      </c>
      <c r="ID9" s="23">
        <v>125.72753899999999</v>
      </c>
      <c r="IE9" s="23">
        <v>-59.543199999999999</v>
      </c>
      <c r="IF9" s="23">
        <v>0</v>
      </c>
      <c r="IG9" s="23">
        <v>102.495496</v>
      </c>
      <c r="IH9" s="23">
        <v>17.228331000000001</v>
      </c>
      <c r="II9" s="23">
        <v>35.233199999999997</v>
      </c>
      <c r="IJ9" s="23">
        <v>-15.180400000000001</v>
      </c>
      <c r="IK9" s="23">
        <v>-3.996166000000001</v>
      </c>
      <c r="IL9" s="23">
        <v>-62.782997999999999</v>
      </c>
      <c r="IM9" s="23">
        <v>-124.84569999999999</v>
      </c>
      <c r="IN9" s="23">
        <v>-135</v>
      </c>
      <c r="IO9" s="23">
        <v>20.902977</v>
      </c>
      <c r="IP9" s="23">
        <v>95.956000000000003</v>
      </c>
      <c r="IQ9" s="23">
        <v>-63.068600000000004</v>
      </c>
      <c r="IR9" s="23">
        <v>-64.64</v>
      </c>
      <c r="IS9" s="23">
        <v>-71.797899999999998</v>
      </c>
      <c r="IT9" s="23">
        <v>0</v>
      </c>
      <c r="IU9" s="23">
        <v>24.684899999999999</v>
      </c>
      <c r="IV9" s="23">
        <v>29.918900000000001</v>
      </c>
      <c r="IW9" s="23">
        <v>-11.779889000000001</v>
      </c>
      <c r="IX9" s="23">
        <v>-68.238500000000002</v>
      </c>
      <c r="IY9" s="23">
        <v>34.301524999999998</v>
      </c>
      <c r="IZ9" s="23">
        <v>-59.523600000000002</v>
      </c>
      <c r="JA9" s="23">
        <v>-56.315899999999999</v>
      </c>
      <c r="JB9" s="23">
        <v>31.306999999999999</v>
      </c>
      <c r="JC9" s="23">
        <v>-12.8858</v>
      </c>
      <c r="JD9" s="23">
        <v>6.6130810000000002</v>
      </c>
      <c r="JE9" s="23">
        <v>48.516387999999999</v>
      </c>
      <c r="JF9" s="23">
        <v>43.333300000000001</v>
      </c>
      <c r="JG9" s="23">
        <v>71.276093000000003</v>
      </c>
      <c r="JH9" s="23">
        <v>-170.13200000000001</v>
      </c>
      <c r="JI9" s="23">
        <v>144.7937</v>
      </c>
      <c r="JJ9" s="23">
        <v>145.6739</v>
      </c>
      <c r="JK9" s="23">
        <v>-66.590100000000007</v>
      </c>
      <c r="JL9" s="23">
        <v>-64.896299999999997</v>
      </c>
      <c r="JM9" s="23">
        <v>-5809.5781992500024</v>
      </c>
      <c r="JN9" s="23">
        <v>-4229.3193343000003</v>
      </c>
      <c r="JO9" s="23">
        <v>-1671.9484818999999</v>
      </c>
      <c r="JP9" s="23">
        <v>-6932.5483701299991</v>
      </c>
      <c r="JQ9" s="23">
        <v>-7002.2584614999987</v>
      </c>
      <c r="JR9" s="23">
        <v>-6751.1193573999981</v>
      </c>
      <c r="JS9" s="23">
        <v>-581.25463743</v>
      </c>
      <c r="JT9" s="23">
        <v>-226.59971236999996</v>
      </c>
      <c r="JU9" s="23">
        <v>-77.016559920000006</v>
      </c>
      <c r="JV9" s="23">
        <v>-5540.9498419200008</v>
      </c>
      <c r="JW9" s="23">
        <v>-13288.811358250005</v>
      </c>
      <c r="JX9" s="23">
        <v>-786.61618239999996</v>
      </c>
      <c r="JY9" s="23">
        <v>-5036.245496399999</v>
      </c>
      <c r="JZ9" s="23">
        <v>-9096.1896670999995</v>
      </c>
      <c r="KA9" s="23">
        <v>-7932.1082973199955</v>
      </c>
      <c r="KB9" s="23">
        <v>-9253.0864229199997</v>
      </c>
      <c r="KC9" s="23">
        <v>-10298.87791087</v>
      </c>
      <c r="KD9" s="23">
        <v>-10223.986874159998</v>
      </c>
      <c r="KE9" s="23">
        <v>-5876.7479459900014</v>
      </c>
      <c r="KF9" s="23">
        <v>-1112.38029805</v>
      </c>
      <c r="KG9" s="23">
        <v>-1840.2112226099998</v>
      </c>
      <c r="KH9" s="23">
        <v>-1071.2770314100001</v>
      </c>
      <c r="KI9" s="23">
        <v>-7070.0807294400029</v>
      </c>
      <c r="KJ9" s="23">
        <v>-8215.4929133399983</v>
      </c>
      <c r="KK9" s="23">
        <v>-7350.9495156400008</v>
      </c>
      <c r="KL9" s="23">
        <v>-10729.940478620003</v>
      </c>
      <c r="KM9" s="23">
        <v>-6143.222113400001</v>
      </c>
      <c r="KN9" s="23">
        <v>-9210.6281368199998</v>
      </c>
      <c r="KO9" s="23">
        <v>-1998.5878900999996</v>
      </c>
      <c r="KP9" s="23">
        <v>-715.77656705000004</v>
      </c>
      <c r="KQ9" s="23">
        <v>-1567.0714440100001</v>
      </c>
      <c r="KR9" s="23">
        <v>-3494.2745445</v>
      </c>
      <c r="KS9" s="23">
        <v>-4679.3993650800003</v>
      </c>
      <c r="KT9" s="23">
        <v>-7950.1098739600029</v>
      </c>
      <c r="KU9" s="23">
        <v>-5313.2178520900006</v>
      </c>
      <c r="KV9" s="23">
        <v>-7289.5159045800001</v>
      </c>
      <c r="KW9" s="23">
        <v>-7488.3577667199997</v>
      </c>
      <c r="KX9" s="23">
        <v>-4373.1691055000001</v>
      </c>
      <c r="KY9" s="23">
        <v>-5200.2262951800003</v>
      </c>
      <c r="KZ9" s="23">
        <v>-357.32052549000002</v>
      </c>
      <c r="LA9" s="23">
        <v>-3725.2363858399995</v>
      </c>
      <c r="LB9" s="23">
        <v>-6554.5019881099997</v>
      </c>
      <c r="LC9" s="23">
        <v>-8180.3286839199982</v>
      </c>
      <c r="LD9" s="23">
        <v>-25057.879425249983</v>
      </c>
      <c r="LE9" s="23">
        <v>-3904.519943400001</v>
      </c>
      <c r="LF9" s="23">
        <v>-1017.58132988</v>
      </c>
      <c r="LG9" s="23">
        <v>-10442.323660759994</v>
      </c>
      <c r="LH9" s="23">
        <v>-4708.0495962000014</v>
      </c>
      <c r="LI9" s="23">
        <v>-4433.9599982299987</v>
      </c>
      <c r="LJ9" s="23">
        <v>-6465.4545586299992</v>
      </c>
      <c r="LK9" s="23">
        <v>-2464.5245706999999</v>
      </c>
      <c r="LL9" s="23">
        <v>0</v>
      </c>
      <c r="LM9" s="23">
        <v>0</v>
      </c>
      <c r="LN9" s="364" t="s">
        <v>2431</v>
      </c>
      <c r="LO9" t="s">
        <v>60</v>
      </c>
      <c r="LP9" s="277" t="s">
        <v>2494</v>
      </c>
      <c r="LQ9" t="s">
        <v>61</v>
      </c>
      <c r="LR9" s="284" t="s">
        <v>2510</v>
      </c>
      <c r="LS9" s="281" t="s">
        <v>49</v>
      </c>
      <c r="LT9" s="277" t="s">
        <v>2496</v>
      </c>
      <c r="LU9" t="s">
        <v>65</v>
      </c>
      <c r="LV9" s="277" t="s">
        <v>2887</v>
      </c>
      <c r="LW9" t="s">
        <v>36</v>
      </c>
      <c r="LX9" s="277" t="s">
        <v>3001</v>
      </c>
      <c r="LY9" t="s">
        <v>50</v>
      </c>
      <c r="LZ9" s="277" t="s">
        <v>3008</v>
      </c>
      <c r="MA9" t="s">
        <v>106</v>
      </c>
      <c r="MB9" s="277" t="s">
        <v>3018</v>
      </c>
      <c r="MC9" t="s">
        <v>62</v>
      </c>
      <c r="MD9" s="277" t="s">
        <v>3397</v>
      </c>
      <c r="ME9" s="277" t="s">
        <v>196</v>
      </c>
      <c r="MF9" s="277" t="s">
        <v>3399</v>
      </c>
      <c r="MG9" t="s">
        <v>117</v>
      </c>
      <c r="MH9" s="277" t="s">
        <v>3017</v>
      </c>
      <c r="MI9" t="s">
        <v>95</v>
      </c>
      <c r="MJ9" s="277" t="s">
        <v>3464</v>
      </c>
      <c r="MK9" t="s">
        <v>53</v>
      </c>
      <c r="ML9" s="277" t="s">
        <v>3466</v>
      </c>
      <c r="MM9" t="s">
        <v>85</v>
      </c>
      <c r="MN9" s="277" t="s">
        <v>3468</v>
      </c>
      <c r="MO9" t="s">
        <v>124</v>
      </c>
      <c r="MP9" s="277" t="s">
        <v>3470</v>
      </c>
      <c r="MQ9" t="s">
        <v>609</v>
      </c>
      <c r="MR9" s="277" t="s">
        <v>3472</v>
      </c>
      <c r="MS9" t="s">
        <v>659</v>
      </c>
      <c r="MT9" s="277" t="s">
        <v>3392</v>
      </c>
      <c r="MU9" t="s">
        <v>58</v>
      </c>
      <c r="MV9" s="277" t="s">
        <v>3480</v>
      </c>
      <c r="MW9" t="s">
        <v>37</v>
      </c>
      <c r="MX9" s="277" t="s">
        <v>3485</v>
      </c>
      <c r="MY9" t="s">
        <v>3482</v>
      </c>
      <c r="MZ9" s="277" t="s">
        <v>3311</v>
      </c>
      <c r="NA9" t="s">
        <v>47</v>
      </c>
      <c r="NB9" s="277" t="s">
        <v>3488</v>
      </c>
      <c r="NC9" t="s">
        <v>2133</v>
      </c>
      <c r="ND9" s="277" t="s">
        <v>3489</v>
      </c>
      <c r="NE9" t="s">
        <v>16</v>
      </c>
      <c r="NF9" s="277" t="s">
        <v>3490</v>
      </c>
      <c r="NG9" t="s">
        <v>39</v>
      </c>
    </row>
    <row r="10" spans="1:375" x14ac:dyDescent="0.25">
      <c r="A10" s="243">
        <v>43852</v>
      </c>
      <c r="B10" s="23">
        <v>0</v>
      </c>
      <c r="C10" s="23">
        <v>0</v>
      </c>
      <c r="D10" s="23">
        <v>0</v>
      </c>
      <c r="E10" s="23">
        <v>0</v>
      </c>
      <c r="F10" s="23">
        <v>0</v>
      </c>
      <c r="G10" s="23">
        <v>0</v>
      </c>
      <c r="H10" s="23">
        <v>0</v>
      </c>
      <c r="I10" s="23">
        <v>0</v>
      </c>
      <c r="J10" s="23">
        <v>0</v>
      </c>
      <c r="K10" s="293">
        <v>0</v>
      </c>
      <c r="L10" s="23">
        <v>0</v>
      </c>
      <c r="M10" s="290">
        <v>0</v>
      </c>
      <c r="N10" s="23">
        <v>0</v>
      </c>
      <c r="O10" s="384">
        <v>0</v>
      </c>
      <c r="P10" s="287">
        <v>0</v>
      </c>
      <c r="Q10" s="23">
        <v>0</v>
      </c>
      <c r="R10" s="23">
        <v>0</v>
      </c>
      <c r="S10" s="23">
        <v>0</v>
      </c>
      <c r="T10" s="23">
        <v>0</v>
      </c>
      <c r="U10" s="23">
        <v>0</v>
      </c>
      <c r="V10" s="23">
        <v>0</v>
      </c>
      <c r="W10" s="23">
        <v>0</v>
      </c>
      <c r="X10" s="23">
        <v>0</v>
      </c>
      <c r="Y10" s="23">
        <v>0</v>
      </c>
      <c r="Z10" s="23">
        <v>0</v>
      </c>
      <c r="AA10" s="23">
        <v>0</v>
      </c>
      <c r="AB10" s="23">
        <v>0</v>
      </c>
      <c r="AC10" s="23">
        <v>0</v>
      </c>
      <c r="AD10" s="23">
        <v>0</v>
      </c>
      <c r="AE10" s="23">
        <v>0</v>
      </c>
      <c r="AF10" s="23">
        <v>0</v>
      </c>
      <c r="AG10" s="23">
        <v>0</v>
      </c>
      <c r="AH10" s="23">
        <v>0</v>
      </c>
      <c r="AI10" s="23">
        <v>0</v>
      </c>
      <c r="AJ10" s="23">
        <v>0</v>
      </c>
      <c r="AK10" s="23">
        <v>0</v>
      </c>
      <c r="AL10" s="23">
        <v>0</v>
      </c>
      <c r="AM10" s="23">
        <v>0</v>
      </c>
      <c r="AN10" s="23">
        <v>0</v>
      </c>
      <c r="AO10" s="23">
        <v>0</v>
      </c>
      <c r="AP10" s="23">
        <v>0</v>
      </c>
      <c r="AQ10" s="23">
        <v>0</v>
      </c>
      <c r="AR10" s="23">
        <v>0</v>
      </c>
      <c r="AS10" s="23">
        <v>0</v>
      </c>
      <c r="AT10" s="23">
        <v>0</v>
      </c>
      <c r="AU10" s="23">
        <v>0</v>
      </c>
      <c r="AV10" s="23">
        <v>0</v>
      </c>
      <c r="AW10" s="23">
        <v>0</v>
      </c>
      <c r="AX10" s="23">
        <v>0</v>
      </c>
      <c r="AY10" s="23">
        <v>1</v>
      </c>
      <c r="AZ10" s="23">
        <v>14</v>
      </c>
      <c r="BA10" s="23">
        <v>6</v>
      </c>
      <c r="BB10" s="23">
        <v>1</v>
      </c>
      <c r="BC10" s="23">
        <v>0</v>
      </c>
      <c r="BD10" s="23">
        <v>26</v>
      </c>
      <c r="BE10" s="23">
        <v>2</v>
      </c>
      <c r="BF10" s="23">
        <v>1</v>
      </c>
      <c r="BG10" s="23">
        <v>4</v>
      </c>
      <c r="BH10" s="23">
        <v>1</v>
      </c>
      <c r="BI10" s="23">
        <v>0</v>
      </c>
      <c r="BJ10" s="23">
        <v>5</v>
      </c>
      <c r="BK10" s="23">
        <v>0</v>
      </c>
      <c r="BL10" s="23">
        <v>444</v>
      </c>
      <c r="BM10" s="23">
        <v>4</v>
      </c>
      <c r="BN10" s="23">
        <v>0</v>
      </c>
      <c r="BO10" s="23">
        <v>1</v>
      </c>
      <c r="BP10" s="23">
        <v>2</v>
      </c>
      <c r="BQ10" s="23">
        <v>0</v>
      </c>
      <c r="BR10" s="23">
        <v>2</v>
      </c>
      <c r="BS10" s="23">
        <v>1</v>
      </c>
      <c r="BT10" s="23">
        <v>1</v>
      </c>
      <c r="BU10" s="23">
        <v>0</v>
      </c>
      <c r="BV10" s="23">
        <v>0</v>
      </c>
      <c r="BW10" s="23">
        <v>2</v>
      </c>
      <c r="BX10" s="23">
        <v>9</v>
      </c>
      <c r="BY10" s="23">
        <v>1</v>
      </c>
      <c r="BZ10" s="23">
        <v>5</v>
      </c>
      <c r="CA10" s="23">
        <v>4</v>
      </c>
      <c r="CB10" s="23">
        <v>0</v>
      </c>
      <c r="CC10" s="23">
        <v>0</v>
      </c>
      <c r="CD10" s="23">
        <v>1</v>
      </c>
      <c r="CE10" s="23">
        <v>10</v>
      </c>
      <c r="CF10" s="23">
        <v>0</v>
      </c>
      <c r="CG10" s="23">
        <v>0</v>
      </c>
      <c r="CH10" s="23">
        <v>0</v>
      </c>
      <c r="CI10" s="23">
        <v>0</v>
      </c>
      <c r="CJ10" s="23">
        <v>0</v>
      </c>
      <c r="CK10" s="23">
        <v>0</v>
      </c>
      <c r="CL10" s="23">
        <v>0</v>
      </c>
      <c r="CM10" s="23">
        <v>0</v>
      </c>
      <c r="CN10" s="23">
        <v>0</v>
      </c>
      <c r="CO10" s="23">
        <v>0</v>
      </c>
      <c r="CP10" s="23">
        <v>0</v>
      </c>
      <c r="CQ10" s="23">
        <v>0</v>
      </c>
      <c r="CR10" s="23">
        <v>0</v>
      </c>
      <c r="CS10" s="23">
        <v>0</v>
      </c>
      <c r="CT10" s="23">
        <v>0</v>
      </c>
      <c r="CU10" s="23">
        <v>0</v>
      </c>
      <c r="CV10" s="23">
        <v>0</v>
      </c>
      <c r="CW10" s="23">
        <v>0</v>
      </c>
      <c r="CX10" s="23">
        <v>0</v>
      </c>
      <c r="CY10" s="23">
        <v>0</v>
      </c>
      <c r="CZ10" s="23">
        <v>0</v>
      </c>
      <c r="DA10" s="23">
        <v>0</v>
      </c>
      <c r="DB10" s="23">
        <v>0</v>
      </c>
      <c r="DC10" s="23">
        <v>0</v>
      </c>
      <c r="DD10" s="23">
        <v>0</v>
      </c>
      <c r="DE10" s="23">
        <v>0</v>
      </c>
      <c r="DF10" s="23">
        <v>0</v>
      </c>
      <c r="DG10" s="23">
        <v>0</v>
      </c>
      <c r="DH10" s="23">
        <v>0</v>
      </c>
      <c r="DI10" s="23">
        <v>0</v>
      </c>
      <c r="DJ10" s="23">
        <v>0</v>
      </c>
      <c r="DK10" s="23">
        <v>0</v>
      </c>
      <c r="DL10" s="23">
        <v>0</v>
      </c>
      <c r="DM10" s="23">
        <v>0</v>
      </c>
      <c r="DN10" s="23">
        <v>0</v>
      </c>
      <c r="DO10" s="23">
        <v>0</v>
      </c>
      <c r="DP10" s="23">
        <v>0</v>
      </c>
      <c r="DQ10" s="23">
        <v>0</v>
      </c>
      <c r="DR10" s="23">
        <v>0</v>
      </c>
      <c r="DS10" s="23">
        <v>0</v>
      </c>
      <c r="DT10" s="23">
        <v>0</v>
      </c>
      <c r="DU10" s="23">
        <v>0</v>
      </c>
      <c r="DV10" s="23">
        <v>0</v>
      </c>
      <c r="DW10" s="23">
        <v>0</v>
      </c>
      <c r="DX10" s="23">
        <v>0</v>
      </c>
      <c r="DY10" s="23">
        <v>0</v>
      </c>
      <c r="DZ10" s="23">
        <v>0</v>
      </c>
      <c r="EA10" s="23">
        <v>0</v>
      </c>
      <c r="EB10" s="23">
        <v>0</v>
      </c>
      <c r="EC10" s="23">
        <v>0</v>
      </c>
      <c r="ED10" s="23">
        <v>0</v>
      </c>
      <c r="EE10" s="23">
        <v>0</v>
      </c>
      <c r="EF10" s="23">
        <v>0</v>
      </c>
      <c r="EG10" s="23">
        <v>0</v>
      </c>
      <c r="EH10" s="23">
        <v>0</v>
      </c>
      <c r="EI10" s="23">
        <v>0</v>
      </c>
      <c r="EJ10" s="23">
        <v>0</v>
      </c>
      <c r="EK10" s="23">
        <v>2</v>
      </c>
      <c r="EL10" s="23">
        <v>0</v>
      </c>
      <c r="EM10" s="23">
        <v>0</v>
      </c>
      <c r="EN10" s="23">
        <v>0</v>
      </c>
      <c r="EO10" s="23">
        <v>1</v>
      </c>
      <c r="EP10" s="23">
        <v>0</v>
      </c>
      <c r="EQ10" s="23">
        <v>0</v>
      </c>
      <c r="ER10" s="23">
        <v>0</v>
      </c>
      <c r="ES10" s="23">
        <v>0</v>
      </c>
      <c r="ET10" s="23">
        <v>0</v>
      </c>
      <c r="EU10" s="23">
        <v>0</v>
      </c>
      <c r="EV10" s="23">
        <v>0</v>
      </c>
      <c r="EW10" s="23">
        <v>0</v>
      </c>
      <c r="EX10" s="23">
        <v>0</v>
      </c>
      <c r="EY10" s="23">
        <v>0</v>
      </c>
      <c r="EZ10" s="23">
        <v>0</v>
      </c>
      <c r="FA10" s="23">
        <v>0</v>
      </c>
      <c r="FB10" s="23">
        <v>0</v>
      </c>
      <c r="FC10" s="23">
        <v>0</v>
      </c>
      <c r="FD10" s="23">
        <v>0</v>
      </c>
      <c r="FE10" s="23">
        <v>0</v>
      </c>
      <c r="FF10" s="23">
        <v>0</v>
      </c>
      <c r="FG10" s="23">
        <v>0</v>
      </c>
      <c r="FH10" s="23">
        <v>0</v>
      </c>
      <c r="FI10" s="23">
        <v>0</v>
      </c>
      <c r="FJ10" s="23">
        <v>0</v>
      </c>
      <c r="FK10" s="23">
        <v>0</v>
      </c>
      <c r="FL10" s="23">
        <v>0</v>
      </c>
      <c r="FM10" s="23">
        <v>0</v>
      </c>
      <c r="FN10" s="23">
        <v>0</v>
      </c>
      <c r="FO10" s="23">
        <v>0</v>
      </c>
      <c r="FP10" s="23">
        <v>0</v>
      </c>
      <c r="FQ10" s="23">
        <v>0</v>
      </c>
      <c r="FR10" s="23">
        <v>0</v>
      </c>
      <c r="FS10" s="23">
        <v>0</v>
      </c>
      <c r="FT10" s="23">
        <v>0</v>
      </c>
      <c r="FU10" s="23">
        <v>0</v>
      </c>
      <c r="FV10" s="23">
        <v>0</v>
      </c>
      <c r="FW10" s="23">
        <v>0</v>
      </c>
      <c r="FX10" s="23">
        <v>0</v>
      </c>
      <c r="FY10" s="23">
        <v>0</v>
      </c>
      <c r="FZ10" s="23">
        <v>0</v>
      </c>
      <c r="GA10" s="23">
        <v>0</v>
      </c>
      <c r="GB10" s="23">
        <v>0</v>
      </c>
      <c r="GC10" s="23">
        <v>0</v>
      </c>
      <c r="GD10" s="23">
        <v>0</v>
      </c>
      <c r="GE10" s="23">
        <v>0</v>
      </c>
      <c r="GF10" s="23">
        <v>0</v>
      </c>
      <c r="GG10" s="23">
        <v>0</v>
      </c>
      <c r="GH10" s="23">
        <v>0</v>
      </c>
      <c r="GI10" s="23">
        <v>0</v>
      </c>
      <c r="GJ10" s="23">
        <v>0</v>
      </c>
      <c r="GK10" s="23">
        <v>0</v>
      </c>
      <c r="GL10" s="23">
        <v>0</v>
      </c>
      <c r="GM10" s="23">
        <v>0</v>
      </c>
      <c r="GN10" s="23">
        <v>0</v>
      </c>
      <c r="GO10" s="23">
        <v>0</v>
      </c>
      <c r="GP10" s="23">
        <v>0</v>
      </c>
      <c r="GQ10" s="23">
        <v>0</v>
      </c>
      <c r="GR10" s="23">
        <v>0</v>
      </c>
      <c r="GS10" s="23">
        <v>0</v>
      </c>
      <c r="GT10" s="23">
        <v>0</v>
      </c>
      <c r="GU10" s="23">
        <v>0</v>
      </c>
      <c r="GV10" s="23">
        <v>0</v>
      </c>
      <c r="GW10" s="23">
        <v>0</v>
      </c>
      <c r="GX10" s="23">
        <v>0</v>
      </c>
      <c r="GY10" s="23">
        <v>0</v>
      </c>
      <c r="GZ10" s="23">
        <v>0</v>
      </c>
      <c r="HA10" s="23">
        <v>1</v>
      </c>
      <c r="HB10" s="23">
        <v>0</v>
      </c>
      <c r="HC10" s="23">
        <v>2</v>
      </c>
      <c r="HD10" s="23">
        <v>0</v>
      </c>
      <c r="HE10" s="23">
        <v>0</v>
      </c>
      <c r="HF10" s="23">
        <v>0</v>
      </c>
      <c r="HG10" s="23">
        <v>0</v>
      </c>
      <c r="HH10" s="23">
        <v>0</v>
      </c>
      <c r="HI10" s="23">
        <v>0</v>
      </c>
      <c r="HJ10" s="23">
        <v>0</v>
      </c>
      <c r="HK10" s="23">
        <v>0</v>
      </c>
      <c r="HL10" s="23">
        <v>0</v>
      </c>
      <c r="HM10" s="23">
        <v>0</v>
      </c>
      <c r="HN10" s="23">
        <v>0</v>
      </c>
      <c r="HO10" s="23">
        <v>0</v>
      </c>
      <c r="HP10" s="23">
        <v>0</v>
      </c>
      <c r="HQ10" s="23">
        <v>0</v>
      </c>
      <c r="HR10" s="23">
        <v>0</v>
      </c>
      <c r="HS10" s="23">
        <v>1</v>
      </c>
      <c r="HT10" s="23">
        <v>0</v>
      </c>
      <c r="HU10" s="23">
        <v>0</v>
      </c>
      <c r="HV10" s="23">
        <v>0</v>
      </c>
      <c r="HW10" s="23">
        <v>0</v>
      </c>
      <c r="HX10" s="23">
        <v>0</v>
      </c>
      <c r="HY10" s="23">
        <v>0</v>
      </c>
      <c r="HZ10" s="23">
        <v>0</v>
      </c>
      <c r="IA10" s="23">
        <v>0</v>
      </c>
      <c r="IB10" s="23">
        <v>0</v>
      </c>
      <c r="IC10" s="23">
        <v>0</v>
      </c>
      <c r="ID10" s="23">
        <v>0</v>
      </c>
      <c r="IE10" s="23">
        <v>0</v>
      </c>
      <c r="IF10" s="23">
        <v>0</v>
      </c>
      <c r="IG10" s="23">
        <v>0</v>
      </c>
      <c r="IH10" s="23">
        <v>0</v>
      </c>
      <c r="II10" s="23">
        <v>0</v>
      </c>
      <c r="IJ10" s="23">
        <v>0</v>
      </c>
      <c r="IK10" s="23">
        <v>0</v>
      </c>
      <c r="IL10" s="23">
        <v>0</v>
      </c>
      <c r="IM10" s="23">
        <v>0</v>
      </c>
      <c r="IN10" s="23">
        <v>0</v>
      </c>
      <c r="IO10" s="23">
        <v>0</v>
      </c>
      <c r="IP10" s="23">
        <v>0</v>
      </c>
      <c r="IQ10" s="23">
        <v>0</v>
      </c>
      <c r="IR10" s="23">
        <v>0</v>
      </c>
      <c r="IS10" s="23">
        <v>0</v>
      </c>
      <c r="IT10" s="23">
        <v>0</v>
      </c>
      <c r="IU10" s="23">
        <v>0</v>
      </c>
      <c r="IV10" s="23">
        <v>0</v>
      </c>
      <c r="IW10" s="23">
        <v>0</v>
      </c>
      <c r="IX10" s="23">
        <v>0</v>
      </c>
      <c r="IY10" s="23">
        <v>0</v>
      </c>
      <c r="IZ10" s="23">
        <v>0</v>
      </c>
      <c r="JA10" s="23">
        <v>0</v>
      </c>
      <c r="JB10" s="23">
        <v>0</v>
      </c>
      <c r="JC10" s="23">
        <v>0</v>
      </c>
      <c r="JD10" s="23">
        <v>0</v>
      </c>
      <c r="JE10" s="23">
        <v>0</v>
      </c>
      <c r="JF10" s="23">
        <v>0</v>
      </c>
      <c r="JG10" s="23">
        <v>0</v>
      </c>
      <c r="JH10" s="23">
        <v>0</v>
      </c>
      <c r="JI10" s="23">
        <v>0</v>
      </c>
      <c r="JJ10" s="23">
        <v>0</v>
      </c>
      <c r="JK10" s="23">
        <v>0</v>
      </c>
      <c r="JL10" s="23">
        <v>0</v>
      </c>
      <c r="JM10" s="23">
        <v>0</v>
      </c>
      <c r="JN10" s="23">
        <v>0</v>
      </c>
      <c r="JO10" s="23">
        <v>0</v>
      </c>
      <c r="JP10" s="23">
        <v>0</v>
      </c>
      <c r="JQ10" s="23">
        <v>0</v>
      </c>
      <c r="JR10" s="23">
        <v>0</v>
      </c>
      <c r="JS10" s="23">
        <v>0</v>
      </c>
      <c r="JT10" s="23">
        <v>0</v>
      </c>
      <c r="JU10" s="23">
        <v>0</v>
      </c>
      <c r="JV10" s="23">
        <v>0</v>
      </c>
      <c r="JW10" s="23">
        <v>0</v>
      </c>
      <c r="JX10" s="23">
        <v>0</v>
      </c>
      <c r="JY10" s="23">
        <v>0</v>
      </c>
      <c r="JZ10" s="23">
        <v>0</v>
      </c>
      <c r="KA10" s="23">
        <v>0</v>
      </c>
      <c r="KB10" s="23">
        <v>0</v>
      </c>
      <c r="KC10" s="23">
        <v>0</v>
      </c>
      <c r="KD10" s="23">
        <v>0</v>
      </c>
      <c r="KE10" s="23">
        <v>0</v>
      </c>
      <c r="KF10" s="23">
        <v>0</v>
      </c>
      <c r="KG10" s="23">
        <v>0</v>
      </c>
      <c r="KH10" s="23">
        <v>0</v>
      </c>
      <c r="KI10" s="23">
        <v>0</v>
      </c>
      <c r="KJ10" s="23">
        <v>0</v>
      </c>
      <c r="KK10" s="23">
        <v>0</v>
      </c>
      <c r="KL10" s="23">
        <v>0</v>
      </c>
      <c r="KM10" s="23">
        <v>0</v>
      </c>
      <c r="KN10" s="23">
        <v>0</v>
      </c>
      <c r="KO10" s="23">
        <v>0</v>
      </c>
      <c r="KP10" s="23">
        <v>0</v>
      </c>
      <c r="KQ10" s="23">
        <v>0</v>
      </c>
      <c r="KR10" s="23">
        <v>0</v>
      </c>
      <c r="KS10" s="23">
        <v>0</v>
      </c>
      <c r="KT10" s="23">
        <v>0</v>
      </c>
      <c r="KU10" s="23">
        <v>0</v>
      </c>
      <c r="KV10" s="23">
        <v>0</v>
      </c>
      <c r="KW10" s="23">
        <v>0</v>
      </c>
      <c r="KX10" s="23">
        <v>0</v>
      </c>
      <c r="KY10" s="23">
        <v>0</v>
      </c>
      <c r="KZ10" s="23">
        <v>0</v>
      </c>
      <c r="LA10" s="23">
        <v>0</v>
      </c>
      <c r="LB10" s="23">
        <v>0</v>
      </c>
      <c r="LC10" s="23">
        <v>0</v>
      </c>
      <c r="LD10" s="23">
        <v>0</v>
      </c>
      <c r="LE10" s="23">
        <v>0</v>
      </c>
      <c r="LF10" s="23">
        <v>0</v>
      </c>
      <c r="LG10" s="23">
        <v>0</v>
      </c>
      <c r="LH10" s="23">
        <v>1</v>
      </c>
      <c r="LI10" s="23">
        <v>0</v>
      </c>
      <c r="LJ10" s="23">
        <v>0</v>
      </c>
      <c r="LK10" s="23">
        <v>0</v>
      </c>
      <c r="LL10" s="23">
        <v>0</v>
      </c>
      <c r="LM10" s="23">
        <v>0</v>
      </c>
      <c r="LN10" s="278">
        <f ca="1">$A10 - TST!Sweden100dt + 1</f>
        <v>-44</v>
      </c>
      <c r="LO10" s="20">
        <f ca="1">INDEX(OFFSET(TST!HeadRow,ROW()-ROW(TST!HeadRow),0,1,COLUMNS(TST!HeadRow)),1,MATCH(LO$5,TST!HeadRow,0))/LO$8</f>
        <v>0</v>
      </c>
      <c r="LP10" s="278">
        <f ca="1">$A10 - TST!Spain100dt + 1</f>
        <v>-44</v>
      </c>
      <c r="LQ10" s="20">
        <f ca="1">INDEX(OFFSET(TST!HeadRow,ROW()-ROW(TST!HeadRow),0,1,COLUMNS(TST!HeadRow)),1,MATCH(LQ$5,TST!HeadRow,0))/LQ$8</f>
        <v>0</v>
      </c>
      <c r="LR10" s="285">
        <f ca="1">$A10 - TST!Victoria100dt + 1</f>
        <v>-53</v>
      </c>
      <c r="LS10" s="20">
        <f ca="1">INDEX(OFFSET(TST!HeadRow,ROW()-ROW(TST!HeadRow),0,1,COLUMNS(TST!HeadRow)),1,MATCH(LS$5,TST!HeadRow,0))/LS$8</f>
        <v>0</v>
      </c>
      <c r="LT10" s="278">
        <f ca="1">$A10 - TST!Iran100dt + 1</f>
        <v>-38</v>
      </c>
      <c r="LU10" s="20">
        <f ca="1">INDEX(OFFSET(TST!HeadRow,ROW()-ROW(TST!HeadRow),0,1,COLUMNS(TST!HeadRow)),1,MATCH(LU$5,TST!HeadRow,0))/LU$8</f>
        <v>0</v>
      </c>
      <c r="LV10" s="278">
        <f ca="1">$A10 - TST!Japan100dt + 1</f>
        <v>-62</v>
      </c>
      <c r="LW10" s="20">
        <f ca="1">INDEX(OFFSET(TST!HeadRow,ROW()-ROW(TST!HeadRow),0,1,COLUMNS(TST!HeadRow)),1,MATCH(LW$5,TST!HeadRow,0))/LW$8</f>
        <v>0.15803505158971293</v>
      </c>
      <c r="LX10" s="278">
        <f ca="1">$A10 - TST!Queensland100dt + 1</f>
        <v>-52</v>
      </c>
      <c r="LY10" s="20">
        <f ca="1">INDEX(OFFSET(TST!HeadRow,ROW()-ROW(TST!HeadRow),0,1,COLUMNS(TST!HeadRow)),1,MATCH(LY$5,TST!HeadRow,0))/LY$8</f>
        <v>0</v>
      </c>
      <c r="LZ10" s="278">
        <f ca="1">$A10 - TST!Tasmania100dt + 1</f>
        <v>-52</v>
      </c>
      <c r="MA10" s="20">
        <f ca="1">INDEX(OFFSET(TST!HeadRow,ROW()-ROW(TST!HeadRow),0,1,COLUMNS(TST!HeadRow)),1,MATCH(MA$5,TST!HeadRow,0))/MA$8</f>
        <v>0</v>
      </c>
      <c r="MB10" s="278">
        <f ca="1">$A10 - TST!SouthAustralia100dt + 1</f>
        <v>-51</v>
      </c>
      <c r="MC10" s="20">
        <f ca="1">INDEX(OFFSET(TST!HeadRow,ROW()-ROW(TST!HeadRow),0,1,COLUMNS(TST!HeadRow)),1,MATCH(MC$5,TST!HeadRow,0))/MC$8</f>
        <v>0</v>
      </c>
      <c r="MD10" s="278">
        <f ca="1">$A10 - TST!AustralianCapitalTerritory100dt + 1</f>
        <v>-57</v>
      </c>
      <c r="ME10" s="20">
        <f ca="1">INDEX(OFFSET(TST!HeadRow,ROW()-ROW(TST!HeadRow),0,1,COLUMNS(TST!HeadRow)),1,MATCH(ME$5,TST!HeadRow,0))/ME$8</f>
        <v>0</v>
      </c>
      <c r="MF10" s="278">
        <f ca="1">$A10 - TST!NorthernTerritory100dt + 1</f>
        <v>-57</v>
      </c>
      <c r="MG10" s="20">
        <f ca="1">INDEX(OFFSET(TST!HeadRow,ROW()-ROW(TST!HeadRow),0,1,COLUMNS(TST!HeadRow)),1,MATCH(MG$5,TST!HeadRow,0))/MG$8</f>
        <v>0</v>
      </c>
      <c r="MH10" s="278">
        <f ca="1">$A10 - TST!WesternAustralia100dt + 1</f>
        <v>-53</v>
      </c>
      <c r="MI10" s="20">
        <f ca="1">INDEX(OFFSET(TST!HeadRow,ROW()-ROW(TST!HeadRow),0,1,COLUMNS(TST!HeadRow)),1,MATCH(MI$5,TST!HeadRow,0))/MI$8</f>
        <v>0</v>
      </c>
      <c r="MJ10" s="278">
        <f ca="1">$A10 - TST!Germany100dt + 1</f>
        <v>-45</v>
      </c>
      <c r="MK10" s="20">
        <f ca="1">INDEX(OFFSET(TST!HeadRow,ROW()-ROW(TST!HeadRow),0,1,COLUMNS(TST!HeadRow)),1,MATCH(MK$5,TST!HeadRow,0))/MK$8</f>
        <v>0</v>
      </c>
      <c r="ML10" s="278">
        <f ca="1">$A10 - TST!Denmark100dt + 1</f>
        <v>-46</v>
      </c>
      <c r="MM10" s="20">
        <f ca="1">INDEX(OFFSET(TST!HeadRow,ROW()-ROW(TST!HeadRow),0,1,COLUMNS(TST!HeadRow)),1,MATCH(MM$5,TST!HeadRow,0))/MM$8</f>
        <v>0</v>
      </c>
      <c r="MN10" s="278">
        <f ca="1">$A10 - TST!SouthAfrica100dt + 1</f>
        <v>-62</v>
      </c>
      <c r="MO10" s="20">
        <f ca="1">INDEX(OFFSET(TST!HeadRow,ROW()-ROW(TST!HeadRow),0,1,COLUMNS(TST!HeadRow)),1,MATCH(MO$5,TST!HeadRow,0))/MO$8</f>
        <v>0</v>
      </c>
      <c r="MP10" s="278">
        <f ca="1">$A10 - TST!UnitedKingdom100dt + 1</f>
        <v>-50</v>
      </c>
      <c r="MQ10" s="20">
        <f ca="1">INDEX(OFFSET(TST!HeadRow,ROW()-ROW(TST!HeadRow),0,1,COLUMNS(TST!HeadRow)),1,MATCH(MQ$5,TST!HeadRow,0))/MQ$8</f>
        <v>0</v>
      </c>
      <c r="MR10" s="278">
        <f ca="1">$A10 - TST!Ireland100dt + 1</f>
        <v>-50</v>
      </c>
      <c r="MS10" s="20">
        <f ca="1">INDEX(OFFSET(TST!HeadRow,ROW()-ROW(TST!HeadRow),0,1,COLUMNS(TST!HeadRow)),1,MATCH(MS$5,TST!HeadRow,0))/MS$8</f>
        <v>0</v>
      </c>
      <c r="MT10" s="278">
        <f ca="1">$A10 - TST!Italy100dt + 1</f>
        <v>-35</v>
      </c>
      <c r="MU10" s="20">
        <f ca="1">INDEX(OFFSET(TST!HeadRow,ROW()-ROW(TST!HeadRow),0,1,COLUMNS(TST!HeadRow)),1,MATCH(MU$5,TST!HeadRow,0))/MU$8</f>
        <v>0</v>
      </c>
      <c r="MV10" s="278">
        <f ca="1">$A10 - TST!US100dt + 1</f>
        <v>-52</v>
      </c>
      <c r="MW10" s="20">
        <f ca="1">INDEX(OFFSET(TST!HeadRow,ROW()-ROW(TST!HeadRow),0,1,COLUMNS(TST!HeadRow)),1,MATCH(MW$5,TST!HeadRow,0))/MW$8</f>
        <v>3.037411069235945E-2</v>
      </c>
      <c r="MX10" s="278">
        <f ca="1">$A10 - TST!AustraliaSum100dt + 1</f>
        <v>-52</v>
      </c>
      <c r="MY10" s="366">
        <f t="shared" ref="MY10:MY41" si="7">SUM($J10:$Q10)/$MY$8</f>
        <v>0</v>
      </c>
      <c r="MZ10" s="278">
        <f ca="1">$A10 - TST!NewSouthWales100dt + 1</f>
        <v>-50</v>
      </c>
      <c r="NA10" s="366">
        <f ca="1">INDEX(OFFSET(TST!HeadRow,ROW()-ROW(TST!HeadRow),0,1,COLUMNS(TST!HeadRow)),1,MATCH(NA$5,TST!HeadRow,0))/NA$8</f>
        <v>0</v>
      </c>
      <c r="NB10" s="278">
        <f ca="1">$A10 - TST!Taiwan100dt + 1</f>
        <v>-63</v>
      </c>
      <c r="NC10" s="366">
        <f ca="1">INDEX(OFFSET(TST!HeadRow,ROW()-ROW(TST!HeadRow),0,1,COLUMNS(TST!HeadRow)),1,MATCH(NC$5,TST!HeadRow,0))/NC$8</f>
        <v>0.4200395492437986</v>
      </c>
      <c r="ND10" s="20">
        <f ca="1">$A10 - TST!Hubei100dt + 1</f>
        <v>-2</v>
      </c>
      <c r="NE10" s="20">
        <f ca="1">INDEX(OFFSET(TST!HeadRow,ROW()-ROW(TST!HeadRow),0,1,COLUMNS(TST!HeadRow)),1,MATCH(NE$5,TST!HeadRow,0))/NE$8</f>
        <v>75.897435897435898</v>
      </c>
      <c r="NF10" s="20">
        <f ca="1">$A10 - TST!HongKong100dt + 1</f>
        <v>-32</v>
      </c>
      <c r="NG10" s="20">
        <f ca="1">INDEX(OFFSET(TST!HeadRow,ROW()-ROW(TST!HeadRow),0,1,COLUMNS(TST!HeadRow)),1,MATCH(NG$5,TST!HeadRow,0))/NG$8</f>
        <v>0</v>
      </c>
    </row>
    <row r="11" spans="1:375" x14ac:dyDescent="0.25">
      <c r="A11" s="243">
        <v>43853</v>
      </c>
      <c r="B11" s="23">
        <v>0</v>
      </c>
      <c r="C11" s="23">
        <v>0</v>
      </c>
      <c r="D11" s="23">
        <v>0</v>
      </c>
      <c r="E11" s="23">
        <v>0</v>
      </c>
      <c r="F11" s="23">
        <v>0</v>
      </c>
      <c r="G11" s="23">
        <v>0</v>
      </c>
      <c r="H11" s="23">
        <v>0</v>
      </c>
      <c r="I11" s="23">
        <v>0</v>
      </c>
      <c r="J11" s="23">
        <v>0</v>
      </c>
      <c r="K11" s="293">
        <v>0</v>
      </c>
      <c r="L11" s="23">
        <v>0</v>
      </c>
      <c r="M11" s="290">
        <v>0</v>
      </c>
      <c r="N11" s="23">
        <v>0</v>
      </c>
      <c r="O11" s="384">
        <v>0</v>
      </c>
      <c r="P11" s="287">
        <v>0</v>
      </c>
      <c r="Q11" s="23">
        <v>0</v>
      </c>
      <c r="R11" s="23">
        <v>0</v>
      </c>
      <c r="S11" s="23">
        <v>0</v>
      </c>
      <c r="T11" s="23">
        <v>0</v>
      </c>
      <c r="U11" s="23">
        <v>0</v>
      </c>
      <c r="V11" s="23">
        <v>0</v>
      </c>
      <c r="W11" s="23">
        <v>0</v>
      </c>
      <c r="X11" s="23">
        <v>0</v>
      </c>
      <c r="Y11" s="23">
        <v>0</v>
      </c>
      <c r="Z11" s="23">
        <v>0</v>
      </c>
      <c r="AA11" s="23">
        <v>0</v>
      </c>
      <c r="AB11" s="23">
        <v>0</v>
      </c>
      <c r="AC11" s="23">
        <v>0</v>
      </c>
      <c r="AD11" s="23">
        <v>0</v>
      </c>
      <c r="AE11" s="23">
        <v>0</v>
      </c>
      <c r="AF11" s="23">
        <v>0</v>
      </c>
      <c r="AG11" s="23">
        <v>0</v>
      </c>
      <c r="AH11" s="23">
        <v>0</v>
      </c>
      <c r="AI11" s="23">
        <v>0</v>
      </c>
      <c r="AJ11" s="23">
        <v>0</v>
      </c>
      <c r="AK11" s="23">
        <v>0</v>
      </c>
      <c r="AL11" s="23">
        <v>0</v>
      </c>
      <c r="AM11" s="23">
        <v>0</v>
      </c>
      <c r="AN11" s="23">
        <v>0</v>
      </c>
      <c r="AO11" s="23">
        <v>0</v>
      </c>
      <c r="AP11" s="23">
        <v>0</v>
      </c>
      <c r="AQ11" s="23">
        <v>0</v>
      </c>
      <c r="AR11" s="23">
        <v>0</v>
      </c>
      <c r="AS11" s="23">
        <v>0</v>
      </c>
      <c r="AT11" s="23">
        <v>0</v>
      </c>
      <c r="AU11" s="23">
        <v>0</v>
      </c>
      <c r="AV11" s="23">
        <v>0</v>
      </c>
      <c r="AW11" s="23">
        <v>0</v>
      </c>
      <c r="AX11" s="23">
        <v>0</v>
      </c>
      <c r="AY11" s="23">
        <v>9</v>
      </c>
      <c r="AZ11" s="23">
        <v>22</v>
      </c>
      <c r="BA11" s="23">
        <v>9</v>
      </c>
      <c r="BB11" s="23">
        <v>5</v>
      </c>
      <c r="BC11" s="23">
        <v>2</v>
      </c>
      <c r="BD11" s="23">
        <v>32</v>
      </c>
      <c r="BE11" s="23">
        <v>5</v>
      </c>
      <c r="BF11" s="23">
        <v>3</v>
      </c>
      <c r="BG11" s="23">
        <v>5</v>
      </c>
      <c r="BH11" s="23">
        <v>1</v>
      </c>
      <c r="BI11" s="23">
        <v>2</v>
      </c>
      <c r="BJ11" s="23">
        <v>5</v>
      </c>
      <c r="BK11" s="23">
        <v>2</v>
      </c>
      <c r="BL11" s="23">
        <v>444</v>
      </c>
      <c r="BM11" s="23">
        <v>9</v>
      </c>
      <c r="BN11" s="23">
        <v>0</v>
      </c>
      <c r="BO11" s="23">
        <v>5</v>
      </c>
      <c r="BP11" s="23">
        <v>7</v>
      </c>
      <c r="BQ11" s="23">
        <v>1</v>
      </c>
      <c r="BR11" s="23">
        <v>3</v>
      </c>
      <c r="BS11" s="23">
        <v>2</v>
      </c>
      <c r="BT11" s="23">
        <v>1</v>
      </c>
      <c r="BU11" s="23">
        <v>0</v>
      </c>
      <c r="BV11" s="23">
        <v>3</v>
      </c>
      <c r="BW11" s="23">
        <v>6</v>
      </c>
      <c r="BX11" s="23">
        <v>16</v>
      </c>
      <c r="BY11" s="23">
        <v>1</v>
      </c>
      <c r="BZ11" s="23">
        <v>8</v>
      </c>
      <c r="CA11" s="23">
        <v>4</v>
      </c>
      <c r="CB11" s="23">
        <v>0</v>
      </c>
      <c r="CC11" s="23">
        <v>2</v>
      </c>
      <c r="CD11" s="23">
        <v>2</v>
      </c>
      <c r="CE11" s="23">
        <v>27</v>
      </c>
      <c r="CF11" s="23">
        <v>0</v>
      </c>
      <c r="CG11" s="23">
        <v>0</v>
      </c>
      <c r="CH11" s="23">
        <v>0</v>
      </c>
      <c r="CI11" s="23">
        <v>0</v>
      </c>
      <c r="CJ11" s="23">
        <v>0</v>
      </c>
      <c r="CK11" s="23">
        <v>0</v>
      </c>
      <c r="CL11" s="23">
        <v>0</v>
      </c>
      <c r="CM11" s="23">
        <v>0</v>
      </c>
      <c r="CN11" s="23">
        <v>0</v>
      </c>
      <c r="CO11" s="23">
        <v>0</v>
      </c>
      <c r="CP11" s="23">
        <v>0</v>
      </c>
      <c r="CQ11" s="23">
        <v>0</v>
      </c>
      <c r="CR11" s="23">
        <v>0</v>
      </c>
      <c r="CS11" s="23">
        <v>0</v>
      </c>
      <c r="CT11" s="23">
        <v>0</v>
      </c>
      <c r="CU11" s="23">
        <v>0</v>
      </c>
      <c r="CV11" s="23">
        <v>0</v>
      </c>
      <c r="CW11" s="23">
        <v>0</v>
      </c>
      <c r="CX11" s="23">
        <v>0</v>
      </c>
      <c r="CY11" s="23">
        <v>0</v>
      </c>
      <c r="CZ11" s="23">
        <v>0</v>
      </c>
      <c r="DA11" s="23">
        <v>0</v>
      </c>
      <c r="DB11" s="23">
        <v>0</v>
      </c>
      <c r="DC11" s="23">
        <v>0</v>
      </c>
      <c r="DD11" s="23">
        <v>0</v>
      </c>
      <c r="DE11" s="23">
        <v>0</v>
      </c>
      <c r="DF11" s="23">
        <v>0</v>
      </c>
      <c r="DG11" s="23">
        <v>0</v>
      </c>
      <c r="DH11" s="23">
        <v>0</v>
      </c>
      <c r="DI11" s="23">
        <v>0</v>
      </c>
      <c r="DJ11" s="23">
        <v>0</v>
      </c>
      <c r="DK11" s="23">
        <v>0</v>
      </c>
      <c r="DL11" s="23">
        <v>0</v>
      </c>
      <c r="DM11" s="23">
        <v>0</v>
      </c>
      <c r="DN11" s="23">
        <v>0</v>
      </c>
      <c r="DO11" s="23">
        <v>0</v>
      </c>
      <c r="DP11" s="23">
        <v>0</v>
      </c>
      <c r="DQ11" s="23">
        <v>0</v>
      </c>
      <c r="DR11" s="23">
        <v>0</v>
      </c>
      <c r="DS11" s="23">
        <v>0</v>
      </c>
      <c r="DT11" s="23">
        <v>0</v>
      </c>
      <c r="DU11" s="23">
        <v>0</v>
      </c>
      <c r="DV11" s="23">
        <v>0</v>
      </c>
      <c r="DW11" s="23">
        <v>0</v>
      </c>
      <c r="DX11" s="23">
        <v>0</v>
      </c>
      <c r="DY11" s="23">
        <v>0</v>
      </c>
      <c r="DZ11" s="23">
        <v>0</v>
      </c>
      <c r="EA11" s="23">
        <v>0</v>
      </c>
      <c r="EB11" s="23">
        <v>0</v>
      </c>
      <c r="EC11" s="23">
        <v>0</v>
      </c>
      <c r="ED11" s="23">
        <v>0</v>
      </c>
      <c r="EE11" s="23">
        <v>0</v>
      </c>
      <c r="EF11" s="23">
        <v>0</v>
      </c>
      <c r="EG11" s="23">
        <v>0</v>
      </c>
      <c r="EH11" s="23">
        <v>0</v>
      </c>
      <c r="EI11" s="23">
        <v>0</v>
      </c>
      <c r="EJ11" s="23">
        <v>0</v>
      </c>
      <c r="EK11" s="23">
        <v>2</v>
      </c>
      <c r="EL11" s="23">
        <v>0</v>
      </c>
      <c r="EM11" s="23">
        <v>0</v>
      </c>
      <c r="EN11" s="23">
        <v>0</v>
      </c>
      <c r="EO11" s="23">
        <v>1</v>
      </c>
      <c r="EP11" s="23">
        <v>0</v>
      </c>
      <c r="EQ11" s="23">
        <v>0</v>
      </c>
      <c r="ER11" s="23">
        <v>0</v>
      </c>
      <c r="ES11" s="23">
        <v>0</v>
      </c>
      <c r="ET11" s="23">
        <v>0</v>
      </c>
      <c r="EU11" s="23">
        <v>0</v>
      </c>
      <c r="EV11" s="23">
        <v>0</v>
      </c>
      <c r="EW11" s="23">
        <v>0</v>
      </c>
      <c r="EX11" s="23">
        <v>0</v>
      </c>
      <c r="EY11" s="23">
        <v>0</v>
      </c>
      <c r="EZ11" s="23">
        <v>0</v>
      </c>
      <c r="FA11" s="23">
        <v>0</v>
      </c>
      <c r="FB11" s="23">
        <v>0</v>
      </c>
      <c r="FC11" s="23">
        <v>0</v>
      </c>
      <c r="FD11" s="23">
        <v>0</v>
      </c>
      <c r="FE11" s="23">
        <v>0</v>
      </c>
      <c r="FF11" s="23">
        <v>0</v>
      </c>
      <c r="FG11" s="23">
        <v>0</v>
      </c>
      <c r="FH11" s="23">
        <v>0</v>
      </c>
      <c r="FI11" s="23">
        <v>0</v>
      </c>
      <c r="FJ11" s="23">
        <v>0</v>
      </c>
      <c r="FK11" s="23">
        <v>0</v>
      </c>
      <c r="FL11" s="23">
        <v>0</v>
      </c>
      <c r="FM11" s="23">
        <v>0</v>
      </c>
      <c r="FN11" s="23">
        <v>0</v>
      </c>
      <c r="FO11" s="23">
        <v>0</v>
      </c>
      <c r="FP11" s="23">
        <v>0</v>
      </c>
      <c r="FQ11" s="23">
        <v>0</v>
      </c>
      <c r="FR11" s="23">
        <v>0</v>
      </c>
      <c r="FS11" s="23">
        <v>0</v>
      </c>
      <c r="FT11" s="23">
        <v>0</v>
      </c>
      <c r="FU11" s="23">
        <v>0</v>
      </c>
      <c r="FV11" s="23">
        <v>0</v>
      </c>
      <c r="FW11" s="23">
        <v>0</v>
      </c>
      <c r="FX11" s="23">
        <v>0</v>
      </c>
      <c r="FY11" s="23">
        <v>0</v>
      </c>
      <c r="FZ11" s="23">
        <v>0</v>
      </c>
      <c r="GA11" s="23">
        <v>0</v>
      </c>
      <c r="GB11" s="23">
        <v>0</v>
      </c>
      <c r="GC11" s="23">
        <v>0</v>
      </c>
      <c r="GD11" s="23">
        <v>0</v>
      </c>
      <c r="GE11" s="23">
        <v>0</v>
      </c>
      <c r="GF11" s="23">
        <v>0</v>
      </c>
      <c r="GG11" s="23">
        <v>0</v>
      </c>
      <c r="GH11" s="23">
        <v>0</v>
      </c>
      <c r="GI11" s="23">
        <v>0</v>
      </c>
      <c r="GJ11" s="23">
        <v>0</v>
      </c>
      <c r="GK11" s="23">
        <v>0</v>
      </c>
      <c r="GL11" s="23">
        <v>0</v>
      </c>
      <c r="GM11" s="23">
        <v>0</v>
      </c>
      <c r="GN11" s="23">
        <v>0</v>
      </c>
      <c r="GO11" s="23">
        <v>0</v>
      </c>
      <c r="GP11" s="23">
        <v>1</v>
      </c>
      <c r="GQ11" s="23">
        <v>0</v>
      </c>
      <c r="GR11" s="23">
        <v>0</v>
      </c>
      <c r="GS11" s="23">
        <v>0</v>
      </c>
      <c r="GT11" s="23">
        <v>0</v>
      </c>
      <c r="GU11" s="23">
        <v>0</v>
      </c>
      <c r="GV11" s="23">
        <v>0</v>
      </c>
      <c r="GW11" s="23">
        <v>0</v>
      </c>
      <c r="GX11" s="23">
        <v>0</v>
      </c>
      <c r="GY11" s="23">
        <v>0</v>
      </c>
      <c r="GZ11" s="23">
        <v>0</v>
      </c>
      <c r="HA11" s="23">
        <v>1</v>
      </c>
      <c r="HB11" s="23">
        <v>0</v>
      </c>
      <c r="HC11" s="23">
        <v>3</v>
      </c>
      <c r="HD11" s="23">
        <v>0</v>
      </c>
      <c r="HE11" s="23">
        <v>0</v>
      </c>
      <c r="HF11" s="23">
        <v>0</v>
      </c>
      <c r="HG11" s="23">
        <v>0</v>
      </c>
      <c r="HH11" s="23">
        <v>0</v>
      </c>
      <c r="HI11" s="23">
        <v>0</v>
      </c>
      <c r="HJ11" s="23">
        <v>0</v>
      </c>
      <c r="HK11" s="23">
        <v>0</v>
      </c>
      <c r="HL11" s="23">
        <v>0</v>
      </c>
      <c r="HM11" s="23">
        <v>0</v>
      </c>
      <c r="HN11" s="23">
        <v>0</v>
      </c>
      <c r="HO11" s="23">
        <v>0</v>
      </c>
      <c r="HP11" s="23">
        <v>0</v>
      </c>
      <c r="HQ11" s="23">
        <v>0</v>
      </c>
      <c r="HR11" s="23">
        <v>0</v>
      </c>
      <c r="HS11" s="23">
        <v>1</v>
      </c>
      <c r="HT11" s="23">
        <v>0</v>
      </c>
      <c r="HU11" s="23">
        <v>0</v>
      </c>
      <c r="HV11" s="23">
        <v>2</v>
      </c>
      <c r="HW11" s="23">
        <v>0</v>
      </c>
      <c r="HX11" s="23">
        <v>0</v>
      </c>
      <c r="HY11" s="23">
        <v>0</v>
      </c>
      <c r="HZ11" s="23">
        <v>0</v>
      </c>
      <c r="IA11" s="23">
        <v>0</v>
      </c>
      <c r="IB11" s="23">
        <v>0</v>
      </c>
      <c r="IC11" s="23">
        <v>0</v>
      </c>
      <c r="ID11" s="23">
        <v>0</v>
      </c>
      <c r="IE11" s="23">
        <v>0</v>
      </c>
      <c r="IF11" s="23">
        <v>0</v>
      </c>
      <c r="IG11" s="23">
        <v>0</v>
      </c>
      <c r="IH11" s="23">
        <v>0</v>
      </c>
      <c r="II11" s="23">
        <v>0</v>
      </c>
      <c r="IJ11" s="23">
        <v>0</v>
      </c>
      <c r="IK11" s="23">
        <v>0</v>
      </c>
      <c r="IL11" s="23">
        <v>0</v>
      </c>
      <c r="IM11" s="23">
        <v>0</v>
      </c>
      <c r="IN11" s="23">
        <v>0</v>
      </c>
      <c r="IO11" s="23">
        <v>0</v>
      </c>
      <c r="IP11" s="23">
        <v>0</v>
      </c>
      <c r="IQ11" s="23">
        <v>0</v>
      </c>
      <c r="IR11" s="23">
        <v>0</v>
      </c>
      <c r="IS11" s="23">
        <v>0</v>
      </c>
      <c r="IT11" s="23">
        <v>0</v>
      </c>
      <c r="IU11" s="23">
        <v>0</v>
      </c>
      <c r="IV11" s="23">
        <v>0</v>
      </c>
      <c r="IW11" s="23">
        <v>0</v>
      </c>
      <c r="IX11" s="23">
        <v>0</v>
      </c>
      <c r="IY11" s="23">
        <v>0</v>
      </c>
      <c r="IZ11" s="23">
        <v>0</v>
      </c>
      <c r="JA11" s="23">
        <v>0</v>
      </c>
      <c r="JB11" s="23">
        <v>0</v>
      </c>
      <c r="JC11" s="23">
        <v>0</v>
      </c>
      <c r="JD11" s="23">
        <v>0</v>
      </c>
      <c r="JE11" s="23">
        <v>0</v>
      </c>
      <c r="JF11" s="23">
        <v>0</v>
      </c>
      <c r="JG11" s="23">
        <v>0</v>
      </c>
      <c r="JH11" s="23">
        <v>0</v>
      </c>
      <c r="JI11" s="23">
        <v>0</v>
      </c>
      <c r="JJ11" s="23">
        <v>0</v>
      </c>
      <c r="JK11" s="23">
        <v>0</v>
      </c>
      <c r="JL11" s="23">
        <v>0</v>
      </c>
      <c r="JM11" s="23">
        <v>0</v>
      </c>
      <c r="JN11" s="23">
        <v>0</v>
      </c>
      <c r="JO11" s="23">
        <v>0</v>
      </c>
      <c r="JP11" s="23">
        <v>0</v>
      </c>
      <c r="JQ11" s="23">
        <v>0</v>
      </c>
      <c r="JR11" s="23">
        <v>0</v>
      </c>
      <c r="JS11" s="23">
        <v>0</v>
      </c>
      <c r="JT11" s="23">
        <v>0</v>
      </c>
      <c r="JU11" s="23">
        <v>0</v>
      </c>
      <c r="JV11" s="23">
        <v>0</v>
      </c>
      <c r="JW11" s="23">
        <v>0</v>
      </c>
      <c r="JX11" s="23">
        <v>0</v>
      </c>
      <c r="JY11" s="23">
        <v>0</v>
      </c>
      <c r="JZ11" s="23">
        <v>0</v>
      </c>
      <c r="KA11" s="23">
        <v>0</v>
      </c>
      <c r="KB11" s="23">
        <v>0</v>
      </c>
      <c r="KC11" s="23">
        <v>0</v>
      </c>
      <c r="KD11" s="23">
        <v>0</v>
      </c>
      <c r="KE11" s="23">
        <v>0</v>
      </c>
      <c r="KF11" s="23">
        <v>0</v>
      </c>
      <c r="KG11" s="23">
        <v>0</v>
      </c>
      <c r="KH11" s="23">
        <v>0</v>
      </c>
      <c r="KI11" s="23">
        <v>0</v>
      </c>
      <c r="KJ11" s="23">
        <v>0</v>
      </c>
      <c r="KK11" s="23">
        <v>0</v>
      </c>
      <c r="KL11" s="23">
        <v>0</v>
      </c>
      <c r="KM11" s="23">
        <v>0</v>
      </c>
      <c r="KN11" s="23">
        <v>0</v>
      </c>
      <c r="KO11" s="23">
        <v>0</v>
      </c>
      <c r="KP11" s="23">
        <v>0</v>
      </c>
      <c r="KQ11" s="23">
        <v>0</v>
      </c>
      <c r="KR11" s="23">
        <v>0</v>
      </c>
      <c r="KS11" s="23">
        <v>0</v>
      </c>
      <c r="KT11" s="23">
        <v>0</v>
      </c>
      <c r="KU11" s="23">
        <v>0</v>
      </c>
      <c r="KV11" s="23">
        <v>0</v>
      </c>
      <c r="KW11" s="23">
        <v>0</v>
      </c>
      <c r="KX11" s="23">
        <v>0</v>
      </c>
      <c r="KY11" s="23">
        <v>0</v>
      </c>
      <c r="KZ11" s="23">
        <v>0</v>
      </c>
      <c r="LA11" s="23">
        <v>0</v>
      </c>
      <c r="LB11" s="23">
        <v>0</v>
      </c>
      <c r="LC11" s="23">
        <v>0</v>
      </c>
      <c r="LD11" s="23">
        <v>0</v>
      </c>
      <c r="LE11" s="23">
        <v>0</v>
      </c>
      <c r="LF11" s="23">
        <v>0</v>
      </c>
      <c r="LG11" s="23">
        <v>0</v>
      </c>
      <c r="LH11" s="23">
        <v>1</v>
      </c>
      <c r="LI11" s="23">
        <v>0</v>
      </c>
      <c r="LJ11" s="23">
        <v>0</v>
      </c>
      <c r="LK11" s="23">
        <v>0</v>
      </c>
      <c r="LL11" s="23">
        <v>0</v>
      </c>
      <c r="LM11" s="23">
        <v>0</v>
      </c>
      <c r="LN11" s="278">
        <f ca="1">$A11 - TST!Sweden100dt + 1</f>
        <v>-43</v>
      </c>
      <c r="LO11" s="20">
        <f ca="1">INDEX(OFFSET(TST!HeadRow,ROW()-ROW(TST!HeadRow),0,1,COLUMNS(TST!HeadRow)),1,MATCH(LO$5,TST!HeadRow,0))/LO$8</f>
        <v>0</v>
      </c>
      <c r="LP11" s="278">
        <f ca="1">$A11 - TST!Spain100dt + 1</f>
        <v>-43</v>
      </c>
      <c r="LQ11" s="20">
        <f ca="1">INDEX(OFFSET(TST!HeadRow,ROW()-ROW(TST!HeadRow),0,1,COLUMNS(TST!HeadRow)),1,MATCH(LQ$5,TST!HeadRow,0))/LQ$8</f>
        <v>0</v>
      </c>
      <c r="LR11" s="285">
        <f ca="1">$A11 - TST!Victoria100dt + 1</f>
        <v>-52</v>
      </c>
      <c r="LS11" s="20">
        <f ca="1">INDEX(OFFSET(TST!HeadRow,ROW()-ROW(TST!HeadRow),0,1,COLUMNS(TST!HeadRow)),1,MATCH(LS$5,TST!HeadRow,0))/LS$8</f>
        <v>0</v>
      </c>
      <c r="LT11" s="278">
        <f ca="1">$A11 - TST!Iran100dt + 1</f>
        <v>-37</v>
      </c>
      <c r="LU11" s="20">
        <f ca="1">INDEX(OFFSET(TST!HeadRow,ROW()-ROW(TST!HeadRow),0,1,COLUMNS(TST!HeadRow)),1,MATCH(LU$5,TST!HeadRow,0))/LU$8</f>
        <v>0</v>
      </c>
      <c r="LV11" s="278">
        <f ca="1">$A11 - TST!Japan100dt + 1</f>
        <v>-61</v>
      </c>
      <c r="LW11" s="20">
        <f ca="1">INDEX(OFFSET(TST!HeadRow,ROW()-ROW(TST!HeadRow),0,1,COLUMNS(TST!HeadRow)),1,MATCH(LW$5,TST!HeadRow,0))/LW$8</f>
        <v>0.15803505158971293</v>
      </c>
      <c r="LX11" s="278">
        <f ca="1">$A11 - TST!Queensland100dt + 1</f>
        <v>-51</v>
      </c>
      <c r="LY11" s="20">
        <f ca="1">INDEX(OFFSET(TST!HeadRow,ROW()-ROW(TST!HeadRow),0,1,COLUMNS(TST!HeadRow)),1,MATCH(LY$5,TST!HeadRow,0))/LY$8</f>
        <v>0</v>
      </c>
      <c r="LZ11" s="278">
        <f ca="1">$A11 - TST!Tasmania100dt + 1</f>
        <v>-51</v>
      </c>
      <c r="MA11" s="20">
        <f ca="1">INDEX(OFFSET(TST!HeadRow,ROW()-ROW(TST!HeadRow),0,1,COLUMNS(TST!HeadRow)),1,MATCH(MA$5,TST!HeadRow,0))/MA$8</f>
        <v>0</v>
      </c>
      <c r="MB11" s="278">
        <f ca="1">$A11 - TST!SouthAustralia100dt + 1</f>
        <v>-50</v>
      </c>
      <c r="MC11" s="20">
        <f ca="1">INDEX(OFFSET(TST!HeadRow,ROW()-ROW(TST!HeadRow),0,1,COLUMNS(TST!HeadRow)),1,MATCH(MC$5,TST!HeadRow,0))/MC$8</f>
        <v>0</v>
      </c>
      <c r="MD11" s="278">
        <f ca="1">$A11 - TST!AustralianCapitalTerritory100dt + 1</f>
        <v>-56</v>
      </c>
      <c r="ME11" s="20">
        <f ca="1">INDEX(OFFSET(TST!HeadRow,ROW()-ROW(TST!HeadRow),0,1,COLUMNS(TST!HeadRow)),1,MATCH(ME$5,TST!HeadRow,0))/ME$8</f>
        <v>0</v>
      </c>
      <c r="MF11" s="278">
        <f ca="1">$A11 - TST!NorthernTerritory100dt + 1</f>
        <v>-56</v>
      </c>
      <c r="MG11" s="20">
        <f ca="1">INDEX(OFFSET(TST!HeadRow,ROW()-ROW(TST!HeadRow),0,1,COLUMNS(TST!HeadRow)),1,MATCH(MG$5,TST!HeadRow,0))/MG$8</f>
        <v>0</v>
      </c>
      <c r="MH11" s="278">
        <f ca="1">$A11 - TST!WesternAustralia100dt + 1</f>
        <v>-52</v>
      </c>
      <c r="MI11" s="20">
        <f ca="1">INDEX(OFFSET(TST!HeadRow,ROW()-ROW(TST!HeadRow),0,1,COLUMNS(TST!HeadRow)),1,MATCH(MI$5,TST!HeadRow,0))/MI$8</f>
        <v>0</v>
      </c>
      <c r="MJ11" s="278">
        <f ca="1">$A11 - TST!Germany100dt + 1</f>
        <v>-44</v>
      </c>
      <c r="MK11" s="20">
        <f ca="1">INDEX(OFFSET(TST!HeadRow,ROW()-ROW(TST!HeadRow),0,1,COLUMNS(TST!HeadRow)),1,MATCH(MK$5,TST!HeadRow,0))/MK$8</f>
        <v>0</v>
      </c>
      <c r="ML11" s="278">
        <f ca="1">$A11 - TST!Denmark100dt + 1</f>
        <v>-45</v>
      </c>
      <c r="MM11" s="20">
        <f ca="1">INDEX(OFFSET(TST!HeadRow,ROW()-ROW(TST!HeadRow),0,1,COLUMNS(TST!HeadRow)),1,MATCH(MM$5,TST!HeadRow,0))/MM$8</f>
        <v>0</v>
      </c>
      <c r="MN11" s="278">
        <f ca="1">$A11 - TST!SouthAfrica100dt + 1</f>
        <v>-61</v>
      </c>
      <c r="MO11" s="20">
        <f ca="1">INDEX(OFFSET(TST!HeadRow,ROW()-ROW(TST!HeadRow),0,1,COLUMNS(TST!HeadRow)),1,MATCH(MO$5,TST!HeadRow,0))/MO$8</f>
        <v>0</v>
      </c>
      <c r="MP11" s="278">
        <f ca="1">$A11 - TST!UnitedKingdom100dt + 1</f>
        <v>-49</v>
      </c>
      <c r="MQ11" s="20">
        <f ca="1">INDEX(OFFSET(TST!HeadRow,ROW()-ROW(TST!HeadRow),0,1,COLUMNS(TST!HeadRow)),1,MATCH(MQ$5,TST!HeadRow,0))/MQ$8</f>
        <v>0</v>
      </c>
      <c r="MR11" s="278">
        <f ca="1">$A11 - TST!Ireland100dt + 1</f>
        <v>-49</v>
      </c>
      <c r="MS11" s="20">
        <f ca="1">INDEX(OFFSET(TST!HeadRow,ROW()-ROW(TST!HeadRow),0,1,COLUMNS(TST!HeadRow)),1,MATCH(MS$5,TST!HeadRow,0))/MS$8</f>
        <v>0</v>
      </c>
      <c r="MT11" s="278">
        <f ca="1">$A11 - TST!Italy100dt + 1</f>
        <v>-34</v>
      </c>
      <c r="MU11" s="20">
        <f ca="1">INDEX(OFFSET(TST!HeadRow,ROW()-ROW(TST!HeadRow),0,1,COLUMNS(TST!HeadRow)),1,MATCH(MU$5,TST!HeadRow,0))/MU$8</f>
        <v>0</v>
      </c>
      <c r="MV11" s="278">
        <f ca="1">$A11 - TST!US100dt + 1</f>
        <v>-51</v>
      </c>
      <c r="MW11" s="20">
        <f ca="1">INDEX(OFFSET(TST!HeadRow,ROW()-ROW(TST!HeadRow),0,1,COLUMNS(TST!HeadRow)),1,MATCH(MW$5,TST!HeadRow,0))/MW$8</f>
        <v>3.037411069235945E-2</v>
      </c>
      <c r="MX11" s="278">
        <f ca="1">$A11 - TST!AustraliaSum100dt + 1</f>
        <v>-51</v>
      </c>
      <c r="MY11" s="366">
        <f t="shared" si="7"/>
        <v>0</v>
      </c>
      <c r="MZ11" s="278">
        <f ca="1">$A11 - TST!NewSouthWales100dt + 1</f>
        <v>-49</v>
      </c>
      <c r="NA11" s="366">
        <f ca="1">INDEX(OFFSET(TST!HeadRow,ROW()-ROW(TST!HeadRow),0,1,COLUMNS(TST!HeadRow)),1,MATCH(NA$5,TST!HeadRow,0))/NA$8</f>
        <v>0</v>
      </c>
      <c r="NB11" s="278">
        <f ca="1">$A11 - TST!Taiwan100dt + 1</f>
        <v>-62</v>
      </c>
      <c r="NC11" s="366">
        <f ca="1">INDEX(OFFSET(TST!HeadRow,ROW()-ROW(TST!HeadRow),0,1,COLUMNS(TST!HeadRow)),1,MATCH(NC$5,TST!HeadRow,0))/NC$8</f>
        <v>0.4200395492437986</v>
      </c>
      <c r="ND11" s="20">
        <f ca="1">$A11 - TST!Hubei100dt + 1</f>
        <v>-1</v>
      </c>
      <c r="NE11" s="20">
        <f ca="1">INDEX(OFFSET(TST!HeadRow,ROW()-ROW(TST!HeadRow),0,1,COLUMNS(TST!HeadRow)),1,MATCH(NE$5,TST!HeadRow,0))/NE$8</f>
        <v>75.897435897435898</v>
      </c>
      <c r="NF11" s="20">
        <f ca="1">$A11 - TST!HongKong100dt + 1</f>
        <v>-31</v>
      </c>
      <c r="NG11" s="20">
        <f ca="1">INDEX(OFFSET(TST!HeadRow,ROW()-ROW(TST!HeadRow),0,1,COLUMNS(TST!HeadRow)),1,MATCH(NG$5,TST!HeadRow,0))/NG$8</f>
        <v>2.6842034626224667</v>
      </c>
    </row>
    <row r="12" spans="1:375" x14ac:dyDescent="0.25">
      <c r="A12" s="243">
        <v>43854</v>
      </c>
      <c r="B12" s="23">
        <v>0</v>
      </c>
      <c r="C12" s="23">
        <v>0</v>
      </c>
      <c r="D12" s="23">
        <v>0</v>
      </c>
      <c r="E12" s="23">
        <v>0</v>
      </c>
      <c r="F12" s="23">
        <v>0</v>
      </c>
      <c r="G12" s="23">
        <v>0</v>
      </c>
      <c r="H12" s="23">
        <v>0</v>
      </c>
      <c r="I12" s="23">
        <v>0</v>
      </c>
      <c r="J12" s="23">
        <v>0</v>
      </c>
      <c r="K12" s="293">
        <v>0</v>
      </c>
      <c r="L12" s="23">
        <v>0</v>
      </c>
      <c r="M12" s="290">
        <v>0</v>
      </c>
      <c r="N12" s="23">
        <v>0</v>
      </c>
      <c r="O12" s="384">
        <v>0</v>
      </c>
      <c r="P12" s="287">
        <v>0</v>
      </c>
      <c r="Q12" s="23">
        <v>0</v>
      </c>
      <c r="R12" s="23">
        <v>0</v>
      </c>
      <c r="S12" s="23">
        <v>0</v>
      </c>
      <c r="T12" s="23">
        <v>0</v>
      </c>
      <c r="U12" s="23">
        <v>0</v>
      </c>
      <c r="V12" s="23">
        <v>0</v>
      </c>
      <c r="W12" s="23">
        <v>0</v>
      </c>
      <c r="X12" s="23">
        <v>0</v>
      </c>
      <c r="Y12" s="23">
        <v>0</v>
      </c>
      <c r="Z12" s="23">
        <v>0</v>
      </c>
      <c r="AA12" s="23">
        <v>0</v>
      </c>
      <c r="AB12" s="23">
        <v>0</v>
      </c>
      <c r="AC12" s="23">
        <v>0</v>
      </c>
      <c r="AD12" s="23">
        <v>0</v>
      </c>
      <c r="AE12" s="23">
        <v>0</v>
      </c>
      <c r="AF12" s="23">
        <v>0</v>
      </c>
      <c r="AG12" s="23">
        <v>0</v>
      </c>
      <c r="AH12" s="23">
        <v>0</v>
      </c>
      <c r="AI12" s="23">
        <v>0</v>
      </c>
      <c r="AJ12" s="23">
        <v>0</v>
      </c>
      <c r="AK12" s="23">
        <v>0</v>
      </c>
      <c r="AL12" s="23">
        <v>0</v>
      </c>
      <c r="AM12" s="23">
        <v>0</v>
      </c>
      <c r="AN12" s="23">
        <v>0</v>
      </c>
      <c r="AO12" s="23">
        <v>0</v>
      </c>
      <c r="AP12" s="23">
        <v>0</v>
      </c>
      <c r="AQ12" s="23">
        <v>0</v>
      </c>
      <c r="AR12" s="23">
        <v>0</v>
      </c>
      <c r="AS12" s="23">
        <v>0</v>
      </c>
      <c r="AT12" s="23">
        <v>0</v>
      </c>
      <c r="AU12" s="23">
        <v>0</v>
      </c>
      <c r="AV12" s="23">
        <v>0</v>
      </c>
      <c r="AW12" s="23">
        <v>0</v>
      </c>
      <c r="AX12" s="23">
        <v>0</v>
      </c>
      <c r="AY12" s="23">
        <v>15</v>
      </c>
      <c r="AZ12" s="23">
        <v>36</v>
      </c>
      <c r="BA12" s="23">
        <v>27</v>
      </c>
      <c r="BB12" s="23">
        <v>10</v>
      </c>
      <c r="BC12" s="23">
        <v>2</v>
      </c>
      <c r="BD12" s="23">
        <v>53</v>
      </c>
      <c r="BE12" s="23">
        <v>23</v>
      </c>
      <c r="BF12" s="23">
        <v>3</v>
      </c>
      <c r="BG12" s="23">
        <v>8</v>
      </c>
      <c r="BH12" s="23">
        <v>2</v>
      </c>
      <c r="BI12" s="23">
        <v>4</v>
      </c>
      <c r="BJ12" s="23">
        <v>9</v>
      </c>
      <c r="BK12" s="23">
        <v>2</v>
      </c>
      <c r="BL12" s="23">
        <v>549</v>
      </c>
      <c r="BM12" s="23">
        <v>24</v>
      </c>
      <c r="BN12" s="23">
        <v>1</v>
      </c>
      <c r="BO12" s="23">
        <v>9</v>
      </c>
      <c r="BP12" s="23">
        <v>18</v>
      </c>
      <c r="BQ12" s="23">
        <v>3</v>
      </c>
      <c r="BR12" s="23">
        <v>4</v>
      </c>
      <c r="BS12" s="23">
        <v>2</v>
      </c>
      <c r="BT12" s="23">
        <v>2</v>
      </c>
      <c r="BU12" s="23">
        <v>0</v>
      </c>
      <c r="BV12" s="23">
        <v>5</v>
      </c>
      <c r="BW12" s="23">
        <v>15</v>
      </c>
      <c r="BX12" s="23">
        <v>20</v>
      </c>
      <c r="BY12" s="23">
        <v>1</v>
      </c>
      <c r="BZ12" s="23">
        <v>15</v>
      </c>
      <c r="CA12" s="23">
        <v>8</v>
      </c>
      <c r="CB12" s="23">
        <v>0</v>
      </c>
      <c r="CC12" s="23">
        <v>2</v>
      </c>
      <c r="CD12" s="23">
        <v>5</v>
      </c>
      <c r="CE12" s="23">
        <v>43</v>
      </c>
      <c r="CF12" s="23">
        <v>0</v>
      </c>
      <c r="CG12" s="23">
        <v>0</v>
      </c>
      <c r="CH12" s="23">
        <v>0</v>
      </c>
      <c r="CI12" s="23">
        <v>0</v>
      </c>
      <c r="CJ12" s="23">
        <v>0</v>
      </c>
      <c r="CK12" s="23">
        <v>0</v>
      </c>
      <c r="CL12" s="23">
        <v>0</v>
      </c>
      <c r="CM12" s="23">
        <v>0</v>
      </c>
      <c r="CN12" s="23">
        <v>0</v>
      </c>
      <c r="CO12" s="23">
        <v>0</v>
      </c>
      <c r="CP12" s="23">
        <v>0</v>
      </c>
      <c r="CQ12" s="23">
        <v>0</v>
      </c>
      <c r="CR12" s="23">
        <v>0</v>
      </c>
      <c r="CS12" s="23">
        <v>0</v>
      </c>
      <c r="CT12" s="23">
        <v>0</v>
      </c>
      <c r="CU12" s="23">
        <v>0</v>
      </c>
      <c r="CV12" s="23">
        <v>0</v>
      </c>
      <c r="CW12" s="23">
        <v>0</v>
      </c>
      <c r="CX12" s="23">
        <v>0</v>
      </c>
      <c r="CY12" s="23">
        <v>0</v>
      </c>
      <c r="CZ12" s="23">
        <v>0</v>
      </c>
      <c r="DA12" s="23">
        <v>0</v>
      </c>
      <c r="DB12" s="23">
        <v>0</v>
      </c>
      <c r="DC12" s="23">
        <v>0</v>
      </c>
      <c r="DD12" s="23">
        <v>0</v>
      </c>
      <c r="DE12" s="23">
        <v>0</v>
      </c>
      <c r="DF12" s="23">
        <v>0</v>
      </c>
      <c r="DG12" s="23">
        <v>0</v>
      </c>
      <c r="DH12" s="23">
        <v>0</v>
      </c>
      <c r="DI12" s="23">
        <v>0</v>
      </c>
      <c r="DJ12" s="23">
        <v>0</v>
      </c>
      <c r="DK12" s="23">
        <v>0</v>
      </c>
      <c r="DL12" s="23">
        <v>0</v>
      </c>
      <c r="DM12" s="23">
        <v>0</v>
      </c>
      <c r="DN12" s="23">
        <v>2</v>
      </c>
      <c r="DO12" s="23">
        <v>0</v>
      </c>
      <c r="DP12" s="23">
        <v>0</v>
      </c>
      <c r="DQ12" s="23">
        <v>0</v>
      </c>
      <c r="DR12" s="23">
        <v>0</v>
      </c>
      <c r="DS12" s="23">
        <v>0</v>
      </c>
      <c r="DT12" s="23">
        <v>0</v>
      </c>
      <c r="DU12" s="23">
        <v>0</v>
      </c>
      <c r="DV12" s="23">
        <v>0</v>
      </c>
      <c r="DW12" s="23">
        <v>0</v>
      </c>
      <c r="DX12" s="23">
        <v>0</v>
      </c>
      <c r="DY12" s="23">
        <v>0</v>
      </c>
      <c r="DZ12" s="23">
        <v>0</v>
      </c>
      <c r="EA12" s="23">
        <v>0</v>
      </c>
      <c r="EB12" s="23">
        <v>0</v>
      </c>
      <c r="EC12" s="23">
        <v>0</v>
      </c>
      <c r="ED12" s="23">
        <v>0</v>
      </c>
      <c r="EE12" s="23">
        <v>0</v>
      </c>
      <c r="EF12" s="23">
        <v>0</v>
      </c>
      <c r="EG12" s="23">
        <v>0</v>
      </c>
      <c r="EH12" s="23">
        <v>0</v>
      </c>
      <c r="EI12" s="23">
        <v>0</v>
      </c>
      <c r="EJ12" s="23">
        <v>0</v>
      </c>
      <c r="EK12" s="23">
        <v>2</v>
      </c>
      <c r="EL12" s="23">
        <v>0</v>
      </c>
      <c r="EM12" s="23">
        <v>0</v>
      </c>
      <c r="EN12" s="23">
        <v>0</v>
      </c>
      <c r="EO12" s="23">
        <v>2</v>
      </c>
      <c r="EP12" s="23">
        <v>0</v>
      </c>
      <c r="EQ12" s="23">
        <v>0</v>
      </c>
      <c r="ER12" s="23">
        <v>0</v>
      </c>
      <c r="ES12" s="23">
        <v>0</v>
      </c>
      <c r="ET12" s="23">
        <v>0</v>
      </c>
      <c r="EU12" s="23">
        <v>0</v>
      </c>
      <c r="EV12" s="23">
        <v>0</v>
      </c>
      <c r="EW12" s="23">
        <v>0</v>
      </c>
      <c r="EX12" s="23">
        <v>0</v>
      </c>
      <c r="EY12" s="23">
        <v>0</v>
      </c>
      <c r="EZ12" s="23">
        <v>0</v>
      </c>
      <c r="FA12" s="23">
        <v>0</v>
      </c>
      <c r="FB12" s="23">
        <v>0</v>
      </c>
      <c r="FC12" s="23">
        <v>0</v>
      </c>
      <c r="FD12" s="23">
        <v>0</v>
      </c>
      <c r="FE12" s="23">
        <v>0</v>
      </c>
      <c r="FF12" s="23">
        <v>0</v>
      </c>
      <c r="FG12" s="23">
        <v>0</v>
      </c>
      <c r="FH12" s="23">
        <v>0</v>
      </c>
      <c r="FI12" s="23">
        <v>0</v>
      </c>
      <c r="FJ12" s="23">
        <v>0</v>
      </c>
      <c r="FK12" s="23">
        <v>0</v>
      </c>
      <c r="FL12" s="23">
        <v>0</v>
      </c>
      <c r="FM12" s="23">
        <v>0</v>
      </c>
      <c r="FN12" s="23">
        <v>0</v>
      </c>
      <c r="FO12" s="23">
        <v>0</v>
      </c>
      <c r="FP12" s="23">
        <v>0</v>
      </c>
      <c r="FQ12" s="23">
        <v>0</v>
      </c>
      <c r="FR12" s="23">
        <v>0</v>
      </c>
      <c r="FS12" s="23">
        <v>0</v>
      </c>
      <c r="FT12" s="23">
        <v>0</v>
      </c>
      <c r="FU12" s="23">
        <v>0</v>
      </c>
      <c r="FV12" s="23">
        <v>0</v>
      </c>
      <c r="FW12" s="23">
        <v>0</v>
      </c>
      <c r="FX12" s="23">
        <v>0</v>
      </c>
      <c r="FY12" s="23">
        <v>0</v>
      </c>
      <c r="FZ12" s="23">
        <v>0</v>
      </c>
      <c r="GA12" s="23">
        <v>0</v>
      </c>
      <c r="GB12" s="23">
        <v>0</v>
      </c>
      <c r="GC12" s="23">
        <v>0</v>
      </c>
      <c r="GD12" s="23">
        <v>0</v>
      </c>
      <c r="GE12" s="23">
        <v>0</v>
      </c>
      <c r="GF12" s="23">
        <v>0</v>
      </c>
      <c r="GG12" s="23">
        <v>0</v>
      </c>
      <c r="GH12" s="23">
        <v>0</v>
      </c>
      <c r="GI12" s="23">
        <v>0</v>
      </c>
      <c r="GJ12" s="23">
        <v>0</v>
      </c>
      <c r="GK12" s="23">
        <v>0</v>
      </c>
      <c r="GL12" s="23">
        <v>0</v>
      </c>
      <c r="GM12" s="23">
        <v>0</v>
      </c>
      <c r="GN12" s="23">
        <v>0</v>
      </c>
      <c r="GO12" s="23">
        <v>0</v>
      </c>
      <c r="GP12" s="23">
        <v>3</v>
      </c>
      <c r="GQ12" s="23">
        <v>0</v>
      </c>
      <c r="GR12" s="23">
        <v>0</v>
      </c>
      <c r="GS12" s="23">
        <v>0</v>
      </c>
      <c r="GT12" s="23">
        <v>0</v>
      </c>
      <c r="GU12" s="23">
        <v>0</v>
      </c>
      <c r="GV12" s="23">
        <v>0</v>
      </c>
      <c r="GW12" s="23">
        <v>0</v>
      </c>
      <c r="GX12" s="23">
        <v>0</v>
      </c>
      <c r="GY12" s="23">
        <v>0</v>
      </c>
      <c r="GZ12" s="23">
        <v>0</v>
      </c>
      <c r="HA12" s="23">
        <v>3</v>
      </c>
      <c r="HB12" s="23">
        <v>0</v>
      </c>
      <c r="HC12" s="23">
        <v>5</v>
      </c>
      <c r="HD12" s="23">
        <v>0</v>
      </c>
      <c r="HE12" s="23">
        <v>0</v>
      </c>
      <c r="HF12" s="23">
        <v>0</v>
      </c>
      <c r="HG12" s="23">
        <v>0</v>
      </c>
      <c r="HH12" s="23">
        <v>0</v>
      </c>
      <c r="HI12" s="23">
        <v>0</v>
      </c>
      <c r="HJ12" s="23">
        <v>0</v>
      </c>
      <c r="HK12" s="23">
        <v>0</v>
      </c>
      <c r="HL12" s="23">
        <v>0</v>
      </c>
      <c r="HM12" s="23">
        <v>0</v>
      </c>
      <c r="HN12" s="23">
        <v>0</v>
      </c>
      <c r="HO12" s="23">
        <v>0</v>
      </c>
      <c r="HP12" s="23">
        <v>0</v>
      </c>
      <c r="HQ12" s="23">
        <v>0</v>
      </c>
      <c r="HR12" s="23">
        <v>0</v>
      </c>
      <c r="HS12" s="23">
        <v>2</v>
      </c>
      <c r="HT12" s="23">
        <v>0</v>
      </c>
      <c r="HU12" s="23">
        <v>0</v>
      </c>
      <c r="HV12" s="23">
        <v>2</v>
      </c>
      <c r="HW12" s="23">
        <v>0</v>
      </c>
      <c r="HX12" s="23">
        <v>0</v>
      </c>
      <c r="HY12" s="23">
        <v>0</v>
      </c>
      <c r="HZ12" s="23">
        <v>0</v>
      </c>
      <c r="IA12" s="23">
        <v>0</v>
      </c>
      <c r="IB12" s="23">
        <v>0</v>
      </c>
      <c r="IC12" s="23">
        <v>0</v>
      </c>
      <c r="ID12" s="23">
        <v>0</v>
      </c>
      <c r="IE12" s="23">
        <v>0</v>
      </c>
      <c r="IF12" s="23">
        <v>0</v>
      </c>
      <c r="IG12" s="23">
        <v>0</v>
      </c>
      <c r="IH12" s="23">
        <v>0</v>
      </c>
      <c r="II12" s="23">
        <v>0</v>
      </c>
      <c r="IJ12" s="23">
        <v>0</v>
      </c>
      <c r="IK12" s="23">
        <v>0</v>
      </c>
      <c r="IL12" s="23">
        <v>0</v>
      </c>
      <c r="IM12" s="23">
        <v>0</v>
      </c>
      <c r="IN12" s="23">
        <v>0</v>
      </c>
      <c r="IO12" s="23">
        <v>0</v>
      </c>
      <c r="IP12" s="23">
        <v>0</v>
      </c>
      <c r="IQ12" s="23">
        <v>0</v>
      </c>
      <c r="IR12" s="23">
        <v>0</v>
      </c>
      <c r="IS12" s="23">
        <v>0</v>
      </c>
      <c r="IT12" s="23">
        <v>0</v>
      </c>
      <c r="IU12" s="23">
        <v>0</v>
      </c>
      <c r="IV12" s="23">
        <v>0</v>
      </c>
      <c r="IW12" s="23">
        <v>0</v>
      </c>
      <c r="IX12" s="23">
        <v>0</v>
      </c>
      <c r="IY12" s="23">
        <v>0</v>
      </c>
      <c r="IZ12" s="23">
        <v>0</v>
      </c>
      <c r="JA12" s="23">
        <v>0</v>
      </c>
      <c r="JB12" s="23">
        <v>0</v>
      </c>
      <c r="JC12" s="23">
        <v>0</v>
      </c>
      <c r="JD12" s="23">
        <v>0</v>
      </c>
      <c r="JE12" s="23">
        <v>0</v>
      </c>
      <c r="JF12" s="23">
        <v>0</v>
      </c>
      <c r="JG12" s="23">
        <v>0</v>
      </c>
      <c r="JH12" s="23">
        <v>0</v>
      </c>
      <c r="JI12" s="23">
        <v>0</v>
      </c>
      <c r="JJ12" s="23">
        <v>0</v>
      </c>
      <c r="JK12" s="23">
        <v>0</v>
      </c>
      <c r="JL12" s="23">
        <v>0</v>
      </c>
      <c r="JM12" s="23">
        <v>0</v>
      </c>
      <c r="JN12" s="23">
        <v>0</v>
      </c>
      <c r="JO12" s="23">
        <v>0</v>
      </c>
      <c r="JP12" s="23">
        <v>0</v>
      </c>
      <c r="JQ12" s="23">
        <v>0</v>
      </c>
      <c r="JR12" s="23">
        <v>0</v>
      </c>
      <c r="JS12" s="23">
        <v>0</v>
      </c>
      <c r="JT12" s="23">
        <v>0</v>
      </c>
      <c r="JU12" s="23">
        <v>0</v>
      </c>
      <c r="JV12" s="23">
        <v>0</v>
      </c>
      <c r="JW12" s="23">
        <v>0</v>
      </c>
      <c r="JX12" s="23">
        <v>0</v>
      </c>
      <c r="JY12" s="23">
        <v>0</v>
      </c>
      <c r="JZ12" s="23">
        <v>1</v>
      </c>
      <c r="KA12" s="23">
        <v>0</v>
      </c>
      <c r="KB12" s="23">
        <v>0</v>
      </c>
      <c r="KC12" s="23">
        <v>0</v>
      </c>
      <c r="KD12" s="23">
        <v>0</v>
      </c>
      <c r="KE12" s="23">
        <v>0</v>
      </c>
      <c r="KF12" s="23">
        <v>0</v>
      </c>
      <c r="KG12" s="23">
        <v>0</v>
      </c>
      <c r="KH12" s="23">
        <v>0</v>
      </c>
      <c r="KI12" s="23">
        <v>0</v>
      </c>
      <c r="KJ12" s="23">
        <v>0</v>
      </c>
      <c r="KK12" s="23">
        <v>0</v>
      </c>
      <c r="KL12" s="23">
        <v>0</v>
      </c>
      <c r="KM12" s="23">
        <v>0</v>
      </c>
      <c r="KN12" s="23">
        <v>0</v>
      </c>
      <c r="KO12" s="23">
        <v>0</v>
      </c>
      <c r="KP12" s="23">
        <v>0</v>
      </c>
      <c r="KQ12" s="23">
        <v>0</v>
      </c>
      <c r="KR12" s="23">
        <v>0</v>
      </c>
      <c r="KS12" s="23">
        <v>0</v>
      </c>
      <c r="KT12" s="23">
        <v>0</v>
      </c>
      <c r="KU12" s="23">
        <v>0</v>
      </c>
      <c r="KV12" s="23">
        <v>0</v>
      </c>
      <c r="KW12" s="23">
        <v>0</v>
      </c>
      <c r="KX12" s="23">
        <v>0</v>
      </c>
      <c r="KY12" s="23">
        <v>0</v>
      </c>
      <c r="KZ12" s="23">
        <v>0</v>
      </c>
      <c r="LA12" s="23">
        <v>0</v>
      </c>
      <c r="LB12" s="23">
        <v>0</v>
      </c>
      <c r="LC12" s="23">
        <v>0</v>
      </c>
      <c r="LD12" s="23">
        <v>0</v>
      </c>
      <c r="LE12" s="23">
        <v>0</v>
      </c>
      <c r="LF12" s="23">
        <v>0</v>
      </c>
      <c r="LG12" s="23">
        <v>0</v>
      </c>
      <c r="LH12" s="23">
        <v>1</v>
      </c>
      <c r="LI12" s="23">
        <v>0</v>
      </c>
      <c r="LJ12" s="23">
        <v>0</v>
      </c>
      <c r="LK12" s="23">
        <v>0</v>
      </c>
      <c r="LL12" s="23">
        <v>0</v>
      </c>
      <c r="LM12" s="23">
        <v>0</v>
      </c>
      <c r="LN12" s="278">
        <f ca="1">$A12 - TST!Sweden100dt + 1</f>
        <v>-42</v>
      </c>
      <c r="LO12" s="20">
        <f ca="1">INDEX(OFFSET(TST!HeadRow,ROW()-ROW(TST!HeadRow),0,1,COLUMNS(TST!HeadRow)),1,MATCH(LO$5,TST!HeadRow,0))/LO$8</f>
        <v>0</v>
      </c>
      <c r="LP12" s="278">
        <f ca="1">$A12 - TST!Spain100dt + 1</f>
        <v>-42</v>
      </c>
      <c r="LQ12" s="20">
        <f ca="1">INDEX(OFFSET(TST!HeadRow,ROW()-ROW(TST!HeadRow),0,1,COLUMNS(TST!HeadRow)),1,MATCH(LQ$5,TST!HeadRow,0))/LQ$8</f>
        <v>0</v>
      </c>
      <c r="LR12" s="285">
        <f ca="1">$A12 - TST!Victoria100dt + 1</f>
        <v>-51</v>
      </c>
      <c r="LS12" s="20">
        <f ca="1">INDEX(OFFSET(TST!HeadRow,ROW()-ROW(TST!HeadRow),0,1,COLUMNS(TST!HeadRow)),1,MATCH(LS$5,TST!HeadRow,0))/LS$8</f>
        <v>0</v>
      </c>
      <c r="LT12" s="278">
        <f ca="1">$A12 - TST!Iran100dt + 1</f>
        <v>-36</v>
      </c>
      <c r="LU12" s="20">
        <f ca="1">INDEX(OFFSET(TST!HeadRow,ROW()-ROW(TST!HeadRow),0,1,COLUMNS(TST!HeadRow)),1,MATCH(LU$5,TST!HeadRow,0))/LU$8</f>
        <v>0</v>
      </c>
      <c r="LV12" s="278">
        <f ca="1">$A12 - TST!Japan100dt + 1</f>
        <v>-60</v>
      </c>
      <c r="LW12" s="20">
        <f ca="1">INDEX(OFFSET(TST!HeadRow,ROW()-ROW(TST!HeadRow),0,1,COLUMNS(TST!HeadRow)),1,MATCH(LW$5,TST!HeadRow,0))/LW$8</f>
        <v>0.15803505158971293</v>
      </c>
      <c r="LX12" s="278">
        <f ca="1">$A12 - TST!Queensland100dt + 1</f>
        <v>-50</v>
      </c>
      <c r="LY12" s="20">
        <f ca="1">INDEX(OFFSET(TST!HeadRow,ROW()-ROW(TST!HeadRow),0,1,COLUMNS(TST!HeadRow)),1,MATCH(LY$5,TST!HeadRow,0))/LY$8</f>
        <v>0</v>
      </c>
      <c r="LZ12" s="278">
        <f ca="1">$A12 - TST!Tasmania100dt + 1</f>
        <v>-50</v>
      </c>
      <c r="MA12" s="20">
        <f ca="1">INDEX(OFFSET(TST!HeadRow,ROW()-ROW(TST!HeadRow),0,1,COLUMNS(TST!HeadRow)),1,MATCH(MA$5,TST!HeadRow,0))/MA$8</f>
        <v>0</v>
      </c>
      <c r="MB12" s="278">
        <f ca="1">$A12 - TST!SouthAustralia100dt + 1</f>
        <v>-49</v>
      </c>
      <c r="MC12" s="20">
        <f ca="1">INDEX(OFFSET(TST!HeadRow,ROW()-ROW(TST!HeadRow),0,1,COLUMNS(TST!HeadRow)),1,MATCH(MC$5,TST!HeadRow,0))/MC$8</f>
        <v>0</v>
      </c>
      <c r="MD12" s="278">
        <f ca="1">$A12 - TST!AustralianCapitalTerritory100dt + 1</f>
        <v>-55</v>
      </c>
      <c r="ME12" s="20">
        <f ca="1">INDEX(OFFSET(TST!HeadRow,ROW()-ROW(TST!HeadRow),0,1,COLUMNS(TST!HeadRow)),1,MATCH(ME$5,TST!HeadRow,0))/ME$8</f>
        <v>0</v>
      </c>
      <c r="MF12" s="278">
        <f ca="1">$A12 - TST!NorthernTerritory100dt + 1</f>
        <v>-55</v>
      </c>
      <c r="MG12" s="20">
        <f ca="1">INDEX(OFFSET(TST!HeadRow,ROW()-ROW(TST!HeadRow),0,1,COLUMNS(TST!HeadRow)),1,MATCH(MG$5,TST!HeadRow,0))/MG$8</f>
        <v>0</v>
      </c>
      <c r="MH12" s="278">
        <f ca="1">$A12 - TST!WesternAustralia100dt + 1</f>
        <v>-51</v>
      </c>
      <c r="MI12" s="20">
        <f ca="1">INDEX(OFFSET(TST!HeadRow,ROW()-ROW(TST!HeadRow),0,1,COLUMNS(TST!HeadRow)),1,MATCH(MI$5,TST!HeadRow,0))/MI$8</f>
        <v>0</v>
      </c>
      <c r="MJ12" s="278">
        <f ca="1">$A12 - TST!Germany100dt + 1</f>
        <v>-43</v>
      </c>
      <c r="MK12" s="20">
        <f ca="1">INDEX(OFFSET(TST!HeadRow,ROW()-ROW(TST!HeadRow),0,1,COLUMNS(TST!HeadRow)),1,MATCH(MK$5,TST!HeadRow,0))/MK$8</f>
        <v>0</v>
      </c>
      <c r="ML12" s="278">
        <f ca="1">$A12 - TST!Denmark100dt + 1</f>
        <v>-44</v>
      </c>
      <c r="MM12" s="20">
        <f ca="1">INDEX(OFFSET(TST!HeadRow,ROW()-ROW(TST!HeadRow),0,1,COLUMNS(TST!HeadRow)),1,MATCH(MM$5,TST!HeadRow,0))/MM$8</f>
        <v>0</v>
      </c>
      <c r="MN12" s="278">
        <f ca="1">$A12 - TST!SouthAfrica100dt + 1</f>
        <v>-60</v>
      </c>
      <c r="MO12" s="20">
        <f ca="1">INDEX(OFFSET(TST!HeadRow,ROW()-ROW(TST!HeadRow),0,1,COLUMNS(TST!HeadRow)),1,MATCH(MO$5,TST!HeadRow,0))/MO$8</f>
        <v>0</v>
      </c>
      <c r="MP12" s="278">
        <f ca="1">$A12 - TST!UnitedKingdom100dt + 1</f>
        <v>-48</v>
      </c>
      <c r="MQ12" s="20">
        <f ca="1">INDEX(OFFSET(TST!HeadRow,ROW()-ROW(TST!HeadRow),0,1,COLUMNS(TST!HeadRow)),1,MATCH(MQ$5,TST!HeadRow,0))/MQ$8</f>
        <v>0</v>
      </c>
      <c r="MR12" s="278">
        <f ca="1">$A12 - TST!Ireland100dt + 1</f>
        <v>-48</v>
      </c>
      <c r="MS12" s="20">
        <f ca="1">INDEX(OFFSET(TST!HeadRow,ROW()-ROW(TST!HeadRow),0,1,COLUMNS(TST!HeadRow)),1,MATCH(MS$5,TST!HeadRow,0))/MS$8</f>
        <v>0</v>
      </c>
      <c r="MT12" s="278">
        <f ca="1">$A12 - TST!Italy100dt + 1</f>
        <v>-33</v>
      </c>
      <c r="MU12" s="20">
        <f ca="1">INDEX(OFFSET(TST!HeadRow,ROW()-ROW(TST!HeadRow),0,1,COLUMNS(TST!HeadRow)),1,MATCH(MU$5,TST!HeadRow,0))/MU$8</f>
        <v>0</v>
      </c>
      <c r="MV12" s="278">
        <f ca="1">$A12 - TST!US100dt + 1</f>
        <v>-50</v>
      </c>
      <c r="MW12" s="20">
        <f ca="1">INDEX(OFFSET(TST!HeadRow,ROW()-ROW(TST!HeadRow),0,1,COLUMNS(TST!HeadRow)),1,MATCH(MW$5,TST!HeadRow,0))/MW$8</f>
        <v>6.0748221384718901E-2</v>
      </c>
      <c r="MX12" s="278">
        <f ca="1">$A12 - TST!AustraliaSum100dt + 1</f>
        <v>-50</v>
      </c>
      <c r="MY12" s="366">
        <f t="shared" si="7"/>
        <v>0</v>
      </c>
      <c r="MZ12" s="278">
        <f ca="1">$A12 - TST!NewSouthWales100dt + 1</f>
        <v>-48</v>
      </c>
      <c r="NA12" s="366">
        <f ca="1">INDEX(OFFSET(TST!HeadRow,ROW()-ROW(TST!HeadRow),0,1,COLUMNS(TST!HeadRow)),1,MATCH(NA$5,TST!HeadRow,0))/NA$8</f>
        <v>0</v>
      </c>
      <c r="NB12" s="278">
        <f ca="1">$A12 - TST!Taiwan100dt + 1</f>
        <v>-61</v>
      </c>
      <c r="NC12" s="366">
        <f ca="1">INDEX(OFFSET(TST!HeadRow,ROW()-ROW(TST!HeadRow),0,1,COLUMNS(TST!HeadRow)),1,MATCH(NC$5,TST!HeadRow,0))/NC$8</f>
        <v>1.2601186477313957</v>
      </c>
      <c r="ND12" s="20">
        <f ca="1">$A12 - TST!Hubei100dt + 1</f>
        <v>0</v>
      </c>
      <c r="NE12" s="20">
        <f ca="1">INDEX(OFFSET(TST!HeadRow,ROW()-ROW(TST!HeadRow),0,1,COLUMNS(TST!HeadRow)),1,MATCH(NE$5,TST!HeadRow,0))/NE$8</f>
        <v>93.846153846153854</v>
      </c>
      <c r="NF12" s="20">
        <f ca="1">$A12 - TST!HongKong100dt + 1</f>
        <v>-30</v>
      </c>
      <c r="NG12" s="20">
        <f ca="1">INDEX(OFFSET(TST!HeadRow,ROW()-ROW(TST!HeadRow),0,1,COLUMNS(TST!HeadRow)),1,MATCH(NG$5,TST!HeadRow,0))/NG$8</f>
        <v>2.6842034626224667</v>
      </c>
    </row>
    <row r="13" spans="1:375" x14ac:dyDescent="0.25">
      <c r="A13" s="243">
        <v>43855</v>
      </c>
      <c r="B13" s="23">
        <v>0</v>
      </c>
      <c r="C13" s="23">
        <v>0</v>
      </c>
      <c r="D13" s="23">
        <v>0</v>
      </c>
      <c r="E13" s="23">
        <v>0</v>
      </c>
      <c r="F13" s="23">
        <v>0</v>
      </c>
      <c r="G13" s="23">
        <v>0</v>
      </c>
      <c r="H13" s="23">
        <v>0</v>
      </c>
      <c r="I13" s="23">
        <v>0</v>
      </c>
      <c r="J13" s="23">
        <v>0</v>
      </c>
      <c r="K13" s="293">
        <v>0</v>
      </c>
      <c r="L13" s="23">
        <v>0</v>
      </c>
      <c r="M13" s="290">
        <v>0</v>
      </c>
      <c r="N13" s="23">
        <v>0</v>
      </c>
      <c r="O13" s="384">
        <v>0</v>
      </c>
      <c r="P13" s="287">
        <v>0</v>
      </c>
      <c r="Q13" s="23">
        <v>0</v>
      </c>
      <c r="R13" s="23">
        <v>0</v>
      </c>
      <c r="S13" s="23">
        <v>0</v>
      </c>
      <c r="T13" s="23">
        <v>0</v>
      </c>
      <c r="U13" s="23">
        <v>0</v>
      </c>
      <c r="V13" s="23">
        <v>0</v>
      </c>
      <c r="W13" s="23">
        <v>0</v>
      </c>
      <c r="X13" s="23">
        <v>0</v>
      </c>
      <c r="Y13" s="23">
        <v>0</v>
      </c>
      <c r="Z13" s="23">
        <v>0</v>
      </c>
      <c r="AA13" s="23">
        <v>0</v>
      </c>
      <c r="AB13" s="23">
        <v>0</v>
      </c>
      <c r="AC13" s="23">
        <v>0</v>
      </c>
      <c r="AD13" s="23">
        <v>0</v>
      </c>
      <c r="AE13" s="23">
        <v>0</v>
      </c>
      <c r="AF13" s="23">
        <v>0</v>
      </c>
      <c r="AG13" s="23">
        <v>0</v>
      </c>
      <c r="AH13" s="23">
        <v>0</v>
      </c>
      <c r="AI13" s="23">
        <v>0</v>
      </c>
      <c r="AJ13" s="23">
        <v>0</v>
      </c>
      <c r="AK13" s="23">
        <v>0</v>
      </c>
      <c r="AL13" s="23">
        <v>0</v>
      </c>
      <c r="AM13" s="23">
        <v>0</v>
      </c>
      <c r="AN13" s="23">
        <v>0</v>
      </c>
      <c r="AO13" s="23">
        <v>0</v>
      </c>
      <c r="AP13" s="23">
        <v>0</v>
      </c>
      <c r="AQ13" s="23">
        <v>0</v>
      </c>
      <c r="AR13" s="23">
        <v>0</v>
      </c>
      <c r="AS13" s="23">
        <v>0</v>
      </c>
      <c r="AT13" s="23">
        <v>0</v>
      </c>
      <c r="AU13" s="23">
        <v>0</v>
      </c>
      <c r="AV13" s="23">
        <v>0</v>
      </c>
      <c r="AW13" s="23">
        <v>0</v>
      </c>
      <c r="AX13" s="23">
        <v>0</v>
      </c>
      <c r="AY13" s="23">
        <v>39</v>
      </c>
      <c r="AZ13" s="23">
        <v>41</v>
      </c>
      <c r="BA13" s="23">
        <v>57</v>
      </c>
      <c r="BB13" s="23">
        <v>18</v>
      </c>
      <c r="BC13" s="23">
        <v>4</v>
      </c>
      <c r="BD13" s="23">
        <v>78</v>
      </c>
      <c r="BE13" s="23">
        <v>23</v>
      </c>
      <c r="BF13" s="23">
        <v>4</v>
      </c>
      <c r="BG13" s="23">
        <v>19</v>
      </c>
      <c r="BH13" s="23">
        <v>8</v>
      </c>
      <c r="BI13" s="23">
        <v>9</v>
      </c>
      <c r="BJ13" s="23">
        <v>32</v>
      </c>
      <c r="BK13" s="23">
        <v>5</v>
      </c>
      <c r="BL13" s="23">
        <v>761</v>
      </c>
      <c r="BM13" s="23">
        <v>43</v>
      </c>
      <c r="BN13" s="23">
        <v>7</v>
      </c>
      <c r="BO13" s="23">
        <v>18</v>
      </c>
      <c r="BP13" s="23">
        <v>18</v>
      </c>
      <c r="BQ13" s="23">
        <v>4</v>
      </c>
      <c r="BR13" s="23">
        <v>17</v>
      </c>
      <c r="BS13" s="23">
        <v>2</v>
      </c>
      <c r="BT13" s="23">
        <v>3</v>
      </c>
      <c r="BU13" s="23">
        <v>1</v>
      </c>
      <c r="BV13" s="23">
        <v>15</v>
      </c>
      <c r="BW13" s="23">
        <v>27</v>
      </c>
      <c r="BX13" s="23">
        <v>33</v>
      </c>
      <c r="BY13" s="23">
        <v>6</v>
      </c>
      <c r="BZ13" s="23">
        <v>28</v>
      </c>
      <c r="CA13" s="23">
        <v>10</v>
      </c>
      <c r="CB13" s="23">
        <v>0</v>
      </c>
      <c r="CC13" s="23">
        <v>3</v>
      </c>
      <c r="CD13" s="23">
        <v>11</v>
      </c>
      <c r="CE13" s="23">
        <v>62</v>
      </c>
      <c r="CF13" s="23">
        <v>0</v>
      </c>
      <c r="CG13" s="23">
        <v>0</v>
      </c>
      <c r="CH13" s="23">
        <v>0</v>
      </c>
      <c r="CI13" s="23">
        <v>0</v>
      </c>
      <c r="CJ13" s="23">
        <v>0</v>
      </c>
      <c r="CK13" s="23">
        <v>0</v>
      </c>
      <c r="CL13" s="23">
        <v>0</v>
      </c>
      <c r="CM13" s="23">
        <v>0</v>
      </c>
      <c r="CN13" s="23">
        <v>0</v>
      </c>
      <c r="CO13" s="23">
        <v>0</v>
      </c>
      <c r="CP13" s="23">
        <v>0</v>
      </c>
      <c r="CQ13" s="23">
        <v>0</v>
      </c>
      <c r="CR13" s="23">
        <v>0</v>
      </c>
      <c r="CS13" s="23">
        <v>0</v>
      </c>
      <c r="CT13" s="23">
        <v>0</v>
      </c>
      <c r="CU13" s="23">
        <v>0</v>
      </c>
      <c r="CV13" s="23">
        <v>0</v>
      </c>
      <c r="CW13" s="23">
        <v>0</v>
      </c>
      <c r="CX13" s="23">
        <v>0</v>
      </c>
      <c r="CY13" s="23">
        <v>0</v>
      </c>
      <c r="CZ13" s="23">
        <v>0</v>
      </c>
      <c r="DA13" s="23">
        <v>0</v>
      </c>
      <c r="DB13" s="23">
        <v>0</v>
      </c>
      <c r="DC13" s="23">
        <v>0</v>
      </c>
      <c r="DD13" s="23">
        <v>0</v>
      </c>
      <c r="DE13" s="23">
        <v>0</v>
      </c>
      <c r="DF13" s="23">
        <v>0</v>
      </c>
      <c r="DG13" s="23">
        <v>0</v>
      </c>
      <c r="DH13" s="23">
        <v>0</v>
      </c>
      <c r="DI13" s="23">
        <v>0</v>
      </c>
      <c r="DJ13" s="23">
        <v>0</v>
      </c>
      <c r="DK13" s="23">
        <v>0</v>
      </c>
      <c r="DL13" s="23">
        <v>0</v>
      </c>
      <c r="DM13" s="23">
        <v>0</v>
      </c>
      <c r="DN13" s="23">
        <v>3</v>
      </c>
      <c r="DO13" s="23">
        <v>0</v>
      </c>
      <c r="DP13" s="23">
        <v>0</v>
      </c>
      <c r="DQ13" s="23">
        <v>0</v>
      </c>
      <c r="DR13" s="23">
        <v>0</v>
      </c>
      <c r="DS13" s="23">
        <v>0</v>
      </c>
      <c r="DT13" s="23">
        <v>0</v>
      </c>
      <c r="DU13" s="23">
        <v>0</v>
      </c>
      <c r="DV13" s="23">
        <v>0</v>
      </c>
      <c r="DW13" s="23">
        <v>0</v>
      </c>
      <c r="DX13" s="23">
        <v>0</v>
      </c>
      <c r="DY13" s="23">
        <v>0</v>
      </c>
      <c r="DZ13" s="23">
        <v>0</v>
      </c>
      <c r="EA13" s="23">
        <v>0</v>
      </c>
      <c r="EB13" s="23">
        <v>0</v>
      </c>
      <c r="EC13" s="23">
        <v>0</v>
      </c>
      <c r="ED13" s="23">
        <v>0</v>
      </c>
      <c r="EE13" s="23">
        <v>0</v>
      </c>
      <c r="EF13" s="23">
        <v>0</v>
      </c>
      <c r="EG13" s="23">
        <v>0</v>
      </c>
      <c r="EH13" s="23">
        <v>0</v>
      </c>
      <c r="EI13" s="23">
        <v>0</v>
      </c>
      <c r="EJ13" s="23">
        <v>0</v>
      </c>
      <c r="EK13" s="23">
        <v>2</v>
      </c>
      <c r="EL13" s="23">
        <v>0</v>
      </c>
      <c r="EM13" s="23">
        <v>0</v>
      </c>
      <c r="EN13" s="23">
        <v>0</v>
      </c>
      <c r="EO13" s="23">
        <v>2</v>
      </c>
      <c r="EP13" s="23">
        <v>0</v>
      </c>
      <c r="EQ13" s="23">
        <v>0</v>
      </c>
      <c r="ER13" s="23">
        <v>0</v>
      </c>
      <c r="ES13" s="23">
        <v>0</v>
      </c>
      <c r="ET13" s="23">
        <v>0</v>
      </c>
      <c r="EU13" s="23">
        <v>0</v>
      </c>
      <c r="EV13" s="23">
        <v>0</v>
      </c>
      <c r="EW13" s="23">
        <v>0</v>
      </c>
      <c r="EX13" s="23">
        <v>0</v>
      </c>
      <c r="EY13" s="23">
        <v>3</v>
      </c>
      <c r="EZ13" s="23">
        <v>0</v>
      </c>
      <c r="FA13" s="23">
        <v>0</v>
      </c>
      <c r="FB13" s="23">
        <v>0</v>
      </c>
      <c r="FC13" s="23">
        <v>0</v>
      </c>
      <c r="FD13" s="23">
        <v>0</v>
      </c>
      <c r="FE13" s="23">
        <v>0</v>
      </c>
      <c r="FF13" s="23">
        <v>0</v>
      </c>
      <c r="FG13" s="23">
        <v>0</v>
      </c>
      <c r="FH13" s="23">
        <v>0</v>
      </c>
      <c r="FI13" s="23">
        <v>0</v>
      </c>
      <c r="FJ13" s="23">
        <v>0</v>
      </c>
      <c r="FK13" s="23">
        <v>1</v>
      </c>
      <c r="FL13" s="23">
        <v>0</v>
      </c>
      <c r="FM13" s="23">
        <v>0</v>
      </c>
      <c r="FN13" s="23">
        <v>0</v>
      </c>
      <c r="FO13" s="23">
        <v>0</v>
      </c>
      <c r="FP13" s="23">
        <v>0</v>
      </c>
      <c r="FQ13" s="23">
        <v>0</v>
      </c>
      <c r="FR13" s="23">
        <v>0</v>
      </c>
      <c r="FS13" s="23">
        <v>0</v>
      </c>
      <c r="FT13" s="23">
        <v>0</v>
      </c>
      <c r="FU13" s="23">
        <v>0</v>
      </c>
      <c r="FV13" s="23">
        <v>0</v>
      </c>
      <c r="FW13" s="23">
        <v>0</v>
      </c>
      <c r="FX13" s="23">
        <v>0</v>
      </c>
      <c r="FY13" s="23">
        <v>0</v>
      </c>
      <c r="FZ13" s="23">
        <v>0</v>
      </c>
      <c r="GA13" s="23">
        <v>0</v>
      </c>
      <c r="GB13" s="23">
        <v>0</v>
      </c>
      <c r="GC13" s="23">
        <v>0</v>
      </c>
      <c r="GD13" s="23">
        <v>0</v>
      </c>
      <c r="GE13" s="23">
        <v>0</v>
      </c>
      <c r="GF13" s="23">
        <v>0</v>
      </c>
      <c r="GG13" s="23">
        <v>0</v>
      </c>
      <c r="GH13" s="23">
        <v>0</v>
      </c>
      <c r="GI13" s="23">
        <v>0</v>
      </c>
      <c r="GJ13" s="23">
        <v>0</v>
      </c>
      <c r="GK13" s="23">
        <v>0</v>
      </c>
      <c r="GL13" s="23">
        <v>0</v>
      </c>
      <c r="GM13" s="23">
        <v>0</v>
      </c>
      <c r="GN13" s="23">
        <v>0</v>
      </c>
      <c r="GO13" s="23">
        <v>0</v>
      </c>
      <c r="GP13" s="23">
        <v>3</v>
      </c>
      <c r="GQ13" s="23">
        <v>0</v>
      </c>
      <c r="GR13" s="23">
        <v>0</v>
      </c>
      <c r="GS13" s="23">
        <v>0</v>
      </c>
      <c r="GT13" s="23">
        <v>0</v>
      </c>
      <c r="GU13" s="23">
        <v>0</v>
      </c>
      <c r="GV13" s="23">
        <v>0</v>
      </c>
      <c r="GW13" s="23">
        <v>0</v>
      </c>
      <c r="GX13" s="23">
        <v>0</v>
      </c>
      <c r="GY13" s="23">
        <v>0</v>
      </c>
      <c r="GZ13" s="23">
        <v>0</v>
      </c>
      <c r="HA13" s="23">
        <v>3</v>
      </c>
      <c r="HB13" s="23">
        <v>0</v>
      </c>
      <c r="HC13" s="23">
        <v>7</v>
      </c>
      <c r="HD13" s="23">
        <v>0</v>
      </c>
      <c r="HE13" s="23">
        <v>0</v>
      </c>
      <c r="HF13" s="23">
        <v>0</v>
      </c>
      <c r="HG13" s="23">
        <v>0</v>
      </c>
      <c r="HH13" s="23">
        <v>0</v>
      </c>
      <c r="HI13" s="23">
        <v>0</v>
      </c>
      <c r="HJ13" s="23">
        <v>0</v>
      </c>
      <c r="HK13" s="23">
        <v>0</v>
      </c>
      <c r="HL13" s="23">
        <v>0</v>
      </c>
      <c r="HM13" s="23">
        <v>0</v>
      </c>
      <c r="HN13" s="23">
        <v>0</v>
      </c>
      <c r="HO13" s="23">
        <v>0</v>
      </c>
      <c r="HP13" s="23">
        <v>0</v>
      </c>
      <c r="HQ13" s="23">
        <v>0</v>
      </c>
      <c r="HR13" s="23">
        <v>0</v>
      </c>
      <c r="HS13" s="23">
        <v>2</v>
      </c>
      <c r="HT13" s="23">
        <v>0</v>
      </c>
      <c r="HU13" s="23">
        <v>0</v>
      </c>
      <c r="HV13" s="23">
        <v>2</v>
      </c>
      <c r="HW13" s="23">
        <v>0</v>
      </c>
      <c r="HX13" s="23">
        <v>0</v>
      </c>
      <c r="HY13" s="23">
        <v>0</v>
      </c>
      <c r="HZ13" s="23">
        <v>0</v>
      </c>
      <c r="IA13" s="23">
        <v>0</v>
      </c>
      <c r="IB13" s="23">
        <v>0</v>
      </c>
      <c r="IC13" s="23">
        <v>0</v>
      </c>
      <c r="ID13" s="23">
        <v>0</v>
      </c>
      <c r="IE13" s="23">
        <v>0</v>
      </c>
      <c r="IF13" s="23">
        <v>0</v>
      </c>
      <c r="IG13" s="23">
        <v>0</v>
      </c>
      <c r="IH13" s="23">
        <v>0</v>
      </c>
      <c r="II13" s="23">
        <v>0</v>
      </c>
      <c r="IJ13" s="23">
        <v>0</v>
      </c>
      <c r="IK13" s="23">
        <v>0</v>
      </c>
      <c r="IL13" s="23">
        <v>0</v>
      </c>
      <c r="IM13" s="23">
        <v>0</v>
      </c>
      <c r="IN13" s="23">
        <v>0</v>
      </c>
      <c r="IO13" s="23">
        <v>0</v>
      </c>
      <c r="IP13" s="23">
        <v>0</v>
      </c>
      <c r="IQ13" s="23">
        <v>0</v>
      </c>
      <c r="IR13" s="23">
        <v>0</v>
      </c>
      <c r="IS13" s="23">
        <v>0</v>
      </c>
      <c r="IT13" s="23">
        <v>0</v>
      </c>
      <c r="IU13" s="23">
        <v>0</v>
      </c>
      <c r="IV13" s="23">
        <v>0</v>
      </c>
      <c r="IW13" s="23">
        <v>0</v>
      </c>
      <c r="IX13" s="23">
        <v>0</v>
      </c>
      <c r="IY13" s="23">
        <v>0</v>
      </c>
      <c r="IZ13" s="23">
        <v>0</v>
      </c>
      <c r="JA13" s="23">
        <v>0</v>
      </c>
      <c r="JB13" s="23">
        <v>0</v>
      </c>
      <c r="JC13" s="23">
        <v>0</v>
      </c>
      <c r="JD13" s="23">
        <v>0</v>
      </c>
      <c r="JE13" s="23">
        <v>0</v>
      </c>
      <c r="JF13" s="23">
        <v>0</v>
      </c>
      <c r="JG13" s="23">
        <v>0</v>
      </c>
      <c r="JH13" s="23">
        <v>0</v>
      </c>
      <c r="JI13" s="23">
        <v>0</v>
      </c>
      <c r="JJ13" s="23">
        <v>0</v>
      </c>
      <c r="JK13" s="23">
        <v>0</v>
      </c>
      <c r="JL13" s="23">
        <v>0</v>
      </c>
      <c r="JM13" s="23">
        <v>0</v>
      </c>
      <c r="JN13" s="23">
        <v>0</v>
      </c>
      <c r="JO13" s="23">
        <v>0</v>
      </c>
      <c r="JP13" s="23">
        <v>0</v>
      </c>
      <c r="JQ13" s="23">
        <v>0</v>
      </c>
      <c r="JR13" s="23">
        <v>0</v>
      </c>
      <c r="JS13" s="23">
        <v>0</v>
      </c>
      <c r="JT13" s="23">
        <v>0</v>
      </c>
      <c r="JU13" s="23">
        <v>0</v>
      </c>
      <c r="JV13" s="23">
        <v>0</v>
      </c>
      <c r="JW13" s="23">
        <v>0</v>
      </c>
      <c r="JX13" s="23">
        <v>0</v>
      </c>
      <c r="JY13" s="23">
        <v>0</v>
      </c>
      <c r="JZ13" s="23">
        <v>1</v>
      </c>
      <c r="KA13" s="23">
        <v>0</v>
      </c>
      <c r="KB13" s="23">
        <v>0</v>
      </c>
      <c r="KC13" s="23">
        <v>0</v>
      </c>
      <c r="KD13" s="23">
        <v>0</v>
      </c>
      <c r="KE13" s="23">
        <v>0</v>
      </c>
      <c r="KF13" s="23">
        <v>0</v>
      </c>
      <c r="KG13" s="23">
        <v>0</v>
      </c>
      <c r="KH13" s="23">
        <v>0</v>
      </c>
      <c r="KI13" s="23">
        <v>0</v>
      </c>
      <c r="KJ13" s="23">
        <v>0</v>
      </c>
      <c r="KK13" s="23">
        <v>0</v>
      </c>
      <c r="KL13" s="23">
        <v>0</v>
      </c>
      <c r="KM13" s="23">
        <v>0</v>
      </c>
      <c r="KN13" s="23">
        <v>0</v>
      </c>
      <c r="KO13" s="23">
        <v>0</v>
      </c>
      <c r="KP13" s="23">
        <v>0</v>
      </c>
      <c r="KQ13" s="23">
        <v>0</v>
      </c>
      <c r="KR13" s="23">
        <v>0</v>
      </c>
      <c r="KS13" s="23">
        <v>0</v>
      </c>
      <c r="KT13" s="23">
        <v>0</v>
      </c>
      <c r="KU13" s="23">
        <v>0</v>
      </c>
      <c r="KV13" s="23">
        <v>0</v>
      </c>
      <c r="KW13" s="23">
        <v>0</v>
      </c>
      <c r="KX13" s="23">
        <v>0</v>
      </c>
      <c r="KY13" s="23">
        <v>0</v>
      </c>
      <c r="KZ13" s="23">
        <v>0</v>
      </c>
      <c r="LA13" s="23">
        <v>0</v>
      </c>
      <c r="LB13" s="23">
        <v>0</v>
      </c>
      <c r="LC13" s="23">
        <v>0</v>
      </c>
      <c r="LD13" s="23">
        <v>0</v>
      </c>
      <c r="LE13" s="23">
        <v>0</v>
      </c>
      <c r="LF13" s="23">
        <v>0</v>
      </c>
      <c r="LG13" s="23">
        <v>0</v>
      </c>
      <c r="LH13" s="23">
        <v>1</v>
      </c>
      <c r="LI13" s="23">
        <v>0</v>
      </c>
      <c r="LJ13" s="23">
        <v>0</v>
      </c>
      <c r="LK13" s="23">
        <v>0</v>
      </c>
      <c r="LL13" s="23">
        <v>0</v>
      </c>
      <c r="LM13" s="23">
        <v>0</v>
      </c>
      <c r="LN13" s="278">
        <f ca="1">$A13 - TST!Sweden100dt + 1</f>
        <v>-41</v>
      </c>
      <c r="LO13" s="20">
        <f ca="1">INDEX(OFFSET(TST!HeadRow,ROW()-ROW(TST!HeadRow),0,1,COLUMNS(TST!HeadRow)),1,MATCH(LO$5,TST!HeadRow,0))/LO$8</f>
        <v>0</v>
      </c>
      <c r="LP13" s="278">
        <f ca="1">$A13 - TST!Spain100dt + 1</f>
        <v>-41</v>
      </c>
      <c r="LQ13" s="20">
        <f ca="1">INDEX(OFFSET(TST!HeadRow,ROW()-ROW(TST!HeadRow),0,1,COLUMNS(TST!HeadRow)),1,MATCH(LQ$5,TST!HeadRow,0))/LQ$8</f>
        <v>0</v>
      </c>
      <c r="LR13" s="285">
        <f ca="1">$A13 - TST!Victoria100dt + 1</f>
        <v>-50</v>
      </c>
      <c r="LS13" s="20">
        <f ca="1">INDEX(OFFSET(TST!HeadRow,ROW()-ROW(TST!HeadRow),0,1,COLUMNS(TST!HeadRow)),1,MATCH(LS$5,TST!HeadRow,0))/LS$8</f>
        <v>0</v>
      </c>
      <c r="LT13" s="278">
        <f ca="1">$A13 - TST!Iran100dt + 1</f>
        <v>-35</v>
      </c>
      <c r="LU13" s="20">
        <f ca="1">INDEX(OFFSET(TST!HeadRow,ROW()-ROW(TST!HeadRow),0,1,COLUMNS(TST!HeadRow)),1,MATCH(LU$5,TST!HeadRow,0))/LU$8</f>
        <v>0</v>
      </c>
      <c r="LV13" s="278">
        <f ca="1">$A13 - TST!Japan100dt + 1</f>
        <v>-59</v>
      </c>
      <c r="LW13" s="20">
        <f ca="1">INDEX(OFFSET(TST!HeadRow,ROW()-ROW(TST!HeadRow),0,1,COLUMNS(TST!HeadRow)),1,MATCH(LW$5,TST!HeadRow,0))/LW$8</f>
        <v>0.15803505158971293</v>
      </c>
      <c r="LX13" s="278">
        <f ca="1">$A13 - TST!Queensland100dt + 1</f>
        <v>-49</v>
      </c>
      <c r="LY13" s="20">
        <f ca="1">INDEX(OFFSET(TST!HeadRow,ROW()-ROW(TST!HeadRow),0,1,COLUMNS(TST!HeadRow)),1,MATCH(LY$5,TST!HeadRow,0))/LY$8</f>
        <v>0</v>
      </c>
      <c r="LZ13" s="278">
        <f ca="1">$A13 - TST!Tasmania100dt + 1</f>
        <v>-49</v>
      </c>
      <c r="MA13" s="20">
        <f ca="1">INDEX(OFFSET(TST!HeadRow,ROW()-ROW(TST!HeadRow),0,1,COLUMNS(TST!HeadRow)),1,MATCH(MA$5,TST!HeadRow,0))/MA$8</f>
        <v>0</v>
      </c>
      <c r="MB13" s="278">
        <f ca="1">$A13 - TST!SouthAustralia100dt + 1</f>
        <v>-48</v>
      </c>
      <c r="MC13" s="20">
        <f ca="1">INDEX(OFFSET(TST!HeadRow,ROW()-ROW(TST!HeadRow),0,1,COLUMNS(TST!HeadRow)),1,MATCH(MC$5,TST!HeadRow,0))/MC$8</f>
        <v>0</v>
      </c>
      <c r="MD13" s="278">
        <f ca="1">$A13 - TST!AustralianCapitalTerritory100dt + 1</f>
        <v>-54</v>
      </c>
      <c r="ME13" s="20">
        <f ca="1">INDEX(OFFSET(TST!HeadRow,ROW()-ROW(TST!HeadRow),0,1,COLUMNS(TST!HeadRow)),1,MATCH(ME$5,TST!HeadRow,0))/ME$8</f>
        <v>0</v>
      </c>
      <c r="MF13" s="278">
        <f ca="1">$A13 - TST!NorthernTerritory100dt + 1</f>
        <v>-54</v>
      </c>
      <c r="MG13" s="20">
        <f ca="1">INDEX(OFFSET(TST!HeadRow,ROW()-ROW(TST!HeadRow),0,1,COLUMNS(TST!HeadRow)),1,MATCH(MG$5,TST!HeadRow,0))/MG$8</f>
        <v>0</v>
      </c>
      <c r="MH13" s="278">
        <f ca="1">$A13 - TST!WesternAustralia100dt + 1</f>
        <v>-50</v>
      </c>
      <c r="MI13" s="20">
        <f ca="1">INDEX(OFFSET(TST!HeadRow,ROW()-ROW(TST!HeadRow),0,1,COLUMNS(TST!HeadRow)),1,MATCH(MI$5,TST!HeadRow,0))/MI$8</f>
        <v>0</v>
      </c>
      <c r="MJ13" s="278">
        <f ca="1">$A13 - TST!Germany100dt + 1</f>
        <v>-42</v>
      </c>
      <c r="MK13" s="20">
        <f ca="1">INDEX(OFFSET(TST!HeadRow,ROW()-ROW(TST!HeadRow),0,1,COLUMNS(TST!HeadRow)),1,MATCH(MK$5,TST!HeadRow,0))/MK$8</f>
        <v>0</v>
      </c>
      <c r="ML13" s="278">
        <f ca="1">$A13 - TST!Denmark100dt + 1</f>
        <v>-43</v>
      </c>
      <c r="MM13" s="20">
        <f ca="1">INDEX(OFFSET(TST!HeadRow,ROW()-ROW(TST!HeadRow),0,1,COLUMNS(TST!HeadRow)),1,MATCH(MM$5,TST!HeadRow,0))/MM$8</f>
        <v>0</v>
      </c>
      <c r="MN13" s="278">
        <f ca="1">$A13 - TST!SouthAfrica100dt + 1</f>
        <v>-59</v>
      </c>
      <c r="MO13" s="20">
        <f ca="1">INDEX(OFFSET(TST!HeadRow,ROW()-ROW(TST!HeadRow),0,1,COLUMNS(TST!HeadRow)),1,MATCH(MO$5,TST!HeadRow,0))/MO$8</f>
        <v>0</v>
      </c>
      <c r="MP13" s="278">
        <f ca="1">$A13 - TST!UnitedKingdom100dt + 1</f>
        <v>-47</v>
      </c>
      <c r="MQ13" s="20">
        <f ca="1">INDEX(OFFSET(TST!HeadRow,ROW()-ROW(TST!HeadRow),0,1,COLUMNS(TST!HeadRow)),1,MATCH(MQ$5,TST!HeadRow,0))/MQ$8</f>
        <v>0</v>
      </c>
      <c r="MR13" s="278">
        <f ca="1">$A13 - TST!Ireland100dt + 1</f>
        <v>-47</v>
      </c>
      <c r="MS13" s="20">
        <f ca="1">INDEX(OFFSET(TST!HeadRow,ROW()-ROW(TST!HeadRow),0,1,COLUMNS(TST!HeadRow)),1,MATCH(MS$5,TST!HeadRow,0))/MS$8</f>
        <v>0</v>
      </c>
      <c r="MT13" s="278">
        <f ca="1">$A13 - TST!Italy100dt + 1</f>
        <v>-32</v>
      </c>
      <c r="MU13" s="20">
        <f ca="1">INDEX(OFFSET(TST!HeadRow,ROW()-ROW(TST!HeadRow),0,1,COLUMNS(TST!HeadRow)),1,MATCH(MU$5,TST!HeadRow,0))/MU$8</f>
        <v>0</v>
      </c>
      <c r="MV13" s="278">
        <f ca="1">$A13 - TST!US100dt + 1</f>
        <v>-49</v>
      </c>
      <c r="MW13" s="20">
        <f ca="1">INDEX(OFFSET(TST!HeadRow,ROW()-ROW(TST!HeadRow),0,1,COLUMNS(TST!HeadRow)),1,MATCH(MW$5,TST!HeadRow,0))/MW$8</f>
        <v>6.0748221384718901E-2</v>
      </c>
      <c r="MX13" s="278">
        <f ca="1">$A13 - TST!AustraliaSum100dt + 1</f>
        <v>-49</v>
      </c>
      <c r="MY13" s="366">
        <f t="shared" si="7"/>
        <v>0</v>
      </c>
      <c r="MZ13" s="278">
        <f ca="1">$A13 - TST!NewSouthWales100dt + 1</f>
        <v>-47</v>
      </c>
      <c r="NA13" s="366">
        <f ca="1">INDEX(OFFSET(TST!HeadRow,ROW()-ROW(TST!HeadRow),0,1,COLUMNS(TST!HeadRow)),1,MATCH(NA$5,TST!HeadRow,0))/NA$8</f>
        <v>0</v>
      </c>
      <c r="NB13" s="278">
        <f ca="1">$A13 - TST!Taiwan100dt + 1</f>
        <v>-60</v>
      </c>
      <c r="NC13" s="366">
        <f ca="1">INDEX(OFFSET(TST!HeadRow,ROW()-ROW(TST!HeadRow),0,1,COLUMNS(TST!HeadRow)),1,MATCH(NC$5,TST!HeadRow,0))/NC$8</f>
        <v>1.2601186477313957</v>
      </c>
      <c r="ND13" s="20">
        <f ca="1">$A13 - TST!Hubei100dt + 1</f>
        <v>1</v>
      </c>
      <c r="NE13" s="20">
        <f ca="1">INDEX(OFFSET(TST!HeadRow,ROW()-ROW(TST!HeadRow),0,1,COLUMNS(TST!HeadRow)),1,MATCH(NE$5,TST!HeadRow,0))/NE$8</f>
        <v>130.08547008547009</v>
      </c>
      <c r="NF13" s="20">
        <f ca="1">$A13 - TST!HongKong100dt + 1</f>
        <v>-29</v>
      </c>
      <c r="NG13" s="20">
        <f ca="1">INDEX(OFFSET(TST!HeadRow,ROW()-ROW(TST!HeadRow),0,1,COLUMNS(TST!HeadRow)),1,MATCH(NG$5,TST!HeadRow,0))/NG$8</f>
        <v>6.7105086565561667</v>
      </c>
    </row>
    <row r="14" spans="1:375" x14ac:dyDescent="0.25">
      <c r="A14" s="243">
        <v>43856</v>
      </c>
      <c r="B14" s="23">
        <v>0</v>
      </c>
      <c r="C14" s="23">
        <v>0</v>
      </c>
      <c r="D14" s="23">
        <v>0</v>
      </c>
      <c r="E14" s="23">
        <v>0</v>
      </c>
      <c r="F14" s="23">
        <v>0</v>
      </c>
      <c r="G14" s="23">
        <v>0</v>
      </c>
      <c r="H14" s="23">
        <v>0</v>
      </c>
      <c r="I14" s="23">
        <v>0</v>
      </c>
      <c r="J14" s="23">
        <v>0</v>
      </c>
      <c r="K14" s="293">
        <v>3</v>
      </c>
      <c r="L14" s="23">
        <v>0</v>
      </c>
      <c r="M14" s="290">
        <v>0</v>
      </c>
      <c r="N14" s="23">
        <v>0</v>
      </c>
      <c r="O14" s="384">
        <v>0</v>
      </c>
      <c r="P14" s="287">
        <v>1</v>
      </c>
      <c r="Q14" s="23">
        <v>0</v>
      </c>
      <c r="R14" s="23">
        <v>0</v>
      </c>
      <c r="S14" s="23">
        <v>0</v>
      </c>
      <c r="T14" s="23">
        <v>0</v>
      </c>
      <c r="U14" s="23">
        <v>0</v>
      </c>
      <c r="V14" s="23">
        <v>0</v>
      </c>
      <c r="W14" s="23">
        <v>0</v>
      </c>
      <c r="X14" s="23">
        <v>0</v>
      </c>
      <c r="Y14" s="23">
        <v>0</v>
      </c>
      <c r="Z14" s="23">
        <v>0</v>
      </c>
      <c r="AA14" s="23">
        <v>0</v>
      </c>
      <c r="AB14" s="23">
        <v>0</v>
      </c>
      <c r="AC14" s="23">
        <v>0</v>
      </c>
      <c r="AD14" s="23">
        <v>0</v>
      </c>
      <c r="AE14" s="23">
        <v>0</v>
      </c>
      <c r="AF14" s="23">
        <v>0</v>
      </c>
      <c r="AG14" s="23">
        <v>0</v>
      </c>
      <c r="AH14" s="23">
        <v>0</v>
      </c>
      <c r="AI14" s="23">
        <v>0</v>
      </c>
      <c r="AJ14" s="23">
        <v>0</v>
      </c>
      <c r="AK14" s="23">
        <v>0</v>
      </c>
      <c r="AL14" s="23">
        <v>0</v>
      </c>
      <c r="AM14" s="23">
        <v>0</v>
      </c>
      <c r="AN14" s="23">
        <v>0</v>
      </c>
      <c r="AO14" s="23">
        <v>0</v>
      </c>
      <c r="AP14" s="23">
        <v>0</v>
      </c>
      <c r="AQ14" s="23">
        <v>0</v>
      </c>
      <c r="AR14" s="23">
        <v>1</v>
      </c>
      <c r="AS14" s="23">
        <v>0</v>
      </c>
      <c r="AT14" s="23">
        <v>0</v>
      </c>
      <c r="AU14" s="23">
        <v>0</v>
      </c>
      <c r="AV14" s="23">
        <v>0</v>
      </c>
      <c r="AW14" s="23">
        <v>0</v>
      </c>
      <c r="AX14" s="23">
        <v>0</v>
      </c>
      <c r="AY14" s="23">
        <v>60</v>
      </c>
      <c r="AZ14" s="23">
        <v>68</v>
      </c>
      <c r="BA14" s="23">
        <v>75</v>
      </c>
      <c r="BB14" s="23">
        <v>35</v>
      </c>
      <c r="BC14" s="23">
        <v>7</v>
      </c>
      <c r="BD14" s="23">
        <v>111</v>
      </c>
      <c r="BE14" s="23">
        <v>36</v>
      </c>
      <c r="BF14" s="23">
        <v>5</v>
      </c>
      <c r="BG14" s="23">
        <v>22</v>
      </c>
      <c r="BH14" s="23">
        <v>13</v>
      </c>
      <c r="BI14" s="23">
        <v>15</v>
      </c>
      <c r="BJ14" s="23">
        <v>83</v>
      </c>
      <c r="BK14" s="23">
        <v>8</v>
      </c>
      <c r="BL14" s="23">
        <v>1058</v>
      </c>
      <c r="BM14" s="23">
        <v>69</v>
      </c>
      <c r="BN14" s="23">
        <v>7</v>
      </c>
      <c r="BO14" s="23">
        <v>33</v>
      </c>
      <c r="BP14" s="23">
        <v>36</v>
      </c>
      <c r="BQ14" s="23">
        <v>4</v>
      </c>
      <c r="BR14" s="23">
        <v>21</v>
      </c>
      <c r="BS14" s="23">
        <v>5</v>
      </c>
      <c r="BT14" s="23">
        <v>4</v>
      </c>
      <c r="BU14" s="23">
        <v>1</v>
      </c>
      <c r="BV14" s="23">
        <v>22</v>
      </c>
      <c r="BW14" s="23">
        <v>46</v>
      </c>
      <c r="BX14" s="23">
        <v>40</v>
      </c>
      <c r="BY14" s="23">
        <v>9</v>
      </c>
      <c r="BZ14" s="23">
        <v>44</v>
      </c>
      <c r="CA14" s="23">
        <v>14</v>
      </c>
      <c r="CB14" s="23">
        <v>0</v>
      </c>
      <c r="CC14" s="23">
        <v>4</v>
      </c>
      <c r="CD14" s="23">
        <v>16</v>
      </c>
      <c r="CE14" s="23">
        <v>104</v>
      </c>
      <c r="CF14" s="23">
        <v>0</v>
      </c>
      <c r="CG14" s="23">
        <v>0</v>
      </c>
      <c r="CH14" s="23">
        <v>0</v>
      </c>
      <c r="CI14" s="23">
        <v>0</v>
      </c>
      <c r="CJ14" s="23">
        <v>0</v>
      </c>
      <c r="CK14" s="23">
        <v>0</v>
      </c>
      <c r="CL14" s="23">
        <v>0</v>
      </c>
      <c r="CM14" s="23">
        <v>0</v>
      </c>
      <c r="CN14" s="23">
        <v>0</v>
      </c>
      <c r="CO14" s="23">
        <v>0</v>
      </c>
      <c r="CP14" s="23">
        <v>0</v>
      </c>
      <c r="CQ14" s="23">
        <v>0</v>
      </c>
      <c r="CR14" s="23">
        <v>0</v>
      </c>
      <c r="CS14" s="23">
        <v>0</v>
      </c>
      <c r="CT14" s="23">
        <v>0</v>
      </c>
      <c r="CU14" s="23">
        <v>0</v>
      </c>
      <c r="CV14" s="23">
        <v>0</v>
      </c>
      <c r="CW14" s="23">
        <v>0</v>
      </c>
      <c r="CX14" s="23">
        <v>0</v>
      </c>
      <c r="CY14" s="23">
        <v>0</v>
      </c>
      <c r="CZ14" s="23">
        <v>0</v>
      </c>
      <c r="DA14" s="23">
        <v>0</v>
      </c>
      <c r="DB14" s="23">
        <v>0</v>
      </c>
      <c r="DC14" s="23">
        <v>0</v>
      </c>
      <c r="DD14" s="23">
        <v>0</v>
      </c>
      <c r="DE14" s="23">
        <v>0</v>
      </c>
      <c r="DF14" s="23">
        <v>0</v>
      </c>
      <c r="DG14" s="23">
        <v>0</v>
      </c>
      <c r="DH14" s="23">
        <v>0</v>
      </c>
      <c r="DI14" s="23">
        <v>0</v>
      </c>
      <c r="DJ14" s="23">
        <v>0</v>
      </c>
      <c r="DK14" s="23">
        <v>0</v>
      </c>
      <c r="DL14" s="23">
        <v>0</v>
      </c>
      <c r="DM14" s="23">
        <v>0</v>
      </c>
      <c r="DN14" s="23">
        <v>3</v>
      </c>
      <c r="DO14" s="23">
        <v>0</v>
      </c>
      <c r="DP14" s="23">
        <v>0</v>
      </c>
      <c r="DQ14" s="23">
        <v>0</v>
      </c>
      <c r="DR14" s="23">
        <v>0</v>
      </c>
      <c r="DS14" s="23">
        <v>0</v>
      </c>
      <c r="DT14" s="23">
        <v>0</v>
      </c>
      <c r="DU14" s="23">
        <v>0</v>
      </c>
      <c r="DV14" s="23">
        <v>0</v>
      </c>
      <c r="DW14" s="23">
        <v>0</v>
      </c>
      <c r="DX14" s="23">
        <v>0</v>
      </c>
      <c r="DY14" s="23">
        <v>0</v>
      </c>
      <c r="DZ14" s="23">
        <v>0</v>
      </c>
      <c r="EA14" s="23">
        <v>0</v>
      </c>
      <c r="EB14" s="23">
        <v>0</v>
      </c>
      <c r="EC14" s="23">
        <v>0</v>
      </c>
      <c r="ED14" s="23">
        <v>0</v>
      </c>
      <c r="EE14" s="23">
        <v>0</v>
      </c>
      <c r="EF14" s="23">
        <v>0</v>
      </c>
      <c r="EG14" s="23">
        <v>0</v>
      </c>
      <c r="EH14" s="23">
        <v>0</v>
      </c>
      <c r="EI14" s="23">
        <v>0</v>
      </c>
      <c r="EJ14" s="23">
        <v>0</v>
      </c>
      <c r="EK14" s="23">
        <v>4</v>
      </c>
      <c r="EL14" s="23">
        <v>0</v>
      </c>
      <c r="EM14" s="23">
        <v>0</v>
      </c>
      <c r="EN14" s="23">
        <v>0</v>
      </c>
      <c r="EO14" s="23">
        <v>3</v>
      </c>
      <c r="EP14" s="23">
        <v>0</v>
      </c>
      <c r="EQ14" s="23">
        <v>0</v>
      </c>
      <c r="ER14" s="23">
        <v>0</v>
      </c>
      <c r="ES14" s="23">
        <v>0</v>
      </c>
      <c r="ET14" s="23">
        <v>0</v>
      </c>
      <c r="EU14" s="23">
        <v>0</v>
      </c>
      <c r="EV14" s="23">
        <v>0</v>
      </c>
      <c r="EW14" s="23">
        <v>0</v>
      </c>
      <c r="EX14" s="23">
        <v>0</v>
      </c>
      <c r="EY14" s="23">
        <v>4</v>
      </c>
      <c r="EZ14" s="23">
        <v>0</v>
      </c>
      <c r="FA14" s="23">
        <v>0</v>
      </c>
      <c r="FB14" s="23">
        <v>0</v>
      </c>
      <c r="FC14" s="23">
        <v>0</v>
      </c>
      <c r="FD14" s="23">
        <v>0</v>
      </c>
      <c r="FE14" s="23">
        <v>0</v>
      </c>
      <c r="FF14" s="23">
        <v>0</v>
      </c>
      <c r="FG14" s="23">
        <v>0</v>
      </c>
      <c r="FH14" s="23">
        <v>0</v>
      </c>
      <c r="FI14" s="23">
        <v>0</v>
      </c>
      <c r="FJ14" s="23">
        <v>0</v>
      </c>
      <c r="FK14" s="23">
        <v>1</v>
      </c>
      <c r="FL14" s="23">
        <v>0</v>
      </c>
      <c r="FM14" s="23">
        <v>0</v>
      </c>
      <c r="FN14" s="23">
        <v>0</v>
      </c>
      <c r="FO14" s="23">
        <v>0</v>
      </c>
      <c r="FP14" s="23">
        <v>0</v>
      </c>
      <c r="FQ14" s="23">
        <v>0</v>
      </c>
      <c r="FR14" s="23">
        <v>0</v>
      </c>
      <c r="FS14" s="23">
        <v>0</v>
      </c>
      <c r="FT14" s="23">
        <v>0</v>
      </c>
      <c r="FU14" s="23">
        <v>0</v>
      </c>
      <c r="FV14" s="23">
        <v>0</v>
      </c>
      <c r="FW14" s="23">
        <v>0</v>
      </c>
      <c r="FX14" s="23">
        <v>0</v>
      </c>
      <c r="FY14" s="23">
        <v>0</v>
      </c>
      <c r="FZ14" s="23">
        <v>0</v>
      </c>
      <c r="GA14" s="23">
        <v>0</v>
      </c>
      <c r="GB14" s="23">
        <v>0</v>
      </c>
      <c r="GC14" s="23">
        <v>0</v>
      </c>
      <c r="GD14" s="23">
        <v>0</v>
      </c>
      <c r="GE14" s="23">
        <v>0</v>
      </c>
      <c r="GF14" s="23">
        <v>0</v>
      </c>
      <c r="GG14" s="23">
        <v>0</v>
      </c>
      <c r="GH14" s="23">
        <v>0</v>
      </c>
      <c r="GI14" s="23">
        <v>0</v>
      </c>
      <c r="GJ14" s="23">
        <v>0</v>
      </c>
      <c r="GK14" s="23">
        <v>0</v>
      </c>
      <c r="GL14" s="23">
        <v>0</v>
      </c>
      <c r="GM14" s="23">
        <v>0</v>
      </c>
      <c r="GN14" s="23">
        <v>0</v>
      </c>
      <c r="GO14" s="23">
        <v>0</v>
      </c>
      <c r="GP14" s="23">
        <v>4</v>
      </c>
      <c r="GQ14" s="23">
        <v>0</v>
      </c>
      <c r="GR14" s="23">
        <v>0</v>
      </c>
      <c r="GS14" s="23">
        <v>0</v>
      </c>
      <c r="GT14" s="23">
        <v>0</v>
      </c>
      <c r="GU14" s="23">
        <v>0</v>
      </c>
      <c r="GV14" s="23">
        <v>0</v>
      </c>
      <c r="GW14" s="23">
        <v>0</v>
      </c>
      <c r="GX14" s="23">
        <v>0</v>
      </c>
      <c r="GY14" s="23">
        <v>0</v>
      </c>
      <c r="GZ14" s="23">
        <v>0</v>
      </c>
      <c r="HA14" s="23">
        <v>4</v>
      </c>
      <c r="HB14" s="23">
        <v>0</v>
      </c>
      <c r="HC14" s="23">
        <v>8</v>
      </c>
      <c r="HD14" s="23">
        <v>0</v>
      </c>
      <c r="HE14" s="23">
        <v>0</v>
      </c>
      <c r="HF14" s="23">
        <v>0</v>
      </c>
      <c r="HG14" s="23">
        <v>0</v>
      </c>
      <c r="HH14" s="23">
        <v>0</v>
      </c>
      <c r="HI14" s="23">
        <v>0</v>
      </c>
      <c r="HJ14" s="23">
        <v>0</v>
      </c>
      <c r="HK14" s="23">
        <v>0</v>
      </c>
      <c r="HL14" s="23">
        <v>0</v>
      </c>
      <c r="HM14" s="23">
        <v>0</v>
      </c>
      <c r="HN14" s="23">
        <v>0</v>
      </c>
      <c r="HO14" s="23">
        <v>0</v>
      </c>
      <c r="HP14" s="23">
        <v>0</v>
      </c>
      <c r="HQ14" s="23">
        <v>0</v>
      </c>
      <c r="HR14" s="23">
        <v>0</v>
      </c>
      <c r="HS14" s="23">
        <v>5</v>
      </c>
      <c r="HT14" s="23">
        <v>0</v>
      </c>
      <c r="HU14" s="23">
        <v>0</v>
      </c>
      <c r="HV14" s="23">
        <v>2</v>
      </c>
      <c r="HW14" s="23">
        <v>0</v>
      </c>
      <c r="HX14" s="23">
        <v>0</v>
      </c>
      <c r="HY14" s="23">
        <v>0</v>
      </c>
      <c r="HZ14" s="23">
        <v>0</v>
      </c>
      <c r="IA14" s="23">
        <v>0</v>
      </c>
      <c r="IB14" s="23">
        <v>0</v>
      </c>
      <c r="IC14" s="23">
        <v>0</v>
      </c>
      <c r="ID14" s="23">
        <v>0</v>
      </c>
      <c r="IE14" s="23">
        <v>0</v>
      </c>
      <c r="IF14" s="23">
        <v>0</v>
      </c>
      <c r="IG14" s="23">
        <v>0</v>
      </c>
      <c r="IH14" s="23">
        <v>0</v>
      </c>
      <c r="II14" s="23">
        <v>0</v>
      </c>
      <c r="IJ14" s="23">
        <v>0</v>
      </c>
      <c r="IK14" s="23">
        <v>0</v>
      </c>
      <c r="IL14" s="23">
        <v>0</v>
      </c>
      <c r="IM14" s="23">
        <v>0</v>
      </c>
      <c r="IN14" s="23">
        <v>0</v>
      </c>
      <c r="IO14" s="23">
        <v>0</v>
      </c>
      <c r="IP14" s="23">
        <v>0</v>
      </c>
      <c r="IQ14" s="23">
        <v>0</v>
      </c>
      <c r="IR14" s="23">
        <v>0</v>
      </c>
      <c r="IS14" s="23">
        <v>0</v>
      </c>
      <c r="IT14" s="23">
        <v>0</v>
      </c>
      <c r="IU14" s="23">
        <v>0</v>
      </c>
      <c r="IV14" s="23">
        <v>0</v>
      </c>
      <c r="IW14" s="23">
        <v>0</v>
      </c>
      <c r="IX14" s="23">
        <v>0</v>
      </c>
      <c r="IY14" s="23">
        <v>0</v>
      </c>
      <c r="IZ14" s="23">
        <v>0</v>
      </c>
      <c r="JA14" s="23">
        <v>0</v>
      </c>
      <c r="JB14" s="23">
        <v>0</v>
      </c>
      <c r="JC14" s="23">
        <v>0</v>
      </c>
      <c r="JD14" s="23">
        <v>0</v>
      </c>
      <c r="JE14" s="23">
        <v>0</v>
      </c>
      <c r="JF14" s="23">
        <v>0</v>
      </c>
      <c r="JG14" s="23">
        <v>0</v>
      </c>
      <c r="JH14" s="23">
        <v>0</v>
      </c>
      <c r="JI14" s="23">
        <v>0</v>
      </c>
      <c r="JJ14" s="23">
        <v>0</v>
      </c>
      <c r="JK14" s="23">
        <v>0</v>
      </c>
      <c r="JL14" s="23">
        <v>0</v>
      </c>
      <c r="JM14" s="23">
        <v>0</v>
      </c>
      <c r="JN14" s="23">
        <v>0</v>
      </c>
      <c r="JO14" s="23">
        <v>1</v>
      </c>
      <c r="JP14" s="23">
        <v>0</v>
      </c>
      <c r="JQ14" s="23">
        <v>2</v>
      </c>
      <c r="JR14" s="23">
        <v>0</v>
      </c>
      <c r="JS14" s="23">
        <v>0</v>
      </c>
      <c r="JT14" s="23">
        <v>0</v>
      </c>
      <c r="JU14" s="23">
        <v>0</v>
      </c>
      <c r="JV14" s="23">
        <v>0</v>
      </c>
      <c r="JW14" s="23">
        <v>0</v>
      </c>
      <c r="JX14" s="23">
        <v>0</v>
      </c>
      <c r="JY14" s="23">
        <v>0</v>
      </c>
      <c r="JZ14" s="23">
        <v>1</v>
      </c>
      <c r="KA14" s="23">
        <v>0</v>
      </c>
      <c r="KB14" s="23">
        <v>0</v>
      </c>
      <c r="KC14" s="23">
        <v>0</v>
      </c>
      <c r="KD14" s="23">
        <v>0</v>
      </c>
      <c r="KE14" s="23">
        <v>0</v>
      </c>
      <c r="KF14" s="23">
        <v>0</v>
      </c>
      <c r="KG14" s="23">
        <v>0</v>
      </c>
      <c r="KH14" s="23">
        <v>0</v>
      </c>
      <c r="KI14" s="23">
        <v>0</v>
      </c>
      <c r="KJ14" s="23">
        <v>0</v>
      </c>
      <c r="KK14" s="23">
        <v>0</v>
      </c>
      <c r="KL14" s="23">
        <v>0</v>
      </c>
      <c r="KM14" s="23">
        <v>0</v>
      </c>
      <c r="KN14" s="23">
        <v>0</v>
      </c>
      <c r="KO14" s="23">
        <v>0</v>
      </c>
      <c r="KP14" s="23">
        <v>0</v>
      </c>
      <c r="KQ14" s="23">
        <v>0</v>
      </c>
      <c r="KR14" s="23">
        <v>0</v>
      </c>
      <c r="KS14" s="23">
        <v>0</v>
      </c>
      <c r="KT14" s="23">
        <v>0</v>
      </c>
      <c r="KU14" s="23">
        <v>0</v>
      </c>
      <c r="KV14" s="23">
        <v>0</v>
      </c>
      <c r="KW14" s="23">
        <v>0</v>
      </c>
      <c r="KX14" s="23">
        <v>0</v>
      </c>
      <c r="KY14" s="23">
        <v>0</v>
      </c>
      <c r="KZ14" s="23">
        <v>0</v>
      </c>
      <c r="LA14" s="23">
        <v>0</v>
      </c>
      <c r="LB14" s="23">
        <v>0</v>
      </c>
      <c r="LC14" s="23">
        <v>0</v>
      </c>
      <c r="LD14" s="23">
        <v>0</v>
      </c>
      <c r="LE14" s="23">
        <v>0</v>
      </c>
      <c r="LF14" s="23">
        <v>0</v>
      </c>
      <c r="LG14" s="23">
        <v>0</v>
      </c>
      <c r="LH14" s="23">
        <v>1</v>
      </c>
      <c r="LI14" s="23">
        <v>0</v>
      </c>
      <c r="LJ14" s="23">
        <v>0</v>
      </c>
      <c r="LK14" s="23">
        <v>0</v>
      </c>
      <c r="LL14" s="23">
        <v>0</v>
      </c>
      <c r="LM14" s="23">
        <v>0</v>
      </c>
      <c r="LN14" s="278">
        <f ca="1">$A14 - TST!Sweden100dt + 1</f>
        <v>-40</v>
      </c>
      <c r="LO14" s="20">
        <f ca="1">INDEX(OFFSET(TST!HeadRow,ROW()-ROW(TST!HeadRow),0,1,COLUMNS(TST!HeadRow)),1,MATCH(LO$5,TST!HeadRow,0))/LO$8</f>
        <v>0</v>
      </c>
      <c r="LP14" s="278">
        <f ca="1">$A14 - TST!Spain100dt + 1</f>
        <v>-40</v>
      </c>
      <c r="LQ14" s="20">
        <f ca="1">INDEX(OFFSET(TST!HeadRow,ROW()-ROW(TST!HeadRow),0,1,COLUMNS(TST!HeadRow)),1,MATCH(LQ$5,TST!HeadRow,0))/LQ$8</f>
        <v>0</v>
      </c>
      <c r="LR14" s="285">
        <f ca="1">$A14 - TST!Victoria100dt + 1</f>
        <v>-49</v>
      </c>
      <c r="LS14" s="20">
        <f ca="1">INDEX(OFFSET(TST!HeadRow,ROW()-ROW(TST!HeadRow),0,1,COLUMNS(TST!HeadRow)),1,MATCH(LS$5,TST!HeadRow,0))/LS$8</f>
        <v>1.5085231558304419</v>
      </c>
      <c r="LT14" s="278">
        <f ca="1">$A14 - TST!Iran100dt + 1</f>
        <v>-34</v>
      </c>
      <c r="LU14" s="20">
        <f ca="1">INDEX(OFFSET(TST!HeadRow,ROW()-ROW(TST!HeadRow),0,1,COLUMNS(TST!HeadRow)),1,MATCH(LU$5,TST!HeadRow,0))/LU$8</f>
        <v>0</v>
      </c>
      <c r="LV14" s="278">
        <f ca="1">$A14 - TST!Japan100dt + 1</f>
        <v>-58</v>
      </c>
      <c r="LW14" s="20">
        <f ca="1">INDEX(OFFSET(TST!HeadRow,ROW()-ROW(TST!HeadRow),0,1,COLUMNS(TST!HeadRow)),1,MATCH(LW$5,TST!HeadRow,0))/LW$8</f>
        <v>0.31607010317942585</v>
      </c>
      <c r="LX14" s="278">
        <f ca="1">$A14 - TST!Queensland100dt + 1</f>
        <v>-48</v>
      </c>
      <c r="LY14" s="20">
        <f ca="1">INDEX(OFFSET(TST!HeadRow,ROW()-ROW(TST!HeadRow),0,1,COLUMNS(TST!HeadRow)),1,MATCH(LY$5,TST!HeadRow,0))/LY$8</f>
        <v>0</v>
      </c>
      <c r="LZ14" s="278">
        <f ca="1">$A14 - TST!Tasmania100dt + 1</f>
        <v>-48</v>
      </c>
      <c r="MA14" s="20">
        <f ca="1">INDEX(OFFSET(TST!HeadRow,ROW()-ROW(TST!HeadRow),0,1,COLUMNS(TST!HeadRow)),1,MATCH(MA$5,TST!HeadRow,0))/MA$8</f>
        <v>0</v>
      </c>
      <c r="MB14" s="278">
        <f ca="1">$A14 - TST!SouthAustralia100dt + 1</f>
        <v>-47</v>
      </c>
      <c r="MC14" s="20">
        <f ca="1">INDEX(OFFSET(TST!HeadRow,ROW()-ROW(TST!HeadRow),0,1,COLUMNS(TST!HeadRow)),1,MATCH(MC$5,TST!HeadRow,0))/MC$8</f>
        <v>0</v>
      </c>
      <c r="MD14" s="278">
        <f ca="1">$A14 - TST!AustralianCapitalTerritory100dt + 1</f>
        <v>-53</v>
      </c>
      <c r="ME14" s="20">
        <f ca="1">INDEX(OFFSET(TST!HeadRow,ROW()-ROW(TST!HeadRow),0,1,COLUMNS(TST!HeadRow)),1,MATCH(ME$5,TST!HeadRow,0))/ME$8</f>
        <v>0</v>
      </c>
      <c r="MF14" s="278">
        <f ca="1">$A14 - TST!NorthernTerritory100dt + 1</f>
        <v>-53</v>
      </c>
      <c r="MG14" s="20">
        <f ca="1">INDEX(OFFSET(TST!HeadRow,ROW()-ROW(TST!HeadRow),0,1,COLUMNS(TST!HeadRow)),1,MATCH(MG$5,TST!HeadRow,0))/MG$8</f>
        <v>0</v>
      </c>
      <c r="MH14" s="278">
        <f ca="1">$A14 - TST!WesternAustralia100dt + 1</f>
        <v>-49</v>
      </c>
      <c r="MI14" s="20">
        <f ca="1">INDEX(OFFSET(TST!HeadRow,ROW()-ROW(TST!HeadRow),0,1,COLUMNS(TST!HeadRow)),1,MATCH(MI$5,TST!HeadRow,0))/MI$8</f>
        <v>0</v>
      </c>
      <c r="MJ14" s="278">
        <f ca="1">$A14 - TST!Germany100dt + 1</f>
        <v>-41</v>
      </c>
      <c r="MK14" s="20">
        <f ca="1">INDEX(OFFSET(TST!HeadRow,ROW()-ROW(TST!HeadRow),0,1,COLUMNS(TST!HeadRow)),1,MATCH(MK$5,TST!HeadRow,0))/MK$8</f>
        <v>0</v>
      </c>
      <c r="ML14" s="278">
        <f ca="1">$A14 - TST!Denmark100dt + 1</f>
        <v>-42</v>
      </c>
      <c r="MM14" s="20">
        <f ca="1">INDEX(OFFSET(TST!HeadRow,ROW()-ROW(TST!HeadRow),0,1,COLUMNS(TST!HeadRow)),1,MATCH(MM$5,TST!HeadRow,0))/MM$8</f>
        <v>0</v>
      </c>
      <c r="MN14" s="278">
        <f ca="1">$A14 - TST!SouthAfrica100dt + 1</f>
        <v>-58</v>
      </c>
      <c r="MO14" s="20">
        <f ca="1">INDEX(OFFSET(TST!HeadRow,ROW()-ROW(TST!HeadRow),0,1,COLUMNS(TST!HeadRow)),1,MATCH(MO$5,TST!HeadRow,0))/MO$8</f>
        <v>0</v>
      </c>
      <c r="MP14" s="278">
        <f ca="1">$A14 - TST!UnitedKingdom100dt + 1</f>
        <v>-46</v>
      </c>
      <c r="MQ14" s="20">
        <f ca="1">INDEX(OFFSET(TST!HeadRow,ROW()-ROW(TST!HeadRow),0,1,COLUMNS(TST!HeadRow)),1,MATCH(MQ$5,TST!HeadRow,0))/MQ$8</f>
        <v>0</v>
      </c>
      <c r="MR14" s="278">
        <f ca="1">$A14 - TST!Ireland100dt + 1</f>
        <v>-46</v>
      </c>
      <c r="MS14" s="20">
        <f ca="1">INDEX(OFFSET(TST!HeadRow,ROW()-ROW(TST!HeadRow),0,1,COLUMNS(TST!HeadRow)),1,MATCH(MS$5,TST!HeadRow,0))/MS$8</f>
        <v>0</v>
      </c>
      <c r="MT14" s="278">
        <f ca="1">$A14 - TST!Italy100dt + 1</f>
        <v>-31</v>
      </c>
      <c r="MU14" s="20">
        <f ca="1">INDEX(OFFSET(TST!HeadRow,ROW()-ROW(TST!HeadRow),0,1,COLUMNS(TST!HeadRow)),1,MATCH(MU$5,TST!HeadRow,0))/MU$8</f>
        <v>0</v>
      </c>
      <c r="MV14" s="278">
        <f ca="1">$A14 - TST!US100dt + 1</f>
        <v>-48</v>
      </c>
      <c r="MW14" s="20">
        <f ca="1">INDEX(OFFSET(TST!HeadRow,ROW()-ROW(TST!HeadRow),0,1,COLUMNS(TST!HeadRow)),1,MATCH(MW$5,TST!HeadRow,0))/MW$8</f>
        <v>0.15187055346179726</v>
      </c>
      <c r="MX14" s="278">
        <f ca="1">$A14 - TST!AustraliaSum100dt + 1</f>
        <v>-48</v>
      </c>
      <c r="MY14" s="366">
        <f t="shared" si="7"/>
        <v>1.5770383220312254</v>
      </c>
      <c r="MZ14" s="278">
        <f ca="1">$A14 - TST!NewSouthWales100dt + 1</f>
        <v>-46</v>
      </c>
      <c r="NA14" s="366">
        <f ca="1">INDEX(OFFSET(TST!HeadRow,ROW()-ROW(TST!HeadRow),0,1,COLUMNS(TST!HeadRow)),1,MATCH(NA$5,TST!HeadRow,0))/NA$8</f>
        <v>3.7128712871287126</v>
      </c>
      <c r="NB14" s="278">
        <f ca="1">$A14 - TST!Taiwan100dt + 1</f>
        <v>-59</v>
      </c>
      <c r="NC14" s="366">
        <f ca="1">INDEX(OFFSET(TST!HeadRow,ROW()-ROW(TST!HeadRow),0,1,COLUMNS(TST!HeadRow)),1,MATCH(NC$5,TST!HeadRow,0))/NC$8</f>
        <v>1.6801581969751944</v>
      </c>
      <c r="ND14" s="20">
        <f ca="1">$A14 - TST!Hubei100dt + 1</f>
        <v>2</v>
      </c>
      <c r="NE14" s="20">
        <f ca="1">INDEX(OFFSET(TST!HeadRow,ROW()-ROW(TST!HeadRow),0,1,COLUMNS(TST!HeadRow)),1,MATCH(NE$5,TST!HeadRow,0))/NE$8</f>
        <v>180.85470085470087</v>
      </c>
      <c r="NF14" s="20">
        <f ca="1">$A14 - TST!HongKong100dt + 1</f>
        <v>-28</v>
      </c>
      <c r="NG14" s="20">
        <f ca="1">INDEX(OFFSET(TST!HeadRow,ROW()-ROW(TST!HeadRow),0,1,COLUMNS(TST!HeadRow)),1,MATCH(NG$5,TST!HeadRow,0))/NG$8</f>
        <v>10.736813850489867</v>
      </c>
    </row>
    <row r="15" spans="1:375" x14ac:dyDescent="0.25">
      <c r="A15" s="243">
        <v>43857</v>
      </c>
      <c r="B15" s="23">
        <v>0</v>
      </c>
      <c r="C15" s="23">
        <v>0</v>
      </c>
      <c r="D15" s="23">
        <v>0</v>
      </c>
      <c r="E15" s="23">
        <v>0</v>
      </c>
      <c r="F15" s="23">
        <v>0</v>
      </c>
      <c r="G15" s="23">
        <v>0</v>
      </c>
      <c r="H15" s="23">
        <v>0</v>
      </c>
      <c r="I15" s="23">
        <v>0</v>
      </c>
      <c r="J15" s="23">
        <v>0</v>
      </c>
      <c r="K15" s="293">
        <v>4</v>
      </c>
      <c r="L15" s="23">
        <v>0</v>
      </c>
      <c r="M15" s="290">
        <v>0</v>
      </c>
      <c r="N15" s="23">
        <v>0</v>
      </c>
      <c r="O15" s="384">
        <v>0</v>
      </c>
      <c r="P15" s="287">
        <v>1</v>
      </c>
      <c r="Q15" s="23">
        <v>0</v>
      </c>
      <c r="R15" s="23">
        <v>0</v>
      </c>
      <c r="S15" s="23">
        <v>0</v>
      </c>
      <c r="T15" s="23">
        <v>0</v>
      </c>
      <c r="U15" s="23">
        <v>0</v>
      </c>
      <c r="V15" s="23">
        <v>0</v>
      </c>
      <c r="W15" s="23">
        <v>0</v>
      </c>
      <c r="X15" s="23">
        <v>0</v>
      </c>
      <c r="Y15" s="23">
        <v>0</v>
      </c>
      <c r="Z15" s="23">
        <v>0</v>
      </c>
      <c r="AA15" s="23">
        <v>0</v>
      </c>
      <c r="AB15" s="23">
        <v>0</v>
      </c>
      <c r="AC15" s="23">
        <v>0</v>
      </c>
      <c r="AD15" s="23">
        <v>0</v>
      </c>
      <c r="AE15" s="23">
        <v>0</v>
      </c>
      <c r="AF15" s="23">
        <v>0</v>
      </c>
      <c r="AG15" s="23">
        <v>0</v>
      </c>
      <c r="AH15" s="23">
        <v>0</v>
      </c>
      <c r="AI15" s="23">
        <v>1</v>
      </c>
      <c r="AJ15" s="23">
        <v>0</v>
      </c>
      <c r="AK15" s="23">
        <v>0</v>
      </c>
      <c r="AL15" s="23">
        <v>0</v>
      </c>
      <c r="AM15" s="23">
        <v>0</v>
      </c>
      <c r="AN15" s="23">
        <v>0</v>
      </c>
      <c r="AO15" s="23">
        <v>0</v>
      </c>
      <c r="AP15" s="23">
        <v>0</v>
      </c>
      <c r="AQ15" s="23">
        <v>0</v>
      </c>
      <c r="AR15" s="23">
        <v>1</v>
      </c>
      <c r="AS15" s="23">
        <v>0</v>
      </c>
      <c r="AT15" s="23">
        <v>0</v>
      </c>
      <c r="AU15" s="23">
        <v>0</v>
      </c>
      <c r="AV15" s="23">
        <v>0</v>
      </c>
      <c r="AW15" s="23">
        <v>0</v>
      </c>
      <c r="AX15" s="23">
        <v>0</v>
      </c>
      <c r="AY15" s="23">
        <v>70</v>
      </c>
      <c r="AZ15" s="23">
        <v>80</v>
      </c>
      <c r="BA15" s="23">
        <v>110</v>
      </c>
      <c r="BB15" s="23">
        <v>59</v>
      </c>
      <c r="BC15" s="23">
        <v>14</v>
      </c>
      <c r="BD15" s="23">
        <v>151</v>
      </c>
      <c r="BE15" s="23">
        <v>46</v>
      </c>
      <c r="BF15" s="23">
        <v>7</v>
      </c>
      <c r="BG15" s="23">
        <v>33</v>
      </c>
      <c r="BH15" s="23">
        <v>18</v>
      </c>
      <c r="BI15" s="23">
        <v>21</v>
      </c>
      <c r="BJ15" s="23">
        <v>128</v>
      </c>
      <c r="BK15" s="23">
        <v>8</v>
      </c>
      <c r="BL15" s="23">
        <v>1423</v>
      </c>
      <c r="BM15" s="23">
        <v>100</v>
      </c>
      <c r="BN15" s="23">
        <v>11</v>
      </c>
      <c r="BO15" s="23">
        <v>47</v>
      </c>
      <c r="BP15" s="23">
        <v>72</v>
      </c>
      <c r="BQ15" s="23">
        <v>6</v>
      </c>
      <c r="BR15" s="23">
        <v>27</v>
      </c>
      <c r="BS15" s="23">
        <v>6</v>
      </c>
      <c r="BT15" s="23">
        <v>7</v>
      </c>
      <c r="BU15" s="23">
        <v>6</v>
      </c>
      <c r="BV15" s="23">
        <v>35</v>
      </c>
      <c r="BW15" s="23">
        <v>75</v>
      </c>
      <c r="BX15" s="23">
        <v>53</v>
      </c>
      <c r="BY15" s="23">
        <v>13</v>
      </c>
      <c r="BZ15" s="23">
        <v>69</v>
      </c>
      <c r="CA15" s="23">
        <v>23</v>
      </c>
      <c r="CB15" s="23">
        <v>0</v>
      </c>
      <c r="CC15" s="23">
        <v>5</v>
      </c>
      <c r="CD15" s="23">
        <v>26</v>
      </c>
      <c r="CE15" s="23">
        <v>128</v>
      </c>
      <c r="CF15" s="23">
        <v>0</v>
      </c>
      <c r="CG15" s="23">
        <v>0</v>
      </c>
      <c r="CH15" s="23">
        <v>0</v>
      </c>
      <c r="CI15" s="23">
        <v>0</v>
      </c>
      <c r="CJ15" s="23">
        <v>0</v>
      </c>
      <c r="CK15" s="23">
        <v>0</v>
      </c>
      <c r="CL15" s="23">
        <v>0</v>
      </c>
      <c r="CM15" s="23">
        <v>0</v>
      </c>
      <c r="CN15" s="23">
        <v>0</v>
      </c>
      <c r="CO15" s="23">
        <v>0</v>
      </c>
      <c r="CP15" s="23">
        <v>0</v>
      </c>
      <c r="CQ15" s="23">
        <v>0</v>
      </c>
      <c r="CR15" s="23">
        <v>0</v>
      </c>
      <c r="CS15" s="23">
        <v>0</v>
      </c>
      <c r="CT15" s="23">
        <v>0</v>
      </c>
      <c r="CU15" s="23">
        <v>0</v>
      </c>
      <c r="CV15" s="23">
        <v>0</v>
      </c>
      <c r="CW15" s="23">
        <v>0</v>
      </c>
      <c r="CX15" s="23">
        <v>0</v>
      </c>
      <c r="CY15" s="23">
        <v>0</v>
      </c>
      <c r="CZ15" s="23">
        <v>0</v>
      </c>
      <c r="DA15" s="23">
        <v>0</v>
      </c>
      <c r="DB15" s="23">
        <v>0</v>
      </c>
      <c r="DC15" s="23">
        <v>0</v>
      </c>
      <c r="DD15" s="23">
        <v>0</v>
      </c>
      <c r="DE15" s="23">
        <v>0</v>
      </c>
      <c r="DF15" s="23">
        <v>0</v>
      </c>
      <c r="DG15" s="23">
        <v>0</v>
      </c>
      <c r="DH15" s="23">
        <v>0</v>
      </c>
      <c r="DI15" s="23">
        <v>0</v>
      </c>
      <c r="DJ15" s="23">
        <v>0</v>
      </c>
      <c r="DK15" s="23">
        <v>0</v>
      </c>
      <c r="DL15" s="23">
        <v>0</v>
      </c>
      <c r="DM15" s="23">
        <v>0</v>
      </c>
      <c r="DN15" s="23">
        <v>3</v>
      </c>
      <c r="DO15" s="23">
        <v>0</v>
      </c>
      <c r="DP15" s="23">
        <v>0</v>
      </c>
      <c r="DQ15" s="23">
        <v>0</v>
      </c>
      <c r="DR15" s="23">
        <v>1</v>
      </c>
      <c r="DS15" s="23">
        <v>0</v>
      </c>
      <c r="DT15" s="23">
        <v>0</v>
      </c>
      <c r="DU15" s="23">
        <v>0</v>
      </c>
      <c r="DV15" s="23">
        <v>0</v>
      </c>
      <c r="DW15" s="23">
        <v>0</v>
      </c>
      <c r="DX15" s="23">
        <v>0</v>
      </c>
      <c r="DY15" s="23">
        <v>0</v>
      </c>
      <c r="DZ15" s="23">
        <v>0</v>
      </c>
      <c r="EA15" s="23">
        <v>0</v>
      </c>
      <c r="EB15" s="23">
        <v>0</v>
      </c>
      <c r="EC15" s="23">
        <v>0</v>
      </c>
      <c r="ED15" s="23">
        <v>0</v>
      </c>
      <c r="EE15" s="23">
        <v>0</v>
      </c>
      <c r="EF15" s="23">
        <v>0</v>
      </c>
      <c r="EG15" s="23">
        <v>0</v>
      </c>
      <c r="EH15" s="23">
        <v>0</v>
      </c>
      <c r="EI15" s="23">
        <v>0</v>
      </c>
      <c r="EJ15" s="23">
        <v>0</v>
      </c>
      <c r="EK15" s="23">
        <v>4</v>
      </c>
      <c r="EL15" s="23">
        <v>0</v>
      </c>
      <c r="EM15" s="23">
        <v>0</v>
      </c>
      <c r="EN15" s="23">
        <v>0</v>
      </c>
      <c r="EO15" s="23">
        <v>4</v>
      </c>
      <c r="EP15" s="23">
        <v>0</v>
      </c>
      <c r="EQ15" s="23">
        <v>0</v>
      </c>
      <c r="ER15" s="23">
        <v>0</v>
      </c>
      <c r="ES15" s="23">
        <v>0</v>
      </c>
      <c r="ET15" s="23">
        <v>0</v>
      </c>
      <c r="EU15" s="23">
        <v>0</v>
      </c>
      <c r="EV15" s="23">
        <v>0</v>
      </c>
      <c r="EW15" s="23">
        <v>0</v>
      </c>
      <c r="EX15" s="23">
        <v>0</v>
      </c>
      <c r="EY15" s="23">
        <v>4</v>
      </c>
      <c r="EZ15" s="23">
        <v>0</v>
      </c>
      <c r="FA15" s="23">
        <v>0</v>
      </c>
      <c r="FB15" s="23">
        <v>0</v>
      </c>
      <c r="FC15" s="23">
        <v>0</v>
      </c>
      <c r="FD15" s="23">
        <v>0</v>
      </c>
      <c r="FE15" s="23">
        <v>0</v>
      </c>
      <c r="FF15" s="23">
        <v>0</v>
      </c>
      <c r="FG15" s="23">
        <v>0</v>
      </c>
      <c r="FH15" s="23">
        <v>0</v>
      </c>
      <c r="FI15" s="23">
        <v>0</v>
      </c>
      <c r="FJ15" s="23">
        <v>0</v>
      </c>
      <c r="FK15" s="23">
        <v>1</v>
      </c>
      <c r="FL15" s="23">
        <v>0</v>
      </c>
      <c r="FM15" s="23">
        <v>0</v>
      </c>
      <c r="FN15" s="23">
        <v>0</v>
      </c>
      <c r="FO15" s="23">
        <v>0</v>
      </c>
      <c r="FP15" s="23">
        <v>0</v>
      </c>
      <c r="FQ15" s="23">
        <v>0</v>
      </c>
      <c r="FR15" s="23">
        <v>0</v>
      </c>
      <c r="FS15" s="23">
        <v>0</v>
      </c>
      <c r="FT15" s="23">
        <v>0</v>
      </c>
      <c r="FU15" s="23">
        <v>0</v>
      </c>
      <c r="FV15" s="23">
        <v>0</v>
      </c>
      <c r="FW15" s="23">
        <v>0</v>
      </c>
      <c r="FX15" s="23">
        <v>0</v>
      </c>
      <c r="FY15" s="23">
        <v>0</v>
      </c>
      <c r="FZ15" s="23">
        <v>0</v>
      </c>
      <c r="GA15" s="23">
        <v>0</v>
      </c>
      <c r="GB15" s="23">
        <v>0</v>
      </c>
      <c r="GC15" s="23">
        <v>0</v>
      </c>
      <c r="GD15" s="23">
        <v>0</v>
      </c>
      <c r="GE15" s="23">
        <v>0</v>
      </c>
      <c r="GF15" s="23">
        <v>0</v>
      </c>
      <c r="GG15" s="23">
        <v>0</v>
      </c>
      <c r="GH15" s="23">
        <v>0</v>
      </c>
      <c r="GI15" s="23">
        <v>0</v>
      </c>
      <c r="GJ15" s="23">
        <v>0</v>
      </c>
      <c r="GK15" s="23">
        <v>0</v>
      </c>
      <c r="GL15" s="23">
        <v>0</v>
      </c>
      <c r="GM15" s="23">
        <v>0</v>
      </c>
      <c r="GN15" s="23">
        <v>0</v>
      </c>
      <c r="GO15" s="23">
        <v>0</v>
      </c>
      <c r="GP15" s="23">
        <v>5</v>
      </c>
      <c r="GQ15" s="23">
        <v>0</v>
      </c>
      <c r="GR15" s="23">
        <v>0</v>
      </c>
      <c r="GS15" s="23">
        <v>0</v>
      </c>
      <c r="GT15" s="23">
        <v>0</v>
      </c>
      <c r="GU15" s="23">
        <v>0</v>
      </c>
      <c r="GV15" s="23">
        <v>1</v>
      </c>
      <c r="GW15" s="23">
        <v>0</v>
      </c>
      <c r="GX15" s="23">
        <v>0</v>
      </c>
      <c r="GY15" s="23">
        <v>0</v>
      </c>
      <c r="GZ15" s="23">
        <v>0</v>
      </c>
      <c r="HA15" s="23">
        <v>5</v>
      </c>
      <c r="HB15" s="23">
        <v>0</v>
      </c>
      <c r="HC15" s="23">
        <v>8</v>
      </c>
      <c r="HD15" s="23">
        <v>0</v>
      </c>
      <c r="HE15" s="23">
        <v>0</v>
      </c>
      <c r="HF15" s="23">
        <v>0</v>
      </c>
      <c r="HG15" s="23">
        <v>0</v>
      </c>
      <c r="HH15" s="23">
        <v>0</v>
      </c>
      <c r="HI15" s="23">
        <v>0</v>
      </c>
      <c r="HJ15" s="23">
        <v>0</v>
      </c>
      <c r="HK15" s="23">
        <v>0</v>
      </c>
      <c r="HL15" s="23">
        <v>0</v>
      </c>
      <c r="HM15" s="23">
        <v>0</v>
      </c>
      <c r="HN15" s="23">
        <v>0</v>
      </c>
      <c r="HO15" s="23">
        <v>0</v>
      </c>
      <c r="HP15" s="23">
        <v>0</v>
      </c>
      <c r="HQ15" s="23">
        <v>0</v>
      </c>
      <c r="HR15" s="23">
        <v>0</v>
      </c>
      <c r="HS15" s="23">
        <v>5</v>
      </c>
      <c r="HT15" s="23">
        <v>0</v>
      </c>
      <c r="HU15" s="23">
        <v>0</v>
      </c>
      <c r="HV15" s="23">
        <v>2</v>
      </c>
      <c r="HW15" s="23">
        <v>0</v>
      </c>
      <c r="HX15" s="23">
        <v>0</v>
      </c>
      <c r="HY15" s="23">
        <v>0</v>
      </c>
      <c r="HZ15" s="23">
        <v>0</v>
      </c>
      <c r="IA15" s="23">
        <v>0</v>
      </c>
      <c r="IB15" s="23">
        <v>0</v>
      </c>
      <c r="IC15" s="23">
        <v>0</v>
      </c>
      <c r="ID15" s="23">
        <v>0</v>
      </c>
      <c r="IE15" s="23">
        <v>0</v>
      </c>
      <c r="IF15" s="23">
        <v>0</v>
      </c>
      <c r="IG15" s="23">
        <v>0</v>
      </c>
      <c r="IH15" s="23">
        <v>0</v>
      </c>
      <c r="II15" s="23">
        <v>0</v>
      </c>
      <c r="IJ15" s="23">
        <v>0</v>
      </c>
      <c r="IK15" s="23">
        <v>0</v>
      </c>
      <c r="IL15" s="23">
        <v>0</v>
      </c>
      <c r="IM15" s="23">
        <v>0</v>
      </c>
      <c r="IN15" s="23">
        <v>0</v>
      </c>
      <c r="IO15" s="23">
        <v>0</v>
      </c>
      <c r="IP15" s="23">
        <v>0</v>
      </c>
      <c r="IQ15" s="23">
        <v>0</v>
      </c>
      <c r="IR15" s="23">
        <v>0</v>
      </c>
      <c r="IS15" s="23">
        <v>0</v>
      </c>
      <c r="IT15" s="23">
        <v>0</v>
      </c>
      <c r="IU15" s="23">
        <v>0</v>
      </c>
      <c r="IV15" s="23">
        <v>0</v>
      </c>
      <c r="IW15" s="23">
        <v>0</v>
      </c>
      <c r="IX15" s="23">
        <v>0</v>
      </c>
      <c r="IY15" s="23">
        <v>0</v>
      </c>
      <c r="IZ15" s="23">
        <v>0</v>
      </c>
      <c r="JA15" s="23">
        <v>0</v>
      </c>
      <c r="JB15" s="23">
        <v>0</v>
      </c>
      <c r="JC15" s="23">
        <v>0</v>
      </c>
      <c r="JD15" s="23">
        <v>0</v>
      </c>
      <c r="JE15" s="23">
        <v>0</v>
      </c>
      <c r="JF15" s="23">
        <v>0</v>
      </c>
      <c r="JG15" s="23">
        <v>0</v>
      </c>
      <c r="JH15" s="23">
        <v>0</v>
      </c>
      <c r="JI15" s="23">
        <v>0</v>
      </c>
      <c r="JJ15" s="23">
        <v>0</v>
      </c>
      <c r="JK15" s="23">
        <v>0</v>
      </c>
      <c r="JL15" s="23">
        <v>0</v>
      </c>
      <c r="JM15" s="23">
        <v>0</v>
      </c>
      <c r="JN15" s="23">
        <v>0</v>
      </c>
      <c r="JO15" s="23">
        <v>1</v>
      </c>
      <c r="JP15" s="23">
        <v>0</v>
      </c>
      <c r="JQ15" s="23">
        <v>2</v>
      </c>
      <c r="JR15" s="23">
        <v>0</v>
      </c>
      <c r="JS15" s="23">
        <v>0</v>
      </c>
      <c r="JT15" s="23">
        <v>0</v>
      </c>
      <c r="JU15" s="23">
        <v>0</v>
      </c>
      <c r="JV15" s="23">
        <v>0</v>
      </c>
      <c r="JW15" s="23">
        <v>0</v>
      </c>
      <c r="JX15" s="23">
        <v>0</v>
      </c>
      <c r="JY15" s="23">
        <v>0</v>
      </c>
      <c r="JZ15" s="23">
        <v>1</v>
      </c>
      <c r="KA15" s="23">
        <v>0</v>
      </c>
      <c r="KB15" s="23">
        <v>0</v>
      </c>
      <c r="KC15" s="23">
        <v>0</v>
      </c>
      <c r="KD15" s="23">
        <v>0</v>
      </c>
      <c r="KE15" s="23">
        <v>0</v>
      </c>
      <c r="KF15" s="23">
        <v>0</v>
      </c>
      <c r="KG15" s="23">
        <v>0</v>
      </c>
      <c r="KH15" s="23">
        <v>0</v>
      </c>
      <c r="KI15" s="23">
        <v>0</v>
      </c>
      <c r="KJ15" s="23">
        <v>0</v>
      </c>
      <c r="KK15" s="23">
        <v>0</v>
      </c>
      <c r="KL15" s="23">
        <v>0</v>
      </c>
      <c r="KM15" s="23">
        <v>0</v>
      </c>
      <c r="KN15" s="23">
        <v>0</v>
      </c>
      <c r="KO15" s="23">
        <v>0</v>
      </c>
      <c r="KP15" s="23">
        <v>0</v>
      </c>
      <c r="KQ15" s="23">
        <v>0</v>
      </c>
      <c r="KR15" s="23">
        <v>0</v>
      </c>
      <c r="KS15" s="23">
        <v>0</v>
      </c>
      <c r="KT15" s="23">
        <v>0</v>
      </c>
      <c r="KU15" s="23">
        <v>0</v>
      </c>
      <c r="KV15" s="23">
        <v>0</v>
      </c>
      <c r="KW15" s="23">
        <v>0</v>
      </c>
      <c r="KX15" s="23">
        <v>0</v>
      </c>
      <c r="KY15" s="23">
        <v>0</v>
      </c>
      <c r="KZ15" s="23">
        <v>0</v>
      </c>
      <c r="LA15" s="23">
        <v>0</v>
      </c>
      <c r="LB15" s="23">
        <v>0</v>
      </c>
      <c r="LC15" s="23">
        <v>0</v>
      </c>
      <c r="LD15" s="23">
        <v>0</v>
      </c>
      <c r="LE15" s="23">
        <v>0</v>
      </c>
      <c r="LF15" s="23">
        <v>0</v>
      </c>
      <c r="LG15" s="23">
        <v>0</v>
      </c>
      <c r="LH15" s="23">
        <v>1</v>
      </c>
      <c r="LI15" s="23">
        <v>0</v>
      </c>
      <c r="LJ15" s="23">
        <v>0</v>
      </c>
      <c r="LK15" s="23">
        <v>0</v>
      </c>
      <c r="LL15" s="23">
        <v>0</v>
      </c>
      <c r="LM15" s="23">
        <v>0</v>
      </c>
      <c r="LN15" s="278">
        <f ca="1">$A15 - TST!Sweden100dt + 1</f>
        <v>-39</v>
      </c>
      <c r="LO15" s="20">
        <f ca="1">INDEX(OFFSET(TST!HeadRow,ROW()-ROW(TST!HeadRow),0,1,COLUMNS(TST!HeadRow)),1,MATCH(LO$5,TST!HeadRow,0))/LO$8</f>
        <v>0</v>
      </c>
      <c r="LP15" s="278">
        <f ca="1">$A15 - TST!Spain100dt + 1</f>
        <v>-39</v>
      </c>
      <c r="LQ15" s="20">
        <f ca="1">INDEX(OFFSET(TST!HeadRow,ROW()-ROW(TST!HeadRow),0,1,COLUMNS(TST!HeadRow)),1,MATCH(LQ$5,TST!HeadRow,0))/LQ$8</f>
        <v>0</v>
      </c>
      <c r="LR15" s="285">
        <f ca="1">$A15 - TST!Victoria100dt + 1</f>
        <v>-48</v>
      </c>
      <c r="LS15" s="20">
        <f ca="1">INDEX(OFFSET(TST!HeadRow,ROW()-ROW(TST!HeadRow),0,1,COLUMNS(TST!HeadRow)),1,MATCH(LS$5,TST!HeadRow,0))/LS$8</f>
        <v>1.5085231558304419</v>
      </c>
      <c r="LT15" s="278">
        <f ca="1">$A15 - TST!Iran100dt + 1</f>
        <v>-33</v>
      </c>
      <c r="LU15" s="20">
        <f ca="1">INDEX(OFFSET(TST!HeadRow,ROW()-ROW(TST!HeadRow),0,1,COLUMNS(TST!HeadRow)),1,MATCH(LU$5,TST!HeadRow,0))/LU$8</f>
        <v>0</v>
      </c>
      <c r="LV15" s="278">
        <f ca="1">$A15 - TST!Japan100dt + 1</f>
        <v>-57</v>
      </c>
      <c r="LW15" s="20">
        <f ca="1">INDEX(OFFSET(TST!HeadRow,ROW()-ROW(TST!HeadRow),0,1,COLUMNS(TST!HeadRow)),1,MATCH(LW$5,TST!HeadRow,0))/LW$8</f>
        <v>0.31607010317942585</v>
      </c>
      <c r="LX15" s="278">
        <f ca="1">$A15 - TST!Queensland100dt + 1</f>
        <v>-47</v>
      </c>
      <c r="LY15" s="20">
        <f ca="1">INDEX(OFFSET(TST!HeadRow,ROW()-ROW(TST!HeadRow),0,1,COLUMNS(TST!HeadRow)),1,MATCH(LY$5,TST!HeadRow,0))/LY$8</f>
        <v>0</v>
      </c>
      <c r="LZ15" s="278">
        <f ca="1">$A15 - TST!Tasmania100dt + 1</f>
        <v>-47</v>
      </c>
      <c r="MA15" s="20">
        <f ca="1">INDEX(OFFSET(TST!HeadRow,ROW()-ROW(TST!HeadRow),0,1,COLUMNS(TST!HeadRow)),1,MATCH(MA$5,TST!HeadRow,0))/MA$8</f>
        <v>0</v>
      </c>
      <c r="MB15" s="278">
        <f ca="1">$A15 - TST!SouthAustralia100dt + 1</f>
        <v>-46</v>
      </c>
      <c r="MC15" s="20">
        <f ca="1">INDEX(OFFSET(TST!HeadRow,ROW()-ROW(TST!HeadRow),0,1,COLUMNS(TST!HeadRow)),1,MATCH(MC$5,TST!HeadRow,0))/MC$8</f>
        <v>0</v>
      </c>
      <c r="MD15" s="278">
        <f ca="1">$A15 - TST!AustralianCapitalTerritory100dt + 1</f>
        <v>-52</v>
      </c>
      <c r="ME15" s="20">
        <f ca="1">INDEX(OFFSET(TST!HeadRow,ROW()-ROW(TST!HeadRow),0,1,COLUMNS(TST!HeadRow)),1,MATCH(ME$5,TST!HeadRow,0))/ME$8</f>
        <v>0</v>
      </c>
      <c r="MF15" s="278">
        <f ca="1">$A15 - TST!NorthernTerritory100dt + 1</f>
        <v>-52</v>
      </c>
      <c r="MG15" s="20">
        <f ca="1">INDEX(OFFSET(TST!HeadRow,ROW()-ROW(TST!HeadRow),0,1,COLUMNS(TST!HeadRow)),1,MATCH(MG$5,TST!HeadRow,0))/MG$8</f>
        <v>0</v>
      </c>
      <c r="MH15" s="278">
        <f ca="1">$A15 - TST!WesternAustralia100dt + 1</f>
        <v>-48</v>
      </c>
      <c r="MI15" s="20">
        <f ca="1">INDEX(OFFSET(TST!HeadRow,ROW()-ROW(TST!HeadRow),0,1,COLUMNS(TST!HeadRow)),1,MATCH(MI$5,TST!HeadRow,0))/MI$8</f>
        <v>0</v>
      </c>
      <c r="MJ15" s="278">
        <f ca="1">$A15 - TST!Germany100dt + 1</f>
        <v>-40</v>
      </c>
      <c r="MK15" s="20">
        <f ca="1">INDEX(OFFSET(TST!HeadRow,ROW()-ROW(TST!HeadRow),0,1,COLUMNS(TST!HeadRow)),1,MATCH(MK$5,TST!HeadRow,0))/MK$8</f>
        <v>0.12045290291496026</v>
      </c>
      <c r="ML15" s="278">
        <f ca="1">$A15 - TST!Denmark100dt + 1</f>
        <v>-41</v>
      </c>
      <c r="MM15" s="20">
        <f ca="1">INDEX(OFFSET(TST!HeadRow,ROW()-ROW(TST!HeadRow),0,1,COLUMNS(TST!HeadRow)),1,MATCH(MM$5,TST!HeadRow,0))/MM$8</f>
        <v>0</v>
      </c>
      <c r="MN15" s="278">
        <f ca="1">$A15 - TST!SouthAfrica100dt + 1</f>
        <v>-57</v>
      </c>
      <c r="MO15" s="20">
        <f ca="1">INDEX(OFFSET(TST!HeadRow,ROW()-ROW(TST!HeadRow),0,1,COLUMNS(TST!HeadRow)),1,MATCH(MO$5,TST!HeadRow,0))/MO$8</f>
        <v>0</v>
      </c>
      <c r="MP15" s="278">
        <f ca="1">$A15 - TST!UnitedKingdom100dt + 1</f>
        <v>-45</v>
      </c>
      <c r="MQ15" s="20">
        <f ca="1">INDEX(OFFSET(TST!HeadRow,ROW()-ROW(TST!HeadRow),0,1,COLUMNS(TST!HeadRow)),1,MATCH(MQ$5,TST!HeadRow,0))/MQ$8</f>
        <v>0</v>
      </c>
      <c r="MR15" s="278">
        <f ca="1">$A15 - TST!Ireland100dt + 1</f>
        <v>-45</v>
      </c>
      <c r="MS15" s="20">
        <f ca="1">INDEX(OFFSET(TST!HeadRow,ROW()-ROW(TST!HeadRow),0,1,COLUMNS(TST!HeadRow)),1,MATCH(MS$5,TST!HeadRow,0))/MS$8</f>
        <v>0</v>
      </c>
      <c r="MT15" s="278">
        <f ca="1">$A15 - TST!Italy100dt + 1</f>
        <v>-30</v>
      </c>
      <c r="MU15" s="20">
        <f ca="1">INDEX(OFFSET(TST!HeadRow,ROW()-ROW(TST!HeadRow),0,1,COLUMNS(TST!HeadRow)),1,MATCH(MU$5,TST!HeadRow,0))/MU$8</f>
        <v>0</v>
      </c>
      <c r="MV15" s="278">
        <f ca="1">$A15 - TST!US100dt + 1</f>
        <v>-47</v>
      </c>
      <c r="MW15" s="20">
        <f ca="1">INDEX(OFFSET(TST!HeadRow,ROW()-ROW(TST!HeadRow),0,1,COLUMNS(TST!HeadRow)),1,MATCH(MW$5,TST!HeadRow,0))/MW$8</f>
        <v>0.15187055346179726</v>
      </c>
      <c r="MX15" s="278">
        <f ca="1">$A15 - TST!AustraliaSum100dt + 1</f>
        <v>-47</v>
      </c>
      <c r="MY15" s="366">
        <f t="shared" si="7"/>
        <v>1.9712979025390318</v>
      </c>
      <c r="MZ15" s="278">
        <f ca="1">$A15 - TST!NewSouthWales100dt + 1</f>
        <v>-45</v>
      </c>
      <c r="NA15" s="366">
        <f ca="1">INDEX(OFFSET(TST!HeadRow,ROW()-ROW(TST!HeadRow),0,1,COLUMNS(TST!HeadRow)),1,MATCH(NA$5,TST!HeadRow,0))/NA$8</f>
        <v>4.9504950495049505</v>
      </c>
      <c r="NB15" s="278">
        <f ca="1">$A15 - TST!Taiwan100dt + 1</f>
        <v>-58</v>
      </c>
      <c r="NC15" s="366">
        <f ca="1">INDEX(OFFSET(TST!HeadRow,ROW()-ROW(TST!HeadRow),0,1,COLUMNS(TST!HeadRow)),1,MATCH(NC$5,TST!HeadRow,0))/NC$8</f>
        <v>2.1001977462189929</v>
      </c>
      <c r="ND15" s="20">
        <f ca="1">$A15 - TST!Hubei100dt + 1</f>
        <v>3</v>
      </c>
      <c r="NE15" s="20">
        <f ca="1">INDEX(OFFSET(TST!HeadRow,ROW()-ROW(TST!HeadRow),0,1,COLUMNS(TST!HeadRow)),1,MATCH(NE$5,TST!HeadRow,0))/NE$8</f>
        <v>243.24786324786325</v>
      </c>
      <c r="NF15" s="20">
        <f ca="1">$A15 - TST!HongKong100dt + 1</f>
        <v>-27</v>
      </c>
      <c r="NG15" s="20">
        <f ca="1">INDEX(OFFSET(TST!HeadRow,ROW()-ROW(TST!HeadRow),0,1,COLUMNS(TST!HeadRow)),1,MATCH(NG$5,TST!HeadRow,0))/NG$8</f>
        <v>10.736813850489867</v>
      </c>
    </row>
    <row r="16" spans="1:375" x14ac:dyDescent="0.25">
      <c r="A16" s="243">
        <v>43858</v>
      </c>
      <c r="B16" s="23">
        <v>0</v>
      </c>
      <c r="C16" s="23">
        <v>0</v>
      </c>
      <c r="D16" s="23">
        <v>0</v>
      </c>
      <c r="E16" s="23">
        <v>0</v>
      </c>
      <c r="F16" s="23">
        <v>0</v>
      </c>
      <c r="G16" s="23">
        <v>0</v>
      </c>
      <c r="H16" s="23">
        <v>0</v>
      </c>
      <c r="I16" s="23">
        <v>0</v>
      </c>
      <c r="J16" s="23">
        <v>0</v>
      </c>
      <c r="K16" s="293">
        <v>4</v>
      </c>
      <c r="L16" s="23">
        <v>0</v>
      </c>
      <c r="M16" s="290">
        <v>0</v>
      </c>
      <c r="N16" s="23">
        <v>0</v>
      </c>
      <c r="O16" s="384">
        <v>0</v>
      </c>
      <c r="P16" s="287">
        <v>1</v>
      </c>
      <c r="Q16" s="23">
        <v>0</v>
      </c>
      <c r="R16" s="23">
        <v>0</v>
      </c>
      <c r="S16" s="23">
        <v>0</v>
      </c>
      <c r="T16" s="23">
        <v>0</v>
      </c>
      <c r="U16" s="23">
        <v>0</v>
      </c>
      <c r="V16" s="23">
        <v>0</v>
      </c>
      <c r="W16" s="23">
        <v>0</v>
      </c>
      <c r="X16" s="23">
        <v>0</v>
      </c>
      <c r="Y16" s="23">
        <v>0</v>
      </c>
      <c r="Z16" s="23">
        <v>0</v>
      </c>
      <c r="AA16" s="23">
        <v>0</v>
      </c>
      <c r="AB16" s="23">
        <v>0</v>
      </c>
      <c r="AC16" s="23">
        <v>0</v>
      </c>
      <c r="AD16" s="23">
        <v>0</v>
      </c>
      <c r="AE16" s="23">
        <v>0</v>
      </c>
      <c r="AF16" s="23">
        <v>0</v>
      </c>
      <c r="AG16" s="23">
        <v>0</v>
      </c>
      <c r="AH16" s="23">
        <v>0</v>
      </c>
      <c r="AI16" s="23">
        <v>1</v>
      </c>
      <c r="AJ16" s="23">
        <v>0</v>
      </c>
      <c r="AK16" s="23">
        <v>0</v>
      </c>
      <c r="AL16" s="23">
        <v>1</v>
      </c>
      <c r="AM16" s="23">
        <v>0</v>
      </c>
      <c r="AN16" s="23">
        <v>0</v>
      </c>
      <c r="AO16" s="23">
        <v>0</v>
      </c>
      <c r="AP16" s="23">
        <v>0</v>
      </c>
      <c r="AQ16" s="23">
        <v>0</v>
      </c>
      <c r="AR16" s="23">
        <v>1</v>
      </c>
      <c r="AS16" s="23">
        <v>0</v>
      </c>
      <c r="AT16" s="23">
        <v>0</v>
      </c>
      <c r="AU16" s="23">
        <v>0</v>
      </c>
      <c r="AV16" s="23">
        <v>0</v>
      </c>
      <c r="AW16" s="23">
        <v>0</v>
      </c>
      <c r="AX16" s="23">
        <v>0</v>
      </c>
      <c r="AY16" s="23">
        <v>106</v>
      </c>
      <c r="AZ16" s="23">
        <v>91</v>
      </c>
      <c r="BA16" s="23">
        <v>132</v>
      </c>
      <c r="BB16" s="23">
        <v>80</v>
      </c>
      <c r="BC16" s="23">
        <v>19</v>
      </c>
      <c r="BD16" s="23">
        <v>207</v>
      </c>
      <c r="BE16" s="23">
        <v>51</v>
      </c>
      <c r="BF16" s="23">
        <v>9</v>
      </c>
      <c r="BG16" s="23">
        <v>40</v>
      </c>
      <c r="BH16" s="23">
        <v>33</v>
      </c>
      <c r="BI16" s="23">
        <v>33</v>
      </c>
      <c r="BJ16" s="23">
        <v>168</v>
      </c>
      <c r="BK16" s="23">
        <v>8</v>
      </c>
      <c r="BL16" s="23">
        <v>3554</v>
      </c>
      <c r="BM16" s="23">
        <v>143</v>
      </c>
      <c r="BN16" s="23">
        <v>15</v>
      </c>
      <c r="BO16" s="23">
        <v>70</v>
      </c>
      <c r="BP16" s="23">
        <v>109</v>
      </c>
      <c r="BQ16" s="23">
        <v>8</v>
      </c>
      <c r="BR16" s="23">
        <v>34</v>
      </c>
      <c r="BS16" s="23">
        <v>7</v>
      </c>
      <c r="BT16" s="23">
        <v>11</v>
      </c>
      <c r="BU16" s="23">
        <v>6</v>
      </c>
      <c r="BV16" s="23">
        <v>46</v>
      </c>
      <c r="BW16" s="23">
        <v>95</v>
      </c>
      <c r="BX16" s="23">
        <v>66</v>
      </c>
      <c r="BY16" s="23">
        <v>27</v>
      </c>
      <c r="BZ16" s="23">
        <v>90</v>
      </c>
      <c r="CA16" s="23">
        <v>24</v>
      </c>
      <c r="CB16" s="23">
        <v>0</v>
      </c>
      <c r="CC16" s="23">
        <v>10</v>
      </c>
      <c r="CD16" s="23">
        <v>44</v>
      </c>
      <c r="CE16" s="23">
        <v>173</v>
      </c>
      <c r="CF16" s="23">
        <v>0</v>
      </c>
      <c r="CG16" s="23">
        <v>0</v>
      </c>
      <c r="CH16" s="23">
        <v>0</v>
      </c>
      <c r="CI16" s="23">
        <v>0</v>
      </c>
      <c r="CJ16" s="23">
        <v>0</v>
      </c>
      <c r="CK16" s="23">
        <v>0</v>
      </c>
      <c r="CL16" s="23">
        <v>0</v>
      </c>
      <c r="CM16" s="23">
        <v>0</v>
      </c>
      <c r="CN16" s="23">
        <v>0</v>
      </c>
      <c r="CO16" s="23">
        <v>0</v>
      </c>
      <c r="CP16" s="23">
        <v>0</v>
      </c>
      <c r="CQ16" s="23">
        <v>0</v>
      </c>
      <c r="CR16" s="23">
        <v>0</v>
      </c>
      <c r="CS16" s="23">
        <v>0</v>
      </c>
      <c r="CT16" s="23">
        <v>0</v>
      </c>
      <c r="CU16" s="23">
        <v>0</v>
      </c>
      <c r="CV16" s="23">
        <v>0</v>
      </c>
      <c r="CW16" s="23">
        <v>0</v>
      </c>
      <c r="CX16" s="23">
        <v>0</v>
      </c>
      <c r="CY16" s="23">
        <v>0</v>
      </c>
      <c r="CZ16" s="23">
        <v>0</v>
      </c>
      <c r="DA16" s="23">
        <v>0</v>
      </c>
      <c r="DB16" s="23">
        <v>0</v>
      </c>
      <c r="DC16" s="23">
        <v>0</v>
      </c>
      <c r="DD16" s="23">
        <v>0</v>
      </c>
      <c r="DE16" s="23">
        <v>0</v>
      </c>
      <c r="DF16" s="23">
        <v>0</v>
      </c>
      <c r="DG16" s="23">
        <v>0</v>
      </c>
      <c r="DH16" s="23">
        <v>0</v>
      </c>
      <c r="DI16" s="23">
        <v>0</v>
      </c>
      <c r="DJ16" s="23">
        <v>0</v>
      </c>
      <c r="DK16" s="23">
        <v>0</v>
      </c>
      <c r="DL16" s="23">
        <v>0</v>
      </c>
      <c r="DM16" s="23">
        <v>0</v>
      </c>
      <c r="DN16" s="23">
        <v>4</v>
      </c>
      <c r="DO16" s="23">
        <v>0</v>
      </c>
      <c r="DP16" s="23">
        <v>0</v>
      </c>
      <c r="DQ16" s="23">
        <v>0</v>
      </c>
      <c r="DR16" s="23">
        <v>4</v>
      </c>
      <c r="DS16" s="23">
        <v>0</v>
      </c>
      <c r="DT16" s="23">
        <v>0</v>
      </c>
      <c r="DU16" s="23">
        <v>0</v>
      </c>
      <c r="DV16" s="23">
        <v>0</v>
      </c>
      <c r="DW16" s="23">
        <v>0</v>
      </c>
      <c r="DX16" s="23">
        <v>0</v>
      </c>
      <c r="DY16" s="23">
        <v>0</v>
      </c>
      <c r="DZ16" s="23">
        <v>0</v>
      </c>
      <c r="EA16" s="23">
        <v>0</v>
      </c>
      <c r="EB16" s="23">
        <v>0</v>
      </c>
      <c r="EC16" s="23">
        <v>0</v>
      </c>
      <c r="ED16" s="23">
        <v>0</v>
      </c>
      <c r="EE16" s="23">
        <v>0</v>
      </c>
      <c r="EF16" s="23">
        <v>0</v>
      </c>
      <c r="EG16" s="23">
        <v>0</v>
      </c>
      <c r="EH16" s="23">
        <v>0</v>
      </c>
      <c r="EI16" s="23">
        <v>0</v>
      </c>
      <c r="EJ16" s="23">
        <v>0</v>
      </c>
      <c r="EK16" s="23">
        <v>7</v>
      </c>
      <c r="EL16" s="23">
        <v>0</v>
      </c>
      <c r="EM16" s="23">
        <v>0</v>
      </c>
      <c r="EN16" s="23">
        <v>0</v>
      </c>
      <c r="EO16" s="23">
        <v>4</v>
      </c>
      <c r="EP16" s="23">
        <v>0</v>
      </c>
      <c r="EQ16" s="23">
        <v>0</v>
      </c>
      <c r="ER16" s="23">
        <v>0</v>
      </c>
      <c r="ES16" s="23">
        <v>0</v>
      </c>
      <c r="ET16" s="23">
        <v>0</v>
      </c>
      <c r="EU16" s="23">
        <v>0</v>
      </c>
      <c r="EV16" s="23">
        <v>0</v>
      </c>
      <c r="EW16" s="23">
        <v>0</v>
      </c>
      <c r="EX16" s="23">
        <v>0</v>
      </c>
      <c r="EY16" s="23">
        <v>4</v>
      </c>
      <c r="EZ16" s="23">
        <v>0</v>
      </c>
      <c r="FA16" s="23">
        <v>0</v>
      </c>
      <c r="FB16" s="23">
        <v>0</v>
      </c>
      <c r="FC16" s="23">
        <v>0</v>
      </c>
      <c r="FD16" s="23">
        <v>0</v>
      </c>
      <c r="FE16" s="23">
        <v>0</v>
      </c>
      <c r="FF16" s="23">
        <v>0</v>
      </c>
      <c r="FG16" s="23">
        <v>0</v>
      </c>
      <c r="FH16" s="23">
        <v>0</v>
      </c>
      <c r="FI16" s="23">
        <v>0</v>
      </c>
      <c r="FJ16" s="23">
        <v>0</v>
      </c>
      <c r="FK16" s="23">
        <v>1</v>
      </c>
      <c r="FL16" s="23">
        <v>0</v>
      </c>
      <c r="FM16" s="23">
        <v>0</v>
      </c>
      <c r="FN16" s="23">
        <v>0</v>
      </c>
      <c r="FO16" s="23">
        <v>0</v>
      </c>
      <c r="FP16" s="23">
        <v>0</v>
      </c>
      <c r="FQ16" s="23">
        <v>0</v>
      </c>
      <c r="FR16" s="23">
        <v>0</v>
      </c>
      <c r="FS16" s="23">
        <v>0</v>
      </c>
      <c r="FT16" s="23">
        <v>0</v>
      </c>
      <c r="FU16" s="23">
        <v>0</v>
      </c>
      <c r="FV16" s="23">
        <v>0</v>
      </c>
      <c r="FW16" s="23">
        <v>0</v>
      </c>
      <c r="FX16" s="23">
        <v>0</v>
      </c>
      <c r="FY16" s="23">
        <v>0</v>
      </c>
      <c r="FZ16" s="23">
        <v>0</v>
      </c>
      <c r="GA16" s="23">
        <v>0</v>
      </c>
      <c r="GB16" s="23">
        <v>0</v>
      </c>
      <c r="GC16" s="23">
        <v>0</v>
      </c>
      <c r="GD16" s="23">
        <v>0</v>
      </c>
      <c r="GE16" s="23">
        <v>0</v>
      </c>
      <c r="GF16" s="23">
        <v>0</v>
      </c>
      <c r="GG16" s="23">
        <v>0</v>
      </c>
      <c r="GH16" s="23">
        <v>0</v>
      </c>
      <c r="GI16" s="23">
        <v>0</v>
      </c>
      <c r="GJ16" s="23">
        <v>0</v>
      </c>
      <c r="GK16" s="23">
        <v>0</v>
      </c>
      <c r="GL16" s="23">
        <v>0</v>
      </c>
      <c r="GM16" s="23">
        <v>0</v>
      </c>
      <c r="GN16" s="23">
        <v>0</v>
      </c>
      <c r="GO16" s="23">
        <v>0</v>
      </c>
      <c r="GP16" s="23">
        <v>7</v>
      </c>
      <c r="GQ16" s="23">
        <v>0</v>
      </c>
      <c r="GR16" s="23">
        <v>0</v>
      </c>
      <c r="GS16" s="23">
        <v>0</v>
      </c>
      <c r="GT16" s="23">
        <v>0</v>
      </c>
      <c r="GU16" s="23">
        <v>0</v>
      </c>
      <c r="GV16" s="23">
        <v>1</v>
      </c>
      <c r="GW16" s="23">
        <v>0</v>
      </c>
      <c r="GX16" s="23">
        <v>0</v>
      </c>
      <c r="GY16" s="23">
        <v>0</v>
      </c>
      <c r="GZ16" s="23">
        <v>0</v>
      </c>
      <c r="HA16" s="23">
        <v>8</v>
      </c>
      <c r="HB16" s="23">
        <v>0</v>
      </c>
      <c r="HC16" s="23">
        <v>14</v>
      </c>
      <c r="HD16" s="23">
        <v>0</v>
      </c>
      <c r="HE16" s="23">
        <v>0</v>
      </c>
      <c r="HF16" s="23">
        <v>0</v>
      </c>
      <c r="HG16" s="23">
        <v>0</v>
      </c>
      <c r="HH16" s="23">
        <v>0</v>
      </c>
      <c r="HI16" s="23">
        <v>0</v>
      </c>
      <c r="HJ16" s="23">
        <v>0</v>
      </c>
      <c r="HK16" s="23">
        <v>0</v>
      </c>
      <c r="HL16" s="23">
        <v>0</v>
      </c>
      <c r="HM16" s="23">
        <v>0</v>
      </c>
      <c r="HN16" s="23">
        <v>0</v>
      </c>
      <c r="HO16" s="23">
        <v>0</v>
      </c>
      <c r="HP16" s="23">
        <v>0</v>
      </c>
      <c r="HQ16" s="23">
        <v>0</v>
      </c>
      <c r="HR16" s="23">
        <v>0</v>
      </c>
      <c r="HS16" s="23">
        <v>5</v>
      </c>
      <c r="HT16" s="23">
        <v>0</v>
      </c>
      <c r="HU16" s="23">
        <v>0</v>
      </c>
      <c r="HV16" s="23">
        <v>2</v>
      </c>
      <c r="HW16" s="23">
        <v>0</v>
      </c>
      <c r="HX16" s="23">
        <v>0</v>
      </c>
      <c r="HY16" s="23">
        <v>0</v>
      </c>
      <c r="HZ16" s="23">
        <v>0</v>
      </c>
      <c r="IA16" s="23">
        <v>0</v>
      </c>
      <c r="IB16" s="23">
        <v>0</v>
      </c>
      <c r="IC16" s="23">
        <v>0</v>
      </c>
      <c r="ID16" s="23">
        <v>0</v>
      </c>
      <c r="IE16" s="23">
        <v>0</v>
      </c>
      <c r="IF16" s="23">
        <v>0</v>
      </c>
      <c r="IG16" s="23">
        <v>0</v>
      </c>
      <c r="IH16" s="23">
        <v>0</v>
      </c>
      <c r="II16" s="23">
        <v>0</v>
      </c>
      <c r="IJ16" s="23">
        <v>0</v>
      </c>
      <c r="IK16" s="23">
        <v>0</v>
      </c>
      <c r="IL16" s="23">
        <v>0</v>
      </c>
      <c r="IM16" s="23">
        <v>0</v>
      </c>
      <c r="IN16" s="23">
        <v>0</v>
      </c>
      <c r="IO16" s="23">
        <v>0</v>
      </c>
      <c r="IP16" s="23">
        <v>0</v>
      </c>
      <c r="IQ16" s="23">
        <v>0</v>
      </c>
      <c r="IR16" s="23">
        <v>0</v>
      </c>
      <c r="IS16" s="23">
        <v>0</v>
      </c>
      <c r="IT16" s="23">
        <v>0</v>
      </c>
      <c r="IU16" s="23">
        <v>0</v>
      </c>
      <c r="IV16" s="23">
        <v>0</v>
      </c>
      <c r="IW16" s="23">
        <v>0</v>
      </c>
      <c r="IX16" s="23">
        <v>0</v>
      </c>
      <c r="IY16" s="23">
        <v>0</v>
      </c>
      <c r="IZ16" s="23">
        <v>0</v>
      </c>
      <c r="JA16" s="23">
        <v>0</v>
      </c>
      <c r="JB16" s="23">
        <v>0</v>
      </c>
      <c r="JC16" s="23">
        <v>0</v>
      </c>
      <c r="JD16" s="23">
        <v>0</v>
      </c>
      <c r="JE16" s="23">
        <v>0</v>
      </c>
      <c r="JF16" s="23">
        <v>0</v>
      </c>
      <c r="JG16" s="23">
        <v>0</v>
      </c>
      <c r="JH16" s="23">
        <v>0</v>
      </c>
      <c r="JI16" s="23">
        <v>0</v>
      </c>
      <c r="JJ16" s="23">
        <v>0</v>
      </c>
      <c r="JK16" s="23">
        <v>0</v>
      </c>
      <c r="JL16" s="23">
        <v>0</v>
      </c>
      <c r="JM16" s="23">
        <v>0</v>
      </c>
      <c r="JN16" s="23">
        <v>0</v>
      </c>
      <c r="JO16" s="23">
        <v>1</v>
      </c>
      <c r="JP16" s="23">
        <v>0</v>
      </c>
      <c r="JQ16" s="23">
        <v>2</v>
      </c>
      <c r="JR16" s="23">
        <v>0</v>
      </c>
      <c r="JS16" s="23">
        <v>0</v>
      </c>
      <c r="JT16" s="23">
        <v>0</v>
      </c>
      <c r="JU16" s="23">
        <v>0</v>
      </c>
      <c r="JV16" s="23">
        <v>0</v>
      </c>
      <c r="JW16" s="23">
        <v>0</v>
      </c>
      <c r="JX16" s="23">
        <v>0</v>
      </c>
      <c r="JY16" s="23">
        <v>0</v>
      </c>
      <c r="JZ16" s="23">
        <v>1</v>
      </c>
      <c r="KA16" s="23">
        <v>0</v>
      </c>
      <c r="KB16" s="23">
        <v>0</v>
      </c>
      <c r="KC16" s="23">
        <v>0</v>
      </c>
      <c r="KD16" s="23">
        <v>0</v>
      </c>
      <c r="KE16" s="23">
        <v>0</v>
      </c>
      <c r="KF16" s="23">
        <v>0</v>
      </c>
      <c r="KG16" s="23">
        <v>0</v>
      </c>
      <c r="KH16" s="23">
        <v>0</v>
      </c>
      <c r="KI16" s="23">
        <v>0</v>
      </c>
      <c r="KJ16" s="23">
        <v>0</v>
      </c>
      <c r="KK16" s="23">
        <v>0</v>
      </c>
      <c r="KL16" s="23">
        <v>0</v>
      </c>
      <c r="KM16" s="23">
        <v>0</v>
      </c>
      <c r="KN16" s="23">
        <v>0</v>
      </c>
      <c r="KO16" s="23">
        <v>0</v>
      </c>
      <c r="KP16" s="23">
        <v>0</v>
      </c>
      <c r="KQ16" s="23">
        <v>0</v>
      </c>
      <c r="KR16" s="23">
        <v>0</v>
      </c>
      <c r="KS16" s="23">
        <v>0</v>
      </c>
      <c r="KT16" s="23">
        <v>0</v>
      </c>
      <c r="KU16" s="23">
        <v>0</v>
      </c>
      <c r="KV16" s="23">
        <v>0</v>
      </c>
      <c r="KW16" s="23">
        <v>0</v>
      </c>
      <c r="KX16" s="23">
        <v>0</v>
      </c>
      <c r="KY16" s="23">
        <v>0</v>
      </c>
      <c r="KZ16" s="23">
        <v>0</v>
      </c>
      <c r="LA16" s="23">
        <v>0</v>
      </c>
      <c r="LB16" s="23">
        <v>0</v>
      </c>
      <c r="LC16" s="23">
        <v>0</v>
      </c>
      <c r="LD16" s="23">
        <v>0</v>
      </c>
      <c r="LE16" s="23">
        <v>0</v>
      </c>
      <c r="LF16" s="23">
        <v>0</v>
      </c>
      <c r="LG16" s="23">
        <v>0</v>
      </c>
      <c r="LH16" s="23">
        <v>1</v>
      </c>
      <c r="LI16" s="23">
        <v>0</v>
      </c>
      <c r="LJ16" s="23">
        <v>0</v>
      </c>
      <c r="LK16" s="23">
        <v>0</v>
      </c>
      <c r="LL16" s="23">
        <v>0</v>
      </c>
      <c r="LM16" s="23">
        <v>0</v>
      </c>
      <c r="LN16" s="278">
        <f ca="1">$A16 - TST!Sweden100dt + 1</f>
        <v>-38</v>
      </c>
      <c r="LO16" s="20">
        <f ca="1">INDEX(OFFSET(TST!HeadRow,ROW()-ROW(TST!HeadRow),0,1,COLUMNS(TST!HeadRow)),1,MATCH(LO$5,TST!HeadRow,0))/LO$8</f>
        <v>0</v>
      </c>
      <c r="LP16" s="278">
        <f ca="1">$A16 - TST!Spain100dt + 1</f>
        <v>-38</v>
      </c>
      <c r="LQ16" s="20">
        <f ca="1">INDEX(OFFSET(TST!HeadRow,ROW()-ROW(TST!HeadRow),0,1,COLUMNS(TST!HeadRow)),1,MATCH(LQ$5,TST!HeadRow,0))/LQ$8</f>
        <v>0</v>
      </c>
      <c r="LR16" s="285">
        <f ca="1">$A16 - TST!Victoria100dt + 1</f>
        <v>-47</v>
      </c>
      <c r="LS16" s="20">
        <f ca="1">INDEX(OFFSET(TST!HeadRow,ROW()-ROW(TST!HeadRow),0,1,COLUMNS(TST!HeadRow)),1,MATCH(LS$5,TST!HeadRow,0))/LS$8</f>
        <v>1.5085231558304419</v>
      </c>
      <c r="LT16" s="278">
        <f ca="1">$A16 - TST!Iran100dt + 1</f>
        <v>-32</v>
      </c>
      <c r="LU16" s="20">
        <f ca="1">INDEX(OFFSET(TST!HeadRow,ROW()-ROW(TST!HeadRow),0,1,COLUMNS(TST!HeadRow)),1,MATCH(LU$5,TST!HeadRow,0))/LU$8</f>
        <v>0</v>
      </c>
      <c r="LV16" s="278">
        <f ca="1">$A16 - TST!Japan100dt + 1</f>
        <v>-56</v>
      </c>
      <c r="LW16" s="20">
        <f ca="1">INDEX(OFFSET(TST!HeadRow,ROW()-ROW(TST!HeadRow),0,1,COLUMNS(TST!HeadRow)),1,MATCH(LW$5,TST!HeadRow,0))/LW$8</f>
        <v>0.55312268056399516</v>
      </c>
      <c r="LX16" s="278">
        <f ca="1">$A16 - TST!Queensland100dt + 1</f>
        <v>-46</v>
      </c>
      <c r="LY16" s="20">
        <f ca="1">INDEX(OFFSET(TST!HeadRow,ROW()-ROW(TST!HeadRow),0,1,COLUMNS(TST!HeadRow)),1,MATCH(LY$5,TST!HeadRow,0))/LY$8</f>
        <v>0</v>
      </c>
      <c r="LZ16" s="278">
        <f ca="1">$A16 - TST!Tasmania100dt + 1</f>
        <v>-46</v>
      </c>
      <c r="MA16" s="20">
        <f ca="1">INDEX(OFFSET(TST!HeadRow,ROW()-ROW(TST!HeadRow),0,1,COLUMNS(TST!HeadRow)),1,MATCH(MA$5,TST!HeadRow,0))/MA$8</f>
        <v>0</v>
      </c>
      <c r="MB16" s="278">
        <f ca="1">$A16 - TST!SouthAustralia100dt + 1</f>
        <v>-45</v>
      </c>
      <c r="MC16" s="20">
        <f ca="1">INDEX(OFFSET(TST!HeadRow,ROW()-ROW(TST!HeadRow),0,1,COLUMNS(TST!HeadRow)),1,MATCH(MC$5,TST!HeadRow,0))/MC$8</f>
        <v>0</v>
      </c>
      <c r="MD16" s="278">
        <f ca="1">$A16 - TST!AustralianCapitalTerritory100dt + 1</f>
        <v>-51</v>
      </c>
      <c r="ME16" s="20">
        <f ca="1">INDEX(OFFSET(TST!HeadRow,ROW()-ROW(TST!HeadRow),0,1,COLUMNS(TST!HeadRow)),1,MATCH(ME$5,TST!HeadRow,0))/ME$8</f>
        <v>0</v>
      </c>
      <c r="MF16" s="278">
        <f ca="1">$A16 - TST!NorthernTerritory100dt + 1</f>
        <v>-51</v>
      </c>
      <c r="MG16" s="20">
        <f ca="1">INDEX(OFFSET(TST!HeadRow,ROW()-ROW(TST!HeadRow),0,1,COLUMNS(TST!HeadRow)),1,MATCH(MG$5,TST!HeadRow,0))/MG$8</f>
        <v>0</v>
      </c>
      <c r="MH16" s="278">
        <f ca="1">$A16 - TST!WesternAustralia100dt + 1</f>
        <v>-47</v>
      </c>
      <c r="MI16" s="20">
        <f ca="1">INDEX(OFFSET(TST!HeadRow,ROW()-ROW(TST!HeadRow),0,1,COLUMNS(TST!HeadRow)),1,MATCH(MI$5,TST!HeadRow,0))/MI$8</f>
        <v>0</v>
      </c>
      <c r="MJ16" s="278">
        <f ca="1">$A16 - TST!Germany100dt + 1</f>
        <v>-39</v>
      </c>
      <c r="MK16" s="20">
        <f ca="1">INDEX(OFFSET(TST!HeadRow,ROW()-ROW(TST!HeadRow),0,1,COLUMNS(TST!HeadRow)),1,MATCH(MK$5,TST!HeadRow,0))/MK$8</f>
        <v>0.48181161165984104</v>
      </c>
      <c r="ML16" s="278">
        <f ca="1">$A16 - TST!Denmark100dt + 1</f>
        <v>-40</v>
      </c>
      <c r="MM16" s="20">
        <f ca="1">INDEX(OFFSET(TST!HeadRow,ROW()-ROW(TST!HeadRow),0,1,COLUMNS(TST!HeadRow)),1,MATCH(MM$5,TST!HeadRow,0))/MM$8</f>
        <v>0</v>
      </c>
      <c r="MN16" s="278">
        <f ca="1">$A16 - TST!SouthAfrica100dt + 1</f>
        <v>-56</v>
      </c>
      <c r="MO16" s="20">
        <f ca="1">INDEX(OFFSET(TST!HeadRow,ROW()-ROW(TST!HeadRow),0,1,COLUMNS(TST!HeadRow)),1,MATCH(MO$5,TST!HeadRow,0))/MO$8</f>
        <v>0</v>
      </c>
      <c r="MP16" s="278">
        <f ca="1">$A16 - TST!UnitedKingdom100dt + 1</f>
        <v>-44</v>
      </c>
      <c r="MQ16" s="20">
        <f ca="1">INDEX(OFFSET(TST!HeadRow,ROW()-ROW(TST!HeadRow),0,1,COLUMNS(TST!HeadRow)),1,MATCH(MQ$5,TST!HeadRow,0))/MQ$8</f>
        <v>0</v>
      </c>
      <c r="MR16" s="278">
        <f ca="1">$A16 - TST!Ireland100dt + 1</f>
        <v>-44</v>
      </c>
      <c r="MS16" s="20">
        <f ca="1">INDEX(OFFSET(TST!HeadRow,ROW()-ROW(TST!HeadRow),0,1,COLUMNS(TST!HeadRow)),1,MATCH(MS$5,TST!HeadRow,0))/MS$8</f>
        <v>0</v>
      </c>
      <c r="MT16" s="278">
        <f ca="1">$A16 - TST!Italy100dt + 1</f>
        <v>-29</v>
      </c>
      <c r="MU16" s="20">
        <f ca="1">INDEX(OFFSET(TST!HeadRow,ROW()-ROW(TST!HeadRow),0,1,COLUMNS(TST!HeadRow)),1,MATCH(MU$5,TST!HeadRow,0))/MU$8</f>
        <v>0</v>
      </c>
      <c r="MV16" s="278">
        <f ca="1">$A16 - TST!US100dt + 1</f>
        <v>-46</v>
      </c>
      <c r="MW16" s="20">
        <f ca="1">INDEX(OFFSET(TST!HeadRow,ROW()-ROW(TST!HeadRow),0,1,COLUMNS(TST!HeadRow)),1,MATCH(MW$5,TST!HeadRow,0))/MW$8</f>
        <v>0.15187055346179726</v>
      </c>
      <c r="MX16" s="278">
        <f ca="1">$A16 - TST!AustraliaSum100dt + 1</f>
        <v>-46</v>
      </c>
      <c r="MY16" s="366">
        <f t="shared" si="7"/>
        <v>1.9712979025390318</v>
      </c>
      <c r="MZ16" s="278">
        <f ca="1">$A16 - TST!NewSouthWales100dt + 1</f>
        <v>-44</v>
      </c>
      <c r="NA16" s="366">
        <f ca="1">INDEX(OFFSET(TST!HeadRow,ROW()-ROW(TST!HeadRow),0,1,COLUMNS(TST!HeadRow)),1,MATCH(NA$5,TST!HeadRow,0))/NA$8</f>
        <v>4.9504950495049505</v>
      </c>
      <c r="NB16" s="278">
        <f ca="1">$A16 - TST!Taiwan100dt + 1</f>
        <v>-57</v>
      </c>
      <c r="NC16" s="366">
        <f ca="1">INDEX(OFFSET(TST!HeadRow,ROW()-ROW(TST!HeadRow),0,1,COLUMNS(TST!HeadRow)),1,MATCH(NC$5,TST!HeadRow,0))/NC$8</f>
        <v>3.3603163939503888</v>
      </c>
      <c r="ND16" s="20">
        <f ca="1">$A16 - TST!Hubei100dt + 1</f>
        <v>4</v>
      </c>
      <c r="NE16" s="20">
        <f ca="1">INDEX(OFFSET(TST!HeadRow,ROW()-ROW(TST!HeadRow),0,1,COLUMNS(TST!HeadRow)),1,MATCH(NE$5,TST!HeadRow,0))/NE$8</f>
        <v>607.52136752136755</v>
      </c>
      <c r="NF16" s="20">
        <f ca="1">$A16 - TST!HongKong100dt + 1</f>
        <v>-26</v>
      </c>
      <c r="NG16" s="20">
        <f ca="1">INDEX(OFFSET(TST!HeadRow,ROW()-ROW(TST!HeadRow),0,1,COLUMNS(TST!HeadRow)),1,MATCH(NG$5,TST!HeadRow,0))/NG$8</f>
        <v>10.736813850489867</v>
      </c>
    </row>
    <row r="17" spans="1:371" x14ac:dyDescent="0.25">
      <c r="A17" s="243">
        <v>43859</v>
      </c>
      <c r="B17" s="23">
        <v>0</v>
      </c>
      <c r="C17" s="23">
        <v>0</v>
      </c>
      <c r="D17" s="23">
        <v>0</v>
      </c>
      <c r="E17" s="23">
        <v>0</v>
      </c>
      <c r="F17" s="23">
        <v>0</v>
      </c>
      <c r="G17" s="23">
        <v>0</v>
      </c>
      <c r="H17" s="23">
        <v>0</v>
      </c>
      <c r="I17" s="23">
        <v>0</v>
      </c>
      <c r="J17" s="23">
        <v>0</v>
      </c>
      <c r="K17" s="293">
        <v>4</v>
      </c>
      <c r="L17" s="23">
        <v>0</v>
      </c>
      <c r="M17" s="290">
        <v>1</v>
      </c>
      <c r="N17" s="23">
        <v>0</v>
      </c>
      <c r="O17" s="384">
        <v>0</v>
      </c>
      <c r="P17" s="287">
        <v>1</v>
      </c>
      <c r="Q17" s="23">
        <v>0</v>
      </c>
      <c r="R17" s="23">
        <v>0</v>
      </c>
      <c r="S17" s="23">
        <v>0</v>
      </c>
      <c r="T17" s="23">
        <v>0</v>
      </c>
      <c r="U17" s="23">
        <v>0</v>
      </c>
      <c r="V17" s="23">
        <v>0</v>
      </c>
      <c r="W17" s="23">
        <v>0</v>
      </c>
      <c r="X17" s="23">
        <v>0</v>
      </c>
      <c r="Y17" s="23">
        <v>0</v>
      </c>
      <c r="Z17" s="23">
        <v>0</v>
      </c>
      <c r="AA17" s="23">
        <v>0</v>
      </c>
      <c r="AB17" s="23">
        <v>0</v>
      </c>
      <c r="AC17" s="23">
        <v>0</v>
      </c>
      <c r="AD17" s="23">
        <v>0</v>
      </c>
      <c r="AE17" s="23">
        <v>0</v>
      </c>
      <c r="AF17" s="23">
        <v>0</v>
      </c>
      <c r="AG17" s="23">
        <v>0</v>
      </c>
      <c r="AH17" s="23">
        <v>0</v>
      </c>
      <c r="AI17" s="23">
        <v>1</v>
      </c>
      <c r="AJ17" s="23">
        <v>0</v>
      </c>
      <c r="AK17" s="23">
        <v>0</v>
      </c>
      <c r="AL17" s="23">
        <v>1</v>
      </c>
      <c r="AM17" s="23">
        <v>0</v>
      </c>
      <c r="AN17" s="23">
        <v>0</v>
      </c>
      <c r="AO17" s="23">
        <v>0</v>
      </c>
      <c r="AP17" s="23">
        <v>0</v>
      </c>
      <c r="AQ17" s="23">
        <v>0</v>
      </c>
      <c r="AR17" s="23">
        <v>1</v>
      </c>
      <c r="AS17" s="23">
        <v>0</v>
      </c>
      <c r="AT17" s="23">
        <v>0</v>
      </c>
      <c r="AU17" s="23">
        <v>0</v>
      </c>
      <c r="AV17" s="23">
        <v>0</v>
      </c>
      <c r="AW17" s="23">
        <v>0</v>
      </c>
      <c r="AX17" s="23">
        <v>0</v>
      </c>
      <c r="AY17" s="23">
        <v>152</v>
      </c>
      <c r="AZ17" s="23">
        <v>111</v>
      </c>
      <c r="BA17" s="23">
        <v>147</v>
      </c>
      <c r="BB17" s="23">
        <v>84</v>
      </c>
      <c r="BC17" s="23">
        <v>24</v>
      </c>
      <c r="BD17" s="23">
        <v>277</v>
      </c>
      <c r="BE17" s="23">
        <v>58</v>
      </c>
      <c r="BF17" s="23">
        <v>9</v>
      </c>
      <c r="BG17" s="23">
        <v>43</v>
      </c>
      <c r="BH17" s="23">
        <v>48</v>
      </c>
      <c r="BI17" s="23">
        <v>38</v>
      </c>
      <c r="BJ17" s="23">
        <v>206</v>
      </c>
      <c r="BK17" s="23">
        <v>10</v>
      </c>
      <c r="BL17" s="23">
        <v>3554</v>
      </c>
      <c r="BM17" s="23">
        <v>221</v>
      </c>
      <c r="BN17" s="23">
        <v>16</v>
      </c>
      <c r="BO17" s="23">
        <v>99</v>
      </c>
      <c r="BP17" s="23">
        <v>109</v>
      </c>
      <c r="BQ17" s="23">
        <v>9</v>
      </c>
      <c r="BR17" s="23">
        <v>39</v>
      </c>
      <c r="BS17" s="23">
        <v>7</v>
      </c>
      <c r="BT17" s="23">
        <v>12</v>
      </c>
      <c r="BU17" s="23">
        <v>6</v>
      </c>
      <c r="BV17" s="23">
        <v>56</v>
      </c>
      <c r="BW17" s="23">
        <v>130</v>
      </c>
      <c r="BX17" s="23">
        <v>96</v>
      </c>
      <c r="BY17" s="23">
        <v>27</v>
      </c>
      <c r="BZ17" s="23">
        <v>108</v>
      </c>
      <c r="CA17" s="23">
        <v>27</v>
      </c>
      <c r="CB17" s="23">
        <v>0</v>
      </c>
      <c r="CC17" s="23">
        <v>13</v>
      </c>
      <c r="CD17" s="23">
        <v>55</v>
      </c>
      <c r="CE17" s="23">
        <v>296</v>
      </c>
      <c r="CF17" s="23">
        <v>0</v>
      </c>
      <c r="CG17" s="23">
        <v>0</v>
      </c>
      <c r="CH17" s="23">
        <v>0</v>
      </c>
      <c r="CI17" s="23">
        <v>0</v>
      </c>
      <c r="CJ17" s="23">
        <v>0</v>
      </c>
      <c r="CK17" s="23">
        <v>0</v>
      </c>
      <c r="CL17" s="23">
        <v>0</v>
      </c>
      <c r="CM17" s="23">
        <v>0</v>
      </c>
      <c r="CN17" s="23">
        <v>0</v>
      </c>
      <c r="CO17" s="23">
        <v>0</v>
      </c>
      <c r="CP17" s="23">
        <v>0</v>
      </c>
      <c r="CQ17" s="23">
        <v>0</v>
      </c>
      <c r="CR17" s="23">
        <v>0</v>
      </c>
      <c r="CS17" s="23">
        <v>0</v>
      </c>
      <c r="CT17" s="23">
        <v>0</v>
      </c>
      <c r="CU17" s="23">
        <v>0</v>
      </c>
      <c r="CV17" s="23">
        <v>0</v>
      </c>
      <c r="CW17" s="23">
        <v>0</v>
      </c>
      <c r="CX17" s="23">
        <v>0</v>
      </c>
      <c r="CY17" s="23">
        <v>0</v>
      </c>
      <c r="CZ17" s="23">
        <v>0</v>
      </c>
      <c r="DA17" s="23">
        <v>0</v>
      </c>
      <c r="DB17" s="23">
        <v>0</v>
      </c>
      <c r="DC17" s="23">
        <v>0</v>
      </c>
      <c r="DD17" s="23">
        <v>1</v>
      </c>
      <c r="DE17" s="23">
        <v>0</v>
      </c>
      <c r="DF17" s="23">
        <v>0</v>
      </c>
      <c r="DG17" s="23">
        <v>0</v>
      </c>
      <c r="DH17" s="23">
        <v>0</v>
      </c>
      <c r="DI17" s="23">
        <v>0</v>
      </c>
      <c r="DJ17" s="23">
        <v>0</v>
      </c>
      <c r="DK17" s="23">
        <v>0</v>
      </c>
      <c r="DL17" s="23">
        <v>0</v>
      </c>
      <c r="DM17" s="23">
        <v>0</v>
      </c>
      <c r="DN17" s="23">
        <v>5</v>
      </c>
      <c r="DO17" s="23">
        <v>0</v>
      </c>
      <c r="DP17" s="23">
        <v>0</v>
      </c>
      <c r="DQ17" s="23">
        <v>0</v>
      </c>
      <c r="DR17" s="23">
        <v>4</v>
      </c>
      <c r="DS17" s="23">
        <v>0</v>
      </c>
      <c r="DT17" s="23">
        <v>0</v>
      </c>
      <c r="DU17" s="23">
        <v>0</v>
      </c>
      <c r="DV17" s="23">
        <v>0</v>
      </c>
      <c r="DW17" s="23">
        <v>0</v>
      </c>
      <c r="DX17" s="23">
        <v>0</v>
      </c>
      <c r="DY17" s="23">
        <v>0</v>
      </c>
      <c r="DZ17" s="23">
        <v>0</v>
      </c>
      <c r="EA17" s="23">
        <v>0</v>
      </c>
      <c r="EB17" s="23">
        <v>0</v>
      </c>
      <c r="EC17" s="23">
        <v>0</v>
      </c>
      <c r="ED17" s="23">
        <v>0</v>
      </c>
      <c r="EE17" s="23">
        <v>0</v>
      </c>
      <c r="EF17" s="23">
        <v>0</v>
      </c>
      <c r="EG17" s="23">
        <v>0</v>
      </c>
      <c r="EH17" s="23">
        <v>0</v>
      </c>
      <c r="EI17" s="23">
        <v>0</v>
      </c>
      <c r="EJ17" s="23">
        <v>0</v>
      </c>
      <c r="EK17" s="23">
        <v>7</v>
      </c>
      <c r="EL17" s="23">
        <v>0</v>
      </c>
      <c r="EM17" s="23">
        <v>0</v>
      </c>
      <c r="EN17" s="23">
        <v>0</v>
      </c>
      <c r="EO17" s="23">
        <v>4</v>
      </c>
      <c r="EP17" s="23">
        <v>0</v>
      </c>
      <c r="EQ17" s="23">
        <v>0</v>
      </c>
      <c r="ER17" s="23">
        <v>0</v>
      </c>
      <c r="ES17" s="23">
        <v>0</v>
      </c>
      <c r="ET17" s="23">
        <v>0</v>
      </c>
      <c r="EU17" s="23">
        <v>0</v>
      </c>
      <c r="EV17" s="23">
        <v>0</v>
      </c>
      <c r="EW17" s="23">
        <v>0</v>
      </c>
      <c r="EX17" s="23">
        <v>0</v>
      </c>
      <c r="EY17" s="23">
        <v>7</v>
      </c>
      <c r="EZ17" s="23">
        <v>0</v>
      </c>
      <c r="FA17" s="23">
        <v>0</v>
      </c>
      <c r="FB17" s="23">
        <v>0</v>
      </c>
      <c r="FC17" s="23">
        <v>0</v>
      </c>
      <c r="FD17" s="23">
        <v>0</v>
      </c>
      <c r="FE17" s="23">
        <v>0</v>
      </c>
      <c r="FF17" s="23">
        <v>0</v>
      </c>
      <c r="FG17" s="23">
        <v>0</v>
      </c>
      <c r="FH17" s="23">
        <v>0</v>
      </c>
      <c r="FI17" s="23">
        <v>0</v>
      </c>
      <c r="FJ17" s="23">
        <v>0</v>
      </c>
      <c r="FK17" s="23">
        <v>1</v>
      </c>
      <c r="FL17" s="23">
        <v>0</v>
      </c>
      <c r="FM17" s="23">
        <v>0</v>
      </c>
      <c r="FN17" s="23">
        <v>0</v>
      </c>
      <c r="FO17" s="23">
        <v>0</v>
      </c>
      <c r="FP17" s="23">
        <v>0</v>
      </c>
      <c r="FQ17" s="23">
        <v>0</v>
      </c>
      <c r="FR17" s="23">
        <v>0</v>
      </c>
      <c r="FS17" s="23">
        <v>0</v>
      </c>
      <c r="FT17" s="23">
        <v>0</v>
      </c>
      <c r="FU17" s="23">
        <v>0</v>
      </c>
      <c r="FV17" s="23">
        <v>0</v>
      </c>
      <c r="FW17" s="23">
        <v>0</v>
      </c>
      <c r="FX17" s="23">
        <v>0</v>
      </c>
      <c r="FY17" s="23">
        <v>0</v>
      </c>
      <c r="FZ17" s="23">
        <v>0</v>
      </c>
      <c r="GA17" s="23">
        <v>0</v>
      </c>
      <c r="GB17" s="23">
        <v>0</v>
      </c>
      <c r="GC17" s="23">
        <v>0</v>
      </c>
      <c r="GD17" s="23">
        <v>0</v>
      </c>
      <c r="GE17" s="23">
        <v>0</v>
      </c>
      <c r="GF17" s="23">
        <v>0</v>
      </c>
      <c r="GG17" s="23">
        <v>0</v>
      </c>
      <c r="GH17" s="23">
        <v>0</v>
      </c>
      <c r="GI17" s="23">
        <v>0</v>
      </c>
      <c r="GJ17" s="23">
        <v>0</v>
      </c>
      <c r="GK17" s="23">
        <v>0</v>
      </c>
      <c r="GL17" s="23">
        <v>0</v>
      </c>
      <c r="GM17" s="23">
        <v>0</v>
      </c>
      <c r="GN17" s="23">
        <v>0</v>
      </c>
      <c r="GO17" s="23">
        <v>0</v>
      </c>
      <c r="GP17" s="23">
        <v>7</v>
      </c>
      <c r="GQ17" s="23">
        <v>0</v>
      </c>
      <c r="GR17" s="23">
        <v>0</v>
      </c>
      <c r="GS17" s="23">
        <v>0</v>
      </c>
      <c r="GT17" s="23">
        <v>0</v>
      </c>
      <c r="GU17" s="23">
        <v>0</v>
      </c>
      <c r="GV17" s="23">
        <v>1</v>
      </c>
      <c r="GW17" s="23">
        <v>0</v>
      </c>
      <c r="GX17" s="23">
        <v>0</v>
      </c>
      <c r="GY17" s="23">
        <v>0</v>
      </c>
      <c r="GZ17" s="23">
        <v>0</v>
      </c>
      <c r="HA17" s="23">
        <v>8</v>
      </c>
      <c r="HB17" s="23">
        <v>0</v>
      </c>
      <c r="HC17" s="23">
        <v>14</v>
      </c>
      <c r="HD17" s="23">
        <v>0</v>
      </c>
      <c r="HE17" s="23">
        <v>0</v>
      </c>
      <c r="HF17" s="23">
        <v>0</v>
      </c>
      <c r="HG17" s="23">
        <v>0</v>
      </c>
      <c r="HH17" s="23">
        <v>0</v>
      </c>
      <c r="HI17" s="23">
        <v>0</v>
      </c>
      <c r="HJ17" s="23">
        <v>4</v>
      </c>
      <c r="HK17" s="23">
        <v>0</v>
      </c>
      <c r="HL17" s="23">
        <v>0</v>
      </c>
      <c r="HM17" s="23">
        <v>0</v>
      </c>
      <c r="HN17" s="23">
        <v>0</v>
      </c>
      <c r="HO17" s="23">
        <v>0</v>
      </c>
      <c r="HP17" s="23">
        <v>0</v>
      </c>
      <c r="HQ17" s="23">
        <v>0</v>
      </c>
      <c r="HR17" s="23">
        <v>0</v>
      </c>
      <c r="HS17" s="23">
        <v>5</v>
      </c>
      <c r="HT17" s="23">
        <v>0</v>
      </c>
      <c r="HU17" s="23">
        <v>0</v>
      </c>
      <c r="HV17" s="23">
        <v>2</v>
      </c>
      <c r="HW17" s="23">
        <v>0</v>
      </c>
      <c r="HX17" s="23">
        <v>0</v>
      </c>
      <c r="HY17" s="23">
        <v>0</v>
      </c>
      <c r="HZ17" s="23">
        <v>0</v>
      </c>
      <c r="IA17" s="23">
        <v>0</v>
      </c>
      <c r="IB17" s="23">
        <v>0</v>
      </c>
      <c r="IC17" s="23">
        <v>0</v>
      </c>
      <c r="ID17" s="23">
        <v>0</v>
      </c>
      <c r="IE17" s="23">
        <v>0</v>
      </c>
      <c r="IF17" s="23">
        <v>0</v>
      </c>
      <c r="IG17" s="23">
        <v>0</v>
      </c>
      <c r="IH17" s="23">
        <v>0</v>
      </c>
      <c r="II17" s="23">
        <v>0</v>
      </c>
      <c r="IJ17" s="23">
        <v>0</v>
      </c>
      <c r="IK17" s="23">
        <v>0</v>
      </c>
      <c r="IL17" s="23">
        <v>0</v>
      </c>
      <c r="IM17" s="23">
        <v>0</v>
      </c>
      <c r="IN17" s="23">
        <v>0</v>
      </c>
      <c r="IO17" s="23">
        <v>0</v>
      </c>
      <c r="IP17" s="23">
        <v>0</v>
      </c>
      <c r="IQ17" s="23">
        <v>0</v>
      </c>
      <c r="IR17" s="23">
        <v>0</v>
      </c>
      <c r="IS17" s="23">
        <v>0</v>
      </c>
      <c r="IT17" s="23">
        <v>0</v>
      </c>
      <c r="IU17" s="23">
        <v>0</v>
      </c>
      <c r="IV17" s="23">
        <v>0</v>
      </c>
      <c r="IW17" s="23">
        <v>0</v>
      </c>
      <c r="IX17" s="23">
        <v>0</v>
      </c>
      <c r="IY17" s="23">
        <v>0</v>
      </c>
      <c r="IZ17" s="23">
        <v>0</v>
      </c>
      <c r="JA17" s="23">
        <v>0</v>
      </c>
      <c r="JB17" s="23">
        <v>0</v>
      </c>
      <c r="JC17" s="23">
        <v>0</v>
      </c>
      <c r="JD17" s="23">
        <v>0</v>
      </c>
      <c r="JE17" s="23">
        <v>0</v>
      </c>
      <c r="JF17" s="23">
        <v>0</v>
      </c>
      <c r="JG17" s="23">
        <v>0</v>
      </c>
      <c r="JH17" s="23">
        <v>0</v>
      </c>
      <c r="JI17" s="23">
        <v>0</v>
      </c>
      <c r="JJ17" s="23">
        <v>0</v>
      </c>
      <c r="JK17" s="23">
        <v>0</v>
      </c>
      <c r="JL17" s="23">
        <v>0</v>
      </c>
      <c r="JM17" s="23">
        <v>0</v>
      </c>
      <c r="JN17" s="23">
        <v>0</v>
      </c>
      <c r="JO17" s="23">
        <v>1</v>
      </c>
      <c r="JP17" s="23">
        <v>0</v>
      </c>
      <c r="JQ17" s="23">
        <v>2</v>
      </c>
      <c r="JR17" s="23">
        <v>0</v>
      </c>
      <c r="JS17" s="23">
        <v>0</v>
      </c>
      <c r="JT17" s="23">
        <v>0</v>
      </c>
      <c r="JU17" s="23">
        <v>0</v>
      </c>
      <c r="JV17" s="23">
        <v>0</v>
      </c>
      <c r="JW17" s="23">
        <v>0</v>
      </c>
      <c r="JX17" s="23">
        <v>0</v>
      </c>
      <c r="JY17" s="23">
        <v>0</v>
      </c>
      <c r="JZ17" s="23">
        <v>1</v>
      </c>
      <c r="KA17" s="23">
        <v>0</v>
      </c>
      <c r="KB17" s="23">
        <v>0</v>
      </c>
      <c r="KC17" s="23">
        <v>0</v>
      </c>
      <c r="KD17" s="23">
        <v>0</v>
      </c>
      <c r="KE17" s="23">
        <v>0</v>
      </c>
      <c r="KF17" s="23">
        <v>0</v>
      </c>
      <c r="KG17" s="23">
        <v>0</v>
      </c>
      <c r="KH17" s="23">
        <v>0</v>
      </c>
      <c r="KI17" s="23">
        <v>0</v>
      </c>
      <c r="KJ17" s="23">
        <v>0</v>
      </c>
      <c r="KK17" s="23">
        <v>0</v>
      </c>
      <c r="KL17" s="23">
        <v>0</v>
      </c>
      <c r="KM17" s="23">
        <v>0</v>
      </c>
      <c r="KN17" s="23">
        <v>0</v>
      </c>
      <c r="KO17" s="23">
        <v>0</v>
      </c>
      <c r="KP17" s="23">
        <v>0</v>
      </c>
      <c r="KQ17" s="23">
        <v>0</v>
      </c>
      <c r="KR17" s="23">
        <v>0</v>
      </c>
      <c r="KS17" s="23">
        <v>0</v>
      </c>
      <c r="KT17" s="23">
        <v>0</v>
      </c>
      <c r="KU17" s="23">
        <v>0</v>
      </c>
      <c r="KV17" s="23">
        <v>0</v>
      </c>
      <c r="KW17" s="23">
        <v>0</v>
      </c>
      <c r="KX17" s="23">
        <v>0</v>
      </c>
      <c r="KY17" s="23">
        <v>0</v>
      </c>
      <c r="KZ17" s="23">
        <v>0</v>
      </c>
      <c r="LA17" s="23">
        <v>0</v>
      </c>
      <c r="LB17" s="23">
        <v>0</v>
      </c>
      <c r="LC17" s="23">
        <v>0</v>
      </c>
      <c r="LD17" s="23">
        <v>0</v>
      </c>
      <c r="LE17" s="23">
        <v>0</v>
      </c>
      <c r="LF17" s="23">
        <v>0</v>
      </c>
      <c r="LG17" s="23">
        <v>0</v>
      </c>
      <c r="LH17" s="23">
        <v>1</v>
      </c>
      <c r="LI17" s="23">
        <v>0</v>
      </c>
      <c r="LJ17" s="23">
        <v>0</v>
      </c>
      <c r="LK17" s="23">
        <v>0</v>
      </c>
      <c r="LL17" s="23">
        <v>0</v>
      </c>
      <c r="LM17" s="23">
        <v>0</v>
      </c>
      <c r="LN17" s="278">
        <f ca="1">$A17 - TST!Sweden100dt + 1</f>
        <v>-37</v>
      </c>
      <c r="LO17" s="20">
        <f ca="1">INDEX(OFFSET(TST!HeadRow,ROW()-ROW(TST!HeadRow),0,1,COLUMNS(TST!HeadRow)),1,MATCH(LO$5,TST!HeadRow,0))/LO$8</f>
        <v>0</v>
      </c>
      <c r="LP17" s="278">
        <f ca="1">$A17 - TST!Spain100dt + 1</f>
        <v>-37</v>
      </c>
      <c r="LQ17" s="20">
        <f ca="1">INDEX(OFFSET(TST!HeadRow,ROW()-ROW(TST!HeadRow),0,1,COLUMNS(TST!HeadRow)),1,MATCH(LQ$5,TST!HeadRow,0))/LQ$8</f>
        <v>0</v>
      </c>
      <c r="LR17" s="285">
        <f ca="1">$A17 - TST!Victoria100dt + 1</f>
        <v>-46</v>
      </c>
      <c r="LS17" s="20">
        <f ca="1">INDEX(OFFSET(TST!HeadRow,ROW()-ROW(TST!HeadRow),0,1,COLUMNS(TST!HeadRow)),1,MATCH(LS$5,TST!HeadRow,0))/LS$8</f>
        <v>1.5085231558304419</v>
      </c>
      <c r="LT17" s="278">
        <f ca="1">$A17 - TST!Iran100dt + 1</f>
        <v>-31</v>
      </c>
      <c r="LU17" s="20">
        <f ca="1">INDEX(OFFSET(TST!HeadRow,ROW()-ROW(TST!HeadRow),0,1,COLUMNS(TST!HeadRow)),1,MATCH(LU$5,TST!HeadRow,0))/LU$8</f>
        <v>0</v>
      </c>
      <c r="LV17" s="278">
        <f ca="1">$A17 - TST!Japan100dt + 1</f>
        <v>-55</v>
      </c>
      <c r="LW17" s="20">
        <f ca="1">INDEX(OFFSET(TST!HeadRow,ROW()-ROW(TST!HeadRow),0,1,COLUMNS(TST!HeadRow)),1,MATCH(LW$5,TST!HeadRow,0))/LW$8</f>
        <v>0.55312268056399516</v>
      </c>
      <c r="LX17" s="278">
        <f ca="1">$A17 - TST!Queensland100dt + 1</f>
        <v>-45</v>
      </c>
      <c r="LY17" s="20">
        <f ca="1">INDEX(OFFSET(TST!HeadRow,ROW()-ROW(TST!HeadRow),0,1,COLUMNS(TST!HeadRow)),1,MATCH(LY$5,TST!HeadRow,0))/LY$8</f>
        <v>1.9548618489357048</v>
      </c>
      <c r="LZ17" s="278">
        <f ca="1">$A17 - TST!Tasmania100dt + 1</f>
        <v>-45</v>
      </c>
      <c r="MA17" s="20">
        <f ca="1">INDEX(OFFSET(TST!HeadRow,ROW()-ROW(TST!HeadRow),0,1,COLUMNS(TST!HeadRow)),1,MATCH(MA$5,TST!HeadRow,0))/MA$8</f>
        <v>0</v>
      </c>
      <c r="MB17" s="278">
        <f ca="1">$A17 - TST!SouthAustralia100dt + 1</f>
        <v>-44</v>
      </c>
      <c r="MC17" s="20">
        <f ca="1">INDEX(OFFSET(TST!HeadRow,ROW()-ROW(TST!HeadRow),0,1,COLUMNS(TST!HeadRow)),1,MATCH(MC$5,TST!HeadRow,0))/MC$8</f>
        <v>0</v>
      </c>
      <c r="MD17" s="278">
        <f ca="1">$A17 - TST!AustralianCapitalTerritory100dt + 1</f>
        <v>-50</v>
      </c>
      <c r="ME17" s="20">
        <f ca="1">INDEX(OFFSET(TST!HeadRow,ROW()-ROW(TST!HeadRow),0,1,COLUMNS(TST!HeadRow)),1,MATCH(ME$5,TST!HeadRow,0))/ME$8</f>
        <v>0</v>
      </c>
      <c r="MF17" s="278">
        <f ca="1">$A17 - TST!NorthernTerritory100dt + 1</f>
        <v>-50</v>
      </c>
      <c r="MG17" s="20">
        <f ca="1">INDEX(OFFSET(TST!HeadRow,ROW()-ROW(TST!HeadRow),0,1,COLUMNS(TST!HeadRow)),1,MATCH(MG$5,TST!HeadRow,0))/MG$8</f>
        <v>0</v>
      </c>
      <c r="MH17" s="278">
        <f ca="1">$A17 - TST!WesternAustralia100dt + 1</f>
        <v>-46</v>
      </c>
      <c r="MI17" s="20">
        <f ca="1">INDEX(OFFSET(TST!HeadRow,ROW()-ROW(TST!HeadRow),0,1,COLUMNS(TST!HeadRow)),1,MATCH(MI$5,TST!HeadRow,0))/MI$8</f>
        <v>0</v>
      </c>
      <c r="MJ17" s="278">
        <f ca="1">$A17 - TST!Germany100dt + 1</f>
        <v>-38</v>
      </c>
      <c r="MK17" s="20">
        <f ca="1">INDEX(OFFSET(TST!HeadRow,ROW()-ROW(TST!HeadRow),0,1,COLUMNS(TST!HeadRow)),1,MATCH(MK$5,TST!HeadRow,0))/MK$8</f>
        <v>0.48181161165984104</v>
      </c>
      <c r="ML17" s="278">
        <f ca="1">$A17 - TST!Denmark100dt + 1</f>
        <v>-39</v>
      </c>
      <c r="MM17" s="20">
        <f ca="1">INDEX(OFFSET(TST!HeadRow,ROW()-ROW(TST!HeadRow),0,1,COLUMNS(TST!HeadRow)),1,MATCH(MM$5,TST!HeadRow,0))/MM$8</f>
        <v>0</v>
      </c>
      <c r="MN17" s="278">
        <f ca="1">$A17 - TST!SouthAfrica100dt + 1</f>
        <v>-55</v>
      </c>
      <c r="MO17" s="20">
        <f ca="1">INDEX(OFFSET(TST!HeadRow,ROW()-ROW(TST!HeadRow),0,1,COLUMNS(TST!HeadRow)),1,MATCH(MO$5,TST!HeadRow,0))/MO$8</f>
        <v>0</v>
      </c>
      <c r="MP17" s="278">
        <f ca="1">$A17 - TST!UnitedKingdom100dt + 1</f>
        <v>-43</v>
      </c>
      <c r="MQ17" s="20">
        <f ca="1">INDEX(OFFSET(TST!HeadRow,ROW()-ROW(TST!HeadRow),0,1,COLUMNS(TST!HeadRow)),1,MATCH(MQ$5,TST!HeadRow,0))/MQ$8</f>
        <v>0</v>
      </c>
      <c r="MR17" s="278">
        <f ca="1">$A17 - TST!Ireland100dt + 1</f>
        <v>-43</v>
      </c>
      <c r="MS17" s="20">
        <f ca="1">INDEX(OFFSET(TST!HeadRow,ROW()-ROW(TST!HeadRow),0,1,COLUMNS(TST!HeadRow)),1,MATCH(MS$5,TST!HeadRow,0))/MS$8</f>
        <v>0</v>
      </c>
      <c r="MT17" s="278">
        <f ca="1">$A17 - TST!Italy100dt + 1</f>
        <v>-28</v>
      </c>
      <c r="MU17" s="20">
        <f ca="1">INDEX(OFFSET(TST!HeadRow,ROW()-ROW(TST!HeadRow),0,1,COLUMNS(TST!HeadRow)),1,MATCH(MU$5,TST!HeadRow,0))/MU$8</f>
        <v>0</v>
      </c>
      <c r="MV17" s="278">
        <f ca="1">$A17 - TST!US100dt + 1</f>
        <v>-45</v>
      </c>
      <c r="MW17" s="20">
        <f ca="1">INDEX(OFFSET(TST!HeadRow,ROW()-ROW(TST!HeadRow),0,1,COLUMNS(TST!HeadRow)),1,MATCH(MW$5,TST!HeadRow,0))/MW$8</f>
        <v>0.15187055346179726</v>
      </c>
      <c r="MX17" s="278">
        <f ca="1">$A17 - TST!AustraliaSum100dt + 1</f>
        <v>-45</v>
      </c>
      <c r="MY17" s="366">
        <f t="shared" si="7"/>
        <v>2.365557483046838</v>
      </c>
      <c r="MZ17" s="278">
        <f ca="1">$A17 - TST!NewSouthWales100dt + 1</f>
        <v>-43</v>
      </c>
      <c r="NA17" s="366">
        <f ca="1">INDEX(OFFSET(TST!HeadRow,ROW()-ROW(TST!HeadRow),0,1,COLUMNS(TST!HeadRow)),1,MATCH(NA$5,TST!HeadRow,0))/NA$8</f>
        <v>4.9504950495049505</v>
      </c>
      <c r="NB17" s="278">
        <f ca="1">$A17 - TST!Taiwan100dt + 1</f>
        <v>-56</v>
      </c>
      <c r="NC17" s="366">
        <f ca="1">INDEX(OFFSET(TST!HeadRow,ROW()-ROW(TST!HeadRow),0,1,COLUMNS(TST!HeadRow)),1,MATCH(NC$5,TST!HeadRow,0))/NC$8</f>
        <v>3.3603163939503888</v>
      </c>
      <c r="ND17" s="20">
        <f ca="1">$A17 - TST!Hubei100dt + 1</f>
        <v>5</v>
      </c>
      <c r="NE17" s="20">
        <f ca="1">INDEX(OFFSET(TST!HeadRow,ROW()-ROW(TST!HeadRow),0,1,COLUMNS(TST!HeadRow)),1,MATCH(NE$5,TST!HeadRow,0))/NE$8</f>
        <v>607.52136752136755</v>
      </c>
      <c r="NF17" s="20">
        <f ca="1">$A17 - TST!HongKong100dt + 1</f>
        <v>-25</v>
      </c>
      <c r="NG17" s="20">
        <f ca="1">INDEX(OFFSET(TST!HeadRow,ROW()-ROW(TST!HeadRow),0,1,COLUMNS(TST!HeadRow)),1,MATCH(NG$5,TST!HeadRow,0))/NG$8</f>
        <v>13.421017313112333</v>
      </c>
    </row>
    <row r="18" spans="1:371" x14ac:dyDescent="0.25">
      <c r="A18" s="243">
        <v>43860</v>
      </c>
      <c r="B18" s="23">
        <v>0</v>
      </c>
      <c r="C18" s="23">
        <v>0</v>
      </c>
      <c r="D18" s="23">
        <v>0</v>
      </c>
      <c r="E18" s="23">
        <v>0</v>
      </c>
      <c r="F18" s="23">
        <v>0</v>
      </c>
      <c r="G18" s="23">
        <v>0</v>
      </c>
      <c r="H18" s="23">
        <v>0</v>
      </c>
      <c r="I18" s="23">
        <v>0</v>
      </c>
      <c r="J18" s="23">
        <v>0</v>
      </c>
      <c r="K18" s="293">
        <v>4</v>
      </c>
      <c r="L18" s="23">
        <v>0</v>
      </c>
      <c r="M18" s="290">
        <v>3</v>
      </c>
      <c r="N18" s="23">
        <v>0</v>
      </c>
      <c r="O18" s="384">
        <v>0</v>
      </c>
      <c r="P18" s="287">
        <v>2</v>
      </c>
      <c r="Q18" s="23">
        <v>0</v>
      </c>
      <c r="R18" s="23">
        <v>0</v>
      </c>
      <c r="S18" s="23">
        <v>0</v>
      </c>
      <c r="T18" s="23">
        <v>0</v>
      </c>
      <c r="U18" s="23">
        <v>0</v>
      </c>
      <c r="V18" s="23">
        <v>0</v>
      </c>
      <c r="W18" s="23">
        <v>0</v>
      </c>
      <c r="X18" s="23">
        <v>0</v>
      </c>
      <c r="Y18" s="23">
        <v>0</v>
      </c>
      <c r="Z18" s="23">
        <v>0</v>
      </c>
      <c r="AA18" s="23">
        <v>0</v>
      </c>
      <c r="AB18" s="23">
        <v>0</v>
      </c>
      <c r="AC18" s="23">
        <v>0</v>
      </c>
      <c r="AD18" s="23">
        <v>0</v>
      </c>
      <c r="AE18" s="23">
        <v>0</v>
      </c>
      <c r="AF18" s="23">
        <v>0</v>
      </c>
      <c r="AG18" s="23">
        <v>0</v>
      </c>
      <c r="AH18" s="23">
        <v>0</v>
      </c>
      <c r="AI18" s="23">
        <v>1</v>
      </c>
      <c r="AJ18" s="23">
        <v>0</v>
      </c>
      <c r="AK18" s="23">
        <v>0</v>
      </c>
      <c r="AL18" s="23">
        <v>1</v>
      </c>
      <c r="AM18" s="23">
        <v>0</v>
      </c>
      <c r="AN18" s="23">
        <v>0</v>
      </c>
      <c r="AO18" s="23">
        <v>0</v>
      </c>
      <c r="AP18" s="23">
        <v>0</v>
      </c>
      <c r="AQ18" s="23">
        <v>0</v>
      </c>
      <c r="AR18" s="23">
        <v>1</v>
      </c>
      <c r="AS18" s="23">
        <v>0</v>
      </c>
      <c r="AT18" s="23">
        <v>0</v>
      </c>
      <c r="AU18" s="23">
        <v>0</v>
      </c>
      <c r="AV18" s="23">
        <v>0</v>
      </c>
      <c r="AW18" s="23">
        <v>0</v>
      </c>
      <c r="AX18" s="23">
        <v>0</v>
      </c>
      <c r="AY18" s="23">
        <v>200</v>
      </c>
      <c r="AZ18" s="23">
        <v>114</v>
      </c>
      <c r="BA18" s="23">
        <v>182</v>
      </c>
      <c r="BB18" s="23">
        <v>101</v>
      </c>
      <c r="BC18" s="23">
        <v>26</v>
      </c>
      <c r="BD18" s="23">
        <v>354</v>
      </c>
      <c r="BE18" s="23">
        <v>78</v>
      </c>
      <c r="BF18" s="23">
        <v>12</v>
      </c>
      <c r="BG18" s="23">
        <v>46</v>
      </c>
      <c r="BH18" s="23">
        <v>65</v>
      </c>
      <c r="BI18" s="23">
        <v>44</v>
      </c>
      <c r="BJ18" s="23">
        <v>278</v>
      </c>
      <c r="BK18" s="23">
        <v>10</v>
      </c>
      <c r="BL18" s="23">
        <v>4903</v>
      </c>
      <c r="BM18" s="23">
        <v>277</v>
      </c>
      <c r="BN18" s="23">
        <v>19</v>
      </c>
      <c r="BO18" s="23">
        <v>129</v>
      </c>
      <c r="BP18" s="23">
        <v>162</v>
      </c>
      <c r="BQ18" s="23">
        <v>14</v>
      </c>
      <c r="BR18" s="23">
        <v>41</v>
      </c>
      <c r="BS18" s="23">
        <v>7</v>
      </c>
      <c r="BT18" s="23">
        <v>17</v>
      </c>
      <c r="BU18" s="23">
        <v>8</v>
      </c>
      <c r="BV18" s="23">
        <v>63</v>
      </c>
      <c r="BW18" s="23">
        <v>158</v>
      </c>
      <c r="BX18" s="23">
        <v>112</v>
      </c>
      <c r="BY18" s="23">
        <v>35</v>
      </c>
      <c r="BZ18" s="23">
        <v>142</v>
      </c>
      <c r="CA18" s="23">
        <v>31</v>
      </c>
      <c r="CB18" s="23">
        <v>1</v>
      </c>
      <c r="CC18" s="23">
        <v>14</v>
      </c>
      <c r="CD18" s="23">
        <v>70</v>
      </c>
      <c r="CE18" s="23">
        <v>428</v>
      </c>
      <c r="CF18" s="23">
        <v>0</v>
      </c>
      <c r="CG18" s="23">
        <v>0</v>
      </c>
      <c r="CH18" s="23">
        <v>0</v>
      </c>
      <c r="CI18" s="23">
        <v>0</v>
      </c>
      <c r="CJ18" s="23">
        <v>0</v>
      </c>
      <c r="CK18" s="23">
        <v>0</v>
      </c>
      <c r="CL18" s="23">
        <v>0</v>
      </c>
      <c r="CM18" s="23">
        <v>0</v>
      </c>
      <c r="CN18" s="23">
        <v>0</v>
      </c>
      <c r="CO18" s="23">
        <v>0</v>
      </c>
      <c r="CP18" s="23">
        <v>0</v>
      </c>
      <c r="CQ18" s="23">
        <v>0</v>
      </c>
      <c r="CR18" s="23">
        <v>0</v>
      </c>
      <c r="CS18" s="23">
        <v>0</v>
      </c>
      <c r="CT18" s="23">
        <v>0</v>
      </c>
      <c r="CU18" s="23">
        <v>0</v>
      </c>
      <c r="CV18" s="23">
        <v>0</v>
      </c>
      <c r="CW18" s="23">
        <v>0</v>
      </c>
      <c r="CX18" s="23">
        <v>0</v>
      </c>
      <c r="CY18" s="23">
        <v>0</v>
      </c>
      <c r="CZ18" s="23">
        <v>0</v>
      </c>
      <c r="DA18" s="23">
        <v>0</v>
      </c>
      <c r="DB18" s="23">
        <v>0</v>
      </c>
      <c r="DC18" s="23">
        <v>0</v>
      </c>
      <c r="DD18" s="23">
        <v>1</v>
      </c>
      <c r="DE18" s="23">
        <v>0</v>
      </c>
      <c r="DF18" s="23">
        <v>0</v>
      </c>
      <c r="DG18" s="23">
        <v>0</v>
      </c>
      <c r="DH18" s="23">
        <v>0</v>
      </c>
      <c r="DI18" s="23">
        <v>0</v>
      </c>
      <c r="DJ18" s="23">
        <v>0</v>
      </c>
      <c r="DK18" s="23">
        <v>0</v>
      </c>
      <c r="DL18" s="23">
        <v>0</v>
      </c>
      <c r="DM18" s="23">
        <v>0</v>
      </c>
      <c r="DN18" s="23">
        <v>5</v>
      </c>
      <c r="DO18" s="23">
        <v>0</v>
      </c>
      <c r="DP18" s="23">
        <v>0</v>
      </c>
      <c r="DQ18" s="23">
        <v>0</v>
      </c>
      <c r="DR18" s="23">
        <v>4</v>
      </c>
      <c r="DS18" s="23">
        <v>0</v>
      </c>
      <c r="DT18" s="23">
        <v>0</v>
      </c>
      <c r="DU18" s="23">
        <v>0</v>
      </c>
      <c r="DV18" s="23">
        <v>0</v>
      </c>
      <c r="DW18" s="23">
        <v>0</v>
      </c>
      <c r="DX18" s="23">
        <v>0</v>
      </c>
      <c r="DY18" s="23">
        <v>0</v>
      </c>
      <c r="DZ18" s="23">
        <v>0</v>
      </c>
      <c r="EA18" s="23">
        <v>0</v>
      </c>
      <c r="EB18" s="23">
        <v>0</v>
      </c>
      <c r="EC18" s="23">
        <v>1</v>
      </c>
      <c r="ED18" s="23">
        <v>0</v>
      </c>
      <c r="EE18" s="23">
        <v>0</v>
      </c>
      <c r="EF18" s="23">
        <v>0</v>
      </c>
      <c r="EG18" s="23">
        <v>0</v>
      </c>
      <c r="EH18" s="23">
        <v>0</v>
      </c>
      <c r="EI18" s="23">
        <v>0</v>
      </c>
      <c r="EJ18" s="23">
        <v>0</v>
      </c>
      <c r="EK18" s="23">
        <v>11</v>
      </c>
      <c r="EL18" s="23">
        <v>0</v>
      </c>
      <c r="EM18" s="23">
        <v>0</v>
      </c>
      <c r="EN18" s="23">
        <v>0</v>
      </c>
      <c r="EO18" s="23">
        <v>4</v>
      </c>
      <c r="EP18" s="23">
        <v>0</v>
      </c>
      <c r="EQ18" s="23">
        <v>0</v>
      </c>
      <c r="ER18" s="23">
        <v>0</v>
      </c>
      <c r="ES18" s="23">
        <v>0</v>
      </c>
      <c r="ET18" s="23">
        <v>0</v>
      </c>
      <c r="EU18" s="23">
        <v>0</v>
      </c>
      <c r="EV18" s="23">
        <v>0</v>
      </c>
      <c r="EW18" s="23">
        <v>0</v>
      </c>
      <c r="EX18" s="23">
        <v>0</v>
      </c>
      <c r="EY18" s="23">
        <v>8</v>
      </c>
      <c r="EZ18" s="23">
        <v>0</v>
      </c>
      <c r="FA18" s="23">
        <v>0</v>
      </c>
      <c r="FB18" s="23">
        <v>0</v>
      </c>
      <c r="FC18" s="23">
        <v>0</v>
      </c>
      <c r="FD18" s="23">
        <v>0</v>
      </c>
      <c r="FE18" s="23">
        <v>0</v>
      </c>
      <c r="FF18" s="23">
        <v>0</v>
      </c>
      <c r="FG18" s="23">
        <v>0</v>
      </c>
      <c r="FH18" s="23">
        <v>0</v>
      </c>
      <c r="FI18" s="23">
        <v>0</v>
      </c>
      <c r="FJ18" s="23">
        <v>0</v>
      </c>
      <c r="FK18" s="23">
        <v>1</v>
      </c>
      <c r="FL18" s="23">
        <v>0</v>
      </c>
      <c r="FM18" s="23">
        <v>0</v>
      </c>
      <c r="FN18" s="23">
        <v>0</v>
      </c>
      <c r="FO18" s="23">
        <v>0</v>
      </c>
      <c r="FP18" s="23">
        <v>0</v>
      </c>
      <c r="FQ18" s="23">
        <v>0</v>
      </c>
      <c r="FR18" s="23">
        <v>0</v>
      </c>
      <c r="FS18" s="23">
        <v>0</v>
      </c>
      <c r="FT18" s="23">
        <v>0</v>
      </c>
      <c r="FU18" s="23">
        <v>0</v>
      </c>
      <c r="FV18" s="23">
        <v>0</v>
      </c>
      <c r="FW18" s="23">
        <v>0</v>
      </c>
      <c r="FX18" s="23">
        <v>0</v>
      </c>
      <c r="FY18" s="23">
        <v>0</v>
      </c>
      <c r="FZ18" s="23">
        <v>0</v>
      </c>
      <c r="GA18" s="23">
        <v>0</v>
      </c>
      <c r="GB18" s="23">
        <v>1</v>
      </c>
      <c r="GC18" s="23">
        <v>0</v>
      </c>
      <c r="GD18" s="23">
        <v>0</v>
      </c>
      <c r="GE18" s="23">
        <v>0</v>
      </c>
      <c r="GF18" s="23">
        <v>0</v>
      </c>
      <c r="GG18" s="23">
        <v>0</v>
      </c>
      <c r="GH18" s="23">
        <v>0</v>
      </c>
      <c r="GI18" s="23">
        <v>0</v>
      </c>
      <c r="GJ18" s="23">
        <v>0</v>
      </c>
      <c r="GK18" s="23">
        <v>0</v>
      </c>
      <c r="GL18" s="23">
        <v>0</v>
      </c>
      <c r="GM18" s="23">
        <v>0</v>
      </c>
      <c r="GN18" s="23">
        <v>0</v>
      </c>
      <c r="GO18" s="23">
        <v>0</v>
      </c>
      <c r="GP18" s="23">
        <v>10</v>
      </c>
      <c r="GQ18" s="23">
        <v>0</v>
      </c>
      <c r="GR18" s="23">
        <v>0</v>
      </c>
      <c r="GS18" s="23">
        <v>0</v>
      </c>
      <c r="GT18" s="23">
        <v>0</v>
      </c>
      <c r="GU18" s="23">
        <v>0</v>
      </c>
      <c r="GV18" s="23">
        <v>1</v>
      </c>
      <c r="GW18" s="23">
        <v>0</v>
      </c>
      <c r="GX18" s="23">
        <v>0</v>
      </c>
      <c r="GY18" s="23">
        <v>0</v>
      </c>
      <c r="GZ18" s="23">
        <v>0</v>
      </c>
      <c r="HA18" s="23">
        <v>9</v>
      </c>
      <c r="HB18" s="23">
        <v>0</v>
      </c>
      <c r="HC18" s="23">
        <v>14</v>
      </c>
      <c r="HD18" s="23">
        <v>0</v>
      </c>
      <c r="HE18" s="23">
        <v>0</v>
      </c>
      <c r="HF18" s="23">
        <v>0</v>
      </c>
      <c r="HG18" s="23">
        <v>0</v>
      </c>
      <c r="HH18" s="23">
        <v>0</v>
      </c>
      <c r="HI18" s="23">
        <v>0</v>
      </c>
      <c r="HJ18" s="23">
        <v>4</v>
      </c>
      <c r="HK18" s="23">
        <v>0</v>
      </c>
      <c r="HL18" s="23">
        <v>0</v>
      </c>
      <c r="HM18" s="23">
        <v>0</v>
      </c>
      <c r="HN18" s="23">
        <v>0</v>
      </c>
      <c r="HO18" s="23">
        <v>0</v>
      </c>
      <c r="HP18" s="23">
        <v>0</v>
      </c>
      <c r="HQ18" s="23">
        <v>0</v>
      </c>
      <c r="HR18" s="23">
        <v>0</v>
      </c>
      <c r="HS18" s="23">
        <v>5</v>
      </c>
      <c r="HT18" s="23">
        <v>0</v>
      </c>
      <c r="HU18" s="23">
        <v>0</v>
      </c>
      <c r="HV18" s="23">
        <v>2</v>
      </c>
      <c r="HW18" s="23">
        <v>0</v>
      </c>
      <c r="HX18" s="23">
        <v>0</v>
      </c>
      <c r="HY18" s="23">
        <v>0</v>
      </c>
      <c r="HZ18" s="23">
        <v>0</v>
      </c>
      <c r="IA18" s="23">
        <v>0</v>
      </c>
      <c r="IB18" s="23">
        <v>0</v>
      </c>
      <c r="IC18" s="23">
        <v>0</v>
      </c>
      <c r="ID18" s="23">
        <v>0</v>
      </c>
      <c r="IE18" s="23">
        <v>0</v>
      </c>
      <c r="IF18" s="23">
        <v>0</v>
      </c>
      <c r="IG18" s="23">
        <v>0</v>
      </c>
      <c r="IH18" s="23">
        <v>0</v>
      </c>
      <c r="II18" s="23">
        <v>0</v>
      </c>
      <c r="IJ18" s="23">
        <v>0</v>
      </c>
      <c r="IK18" s="23">
        <v>0</v>
      </c>
      <c r="IL18" s="23">
        <v>0</v>
      </c>
      <c r="IM18" s="23">
        <v>0</v>
      </c>
      <c r="IN18" s="23">
        <v>0</v>
      </c>
      <c r="IO18" s="23">
        <v>0</v>
      </c>
      <c r="IP18" s="23">
        <v>0</v>
      </c>
      <c r="IQ18" s="23">
        <v>0</v>
      </c>
      <c r="IR18" s="23">
        <v>0</v>
      </c>
      <c r="IS18" s="23">
        <v>0</v>
      </c>
      <c r="IT18" s="23">
        <v>0</v>
      </c>
      <c r="IU18" s="23">
        <v>0</v>
      </c>
      <c r="IV18" s="23">
        <v>0</v>
      </c>
      <c r="IW18" s="23">
        <v>0</v>
      </c>
      <c r="IX18" s="23">
        <v>0</v>
      </c>
      <c r="IY18" s="23">
        <v>0</v>
      </c>
      <c r="IZ18" s="23">
        <v>0</v>
      </c>
      <c r="JA18" s="23">
        <v>0</v>
      </c>
      <c r="JB18" s="23">
        <v>0</v>
      </c>
      <c r="JC18" s="23">
        <v>0</v>
      </c>
      <c r="JD18" s="23">
        <v>0</v>
      </c>
      <c r="JE18" s="23">
        <v>0</v>
      </c>
      <c r="JF18" s="23">
        <v>0</v>
      </c>
      <c r="JG18" s="23">
        <v>0</v>
      </c>
      <c r="JH18" s="23">
        <v>0</v>
      </c>
      <c r="JI18" s="23">
        <v>0</v>
      </c>
      <c r="JJ18" s="23">
        <v>0</v>
      </c>
      <c r="JK18" s="23">
        <v>0</v>
      </c>
      <c r="JL18" s="23">
        <v>0</v>
      </c>
      <c r="JM18" s="23">
        <v>0</v>
      </c>
      <c r="JN18" s="23">
        <v>0</v>
      </c>
      <c r="JO18" s="23">
        <v>1</v>
      </c>
      <c r="JP18" s="23">
        <v>0</v>
      </c>
      <c r="JQ18" s="23">
        <v>2</v>
      </c>
      <c r="JR18" s="23">
        <v>0</v>
      </c>
      <c r="JS18" s="23">
        <v>0</v>
      </c>
      <c r="JT18" s="23">
        <v>0</v>
      </c>
      <c r="JU18" s="23">
        <v>0</v>
      </c>
      <c r="JV18" s="23">
        <v>0</v>
      </c>
      <c r="JW18" s="23">
        <v>0</v>
      </c>
      <c r="JX18" s="23">
        <v>0</v>
      </c>
      <c r="JY18" s="23">
        <v>0</v>
      </c>
      <c r="JZ18" s="23">
        <v>1</v>
      </c>
      <c r="KA18" s="23">
        <v>0</v>
      </c>
      <c r="KB18" s="23">
        <v>0</v>
      </c>
      <c r="KC18" s="23">
        <v>0</v>
      </c>
      <c r="KD18" s="23">
        <v>0</v>
      </c>
      <c r="KE18" s="23">
        <v>0</v>
      </c>
      <c r="KF18" s="23">
        <v>0</v>
      </c>
      <c r="KG18" s="23">
        <v>0</v>
      </c>
      <c r="KH18" s="23">
        <v>0</v>
      </c>
      <c r="KI18" s="23">
        <v>0</v>
      </c>
      <c r="KJ18" s="23">
        <v>0</v>
      </c>
      <c r="KK18" s="23">
        <v>0</v>
      </c>
      <c r="KL18" s="23">
        <v>0</v>
      </c>
      <c r="KM18" s="23">
        <v>0</v>
      </c>
      <c r="KN18" s="23">
        <v>0</v>
      </c>
      <c r="KO18" s="23">
        <v>0</v>
      </c>
      <c r="KP18" s="23">
        <v>0</v>
      </c>
      <c r="KQ18" s="23">
        <v>0</v>
      </c>
      <c r="KR18" s="23">
        <v>0</v>
      </c>
      <c r="KS18" s="23">
        <v>0</v>
      </c>
      <c r="KT18" s="23">
        <v>0</v>
      </c>
      <c r="KU18" s="23">
        <v>0</v>
      </c>
      <c r="KV18" s="23">
        <v>0</v>
      </c>
      <c r="KW18" s="23">
        <v>0</v>
      </c>
      <c r="KX18" s="23">
        <v>0</v>
      </c>
      <c r="KY18" s="23">
        <v>0</v>
      </c>
      <c r="KZ18" s="23">
        <v>0</v>
      </c>
      <c r="LA18" s="23">
        <v>0</v>
      </c>
      <c r="LB18" s="23">
        <v>0</v>
      </c>
      <c r="LC18" s="23">
        <v>0</v>
      </c>
      <c r="LD18" s="23">
        <v>0</v>
      </c>
      <c r="LE18" s="23">
        <v>0</v>
      </c>
      <c r="LF18" s="23">
        <v>0</v>
      </c>
      <c r="LG18" s="23">
        <v>0</v>
      </c>
      <c r="LH18" s="23">
        <v>1</v>
      </c>
      <c r="LI18" s="23">
        <v>0</v>
      </c>
      <c r="LJ18" s="23">
        <v>0</v>
      </c>
      <c r="LK18" s="23">
        <v>0</v>
      </c>
      <c r="LL18" s="23">
        <v>0</v>
      </c>
      <c r="LM18" s="23">
        <v>0</v>
      </c>
      <c r="LN18" s="278">
        <f ca="1">$A18 - TST!Sweden100dt + 1</f>
        <v>-36</v>
      </c>
      <c r="LO18" s="20">
        <f ca="1">INDEX(OFFSET(TST!HeadRow,ROW()-ROW(TST!HeadRow),0,1,COLUMNS(TST!HeadRow)),1,MATCH(LO$5,TST!HeadRow,0))/LO$8</f>
        <v>0</v>
      </c>
      <c r="LP18" s="278">
        <f ca="1">$A18 - TST!Spain100dt + 1</f>
        <v>-36</v>
      </c>
      <c r="LQ18" s="20">
        <f ca="1">INDEX(OFFSET(TST!HeadRow,ROW()-ROW(TST!HeadRow),0,1,COLUMNS(TST!HeadRow)),1,MATCH(LQ$5,TST!HeadRow,0))/LQ$8</f>
        <v>0</v>
      </c>
      <c r="LR18" s="285">
        <f ca="1">$A18 - TST!Victoria100dt + 1</f>
        <v>-45</v>
      </c>
      <c r="LS18" s="20">
        <f ca="1">INDEX(OFFSET(TST!HeadRow,ROW()-ROW(TST!HeadRow),0,1,COLUMNS(TST!HeadRow)),1,MATCH(LS$5,TST!HeadRow,0))/LS$8</f>
        <v>3.0170463116608839</v>
      </c>
      <c r="LT18" s="278">
        <f ca="1">$A18 - TST!Iran100dt + 1</f>
        <v>-30</v>
      </c>
      <c r="LU18" s="20">
        <f ca="1">INDEX(OFFSET(TST!HeadRow,ROW()-ROW(TST!HeadRow),0,1,COLUMNS(TST!HeadRow)),1,MATCH(LU$5,TST!HeadRow,0))/LU$8</f>
        <v>0</v>
      </c>
      <c r="LV18" s="278">
        <f ca="1">$A18 - TST!Japan100dt + 1</f>
        <v>-54</v>
      </c>
      <c r="LW18" s="20">
        <f ca="1">INDEX(OFFSET(TST!HeadRow,ROW()-ROW(TST!HeadRow),0,1,COLUMNS(TST!HeadRow)),1,MATCH(LW$5,TST!HeadRow,0))/LW$8</f>
        <v>0.86919278374342102</v>
      </c>
      <c r="LX18" s="278">
        <f ca="1">$A18 - TST!Queensland100dt + 1</f>
        <v>-44</v>
      </c>
      <c r="LY18" s="20">
        <f ca="1">INDEX(OFFSET(TST!HeadRow,ROW()-ROW(TST!HeadRow),0,1,COLUMNS(TST!HeadRow)),1,MATCH(LY$5,TST!HeadRow,0))/LY$8</f>
        <v>5.8645855468071151</v>
      </c>
      <c r="LZ18" s="278">
        <f ca="1">$A18 - TST!Tasmania100dt + 1</f>
        <v>-44</v>
      </c>
      <c r="MA18" s="20">
        <f ca="1">INDEX(OFFSET(TST!HeadRow,ROW()-ROW(TST!HeadRow),0,1,COLUMNS(TST!HeadRow)),1,MATCH(MA$5,TST!HeadRow,0))/MA$8</f>
        <v>0</v>
      </c>
      <c r="MB18" s="278">
        <f ca="1">$A18 - TST!SouthAustralia100dt + 1</f>
        <v>-43</v>
      </c>
      <c r="MC18" s="20">
        <f ca="1">INDEX(OFFSET(TST!HeadRow,ROW()-ROW(TST!HeadRow),0,1,COLUMNS(TST!HeadRow)),1,MATCH(MC$5,TST!HeadRow,0))/MC$8</f>
        <v>0</v>
      </c>
      <c r="MD18" s="278">
        <f ca="1">$A18 - TST!AustralianCapitalTerritory100dt + 1</f>
        <v>-49</v>
      </c>
      <c r="ME18" s="20">
        <f ca="1">INDEX(OFFSET(TST!HeadRow,ROW()-ROW(TST!HeadRow),0,1,COLUMNS(TST!HeadRow)),1,MATCH(ME$5,TST!HeadRow,0))/ME$8</f>
        <v>0</v>
      </c>
      <c r="MF18" s="278">
        <f ca="1">$A18 - TST!NorthernTerritory100dt + 1</f>
        <v>-49</v>
      </c>
      <c r="MG18" s="20">
        <f ca="1">INDEX(OFFSET(TST!HeadRow,ROW()-ROW(TST!HeadRow),0,1,COLUMNS(TST!HeadRow)),1,MATCH(MG$5,TST!HeadRow,0))/MG$8</f>
        <v>0</v>
      </c>
      <c r="MH18" s="278">
        <f ca="1">$A18 - TST!WesternAustralia100dt + 1</f>
        <v>-45</v>
      </c>
      <c r="MI18" s="20">
        <f ca="1">INDEX(OFFSET(TST!HeadRow,ROW()-ROW(TST!HeadRow),0,1,COLUMNS(TST!HeadRow)),1,MATCH(MI$5,TST!HeadRow,0))/MI$8</f>
        <v>0</v>
      </c>
      <c r="MJ18" s="278">
        <f ca="1">$A18 - TST!Germany100dt + 1</f>
        <v>-37</v>
      </c>
      <c r="MK18" s="20">
        <f ca="1">INDEX(OFFSET(TST!HeadRow,ROW()-ROW(TST!HeadRow),0,1,COLUMNS(TST!HeadRow)),1,MATCH(MK$5,TST!HeadRow,0))/MK$8</f>
        <v>0.48181161165984104</v>
      </c>
      <c r="ML18" s="278">
        <f ca="1">$A18 - TST!Denmark100dt + 1</f>
        <v>-38</v>
      </c>
      <c r="MM18" s="20">
        <f ca="1">INDEX(OFFSET(TST!HeadRow,ROW()-ROW(TST!HeadRow),0,1,COLUMNS(TST!HeadRow)),1,MATCH(MM$5,TST!HeadRow,0))/MM$8</f>
        <v>0</v>
      </c>
      <c r="MN18" s="278">
        <f ca="1">$A18 - TST!SouthAfrica100dt + 1</f>
        <v>-54</v>
      </c>
      <c r="MO18" s="20">
        <f ca="1">INDEX(OFFSET(TST!HeadRow,ROW()-ROW(TST!HeadRow),0,1,COLUMNS(TST!HeadRow)),1,MATCH(MO$5,TST!HeadRow,0))/MO$8</f>
        <v>0</v>
      </c>
      <c r="MP18" s="278">
        <f ca="1">$A18 - TST!UnitedKingdom100dt + 1</f>
        <v>-42</v>
      </c>
      <c r="MQ18" s="20">
        <f ca="1">INDEX(OFFSET(TST!HeadRow,ROW()-ROW(TST!HeadRow),0,1,COLUMNS(TST!HeadRow)),1,MATCH(MQ$5,TST!HeadRow,0))/MQ$8</f>
        <v>0</v>
      </c>
      <c r="MR18" s="278">
        <f ca="1">$A18 - TST!Ireland100dt + 1</f>
        <v>-42</v>
      </c>
      <c r="MS18" s="20">
        <f ca="1">INDEX(OFFSET(TST!HeadRow,ROW()-ROW(TST!HeadRow),0,1,COLUMNS(TST!HeadRow)),1,MATCH(MS$5,TST!HeadRow,0))/MS$8</f>
        <v>0</v>
      </c>
      <c r="MT18" s="278">
        <f ca="1">$A18 - TST!Italy100dt + 1</f>
        <v>-27</v>
      </c>
      <c r="MU18" s="20">
        <f ca="1">INDEX(OFFSET(TST!HeadRow,ROW()-ROW(TST!HeadRow),0,1,COLUMNS(TST!HeadRow)),1,MATCH(MU$5,TST!HeadRow,0))/MU$8</f>
        <v>0</v>
      </c>
      <c r="MV18" s="278">
        <f ca="1">$A18 - TST!US100dt + 1</f>
        <v>-44</v>
      </c>
      <c r="MW18" s="20">
        <f ca="1">INDEX(OFFSET(TST!HeadRow,ROW()-ROW(TST!HeadRow),0,1,COLUMNS(TST!HeadRow)),1,MATCH(MW$5,TST!HeadRow,0))/MW$8</f>
        <v>0.15187055346179726</v>
      </c>
      <c r="MX18" s="278">
        <f ca="1">$A18 - TST!AustraliaSum100dt + 1</f>
        <v>-44</v>
      </c>
      <c r="MY18" s="366">
        <f t="shared" si="7"/>
        <v>3.548336224570257</v>
      </c>
      <c r="MZ18" s="278">
        <f ca="1">$A18 - TST!NewSouthWales100dt + 1</f>
        <v>-42</v>
      </c>
      <c r="NA18" s="366">
        <f ca="1">INDEX(OFFSET(TST!HeadRow,ROW()-ROW(TST!HeadRow),0,1,COLUMNS(TST!HeadRow)),1,MATCH(NA$5,TST!HeadRow,0))/NA$8</f>
        <v>4.9504950495049505</v>
      </c>
      <c r="NB18" s="278">
        <f ca="1">$A18 - TST!Taiwan100dt + 1</f>
        <v>-55</v>
      </c>
      <c r="NC18" s="366">
        <f ca="1">INDEX(OFFSET(TST!HeadRow,ROW()-ROW(TST!HeadRow),0,1,COLUMNS(TST!HeadRow)),1,MATCH(NC$5,TST!HeadRow,0))/NC$8</f>
        <v>3.7803559431941873</v>
      </c>
      <c r="ND18" s="20">
        <f ca="1">$A18 - TST!Hubei100dt + 1</f>
        <v>6</v>
      </c>
      <c r="NE18" s="20">
        <f ca="1">INDEX(OFFSET(TST!HeadRow,ROW()-ROW(TST!HeadRow),0,1,COLUMNS(TST!HeadRow)),1,MATCH(NE$5,TST!HeadRow,0))/NE$8</f>
        <v>838.1196581196582</v>
      </c>
      <c r="NF18" s="20">
        <f ca="1">$A18 - TST!HongKong100dt + 1</f>
        <v>-24</v>
      </c>
      <c r="NG18" s="20">
        <f ca="1">INDEX(OFFSET(TST!HeadRow,ROW()-ROW(TST!HeadRow),0,1,COLUMNS(TST!HeadRow)),1,MATCH(NG$5,TST!HeadRow,0))/NG$8</f>
        <v>13.421017313112333</v>
      </c>
    </row>
    <row r="19" spans="1:371" x14ac:dyDescent="0.25">
      <c r="A19" s="243">
        <v>43861</v>
      </c>
      <c r="B19" s="23">
        <v>0</v>
      </c>
      <c r="C19" s="23">
        <v>0</v>
      </c>
      <c r="D19" s="23">
        <v>0</v>
      </c>
      <c r="E19" s="23">
        <v>0</v>
      </c>
      <c r="F19" s="23">
        <v>0</v>
      </c>
      <c r="G19" s="23">
        <v>0</v>
      </c>
      <c r="H19" s="23">
        <v>0</v>
      </c>
      <c r="I19" s="23">
        <v>0</v>
      </c>
      <c r="J19" s="23">
        <v>0</v>
      </c>
      <c r="K19" s="293">
        <v>4</v>
      </c>
      <c r="L19" s="23">
        <v>0</v>
      </c>
      <c r="M19" s="290">
        <v>2</v>
      </c>
      <c r="N19" s="23">
        <v>0</v>
      </c>
      <c r="O19" s="384">
        <v>0</v>
      </c>
      <c r="P19" s="287">
        <v>3</v>
      </c>
      <c r="Q19" s="23">
        <v>0</v>
      </c>
      <c r="R19" s="23">
        <v>0</v>
      </c>
      <c r="S19" s="23">
        <v>0</v>
      </c>
      <c r="T19" s="23">
        <v>0</v>
      </c>
      <c r="U19" s="23">
        <v>0</v>
      </c>
      <c r="V19" s="23">
        <v>0</v>
      </c>
      <c r="W19" s="23">
        <v>0</v>
      </c>
      <c r="X19" s="23">
        <v>0</v>
      </c>
      <c r="Y19" s="23">
        <v>0</v>
      </c>
      <c r="Z19" s="23">
        <v>0</v>
      </c>
      <c r="AA19" s="23">
        <v>0</v>
      </c>
      <c r="AB19" s="23">
        <v>0</v>
      </c>
      <c r="AC19" s="23">
        <v>0</v>
      </c>
      <c r="AD19" s="23">
        <v>0</v>
      </c>
      <c r="AE19" s="23">
        <v>0</v>
      </c>
      <c r="AF19" s="23">
        <v>0</v>
      </c>
      <c r="AG19" s="23">
        <v>0</v>
      </c>
      <c r="AH19" s="23">
        <v>0</v>
      </c>
      <c r="AI19" s="23">
        <v>1</v>
      </c>
      <c r="AJ19" s="23">
        <v>0</v>
      </c>
      <c r="AK19" s="23">
        <v>0</v>
      </c>
      <c r="AL19" s="23">
        <v>1</v>
      </c>
      <c r="AM19" s="23">
        <v>0</v>
      </c>
      <c r="AN19" s="23">
        <v>0</v>
      </c>
      <c r="AO19" s="23">
        <v>0</v>
      </c>
      <c r="AP19" s="23">
        <v>0</v>
      </c>
      <c r="AQ19" s="23">
        <v>0</v>
      </c>
      <c r="AR19" s="23">
        <v>3</v>
      </c>
      <c r="AS19" s="23">
        <v>0</v>
      </c>
      <c r="AT19" s="23">
        <v>0</v>
      </c>
      <c r="AU19" s="23">
        <v>0</v>
      </c>
      <c r="AV19" s="23">
        <v>0</v>
      </c>
      <c r="AW19" s="23">
        <v>0</v>
      </c>
      <c r="AX19" s="23">
        <v>0</v>
      </c>
      <c r="AY19" s="23">
        <v>237</v>
      </c>
      <c r="AZ19" s="23">
        <v>139</v>
      </c>
      <c r="BA19" s="23">
        <v>211</v>
      </c>
      <c r="BB19" s="23">
        <v>120</v>
      </c>
      <c r="BC19" s="23">
        <v>29</v>
      </c>
      <c r="BD19" s="23">
        <v>436</v>
      </c>
      <c r="BE19" s="23">
        <v>87</v>
      </c>
      <c r="BF19" s="23">
        <v>29</v>
      </c>
      <c r="BG19" s="23">
        <v>52</v>
      </c>
      <c r="BH19" s="23">
        <v>82</v>
      </c>
      <c r="BI19" s="23">
        <v>59</v>
      </c>
      <c r="BJ19" s="23">
        <v>352</v>
      </c>
      <c r="BK19" s="23">
        <v>12</v>
      </c>
      <c r="BL19" s="23">
        <v>5806</v>
      </c>
      <c r="BM19" s="23">
        <v>332</v>
      </c>
      <c r="BN19" s="23">
        <v>20</v>
      </c>
      <c r="BO19" s="23">
        <v>168</v>
      </c>
      <c r="BP19" s="23">
        <v>240</v>
      </c>
      <c r="BQ19" s="23">
        <v>14</v>
      </c>
      <c r="BR19" s="23">
        <v>48</v>
      </c>
      <c r="BS19" s="23">
        <v>7</v>
      </c>
      <c r="BT19" s="23">
        <v>21</v>
      </c>
      <c r="BU19" s="23">
        <v>8</v>
      </c>
      <c r="BV19" s="23">
        <v>87</v>
      </c>
      <c r="BW19" s="23">
        <v>184</v>
      </c>
      <c r="BX19" s="23">
        <v>135</v>
      </c>
      <c r="BY19" s="23">
        <v>39</v>
      </c>
      <c r="BZ19" s="23">
        <v>177</v>
      </c>
      <c r="CA19" s="23">
        <v>32</v>
      </c>
      <c r="CB19" s="23">
        <v>1</v>
      </c>
      <c r="CC19" s="23">
        <v>17</v>
      </c>
      <c r="CD19" s="23">
        <v>83</v>
      </c>
      <c r="CE19" s="23">
        <v>538</v>
      </c>
      <c r="CF19" s="23">
        <v>0</v>
      </c>
      <c r="CG19" s="23">
        <v>0</v>
      </c>
      <c r="CH19" s="23">
        <v>0</v>
      </c>
      <c r="CI19" s="23">
        <v>0</v>
      </c>
      <c r="CJ19" s="23">
        <v>0</v>
      </c>
      <c r="CK19" s="23">
        <v>0</v>
      </c>
      <c r="CL19" s="23">
        <v>0</v>
      </c>
      <c r="CM19" s="23">
        <v>0</v>
      </c>
      <c r="CN19" s="23">
        <v>0</v>
      </c>
      <c r="CO19" s="23">
        <v>0</v>
      </c>
      <c r="CP19" s="23">
        <v>0</v>
      </c>
      <c r="CQ19" s="23">
        <v>0</v>
      </c>
      <c r="CR19" s="23">
        <v>0</v>
      </c>
      <c r="CS19" s="23">
        <v>0</v>
      </c>
      <c r="CT19" s="23">
        <v>0</v>
      </c>
      <c r="CU19" s="23">
        <v>0</v>
      </c>
      <c r="CV19" s="23">
        <v>0</v>
      </c>
      <c r="CW19" s="23">
        <v>0</v>
      </c>
      <c r="CX19" s="23">
        <v>0</v>
      </c>
      <c r="CY19" s="23">
        <v>0</v>
      </c>
      <c r="CZ19" s="23">
        <v>0</v>
      </c>
      <c r="DA19" s="23">
        <v>0</v>
      </c>
      <c r="DB19" s="23">
        <v>0</v>
      </c>
      <c r="DC19" s="23">
        <v>0</v>
      </c>
      <c r="DD19" s="23">
        <v>1</v>
      </c>
      <c r="DE19" s="23">
        <v>0</v>
      </c>
      <c r="DF19" s="23">
        <v>0</v>
      </c>
      <c r="DG19" s="23">
        <v>0</v>
      </c>
      <c r="DH19" s="23">
        <v>0</v>
      </c>
      <c r="DI19" s="23">
        <v>0</v>
      </c>
      <c r="DJ19" s="23">
        <v>0</v>
      </c>
      <c r="DK19" s="23">
        <v>0</v>
      </c>
      <c r="DL19" s="23">
        <v>0</v>
      </c>
      <c r="DM19" s="23">
        <v>0</v>
      </c>
      <c r="DN19" s="23">
        <v>5</v>
      </c>
      <c r="DO19" s="23">
        <v>0</v>
      </c>
      <c r="DP19" s="23">
        <v>0</v>
      </c>
      <c r="DQ19" s="23">
        <v>0</v>
      </c>
      <c r="DR19" s="23">
        <v>5</v>
      </c>
      <c r="DS19" s="23">
        <v>0</v>
      </c>
      <c r="DT19" s="23">
        <v>0</v>
      </c>
      <c r="DU19" s="23">
        <v>0</v>
      </c>
      <c r="DV19" s="23">
        <v>0</v>
      </c>
      <c r="DW19" s="23">
        <v>0</v>
      </c>
      <c r="DX19" s="23">
        <v>0</v>
      </c>
      <c r="DY19" s="23">
        <v>0</v>
      </c>
      <c r="DZ19" s="23">
        <v>0</v>
      </c>
      <c r="EA19" s="23">
        <v>0</v>
      </c>
      <c r="EB19" s="23">
        <v>0</v>
      </c>
      <c r="EC19" s="23">
        <v>1</v>
      </c>
      <c r="ED19" s="23">
        <v>0</v>
      </c>
      <c r="EE19" s="23">
        <v>0</v>
      </c>
      <c r="EF19" s="23">
        <v>0</v>
      </c>
      <c r="EG19" s="23">
        <v>0</v>
      </c>
      <c r="EH19" s="23">
        <v>0</v>
      </c>
      <c r="EI19" s="23">
        <v>2</v>
      </c>
      <c r="EJ19" s="23">
        <v>0</v>
      </c>
      <c r="EK19" s="23">
        <v>15</v>
      </c>
      <c r="EL19" s="23">
        <v>0</v>
      </c>
      <c r="EM19" s="23">
        <v>0</v>
      </c>
      <c r="EN19" s="23">
        <v>0</v>
      </c>
      <c r="EO19" s="23">
        <v>11</v>
      </c>
      <c r="EP19" s="23">
        <v>0</v>
      </c>
      <c r="EQ19" s="23">
        <v>0</v>
      </c>
      <c r="ER19" s="23">
        <v>0</v>
      </c>
      <c r="ES19" s="23">
        <v>0</v>
      </c>
      <c r="ET19" s="23">
        <v>0</v>
      </c>
      <c r="EU19" s="23">
        <v>0</v>
      </c>
      <c r="EV19" s="23">
        <v>0</v>
      </c>
      <c r="EW19" s="23">
        <v>0</v>
      </c>
      <c r="EX19" s="23">
        <v>0</v>
      </c>
      <c r="EY19" s="23">
        <v>8</v>
      </c>
      <c r="EZ19" s="23">
        <v>0</v>
      </c>
      <c r="FA19" s="23">
        <v>0</v>
      </c>
      <c r="FB19" s="23">
        <v>0</v>
      </c>
      <c r="FC19" s="23">
        <v>0</v>
      </c>
      <c r="FD19" s="23">
        <v>0</v>
      </c>
      <c r="FE19" s="23">
        <v>0</v>
      </c>
      <c r="FF19" s="23">
        <v>0</v>
      </c>
      <c r="FG19" s="23">
        <v>0</v>
      </c>
      <c r="FH19" s="23">
        <v>0</v>
      </c>
      <c r="FI19" s="23">
        <v>0</v>
      </c>
      <c r="FJ19" s="23">
        <v>0</v>
      </c>
      <c r="FK19" s="23">
        <v>1</v>
      </c>
      <c r="FL19" s="23">
        <v>0</v>
      </c>
      <c r="FM19" s="23">
        <v>0</v>
      </c>
      <c r="FN19" s="23">
        <v>0</v>
      </c>
      <c r="FO19" s="23">
        <v>0</v>
      </c>
      <c r="FP19" s="23">
        <v>0</v>
      </c>
      <c r="FQ19" s="23">
        <v>0</v>
      </c>
      <c r="FR19" s="23">
        <v>0</v>
      </c>
      <c r="FS19" s="23">
        <v>0</v>
      </c>
      <c r="FT19" s="23">
        <v>0</v>
      </c>
      <c r="FU19" s="23">
        <v>0</v>
      </c>
      <c r="FV19" s="23">
        <v>0</v>
      </c>
      <c r="FW19" s="23">
        <v>0</v>
      </c>
      <c r="FX19" s="23">
        <v>0</v>
      </c>
      <c r="FY19" s="23">
        <v>0</v>
      </c>
      <c r="FZ19" s="23">
        <v>0</v>
      </c>
      <c r="GA19" s="23">
        <v>0</v>
      </c>
      <c r="GB19" s="23">
        <v>1</v>
      </c>
      <c r="GC19" s="23">
        <v>0</v>
      </c>
      <c r="GD19" s="23">
        <v>0</v>
      </c>
      <c r="GE19" s="23">
        <v>0</v>
      </c>
      <c r="GF19" s="23">
        <v>0</v>
      </c>
      <c r="GG19" s="23">
        <v>2</v>
      </c>
      <c r="GH19" s="23">
        <v>0</v>
      </c>
      <c r="GI19" s="23">
        <v>0</v>
      </c>
      <c r="GJ19" s="23">
        <v>0</v>
      </c>
      <c r="GK19" s="23">
        <v>0</v>
      </c>
      <c r="GL19" s="23">
        <v>0</v>
      </c>
      <c r="GM19" s="23">
        <v>0</v>
      </c>
      <c r="GN19" s="23">
        <v>0</v>
      </c>
      <c r="GO19" s="23">
        <v>0</v>
      </c>
      <c r="GP19" s="23">
        <v>13</v>
      </c>
      <c r="GQ19" s="23">
        <v>0</v>
      </c>
      <c r="GR19" s="23">
        <v>0</v>
      </c>
      <c r="GS19" s="23">
        <v>0</v>
      </c>
      <c r="GT19" s="23">
        <v>0</v>
      </c>
      <c r="GU19" s="23">
        <v>0</v>
      </c>
      <c r="GV19" s="23">
        <v>1</v>
      </c>
      <c r="GW19" s="23">
        <v>0</v>
      </c>
      <c r="GX19" s="23">
        <v>0</v>
      </c>
      <c r="GY19" s="23">
        <v>1</v>
      </c>
      <c r="GZ19" s="23">
        <v>0</v>
      </c>
      <c r="HA19" s="23">
        <v>10</v>
      </c>
      <c r="HB19" s="23">
        <v>0</v>
      </c>
      <c r="HC19" s="23">
        <v>19</v>
      </c>
      <c r="HD19" s="23">
        <v>0</v>
      </c>
      <c r="HE19" s="23">
        <v>0</v>
      </c>
      <c r="HF19" s="23">
        <v>0</v>
      </c>
      <c r="HG19" s="23">
        <v>0</v>
      </c>
      <c r="HH19" s="23">
        <v>0</v>
      </c>
      <c r="HI19" s="23">
        <v>0</v>
      </c>
      <c r="HJ19" s="23">
        <v>4</v>
      </c>
      <c r="HK19" s="23">
        <v>0</v>
      </c>
      <c r="HL19" s="23">
        <v>0</v>
      </c>
      <c r="HM19" s="23">
        <v>0</v>
      </c>
      <c r="HN19" s="23">
        <v>0</v>
      </c>
      <c r="HO19" s="23">
        <v>0</v>
      </c>
      <c r="HP19" s="23">
        <v>0</v>
      </c>
      <c r="HQ19" s="23">
        <v>2</v>
      </c>
      <c r="HR19" s="23">
        <v>0</v>
      </c>
      <c r="HS19" s="23">
        <v>7</v>
      </c>
      <c r="HT19" s="23">
        <v>0</v>
      </c>
      <c r="HU19" s="23">
        <v>0</v>
      </c>
      <c r="HV19" s="23">
        <v>2</v>
      </c>
      <c r="HW19" s="23">
        <v>0</v>
      </c>
      <c r="HX19" s="23">
        <v>0</v>
      </c>
      <c r="HY19" s="23">
        <v>0</v>
      </c>
      <c r="HZ19" s="23">
        <v>0</v>
      </c>
      <c r="IA19" s="23">
        <v>0</v>
      </c>
      <c r="IB19" s="23">
        <v>0</v>
      </c>
      <c r="IC19" s="23">
        <v>0</v>
      </c>
      <c r="ID19" s="23">
        <v>0</v>
      </c>
      <c r="IE19" s="23">
        <v>0</v>
      </c>
      <c r="IF19" s="23">
        <v>0</v>
      </c>
      <c r="IG19" s="23">
        <v>0</v>
      </c>
      <c r="IH19" s="23">
        <v>0</v>
      </c>
      <c r="II19" s="23">
        <v>0</v>
      </c>
      <c r="IJ19" s="23">
        <v>0</v>
      </c>
      <c r="IK19" s="23">
        <v>0</v>
      </c>
      <c r="IL19" s="23">
        <v>0</v>
      </c>
      <c r="IM19" s="23">
        <v>0</v>
      </c>
      <c r="IN19" s="23">
        <v>0</v>
      </c>
      <c r="IO19" s="23">
        <v>0</v>
      </c>
      <c r="IP19" s="23">
        <v>0</v>
      </c>
      <c r="IQ19" s="23">
        <v>0</v>
      </c>
      <c r="IR19" s="23">
        <v>0</v>
      </c>
      <c r="IS19" s="23">
        <v>0</v>
      </c>
      <c r="IT19" s="23">
        <v>0</v>
      </c>
      <c r="IU19" s="23">
        <v>0</v>
      </c>
      <c r="IV19" s="23">
        <v>0</v>
      </c>
      <c r="IW19" s="23">
        <v>0</v>
      </c>
      <c r="IX19" s="23">
        <v>0</v>
      </c>
      <c r="IY19" s="23">
        <v>0</v>
      </c>
      <c r="IZ19" s="23">
        <v>0</v>
      </c>
      <c r="JA19" s="23">
        <v>0</v>
      </c>
      <c r="JB19" s="23">
        <v>0</v>
      </c>
      <c r="JC19" s="23">
        <v>0</v>
      </c>
      <c r="JD19" s="23">
        <v>0</v>
      </c>
      <c r="JE19" s="23">
        <v>0</v>
      </c>
      <c r="JF19" s="23">
        <v>0</v>
      </c>
      <c r="JG19" s="23">
        <v>0</v>
      </c>
      <c r="JH19" s="23">
        <v>0</v>
      </c>
      <c r="JI19" s="23">
        <v>0</v>
      </c>
      <c r="JJ19" s="23">
        <v>0</v>
      </c>
      <c r="JK19" s="23">
        <v>0</v>
      </c>
      <c r="JL19" s="23">
        <v>0</v>
      </c>
      <c r="JM19" s="23">
        <v>0</v>
      </c>
      <c r="JN19" s="23">
        <v>0</v>
      </c>
      <c r="JO19" s="23">
        <v>1</v>
      </c>
      <c r="JP19" s="23">
        <v>0</v>
      </c>
      <c r="JQ19" s="23">
        <v>3</v>
      </c>
      <c r="JR19" s="23">
        <v>0</v>
      </c>
      <c r="JS19" s="23">
        <v>0</v>
      </c>
      <c r="JT19" s="23">
        <v>0</v>
      </c>
      <c r="JU19" s="23">
        <v>0</v>
      </c>
      <c r="JV19" s="23">
        <v>0</v>
      </c>
      <c r="JW19" s="23">
        <v>0</v>
      </c>
      <c r="JX19" s="23">
        <v>0</v>
      </c>
      <c r="JY19" s="23">
        <v>0</v>
      </c>
      <c r="JZ19" s="23">
        <v>2</v>
      </c>
      <c r="KA19" s="23">
        <v>0</v>
      </c>
      <c r="KB19" s="23">
        <v>0</v>
      </c>
      <c r="KC19" s="23">
        <v>0</v>
      </c>
      <c r="KD19" s="23">
        <v>0</v>
      </c>
      <c r="KE19" s="23">
        <v>0</v>
      </c>
      <c r="KF19" s="23">
        <v>0</v>
      </c>
      <c r="KG19" s="23">
        <v>0</v>
      </c>
      <c r="KH19" s="23">
        <v>0</v>
      </c>
      <c r="KI19" s="23">
        <v>0</v>
      </c>
      <c r="KJ19" s="23">
        <v>0</v>
      </c>
      <c r="KK19" s="23">
        <v>0</v>
      </c>
      <c r="KL19" s="23">
        <v>0</v>
      </c>
      <c r="KM19" s="23">
        <v>0</v>
      </c>
      <c r="KN19" s="23">
        <v>0</v>
      </c>
      <c r="KO19" s="23">
        <v>0</v>
      </c>
      <c r="KP19" s="23">
        <v>0</v>
      </c>
      <c r="KQ19" s="23">
        <v>0</v>
      </c>
      <c r="KR19" s="23">
        <v>0</v>
      </c>
      <c r="KS19" s="23">
        <v>0</v>
      </c>
      <c r="KT19" s="23">
        <v>0</v>
      </c>
      <c r="KU19" s="23">
        <v>0</v>
      </c>
      <c r="KV19" s="23">
        <v>0</v>
      </c>
      <c r="KW19" s="23">
        <v>0</v>
      </c>
      <c r="KX19" s="23">
        <v>0</v>
      </c>
      <c r="KY19" s="23">
        <v>0</v>
      </c>
      <c r="KZ19" s="23">
        <v>0</v>
      </c>
      <c r="LA19" s="23">
        <v>0</v>
      </c>
      <c r="LB19" s="23">
        <v>0</v>
      </c>
      <c r="LC19" s="23">
        <v>0</v>
      </c>
      <c r="LD19" s="23">
        <v>0</v>
      </c>
      <c r="LE19" s="23">
        <v>0</v>
      </c>
      <c r="LF19" s="23">
        <v>0</v>
      </c>
      <c r="LG19" s="23">
        <v>0</v>
      </c>
      <c r="LH19" s="23">
        <v>1</v>
      </c>
      <c r="LI19" s="23">
        <v>0</v>
      </c>
      <c r="LJ19" s="23">
        <v>0</v>
      </c>
      <c r="LK19" s="23">
        <v>0</v>
      </c>
      <c r="LL19" s="23">
        <v>0</v>
      </c>
      <c r="LM19" s="23">
        <v>0</v>
      </c>
      <c r="LN19" s="278">
        <f ca="1">$A19 - TST!Sweden100dt + 1</f>
        <v>-35</v>
      </c>
      <c r="LO19" s="20">
        <f ca="1">INDEX(OFFSET(TST!HeadRow,ROW()-ROW(TST!HeadRow),0,1,COLUMNS(TST!HeadRow)),1,MATCH(LO$5,TST!HeadRow,0))/LO$8</f>
        <v>0.97751710654936474</v>
      </c>
      <c r="LP19" s="278">
        <f ca="1">$A19 - TST!Spain100dt + 1</f>
        <v>-35</v>
      </c>
      <c r="LQ19" s="20">
        <f ca="1">INDEX(OFFSET(TST!HeadRow,ROW()-ROW(TST!HeadRow),0,1,COLUMNS(TST!HeadRow)),1,MATCH(LQ$5,TST!HeadRow,0))/LQ$8</f>
        <v>0</v>
      </c>
      <c r="LR19" s="285">
        <f ca="1">$A19 - TST!Victoria100dt + 1</f>
        <v>-44</v>
      </c>
      <c r="LS19" s="20">
        <f ca="1">INDEX(OFFSET(TST!HeadRow,ROW()-ROW(TST!HeadRow),0,1,COLUMNS(TST!HeadRow)),1,MATCH(LS$5,TST!HeadRow,0))/LS$8</f>
        <v>4.5255694674913256</v>
      </c>
      <c r="LT19" s="278">
        <f ca="1">$A19 - TST!Iran100dt + 1</f>
        <v>-29</v>
      </c>
      <c r="LU19" s="20">
        <f ca="1">INDEX(OFFSET(TST!HeadRow,ROW()-ROW(TST!HeadRow),0,1,COLUMNS(TST!HeadRow)),1,MATCH(LU$5,TST!HeadRow,0))/LU$8</f>
        <v>0</v>
      </c>
      <c r="LV19" s="278">
        <f ca="1">$A19 - TST!Japan100dt + 1</f>
        <v>-53</v>
      </c>
      <c r="LW19" s="20">
        <f ca="1">INDEX(OFFSET(TST!HeadRow,ROW()-ROW(TST!HeadRow),0,1,COLUMNS(TST!HeadRow)),1,MATCH(LW$5,TST!HeadRow,0))/LW$8</f>
        <v>1.1852628869228468</v>
      </c>
      <c r="LX19" s="278">
        <f ca="1">$A19 - TST!Queensland100dt + 1</f>
        <v>-43</v>
      </c>
      <c r="LY19" s="20">
        <f ca="1">INDEX(OFFSET(TST!HeadRow,ROW()-ROW(TST!HeadRow),0,1,COLUMNS(TST!HeadRow)),1,MATCH(LY$5,TST!HeadRow,0))/LY$8</f>
        <v>3.9097236978714096</v>
      </c>
      <c r="LZ19" s="278">
        <f ca="1">$A19 - TST!Tasmania100dt + 1</f>
        <v>-43</v>
      </c>
      <c r="MA19" s="20">
        <f ca="1">INDEX(OFFSET(TST!HeadRow,ROW()-ROW(TST!HeadRow),0,1,COLUMNS(TST!HeadRow)),1,MATCH(MA$5,TST!HeadRow,0))/MA$8</f>
        <v>0</v>
      </c>
      <c r="MB19" s="278">
        <f ca="1">$A19 - TST!SouthAustralia100dt + 1</f>
        <v>-42</v>
      </c>
      <c r="MC19" s="20">
        <f ca="1">INDEX(OFFSET(TST!HeadRow,ROW()-ROW(TST!HeadRow),0,1,COLUMNS(TST!HeadRow)),1,MATCH(MC$5,TST!HeadRow,0))/MC$8</f>
        <v>0</v>
      </c>
      <c r="MD19" s="278">
        <f ca="1">$A19 - TST!AustralianCapitalTerritory100dt + 1</f>
        <v>-48</v>
      </c>
      <c r="ME19" s="20">
        <f ca="1">INDEX(OFFSET(TST!HeadRow,ROW()-ROW(TST!HeadRow),0,1,COLUMNS(TST!HeadRow)),1,MATCH(ME$5,TST!HeadRow,0))/ME$8</f>
        <v>0</v>
      </c>
      <c r="MF19" s="278">
        <f ca="1">$A19 - TST!NorthernTerritory100dt + 1</f>
        <v>-48</v>
      </c>
      <c r="MG19" s="20">
        <f ca="1">INDEX(OFFSET(TST!HeadRow,ROW()-ROW(TST!HeadRow),0,1,COLUMNS(TST!HeadRow)),1,MATCH(MG$5,TST!HeadRow,0))/MG$8</f>
        <v>0</v>
      </c>
      <c r="MH19" s="278">
        <f ca="1">$A19 - TST!WesternAustralia100dt + 1</f>
        <v>-44</v>
      </c>
      <c r="MI19" s="20">
        <f ca="1">INDEX(OFFSET(TST!HeadRow,ROW()-ROW(TST!HeadRow),0,1,COLUMNS(TST!HeadRow)),1,MATCH(MI$5,TST!HeadRow,0))/MI$8</f>
        <v>0</v>
      </c>
      <c r="MJ19" s="278">
        <f ca="1">$A19 - TST!Germany100dt + 1</f>
        <v>-36</v>
      </c>
      <c r="MK19" s="20">
        <f ca="1">INDEX(OFFSET(TST!HeadRow,ROW()-ROW(TST!HeadRow),0,1,COLUMNS(TST!HeadRow)),1,MATCH(MK$5,TST!HeadRow,0))/MK$8</f>
        <v>0.60226451457480124</v>
      </c>
      <c r="ML19" s="278">
        <f ca="1">$A19 - TST!Denmark100dt + 1</f>
        <v>-37</v>
      </c>
      <c r="MM19" s="20">
        <f ca="1">INDEX(OFFSET(TST!HeadRow,ROW()-ROW(TST!HeadRow),0,1,COLUMNS(TST!HeadRow)),1,MATCH(MM$5,TST!HeadRow,0))/MM$8</f>
        <v>0</v>
      </c>
      <c r="MN19" s="278">
        <f ca="1">$A19 - TST!SouthAfrica100dt + 1</f>
        <v>-53</v>
      </c>
      <c r="MO19" s="20">
        <f ca="1">INDEX(OFFSET(TST!HeadRow,ROW()-ROW(TST!HeadRow),0,1,COLUMNS(TST!HeadRow)),1,MATCH(MO$5,TST!HeadRow,0))/MO$8</f>
        <v>0</v>
      </c>
      <c r="MP19" s="278">
        <f ca="1">$A19 - TST!UnitedKingdom100dt + 1</f>
        <v>-41</v>
      </c>
      <c r="MQ19" s="20">
        <f ca="1">INDEX(OFFSET(TST!HeadRow,ROW()-ROW(TST!HeadRow),0,1,COLUMNS(TST!HeadRow)),1,MATCH(MQ$5,TST!HeadRow,0))/MQ$8</f>
        <v>0.30102347983142685</v>
      </c>
      <c r="MR19" s="278">
        <f ca="1">$A19 - TST!Ireland100dt + 1</f>
        <v>-41</v>
      </c>
      <c r="MS19" s="20">
        <f ca="1">INDEX(OFFSET(TST!HeadRow,ROW()-ROW(TST!HeadRow),0,1,COLUMNS(TST!HeadRow)),1,MATCH(MS$5,TST!HeadRow,0))/MS$8</f>
        <v>0</v>
      </c>
      <c r="MT19" s="278">
        <f ca="1">$A19 - TST!Italy100dt + 1</f>
        <v>-26</v>
      </c>
      <c r="MU19" s="20">
        <f ca="1">INDEX(OFFSET(TST!HeadRow,ROW()-ROW(TST!HeadRow),0,1,COLUMNS(TST!HeadRow)),1,MATCH(MU$5,TST!HeadRow,0))/MU$8</f>
        <v>0.33066049433743905</v>
      </c>
      <c r="MV19" s="278">
        <f ca="1">$A19 - TST!US100dt + 1</f>
        <v>-43</v>
      </c>
      <c r="MW19" s="20">
        <f ca="1">INDEX(OFFSET(TST!HeadRow,ROW()-ROW(TST!HeadRow),0,1,COLUMNS(TST!HeadRow)),1,MATCH(MW$5,TST!HeadRow,0))/MW$8</f>
        <v>0.21261877484651615</v>
      </c>
      <c r="MX19" s="278">
        <f ca="1">$A19 - TST!AustraliaSum100dt + 1</f>
        <v>-43</v>
      </c>
      <c r="MY19" s="366">
        <f t="shared" si="7"/>
        <v>3.548336224570257</v>
      </c>
      <c r="MZ19" s="278">
        <f ca="1">$A19 - TST!NewSouthWales100dt + 1</f>
        <v>-41</v>
      </c>
      <c r="NA19" s="366">
        <f ca="1">INDEX(OFFSET(TST!HeadRow,ROW()-ROW(TST!HeadRow),0,1,COLUMNS(TST!HeadRow)),1,MATCH(NA$5,TST!HeadRow,0))/NA$8</f>
        <v>4.9504950495049505</v>
      </c>
      <c r="NB19" s="278">
        <f ca="1">$A19 - TST!Taiwan100dt + 1</f>
        <v>-54</v>
      </c>
      <c r="NC19" s="366">
        <f ca="1">INDEX(OFFSET(TST!HeadRow,ROW()-ROW(TST!HeadRow),0,1,COLUMNS(TST!HeadRow)),1,MATCH(NC$5,TST!HeadRow,0))/NC$8</f>
        <v>4.2003954924379858</v>
      </c>
      <c r="ND19" s="20">
        <f ca="1">$A19 - TST!Hubei100dt + 1</f>
        <v>7</v>
      </c>
      <c r="NE19" s="20">
        <f ca="1">INDEX(OFFSET(TST!HeadRow,ROW()-ROW(TST!HeadRow),0,1,COLUMNS(TST!HeadRow)),1,MATCH(NE$5,TST!HeadRow,0))/NE$8</f>
        <v>992.47863247863256</v>
      </c>
      <c r="NF19" s="20">
        <f ca="1">$A19 - TST!HongKong100dt + 1</f>
        <v>-23</v>
      </c>
      <c r="NG19" s="20">
        <f ca="1">INDEX(OFFSET(TST!HeadRow,ROW()-ROW(TST!HeadRow),0,1,COLUMNS(TST!HeadRow)),1,MATCH(NG$5,TST!HeadRow,0))/NG$8</f>
        <v>16.1052207757348</v>
      </c>
    </row>
    <row r="20" spans="1:371" x14ac:dyDescent="0.25">
      <c r="A20" s="243">
        <v>43862</v>
      </c>
      <c r="B20" s="23">
        <v>0</v>
      </c>
      <c r="C20" s="23">
        <v>0</v>
      </c>
      <c r="D20" s="23">
        <v>0</v>
      </c>
      <c r="E20" s="23">
        <v>0</v>
      </c>
      <c r="F20" s="23">
        <v>0</v>
      </c>
      <c r="G20" s="23">
        <v>0</v>
      </c>
      <c r="H20" s="23">
        <v>0</v>
      </c>
      <c r="I20" s="23">
        <v>0</v>
      </c>
      <c r="J20" s="23">
        <v>0</v>
      </c>
      <c r="K20" s="293">
        <v>4</v>
      </c>
      <c r="L20" s="23">
        <v>0</v>
      </c>
      <c r="M20" s="290">
        <v>3</v>
      </c>
      <c r="N20" s="23">
        <v>1</v>
      </c>
      <c r="O20" s="384">
        <v>0</v>
      </c>
      <c r="P20" s="287">
        <v>4</v>
      </c>
      <c r="Q20" s="23">
        <v>0</v>
      </c>
      <c r="R20" s="23">
        <v>0</v>
      </c>
      <c r="S20" s="23">
        <v>0</v>
      </c>
      <c r="T20" s="23">
        <v>0</v>
      </c>
      <c r="U20" s="23">
        <v>0</v>
      </c>
      <c r="V20" s="23">
        <v>0</v>
      </c>
      <c r="W20" s="23">
        <v>0</v>
      </c>
      <c r="X20" s="23">
        <v>0</v>
      </c>
      <c r="Y20" s="23">
        <v>0</v>
      </c>
      <c r="Z20" s="23">
        <v>0</v>
      </c>
      <c r="AA20" s="23">
        <v>0</v>
      </c>
      <c r="AB20" s="23">
        <v>0</v>
      </c>
      <c r="AC20" s="23">
        <v>0</v>
      </c>
      <c r="AD20" s="23">
        <v>0</v>
      </c>
      <c r="AE20" s="23">
        <v>0</v>
      </c>
      <c r="AF20" s="23">
        <v>0</v>
      </c>
      <c r="AG20" s="23">
        <v>0</v>
      </c>
      <c r="AH20" s="23">
        <v>0</v>
      </c>
      <c r="AI20" s="23">
        <v>1</v>
      </c>
      <c r="AJ20" s="23">
        <v>0</v>
      </c>
      <c r="AK20" s="23">
        <v>0</v>
      </c>
      <c r="AL20" s="23">
        <v>1</v>
      </c>
      <c r="AM20" s="23">
        <v>0</v>
      </c>
      <c r="AN20" s="23">
        <v>0</v>
      </c>
      <c r="AO20" s="23">
        <v>0</v>
      </c>
      <c r="AP20" s="23">
        <v>0</v>
      </c>
      <c r="AQ20" s="23">
        <v>0</v>
      </c>
      <c r="AR20" s="23">
        <v>3</v>
      </c>
      <c r="AS20" s="23">
        <v>0</v>
      </c>
      <c r="AT20" s="23">
        <v>0</v>
      </c>
      <c r="AU20" s="23">
        <v>0</v>
      </c>
      <c r="AV20" s="23">
        <v>0</v>
      </c>
      <c r="AW20" s="23">
        <v>0</v>
      </c>
      <c r="AX20" s="23">
        <v>0</v>
      </c>
      <c r="AY20" s="23">
        <v>297</v>
      </c>
      <c r="AZ20" s="23">
        <v>168</v>
      </c>
      <c r="BA20" s="23">
        <v>247</v>
      </c>
      <c r="BB20" s="23">
        <v>144</v>
      </c>
      <c r="BC20" s="23">
        <v>40</v>
      </c>
      <c r="BD20" s="23">
        <v>535</v>
      </c>
      <c r="BE20" s="23">
        <v>100</v>
      </c>
      <c r="BF20" s="23">
        <v>29</v>
      </c>
      <c r="BG20" s="23">
        <v>62</v>
      </c>
      <c r="BH20" s="23">
        <v>96</v>
      </c>
      <c r="BI20" s="23">
        <v>80</v>
      </c>
      <c r="BJ20" s="23">
        <v>422</v>
      </c>
      <c r="BK20" s="23">
        <v>13</v>
      </c>
      <c r="BL20" s="23">
        <v>7153</v>
      </c>
      <c r="BM20" s="23">
        <v>389</v>
      </c>
      <c r="BN20" s="23">
        <v>23</v>
      </c>
      <c r="BO20" s="23">
        <v>202</v>
      </c>
      <c r="BP20" s="23">
        <v>286</v>
      </c>
      <c r="BQ20" s="23">
        <v>17</v>
      </c>
      <c r="BR20" s="23">
        <v>64</v>
      </c>
      <c r="BS20" s="23">
        <v>7</v>
      </c>
      <c r="BT20" s="23">
        <v>26</v>
      </c>
      <c r="BU20" s="23">
        <v>9</v>
      </c>
      <c r="BV20" s="23">
        <v>101</v>
      </c>
      <c r="BW20" s="23">
        <v>206</v>
      </c>
      <c r="BX20" s="23">
        <v>169</v>
      </c>
      <c r="BY20" s="23">
        <v>47</v>
      </c>
      <c r="BZ20" s="23">
        <v>207</v>
      </c>
      <c r="CA20" s="23">
        <v>41</v>
      </c>
      <c r="CB20" s="23">
        <v>1</v>
      </c>
      <c r="CC20" s="23">
        <v>18</v>
      </c>
      <c r="CD20" s="23">
        <v>93</v>
      </c>
      <c r="CE20" s="23">
        <v>599</v>
      </c>
      <c r="CF20" s="23">
        <v>0</v>
      </c>
      <c r="CG20" s="23">
        <v>0</v>
      </c>
      <c r="CH20" s="23">
        <v>0</v>
      </c>
      <c r="CI20" s="23">
        <v>0</v>
      </c>
      <c r="CJ20" s="23">
        <v>0</v>
      </c>
      <c r="CK20" s="23">
        <v>0</v>
      </c>
      <c r="CL20" s="23">
        <v>0</v>
      </c>
      <c r="CM20" s="23">
        <v>0</v>
      </c>
      <c r="CN20" s="23">
        <v>0</v>
      </c>
      <c r="CO20" s="23">
        <v>0</v>
      </c>
      <c r="CP20" s="23">
        <v>0</v>
      </c>
      <c r="CQ20" s="23">
        <v>0</v>
      </c>
      <c r="CR20" s="23">
        <v>0</v>
      </c>
      <c r="CS20" s="23">
        <v>0</v>
      </c>
      <c r="CT20" s="23">
        <v>0</v>
      </c>
      <c r="CU20" s="23">
        <v>0</v>
      </c>
      <c r="CV20" s="23">
        <v>0</v>
      </c>
      <c r="CW20" s="23">
        <v>0</v>
      </c>
      <c r="CX20" s="23">
        <v>0</v>
      </c>
      <c r="CY20" s="23">
        <v>0</v>
      </c>
      <c r="CZ20" s="23">
        <v>0</v>
      </c>
      <c r="DA20" s="23">
        <v>0</v>
      </c>
      <c r="DB20" s="23">
        <v>0</v>
      </c>
      <c r="DC20" s="23">
        <v>0</v>
      </c>
      <c r="DD20" s="23">
        <v>1</v>
      </c>
      <c r="DE20" s="23">
        <v>0</v>
      </c>
      <c r="DF20" s="23">
        <v>0</v>
      </c>
      <c r="DG20" s="23">
        <v>0</v>
      </c>
      <c r="DH20" s="23">
        <v>0</v>
      </c>
      <c r="DI20" s="23">
        <v>0</v>
      </c>
      <c r="DJ20" s="23">
        <v>0</v>
      </c>
      <c r="DK20" s="23">
        <v>0</v>
      </c>
      <c r="DL20" s="23">
        <v>0</v>
      </c>
      <c r="DM20" s="23">
        <v>0</v>
      </c>
      <c r="DN20" s="23">
        <v>6</v>
      </c>
      <c r="DO20" s="23">
        <v>0</v>
      </c>
      <c r="DP20" s="23">
        <v>0</v>
      </c>
      <c r="DQ20" s="23">
        <v>0</v>
      </c>
      <c r="DR20" s="23">
        <v>8</v>
      </c>
      <c r="DS20" s="23">
        <v>0</v>
      </c>
      <c r="DT20" s="23">
        <v>0</v>
      </c>
      <c r="DU20" s="23">
        <v>0</v>
      </c>
      <c r="DV20" s="23">
        <v>0</v>
      </c>
      <c r="DW20" s="23">
        <v>0</v>
      </c>
      <c r="DX20" s="23">
        <v>0</v>
      </c>
      <c r="DY20" s="23">
        <v>0</v>
      </c>
      <c r="DZ20" s="23">
        <v>0</v>
      </c>
      <c r="EA20" s="23">
        <v>0</v>
      </c>
      <c r="EB20" s="23">
        <v>0</v>
      </c>
      <c r="EC20" s="23">
        <v>1</v>
      </c>
      <c r="ED20" s="23">
        <v>0</v>
      </c>
      <c r="EE20" s="23">
        <v>0</v>
      </c>
      <c r="EF20" s="23">
        <v>0</v>
      </c>
      <c r="EG20" s="23">
        <v>0</v>
      </c>
      <c r="EH20" s="23">
        <v>0</v>
      </c>
      <c r="EI20" s="23">
        <v>2</v>
      </c>
      <c r="EJ20" s="23">
        <v>0</v>
      </c>
      <c r="EK20" s="23">
        <v>20</v>
      </c>
      <c r="EL20" s="23">
        <v>0</v>
      </c>
      <c r="EM20" s="23">
        <v>0</v>
      </c>
      <c r="EN20" s="23">
        <v>0</v>
      </c>
      <c r="EO20" s="23">
        <v>12</v>
      </c>
      <c r="EP20" s="23">
        <v>0</v>
      </c>
      <c r="EQ20" s="23">
        <v>0</v>
      </c>
      <c r="ER20" s="23">
        <v>0</v>
      </c>
      <c r="ES20" s="23">
        <v>0</v>
      </c>
      <c r="ET20" s="23">
        <v>0</v>
      </c>
      <c r="EU20" s="23">
        <v>0</v>
      </c>
      <c r="EV20" s="23">
        <v>0</v>
      </c>
      <c r="EW20" s="23">
        <v>0</v>
      </c>
      <c r="EX20" s="23">
        <v>0</v>
      </c>
      <c r="EY20" s="23">
        <v>8</v>
      </c>
      <c r="EZ20" s="23">
        <v>0</v>
      </c>
      <c r="FA20" s="23">
        <v>0</v>
      </c>
      <c r="FB20" s="23">
        <v>0</v>
      </c>
      <c r="FC20" s="23">
        <v>0</v>
      </c>
      <c r="FD20" s="23">
        <v>0</v>
      </c>
      <c r="FE20" s="23">
        <v>0</v>
      </c>
      <c r="FF20" s="23">
        <v>0</v>
      </c>
      <c r="FG20" s="23">
        <v>0</v>
      </c>
      <c r="FH20" s="23">
        <v>0</v>
      </c>
      <c r="FI20" s="23">
        <v>0</v>
      </c>
      <c r="FJ20" s="23">
        <v>0</v>
      </c>
      <c r="FK20" s="23">
        <v>1</v>
      </c>
      <c r="FL20" s="23">
        <v>0</v>
      </c>
      <c r="FM20" s="23">
        <v>0</v>
      </c>
      <c r="FN20" s="23">
        <v>0</v>
      </c>
      <c r="FO20" s="23">
        <v>0</v>
      </c>
      <c r="FP20" s="23">
        <v>0</v>
      </c>
      <c r="FQ20" s="23">
        <v>0</v>
      </c>
      <c r="FR20" s="23">
        <v>0</v>
      </c>
      <c r="FS20" s="23">
        <v>0</v>
      </c>
      <c r="FT20" s="23">
        <v>0</v>
      </c>
      <c r="FU20" s="23">
        <v>0</v>
      </c>
      <c r="FV20" s="23">
        <v>0</v>
      </c>
      <c r="FW20" s="23">
        <v>0</v>
      </c>
      <c r="FX20" s="23">
        <v>0</v>
      </c>
      <c r="FY20" s="23">
        <v>0</v>
      </c>
      <c r="FZ20" s="23">
        <v>0</v>
      </c>
      <c r="GA20" s="23">
        <v>0</v>
      </c>
      <c r="GB20" s="23">
        <v>1</v>
      </c>
      <c r="GC20" s="23">
        <v>0</v>
      </c>
      <c r="GD20" s="23">
        <v>0</v>
      </c>
      <c r="GE20" s="23">
        <v>0</v>
      </c>
      <c r="GF20" s="23">
        <v>0</v>
      </c>
      <c r="GG20" s="23">
        <v>2</v>
      </c>
      <c r="GH20" s="23">
        <v>0</v>
      </c>
      <c r="GI20" s="23">
        <v>0</v>
      </c>
      <c r="GJ20" s="23">
        <v>0</v>
      </c>
      <c r="GK20" s="23">
        <v>0</v>
      </c>
      <c r="GL20" s="23">
        <v>0</v>
      </c>
      <c r="GM20" s="23">
        <v>0</v>
      </c>
      <c r="GN20" s="23">
        <v>0</v>
      </c>
      <c r="GO20" s="23">
        <v>0</v>
      </c>
      <c r="GP20" s="23">
        <v>16</v>
      </c>
      <c r="GQ20" s="23">
        <v>0</v>
      </c>
      <c r="GR20" s="23">
        <v>0</v>
      </c>
      <c r="GS20" s="23">
        <v>0</v>
      </c>
      <c r="GT20" s="23">
        <v>0</v>
      </c>
      <c r="GU20" s="23">
        <v>1</v>
      </c>
      <c r="GV20" s="23">
        <v>1</v>
      </c>
      <c r="GW20" s="23">
        <v>0</v>
      </c>
      <c r="GX20" s="23">
        <v>0</v>
      </c>
      <c r="GY20" s="23">
        <v>1</v>
      </c>
      <c r="GZ20" s="23">
        <v>0</v>
      </c>
      <c r="HA20" s="23">
        <v>10</v>
      </c>
      <c r="HB20" s="23">
        <v>0</v>
      </c>
      <c r="HC20" s="23">
        <v>19</v>
      </c>
      <c r="HD20" s="23">
        <v>0</v>
      </c>
      <c r="HE20" s="23">
        <v>0</v>
      </c>
      <c r="HF20" s="23">
        <v>0</v>
      </c>
      <c r="HG20" s="23">
        <v>0</v>
      </c>
      <c r="HH20" s="23">
        <v>0</v>
      </c>
      <c r="HI20" s="23">
        <v>0</v>
      </c>
      <c r="HJ20" s="23">
        <v>4</v>
      </c>
      <c r="HK20" s="23">
        <v>0</v>
      </c>
      <c r="HL20" s="23">
        <v>0</v>
      </c>
      <c r="HM20" s="23">
        <v>0</v>
      </c>
      <c r="HN20" s="23">
        <v>0</v>
      </c>
      <c r="HO20" s="23">
        <v>0</v>
      </c>
      <c r="HP20" s="23">
        <v>0</v>
      </c>
      <c r="HQ20" s="23">
        <v>2</v>
      </c>
      <c r="HR20" s="23">
        <v>0</v>
      </c>
      <c r="HS20" s="23">
        <v>8</v>
      </c>
      <c r="HT20" s="23">
        <v>0</v>
      </c>
      <c r="HU20" s="23">
        <v>0</v>
      </c>
      <c r="HV20" s="23">
        <v>6</v>
      </c>
      <c r="HW20" s="23">
        <v>0</v>
      </c>
      <c r="HX20" s="23">
        <v>0</v>
      </c>
      <c r="HY20" s="23">
        <v>0</v>
      </c>
      <c r="HZ20" s="23">
        <v>0</v>
      </c>
      <c r="IA20" s="23">
        <v>0</v>
      </c>
      <c r="IB20" s="23">
        <v>0</v>
      </c>
      <c r="IC20" s="23">
        <v>0</v>
      </c>
      <c r="ID20" s="23">
        <v>0</v>
      </c>
      <c r="IE20" s="23">
        <v>0</v>
      </c>
      <c r="IF20" s="23">
        <v>0</v>
      </c>
      <c r="IG20" s="23">
        <v>0</v>
      </c>
      <c r="IH20" s="23">
        <v>0</v>
      </c>
      <c r="II20" s="23">
        <v>0</v>
      </c>
      <c r="IJ20" s="23">
        <v>0</v>
      </c>
      <c r="IK20" s="23">
        <v>0</v>
      </c>
      <c r="IL20" s="23">
        <v>0</v>
      </c>
      <c r="IM20" s="23">
        <v>0</v>
      </c>
      <c r="IN20" s="23">
        <v>0</v>
      </c>
      <c r="IO20" s="23">
        <v>0</v>
      </c>
      <c r="IP20" s="23">
        <v>0</v>
      </c>
      <c r="IQ20" s="23">
        <v>0</v>
      </c>
      <c r="IR20" s="23">
        <v>0</v>
      </c>
      <c r="IS20" s="23">
        <v>0</v>
      </c>
      <c r="IT20" s="23">
        <v>0</v>
      </c>
      <c r="IU20" s="23">
        <v>0</v>
      </c>
      <c r="IV20" s="23">
        <v>0</v>
      </c>
      <c r="IW20" s="23">
        <v>0</v>
      </c>
      <c r="IX20" s="23">
        <v>0</v>
      </c>
      <c r="IY20" s="23">
        <v>0</v>
      </c>
      <c r="IZ20" s="23">
        <v>0</v>
      </c>
      <c r="JA20" s="23">
        <v>0</v>
      </c>
      <c r="JB20" s="23">
        <v>0</v>
      </c>
      <c r="JC20" s="23">
        <v>0</v>
      </c>
      <c r="JD20" s="23">
        <v>0</v>
      </c>
      <c r="JE20" s="23">
        <v>0</v>
      </c>
      <c r="JF20" s="23">
        <v>0</v>
      </c>
      <c r="JG20" s="23">
        <v>0</v>
      </c>
      <c r="JH20" s="23">
        <v>0</v>
      </c>
      <c r="JI20" s="23">
        <v>0</v>
      </c>
      <c r="JJ20" s="23">
        <v>0</v>
      </c>
      <c r="JK20" s="23">
        <v>0</v>
      </c>
      <c r="JL20" s="23">
        <v>0</v>
      </c>
      <c r="JM20" s="23">
        <v>0</v>
      </c>
      <c r="JN20" s="23">
        <v>0</v>
      </c>
      <c r="JO20" s="23">
        <v>1</v>
      </c>
      <c r="JP20" s="23">
        <v>0</v>
      </c>
      <c r="JQ20" s="23">
        <v>3</v>
      </c>
      <c r="JR20" s="23">
        <v>0</v>
      </c>
      <c r="JS20" s="23">
        <v>0</v>
      </c>
      <c r="JT20" s="23">
        <v>0</v>
      </c>
      <c r="JU20" s="23">
        <v>0</v>
      </c>
      <c r="JV20" s="23">
        <v>0</v>
      </c>
      <c r="JW20" s="23">
        <v>0</v>
      </c>
      <c r="JX20" s="23">
        <v>0</v>
      </c>
      <c r="JY20" s="23">
        <v>0</v>
      </c>
      <c r="JZ20" s="23">
        <v>2</v>
      </c>
      <c r="KA20" s="23">
        <v>0</v>
      </c>
      <c r="KB20" s="23">
        <v>0</v>
      </c>
      <c r="KC20" s="23">
        <v>0</v>
      </c>
      <c r="KD20" s="23">
        <v>0</v>
      </c>
      <c r="KE20" s="23">
        <v>0</v>
      </c>
      <c r="KF20" s="23">
        <v>0</v>
      </c>
      <c r="KG20" s="23">
        <v>0</v>
      </c>
      <c r="KH20" s="23">
        <v>1</v>
      </c>
      <c r="KI20" s="23">
        <v>0</v>
      </c>
      <c r="KJ20" s="23">
        <v>0</v>
      </c>
      <c r="KK20" s="23">
        <v>0</v>
      </c>
      <c r="KL20" s="23">
        <v>0</v>
      </c>
      <c r="KM20" s="23">
        <v>0</v>
      </c>
      <c r="KN20" s="23">
        <v>0</v>
      </c>
      <c r="KO20" s="23">
        <v>0</v>
      </c>
      <c r="KP20" s="23">
        <v>0</v>
      </c>
      <c r="KQ20" s="23">
        <v>0</v>
      </c>
      <c r="KR20" s="23">
        <v>0</v>
      </c>
      <c r="KS20" s="23">
        <v>0</v>
      </c>
      <c r="KT20" s="23">
        <v>0</v>
      </c>
      <c r="KU20" s="23">
        <v>0</v>
      </c>
      <c r="KV20" s="23">
        <v>0</v>
      </c>
      <c r="KW20" s="23">
        <v>0</v>
      </c>
      <c r="KX20" s="23">
        <v>0</v>
      </c>
      <c r="KY20" s="23">
        <v>0</v>
      </c>
      <c r="KZ20" s="23">
        <v>0</v>
      </c>
      <c r="LA20" s="23">
        <v>0</v>
      </c>
      <c r="LB20" s="23">
        <v>0</v>
      </c>
      <c r="LC20" s="23">
        <v>0</v>
      </c>
      <c r="LD20" s="23">
        <v>0</v>
      </c>
      <c r="LE20" s="23">
        <v>0</v>
      </c>
      <c r="LF20" s="23">
        <v>0</v>
      </c>
      <c r="LG20" s="23">
        <v>0</v>
      </c>
      <c r="LH20" s="23">
        <v>1</v>
      </c>
      <c r="LI20" s="23">
        <v>0</v>
      </c>
      <c r="LJ20" s="23">
        <v>0</v>
      </c>
      <c r="LK20" s="23">
        <v>0</v>
      </c>
      <c r="LL20" s="23">
        <v>0</v>
      </c>
      <c r="LM20" s="23">
        <v>0</v>
      </c>
      <c r="LN20" s="278">
        <f ca="1">$A20 - TST!Sweden100dt + 1</f>
        <v>-34</v>
      </c>
      <c r="LO20" s="20">
        <f ca="1">INDEX(OFFSET(TST!HeadRow,ROW()-ROW(TST!HeadRow),0,1,COLUMNS(TST!HeadRow)),1,MATCH(LO$5,TST!HeadRow,0))/LO$8</f>
        <v>0.97751710654936474</v>
      </c>
      <c r="LP20" s="278">
        <f ca="1">$A20 - TST!Spain100dt + 1</f>
        <v>-34</v>
      </c>
      <c r="LQ20" s="20">
        <f ca="1">INDEX(OFFSET(TST!HeadRow,ROW()-ROW(TST!HeadRow),0,1,COLUMNS(TST!HeadRow)),1,MATCH(LQ$5,TST!HeadRow,0))/LQ$8</f>
        <v>0.21303792074989347</v>
      </c>
      <c r="LR20" s="285">
        <f ca="1">$A20 - TST!Victoria100dt + 1</f>
        <v>-43</v>
      </c>
      <c r="LS20" s="20">
        <f ca="1">INDEX(OFFSET(TST!HeadRow,ROW()-ROW(TST!HeadRow),0,1,COLUMNS(TST!HeadRow)),1,MATCH(LS$5,TST!HeadRow,0))/LS$8</f>
        <v>6.0340926233217678</v>
      </c>
      <c r="LT20" s="278">
        <f ca="1">$A20 - TST!Iran100dt + 1</f>
        <v>-28</v>
      </c>
      <c r="LU20" s="20">
        <f ca="1">INDEX(OFFSET(TST!HeadRow,ROW()-ROW(TST!HeadRow),0,1,COLUMNS(TST!HeadRow)),1,MATCH(LU$5,TST!HeadRow,0))/LU$8</f>
        <v>0</v>
      </c>
      <c r="LV20" s="278">
        <f ca="1">$A20 - TST!Japan100dt + 1</f>
        <v>-52</v>
      </c>
      <c r="LW20" s="20">
        <f ca="1">INDEX(OFFSET(TST!HeadRow,ROW()-ROW(TST!HeadRow),0,1,COLUMNS(TST!HeadRow)),1,MATCH(LW$5,TST!HeadRow,0))/LW$8</f>
        <v>1.5803505158971292</v>
      </c>
      <c r="LX20" s="278">
        <f ca="1">$A20 - TST!Queensland100dt + 1</f>
        <v>-42</v>
      </c>
      <c r="LY20" s="20">
        <f ca="1">INDEX(OFFSET(TST!HeadRow,ROW()-ROW(TST!HeadRow),0,1,COLUMNS(TST!HeadRow)),1,MATCH(LY$5,TST!HeadRow,0))/LY$8</f>
        <v>5.8645855468071151</v>
      </c>
      <c r="LZ20" s="278">
        <f ca="1">$A20 - TST!Tasmania100dt + 1</f>
        <v>-42</v>
      </c>
      <c r="MA20" s="20">
        <f ca="1">INDEX(OFFSET(TST!HeadRow,ROW()-ROW(TST!HeadRow),0,1,COLUMNS(TST!HeadRow)),1,MATCH(MA$5,TST!HeadRow,0))/MA$8</f>
        <v>0</v>
      </c>
      <c r="MB20" s="278">
        <f ca="1">$A20 - TST!SouthAustralia100dt + 1</f>
        <v>-41</v>
      </c>
      <c r="MC20" s="20">
        <f ca="1">INDEX(OFFSET(TST!HeadRow,ROW()-ROW(TST!HeadRow),0,1,COLUMNS(TST!HeadRow)),1,MATCH(MC$5,TST!HeadRow,0))/MC$8</f>
        <v>5.9880239520958076</v>
      </c>
      <c r="MD20" s="278">
        <f ca="1">$A20 - TST!AustralianCapitalTerritory100dt + 1</f>
        <v>-47</v>
      </c>
      <c r="ME20" s="20">
        <f ca="1">INDEX(OFFSET(TST!HeadRow,ROW()-ROW(TST!HeadRow),0,1,COLUMNS(TST!HeadRow)),1,MATCH(ME$5,TST!HeadRow,0))/ME$8</f>
        <v>0</v>
      </c>
      <c r="MF20" s="278">
        <f ca="1">$A20 - TST!NorthernTerritory100dt + 1</f>
        <v>-47</v>
      </c>
      <c r="MG20" s="20">
        <f ca="1">INDEX(OFFSET(TST!HeadRow,ROW()-ROW(TST!HeadRow),0,1,COLUMNS(TST!HeadRow)),1,MATCH(MG$5,TST!HeadRow,0))/MG$8</f>
        <v>0</v>
      </c>
      <c r="MH20" s="278">
        <f ca="1">$A20 - TST!WesternAustralia100dt + 1</f>
        <v>-43</v>
      </c>
      <c r="MI20" s="20">
        <f ca="1">INDEX(OFFSET(TST!HeadRow,ROW()-ROW(TST!HeadRow),0,1,COLUMNS(TST!HeadRow)),1,MATCH(MI$5,TST!HeadRow,0))/MI$8</f>
        <v>0</v>
      </c>
      <c r="MJ20" s="278">
        <f ca="1">$A20 - TST!Germany100dt + 1</f>
        <v>-35</v>
      </c>
      <c r="MK20" s="20">
        <f ca="1">INDEX(OFFSET(TST!HeadRow,ROW()-ROW(TST!HeadRow),0,1,COLUMNS(TST!HeadRow)),1,MATCH(MK$5,TST!HeadRow,0))/MK$8</f>
        <v>0.96362322331968209</v>
      </c>
      <c r="ML20" s="278">
        <f ca="1">$A20 - TST!Denmark100dt + 1</f>
        <v>-36</v>
      </c>
      <c r="MM20" s="20">
        <f ca="1">INDEX(OFFSET(TST!HeadRow,ROW()-ROW(TST!HeadRow),0,1,COLUMNS(TST!HeadRow)),1,MATCH(MM$5,TST!HeadRow,0))/MM$8</f>
        <v>0</v>
      </c>
      <c r="MN20" s="278">
        <f ca="1">$A20 - TST!SouthAfrica100dt + 1</f>
        <v>-52</v>
      </c>
      <c r="MO20" s="20">
        <f ca="1">INDEX(OFFSET(TST!HeadRow,ROW()-ROW(TST!HeadRow),0,1,COLUMNS(TST!HeadRow)),1,MATCH(MO$5,TST!HeadRow,0))/MO$8</f>
        <v>0</v>
      </c>
      <c r="MP20" s="278">
        <f ca="1">$A20 - TST!UnitedKingdom100dt + 1</f>
        <v>-40</v>
      </c>
      <c r="MQ20" s="20">
        <f ca="1">INDEX(OFFSET(TST!HeadRow,ROW()-ROW(TST!HeadRow),0,1,COLUMNS(TST!HeadRow)),1,MATCH(MQ$5,TST!HeadRow,0))/MQ$8</f>
        <v>0.30102347983142685</v>
      </c>
      <c r="MR20" s="278">
        <f ca="1">$A20 - TST!Ireland100dt + 1</f>
        <v>-40</v>
      </c>
      <c r="MS20" s="20">
        <f ca="1">INDEX(OFFSET(TST!HeadRow,ROW()-ROW(TST!HeadRow),0,1,COLUMNS(TST!HeadRow)),1,MATCH(MS$5,TST!HeadRow,0))/MS$8</f>
        <v>0</v>
      </c>
      <c r="MT20" s="278">
        <f ca="1">$A20 - TST!Italy100dt + 1</f>
        <v>-25</v>
      </c>
      <c r="MU20" s="20">
        <f ca="1">INDEX(OFFSET(TST!HeadRow,ROW()-ROW(TST!HeadRow),0,1,COLUMNS(TST!HeadRow)),1,MATCH(MU$5,TST!HeadRow,0))/MU$8</f>
        <v>0.33066049433743905</v>
      </c>
      <c r="MV20" s="278">
        <f ca="1">$A20 - TST!US100dt + 1</f>
        <v>-42</v>
      </c>
      <c r="MW20" s="20">
        <f ca="1">INDEX(OFFSET(TST!HeadRow,ROW()-ROW(TST!HeadRow),0,1,COLUMNS(TST!HeadRow)),1,MATCH(MW$5,TST!HeadRow,0))/MW$8</f>
        <v>0.2429928855388756</v>
      </c>
      <c r="MX20" s="278">
        <f ca="1">$A20 - TST!AustraliaSum100dt + 1</f>
        <v>-42</v>
      </c>
      <c r="MY20" s="366">
        <f t="shared" si="7"/>
        <v>4.731114966093676</v>
      </c>
      <c r="MZ20" s="278">
        <f ca="1">$A20 - TST!NewSouthWales100dt + 1</f>
        <v>-40</v>
      </c>
      <c r="NA20" s="366">
        <f ca="1">INDEX(OFFSET(TST!HeadRow,ROW()-ROW(TST!HeadRow),0,1,COLUMNS(TST!HeadRow)),1,MATCH(NA$5,TST!HeadRow,0))/NA$8</f>
        <v>4.9504950495049505</v>
      </c>
      <c r="NB20" s="278">
        <f ca="1">$A20 - TST!Taiwan100dt + 1</f>
        <v>-53</v>
      </c>
      <c r="NC20" s="366">
        <f ca="1">INDEX(OFFSET(TST!HeadRow,ROW()-ROW(TST!HeadRow),0,1,COLUMNS(TST!HeadRow)),1,MATCH(NC$5,TST!HeadRow,0))/NC$8</f>
        <v>4.2003954924379858</v>
      </c>
      <c r="ND20" s="20">
        <f ca="1">$A20 - TST!Hubei100dt + 1</f>
        <v>8</v>
      </c>
      <c r="NE20" s="20">
        <f ca="1">INDEX(OFFSET(TST!HeadRow,ROW()-ROW(TST!HeadRow),0,1,COLUMNS(TST!HeadRow)),1,MATCH(NE$5,TST!HeadRow,0))/NE$8</f>
        <v>1222.7350427350427</v>
      </c>
      <c r="NF20" s="20">
        <f ca="1">$A20 - TST!HongKong100dt + 1</f>
        <v>-22</v>
      </c>
      <c r="NG20" s="20">
        <f ca="1">INDEX(OFFSET(TST!HeadRow,ROW()-ROW(TST!HeadRow),0,1,COLUMNS(TST!HeadRow)),1,MATCH(NG$5,TST!HeadRow,0))/NG$8</f>
        <v>17.447322507046035</v>
      </c>
    </row>
    <row r="21" spans="1:371" x14ac:dyDescent="0.25">
      <c r="A21" s="243">
        <v>43863</v>
      </c>
      <c r="B21" s="23">
        <v>0</v>
      </c>
      <c r="C21" s="23">
        <v>0</v>
      </c>
      <c r="D21" s="23">
        <v>0</v>
      </c>
      <c r="E21" s="23">
        <v>0</v>
      </c>
      <c r="F21" s="23">
        <v>0</v>
      </c>
      <c r="G21" s="23">
        <v>0</v>
      </c>
      <c r="H21" s="23">
        <v>0</v>
      </c>
      <c r="I21" s="23">
        <v>0</v>
      </c>
      <c r="J21" s="23">
        <v>0</v>
      </c>
      <c r="K21" s="293">
        <v>4</v>
      </c>
      <c r="L21" s="23">
        <v>0</v>
      </c>
      <c r="M21" s="290">
        <v>2</v>
      </c>
      <c r="N21" s="23">
        <v>2</v>
      </c>
      <c r="O21" s="384">
        <v>0</v>
      </c>
      <c r="P21" s="287">
        <v>4</v>
      </c>
      <c r="Q21" s="23">
        <v>0</v>
      </c>
      <c r="R21" s="23">
        <v>0</v>
      </c>
      <c r="S21" s="23">
        <v>0</v>
      </c>
      <c r="T21" s="23">
        <v>0</v>
      </c>
      <c r="U21" s="23">
        <v>0</v>
      </c>
      <c r="V21" s="23">
        <v>0</v>
      </c>
      <c r="W21" s="23">
        <v>0</v>
      </c>
      <c r="X21" s="23">
        <v>0</v>
      </c>
      <c r="Y21" s="23">
        <v>0</v>
      </c>
      <c r="Z21" s="23">
        <v>0</v>
      </c>
      <c r="AA21" s="23">
        <v>0</v>
      </c>
      <c r="AB21" s="23">
        <v>0</v>
      </c>
      <c r="AC21" s="23">
        <v>0</v>
      </c>
      <c r="AD21" s="23">
        <v>0</v>
      </c>
      <c r="AE21" s="23">
        <v>0</v>
      </c>
      <c r="AF21" s="23">
        <v>0</v>
      </c>
      <c r="AG21" s="23">
        <v>0</v>
      </c>
      <c r="AH21" s="23">
        <v>0</v>
      </c>
      <c r="AI21" s="23">
        <v>1</v>
      </c>
      <c r="AJ21" s="23">
        <v>0</v>
      </c>
      <c r="AK21" s="23">
        <v>0</v>
      </c>
      <c r="AL21" s="23">
        <v>1</v>
      </c>
      <c r="AM21" s="23">
        <v>0</v>
      </c>
      <c r="AN21" s="23">
        <v>0</v>
      </c>
      <c r="AO21" s="23">
        <v>0</v>
      </c>
      <c r="AP21" s="23">
        <v>0</v>
      </c>
      <c r="AQ21" s="23">
        <v>0</v>
      </c>
      <c r="AR21" s="23">
        <v>3</v>
      </c>
      <c r="AS21" s="23">
        <v>0</v>
      </c>
      <c r="AT21" s="23">
        <v>0</v>
      </c>
      <c r="AU21" s="23">
        <v>0</v>
      </c>
      <c r="AV21" s="23">
        <v>0</v>
      </c>
      <c r="AW21" s="23">
        <v>0</v>
      </c>
      <c r="AX21" s="23">
        <v>0</v>
      </c>
      <c r="AY21" s="23">
        <v>340</v>
      </c>
      <c r="AZ21" s="23">
        <v>191</v>
      </c>
      <c r="BA21" s="23">
        <v>300</v>
      </c>
      <c r="BB21" s="23">
        <v>159</v>
      </c>
      <c r="BC21" s="23">
        <v>51</v>
      </c>
      <c r="BD21" s="23">
        <v>632</v>
      </c>
      <c r="BE21" s="23">
        <v>111</v>
      </c>
      <c r="BF21" s="23">
        <v>38</v>
      </c>
      <c r="BG21" s="23">
        <v>64</v>
      </c>
      <c r="BH21" s="23">
        <v>104</v>
      </c>
      <c r="BI21" s="23">
        <v>95</v>
      </c>
      <c r="BJ21" s="23">
        <v>493</v>
      </c>
      <c r="BK21" s="23">
        <v>15</v>
      </c>
      <c r="BL21" s="23">
        <v>11177</v>
      </c>
      <c r="BM21" s="23">
        <v>463</v>
      </c>
      <c r="BN21" s="23">
        <v>27</v>
      </c>
      <c r="BO21" s="23">
        <v>236</v>
      </c>
      <c r="BP21" s="23">
        <v>333</v>
      </c>
      <c r="BQ21" s="23">
        <v>23</v>
      </c>
      <c r="BR21" s="23">
        <v>70</v>
      </c>
      <c r="BS21" s="23">
        <v>8</v>
      </c>
      <c r="BT21" s="23">
        <v>28</v>
      </c>
      <c r="BU21" s="23">
        <v>11</v>
      </c>
      <c r="BV21" s="23">
        <v>116</v>
      </c>
      <c r="BW21" s="23">
        <v>230</v>
      </c>
      <c r="BX21" s="23">
        <v>182</v>
      </c>
      <c r="BY21" s="23">
        <v>66</v>
      </c>
      <c r="BZ21" s="23">
        <v>231</v>
      </c>
      <c r="CA21" s="23">
        <v>48</v>
      </c>
      <c r="CB21" s="23">
        <v>1</v>
      </c>
      <c r="CC21" s="23">
        <v>21</v>
      </c>
      <c r="CD21" s="23">
        <v>105</v>
      </c>
      <c r="CE21" s="23">
        <v>661</v>
      </c>
      <c r="CF21" s="23">
        <v>0</v>
      </c>
      <c r="CG21" s="23">
        <v>0</v>
      </c>
      <c r="CH21" s="23">
        <v>0</v>
      </c>
      <c r="CI21" s="23">
        <v>0</v>
      </c>
      <c r="CJ21" s="23">
        <v>0</v>
      </c>
      <c r="CK21" s="23">
        <v>0</v>
      </c>
      <c r="CL21" s="23">
        <v>0</v>
      </c>
      <c r="CM21" s="23">
        <v>0</v>
      </c>
      <c r="CN21" s="23">
        <v>0</v>
      </c>
      <c r="CO21" s="23">
        <v>0</v>
      </c>
      <c r="CP21" s="23">
        <v>0</v>
      </c>
      <c r="CQ21" s="23">
        <v>0</v>
      </c>
      <c r="CR21" s="23">
        <v>0</v>
      </c>
      <c r="CS21" s="23">
        <v>0</v>
      </c>
      <c r="CT21" s="23">
        <v>0</v>
      </c>
      <c r="CU21" s="23">
        <v>0</v>
      </c>
      <c r="CV21" s="23">
        <v>0</v>
      </c>
      <c r="CW21" s="23">
        <v>0</v>
      </c>
      <c r="CX21" s="23">
        <v>0</v>
      </c>
      <c r="CY21" s="23">
        <v>0</v>
      </c>
      <c r="CZ21" s="23">
        <v>0</v>
      </c>
      <c r="DA21" s="23">
        <v>0</v>
      </c>
      <c r="DB21" s="23">
        <v>0</v>
      </c>
      <c r="DC21" s="23">
        <v>0</v>
      </c>
      <c r="DD21" s="23">
        <v>1</v>
      </c>
      <c r="DE21" s="23">
        <v>0</v>
      </c>
      <c r="DF21" s="23">
        <v>0</v>
      </c>
      <c r="DG21" s="23">
        <v>0</v>
      </c>
      <c r="DH21" s="23">
        <v>0</v>
      </c>
      <c r="DI21" s="23">
        <v>0</v>
      </c>
      <c r="DJ21" s="23">
        <v>0</v>
      </c>
      <c r="DK21" s="23">
        <v>0</v>
      </c>
      <c r="DL21" s="23">
        <v>0</v>
      </c>
      <c r="DM21" s="23">
        <v>0</v>
      </c>
      <c r="DN21" s="23">
        <v>6</v>
      </c>
      <c r="DO21" s="23">
        <v>0</v>
      </c>
      <c r="DP21" s="23">
        <v>0</v>
      </c>
      <c r="DQ21" s="23">
        <v>0</v>
      </c>
      <c r="DR21" s="23">
        <v>10</v>
      </c>
      <c r="DS21" s="23">
        <v>0</v>
      </c>
      <c r="DT21" s="23">
        <v>0</v>
      </c>
      <c r="DU21" s="23">
        <v>0</v>
      </c>
      <c r="DV21" s="23">
        <v>0</v>
      </c>
      <c r="DW21" s="23">
        <v>0</v>
      </c>
      <c r="DX21" s="23">
        <v>0</v>
      </c>
      <c r="DY21" s="23">
        <v>0</v>
      </c>
      <c r="DZ21" s="23">
        <v>0</v>
      </c>
      <c r="EA21" s="23">
        <v>0</v>
      </c>
      <c r="EB21" s="23">
        <v>0</v>
      </c>
      <c r="EC21" s="23">
        <v>2</v>
      </c>
      <c r="ED21" s="23">
        <v>0</v>
      </c>
      <c r="EE21" s="23">
        <v>0</v>
      </c>
      <c r="EF21" s="23">
        <v>0</v>
      </c>
      <c r="EG21" s="23">
        <v>0</v>
      </c>
      <c r="EH21" s="23">
        <v>0</v>
      </c>
      <c r="EI21" s="23">
        <v>2</v>
      </c>
      <c r="EJ21" s="23">
        <v>0</v>
      </c>
      <c r="EK21" s="23">
        <v>20</v>
      </c>
      <c r="EL21" s="23">
        <v>0</v>
      </c>
      <c r="EM21" s="23">
        <v>0</v>
      </c>
      <c r="EN21" s="23">
        <v>0</v>
      </c>
      <c r="EO21" s="23">
        <v>15</v>
      </c>
      <c r="EP21" s="23">
        <v>0</v>
      </c>
      <c r="EQ21" s="23">
        <v>0</v>
      </c>
      <c r="ER21" s="23">
        <v>0</v>
      </c>
      <c r="ES21" s="23">
        <v>0</v>
      </c>
      <c r="ET21" s="23">
        <v>0</v>
      </c>
      <c r="EU21" s="23">
        <v>0</v>
      </c>
      <c r="EV21" s="23">
        <v>0</v>
      </c>
      <c r="EW21" s="23">
        <v>0</v>
      </c>
      <c r="EX21" s="23">
        <v>0</v>
      </c>
      <c r="EY21" s="23">
        <v>8</v>
      </c>
      <c r="EZ21" s="23">
        <v>0</v>
      </c>
      <c r="FA21" s="23">
        <v>0</v>
      </c>
      <c r="FB21" s="23">
        <v>0</v>
      </c>
      <c r="FC21" s="23">
        <v>0</v>
      </c>
      <c r="FD21" s="23">
        <v>0</v>
      </c>
      <c r="FE21" s="23">
        <v>0</v>
      </c>
      <c r="FF21" s="23">
        <v>0</v>
      </c>
      <c r="FG21" s="23">
        <v>0</v>
      </c>
      <c r="FH21" s="23">
        <v>0</v>
      </c>
      <c r="FI21" s="23">
        <v>0</v>
      </c>
      <c r="FJ21" s="23">
        <v>0</v>
      </c>
      <c r="FK21" s="23">
        <v>1</v>
      </c>
      <c r="FL21" s="23">
        <v>0</v>
      </c>
      <c r="FM21" s="23">
        <v>0</v>
      </c>
      <c r="FN21" s="23">
        <v>0</v>
      </c>
      <c r="FO21" s="23">
        <v>0</v>
      </c>
      <c r="FP21" s="23">
        <v>0</v>
      </c>
      <c r="FQ21" s="23">
        <v>0</v>
      </c>
      <c r="FR21" s="23">
        <v>0</v>
      </c>
      <c r="FS21" s="23">
        <v>0</v>
      </c>
      <c r="FT21" s="23">
        <v>0</v>
      </c>
      <c r="FU21" s="23">
        <v>0</v>
      </c>
      <c r="FV21" s="23">
        <v>0</v>
      </c>
      <c r="FW21" s="23">
        <v>0</v>
      </c>
      <c r="FX21" s="23">
        <v>0</v>
      </c>
      <c r="FY21" s="23">
        <v>0</v>
      </c>
      <c r="FZ21" s="23">
        <v>0</v>
      </c>
      <c r="GA21" s="23">
        <v>0</v>
      </c>
      <c r="GB21" s="23">
        <v>2</v>
      </c>
      <c r="GC21" s="23">
        <v>0</v>
      </c>
      <c r="GD21" s="23">
        <v>0</v>
      </c>
      <c r="GE21" s="23">
        <v>0</v>
      </c>
      <c r="GF21" s="23">
        <v>0</v>
      </c>
      <c r="GG21" s="23">
        <v>2</v>
      </c>
      <c r="GH21" s="23">
        <v>0</v>
      </c>
      <c r="GI21" s="23">
        <v>0</v>
      </c>
      <c r="GJ21" s="23">
        <v>0</v>
      </c>
      <c r="GK21" s="23">
        <v>0</v>
      </c>
      <c r="GL21" s="23">
        <v>0</v>
      </c>
      <c r="GM21" s="23">
        <v>0</v>
      </c>
      <c r="GN21" s="23">
        <v>0</v>
      </c>
      <c r="GO21" s="23">
        <v>0</v>
      </c>
      <c r="GP21" s="23">
        <v>18</v>
      </c>
      <c r="GQ21" s="23">
        <v>0</v>
      </c>
      <c r="GR21" s="23">
        <v>0</v>
      </c>
      <c r="GS21" s="23">
        <v>0</v>
      </c>
      <c r="GT21" s="23">
        <v>0</v>
      </c>
      <c r="GU21" s="23">
        <v>1</v>
      </c>
      <c r="GV21" s="23">
        <v>1</v>
      </c>
      <c r="GW21" s="23">
        <v>0</v>
      </c>
      <c r="GX21" s="23">
        <v>0</v>
      </c>
      <c r="GY21" s="23">
        <v>1</v>
      </c>
      <c r="GZ21" s="23">
        <v>0</v>
      </c>
      <c r="HA21" s="23">
        <v>10</v>
      </c>
      <c r="HB21" s="23">
        <v>0</v>
      </c>
      <c r="HC21" s="23">
        <v>19</v>
      </c>
      <c r="HD21" s="23">
        <v>0</v>
      </c>
      <c r="HE21" s="23">
        <v>0</v>
      </c>
      <c r="HF21" s="23">
        <v>0</v>
      </c>
      <c r="HG21" s="23">
        <v>0</v>
      </c>
      <c r="HH21" s="23">
        <v>0</v>
      </c>
      <c r="HI21" s="23">
        <v>0</v>
      </c>
      <c r="HJ21" s="23">
        <v>5</v>
      </c>
      <c r="HK21" s="23">
        <v>0</v>
      </c>
      <c r="HL21" s="23">
        <v>0</v>
      </c>
      <c r="HM21" s="23">
        <v>0</v>
      </c>
      <c r="HN21" s="23">
        <v>0</v>
      </c>
      <c r="HO21" s="23">
        <v>0</v>
      </c>
      <c r="HP21" s="23">
        <v>0</v>
      </c>
      <c r="HQ21" s="23">
        <v>2</v>
      </c>
      <c r="HR21" s="23">
        <v>0</v>
      </c>
      <c r="HS21" s="23">
        <v>8</v>
      </c>
      <c r="HT21" s="23">
        <v>0</v>
      </c>
      <c r="HU21" s="23">
        <v>0</v>
      </c>
      <c r="HV21" s="23">
        <v>6</v>
      </c>
      <c r="HW21" s="23">
        <v>0</v>
      </c>
      <c r="HX21" s="23">
        <v>0</v>
      </c>
      <c r="HY21" s="23">
        <v>0</v>
      </c>
      <c r="HZ21" s="23">
        <v>0</v>
      </c>
      <c r="IA21" s="23">
        <v>0</v>
      </c>
      <c r="IB21" s="23">
        <v>0</v>
      </c>
      <c r="IC21" s="23">
        <v>0</v>
      </c>
      <c r="ID21" s="23">
        <v>0</v>
      </c>
      <c r="IE21" s="23">
        <v>0</v>
      </c>
      <c r="IF21" s="23">
        <v>0</v>
      </c>
      <c r="IG21" s="23">
        <v>0</v>
      </c>
      <c r="IH21" s="23">
        <v>0</v>
      </c>
      <c r="II21" s="23">
        <v>0</v>
      </c>
      <c r="IJ21" s="23">
        <v>0</v>
      </c>
      <c r="IK21" s="23">
        <v>0</v>
      </c>
      <c r="IL21" s="23">
        <v>0</v>
      </c>
      <c r="IM21" s="23">
        <v>0</v>
      </c>
      <c r="IN21" s="23">
        <v>0</v>
      </c>
      <c r="IO21" s="23">
        <v>0</v>
      </c>
      <c r="IP21" s="23">
        <v>0</v>
      </c>
      <c r="IQ21" s="23">
        <v>0</v>
      </c>
      <c r="IR21" s="23">
        <v>0</v>
      </c>
      <c r="IS21" s="23">
        <v>0</v>
      </c>
      <c r="IT21" s="23">
        <v>0</v>
      </c>
      <c r="IU21" s="23">
        <v>0</v>
      </c>
      <c r="IV21" s="23">
        <v>0</v>
      </c>
      <c r="IW21" s="23">
        <v>0</v>
      </c>
      <c r="IX21" s="23">
        <v>0</v>
      </c>
      <c r="IY21" s="23">
        <v>0</v>
      </c>
      <c r="IZ21" s="23">
        <v>0</v>
      </c>
      <c r="JA21" s="23">
        <v>0</v>
      </c>
      <c r="JB21" s="23">
        <v>0</v>
      </c>
      <c r="JC21" s="23">
        <v>0</v>
      </c>
      <c r="JD21" s="23">
        <v>0</v>
      </c>
      <c r="JE21" s="23">
        <v>0</v>
      </c>
      <c r="JF21" s="23">
        <v>0</v>
      </c>
      <c r="JG21" s="23">
        <v>0</v>
      </c>
      <c r="JH21" s="23">
        <v>0</v>
      </c>
      <c r="JI21" s="23">
        <v>0</v>
      </c>
      <c r="JJ21" s="23">
        <v>0</v>
      </c>
      <c r="JK21" s="23">
        <v>0</v>
      </c>
      <c r="JL21" s="23">
        <v>0</v>
      </c>
      <c r="JM21" s="23">
        <v>0</v>
      </c>
      <c r="JN21" s="23">
        <v>0</v>
      </c>
      <c r="JO21" s="23">
        <v>1</v>
      </c>
      <c r="JP21" s="23">
        <v>0</v>
      </c>
      <c r="JQ21" s="23">
        <v>3</v>
      </c>
      <c r="JR21" s="23">
        <v>0</v>
      </c>
      <c r="JS21" s="23">
        <v>0</v>
      </c>
      <c r="JT21" s="23">
        <v>0</v>
      </c>
      <c r="JU21" s="23">
        <v>0</v>
      </c>
      <c r="JV21" s="23">
        <v>0</v>
      </c>
      <c r="JW21" s="23">
        <v>0</v>
      </c>
      <c r="JX21" s="23">
        <v>0</v>
      </c>
      <c r="JY21" s="23">
        <v>0</v>
      </c>
      <c r="JZ21" s="23">
        <v>2</v>
      </c>
      <c r="KA21" s="23">
        <v>0</v>
      </c>
      <c r="KB21" s="23">
        <v>0</v>
      </c>
      <c r="KC21" s="23">
        <v>0</v>
      </c>
      <c r="KD21" s="23">
        <v>0</v>
      </c>
      <c r="KE21" s="23">
        <v>0</v>
      </c>
      <c r="KF21" s="23">
        <v>0</v>
      </c>
      <c r="KG21" s="23">
        <v>0</v>
      </c>
      <c r="KH21" s="23">
        <v>1</v>
      </c>
      <c r="KI21" s="23">
        <v>0</v>
      </c>
      <c r="KJ21" s="23">
        <v>0</v>
      </c>
      <c r="KK21" s="23">
        <v>0</v>
      </c>
      <c r="KL21" s="23">
        <v>0</v>
      </c>
      <c r="KM21" s="23">
        <v>0</v>
      </c>
      <c r="KN21" s="23">
        <v>0</v>
      </c>
      <c r="KO21" s="23">
        <v>0</v>
      </c>
      <c r="KP21" s="23">
        <v>0</v>
      </c>
      <c r="KQ21" s="23">
        <v>0</v>
      </c>
      <c r="KR21" s="23">
        <v>0</v>
      </c>
      <c r="KS21" s="23">
        <v>0</v>
      </c>
      <c r="KT21" s="23">
        <v>0</v>
      </c>
      <c r="KU21" s="23">
        <v>0</v>
      </c>
      <c r="KV21" s="23">
        <v>0</v>
      </c>
      <c r="KW21" s="23">
        <v>0</v>
      </c>
      <c r="KX21" s="23">
        <v>0</v>
      </c>
      <c r="KY21" s="23">
        <v>0</v>
      </c>
      <c r="KZ21" s="23">
        <v>0</v>
      </c>
      <c r="LA21" s="23">
        <v>0</v>
      </c>
      <c r="LB21" s="23">
        <v>0</v>
      </c>
      <c r="LC21" s="23">
        <v>0</v>
      </c>
      <c r="LD21" s="23">
        <v>0</v>
      </c>
      <c r="LE21" s="23">
        <v>0</v>
      </c>
      <c r="LF21" s="23">
        <v>0</v>
      </c>
      <c r="LG21" s="23">
        <v>0</v>
      </c>
      <c r="LH21" s="23">
        <v>1</v>
      </c>
      <c r="LI21" s="23">
        <v>0</v>
      </c>
      <c r="LJ21" s="23">
        <v>0</v>
      </c>
      <c r="LK21" s="23">
        <v>0</v>
      </c>
      <c r="LL21" s="23">
        <v>0</v>
      </c>
      <c r="LM21" s="23">
        <v>0</v>
      </c>
      <c r="LN21" s="278">
        <f ca="1">$A21 - TST!Sweden100dt + 1</f>
        <v>-33</v>
      </c>
      <c r="LO21" s="20">
        <f ca="1">INDEX(OFFSET(TST!HeadRow,ROW()-ROW(TST!HeadRow),0,1,COLUMNS(TST!HeadRow)),1,MATCH(LO$5,TST!HeadRow,0))/LO$8</f>
        <v>0.97751710654936474</v>
      </c>
      <c r="LP21" s="278">
        <f ca="1">$A21 - TST!Spain100dt + 1</f>
        <v>-33</v>
      </c>
      <c r="LQ21" s="20">
        <f ca="1">INDEX(OFFSET(TST!HeadRow,ROW()-ROW(TST!HeadRow),0,1,COLUMNS(TST!HeadRow)),1,MATCH(LQ$5,TST!HeadRow,0))/LQ$8</f>
        <v>0.21303792074989347</v>
      </c>
      <c r="LR21" s="285">
        <f ca="1">$A21 - TST!Victoria100dt + 1</f>
        <v>-42</v>
      </c>
      <c r="LS21" s="20">
        <f ca="1">INDEX(OFFSET(TST!HeadRow,ROW()-ROW(TST!HeadRow),0,1,COLUMNS(TST!HeadRow)),1,MATCH(LS$5,TST!HeadRow,0))/LS$8</f>
        <v>6.0340926233217678</v>
      </c>
      <c r="LT21" s="278">
        <f ca="1">$A21 - TST!Iran100dt + 1</f>
        <v>-27</v>
      </c>
      <c r="LU21" s="20">
        <f ca="1">INDEX(OFFSET(TST!HeadRow,ROW()-ROW(TST!HeadRow),0,1,COLUMNS(TST!HeadRow)),1,MATCH(LU$5,TST!HeadRow,0))/LU$8</f>
        <v>0</v>
      </c>
      <c r="LV21" s="278">
        <f ca="1">$A21 - TST!Japan100dt + 1</f>
        <v>-51</v>
      </c>
      <c r="LW21" s="20">
        <f ca="1">INDEX(OFFSET(TST!HeadRow,ROW()-ROW(TST!HeadRow),0,1,COLUMNS(TST!HeadRow)),1,MATCH(LW$5,TST!HeadRow,0))/LW$8</f>
        <v>1.5803505158971292</v>
      </c>
      <c r="LX21" s="278">
        <f ca="1">$A21 - TST!Queensland100dt + 1</f>
        <v>-41</v>
      </c>
      <c r="LY21" s="20">
        <f ca="1">INDEX(OFFSET(TST!HeadRow,ROW()-ROW(TST!HeadRow),0,1,COLUMNS(TST!HeadRow)),1,MATCH(LY$5,TST!HeadRow,0))/LY$8</f>
        <v>3.9097236978714096</v>
      </c>
      <c r="LZ21" s="278">
        <f ca="1">$A21 - TST!Tasmania100dt + 1</f>
        <v>-41</v>
      </c>
      <c r="MA21" s="20">
        <f ca="1">INDEX(OFFSET(TST!HeadRow,ROW()-ROW(TST!HeadRow),0,1,COLUMNS(TST!HeadRow)),1,MATCH(MA$5,TST!HeadRow,0))/MA$8</f>
        <v>0</v>
      </c>
      <c r="MB21" s="278">
        <f ca="1">$A21 - TST!SouthAustralia100dt + 1</f>
        <v>-40</v>
      </c>
      <c r="MC21" s="20">
        <f ca="1">INDEX(OFFSET(TST!HeadRow,ROW()-ROW(TST!HeadRow),0,1,COLUMNS(TST!HeadRow)),1,MATCH(MC$5,TST!HeadRow,0))/MC$8</f>
        <v>11.976047904191615</v>
      </c>
      <c r="MD21" s="278">
        <f ca="1">$A21 - TST!AustralianCapitalTerritory100dt + 1</f>
        <v>-46</v>
      </c>
      <c r="ME21" s="20">
        <f ca="1">INDEX(OFFSET(TST!HeadRow,ROW()-ROW(TST!HeadRow),0,1,COLUMNS(TST!HeadRow)),1,MATCH(ME$5,TST!HeadRow,0))/ME$8</f>
        <v>0</v>
      </c>
      <c r="MF21" s="278">
        <f ca="1">$A21 - TST!NorthernTerritory100dt + 1</f>
        <v>-46</v>
      </c>
      <c r="MG21" s="20">
        <f ca="1">INDEX(OFFSET(TST!HeadRow,ROW()-ROW(TST!HeadRow),0,1,COLUMNS(TST!HeadRow)),1,MATCH(MG$5,TST!HeadRow,0))/MG$8</f>
        <v>0</v>
      </c>
      <c r="MH21" s="278">
        <f ca="1">$A21 - TST!WesternAustralia100dt + 1</f>
        <v>-42</v>
      </c>
      <c r="MI21" s="20">
        <f ca="1">INDEX(OFFSET(TST!HeadRow,ROW()-ROW(TST!HeadRow),0,1,COLUMNS(TST!HeadRow)),1,MATCH(MI$5,TST!HeadRow,0))/MI$8</f>
        <v>0</v>
      </c>
      <c r="MJ21" s="278">
        <f ca="1">$A21 - TST!Germany100dt + 1</f>
        <v>-34</v>
      </c>
      <c r="MK21" s="20">
        <f ca="1">INDEX(OFFSET(TST!HeadRow,ROW()-ROW(TST!HeadRow),0,1,COLUMNS(TST!HeadRow)),1,MATCH(MK$5,TST!HeadRow,0))/MK$8</f>
        <v>1.2045290291496025</v>
      </c>
      <c r="ML21" s="278">
        <f ca="1">$A21 - TST!Denmark100dt + 1</f>
        <v>-35</v>
      </c>
      <c r="MM21" s="20">
        <f ca="1">INDEX(OFFSET(TST!HeadRow,ROW()-ROW(TST!HeadRow),0,1,COLUMNS(TST!HeadRow)),1,MATCH(MM$5,TST!HeadRow,0))/MM$8</f>
        <v>0</v>
      </c>
      <c r="MN21" s="278">
        <f ca="1">$A21 - TST!SouthAfrica100dt + 1</f>
        <v>-51</v>
      </c>
      <c r="MO21" s="20">
        <f ca="1">INDEX(OFFSET(TST!HeadRow,ROW()-ROW(TST!HeadRow),0,1,COLUMNS(TST!HeadRow)),1,MATCH(MO$5,TST!HeadRow,0))/MO$8</f>
        <v>0</v>
      </c>
      <c r="MP21" s="278">
        <f ca="1">$A21 - TST!UnitedKingdom100dt + 1</f>
        <v>-39</v>
      </c>
      <c r="MQ21" s="20">
        <f ca="1">INDEX(OFFSET(TST!HeadRow,ROW()-ROW(TST!HeadRow),0,1,COLUMNS(TST!HeadRow)),1,MATCH(MQ$5,TST!HeadRow,0))/MQ$8</f>
        <v>0.30102347983142685</v>
      </c>
      <c r="MR21" s="278">
        <f ca="1">$A21 - TST!Ireland100dt + 1</f>
        <v>-39</v>
      </c>
      <c r="MS21" s="20">
        <f ca="1">INDEX(OFFSET(TST!HeadRow,ROW()-ROW(TST!HeadRow),0,1,COLUMNS(TST!HeadRow)),1,MATCH(MS$5,TST!HeadRow,0))/MS$8</f>
        <v>0</v>
      </c>
      <c r="MT21" s="278">
        <f ca="1">$A21 - TST!Italy100dt + 1</f>
        <v>-24</v>
      </c>
      <c r="MU21" s="20">
        <f ca="1">INDEX(OFFSET(TST!HeadRow,ROW()-ROW(TST!HeadRow),0,1,COLUMNS(TST!HeadRow)),1,MATCH(MU$5,TST!HeadRow,0))/MU$8</f>
        <v>0.33066049433743905</v>
      </c>
      <c r="MV21" s="278">
        <f ca="1">$A21 - TST!US100dt + 1</f>
        <v>-41</v>
      </c>
      <c r="MW21" s="20">
        <f ca="1">INDEX(OFFSET(TST!HeadRow,ROW()-ROW(TST!HeadRow),0,1,COLUMNS(TST!HeadRow)),1,MATCH(MW$5,TST!HeadRow,0))/MW$8</f>
        <v>0.2429928855388756</v>
      </c>
      <c r="MX21" s="278">
        <f ca="1">$A21 - TST!AustraliaSum100dt + 1</f>
        <v>-41</v>
      </c>
      <c r="MY21" s="366">
        <f t="shared" si="7"/>
        <v>4.731114966093676</v>
      </c>
      <c r="MZ21" s="278">
        <f ca="1">$A21 - TST!NewSouthWales100dt + 1</f>
        <v>-39</v>
      </c>
      <c r="NA21" s="366">
        <f ca="1">INDEX(OFFSET(TST!HeadRow,ROW()-ROW(TST!HeadRow),0,1,COLUMNS(TST!HeadRow)),1,MATCH(NA$5,TST!HeadRow,0))/NA$8</f>
        <v>4.9504950495049505</v>
      </c>
      <c r="NB21" s="278">
        <f ca="1">$A21 - TST!Taiwan100dt + 1</f>
        <v>-52</v>
      </c>
      <c r="NC21" s="366">
        <f ca="1">INDEX(OFFSET(TST!HeadRow,ROW()-ROW(TST!HeadRow),0,1,COLUMNS(TST!HeadRow)),1,MATCH(NC$5,TST!HeadRow,0))/NC$8</f>
        <v>4.2003954924379858</v>
      </c>
      <c r="ND21" s="20">
        <f ca="1">$A21 - TST!Hubei100dt + 1</f>
        <v>9</v>
      </c>
      <c r="NE21" s="20">
        <f ca="1">INDEX(OFFSET(TST!HeadRow,ROW()-ROW(TST!HeadRow),0,1,COLUMNS(TST!HeadRow)),1,MATCH(NE$5,TST!HeadRow,0))/NE$8</f>
        <v>1910.5982905982908</v>
      </c>
      <c r="NF21" s="20">
        <f ca="1">$A21 - TST!HongKong100dt + 1</f>
        <v>-21</v>
      </c>
      <c r="NG21" s="20">
        <f ca="1">INDEX(OFFSET(TST!HeadRow,ROW()-ROW(TST!HeadRow),0,1,COLUMNS(TST!HeadRow)),1,MATCH(NG$5,TST!HeadRow,0))/NG$8</f>
        <v>20.131525969668502</v>
      </c>
    </row>
    <row r="22" spans="1:371" x14ac:dyDescent="0.25">
      <c r="A22" s="243">
        <v>43864</v>
      </c>
      <c r="B22" s="23">
        <v>0</v>
      </c>
      <c r="C22" s="23">
        <v>0</v>
      </c>
      <c r="D22" s="23">
        <v>0</v>
      </c>
      <c r="E22" s="23">
        <v>0</v>
      </c>
      <c r="F22" s="23">
        <v>0</v>
      </c>
      <c r="G22" s="23">
        <v>0</v>
      </c>
      <c r="H22" s="23">
        <v>0</v>
      </c>
      <c r="I22" s="23">
        <v>0</v>
      </c>
      <c r="J22" s="23">
        <v>0</v>
      </c>
      <c r="K22" s="293">
        <v>4</v>
      </c>
      <c r="L22" s="23">
        <v>0</v>
      </c>
      <c r="M22" s="290">
        <v>2</v>
      </c>
      <c r="N22" s="23">
        <v>2</v>
      </c>
      <c r="O22" s="384">
        <v>0</v>
      </c>
      <c r="P22" s="287">
        <v>4</v>
      </c>
      <c r="Q22" s="23">
        <v>0</v>
      </c>
      <c r="R22" s="23">
        <v>0</v>
      </c>
      <c r="S22" s="23">
        <v>0</v>
      </c>
      <c r="T22" s="23">
        <v>0</v>
      </c>
      <c r="U22" s="23">
        <v>0</v>
      </c>
      <c r="V22" s="23">
        <v>0</v>
      </c>
      <c r="W22" s="23">
        <v>0</v>
      </c>
      <c r="X22" s="23">
        <v>0</v>
      </c>
      <c r="Y22" s="23">
        <v>0</v>
      </c>
      <c r="Z22" s="23">
        <v>0</v>
      </c>
      <c r="AA22" s="23">
        <v>0</v>
      </c>
      <c r="AB22" s="23">
        <v>0</v>
      </c>
      <c r="AC22" s="23">
        <v>0</v>
      </c>
      <c r="AD22" s="23">
        <v>0</v>
      </c>
      <c r="AE22" s="23">
        <v>0</v>
      </c>
      <c r="AF22" s="23">
        <v>0</v>
      </c>
      <c r="AG22" s="23">
        <v>0</v>
      </c>
      <c r="AH22" s="23">
        <v>0</v>
      </c>
      <c r="AI22" s="23">
        <v>1</v>
      </c>
      <c r="AJ22" s="23">
        <v>0</v>
      </c>
      <c r="AK22" s="23">
        <v>0</v>
      </c>
      <c r="AL22" s="23">
        <v>1</v>
      </c>
      <c r="AM22" s="23">
        <v>0</v>
      </c>
      <c r="AN22" s="23">
        <v>0</v>
      </c>
      <c r="AO22" s="23">
        <v>0</v>
      </c>
      <c r="AP22" s="23">
        <v>0</v>
      </c>
      <c r="AQ22" s="23">
        <v>0</v>
      </c>
      <c r="AR22" s="23">
        <v>3</v>
      </c>
      <c r="AS22" s="23">
        <v>0</v>
      </c>
      <c r="AT22" s="23">
        <v>0</v>
      </c>
      <c r="AU22" s="23">
        <v>0</v>
      </c>
      <c r="AV22" s="23">
        <v>0</v>
      </c>
      <c r="AW22" s="23">
        <v>0</v>
      </c>
      <c r="AX22" s="23">
        <v>0</v>
      </c>
      <c r="AY22" s="23">
        <v>408</v>
      </c>
      <c r="AZ22" s="23">
        <v>212</v>
      </c>
      <c r="BA22" s="23">
        <v>337</v>
      </c>
      <c r="BB22" s="23">
        <v>179</v>
      </c>
      <c r="BC22" s="23">
        <v>55</v>
      </c>
      <c r="BD22" s="23">
        <v>725</v>
      </c>
      <c r="BE22" s="23">
        <v>127</v>
      </c>
      <c r="BF22" s="23">
        <v>46</v>
      </c>
      <c r="BG22" s="23">
        <v>72</v>
      </c>
      <c r="BH22" s="23">
        <v>113</v>
      </c>
      <c r="BI22" s="23">
        <v>121</v>
      </c>
      <c r="BJ22" s="23">
        <v>566</v>
      </c>
      <c r="BK22" s="23">
        <v>15</v>
      </c>
      <c r="BL22" s="23">
        <v>13522</v>
      </c>
      <c r="BM22" s="23">
        <v>521</v>
      </c>
      <c r="BN22" s="23">
        <v>34</v>
      </c>
      <c r="BO22" s="23">
        <v>271</v>
      </c>
      <c r="BP22" s="23">
        <v>391</v>
      </c>
      <c r="BQ22" s="23">
        <v>31</v>
      </c>
      <c r="BR22" s="23">
        <v>74</v>
      </c>
      <c r="BS22" s="23">
        <v>8</v>
      </c>
      <c r="BT22" s="23">
        <v>31</v>
      </c>
      <c r="BU22" s="23">
        <v>13</v>
      </c>
      <c r="BV22" s="23">
        <v>128</v>
      </c>
      <c r="BW22" s="23">
        <v>259</v>
      </c>
      <c r="BX22" s="23">
        <v>203</v>
      </c>
      <c r="BY22" s="23">
        <v>74</v>
      </c>
      <c r="BZ22" s="23">
        <v>254</v>
      </c>
      <c r="CA22" s="23">
        <v>60</v>
      </c>
      <c r="CB22" s="23">
        <v>1</v>
      </c>
      <c r="CC22" s="23">
        <v>24</v>
      </c>
      <c r="CD22" s="23">
        <v>117</v>
      </c>
      <c r="CE22" s="23">
        <v>724</v>
      </c>
      <c r="CF22" s="23">
        <v>0</v>
      </c>
      <c r="CG22" s="23">
        <v>0</v>
      </c>
      <c r="CH22" s="23">
        <v>0</v>
      </c>
      <c r="CI22" s="23">
        <v>0</v>
      </c>
      <c r="CJ22" s="23">
        <v>0</v>
      </c>
      <c r="CK22" s="23">
        <v>0</v>
      </c>
      <c r="CL22" s="23">
        <v>0</v>
      </c>
      <c r="CM22" s="23">
        <v>0</v>
      </c>
      <c r="CN22" s="23">
        <v>0</v>
      </c>
      <c r="CO22" s="23">
        <v>0</v>
      </c>
      <c r="CP22" s="23">
        <v>0</v>
      </c>
      <c r="CQ22" s="23">
        <v>0</v>
      </c>
      <c r="CR22" s="23">
        <v>0</v>
      </c>
      <c r="CS22" s="23">
        <v>0</v>
      </c>
      <c r="CT22" s="23">
        <v>0</v>
      </c>
      <c r="CU22" s="23">
        <v>0</v>
      </c>
      <c r="CV22" s="23">
        <v>0</v>
      </c>
      <c r="CW22" s="23">
        <v>0</v>
      </c>
      <c r="CX22" s="23">
        <v>0</v>
      </c>
      <c r="CY22" s="23">
        <v>0</v>
      </c>
      <c r="CZ22" s="23">
        <v>0</v>
      </c>
      <c r="DA22" s="23">
        <v>0</v>
      </c>
      <c r="DB22" s="23">
        <v>0</v>
      </c>
      <c r="DC22" s="23">
        <v>0</v>
      </c>
      <c r="DD22" s="23">
        <v>1</v>
      </c>
      <c r="DE22" s="23">
        <v>0</v>
      </c>
      <c r="DF22" s="23">
        <v>0</v>
      </c>
      <c r="DG22" s="23">
        <v>0</v>
      </c>
      <c r="DH22" s="23">
        <v>0</v>
      </c>
      <c r="DI22" s="23">
        <v>0</v>
      </c>
      <c r="DJ22" s="23">
        <v>0</v>
      </c>
      <c r="DK22" s="23">
        <v>0</v>
      </c>
      <c r="DL22" s="23">
        <v>0</v>
      </c>
      <c r="DM22" s="23">
        <v>0</v>
      </c>
      <c r="DN22" s="23">
        <v>6</v>
      </c>
      <c r="DO22" s="23">
        <v>0</v>
      </c>
      <c r="DP22" s="23">
        <v>0</v>
      </c>
      <c r="DQ22" s="23">
        <v>0</v>
      </c>
      <c r="DR22" s="23">
        <v>12</v>
      </c>
      <c r="DS22" s="23">
        <v>0</v>
      </c>
      <c r="DT22" s="23">
        <v>0</v>
      </c>
      <c r="DU22" s="23">
        <v>0</v>
      </c>
      <c r="DV22" s="23">
        <v>0</v>
      </c>
      <c r="DW22" s="23">
        <v>0</v>
      </c>
      <c r="DX22" s="23">
        <v>0</v>
      </c>
      <c r="DY22" s="23">
        <v>0</v>
      </c>
      <c r="DZ22" s="23">
        <v>0</v>
      </c>
      <c r="EA22" s="23">
        <v>0</v>
      </c>
      <c r="EB22" s="23">
        <v>0</v>
      </c>
      <c r="EC22" s="23">
        <v>3</v>
      </c>
      <c r="ED22" s="23">
        <v>0</v>
      </c>
      <c r="EE22" s="23">
        <v>0</v>
      </c>
      <c r="EF22" s="23">
        <v>0</v>
      </c>
      <c r="EG22" s="23">
        <v>0</v>
      </c>
      <c r="EH22" s="23">
        <v>0</v>
      </c>
      <c r="EI22" s="23">
        <v>2</v>
      </c>
      <c r="EJ22" s="23">
        <v>0</v>
      </c>
      <c r="EK22" s="23">
        <v>20</v>
      </c>
      <c r="EL22" s="23">
        <v>0</v>
      </c>
      <c r="EM22" s="23">
        <v>0</v>
      </c>
      <c r="EN22" s="23">
        <v>0</v>
      </c>
      <c r="EO22" s="23">
        <v>15</v>
      </c>
      <c r="EP22" s="23">
        <v>0</v>
      </c>
      <c r="EQ22" s="23">
        <v>0</v>
      </c>
      <c r="ER22" s="23">
        <v>0</v>
      </c>
      <c r="ES22" s="23">
        <v>0</v>
      </c>
      <c r="ET22" s="23">
        <v>0</v>
      </c>
      <c r="EU22" s="23">
        <v>0</v>
      </c>
      <c r="EV22" s="23">
        <v>0</v>
      </c>
      <c r="EW22" s="23">
        <v>0</v>
      </c>
      <c r="EX22" s="23">
        <v>0</v>
      </c>
      <c r="EY22" s="23">
        <v>8</v>
      </c>
      <c r="EZ22" s="23">
        <v>0</v>
      </c>
      <c r="FA22" s="23">
        <v>0</v>
      </c>
      <c r="FB22" s="23">
        <v>0</v>
      </c>
      <c r="FC22" s="23">
        <v>0</v>
      </c>
      <c r="FD22" s="23">
        <v>0</v>
      </c>
      <c r="FE22" s="23">
        <v>0</v>
      </c>
      <c r="FF22" s="23">
        <v>0</v>
      </c>
      <c r="FG22" s="23">
        <v>0</v>
      </c>
      <c r="FH22" s="23">
        <v>0</v>
      </c>
      <c r="FI22" s="23">
        <v>0</v>
      </c>
      <c r="FJ22" s="23">
        <v>0</v>
      </c>
      <c r="FK22" s="23">
        <v>1</v>
      </c>
      <c r="FL22" s="23">
        <v>0</v>
      </c>
      <c r="FM22" s="23">
        <v>0</v>
      </c>
      <c r="FN22" s="23">
        <v>0</v>
      </c>
      <c r="FO22" s="23">
        <v>0</v>
      </c>
      <c r="FP22" s="23">
        <v>0</v>
      </c>
      <c r="FQ22" s="23">
        <v>0</v>
      </c>
      <c r="FR22" s="23">
        <v>0</v>
      </c>
      <c r="FS22" s="23">
        <v>0</v>
      </c>
      <c r="FT22" s="23">
        <v>0</v>
      </c>
      <c r="FU22" s="23">
        <v>0</v>
      </c>
      <c r="FV22" s="23">
        <v>0</v>
      </c>
      <c r="FW22" s="23">
        <v>0</v>
      </c>
      <c r="FX22" s="23">
        <v>0</v>
      </c>
      <c r="FY22" s="23">
        <v>0</v>
      </c>
      <c r="FZ22" s="23">
        <v>0</v>
      </c>
      <c r="GA22" s="23">
        <v>0</v>
      </c>
      <c r="GB22" s="23">
        <v>2</v>
      </c>
      <c r="GC22" s="23">
        <v>0</v>
      </c>
      <c r="GD22" s="23">
        <v>0</v>
      </c>
      <c r="GE22" s="23">
        <v>0</v>
      </c>
      <c r="GF22" s="23">
        <v>0</v>
      </c>
      <c r="GG22" s="23">
        <v>2</v>
      </c>
      <c r="GH22" s="23">
        <v>0</v>
      </c>
      <c r="GI22" s="23">
        <v>0</v>
      </c>
      <c r="GJ22" s="23">
        <v>0</v>
      </c>
      <c r="GK22" s="23">
        <v>0</v>
      </c>
      <c r="GL22" s="23">
        <v>0</v>
      </c>
      <c r="GM22" s="23">
        <v>0</v>
      </c>
      <c r="GN22" s="23">
        <v>0</v>
      </c>
      <c r="GO22" s="23">
        <v>0</v>
      </c>
      <c r="GP22" s="23">
        <v>18</v>
      </c>
      <c r="GQ22" s="23">
        <v>0</v>
      </c>
      <c r="GR22" s="23">
        <v>0</v>
      </c>
      <c r="GS22" s="23">
        <v>0</v>
      </c>
      <c r="GT22" s="23">
        <v>0</v>
      </c>
      <c r="GU22" s="23">
        <v>1</v>
      </c>
      <c r="GV22" s="23">
        <v>1</v>
      </c>
      <c r="GW22" s="23">
        <v>0</v>
      </c>
      <c r="GX22" s="23">
        <v>0</v>
      </c>
      <c r="GY22" s="23">
        <v>1</v>
      </c>
      <c r="GZ22" s="23">
        <v>0</v>
      </c>
      <c r="HA22" s="23">
        <v>10</v>
      </c>
      <c r="HB22" s="23">
        <v>0</v>
      </c>
      <c r="HC22" s="23">
        <v>19</v>
      </c>
      <c r="HD22" s="23">
        <v>0</v>
      </c>
      <c r="HE22" s="23">
        <v>0</v>
      </c>
      <c r="HF22" s="23">
        <v>0</v>
      </c>
      <c r="HG22" s="23">
        <v>0</v>
      </c>
      <c r="HH22" s="23">
        <v>0</v>
      </c>
      <c r="HI22" s="23">
        <v>0</v>
      </c>
      <c r="HJ22" s="23">
        <v>5</v>
      </c>
      <c r="HK22" s="23">
        <v>0</v>
      </c>
      <c r="HL22" s="23">
        <v>0</v>
      </c>
      <c r="HM22" s="23">
        <v>0</v>
      </c>
      <c r="HN22" s="23">
        <v>0</v>
      </c>
      <c r="HO22" s="23">
        <v>0</v>
      </c>
      <c r="HP22" s="23">
        <v>0</v>
      </c>
      <c r="HQ22" s="23">
        <v>2</v>
      </c>
      <c r="HR22" s="23">
        <v>0</v>
      </c>
      <c r="HS22" s="23">
        <v>11</v>
      </c>
      <c r="HT22" s="23">
        <v>0</v>
      </c>
      <c r="HU22" s="23">
        <v>0</v>
      </c>
      <c r="HV22" s="23">
        <v>8</v>
      </c>
      <c r="HW22" s="23">
        <v>0</v>
      </c>
      <c r="HX22" s="23">
        <v>0</v>
      </c>
      <c r="HY22" s="23">
        <v>0</v>
      </c>
      <c r="HZ22" s="23">
        <v>0</v>
      </c>
      <c r="IA22" s="23">
        <v>0</v>
      </c>
      <c r="IB22" s="23">
        <v>0</v>
      </c>
      <c r="IC22" s="23">
        <v>0</v>
      </c>
      <c r="ID22" s="23">
        <v>0</v>
      </c>
      <c r="IE22" s="23">
        <v>0</v>
      </c>
      <c r="IF22" s="23">
        <v>0</v>
      </c>
      <c r="IG22" s="23">
        <v>0</v>
      </c>
      <c r="IH22" s="23">
        <v>0</v>
      </c>
      <c r="II22" s="23">
        <v>0</v>
      </c>
      <c r="IJ22" s="23">
        <v>0</v>
      </c>
      <c r="IK22" s="23">
        <v>0</v>
      </c>
      <c r="IL22" s="23">
        <v>0</v>
      </c>
      <c r="IM22" s="23">
        <v>0</v>
      </c>
      <c r="IN22" s="23">
        <v>0</v>
      </c>
      <c r="IO22" s="23">
        <v>0</v>
      </c>
      <c r="IP22" s="23">
        <v>0</v>
      </c>
      <c r="IQ22" s="23">
        <v>0</v>
      </c>
      <c r="IR22" s="23">
        <v>0</v>
      </c>
      <c r="IS22" s="23">
        <v>0</v>
      </c>
      <c r="IT22" s="23">
        <v>0</v>
      </c>
      <c r="IU22" s="23">
        <v>0</v>
      </c>
      <c r="IV22" s="23">
        <v>0</v>
      </c>
      <c r="IW22" s="23">
        <v>0</v>
      </c>
      <c r="IX22" s="23">
        <v>0</v>
      </c>
      <c r="IY22" s="23">
        <v>0</v>
      </c>
      <c r="IZ22" s="23">
        <v>0</v>
      </c>
      <c r="JA22" s="23">
        <v>0</v>
      </c>
      <c r="JB22" s="23">
        <v>0</v>
      </c>
      <c r="JC22" s="23">
        <v>0</v>
      </c>
      <c r="JD22" s="23">
        <v>0</v>
      </c>
      <c r="JE22" s="23">
        <v>0</v>
      </c>
      <c r="JF22" s="23">
        <v>0</v>
      </c>
      <c r="JG22" s="23">
        <v>0</v>
      </c>
      <c r="JH22" s="23">
        <v>0</v>
      </c>
      <c r="JI22" s="23">
        <v>0</v>
      </c>
      <c r="JJ22" s="23">
        <v>0</v>
      </c>
      <c r="JK22" s="23">
        <v>0</v>
      </c>
      <c r="JL22" s="23">
        <v>0</v>
      </c>
      <c r="JM22" s="23">
        <v>0</v>
      </c>
      <c r="JN22" s="23">
        <v>0</v>
      </c>
      <c r="JO22" s="23">
        <v>1</v>
      </c>
      <c r="JP22" s="23">
        <v>0</v>
      </c>
      <c r="JQ22" s="23">
        <v>6</v>
      </c>
      <c r="JR22" s="23">
        <v>0</v>
      </c>
      <c r="JS22" s="23">
        <v>0</v>
      </c>
      <c r="JT22" s="23">
        <v>0</v>
      </c>
      <c r="JU22" s="23">
        <v>0</v>
      </c>
      <c r="JV22" s="23">
        <v>0</v>
      </c>
      <c r="JW22" s="23">
        <v>0</v>
      </c>
      <c r="JX22" s="23">
        <v>0</v>
      </c>
      <c r="JY22" s="23">
        <v>0</v>
      </c>
      <c r="JZ22" s="23">
        <v>2</v>
      </c>
      <c r="KA22" s="23">
        <v>0</v>
      </c>
      <c r="KB22" s="23">
        <v>0</v>
      </c>
      <c r="KC22" s="23">
        <v>0</v>
      </c>
      <c r="KD22" s="23">
        <v>0</v>
      </c>
      <c r="KE22" s="23">
        <v>0</v>
      </c>
      <c r="KF22" s="23">
        <v>0</v>
      </c>
      <c r="KG22" s="23">
        <v>0</v>
      </c>
      <c r="KH22" s="23">
        <v>1</v>
      </c>
      <c r="KI22" s="23">
        <v>0</v>
      </c>
      <c r="KJ22" s="23">
        <v>0</v>
      </c>
      <c r="KK22" s="23">
        <v>0</v>
      </c>
      <c r="KL22" s="23">
        <v>0</v>
      </c>
      <c r="KM22" s="23">
        <v>0</v>
      </c>
      <c r="KN22" s="23">
        <v>0</v>
      </c>
      <c r="KO22" s="23">
        <v>0</v>
      </c>
      <c r="KP22" s="23">
        <v>0</v>
      </c>
      <c r="KQ22" s="23">
        <v>0</v>
      </c>
      <c r="KR22" s="23">
        <v>0</v>
      </c>
      <c r="KS22" s="23">
        <v>0</v>
      </c>
      <c r="KT22" s="23">
        <v>0</v>
      </c>
      <c r="KU22" s="23">
        <v>0</v>
      </c>
      <c r="KV22" s="23">
        <v>0</v>
      </c>
      <c r="KW22" s="23">
        <v>0</v>
      </c>
      <c r="KX22" s="23">
        <v>0</v>
      </c>
      <c r="KY22" s="23">
        <v>0</v>
      </c>
      <c r="KZ22" s="23">
        <v>0</v>
      </c>
      <c r="LA22" s="23">
        <v>0</v>
      </c>
      <c r="LB22" s="23">
        <v>0</v>
      </c>
      <c r="LC22" s="23">
        <v>0</v>
      </c>
      <c r="LD22" s="23">
        <v>0</v>
      </c>
      <c r="LE22" s="23">
        <v>0</v>
      </c>
      <c r="LF22" s="23">
        <v>0</v>
      </c>
      <c r="LG22" s="23">
        <v>0</v>
      </c>
      <c r="LH22" s="23">
        <v>1</v>
      </c>
      <c r="LI22" s="23">
        <v>0</v>
      </c>
      <c r="LJ22" s="23">
        <v>0</v>
      </c>
      <c r="LK22" s="23">
        <v>0</v>
      </c>
      <c r="LL22" s="23">
        <v>0</v>
      </c>
      <c r="LM22" s="23">
        <v>0</v>
      </c>
      <c r="LN22" s="278">
        <f ca="1">$A22 - TST!Sweden100dt + 1</f>
        <v>-32</v>
      </c>
      <c r="LO22" s="20">
        <f ca="1">INDEX(OFFSET(TST!HeadRow,ROW()-ROW(TST!HeadRow),0,1,COLUMNS(TST!HeadRow)),1,MATCH(LO$5,TST!HeadRow,0))/LO$8</f>
        <v>0.97751710654936474</v>
      </c>
      <c r="LP22" s="278">
        <f ca="1">$A22 - TST!Spain100dt + 1</f>
        <v>-32</v>
      </c>
      <c r="LQ22" s="20">
        <f ca="1">INDEX(OFFSET(TST!HeadRow,ROW()-ROW(TST!HeadRow),0,1,COLUMNS(TST!HeadRow)),1,MATCH(LQ$5,TST!HeadRow,0))/LQ$8</f>
        <v>0.21303792074989347</v>
      </c>
      <c r="LR22" s="285">
        <f ca="1">$A22 - TST!Victoria100dt + 1</f>
        <v>-41</v>
      </c>
      <c r="LS22" s="20">
        <f ca="1">INDEX(OFFSET(TST!HeadRow,ROW()-ROW(TST!HeadRow),0,1,COLUMNS(TST!HeadRow)),1,MATCH(LS$5,TST!HeadRow,0))/LS$8</f>
        <v>6.0340926233217678</v>
      </c>
      <c r="LT22" s="278">
        <f ca="1">$A22 - TST!Iran100dt + 1</f>
        <v>-26</v>
      </c>
      <c r="LU22" s="20">
        <f ca="1">INDEX(OFFSET(TST!HeadRow,ROW()-ROW(TST!HeadRow),0,1,COLUMNS(TST!HeadRow)),1,MATCH(LU$5,TST!HeadRow,0))/LU$8</f>
        <v>0</v>
      </c>
      <c r="LV22" s="278">
        <f ca="1">$A22 - TST!Japan100dt + 1</f>
        <v>-50</v>
      </c>
      <c r="LW22" s="20">
        <f ca="1">INDEX(OFFSET(TST!HeadRow,ROW()-ROW(TST!HeadRow),0,1,COLUMNS(TST!HeadRow)),1,MATCH(LW$5,TST!HeadRow,0))/LW$8</f>
        <v>1.5803505158971292</v>
      </c>
      <c r="LX22" s="278">
        <f ca="1">$A22 - TST!Queensland100dt + 1</f>
        <v>-40</v>
      </c>
      <c r="LY22" s="20">
        <f ca="1">INDEX(OFFSET(TST!HeadRow,ROW()-ROW(TST!HeadRow),0,1,COLUMNS(TST!HeadRow)),1,MATCH(LY$5,TST!HeadRow,0))/LY$8</f>
        <v>3.9097236978714096</v>
      </c>
      <c r="LZ22" s="278">
        <f ca="1">$A22 - TST!Tasmania100dt + 1</f>
        <v>-40</v>
      </c>
      <c r="MA22" s="20">
        <f ca="1">INDEX(OFFSET(TST!HeadRow,ROW()-ROW(TST!HeadRow),0,1,COLUMNS(TST!HeadRow)),1,MATCH(MA$5,TST!HeadRow,0))/MA$8</f>
        <v>0</v>
      </c>
      <c r="MB22" s="278">
        <f ca="1">$A22 - TST!SouthAustralia100dt + 1</f>
        <v>-39</v>
      </c>
      <c r="MC22" s="20">
        <f ca="1">INDEX(OFFSET(TST!HeadRow,ROW()-ROW(TST!HeadRow),0,1,COLUMNS(TST!HeadRow)),1,MATCH(MC$5,TST!HeadRow,0))/MC$8</f>
        <v>11.976047904191615</v>
      </c>
      <c r="MD22" s="278">
        <f ca="1">$A22 - TST!AustralianCapitalTerritory100dt + 1</f>
        <v>-45</v>
      </c>
      <c r="ME22" s="20">
        <f ca="1">INDEX(OFFSET(TST!HeadRow,ROW()-ROW(TST!HeadRow),0,1,COLUMNS(TST!HeadRow)),1,MATCH(ME$5,TST!HeadRow,0))/ME$8</f>
        <v>0</v>
      </c>
      <c r="MF22" s="278">
        <f ca="1">$A22 - TST!NorthernTerritory100dt + 1</f>
        <v>-45</v>
      </c>
      <c r="MG22" s="20">
        <f ca="1">INDEX(OFFSET(TST!HeadRow,ROW()-ROW(TST!HeadRow),0,1,COLUMNS(TST!HeadRow)),1,MATCH(MG$5,TST!HeadRow,0))/MG$8</f>
        <v>0</v>
      </c>
      <c r="MH22" s="278">
        <f ca="1">$A22 - TST!WesternAustralia100dt + 1</f>
        <v>-41</v>
      </c>
      <c r="MI22" s="20">
        <f ca="1">INDEX(OFFSET(TST!HeadRow,ROW()-ROW(TST!HeadRow),0,1,COLUMNS(TST!HeadRow)),1,MATCH(MI$5,TST!HeadRow,0))/MI$8</f>
        <v>0</v>
      </c>
      <c r="MJ22" s="278">
        <f ca="1">$A22 - TST!Germany100dt + 1</f>
        <v>-33</v>
      </c>
      <c r="MK22" s="20">
        <f ca="1">INDEX(OFFSET(TST!HeadRow,ROW()-ROW(TST!HeadRow),0,1,COLUMNS(TST!HeadRow)),1,MATCH(MK$5,TST!HeadRow,0))/MK$8</f>
        <v>1.4454348349795232</v>
      </c>
      <c r="ML22" s="278">
        <f ca="1">$A22 - TST!Denmark100dt + 1</f>
        <v>-34</v>
      </c>
      <c r="MM22" s="20">
        <f ca="1">INDEX(OFFSET(TST!HeadRow,ROW()-ROW(TST!HeadRow),0,1,COLUMNS(TST!HeadRow)),1,MATCH(MM$5,TST!HeadRow,0))/MM$8</f>
        <v>0</v>
      </c>
      <c r="MN22" s="278">
        <f ca="1">$A22 - TST!SouthAfrica100dt + 1</f>
        <v>-50</v>
      </c>
      <c r="MO22" s="20">
        <f ca="1">INDEX(OFFSET(TST!HeadRow,ROW()-ROW(TST!HeadRow),0,1,COLUMNS(TST!HeadRow)),1,MATCH(MO$5,TST!HeadRow,0))/MO$8</f>
        <v>0</v>
      </c>
      <c r="MP22" s="278">
        <f ca="1">$A22 - TST!UnitedKingdom100dt + 1</f>
        <v>-38</v>
      </c>
      <c r="MQ22" s="20">
        <f ca="1">INDEX(OFFSET(TST!HeadRow,ROW()-ROW(TST!HeadRow),0,1,COLUMNS(TST!HeadRow)),1,MATCH(MQ$5,TST!HeadRow,0))/MQ$8</f>
        <v>0.30102347983142685</v>
      </c>
      <c r="MR22" s="278">
        <f ca="1">$A22 - TST!Ireland100dt + 1</f>
        <v>-38</v>
      </c>
      <c r="MS22" s="20">
        <f ca="1">INDEX(OFFSET(TST!HeadRow,ROW()-ROW(TST!HeadRow),0,1,COLUMNS(TST!HeadRow)),1,MATCH(MS$5,TST!HeadRow,0))/MS$8</f>
        <v>0</v>
      </c>
      <c r="MT22" s="278">
        <f ca="1">$A22 - TST!Italy100dt + 1</f>
        <v>-23</v>
      </c>
      <c r="MU22" s="20">
        <f ca="1">INDEX(OFFSET(TST!HeadRow,ROW()-ROW(TST!HeadRow),0,1,COLUMNS(TST!HeadRow)),1,MATCH(MU$5,TST!HeadRow,0))/MU$8</f>
        <v>0.33066049433743905</v>
      </c>
      <c r="MV22" s="278">
        <f ca="1">$A22 - TST!US100dt + 1</f>
        <v>-40</v>
      </c>
      <c r="MW22" s="20">
        <f ca="1">INDEX(OFFSET(TST!HeadRow,ROW()-ROW(TST!HeadRow),0,1,COLUMNS(TST!HeadRow)),1,MATCH(MW$5,TST!HeadRow,0))/MW$8</f>
        <v>0.33411521761595392</v>
      </c>
      <c r="MX22" s="278">
        <f ca="1">$A22 - TST!AustraliaSum100dt + 1</f>
        <v>-40</v>
      </c>
      <c r="MY22" s="366">
        <f t="shared" si="7"/>
        <v>4.731114966093676</v>
      </c>
      <c r="MZ22" s="278">
        <f ca="1">$A22 - TST!NewSouthWales100dt + 1</f>
        <v>-38</v>
      </c>
      <c r="NA22" s="366">
        <f ca="1">INDEX(OFFSET(TST!HeadRow,ROW()-ROW(TST!HeadRow),0,1,COLUMNS(TST!HeadRow)),1,MATCH(NA$5,TST!HeadRow,0))/NA$8</f>
        <v>4.9504950495049505</v>
      </c>
      <c r="NB22" s="278">
        <f ca="1">$A22 - TST!Taiwan100dt + 1</f>
        <v>-51</v>
      </c>
      <c r="NC22" s="366">
        <f ca="1">INDEX(OFFSET(TST!HeadRow,ROW()-ROW(TST!HeadRow),0,1,COLUMNS(TST!HeadRow)),1,MATCH(NC$5,TST!HeadRow,0))/NC$8</f>
        <v>4.2003954924379858</v>
      </c>
      <c r="ND22" s="20">
        <f ca="1">$A22 - TST!Hubei100dt + 1</f>
        <v>10</v>
      </c>
      <c r="NE22" s="20">
        <f ca="1">INDEX(OFFSET(TST!HeadRow,ROW()-ROW(TST!HeadRow),0,1,COLUMNS(TST!HeadRow)),1,MATCH(NE$5,TST!HeadRow,0))/NE$8</f>
        <v>2311.4529914529917</v>
      </c>
      <c r="NF22" s="20">
        <f ca="1">$A22 - TST!HongKong100dt + 1</f>
        <v>-20</v>
      </c>
      <c r="NG22" s="20">
        <f ca="1">INDEX(OFFSET(TST!HeadRow,ROW()-ROW(TST!HeadRow),0,1,COLUMNS(TST!HeadRow)),1,MATCH(NG$5,TST!HeadRow,0))/NG$8</f>
        <v>20.131525969668502</v>
      </c>
    </row>
    <row r="23" spans="1:371" x14ac:dyDescent="0.25">
      <c r="A23" s="243">
        <v>43865</v>
      </c>
      <c r="B23" s="23">
        <v>0</v>
      </c>
      <c r="C23" s="23">
        <v>0</v>
      </c>
      <c r="D23" s="23">
        <v>0</v>
      </c>
      <c r="E23" s="23">
        <v>0</v>
      </c>
      <c r="F23" s="23">
        <v>0</v>
      </c>
      <c r="G23" s="23">
        <v>0</v>
      </c>
      <c r="H23" s="23">
        <v>0</v>
      </c>
      <c r="I23" s="23">
        <v>0</v>
      </c>
      <c r="J23" s="23">
        <v>0</v>
      </c>
      <c r="K23" s="293">
        <v>4</v>
      </c>
      <c r="L23" s="23">
        <v>0</v>
      </c>
      <c r="M23" s="290">
        <v>3</v>
      </c>
      <c r="N23" s="23">
        <v>2</v>
      </c>
      <c r="O23" s="384">
        <v>0</v>
      </c>
      <c r="P23" s="287">
        <v>4</v>
      </c>
      <c r="Q23" s="23">
        <v>0</v>
      </c>
      <c r="R23" s="23">
        <v>0</v>
      </c>
      <c r="S23" s="23">
        <v>0</v>
      </c>
      <c r="T23" s="23">
        <v>0</v>
      </c>
      <c r="U23" s="23">
        <v>0</v>
      </c>
      <c r="V23" s="23">
        <v>0</v>
      </c>
      <c r="W23" s="23">
        <v>0</v>
      </c>
      <c r="X23" s="23">
        <v>0</v>
      </c>
      <c r="Y23" s="23">
        <v>1</v>
      </c>
      <c r="Z23" s="23">
        <v>0</v>
      </c>
      <c r="AA23" s="23">
        <v>0</v>
      </c>
      <c r="AB23" s="23">
        <v>0</v>
      </c>
      <c r="AC23" s="23">
        <v>0</v>
      </c>
      <c r="AD23" s="23">
        <v>0</v>
      </c>
      <c r="AE23" s="23">
        <v>0</v>
      </c>
      <c r="AF23" s="23">
        <v>0</v>
      </c>
      <c r="AG23" s="23">
        <v>0</v>
      </c>
      <c r="AH23" s="23">
        <v>0</v>
      </c>
      <c r="AI23" s="23">
        <v>1</v>
      </c>
      <c r="AJ23" s="23">
        <v>0</v>
      </c>
      <c r="AK23" s="23">
        <v>0</v>
      </c>
      <c r="AL23" s="23">
        <v>1</v>
      </c>
      <c r="AM23" s="23">
        <v>0</v>
      </c>
      <c r="AN23" s="23">
        <v>0</v>
      </c>
      <c r="AO23" s="23">
        <v>0</v>
      </c>
      <c r="AP23" s="23">
        <v>0</v>
      </c>
      <c r="AQ23" s="23">
        <v>0</v>
      </c>
      <c r="AR23" s="23">
        <v>3</v>
      </c>
      <c r="AS23" s="23">
        <v>0</v>
      </c>
      <c r="AT23" s="23">
        <v>0</v>
      </c>
      <c r="AU23" s="23">
        <v>0</v>
      </c>
      <c r="AV23" s="23">
        <v>0</v>
      </c>
      <c r="AW23" s="23">
        <v>0</v>
      </c>
      <c r="AX23" s="23">
        <v>0</v>
      </c>
      <c r="AY23" s="23">
        <v>480</v>
      </c>
      <c r="AZ23" s="23">
        <v>228</v>
      </c>
      <c r="BA23" s="23">
        <v>366</v>
      </c>
      <c r="BB23" s="23">
        <v>194</v>
      </c>
      <c r="BC23" s="23">
        <v>57</v>
      </c>
      <c r="BD23" s="23">
        <v>813</v>
      </c>
      <c r="BE23" s="23">
        <v>139</v>
      </c>
      <c r="BF23" s="23">
        <v>58</v>
      </c>
      <c r="BG23" s="23">
        <v>80</v>
      </c>
      <c r="BH23" s="23">
        <v>126</v>
      </c>
      <c r="BI23" s="23">
        <v>155</v>
      </c>
      <c r="BJ23" s="23">
        <v>675</v>
      </c>
      <c r="BK23" s="23">
        <v>17</v>
      </c>
      <c r="BL23" s="23">
        <v>16678</v>
      </c>
      <c r="BM23" s="23">
        <v>593</v>
      </c>
      <c r="BN23" s="23">
        <v>35</v>
      </c>
      <c r="BO23" s="23">
        <v>308</v>
      </c>
      <c r="BP23" s="23">
        <v>476</v>
      </c>
      <c r="BQ23" s="23">
        <v>42</v>
      </c>
      <c r="BR23" s="23">
        <v>81</v>
      </c>
      <c r="BS23" s="23">
        <v>10</v>
      </c>
      <c r="BT23" s="23">
        <v>34</v>
      </c>
      <c r="BU23" s="23">
        <v>15</v>
      </c>
      <c r="BV23" s="23">
        <v>142</v>
      </c>
      <c r="BW23" s="23">
        <v>275</v>
      </c>
      <c r="BX23" s="23">
        <v>219</v>
      </c>
      <c r="BY23" s="23">
        <v>81</v>
      </c>
      <c r="BZ23" s="23">
        <v>282</v>
      </c>
      <c r="CA23" s="23">
        <v>67</v>
      </c>
      <c r="CB23" s="23">
        <v>1</v>
      </c>
      <c r="CC23" s="23">
        <v>29</v>
      </c>
      <c r="CD23" s="23">
        <v>122</v>
      </c>
      <c r="CE23" s="23">
        <v>829</v>
      </c>
      <c r="CF23" s="23">
        <v>0</v>
      </c>
      <c r="CG23" s="23">
        <v>0</v>
      </c>
      <c r="CH23" s="23">
        <v>0</v>
      </c>
      <c r="CI23" s="23">
        <v>0</v>
      </c>
      <c r="CJ23" s="23">
        <v>0</v>
      </c>
      <c r="CK23" s="23">
        <v>0</v>
      </c>
      <c r="CL23" s="23">
        <v>0</v>
      </c>
      <c r="CM23" s="23">
        <v>0</v>
      </c>
      <c r="CN23" s="23">
        <v>0</v>
      </c>
      <c r="CO23" s="23">
        <v>0</v>
      </c>
      <c r="CP23" s="23">
        <v>0</v>
      </c>
      <c r="CQ23" s="23">
        <v>0</v>
      </c>
      <c r="CR23" s="23">
        <v>0</v>
      </c>
      <c r="CS23" s="23">
        <v>0</v>
      </c>
      <c r="CT23" s="23">
        <v>0</v>
      </c>
      <c r="CU23" s="23">
        <v>0</v>
      </c>
      <c r="CV23" s="23">
        <v>0</v>
      </c>
      <c r="CW23" s="23">
        <v>0</v>
      </c>
      <c r="CX23" s="23">
        <v>0</v>
      </c>
      <c r="CY23" s="23">
        <v>0</v>
      </c>
      <c r="CZ23" s="23">
        <v>0</v>
      </c>
      <c r="DA23" s="23">
        <v>0</v>
      </c>
      <c r="DB23" s="23">
        <v>0</v>
      </c>
      <c r="DC23" s="23">
        <v>0</v>
      </c>
      <c r="DD23" s="23">
        <v>1</v>
      </c>
      <c r="DE23" s="23">
        <v>0</v>
      </c>
      <c r="DF23" s="23">
        <v>0</v>
      </c>
      <c r="DG23" s="23">
        <v>0</v>
      </c>
      <c r="DH23" s="23">
        <v>0</v>
      </c>
      <c r="DI23" s="23">
        <v>0</v>
      </c>
      <c r="DJ23" s="23">
        <v>0</v>
      </c>
      <c r="DK23" s="23">
        <v>0</v>
      </c>
      <c r="DL23" s="23">
        <v>0</v>
      </c>
      <c r="DM23" s="23">
        <v>0</v>
      </c>
      <c r="DN23" s="23">
        <v>6</v>
      </c>
      <c r="DO23" s="23">
        <v>0</v>
      </c>
      <c r="DP23" s="23">
        <v>0</v>
      </c>
      <c r="DQ23" s="23">
        <v>0</v>
      </c>
      <c r="DR23" s="23">
        <v>12</v>
      </c>
      <c r="DS23" s="23">
        <v>0</v>
      </c>
      <c r="DT23" s="23">
        <v>0</v>
      </c>
      <c r="DU23" s="23">
        <v>0</v>
      </c>
      <c r="DV23" s="23">
        <v>0</v>
      </c>
      <c r="DW23" s="23">
        <v>0</v>
      </c>
      <c r="DX23" s="23">
        <v>0</v>
      </c>
      <c r="DY23" s="23">
        <v>0</v>
      </c>
      <c r="DZ23" s="23">
        <v>0</v>
      </c>
      <c r="EA23" s="23">
        <v>0</v>
      </c>
      <c r="EB23" s="23">
        <v>0</v>
      </c>
      <c r="EC23" s="23">
        <v>3</v>
      </c>
      <c r="ED23" s="23">
        <v>0</v>
      </c>
      <c r="EE23" s="23">
        <v>0</v>
      </c>
      <c r="EF23" s="23">
        <v>0</v>
      </c>
      <c r="EG23" s="23">
        <v>0</v>
      </c>
      <c r="EH23" s="23">
        <v>0</v>
      </c>
      <c r="EI23" s="23">
        <v>2</v>
      </c>
      <c r="EJ23" s="23">
        <v>0</v>
      </c>
      <c r="EK23" s="23">
        <v>22</v>
      </c>
      <c r="EL23" s="23">
        <v>0</v>
      </c>
      <c r="EM23" s="23">
        <v>0</v>
      </c>
      <c r="EN23" s="23">
        <v>0</v>
      </c>
      <c r="EO23" s="23">
        <v>16</v>
      </c>
      <c r="EP23" s="23">
        <v>0</v>
      </c>
      <c r="EQ23" s="23">
        <v>0</v>
      </c>
      <c r="ER23" s="23">
        <v>0</v>
      </c>
      <c r="ES23" s="23">
        <v>0</v>
      </c>
      <c r="ET23" s="23">
        <v>0</v>
      </c>
      <c r="EU23" s="23">
        <v>0</v>
      </c>
      <c r="EV23" s="23">
        <v>0</v>
      </c>
      <c r="EW23" s="23">
        <v>0</v>
      </c>
      <c r="EX23" s="23">
        <v>0</v>
      </c>
      <c r="EY23" s="23">
        <v>10</v>
      </c>
      <c r="EZ23" s="23">
        <v>0</v>
      </c>
      <c r="FA23" s="23">
        <v>0</v>
      </c>
      <c r="FB23" s="23">
        <v>0</v>
      </c>
      <c r="FC23" s="23">
        <v>0</v>
      </c>
      <c r="FD23" s="23">
        <v>0</v>
      </c>
      <c r="FE23" s="23">
        <v>0</v>
      </c>
      <c r="FF23" s="23">
        <v>0</v>
      </c>
      <c r="FG23" s="23">
        <v>0</v>
      </c>
      <c r="FH23" s="23">
        <v>0</v>
      </c>
      <c r="FI23" s="23">
        <v>0</v>
      </c>
      <c r="FJ23" s="23">
        <v>0</v>
      </c>
      <c r="FK23" s="23">
        <v>1</v>
      </c>
      <c r="FL23" s="23">
        <v>0</v>
      </c>
      <c r="FM23" s="23">
        <v>0</v>
      </c>
      <c r="FN23" s="23">
        <v>0</v>
      </c>
      <c r="FO23" s="23">
        <v>0</v>
      </c>
      <c r="FP23" s="23">
        <v>0</v>
      </c>
      <c r="FQ23" s="23">
        <v>0</v>
      </c>
      <c r="FR23" s="23">
        <v>0</v>
      </c>
      <c r="FS23" s="23">
        <v>0</v>
      </c>
      <c r="FT23" s="23">
        <v>0</v>
      </c>
      <c r="FU23" s="23">
        <v>0</v>
      </c>
      <c r="FV23" s="23">
        <v>0</v>
      </c>
      <c r="FW23" s="23">
        <v>0</v>
      </c>
      <c r="FX23" s="23">
        <v>0</v>
      </c>
      <c r="FY23" s="23">
        <v>0</v>
      </c>
      <c r="FZ23" s="23">
        <v>0</v>
      </c>
      <c r="GA23" s="23">
        <v>0</v>
      </c>
      <c r="GB23" s="23">
        <v>2</v>
      </c>
      <c r="GC23" s="23">
        <v>0</v>
      </c>
      <c r="GD23" s="23">
        <v>0</v>
      </c>
      <c r="GE23" s="23">
        <v>0</v>
      </c>
      <c r="GF23" s="23">
        <v>0</v>
      </c>
      <c r="GG23" s="23">
        <v>2</v>
      </c>
      <c r="GH23" s="23">
        <v>0</v>
      </c>
      <c r="GI23" s="23">
        <v>0</v>
      </c>
      <c r="GJ23" s="23">
        <v>0</v>
      </c>
      <c r="GK23" s="23">
        <v>0</v>
      </c>
      <c r="GL23" s="23">
        <v>0</v>
      </c>
      <c r="GM23" s="23">
        <v>0</v>
      </c>
      <c r="GN23" s="23">
        <v>0</v>
      </c>
      <c r="GO23" s="23">
        <v>0</v>
      </c>
      <c r="GP23" s="23">
        <v>24</v>
      </c>
      <c r="GQ23" s="23">
        <v>0</v>
      </c>
      <c r="GR23" s="23">
        <v>0</v>
      </c>
      <c r="GS23" s="23">
        <v>0</v>
      </c>
      <c r="GT23" s="23">
        <v>0</v>
      </c>
      <c r="GU23" s="23">
        <v>1</v>
      </c>
      <c r="GV23" s="23">
        <v>1</v>
      </c>
      <c r="GW23" s="23">
        <v>0</v>
      </c>
      <c r="GX23" s="23">
        <v>0</v>
      </c>
      <c r="GY23" s="23">
        <v>1</v>
      </c>
      <c r="GZ23" s="23">
        <v>0</v>
      </c>
      <c r="HA23" s="23">
        <v>11</v>
      </c>
      <c r="HB23" s="23">
        <v>0</v>
      </c>
      <c r="HC23" s="23">
        <v>25</v>
      </c>
      <c r="HD23" s="23">
        <v>0</v>
      </c>
      <c r="HE23" s="23">
        <v>0</v>
      </c>
      <c r="HF23" s="23">
        <v>0</v>
      </c>
      <c r="HG23" s="23">
        <v>0</v>
      </c>
      <c r="HH23" s="23">
        <v>0</v>
      </c>
      <c r="HI23" s="23">
        <v>0</v>
      </c>
      <c r="HJ23" s="23">
        <v>5</v>
      </c>
      <c r="HK23" s="23">
        <v>0</v>
      </c>
      <c r="HL23" s="23">
        <v>0</v>
      </c>
      <c r="HM23" s="23">
        <v>0</v>
      </c>
      <c r="HN23" s="23">
        <v>0</v>
      </c>
      <c r="HO23" s="23">
        <v>0</v>
      </c>
      <c r="HP23" s="23">
        <v>0</v>
      </c>
      <c r="HQ23" s="23">
        <v>2</v>
      </c>
      <c r="HR23" s="23">
        <v>0</v>
      </c>
      <c r="HS23" s="23">
        <v>11</v>
      </c>
      <c r="HT23" s="23">
        <v>0</v>
      </c>
      <c r="HU23" s="23">
        <v>0</v>
      </c>
      <c r="HV23" s="23">
        <v>8</v>
      </c>
      <c r="HW23" s="23">
        <v>0</v>
      </c>
      <c r="HX23" s="23">
        <v>0</v>
      </c>
      <c r="HY23" s="23">
        <v>0</v>
      </c>
      <c r="HZ23" s="23">
        <v>0</v>
      </c>
      <c r="IA23" s="23">
        <v>0</v>
      </c>
      <c r="IB23" s="23">
        <v>0</v>
      </c>
      <c r="IC23" s="23">
        <v>0</v>
      </c>
      <c r="ID23" s="23">
        <v>0</v>
      </c>
      <c r="IE23" s="23">
        <v>0</v>
      </c>
      <c r="IF23" s="23">
        <v>0</v>
      </c>
      <c r="IG23" s="23">
        <v>0</v>
      </c>
      <c r="IH23" s="23">
        <v>0</v>
      </c>
      <c r="II23" s="23">
        <v>0</v>
      </c>
      <c r="IJ23" s="23">
        <v>0</v>
      </c>
      <c r="IK23" s="23">
        <v>0</v>
      </c>
      <c r="IL23" s="23">
        <v>0</v>
      </c>
      <c r="IM23" s="23">
        <v>0</v>
      </c>
      <c r="IN23" s="23">
        <v>0</v>
      </c>
      <c r="IO23" s="23">
        <v>0</v>
      </c>
      <c r="IP23" s="23">
        <v>0</v>
      </c>
      <c r="IQ23" s="23">
        <v>0</v>
      </c>
      <c r="IR23" s="23">
        <v>0</v>
      </c>
      <c r="IS23" s="23">
        <v>0</v>
      </c>
      <c r="IT23" s="23">
        <v>0</v>
      </c>
      <c r="IU23" s="23">
        <v>0</v>
      </c>
      <c r="IV23" s="23">
        <v>0</v>
      </c>
      <c r="IW23" s="23">
        <v>0</v>
      </c>
      <c r="IX23" s="23">
        <v>0</v>
      </c>
      <c r="IY23" s="23">
        <v>0</v>
      </c>
      <c r="IZ23" s="23">
        <v>0</v>
      </c>
      <c r="JA23" s="23">
        <v>0</v>
      </c>
      <c r="JB23" s="23">
        <v>0</v>
      </c>
      <c r="JC23" s="23">
        <v>0</v>
      </c>
      <c r="JD23" s="23">
        <v>0</v>
      </c>
      <c r="JE23" s="23">
        <v>0</v>
      </c>
      <c r="JF23" s="23">
        <v>0</v>
      </c>
      <c r="JG23" s="23">
        <v>0</v>
      </c>
      <c r="JH23" s="23">
        <v>0</v>
      </c>
      <c r="JI23" s="23">
        <v>0</v>
      </c>
      <c r="JJ23" s="23">
        <v>0</v>
      </c>
      <c r="JK23" s="23">
        <v>0</v>
      </c>
      <c r="JL23" s="23">
        <v>0</v>
      </c>
      <c r="JM23" s="23">
        <v>0</v>
      </c>
      <c r="JN23" s="23">
        <v>0</v>
      </c>
      <c r="JO23" s="23">
        <v>1</v>
      </c>
      <c r="JP23" s="23">
        <v>0</v>
      </c>
      <c r="JQ23" s="23">
        <v>6</v>
      </c>
      <c r="JR23" s="23">
        <v>0</v>
      </c>
      <c r="JS23" s="23">
        <v>0</v>
      </c>
      <c r="JT23" s="23">
        <v>0</v>
      </c>
      <c r="JU23" s="23">
        <v>0</v>
      </c>
      <c r="JV23" s="23">
        <v>0</v>
      </c>
      <c r="JW23" s="23">
        <v>0</v>
      </c>
      <c r="JX23" s="23">
        <v>0</v>
      </c>
      <c r="JY23" s="23">
        <v>0</v>
      </c>
      <c r="JZ23" s="23">
        <v>2</v>
      </c>
      <c r="KA23" s="23">
        <v>0</v>
      </c>
      <c r="KB23" s="23">
        <v>0</v>
      </c>
      <c r="KC23" s="23">
        <v>0</v>
      </c>
      <c r="KD23" s="23">
        <v>0</v>
      </c>
      <c r="KE23" s="23">
        <v>0</v>
      </c>
      <c r="KF23" s="23">
        <v>0</v>
      </c>
      <c r="KG23" s="23">
        <v>0</v>
      </c>
      <c r="KH23" s="23">
        <v>1</v>
      </c>
      <c r="KI23" s="23">
        <v>0</v>
      </c>
      <c r="KJ23" s="23">
        <v>0</v>
      </c>
      <c r="KK23" s="23">
        <v>0</v>
      </c>
      <c r="KL23" s="23">
        <v>0</v>
      </c>
      <c r="KM23" s="23">
        <v>0</v>
      </c>
      <c r="KN23" s="23">
        <v>0</v>
      </c>
      <c r="KO23" s="23">
        <v>0</v>
      </c>
      <c r="KP23" s="23">
        <v>0</v>
      </c>
      <c r="KQ23" s="23">
        <v>0</v>
      </c>
      <c r="KR23" s="23">
        <v>0</v>
      </c>
      <c r="KS23" s="23">
        <v>0</v>
      </c>
      <c r="KT23" s="23">
        <v>0</v>
      </c>
      <c r="KU23" s="23">
        <v>0</v>
      </c>
      <c r="KV23" s="23">
        <v>0</v>
      </c>
      <c r="KW23" s="23">
        <v>0</v>
      </c>
      <c r="KX23" s="23">
        <v>0</v>
      </c>
      <c r="KY23" s="23">
        <v>0</v>
      </c>
      <c r="KZ23" s="23">
        <v>0</v>
      </c>
      <c r="LA23" s="23">
        <v>0</v>
      </c>
      <c r="LB23" s="23">
        <v>0</v>
      </c>
      <c r="LC23" s="23">
        <v>0</v>
      </c>
      <c r="LD23" s="23">
        <v>0</v>
      </c>
      <c r="LE23" s="23">
        <v>0</v>
      </c>
      <c r="LF23" s="23">
        <v>0</v>
      </c>
      <c r="LG23" s="23">
        <v>0</v>
      </c>
      <c r="LH23" s="23">
        <v>1</v>
      </c>
      <c r="LI23" s="23">
        <v>0</v>
      </c>
      <c r="LJ23" s="23">
        <v>0</v>
      </c>
      <c r="LK23" s="23">
        <v>0</v>
      </c>
      <c r="LL23" s="23">
        <v>0</v>
      </c>
      <c r="LM23" s="23">
        <v>0</v>
      </c>
      <c r="LN23" s="278">
        <f ca="1">$A23 - TST!Sweden100dt + 1</f>
        <v>-31</v>
      </c>
      <c r="LO23" s="20">
        <f ca="1">INDEX(OFFSET(TST!HeadRow,ROW()-ROW(TST!HeadRow),0,1,COLUMNS(TST!HeadRow)),1,MATCH(LO$5,TST!HeadRow,0))/LO$8</f>
        <v>0.97751710654936474</v>
      </c>
      <c r="LP23" s="278">
        <f ca="1">$A23 - TST!Spain100dt + 1</f>
        <v>-31</v>
      </c>
      <c r="LQ23" s="20">
        <f ca="1">INDEX(OFFSET(TST!HeadRow,ROW()-ROW(TST!HeadRow),0,1,COLUMNS(TST!HeadRow)),1,MATCH(LQ$5,TST!HeadRow,0))/LQ$8</f>
        <v>0.21303792074989347</v>
      </c>
      <c r="LR23" s="285">
        <f ca="1">$A23 - TST!Victoria100dt + 1</f>
        <v>-40</v>
      </c>
      <c r="LS23" s="20">
        <f ca="1">INDEX(OFFSET(TST!HeadRow,ROW()-ROW(TST!HeadRow),0,1,COLUMNS(TST!HeadRow)),1,MATCH(LS$5,TST!HeadRow,0))/LS$8</f>
        <v>6.0340926233217678</v>
      </c>
      <c r="LT23" s="278">
        <f ca="1">$A23 - TST!Iran100dt + 1</f>
        <v>-25</v>
      </c>
      <c r="LU23" s="20">
        <f ca="1">INDEX(OFFSET(TST!HeadRow,ROW()-ROW(TST!HeadRow),0,1,COLUMNS(TST!HeadRow)),1,MATCH(LU$5,TST!HeadRow,0))/LU$8</f>
        <v>0</v>
      </c>
      <c r="LV23" s="278">
        <f ca="1">$A23 - TST!Japan100dt + 1</f>
        <v>-49</v>
      </c>
      <c r="LW23" s="20">
        <f ca="1">INDEX(OFFSET(TST!HeadRow,ROW()-ROW(TST!HeadRow),0,1,COLUMNS(TST!HeadRow)),1,MATCH(LW$5,TST!HeadRow,0))/LW$8</f>
        <v>1.738385567486842</v>
      </c>
      <c r="LX23" s="278">
        <f ca="1">$A23 - TST!Queensland100dt + 1</f>
        <v>-39</v>
      </c>
      <c r="LY23" s="20">
        <f ca="1">INDEX(OFFSET(TST!HeadRow,ROW()-ROW(TST!HeadRow),0,1,COLUMNS(TST!HeadRow)),1,MATCH(LY$5,TST!HeadRow,0))/LY$8</f>
        <v>5.8645855468071151</v>
      </c>
      <c r="LZ23" s="278">
        <f ca="1">$A23 - TST!Tasmania100dt + 1</f>
        <v>-39</v>
      </c>
      <c r="MA23" s="20">
        <f ca="1">INDEX(OFFSET(TST!HeadRow,ROW()-ROW(TST!HeadRow),0,1,COLUMNS(TST!HeadRow)),1,MATCH(MA$5,TST!HeadRow,0))/MA$8</f>
        <v>0</v>
      </c>
      <c r="MB23" s="278">
        <f ca="1">$A23 - TST!SouthAustralia100dt + 1</f>
        <v>-38</v>
      </c>
      <c r="MC23" s="20">
        <f ca="1">INDEX(OFFSET(TST!HeadRow,ROW()-ROW(TST!HeadRow),0,1,COLUMNS(TST!HeadRow)),1,MATCH(MC$5,TST!HeadRow,0))/MC$8</f>
        <v>11.976047904191615</v>
      </c>
      <c r="MD23" s="278">
        <f ca="1">$A23 - TST!AustralianCapitalTerritory100dt + 1</f>
        <v>-44</v>
      </c>
      <c r="ME23" s="20">
        <f ca="1">INDEX(OFFSET(TST!HeadRow,ROW()-ROW(TST!HeadRow),0,1,COLUMNS(TST!HeadRow)),1,MATCH(ME$5,TST!HeadRow,0))/ME$8</f>
        <v>0</v>
      </c>
      <c r="MF23" s="278">
        <f ca="1">$A23 - TST!NorthernTerritory100dt + 1</f>
        <v>-44</v>
      </c>
      <c r="MG23" s="20">
        <f ca="1">INDEX(OFFSET(TST!HeadRow,ROW()-ROW(TST!HeadRow),0,1,COLUMNS(TST!HeadRow)),1,MATCH(MG$5,TST!HeadRow,0))/MG$8</f>
        <v>0</v>
      </c>
      <c r="MH23" s="278">
        <f ca="1">$A23 - TST!WesternAustralia100dt + 1</f>
        <v>-40</v>
      </c>
      <c r="MI23" s="20">
        <f ca="1">INDEX(OFFSET(TST!HeadRow,ROW()-ROW(TST!HeadRow),0,1,COLUMNS(TST!HeadRow)),1,MATCH(MI$5,TST!HeadRow,0))/MI$8</f>
        <v>0</v>
      </c>
      <c r="MJ23" s="278">
        <f ca="1">$A23 - TST!Germany100dt + 1</f>
        <v>-32</v>
      </c>
      <c r="MK23" s="20">
        <f ca="1">INDEX(OFFSET(TST!HeadRow,ROW()-ROW(TST!HeadRow),0,1,COLUMNS(TST!HeadRow)),1,MATCH(MK$5,TST!HeadRow,0))/MK$8</f>
        <v>1.4454348349795232</v>
      </c>
      <c r="ML23" s="278">
        <f ca="1">$A23 - TST!Denmark100dt + 1</f>
        <v>-33</v>
      </c>
      <c r="MM23" s="20">
        <f ca="1">INDEX(OFFSET(TST!HeadRow,ROW()-ROW(TST!HeadRow),0,1,COLUMNS(TST!HeadRow)),1,MATCH(MM$5,TST!HeadRow,0))/MM$8</f>
        <v>0</v>
      </c>
      <c r="MN23" s="278">
        <f ca="1">$A23 - TST!SouthAfrica100dt + 1</f>
        <v>-49</v>
      </c>
      <c r="MO23" s="20">
        <f ca="1">INDEX(OFFSET(TST!HeadRow,ROW()-ROW(TST!HeadRow),0,1,COLUMNS(TST!HeadRow)),1,MATCH(MO$5,TST!HeadRow,0))/MO$8</f>
        <v>0</v>
      </c>
      <c r="MP23" s="278">
        <f ca="1">$A23 - TST!UnitedKingdom100dt + 1</f>
        <v>-37</v>
      </c>
      <c r="MQ23" s="20">
        <f ca="1">INDEX(OFFSET(TST!HeadRow,ROW()-ROW(TST!HeadRow),0,1,COLUMNS(TST!HeadRow)),1,MATCH(MQ$5,TST!HeadRow,0))/MQ$8</f>
        <v>0.30102347983142685</v>
      </c>
      <c r="MR23" s="278">
        <f ca="1">$A23 - TST!Ireland100dt + 1</f>
        <v>-37</v>
      </c>
      <c r="MS23" s="20">
        <f ca="1">INDEX(OFFSET(TST!HeadRow,ROW()-ROW(TST!HeadRow),0,1,COLUMNS(TST!HeadRow)),1,MATCH(MS$5,TST!HeadRow,0))/MS$8</f>
        <v>0</v>
      </c>
      <c r="MT23" s="278">
        <f ca="1">$A23 - TST!Italy100dt + 1</f>
        <v>-22</v>
      </c>
      <c r="MU23" s="20">
        <f ca="1">INDEX(OFFSET(TST!HeadRow,ROW()-ROW(TST!HeadRow),0,1,COLUMNS(TST!HeadRow)),1,MATCH(MU$5,TST!HeadRow,0))/MU$8</f>
        <v>0.33066049433743905</v>
      </c>
      <c r="MV23" s="278">
        <f ca="1">$A23 - TST!US100dt + 1</f>
        <v>-39</v>
      </c>
      <c r="MW23" s="20">
        <f ca="1">INDEX(OFFSET(TST!HeadRow,ROW()-ROW(TST!HeadRow),0,1,COLUMNS(TST!HeadRow)),1,MATCH(MW$5,TST!HeadRow,0))/MW$8</f>
        <v>0.33411521761595392</v>
      </c>
      <c r="MX23" s="278">
        <f ca="1">$A23 - TST!AustraliaSum100dt + 1</f>
        <v>-39</v>
      </c>
      <c r="MY23" s="366">
        <f t="shared" si="7"/>
        <v>5.1253745466014822</v>
      </c>
      <c r="MZ23" s="278">
        <f ca="1">$A23 - TST!NewSouthWales100dt + 1</f>
        <v>-37</v>
      </c>
      <c r="NA23" s="366">
        <f ca="1">INDEX(OFFSET(TST!HeadRow,ROW()-ROW(TST!HeadRow),0,1,COLUMNS(TST!HeadRow)),1,MATCH(NA$5,TST!HeadRow,0))/NA$8</f>
        <v>4.9504950495049505</v>
      </c>
      <c r="NB23" s="278">
        <f ca="1">$A23 - TST!Taiwan100dt + 1</f>
        <v>-50</v>
      </c>
      <c r="NC23" s="366">
        <f ca="1">INDEX(OFFSET(TST!HeadRow,ROW()-ROW(TST!HeadRow),0,1,COLUMNS(TST!HeadRow)),1,MATCH(NC$5,TST!HeadRow,0))/NC$8</f>
        <v>4.6204350416817848</v>
      </c>
      <c r="ND23" s="20">
        <f ca="1">$A23 - TST!Hubei100dt + 1</f>
        <v>11</v>
      </c>
      <c r="NE23" s="20">
        <f ca="1">INDEX(OFFSET(TST!HeadRow,ROW()-ROW(TST!HeadRow),0,1,COLUMNS(TST!HeadRow)),1,MATCH(NE$5,TST!HeadRow,0))/NE$8</f>
        <v>2850.9401709401709</v>
      </c>
      <c r="NF23" s="20">
        <f ca="1">$A23 - TST!HongKong100dt + 1</f>
        <v>-19</v>
      </c>
      <c r="NG23" s="20">
        <f ca="1">INDEX(OFFSET(TST!HeadRow,ROW()-ROW(TST!HeadRow),0,1,COLUMNS(TST!HeadRow)),1,MATCH(NG$5,TST!HeadRow,0))/NG$8</f>
        <v>22.815729432290969</v>
      </c>
    </row>
    <row r="24" spans="1:371" x14ac:dyDescent="0.25">
      <c r="A24" s="243">
        <v>43866</v>
      </c>
      <c r="B24" s="23">
        <v>0</v>
      </c>
      <c r="C24" s="23">
        <v>0</v>
      </c>
      <c r="D24" s="23">
        <v>0</v>
      </c>
      <c r="E24" s="23">
        <v>0</v>
      </c>
      <c r="F24" s="23">
        <v>0</v>
      </c>
      <c r="G24" s="23">
        <v>0</v>
      </c>
      <c r="H24" s="23">
        <v>0</v>
      </c>
      <c r="I24" s="23">
        <v>0</v>
      </c>
      <c r="J24" s="23">
        <v>0</v>
      </c>
      <c r="K24" s="293">
        <v>4</v>
      </c>
      <c r="L24" s="23">
        <v>0</v>
      </c>
      <c r="M24" s="290">
        <v>3</v>
      </c>
      <c r="N24" s="23">
        <v>2</v>
      </c>
      <c r="O24" s="384">
        <v>0</v>
      </c>
      <c r="P24" s="287">
        <v>4</v>
      </c>
      <c r="Q24" s="23">
        <v>0</v>
      </c>
      <c r="R24" s="23">
        <v>0</v>
      </c>
      <c r="S24" s="23">
        <v>0</v>
      </c>
      <c r="T24" s="23">
        <v>0</v>
      </c>
      <c r="U24" s="23">
        <v>0</v>
      </c>
      <c r="V24" s="23">
        <v>0</v>
      </c>
      <c r="W24" s="23">
        <v>0</v>
      </c>
      <c r="X24" s="23">
        <v>0</v>
      </c>
      <c r="Y24" s="23">
        <v>1</v>
      </c>
      <c r="Z24" s="23">
        <v>0</v>
      </c>
      <c r="AA24" s="23">
        <v>0</v>
      </c>
      <c r="AB24" s="23">
        <v>0</v>
      </c>
      <c r="AC24" s="23">
        <v>0</v>
      </c>
      <c r="AD24" s="23">
        <v>0</v>
      </c>
      <c r="AE24" s="23">
        <v>0</v>
      </c>
      <c r="AF24" s="23">
        <v>0</v>
      </c>
      <c r="AG24" s="23">
        <v>0</v>
      </c>
      <c r="AH24" s="23">
        <v>0</v>
      </c>
      <c r="AI24" s="23">
        <v>1</v>
      </c>
      <c r="AJ24" s="23">
        <v>0</v>
      </c>
      <c r="AK24" s="23">
        <v>0</v>
      </c>
      <c r="AL24" s="23">
        <v>2</v>
      </c>
      <c r="AM24" s="23">
        <v>0</v>
      </c>
      <c r="AN24" s="23">
        <v>0</v>
      </c>
      <c r="AO24" s="23">
        <v>0</v>
      </c>
      <c r="AP24" s="23">
        <v>0</v>
      </c>
      <c r="AQ24" s="23">
        <v>0</v>
      </c>
      <c r="AR24" s="23">
        <v>3</v>
      </c>
      <c r="AS24" s="23">
        <v>0</v>
      </c>
      <c r="AT24" s="23">
        <v>0</v>
      </c>
      <c r="AU24" s="23">
        <v>0</v>
      </c>
      <c r="AV24" s="23">
        <v>0</v>
      </c>
      <c r="AW24" s="23">
        <v>0</v>
      </c>
      <c r="AX24" s="23">
        <v>0</v>
      </c>
      <c r="AY24" s="23">
        <v>530</v>
      </c>
      <c r="AZ24" s="23">
        <v>253</v>
      </c>
      <c r="BA24" s="23">
        <v>389</v>
      </c>
      <c r="BB24" s="23">
        <v>205</v>
      </c>
      <c r="BC24" s="23">
        <v>62</v>
      </c>
      <c r="BD24" s="23">
        <v>895</v>
      </c>
      <c r="BE24" s="23">
        <v>150</v>
      </c>
      <c r="BF24" s="23">
        <v>64</v>
      </c>
      <c r="BG24" s="23">
        <v>99</v>
      </c>
      <c r="BH24" s="23">
        <v>135</v>
      </c>
      <c r="BI24" s="23">
        <v>190</v>
      </c>
      <c r="BJ24" s="23">
        <v>764</v>
      </c>
      <c r="BK24" s="23">
        <v>21</v>
      </c>
      <c r="BL24" s="23">
        <v>19665</v>
      </c>
      <c r="BM24" s="23">
        <v>661</v>
      </c>
      <c r="BN24" s="23">
        <v>42</v>
      </c>
      <c r="BO24" s="23">
        <v>341</v>
      </c>
      <c r="BP24" s="23">
        <v>548</v>
      </c>
      <c r="BQ24" s="23">
        <v>54</v>
      </c>
      <c r="BR24" s="23">
        <v>89</v>
      </c>
      <c r="BS24" s="23">
        <v>10</v>
      </c>
      <c r="BT24" s="23">
        <v>34</v>
      </c>
      <c r="BU24" s="23">
        <v>17</v>
      </c>
      <c r="BV24" s="23">
        <v>165</v>
      </c>
      <c r="BW24" s="23">
        <v>307</v>
      </c>
      <c r="BX24" s="23">
        <v>243</v>
      </c>
      <c r="BY24" s="23">
        <v>81</v>
      </c>
      <c r="BZ24" s="23">
        <v>301</v>
      </c>
      <c r="CA24" s="23">
        <v>69</v>
      </c>
      <c r="CB24" s="23">
        <v>1</v>
      </c>
      <c r="CC24" s="23">
        <v>32</v>
      </c>
      <c r="CD24" s="23">
        <v>128</v>
      </c>
      <c r="CE24" s="23">
        <v>895</v>
      </c>
      <c r="CF24" s="23">
        <v>0</v>
      </c>
      <c r="CG24" s="23">
        <v>0</v>
      </c>
      <c r="CH24" s="23">
        <v>0</v>
      </c>
      <c r="CI24" s="23">
        <v>0</v>
      </c>
      <c r="CJ24" s="23">
        <v>0</v>
      </c>
      <c r="CK24" s="23">
        <v>0</v>
      </c>
      <c r="CL24" s="23">
        <v>0</v>
      </c>
      <c r="CM24" s="23">
        <v>0</v>
      </c>
      <c r="CN24" s="23">
        <v>0</v>
      </c>
      <c r="CO24" s="23">
        <v>0</v>
      </c>
      <c r="CP24" s="23">
        <v>0</v>
      </c>
      <c r="CQ24" s="23">
        <v>0</v>
      </c>
      <c r="CR24" s="23">
        <v>0</v>
      </c>
      <c r="CS24" s="23">
        <v>0</v>
      </c>
      <c r="CT24" s="23">
        <v>0</v>
      </c>
      <c r="CU24" s="23">
        <v>0</v>
      </c>
      <c r="CV24" s="23">
        <v>0</v>
      </c>
      <c r="CW24" s="23">
        <v>0</v>
      </c>
      <c r="CX24" s="23">
        <v>0</v>
      </c>
      <c r="CY24" s="23">
        <v>0</v>
      </c>
      <c r="CZ24" s="23">
        <v>0</v>
      </c>
      <c r="DA24" s="23">
        <v>0</v>
      </c>
      <c r="DB24" s="23">
        <v>0</v>
      </c>
      <c r="DC24" s="23">
        <v>0</v>
      </c>
      <c r="DD24" s="23">
        <v>1</v>
      </c>
      <c r="DE24" s="23">
        <v>0</v>
      </c>
      <c r="DF24" s="23">
        <v>0</v>
      </c>
      <c r="DG24" s="23">
        <v>0</v>
      </c>
      <c r="DH24" s="23">
        <v>0</v>
      </c>
      <c r="DI24" s="23">
        <v>0</v>
      </c>
      <c r="DJ24" s="23">
        <v>0</v>
      </c>
      <c r="DK24" s="23">
        <v>0</v>
      </c>
      <c r="DL24" s="23">
        <v>0</v>
      </c>
      <c r="DM24" s="23">
        <v>0</v>
      </c>
      <c r="DN24" s="23">
        <v>6</v>
      </c>
      <c r="DO24" s="23">
        <v>0</v>
      </c>
      <c r="DP24" s="23">
        <v>0</v>
      </c>
      <c r="DQ24" s="23">
        <v>0</v>
      </c>
      <c r="DR24" s="23">
        <v>12</v>
      </c>
      <c r="DS24" s="23">
        <v>0</v>
      </c>
      <c r="DT24" s="23">
        <v>0</v>
      </c>
      <c r="DU24" s="23">
        <v>0</v>
      </c>
      <c r="DV24" s="23">
        <v>0</v>
      </c>
      <c r="DW24" s="23">
        <v>0</v>
      </c>
      <c r="DX24" s="23">
        <v>0</v>
      </c>
      <c r="DY24" s="23">
        <v>0</v>
      </c>
      <c r="DZ24" s="23">
        <v>0</v>
      </c>
      <c r="EA24" s="23">
        <v>0</v>
      </c>
      <c r="EB24" s="23">
        <v>0</v>
      </c>
      <c r="EC24" s="23">
        <v>3</v>
      </c>
      <c r="ED24" s="23">
        <v>0</v>
      </c>
      <c r="EE24" s="23">
        <v>0</v>
      </c>
      <c r="EF24" s="23">
        <v>0</v>
      </c>
      <c r="EG24" s="23">
        <v>0</v>
      </c>
      <c r="EH24" s="23">
        <v>0</v>
      </c>
      <c r="EI24" s="23">
        <v>2</v>
      </c>
      <c r="EJ24" s="23">
        <v>0</v>
      </c>
      <c r="EK24" s="23">
        <v>22</v>
      </c>
      <c r="EL24" s="23">
        <v>0</v>
      </c>
      <c r="EM24" s="23">
        <v>0</v>
      </c>
      <c r="EN24" s="23">
        <v>0</v>
      </c>
      <c r="EO24" s="23">
        <v>19</v>
      </c>
      <c r="EP24" s="23">
        <v>0</v>
      </c>
      <c r="EQ24" s="23">
        <v>0</v>
      </c>
      <c r="ER24" s="23">
        <v>0</v>
      </c>
      <c r="ES24" s="23">
        <v>0</v>
      </c>
      <c r="ET24" s="23">
        <v>0</v>
      </c>
      <c r="EU24" s="23">
        <v>0</v>
      </c>
      <c r="EV24" s="23">
        <v>0</v>
      </c>
      <c r="EW24" s="23">
        <v>0</v>
      </c>
      <c r="EX24" s="23">
        <v>0</v>
      </c>
      <c r="EY24" s="23">
        <v>12</v>
      </c>
      <c r="EZ24" s="23">
        <v>0</v>
      </c>
      <c r="FA24" s="23">
        <v>0</v>
      </c>
      <c r="FB24" s="23">
        <v>0</v>
      </c>
      <c r="FC24" s="23">
        <v>0</v>
      </c>
      <c r="FD24" s="23">
        <v>0</v>
      </c>
      <c r="FE24" s="23">
        <v>0</v>
      </c>
      <c r="FF24" s="23">
        <v>0</v>
      </c>
      <c r="FG24" s="23">
        <v>0</v>
      </c>
      <c r="FH24" s="23">
        <v>0</v>
      </c>
      <c r="FI24" s="23">
        <v>0</v>
      </c>
      <c r="FJ24" s="23">
        <v>0</v>
      </c>
      <c r="FK24" s="23">
        <v>1</v>
      </c>
      <c r="FL24" s="23">
        <v>0</v>
      </c>
      <c r="FM24" s="23">
        <v>0</v>
      </c>
      <c r="FN24" s="23">
        <v>0</v>
      </c>
      <c r="FO24" s="23">
        <v>0</v>
      </c>
      <c r="FP24" s="23">
        <v>0</v>
      </c>
      <c r="FQ24" s="23">
        <v>0</v>
      </c>
      <c r="FR24" s="23">
        <v>0</v>
      </c>
      <c r="FS24" s="23">
        <v>0</v>
      </c>
      <c r="FT24" s="23">
        <v>0</v>
      </c>
      <c r="FU24" s="23">
        <v>0</v>
      </c>
      <c r="FV24" s="23">
        <v>0</v>
      </c>
      <c r="FW24" s="23">
        <v>0</v>
      </c>
      <c r="FX24" s="23">
        <v>0</v>
      </c>
      <c r="FY24" s="23">
        <v>0</v>
      </c>
      <c r="FZ24" s="23">
        <v>0</v>
      </c>
      <c r="GA24" s="23">
        <v>0</v>
      </c>
      <c r="GB24" s="23">
        <v>2</v>
      </c>
      <c r="GC24" s="23">
        <v>0</v>
      </c>
      <c r="GD24" s="23">
        <v>0</v>
      </c>
      <c r="GE24" s="23">
        <v>0</v>
      </c>
      <c r="GF24" s="23">
        <v>0</v>
      </c>
      <c r="GG24" s="23">
        <v>2</v>
      </c>
      <c r="GH24" s="23">
        <v>0</v>
      </c>
      <c r="GI24" s="23">
        <v>0</v>
      </c>
      <c r="GJ24" s="23">
        <v>0</v>
      </c>
      <c r="GK24" s="23">
        <v>0</v>
      </c>
      <c r="GL24" s="23">
        <v>0</v>
      </c>
      <c r="GM24" s="23">
        <v>0</v>
      </c>
      <c r="GN24" s="23">
        <v>0</v>
      </c>
      <c r="GO24" s="23">
        <v>0</v>
      </c>
      <c r="GP24" s="23">
        <v>28</v>
      </c>
      <c r="GQ24" s="23">
        <v>0</v>
      </c>
      <c r="GR24" s="23">
        <v>0</v>
      </c>
      <c r="GS24" s="23">
        <v>0</v>
      </c>
      <c r="GT24" s="23">
        <v>0</v>
      </c>
      <c r="GU24" s="23">
        <v>1</v>
      </c>
      <c r="GV24" s="23">
        <v>1</v>
      </c>
      <c r="GW24" s="23">
        <v>0</v>
      </c>
      <c r="GX24" s="23">
        <v>0</v>
      </c>
      <c r="GY24" s="23">
        <v>1</v>
      </c>
      <c r="GZ24" s="23">
        <v>0</v>
      </c>
      <c r="HA24" s="23">
        <v>11</v>
      </c>
      <c r="HB24" s="23">
        <v>0</v>
      </c>
      <c r="HC24" s="23">
        <v>25</v>
      </c>
      <c r="HD24" s="23">
        <v>0</v>
      </c>
      <c r="HE24" s="23">
        <v>0</v>
      </c>
      <c r="HF24" s="23">
        <v>0</v>
      </c>
      <c r="HG24" s="23">
        <v>0</v>
      </c>
      <c r="HH24" s="23">
        <v>0</v>
      </c>
      <c r="HI24" s="23">
        <v>0</v>
      </c>
      <c r="HJ24" s="23">
        <v>5</v>
      </c>
      <c r="HK24" s="23">
        <v>0</v>
      </c>
      <c r="HL24" s="23">
        <v>0</v>
      </c>
      <c r="HM24" s="23">
        <v>0</v>
      </c>
      <c r="HN24" s="23">
        <v>0</v>
      </c>
      <c r="HO24" s="23">
        <v>0</v>
      </c>
      <c r="HP24" s="23">
        <v>0</v>
      </c>
      <c r="HQ24" s="23">
        <v>2</v>
      </c>
      <c r="HR24" s="23">
        <v>0</v>
      </c>
      <c r="HS24" s="23">
        <v>11</v>
      </c>
      <c r="HT24" s="23">
        <v>0</v>
      </c>
      <c r="HU24" s="23">
        <v>0</v>
      </c>
      <c r="HV24" s="23">
        <v>8</v>
      </c>
      <c r="HW24" s="23">
        <v>0</v>
      </c>
      <c r="HX24" s="23">
        <v>0</v>
      </c>
      <c r="HY24" s="23">
        <v>0</v>
      </c>
      <c r="HZ24" s="23">
        <v>0</v>
      </c>
      <c r="IA24" s="23">
        <v>0</v>
      </c>
      <c r="IB24" s="23">
        <v>0</v>
      </c>
      <c r="IC24" s="23">
        <v>0</v>
      </c>
      <c r="ID24" s="23">
        <v>0</v>
      </c>
      <c r="IE24" s="23">
        <v>0</v>
      </c>
      <c r="IF24" s="23">
        <v>0</v>
      </c>
      <c r="IG24" s="23">
        <v>0</v>
      </c>
      <c r="IH24" s="23">
        <v>0</v>
      </c>
      <c r="II24" s="23">
        <v>0</v>
      </c>
      <c r="IJ24" s="23">
        <v>0</v>
      </c>
      <c r="IK24" s="23">
        <v>0</v>
      </c>
      <c r="IL24" s="23">
        <v>0</v>
      </c>
      <c r="IM24" s="23">
        <v>0</v>
      </c>
      <c r="IN24" s="23">
        <v>0</v>
      </c>
      <c r="IO24" s="23">
        <v>0</v>
      </c>
      <c r="IP24" s="23">
        <v>0</v>
      </c>
      <c r="IQ24" s="23">
        <v>0</v>
      </c>
      <c r="IR24" s="23">
        <v>0</v>
      </c>
      <c r="IS24" s="23">
        <v>0</v>
      </c>
      <c r="IT24" s="23">
        <v>0</v>
      </c>
      <c r="IU24" s="23">
        <v>0</v>
      </c>
      <c r="IV24" s="23">
        <v>0</v>
      </c>
      <c r="IW24" s="23">
        <v>0</v>
      </c>
      <c r="IX24" s="23">
        <v>0</v>
      </c>
      <c r="IY24" s="23">
        <v>0</v>
      </c>
      <c r="IZ24" s="23">
        <v>0</v>
      </c>
      <c r="JA24" s="23">
        <v>0</v>
      </c>
      <c r="JB24" s="23">
        <v>0</v>
      </c>
      <c r="JC24" s="23">
        <v>0</v>
      </c>
      <c r="JD24" s="23">
        <v>0</v>
      </c>
      <c r="JE24" s="23">
        <v>0</v>
      </c>
      <c r="JF24" s="23">
        <v>0</v>
      </c>
      <c r="JG24" s="23">
        <v>0</v>
      </c>
      <c r="JH24" s="23">
        <v>0</v>
      </c>
      <c r="JI24" s="23">
        <v>0</v>
      </c>
      <c r="JJ24" s="23">
        <v>0</v>
      </c>
      <c r="JK24" s="23">
        <v>0</v>
      </c>
      <c r="JL24" s="23">
        <v>0</v>
      </c>
      <c r="JM24" s="23">
        <v>0</v>
      </c>
      <c r="JN24" s="23">
        <v>0</v>
      </c>
      <c r="JO24" s="23">
        <v>1</v>
      </c>
      <c r="JP24" s="23">
        <v>0</v>
      </c>
      <c r="JQ24" s="23">
        <v>6</v>
      </c>
      <c r="JR24" s="23">
        <v>0</v>
      </c>
      <c r="JS24" s="23">
        <v>0</v>
      </c>
      <c r="JT24" s="23">
        <v>0</v>
      </c>
      <c r="JU24" s="23">
        <v>0</v>
      </c>
      <c r="JV24" s="23">
        <v>0</v>
      </c>
      <c r="JW24" s="23">
        <v>0</v>
      </c>
      <c r="JX24" s="23">
        <v>0</v>
      </c>
      <c r="JY24" s="23">
        <v>0</v>
      </c>
      <c r="JZ24" s="23">
        <v>2</v>
      </c>
      <c r="KA24" s="23">
        <v>0</v>
      </c>
      <c r="KB24" s="23">
        <v>0</v>
      </c>
      <c r="KC24" s="23">
        <v>0</v>
      </c>
      <c r="KD24" s="23">
        <v>0</v>
      </c>
      <c r="KE24" s="23">
        <v>0</v>
      </c>
      <c r="KF24" s="23">
        <v>0</v>
      </c>
      <c r="KG24" s="23">
        <v>0</v>
      </c>
      <c r="KH24" s="23">
        <v>1</v>
      </c>
      <c r="KI24" s="23">
        <v>0</v>
      </c>
      <c r="KJ24" s="23">
        <v>0</v>
      </c>
      <c r="KK24" s="23">
        <v>0</v>
      </c>
      <c r="KL24" s="23">
        <v>0</v>
      </c>
      <c r="KM24" s="23">
        <v>0</v>
      </c>
      <c r="KN24" s="23">
        <v>0</v>
      </c>
      <c r="KO24" s="23">
        <v>0</v>
      </c>
      <c r="KP24" s="23">
        <v>0</v>
      </c>
      <c r="KQ24" s="23">
        <v>0</v>
      </c>
      <c r="KR24" s="23">
        <v>0</v>
      </c>
      <c r="KS24" s="23">
        <v>0</v>
      </c>
      <c r="KT24" s="23">
        <v>0</v>
      </c>
      <c r="KU24" s="23">
        <v>0</v>
      </c>
      <c r="KV24" s="23">
        <v>0</v>
      </c>
      <c r="KW24" s="23">
        <v>0</v>
      </c>
      <c r="KX24" s="23">
        <v>0</v>
      </c>
      <c r="KY24" s="23">
        <v>0</v>
      </c>
      <c r="KZ24" s="23">
        <v>0</v>
      </c>
      <c r="LA24" s="23">
        <v>0</v>
      </c>
      <c r="LB24" s="23">
        <v>0</v>
      </c>
      <c r="LC24" s="23">
        <v>0</v>
      </c>
      <c r="LD24" s="23">
        <v>0</v>
      </c>
      <c r="LE24" s="23">
        <v>0</v>
      </c>
      <c r="LF24" s="23">
        <v>0</v>
      </c>
      <c r="LG24" s="23">
        <v>0</v>
      </c>
      <c r="LH24" s="23">
        <v>1</v>
      </c>
      <c r="LI24" s="23">
        <v>0</v>
      </c>
      <c r="LJ24" s="23">
        <v>0</v>
      </c>
      <c r="LK24" s="23">
        <v>0</v>
      </c>
      <c r="LL24" s="23">
        <v>0</v>
      </c>
      <c r="LM24" s="23">
        <v>0</v>
      </c>
      <c r="LN24" s="278">
        <f ca="1">$A24 - TST!Sweden100dt + 1</f>
        <v>-30</v>
      </c>
      <c r="LO24" s="20">
        <f ca="1">INDEX(OFFSET(TST!HeadRow,ROW()-ROW(TST!HeadRow),0,1,COLUMNS(TST!HeadRow)),1,MATCH(LO$5,TST!HeadRow,0))/LO$8</f>
        <v>0.97751710654936474</v>
      </c>
      <c r="LP24" s="278">
        <f ca="1">$A24 - TST!Spain100dt + 1</f>
        <v>-30</v>
      </c>
      <c r="LQ24" s="20">
        <f ca="1">INDEX(OFFSET(TST!HeadRow,ROW()-ROW(TST!HeadRow),0,1,COLUMNS(TST!HeadRow)),1,MATCH(LQ$5,TST!HeadRow,0))/LQ$8</f>
        <v>0.21303792074989347</v>
      </c>
      <c r="LR24" s="285">
        <f ca="1">$A24 - TST!Victoria100dt + 1</f>
        <v>-39</v>
      </c>
      <c r="LS24" s="20">
        <f ca="1">INDEX(OFFSET(TST!HeadRow,ROW()-ROW(TST!HeadRow),0,1,COLUMNS(TST!HeadRow)),1,MATCH(LS$5,TST!HeadRow,0))/LS$8</f>
        <v>6.0340926233217678</v>
      </c>
      <c r="LT24" s="278">
        <f ca="1">$A24 - TST!Iran100dt + 1</f>
        <v>-24</v>
      </c>
      <c r="LU24" s="20">
        <f ca="1">INDEX(OFFSET(TST!HeadRow,ROW()-ROW(TST!HeadRow),0,1,COLUMNS(TST!HeadRow)),1,MATCH(LU$5,TST!HeadRow,0))/LU$8</f>
        <v>0</v>
      </c>
      <c r="LV24" s="278">
        <f ca="1">$A24 - TST!Japan100dt + 1</f>
        <v>-48</v>
      </c>
      <c r="LW24" s="20">
        <f ca="1">INDEX(OFFSET(TST!HeadRow,ROW()-ROW(TST!HeadRow),0,1,COLUMNS(TST!HeadRow)),1,MATCH(LW$5,TST!HeadRow,0))/LW$8</f>
        <v>1.738385567486842</v>
      </c>
      <c r="LX24" s="278">
        <f ca="1">$A24 - TST!Queensland100dt + 1</f>
        <v>-38</v>
      </c>
      <c r="LY24" s="20">
        <f ca="1">INDEX(OFFSET(TST!HeadRow,ROW()-ROW(TST!HeadRow),0,1,COLUMNS(TST!HeadRow)),1,MATCH(LY$5,TST!HeadRow,0))/LY$8</f>
        <v>5.8645855468071151</v>
      </c>
      <c r="LZ24" s="278">
        <f ca="1">$A24 - TST!Tasmania100dt + 1</f>
        <v>-38</v>
      </c>
      <c r="MA24" s="20">
        <f ca="1">INDEX(OFFSET(TST!HeadRow,ROW()-ROW(TST!HeadRow),0,1,COLUMNS(TST!HeadRow)),1,MATCH(MA$5,TST!HeadRow,0))/MA$8</f>
        <v>0</v>
      </c>
      <c r="MB24" s="278">
        <f ca="1">$A24 - TST!SouthAustralia100dt + 1</f>
        <v>-37</v>
      </c>
      <c r="MC24" s="20">
        <f ca="1">INDEX(OFFSET(TST!HeadRow,ROW()-ROW(TST!HeadRow),0,1,COLUMNS(TST!HeadRow)),1,MATCH(MC$5,TST!HeadRow,0))/MC$8</f>
        <v>11.976047904191615</v>
      </c>
      <c r="MD24" s="278">
        <f ca="1">$A24 - TST!AustralianCapitalTerritory100dt + 1</f>
        <v>-43</v>
      </c>
      <c r="ME24" s="20">
        <f ca="1">INDEX(OFFSET(TST!HeadRow,ROW()-ROW(TST!HeadRow),0,1,COLUMNS(TST!HeadRow)),1,MATCH(ME$5,TST!HeadRow,0))/ME$8</f>
        <v>0</v>
      </c>
      <c r="MF24" s="278">
        <f ca="1">$A24 - TST!NorthernTerritory100dt + 1</f>
        <v>-43</v>
      </c>
      <c r="MG24" s="20">
        <f ca="1">INDEX(OFFSET(TST!HeadRow,ROW()-ROW(TST!HeadRow),0,1,COLUMNS(TST!HeadRow)),1,MATCH(MG$5,TST!HeadRow,0))/MG$8</f>
        <v>0</v>
      </c>
      <c r="MH24" s="278">
        <f ca="1">$A24 - TST!WesternAustralia100dt + 1</f>
        <v>-39</v>
      </c>
      <c r="MI24" s="20">
        <f ca="1">INDEX(OFFSET(TST!HeadRow,ROW()-ROW(TST!HeadRow),0,1,COLUMNS(TST!HeadRow)),1,MATCH(MI$5,TST!HeadRow,0))/MI$8</f>
        <v>0</v>
      </c>
      <c r="MJ24" s="278">
        <f ca="1">$A24 - TST!Germany100dt + 1</f>
        <v>-31</v>
      </c>
      <c r="MK24" s="20">
        <f ca="1">INDEX(OFFSET(TST!HeadRow,ROW()-ROW(TST!HeadRow),0,1,COLUMNS(TST!HeadRow)),1,MATCH(MK$5,TST!HeadRow,0))/MK$8</f>
        <v>1.4454348349795232</v>
      </c>
      <c r="ML24" s="278">
        <f ca="1">$A24 - TST!Denmark100dt + 1</f>
        <v>-32</v>
      </c>
      <c r="MM24" s="20">
        <f ca="1">INDEX(OFFSET(TST!HeadRow,ROW()-ROW(TST!HeadRow),0,1,COLUMNS(TST!HeadRow)),1,MATCH(MM$5,TST!HeadRow,0))/MM$8</f>
        <v>0</v>
      </c>
      <c r="MN24" s="278">
        <f ca="1">$A24 - TST!SouthAfrica100dt + 1</f>
        <v>-48</v>
      </c>
      <c r="MO24" s="20">
        <f ca="1">INDEX(OFFSET(TST!HeadRow,ROW()-ROW(TST!HeadRow),0,1,COLUMNS(TST!HeadRow)),1,MATCH(MO$5,TST!HeadRow,0))/MO$8</f>
        <v>0</v>
      </c>
      <c r="MP24" s="278">
        <f ca="1">$A24 - TST!UnitedKingdom100dt + 1</f>
        <v>-36</v>
      </c>
      <c r="MQ24" s="20">
        <f ca="1">INDEX(OFFSET(TST!HeadRow,ROW()-ROW(TST!HeadRow),0,1,COLUMNS(TST!HeadRow)),1,MATCH(MQ$5,TST!HeadRow,0))/MQ$8</f>
        <v>0.30102347983142685</v>
      </c>
      <c r="MR24" s="278">
        <f ca="1">$A24 - TST!Ireland100dt + 1</f>
        <v>-36</v>
      </c>
      <c r="MS24" s="20">
        <f ca="1">INDEX(OFFSET(TST!HeadRow,ROW()-ROW(TST!HeadRow),0,1,COLUMNS(TST!HeadRow)),1,MATCH(MS$5,TST!HeadRow,0))/MS$8</f>
        <v>0</v>
      </c>
      <c r="MT24" s="278">
        <f ca="1">$A24 - TST!Italy100dt + 1</f>
        <v>-21</v>
      </c>
      <c r="MU24" s="20">
        <f ca="1">INDEX(OFFSET(TST!HeadRow,ROW()-ROW(TST!HeadRow),0,1,COLUMNS(TST!HeadRow)),1,MATCH(MU$5,TST!HeadRow,0))/MU$8</f>
        <v>0.33066049433743905</v>
      </c>
      <c r="MV24" s="278">
        <f ca="1">$A24 - TST!US100dt + 1</f>
        <v>-38</v>
      </c>
      <c r="MW24" s="20">
        <f ca="1">INDEX(OFFSET(TST!HeadRow,ROW()-ROW(TST!HeadRow),0,1,COLUMNS(TST!HeadRow)),1,MATCH(MW$5,TST!HeadRow,0))/MW$8</f>
        <v>0.33411521761595392</v>
      </c>
      <c r="MX24" s="278">
        <f ca="1">$A24 - TST!AustraliaSum100dt + 1</f>
        <v>-38</v>
      </c>
      <c r="MY24" s="366">
        <f t="shared" si="7"/>
        <v>5.1253745466014822</v>
      </c>
      <c r="MZ24" s="278">
        <f ca="1">$A24 - TST!NewSouthWales100dt + 1</f>
        <v>-36</v>
      </c>
      <c r="NA24" s="366">
        <f ca="1">INDEX(OFFSET(TST!HeadRow,ROW()-ROW(TST!HeadRow),0,1,COLUMNS(TST!HeadRow)),1,MATCH(NA$5,TST!HeadRow,0))/NA$8</f>
        <v>4.9504950495049505</v>
      </c>
      <c r="NB24" s="278">
        <f ca="1">$A24 - TST!Taiwan100dt + 1</f>
        <v>-49</v>
      </c>
      <c r="NC24" s="366">
        <f ca="1">INDEX(OFFSET(TST!HeadRow,ROW()-ROW(TST!HeadRow),0,1,COLUMNS(TST!HeadRow)),1,MATCH(NC$5,TST!HeadRow,0))/NC$8</f>
        <v>4.6204350416817848</v>
      </c>
      <c r="ND24" s="20">
        <f ca="1">$A24 - TST!Hubei100dt + 1</f>
        <v>12</v>
      </c>
      <c r="NE24" s="20">
        <f ca="1">INDEX(OFFSET(TST!HeadRow,ROW()-ROW(TST!HeadRow),0,1,COLUMNS(TST!HeadRow)),1,MATCH(NE$5,TST!HeadRow,0))/NE$8</f>
        <v>3361.5384615384619</v>
      </c>
      <c r="NF24" s="20">
        <f ca="1">$A24 - TST!HongKong100dt + 1</f>
        <v>-18</v>
      </c>
      <c r="NG24" s="20">
        <f ca="1">INDEX(OFFSET(TST!HeadRow,ROW()-ROW(TST!HeadRow),0,1,COLUMNS(TST!HeadRow)),1,MATCH(NG$5,TST!HeadRow,0))/NG$8</f>
        <v>28.184136357535902</v>
      </c>
    </row>
    <row r="25" spans="1:371" x14ac:dyDescent="0.25">
      <c r="A25" s="243">
        <v>43867</v>
      </c>
      <c r="B25" s="23">
        <v>0</v>
      </c>
      <c r="C25" s="23">
        <v>0</v>
      </c>
      <c r="D25" s="23">
        <v>0</v>
      </c>
      <c r="E25" s="23">
        <v>0</v>
      </c>
      <c r="F25" s="23">
        <v>0</v>
      </c>
      <c r="G25" s="23">
        <v>0</v>
      </c>
      <c r="H25" s="23">
        <v>0</v>
      </c>
      <c r="I25" s="23">
        <v>0</v>
      </c>
      <c r="J25" s="23">
        <v>0</v>
      </c>
      <c r="K25" s="293">
        <v>4</v>
      </c>
      <c r="L25" s="23">
        <v>0</v>
      </c>
      <c r="M25" s="290">
        <v>4</v>
      </c>
      <c r="N25" s="23">
        <v>2</v>
      </c>
      <c r="O25" s="384">
        <v>0</v>
      </c>
      <c r="P25" s="287">
        <v>4</v>
      </c>
      <c r="Q25" s="23">
        <v>0</v>
      </c>
      <c r="R25" s="23">
        <v>0</v>
      </c>
      <c r="S25" s="23">
        <v>0</v>
      </c>
      <c r="T25" s="23">
        <v>0</v>
      </c>
      <c r="U25" s="23">
        <v>0</v>
      </c>
      <c r="V25" s="23">
        <v>0</v>
      </c>
      <c r="W25" s="23">
        <v>0</v>
      </c>
      <c r="X25" s="23">
        <v>0</v>
      </c>
      <c r="Y25" s="23">
        <v>1</v>
      </c>
      <c r="Z25" s="23">
        <v>0</v>
      </c>
      <c r="AA25" s="23">
        <v>0</v>
      </c>
      <c r="AB25" s="23">
        <v>0</v>
      </c>
      <c r="AC25" s="23">
        <v>0</v>
      </c>
      <c r="AD25" s="23">
        <v>0</v>
      </c>
      <c r="AE25" s="23">
        <v>0</v>
      </c>
      <c r="AF25" s="23">
        <v>0</v>
      </c>
      <c r="AG25" s="23">
        <v>0</v>
      </c>
      <c r="AH25" s="23">
        <v>0</v>
      </c>
      <c r="AI25" s="23">
        <v>1</v>
      </c>
      <c r="AJ25" s="23">
        <v>0</v>
      </c>
      <c r="AK25" s="23">
        <v>0</v>
      </c>
      <c r="AL25" s="23">
        <v>2</v>
      </c>
      <c r="AM25" s="23">
        <v>0</v>
      </c>
      <c r="AN25" s="23">
        <v>0</v>
      </c>
      <c r="AO25" s="23">
        <v>0</v>
      </c>
      <c r="AP25" s="23">
        <v>0</v>
      </c>
      <c r="AQ25" s="23">
        <v>0</v>
      </c>
      <c r="AR25" s="23">
        <v>3</v>
      </c>
      <c r="AS25" s="23">
        <v>0</v>
      </c>
      <c r="AT25" s="23">
        <v>0</v>
      </c>
      <c r="AU25" s="23">
        <v>0</v>
      </c>
      <c r="AV25" s="23">
        <v>0</v>
      </c>
      <c r="AW25" s="23">
        <v>0</v>
      </c>
      <c r="AX25" s="23">
        <v>0</v>
      </c>
      <c r="AY25" s="23">
        <v>591</v>
      </c>
      <c r="AZ25" s="23">
        <v>274</v>
      </c>
      <c r="BA25" s="23">
        <v>411</v>
      </c>
      <c r="BB25" s="23">
        <v>215</v>
      </c>
      <c r="BC25" s="23">
        <v>62</v>
      </c>
      <c r="BD25" s="23">
        <v>970</v>
      </c>
      <c r="BE25" s="23">
        <v>168</v>
      </c>
      <c r="BF25" s="23">
        <v>71</v>
      </c>
      <c r="BG25" s="23">
        <v>106</v>
      </c>
      <c r="BH25" s="23">
        <v>157</v>
      </c>
      <c r="BI25" s="23">
        <v>227</v>
      </c>
      <c r="BJ25" s="23">
        <v>851</v>
      </c>
      <c r="BK25" s="23">
        <v>24</v>
      </c>
      <c r="BL25" s="23">
        <v>22112</v>
      </c>
      <c r="BM25" s="23">
        <v>711</v>
      </c>
      <c r="BN25" s="23">
        <v>46</v>
      </c>
      <c r="BO25" s="23">
        <v>373</v>
      </c>
      <c r="BP25" s="23">
        <v>600</v>
      </c>
      <c r="BQ25" s="23">
        <v>59</v>
      </c>
      <c r="BR25" s="23">
        <v>94</v>
      </c>
      <c r="BS25" s="23">
        <v>10</v>
      </c>
      <c r="BT25" s="23">
        <v>40</v>
      </c>
      <c r="BU25" s="23">
        <v>18</v>
      </c>
      <c r="BV25" s="23">
        <v>173</v>
      </c>
      <c r="BW25" s="23">
        <v>347</v>
      </c>
      <c r="BX25" s="23">
        <v>257</v>
      </c>
      <c r="BY25" s="23">
        <v>96</v>
      </c>
      <c r="BZ25" s="23">
        <v>321</v>
      </c>
      <c r="CA25" s="23">
        <v>79</v>
      </c>
      <c r="CB25" s="23">
        <v>1</v>
      </c>
      <c r="CC25" s="23">
        <v>36</v>
      </c>
      <c r="CD25" s="23">
        <v>133</v>
      </c>
      <c r="CE25" s="23">
        <v>954</v>
      </c>
      <c r="CF25" s="23">
        <v>0</v>
      </c>
      <c r="CG25" s="23">
        <v>0</v>
      </c>
      <c r="CH25" s="23">
        <v>0</v>
      </c>
      <c r="CI25" s="23">
        <v>0</v>
      </c>
      <c r="CJ25" s="23">
        <v>0</v>
      </c>
      <c r="CK25" s="23">
        <v>0</v>
      </c>
      <c r="CL25" s="23">
        <v>0</v>
      </c>
      <c r="CM25" s="23">
        <v>0</v>
      </c>
      <c r="CN25" s="23">
        <v>0</v>
      </c>
      <c r="CO25" s="23">
        <v>0</v>
      </c>
      <c r="CP25" s="23">
        <v>0</v>
      </c>
      <c r="CQ25" s="23">
        <v>0</v>
      </c>
      <c r="CR25" s="23">
        <v>0</v>
      </c>
      <c r="CS25" s="23">
        <v>0</v>
      </c>
      <c r="CT25" s="23">
        <v>0</v>
      </c>
      <c r="CU25" s="23">
        <v>0</v>
      </c>
      <c r="CV25" s="23">
        <v>0</v>
      </c>
      <c r="CW25" s="23">
        <v>0</v>
      </c>
      <c r="CX25" s="23">
        <v>0</v>
      </c>
      <c r="CY25" s="23">
        <v>0</v>
      </c>
      <c r="CZ25" s="23">
        <v>0</v>
      </c>
      <c r="DA25" s="23">
        <v>0</v>
      </c>
      <c r="DB25" s="23">
        <v>0</v>
      </c>
      <c r="DC25" s="23">
        <v>0</v>
      </c>
      <c r="DD25" s="23">
        <v>1</v>
      </c>
      <c r="DE25" s="23">
        <v>0</v>
      </c>
      <c r="DF25" s="23">
        <v>0</v>
      </c>
      <c r="DG25" s="23">
        <v>0</v>
      </c>
      <c r="DH25" s="23">
        <v>0</v>
      </c>
      <c r="DI25" s="23">
        <v>0</v>
      </c>
      <c r="DJ25" s="23">
        <v>0</v>
      </c>
      <c r="DK25" s="23">
        <v>0</v>
      </c>
      <c r="DL25" s="23">
        <v>0</v>
      </c>
      <c r="DM25" s="23">
        <v>0</v>
      </c>
      <c r="DN25" s="23">
        <v>6</v>
      </c>
      <c r="DO25" s="23">
        <v>0</v>
      </c>
      <c r="DP25" s="23">
        <v>0</v>
      </c>
      <c r="DQ25" s="23">
        <v>0</v>
      </c>
      <c r="DR25" s="23">
        <v>12</v>
      </c>
      <c r="DS25" s="23">
        <v>0</v>
      </c>
      <c r="DT25" s="23">
        <v>0</v>
      </c>
      <c r="DU25" s="23">
        <v>0</v>
      </c>
      <c r="DV25" s="23">
        <v>0</v>
      </c>
      <c r="DW25" s="23">
        <v>0</v>
      </c>
      <c r="DX25" s="23">
        <v>0</v>
      </c>
      <c r="DY25" s="23">
        <v>0</v>
      </c>
      <c r="DZ25" s="23">
        <v>0</v>
      </c>
      <c r="EA25" s="23">
        <v>0</v>
      </c>
      <c r="EB25" s="23">
        <v>0</v>
      </c>
      <c r="EC25" s="23">
        <v>3</v>
      </c>
      <c r="ED25" s="23">
        <v>0</v>
      </c>
      <c r="EE25" s="23">
        <v>0</v>
      </c>
      <c r="EF25" s="23">
        <v>0</v>
      </c>
      <c r="EG25" s="23">
        <v>0</v>
      </c>
      <c r="EH25" s="23">
        <v>0</v>
      </c>
      <c r="EI25" s="23">
        <v>2</v>
      </c>
      <c r="EJ25" s="23">
        <v>0</v>
      </c>
      <c r="EK25" s="23">
        <v>22</v>
      </c>
      <c r="EL25" s="23">
        <v>0</v>
      </c>
      <c r="EM25" s="23">
        <v>0</v>
      </c>
      <c r="EN25" s="23">
        <v>0</v>
      </c>
      <c r="EO25" s="23">
        <v>23</v>
      </c>
      <c r="EP25" s="23">
        <v>0</v>
      </c>
      <c r="EQ25" s="23">
        <v>0</v>
      </c>
      <c r="ER25" s="23">
        <v>0</v>
      </c>
      <c r="ES25" s="23">
        <v>0</v>
      </c>
      <c r="ET25" s="23">
        <v>0</v>
      </c>
      <c r="EU25" s="23">
        <v>0</v>
      </c>
      <c r="EV25" s="23">
        <v>0</v>
      </c>
      <c r="EW25" s="23">
        <v>0</v>
      </c>
      <c r="EX25" s="23">
        <v>0</v>
      </c>
      <c r="EY25" s="23">
        <v>12</v>
      </c>
      <c r="EZ25" s="23">
        <v>0</v>
      </c>
      <c r="FA25" s="23">
        <v>0</v>
      </c>
      <c r="FB25" s="23">
        <v>0</v>
      </c>
      <c r="FC25" s="23">
        <v>0</v>
      </c>
      <c r="FD25" s="23">
        <v>0</v>
      </c>
      <c r="FE25" s="23">
        <v>0</v>
      </c>
      <c r="FF25" s="23">
        <v>0</v>
      </c>
      <c r="FG25" s="23">
        <v>0</v>
      </c>
      <c r="FH25" s="23">
        <v>0</v>
      </c>
      <c r="FI25" s="23">
        <v>0</v>
      </c>
      <c r="FJ25" s="23">
        <v>0</v>
      </c>
      <c r="FK25" s="23">
        <v>1</v>
      </c>
      <c r="FL25" s="23">
        <v>0</v>
      </c>
      <c r="FM25" s="23">
        <v>0</v>
      </c>
      <c r="FN25" s="23">
        <v>0</v>
      </c>
      <c r="FO25" s="23">
        <v>0</v>
      </c>
      <c r="FP25" s="23">
        <v>0</v>
      </c>
      <c r="FQ25" s="23">
        <v>0</v>
      </c>
      <c r="FR25" s="23">
        <v>0</v>
      </c>
      <c r="FS25" s="23">
        <v>0</v>
      </c>
      <c r="FT25" s="23">
        <v>0</v>
      </c>
      <c r="FU25" s="23">
        <v>0</v>
      </c>
      <c r="FV25" s="23">
        <v>0</v>
      </c>
      <c r="FW25" s="23">
        <v>0</v>
      </c>
      <c r="FX25" s="23">
        <v>0</v>
      </c>
      <c r="FY25" s="23">
        <v>0</v>
      </c>
      <c r="FZ25" s="23">
        <v>0</v>
      </c>
      <c r="GA25" s="23">
        <v>0</v>
      </c>
      <c r="GB25" s="23">
        <v>2</v>
      </c>
      <c r="GC25" s="23">
        <v>0</v>
      </c>
      <c r="GD25" s="23">
        <v>0</v>
      </c>
      <c r="GE25" s="23">
        <v>0</v>
      </c>
      <c r="GF25" s="23">
        <v>0</v>
      </c>
      <c r="GG25" s="23">
        <v>2</v>
      </c>
      <c r="GH25" s="23">
        <v>0</v>
      </c>
      <c r="GI25" s="23">
        <v>0</v>
      </c>
      <c r="GJ25" s="23">
        <v>0</v>
      </c>
      <c r="GK25" s="23">
        <v>0</v>
      </c>
      <c r="GL25" s="23">
        <v>0</v>
      </c>
      <c r="GM25" s="23">
        <v>0</v>
      </c>
      <c r="GN25" s="23">
        <v>0</v>
      </c>
      <c r="GO25" s="23">
        <v>0</v>
      </c>
      <c r="GP25" s="23">
        <v>28</v>
      </c>
      <c r="GQ25" s="23">
        <v>0</v>
      </c>
      <c r="GR25" s="23">
        <v>0</v>
      </c>
      <c r="GS25" s="23">
        <v>0</v>
      </c>
      <c r="GT25" s="23">
        <v>0</v>
      </c>
      <c r="GU25" s="23">
        <v>1</v>
      </c>
      <c r="GV25" s="23">
        <v>1</v>
      </c>
      <c r="GW25" s="23">
        <v>0</v>
      </c>
      <c r="GX25" s="23">
        <v>0</v>
      </c>
      <c r="GY25" s="23">
        <v>1</v>
      </c>
      <c r="GZ25" s="23">
        <v>0</v>
      </c>
      <c r="HA25" s="23">
        <v>16</v>
      </c>
      <c r="HB25" s="23">
        <v>0</v>
      </c>
      <c r="HC25" s="23">
        <v>25</v>
      </c>
      <c r="HD25" s="23">
        <v>0</v>
      </c>
      <c r="HE25" s="23">
        <v>0</v>
      </c>
      <c r="HF25" s="23">
        <v>0</v>
      </c>
      <c r="HG25" s="23">
        <v>0</v>
      </c>
      <c r="HH25" s="23">
        <v>0</v>
      </c>
      <c r="HI25" s="23">
        <v>0</v>
      </c>
      <c r="HJ25" s="23">
        <v>5</v>
      </c>
      <c r="HK25" s="23">
        <v>0</v>
      </c>
      <c r="HL25" s="23">
        <v>0</v>
      </c>
      <c r="HM25" s="23">
        <v>0</v>
      </c>
      <c r="HN25" s="23">
        <v>0</v>
      </c>
      <c r="HO25" s="23">
        <v>0</v>
      </c>
      <c r="HP25" s="23">
        <v>0</v>
      </c>
      <c r="HQ25" s="23">
        <v>2</v>
      </c>
      <c r="HR25" s="23">
        <v>0</v>
      </c>
      <c r="HS25" s="23">
        <v>11</v>
      </c>
      <c r="HT25" s="23">
        <v>0</v>
      </c>
      <c r="HU25" s="23">
        <v>0</v>
      </c>
      <c r="HV25" s="23">
        <v>10</v>
      </c>
      <c r="HW25" s="23">
        <v>0</v>
      </c>
      <c r="HX25" s="23">
        <v>0</v>
      </c>
      <c r="HY25" s="23">
        <v>0</v>
      </c>
      <c r="HZ25" s="23">
        <v>0</v>
      </c>
      <c r="IA25" s="23">
        <v>0</v>
      </c>
      <c r="IB25" s="23">
        <v>0</v>
      </c>
      <c r="IC25" s="23">
        <v>0</v>
      </c>
      <c r="ID25" s="23">
        <v>0</v>
      </c>
      <c r="IE25" s="23">
        <v>0</v>
      </c>
      <c r="IF25" s="23">
        <v>0</v>
      </c>
      <c r="IG25" s="23">
        <v>0</v>
      </c>
      <c r="IH25" s="23">
        <v>0</v>
      </c>
      <c r="II25" s="23">
        <v>0</v>
      </c>
      <c r="IJ25" s="23">
        <v>0</v>
      </c>
      <c r="IK25" s="23">
        <v>0</v>
      </c>
      <c r="IL25" s="23">
        <v>0</v>
      </c>
      <c r="IM25" s="23">
        <v>0</v>
      </c>
      <c r="IN25" s="23">
        <v>0</v>
      </c>
      <c r="IO25" s="23">
        <v>0</v>
      </c>
      <c r="IP25" s="23">
        <v>0</v>
      </c>
      <c r="IQ25" s="23">
        <v>0</v>
      </c>
      <c r="IR25" s="23">
        <v>0</v>
      </c>
      <c r="IS25" s="23">
        <v>0</v>
      </c>
      <c r="IT25" s="23">
        <v>0</v>
      </c>
      <c r="IU25" s="23">
        <v>0</v>
      </c>
      <c r="IV25" s="23">
        <v>0</v>
      </c>
      <c r="IW25" s="23">
        <v>0</v>
      </c>
      <c r="IX25" s="23">
        <v>0</v>
      </c>
      <c r="IY25" s="23">
        <v>0</v>
      </c>
      <c r="IZ25" s="23">
        <v>0</v>
      </c>
      <c r="JA25" s="23">
        <v>0</v>
      </c>
      <c r="JB25" s="23">
        <v>0</v>
      </c>
      <c r="JC25" s="23">
        <v>0</v>
      </c>
      <c r="JD25" s="23">
        <v>0</v>
      </c>
      <c r="JE25" s="23">
        <v>0</v>
      </c>
      <c r="JF25" s="23">
        <v>0</v>
      </c>
      <c r="JG25" s="23">
        <v>0</v>
      </c>
      <c r="JH25" s="23">
        <v>0</v>
      </c>
      <c r="JI25" s="23">
        <v>0</v>
      </c>
      <c r="JJ25" s="23">
        <v>0</v>
      </c>
      <c r="JK25" s="23">
        <v>0</v>
      </c>
      <c r="JL25" s="23">
        <v>0</v>
      </c>
      <c r="JM25" s="23">
        <v>0</v>
      </c>
      <c r="JN25" s="23">
        <v>0</v>
      </c>
      <c r="JO25" s="23">
        <v>1</v>
      </c>
      <c r="JP25" s="23">
        <v>0</v>
      </c>
      <c r="JQ25" s="23">
        <v>6</v>
      </c>
      <c r="JR25" s="23">
        <v>0</v>
      </c>
      <c r="JS25" s="23">
        <v>0</v>
      </c>
      <c r="JT25" s="23">
        <v>0</v>
      </c>
      <c r="JU25" s="23">
        <v>0</v>
      </c>
      <c r="JV25" s="23">
        <v>0</v>
      </c>
      <c r="JW25" s="23">
        <v>0</v>
      </c>
      <c r="JX25" s="23">
        <v>0</v>
      </c>
      <c r="JY25" s="23">
        <v>0</v>
      </c>
      <c r="JZ25" s="23">
        <v>2</v>
      </c>
      <c r="KA25" s="23">
        <v>0</v>
      </c>
      <c r="KB25" s="23">
        <v>0</v>
      </c>
      <c r="KC25" s="23">
        <v>0</v>
      </c>
      <c r="KD25" s="23">
        <v>0</v>
      </c>
      <c r="KE25" s="23">
        <v>0</v>
      </c>
      <c r="KF25" s="23">
        <v>0</v>
      </c>
      <c r="KG25" s="23">
        <v>0</v>
      </c>
      <c r="KH25" s="23">
        <v>1</v>
      </c>
      <c r="KI25" s="23">
        <v>0</v>
      </c>
      <c r="KJ25" s="23">
        <v>0</v>
      </c>
      <c r="KK25" s="23">
        <v>0</v>
      </c>
      <c r="KL25" s="23">
        <v>0</v>
      </c>
      <c r="KM25" s="23">
        <v>0</v>
      </c>
      <c r="KN25" s="23">
        <v>0</v>
      </c>
      <c r="KO25" s="23">
        <v>0</v>
      </c>
      <c r="KP25" s="23">
        <v>0</v>
      </c>
      <c r="KQ25" s="23">
        <v>0</v>
      </c>
      <c r="KR25" s="23">
        <v>0</v>
      </c>
      <c r="KS25" s="23">
        <v>0</v>
      </c>
      <c r="KT25" s="23">
        <v>0</v>
      </c>
      <c r="KU25" s="23">
        <v>0</v>
      </c>
      <c r="KV25" s="23">
        <v>0</v>
      </c>
      <c r="KW25" s="23">
        <v>0</v>
      </c>
      <c r="KX25" s="23">
        <v>0</v>
      </c>
      <c r="KY25" s="23">
        <v>0</v>
      </c>
      <c r="KZ25" s="23">
        <v>0</v>
      </c>
      <c r="LA25" s="23">
        <v>0</v>
      </c>
      <c r="LB25" s="23">
        <v>0</v>
      </c>
      <c r="LC25" s="23">
        <v>0</v>
      </c>
      <c r="LD25" s="23">
        <v>0</v>
      </c>
      <c r="LE25" s="23">
        <v>0</v>
      </c>
      <c r="LF25" s="23">
        <v>0</v>
      </c>
      <c r="LG25" s="23">
        <v>0</v>
      </c>
      <c r="LH25" s="23">
        <v>1</v>
      </c>
      <c r="LI25" s="23">
        <v>0</v>
      </c>
      <c r="LJ25" s="23">
        <v>0</v>
      </c>
      <c r="LK25" s="23">
        <v>0</v>
      </c>
      <c r="LL25" s="23">
        <v>0</v>
      </c>
      <c r="LM25" s="23">
        <v>0</v>
      </c>
      <c r="LN25" s="278">
        <f ca="1">$A25 - TST!Sweden100dt + 1</f>
        <v>-29</v>
      </c>
      <c r="LO25" s="20">
        <f ca="1">INDEX(OFFSET(TST!HeadRow,ROW()-ROW(TST!HeadRow),0,1,COLUMNS(TST!HeadRow)),1,MATCH(LO$5,TST!HeadRow,0))/LO$8</f>
        <v>0.97751710654936474</v>
      </c>
      <c r="LP25" s="278">
        <f ca="1">$A25 - TST!Spain100dt + 1</f>
        <v>-29</v>
      </c>
      <c r="LQ25" s="20">
        <f ca="1">INDEX(OFFSET(TST!HeadRow,ROW()-ROW(TST!HeadRow),0,1,COLUMNS(TST!HeadRow)),1,MATCH(LQ$5,TST!HeadRow,0))/LQ$8</f>
        <v>0.21303792074989347</v>
      </c>
      <c r="LR25" s="285">
        <f ca="1">$A25 - TST!Victoria100dt + 1</f>
        <v>-38</v>
      </c>
      <c r="LS25" s="20">
        <f ca="1">INDEX(OFFSET(TST!HeadRow,ROW()-ROW(TST!HeadRow),0,1,COLUMNS(TST!HeadRow)),1,MATCH(LS$5,TST!HeadRow,0))/LS$8</f>
        <v>6.0340926233217678</v>
      </c>
      <c r="LT25" s="278">
        <f ca="1">$A25 - TST!Iran100dt + 1</f>
        <v>-23</v>
      </c>
      <c r="LU25" s="20">
        <f ca="1">INDEX(OFFSET(TST!HeadRow,ROW()-ROW(TST!HeadRow),0,1,COLUMNS(TST!HeadRow)),1,MATCH(LU$5,TST!HeadRow,0))/LU$8</f>
        <v>0</v>
      </c>
      <c r="LV25" s="278">
        <f ca="1">$A25 - TST!Japan100dt + 1</f>
        <v>-47</v>
      </c>
      <c r="LW25" s="20">
        <f ca="1">INDEX(OFFSET(TST!HeadRow,ROW()-ROW(TST!HeadRow),0,1,COLUMNS(TST!HeadRow)),1,MATCH(LW$5,TST!HeadRow,0))/LW$8</f>
        <v>1.738385567486842</v>
      </c>
      <c r="LX25" s="278">
        <f ca="1">$A25 - TST!Queensland100dt + 1</f>
        <v>-37</v>
      </c>
      <c r="LY25" s="20">
        <f ca="1">INDEX(OFFSET(TST!HeadRow,ROW()-ROW(TST!HeadRow),0,1,COLUMNS(TST!HeadRow)),1,MATCH(LY$5,TST!HeadRow,0))/LY$8</f>
        <v>7.8194473957428192</v>
      </c>
      <c r="LZ25" s="278">
        <f ca="1">$A25 - TST!Tasmania100dt + 1</f>
        <v>-37</v>
      </c>
      <c r="MA25" s="20">
        <f ca="1">INDEX(OFFSET(TST!HeadRow,ROW()-ROW(TST!HeadRow),0,1,COLUMNS(TST!HeadRow)),1,MATCH(MA$5,TST!HeadRow,0))/MA$8</f>
        <v>0</v>
      </c>
      <c r="MB25" s="278">
        <f ca="1">$A25 - TST!SouthAustralia100dt + 1</f>
        <v>-36</v>
      </c>
      <c r="MC25" s="20">
        <f ca="1">INDEX(OFFSET(TST!HeadRow,ROW()-ROW(TST!HeadRow),0,1,COLUMNS(TST!HeadRow)),1,MATCH(MC$5,TST!HeadRow,0))/MC$8</f>
        <v>11.976047904191615</v>
      </c>
      <c r="MD25" s="278">
        <f ca="1">$A25 - TST!AustralianCapitalTerritory100dt + 1</f>
        <v>-42</v>
      </c>
      <c r="ME25" s="20">
        <f ca="1">INDEX(OFFSET(TST!HeadRow,ROW()-ROW(TST!HeadRow),0,1,COLUMNS(TST!HeadRow)),1,MATCH(ME$5,TST!HeadRow,0))/ME$8</f>
        <v>0</v>
      </c>
      <c r="MF25" s="278">
        <f ca="1">$A25 - TST!NorthernTerritory100dt + 1</f>
        <v>-42</v>
      </c>
      <c r="MG25" s="20">
        <f ca="1">INDEX(OFFSET(TST!HeadRow,ROW()-ROW(TST!HeadRow),0,1,COLUMNS(TST!HeadRow)),1,MATCH(MG$5,TST!HeadRow,0))/MG$8</f>
        <v>0</v>
      </c>
      <c r="MH25" s="278">
        <f ca="1">$A25 - TST!WesternAustralia100dt + 1</f>
        <v>-38</v>
      </c>
      <c r="MI25" s="20">
        <f ca="1">INDEX(OFFSET(TST!HeadRow,ROW()-ROW(TST!HeadRow),0,1,COLUMNS(TST!HeadRow)),1,MATCH(MI$5,TST!HeadRow,0))/MI$8</f>
        <v>0</v>
      </c>
      <c r="MJ25" s="278">
        <f ca="1">$A25 - TST!Germany100dt + 1</f>
        <v>-30</v>
      </c>
      <c r="MK25" s="20">
        <f ca="1">INDEX(OFFSET(TST!HeadRow,ROW()-ROW(TST!HeadRow),0,1,COLUMNS(TST!HeadRow)),1,MATCH(MK$5,TST!HeadRow,0))/MK$8</f>
        <v>1.4454348349795232</v>
      </c>
      <c r="ML25" s="278">
        <f ca="1">$A25 - TST!Denmark100dt + 1</f>
        <v>-31</v>
      </c>
      <c r="MM25" s="20">
        <f ca="1">INDEX(OFFSET(TST!HeadRow,ROW()-ROW(TST!HeadRow),0,1,COLUMNS(TST!HeadRow)),1,MATCH(MM$5,TST!HeadRow,0))/MM$8</f>
        <v>0</v>
      </c>
      <c r="MN25" s="278">
        <f ca="1">$A25 - TST!SouthAfrica100dt + 1</f>
        <v>-47</v>
      </c>
      <c r="MO25" s="20">
        <f ca="1">INDEX(OFFSET(TST!HeadRow,ROW()-ROW(TST!HeadRow),0,1,COLUMNS(TST!HeadRow)),1,MATCH(MO$5,TST!HeadRow,0))/MO$8</f>
        <v>0</v>
      </c>
      <c r="MP25" s="278">
        <f ca="1">$A25 - TST!UnitedKingdom100dt + 1</f>
        <v>-35</v>
      </c>
      <c r="MQ25" s="20">
        <f ca="1">INDEX(OFFSET(TST!HeadRow,ROW()-ROW(TST!HeadRow),0,1,COLUMNS(TST!HeadRow)),1,MATCH(MQ$5,TST!HeadRow,0))/MQ$8</f>
        <v>0.30102347983142685</v>
      </c>
      <c r="MR25" s="278">
        <f ca="1">$A25 - TST!Ireland100dt + 1</f>
        <v>-35</v>
      </c>
      <c r="MS25" s="20">
        <f ca="1">INDEX(OFFSET(TST!HeadRow,ROW()-ROW(TST!HeadRow),0,1,COLUMNS(TST!HeadRow)),1,MATCH(MS$5,TST!HeadRow,0))/MS$8</f>
        <v>0</v>
      </c>
      <c r="MT25" s="278">
        <f ca="1">$A25 - TST!Italy100dt + 1</f>
        <v>-20</v>
      </c>
      <c r="MU25" s="20">
        <f ca="1">INDEX(OFFSET(TST!HeadRow,ROW()-ROW(TST!HeadRow),0,1,COLUMNS(TST!HeadRow)),1,MATCH(MU$5,TST!HeadRow,0))/MU$8</f>
        <v>0.33066049433743905</v>
      </c>
      <c r="MV25" s="278">
        <f ca="1">$A25 - TST!US100dt + 1</f>
        <v>-37</v>
      </c>
      <c r="MW25" s="20">
        <f ca="1">INDEX(OFFSET(TST!HeadRow,ROW()-ROW(TST!HeadRow),0,1,COLUMNS(TST!HeadRow)),1,MATCH(MW$5,TST!HeadRow,0))/MW$8</f>
        <v>0.33411521761595392</v>
      </c>
      <c r="MX25" s="278">
        <f ca="1">$A25 - TST!AustraliaSum100dt + 1</f>
        <v>-37</v>
      </c>
      <c r="MY25" s="366">
        <f t="shared" si="7"/>
        <v>5.5196341271092884</v>
      </c>
      <c r="MZ25" s="278">
        <f ca="1">$A25 - TST!NewSouthWales100dt + 1</f>
        <v>-35</v>
      </c>
      <c r="NA25" s="366">
        <f ca="1">INDEX(OFFSET(TST!HeadRow,ROW()-ROW(TST!HeadRow),0,1,COLUMNS(TST!HeadRow)),1,MATCH(NA$5,TST!HeadRow,0))/NA$8</f>
        <v>4.9504950495049505</v>
      </c>
      <c r="NB25" s="278">
        <f ca="1">$A25 - TST!Taiwan100dt + 1</f>
        <v>-48</v>
      </c>
      <c r="NC25" s="366">
        <f ca="1">INDEX(OFFSET(TST!HeadRow,ROW()-ROW(TST!HeadRow),0,1,COLUMNS(TST!HeadRow)),1,MATCH(NC$5,TST!HeadRow,0))/NC$8</f>
        <v>6.7206327879007777</v>
      </c>
      <c r="ND25" s="20">
        <f ca="1">$A25 - TST!Hubei100dt + 1</f>
        <v>13</v>
      </c>
      <c r="NE25" s="20">
        <f ca="1">INDEX(OFFSET(TST!HeadRow,ROW()-ROW(TST!HeadRow),0,1,COLUMNS(TST!HeadRow)),1,MATCH(NE$5,TST!HeadRow,0))/NE$8</f>
        <v>3779.82905982906</v>
      </c>
      <c r="NF25" s="20">
        <f ca="1">$A25 - TST!HongKong100dt + 1</f>
        <v>-17</v>
      </c>
      <c r="NG25" s="20">
        <f ca="1">INDEX(OFFSET(TST!HeadRow,ROW()-ROW(TST!HeadRow),0,1,COLUMNS(TST!HeadRow)),1,MATCH(NG$5,TST!HeadRow,0))/NG$8</f>
        <v>32.2104415514696</v>
      </c>
    </row>
    <row r="26" spans="1:371" x14ac:dyDescent="0.25">
      <c r="A26" s="243">
        <v>43868</v>
      </c>
      <c r="B26" s="23">
        <v>0</v>
      </c>
      <c r="C26" s="23">
        <v>0</v>
      </c>
      <c r="D26" s="23">
        <v>0</v>
      </c>
      <c r="E26" s="23">
        <v>0</v>
      </c>
      <c r="F26" s="23">
        <v>0</v>
      </c>
      <c r="G26" s="23">
        <v>0</v>
      </c>
      <c r="H26" s="23">
        <v>0</v>
      </c>
      <c r="I26" s="23">
        <v>0</v>
      </c>
      <c r="J26" s="23">
        <v>0</v>
      </c>
      <c r="K26" s="293">
        <v>4</v>
      </c>
      <c r="L26" s="23">
        <v>0</v>
      </c>
      <c r="M26" s="290">
        <v>5</v>
      </c>
      <c r="N26" s="23">
        <v>2</v>
      </c>
      <c r="O26" s="384">
        <v>0</v>
      </c>
      <c r="P26" s="287">
        <v>4</v>
      </c>
      <c r="Q26" s="23">
        <v>0</v>
      </c>
      <c r="R26" s="23">
        <v>0</v>
      </c>
      <c r="S26" s="23">
        <v>0</v>
      </c>
      <c r="T26" s="23">
        <v>0</v>
      </c>
      <c r="U26" s="23">
        <v>0</v>
      </c>
      <c r="V26" s="23">
        <v>0</v>
      </c>
      <c r="W26" s="23">
        <v>0</v>
      </c>
      <c r="X26" s="23">
        <v>0</v>
      </c>
      <c r="Y26" s="23">
        <v>1</v>
      </c>
      <c r="Z26" s="23">
        <v>0</v>
      </c>
      <c r="AA26" s="23">
        <v>0</v>
      </c>
      <c r="AB26" s="23">
        <v>0</v>
      </c>
      <c r="AC26" s="23">
        <v>0</v>
      </c>
      <c r="AD26" s="23">
        <v>0</v>
      </c>
      <c r="AE26" s="23">
        <v>0</v>
      </c>
      <c r="AF26" s="23">
        <v>0</v>
      </c>
      <c r="AG26" s="23">
        <v>0</v>
      </c>
      <c r="AH26" s="23">
        <v>0</v>
      </c>
      <c r="AI26" s="23">
        <v>1</v>
      </c>
      <c r="AJ26" s="23">
        <v>0</v>
      </c>
      <c r="AK26" s="23">
        <v>0</v>
      </c>
      <c r="AL26" s="23">
        <v>4</v>
      </c>
      <c r="AM26" s="23">
        <v>0</v>
      </c>
      <c r="AN26" s="23">
        <v>0</v>
      </c>
      <c r="AO26" s="23">
        <v>0</v>
      </c>
      <c r="AP26" s="23">
        <v>0</v>
      </c>
      <c r="AQ26" s="23">
        <v>0</v>
      </c>
      <c r="AR26" s="23">
        <v>3</v>
      </c>
      <c r="AS26" s="23">
        <v>0</v>
      </c>
      <c r="AT26" s="23">
        <v>0</v>
      </c>
      <c r="AU26" s="23">
        <v>0</v>
      </c>
      <c r="AV26" s="23">
        <v>0</v>
      </c>
      <c r="AW26" s="23">
        <v>0</v>
      </c>
      <c r="AX26" s="23">
        <v>0</v>
      </c>
      <c r="AY26" s="23">
        <v>665</v>
      </c>
      <c r="AZ26" s="23">
        <v>297</v>
      </c>
      <c r="BA26" s="23">
        <v>426</v>
      </c>
      <c r="BB26" s="23">
        <v>224</v>
      </c>
      <c r="BC26" s="23">
        <v>67</v>
      </c>
      <c r="BD26" s="23">
        <v>1034</v>
      </c>
      <c r="BE26" s="23">
        <v>172</v>
      </c>
      <c r="BF26" s="23">
        <v>81</v>
      </c>
      <c r="BG26" s="23">
        <v>117</v>
      </c>
      <c r="BH26" s="23">
        <v>172</v>
      </c>
      <c r="BI26" s="23">
        <v>277</v>
      </c>
      <c r="BJ26" s="23">
        <v>914</v>
      </c>
      <c r="BK26" s="23">
        <v>25</v>
      </c>
      <c r="BL26" s="23">
        <v>24953</v>
      </c>
      <c r="BM26" s="23">
        <v>772</v>
      </c>
      <c r="BN26" s="23">
        <v>50</v>
      </c>
      <c r="BO26" s="23">
        <v>408</v>
      </c>
      <c r="BP26" s="23">
        <v>661</v>
      </c>
      <c r="BQ26" s="23">
        <v>65</v>
      </c>
      <c r="BR26" s="23">
        <v>99</v>
      </c>
      <c r="BS26" s="23">
        <v>10</v>
      </c>
      <c r="BT26" s="23">
        <v>43</v>
      </c>
      <c r="BU26" s="23">
        <v>18</v>
      </c>
      <c r="BV26" s="23">
        <v>184</v>
      </c>
      <c r="BW26" s="23">
        <v>386</v>
      </c>
      <c r="BX26" s="23">
        <v>277</v>
      </c>
      <c r="BY26" s="23">
        <v>104</v>
      </c>
      <c r="BZ26" s="23">
        <v>344</v>
      </c>
      <c r="CA26" s="23">
        <v>81</v>
      </c>
      <c r="CB26" s="23">
        <v>1</v>
      </c>
      <c r="CC26" s="23">
        <v>39</v>
      </c>
      <c r="CD26" s="23">
        <v>138</v>
      </c>
      <c r="CE26" s="23">
        <v>1006</v>
      </c>
      <c r="CF26" s="23">
        <v>0</v>
      </c>
      <c r="CG26" s="23">
        <v>0</v>
      </c>
      <c r="CH26" s="23">
        <v>0</v>
      </c>
      <c r="CI26" s="23">
        <v>0</v>
      </c>
      <c r="CJ26" s="23">
        <v>0</v>
      </c>
      <c r="CK26" s="23">
        <v>0</v>
      </c>
      <c r="CL26" s="23">
        <v>61</v>
      </c>
      <c r="CM26" s="23">
        <v>0</v>
      </c>
      <c r="CN26" s="23">
        <v>0</v>
      </c>
      <c r="CO26" s="23">
        <v>0</v>
      </c>
      <c r="CP26" s="23">
        <v>0</v>
      </c>
      <c r="CQ26" s="23">
        <v>0</v>
      </c>
      <c r="CR26" s="23">
        <v>0</v>
      </c>
      <c r="CS26" s="23">
        <v>0</v>
      </c>
      <c r="CT26" s="23">
        <v>0</v>
      </c>
      <c r="CU26" s="23">
        <v>0</v>
      </c>
      <c r="CV26" s="23">
        <v>0</v>
      </c>
      <c r="CW26" s="23">
        <v>0</v>
      </c>
      <c r="CX26" s="23">
        <v>0</v>
      </c>
      <c r="CY26" s="23">
        <v>0</v>
      </c>
      <c r="CZ26" s="23">
        <v>0</v>
      </c>
      <c r="DA26" s="23">
        <v>0</v>
      </c>
      <c r="DB26" s="23">
        <v>0</v>
      </c>
      <c r="DC26" s="23">
        <v>0</v>
      </c>
      <c r="DD26" s="23">
        <v>1</v>
      </c>
      <c r="DE26" s="23">
        <v>0</v>
      </c>
      <c r="DF26" s="23">
        <v>0</v>
      </c>
      <c r="DG26" s="23">
        <v>0</v>
      </c>
      <c r="DH26" s="23">
        <v>0</v>
      </c>
      <c r="DI26" s="23">
        <v>0</v>
      </c>
      <c r="DJ26" s="23">
        <v>0</v>
      </c>
      <c r="DK26" s="23">
        <v>0</v>
      </c>
      <c r="DL26" s="23">
        <v>0</v>
      </c>
      <c r="DM26" s="23">
        <v>0</v>
      </c>
      <c r="DN26" s="23">
        <v>6</v>
      </c>
      <c r="DO26" s="23">
        <v>0</v>
      </c>
      <c r="DP26" s="23">
        <v>0</v>
      </c>
      <c r="DQ26" s="23">
        <v>0</v>
      </c>
      <c r="DR26" s="23">
        <v>13</v>
      </c>
      <c r="DS26" s="23">
        <v>0</v>
      </c>
      <c r="DT26" s="23">
        <v>0</v>
      </c>
      <c r="DU26" s="23">
        <v>0</v>
      </c>
      <c r="DV26" s="23">
        <v>0</v>
      </c>
      <c r="DW26" s="23">
        <v>0</v>
      </c>
      <c r="DX26" s="23">
        <v>0</v>
      </c>
      <c r="DY26" s="23">
        <v>0</v>
      </c>
      <c r="DZ26" s="23">
        <v>0</v>
      </c>
      <c r="EA26" s="23">
        <v>0</v>
      </c>
      <c r="EB26" s="23">
        <v>0</v>
      </c>
      <c r="EC26" s="23">
        <v>3</v>
      </c>
      <c r="ED26" s="23">
        <v>0</v>
      </c>
      <c r="EE26" s="23">
        <v>0</v>
      </c>
      <c r="EF26" s="23">
        <v>0</v>
      </c>
      <c r="EG26" s="23">
        <v>0</v>
      </c>
      <c r="EH26" s="23">
        <v>0</v>
      </c>
      <c r="EI26" s="23">
        <v>3</v>
      </c>
      <c r="EJ26" s="23">
        <v>0</v>
      </c>
      <c r="EK26" s="23">
        <v>25</v>
      </c>
      <c r="EL26" s="23">
        <v>0</v>
      </c>
      <c r="EM26" s="23">
        <v>0</v>
      </c>
      <c r="EN26" s="23">
        <v>0</v>
      </c>
      <c r="EO26" s="23">
        <v>24</v>
      </c>
      <c r="EP26" s="23">
        <v>0</v>
      </c>
      <c r="EQ26" s="23">
        <v>0</v>
      </c>
      <c r="ER26" s="23">
        <v>0</v>
      </c>
      <c r="ES26" s="23">
        <v>0</v>
      </c>
      <c r="ET26" s="23">
        <v>0</v>
      </c>
      <c r="EU26" s="23">
        <v>0</v>
      </c>
      <c r="EV26" s="23">
        <v>0</v>
      </c>
      <c r="EW26" s="23">
        <v>0</v>
      </c>
      <c r="EX26" s="23">
        <v>0</v>
      </c>
      <c r="EY26" s="23">
        <v>12</v>
      </c>
      <c r="EZ26" s="23">
        <v>0</v>
      </c>
      <c r="FA26" s="23">
        <v>0</v>
      </c>
      <c r="FB26" s="23">
        <v>0</v>
      </c>
      <c r="FC26" s="23">
        <v>0</v>
      </c>
      <c r="FD26" s="23">
        <v>0</v>
      </c>
      <c r="FE26" s="23">
        <v>0</v>
      </c>
      <c r="FF26" s="23">
        <v>0</v>
      </c>
      <c r="FG26" s="23">
        <v>0</v>
      </c>
      <c r="FH26" s="23">
        <v>0</v>
      </c>
      <c r="FI26" s="23">
        <v>0</v>
      </c>
      <c r="FJ26" s="23">
        <v>0</v>
      </c>
      <c r="FK26" s="23">
        <v>1</v>
      </c>
      <c r="FL26" s="23">
        <v>0</v>
      </c>
      <c r="FM26" s="23">
        <v>0</v>
      </c>
      <c r="FN26" s="23">
        <v>0</v>
      </c>
      <c r="FO26" s="23">
        <v>0</v>
      </c>
      <c r="FP26" s="23">
        <v>0</v>
      </c>
      <c r="FQ26" s="23">
        <v>0</v>
      </c>
      <c r="FR26" s="23">
        <v>0</v>
      </c>
      <c r="FS26" s="23">
        <v>0</v>
      </c>
      <c r="FT26" s="23">
        <v>0</v>
      </c>
      <c r="FU26" s="23">
        <v>0</v>
      </c>
      <c r="FV26" s="23">
        <v>0</v>
      </c>
      <c r="FW26" s="23">
        <v>0</v>
      </c>
      <c r="FX26" s="23">
        <v>0</v>
      </c>
      <c r="FY26" s="23">
        <v>0</v>
      </c>
      <c r="FZ26" s="23">
        <v>0</v>
      </c>
      <c r="GA26" s="23">
        <v>0</v>
      </c>
      <c r="GB26" s="23">
        <v>3</v>
      </c>
      <c r="GC26" s="23">
        <v>0</v>
      </c>
      <c r="GD26" s="23">
        <v>0</v>
      </c>
      <c r="GE26" s="23">
        <v>0</v>
      </c>
      <c r="GF26" s="23">
        <v>0</v>
      </c>
      <c r="GG26" s="23">
        <v>2</v>
      </c>
      <c r="GH26" s="23">
        <v>0</v>
      </c>
      <c r="GI26" s="23">
        <v>0</v>
      </c>
      <c r="GJ26" s="23">
        <v>0</v>
      </c>
      <c r="GK26" s="23">
        <v>0</v>
      </c>
      <c r="GL26" s="23">
        <v>0</v>
      </c>
      <c r="GM26" s="23">
        <v>0</v>
      </c>
      <c r="GN26" s="23">
        <v>0</v>
      </c>
      <c r="GO26" s="23">
        <v>0</v>
      </c>
      <c r="GP26" s="23">
        <v>30</v>
      </c>
      <c r="GQ26" s="23">
        <v>0</v>
      </c>
      <c r="GR26" s="23">
        <v>0</v>
      </c>
      <c r="GS26" s="23">
        <v>0</v>
      </c>
      <c r="GT26" s="23">
        <v>0</v>
      </c>
      <c r="GU26" s="23">
        <v>1</v>
      </c>
      <c r="GV26" s="23">
        <v>1</v>
      </c>
      <c r="GW26" s="23">
        <v>0</v>
      </c>
      <c r="GX26" s="23">
        <v>0</v>
      </c>
      <c r="GY26" s="23">
        <v>1</v>
      </c>
      <c r="GZ26" s="23">
        <v>0</v>
      </c>
      <c r="HA26" s="23">
        <v>16</v>
      </c>
      <c r="HB26" s="23">
        <v>0</v>
      </c>
      <c r="HC26" s="23">
        <v>25</v>
      </c>
      <c r="HD26" s="23">
        <v>0</v>
      </c>
      <c r="HE26" s="23">
        <v>0</v>
      </c>
      <c r="HF26" s="23">
        <v>0</v>
      </c>
      <c r="HG26" s="23">
        <v>0</v>
      </c>
      <c r="HH26" s="23">
        <v>0</v>
      </c>
      <c r="HI26" s="23">
        <v>0</v>
      </c>
      <c r="HJ26" s="23">
        <v>5</v>
      </c>
      <c r="HK26" s="23">
        <v>0</v>
      </c>
      <c r="HL26" s="23">
        <v>0</v>
      </c>
      <c r="HM26" s="23">
        <v>0</v>
      </c>
      <c r="HN26" s="23">
        <v>0</v>
      </c>
      <c r="HO26" s="23">
        <v>0</v>
      </c>
      <c r="HP26" s="23">
        <v>0</v>
      </c>
      <c r="HQ26" s="23">
        <v>3</v>
      </c>
      <c r="HR26" s="23">
        <v>0</v>
      </c>
      <c r="HS26" s="23">
        <v>11</v>
      </c>
      <c r="HT26" s="23">
        <v>0</v>
      </c>
      <c r="HU26" s="23">
        <v>0</v>
      </c>
      <c r="HV26" s="23">
        <v>10</v>
      </c>
      <c r="HW26" s="23">
        <v>0</v>
      </c>
      <c r="HX26" s="23">
        <v>0</v>
      </c>
      <c r="HY26" s="23">
        <v>0</v>
      </c>
      <c r="HZ26" s="23">
        <v>0</v>
      </c>
      <c r="IA26" s="23">
        <v>0</v>
      </c>
      <c r="IB26" s="23">
        <v>0</v>
      </c>
      <c r="IC26" s="23">
        <v>0</v>
      </c>
      <c r="ID26" s="23">
        <v>0</v>
      </c>
      <c r="IE26" s="23">
        <v>0</v>
      </c>
      <c r="IF26" s="23">
        <v>0</v>
      </c>
      <c r="IG26" s="23">
        <v>0</v>
      </c>
      <c r="IH26" s="23">
        <v>0</v>
      </c>
      <c r="II26" s="23">
        <v>0</v>
      </c>
      <c r="IJ26" s="23">
        <v>0</v>
      </c>
      <c r="IK26" s="23">
        <v>0</v>
      </c>
      <c r="IL26" s="23">
        <v>0</v>
      </c>
      <c r="IM26" s="23">
        <v>0</v>
      </c>
      <c r="IN26" s="23">
        <v>0</v>
      </c>
      <c r="IO26" s="23">
        <v>0</v>
      </c>
      <c r="IP26" s="23">
        <v>0</v>
      </c>
      <c r="IQ26" s="23">
        <v>0</v>
      </c>
      <c r="IR26" s="23">
        <v>0</v>
      </c>
      <c r="IS26" s="23">
        <v>0</v>
      </c>
      <c r="IT26" s="23">
        <v>0</v>
      </c>
      <c r="IU26" s="23">
        <v>0</v>
      </c>
      <c r="IV26" s="23">
        <v>0</v>
      </c>
      <c r="IW26" s="23">
        <v>0</v>
      </c>
      <c r="IX26" s="23">
        <v>0</v>
      </c>
      <c r="IY26" s="23">
        <v>0</v>
      </c>
      <c r="IZ26" s="23">
        <v>0</v>
      </c>
      <c r="JA26" s="23">
        <v>0</v>
      </c>
      <c r="JB26" s="23">
        <v>0</v>
      </c>
      <c r="JC26" s="23">
        <v>0</v>
      </c>
      <c r="JD26" s="23">
        <v>0</v>
      </c>
      <c r="JE26" s="23">
        <v>0</v>
      </c>
      <c r="JF26" s="23">
        <v>0</v>
      </c>
      <c r="JG26" s="23">
        <v>0</v>
      </c>
      <c r="JH26" s="23">
        <v>0</v>
      </c>
      <c r="JI26" s="23">
        <v>0</v>
      </c>
      <c r="JJ26" s="23">
        <v>0</v>
      </c>
      <c r="JK26" s="23">
        <v>0</v>
      </c>
      <c r="JL26" s="23">
        <v>0</v>
      </c>
      <c r="JM26" s="23">
        <v>0</v>
      </c>
      <c r="JN26" s="23">
        <v>0</v>
      </c>
      <c r="JO26" s="23">
        <v>1</v>
      </c>
      <c r="JP26" s="23">
        <v>0</v>
      </c>
      <c r="JQ26" s="23">
        <v>6</v>
      </c>
      <c r="JR26" s="23">
        <v>0</v>
      </c>
      <c r="JS26" s="23">
        <v>0</v>
      </c>
      <c r="JT26" s="23">
        <v>0</v>
      </c>
      <c r="JU26" s="23">
        <v>0</v>
      </c>
      <c r="JV26" s="23">
        <v>0</v>
      </c>
      <c r="JW26" s="23">
        <v>0</v>
      </c>
      <c r="JX26" s="23">
        <v>0</v>
      </c>
      <c r="JY26" s="23">
        <v>0</v>
      </c>
      <c r="JZ26" s="23">
        <v>2</v>
      </c>
      <c r="KA26" s="23">
        <v>0</v>
      </c>
      <c r="KB26" s="23">
        <v>0</v>
      </c>
      <c r="KC26" s="23">
        <v>0</v>
      </c>
      <c r="KD26" s="23">
        <v>0</v>
      </c>
      <c r="KE26" s="23">
        <v>0</v>
      </c>
      <c r="KF26" s="23">
        <v>0</v>
      </c>
      <c r="KG26" s="23">
        <v>0</v>
      </c>
      <c r="KH26" s="23">
        <v>1</v>
      </c>
      <c r="KI26" s="23">
        <v>0</v>
      </c>
      <c r="KJ26" s="23">
        <v>0</v>
      </c>
      <c r="KK26" s="23">
        <v>0</v>
      </c>
      <c r="KL26" s="23">
        <v>0</v>
      </c>
      <c r="KM26" s="23">
        <v>0</v>
      </c>
      <c r="KN26" s="23">
        <v>0</v>
      </c>
      <c r="KO26" s="23">
        <v>0</v>
      </c>
      <c r="KP26" s="23">
        <v>0</v>
      </c>
      <c r="KQ26" s="23">
        <v>0</v>
      </c>
      <c r="KR26" s="23">
        <v>0</v>
      </c>
      <c r="KS26" s="23">
        <v>0</v>
      </c>
      <c r="KT26" s="23">
        <v>0</v>
      </c>
      <c r="KU26" s="23">
        <v>0</v>
      </c>
      <c r="KV26" s="23">
        <v>0</v>
      </c>
      <c r="KW26" s="23">
        <v>0</v>
      </c>
      <c r="KX26" s="23">
        <v>0</v>
      </c>
      <c r="KY26" s="23">
        <v>0</v>
      </c>
      <c r="KZ26" s="23">
        <v>0</v>
      </c>
      <c r="LA26" s="23">
        <v>0</v>
      </c>
      <c r="LB26" s="23">
        <v>0</v>
      </c>
      <c r="LC26" s="23">
        <v>0</v>
      </c>
      <c r="LD26" s="23">
        <v>0</v>
      </c>
      <c r="LE26" s="23">
        <v>0</v>
      </c>
      <c r="LF26" s="23">
        <v>0</v>
      </c>
      <c r="LG26" s="23">
        <v>0</v>
      </c>
      <c r="LH26" s="23">
        <v>1</v>
      </c>
      <c r="LI26" s="23">
        <v>0</v>
      </c>
      <c r="LJ26" s="23">
        <v>0</v>
      </c>
      <c r="LK26" s="23">
        <v>0</v>
      </c>
      <c r="LL26" s="23">
        <v>0</v>
      </c>
      <c r="LM26" s="23">
        <v>0</v>
      </c>
      <c r="LN26" s="278">
        <f ca="1">$A26 - TST!Sweden100dt + 1</f>
        <v>-28</v>
      </c>
      <c r="LO26" s="20">
        <f ca="1">INDEX(OFFSET(TST!HeadRow,ROW()-ROW(TST!HeadRow),0,1,COLUMNS(TST!HeadRow)),1,MATCH(LO$5,TST!HeadRow,0))/LO$8</f>
        <v>0.97751710654936474</v>
      </c>
      <c r="LP26" s="278">
        <f ca="1">$A26 - TST!Spain100dt + 1</f>
        <v>-28</v>
      </c>
      <c r="LQ26" s="20">
        <f ca="1">INDEX(OFFSET(TST!HeadRow,ROW()-ROW(TST!HeadRow),0,1,COLUMNS(TST!HeadRow)),1,MATCH(LQ$5,TST!HeadRow,0))/LQ$8</f>
        <v>0.21303792074989347</v>
      </c>
      <c r="LR26" s="285">
        <f ca="1">$A26 - TST!Victoria100dt + 1</f>
        <v>-37</v>
      </c>
      <c r="LS26" s="20">
        <f ca="1">INDEX(OFFSET(TST!HeadRow,ROW()-ROW(TST!HeadRow),0,1,COLUMNS(TST!HeadRow)),1,MATCH(LS$5,TST!HeadRow,0))/LS$8</f>
        <v>6.0340926233217678</v>
      </c>
      <c r="LT26" s="278">
        <f ca="1">$A26 - TST!Iran100dt + 1</f>
        <v>-22</v>
      </c>
      <c r="LU26" s="20">
        <f ca="1">INDEX(OFFSET(TST!HeadRow,ROW()-ROW(TST!HeadRow),0,1,COLUMNS(TST!HeadRow)),1,MATCH(LU$5,TST!HeadRow,0))/LU$8</f>
        <v>0</v>
      </c>
      <c r="LV26" s="278">
        <f ca="1">$A26 - TST!Japan100dt + 1</f>
        <v>-46</v>
      </c>
      <c r="LW26" s="20">
        <f ca="1">INDEX(OFFSET(TST!HeadRow,ROW()-ROW(TST!HeadRow),0,1,COLUMNS(TST!HeadRow)),1,MATCH(LW$5,TST!HeadRow,0))/LW$8</f>
        <v>1.9754381448714113</v>
      </c>
      <c r="LX26" s="278">
        <f ca="1">$A26 - TST!Queensland100dt + 1</f>
        <v>-36</v>
      </c>
      <c r="LY26" s="20">
        <f ca="1">INDEX(OFFSET(TST!HeadRow,ROW()-ROW(TST!HeadRow),0,1,COLUMNS(TST!HeadRow)),1,MATCH(LY$5,TST!HeadRow,0))/LY$8</f>
        <v>9.7743092446785251</v>
      </c>
      <c r="LZ26" s="278">
        <f ca="1">$A26 - TST!Tasmania100dt + 1</f>
        <v>-36</v>
      </c>
      <c r="MA26" s="20">
        <f ca="1">INDEX(OFFSET(TST!HeadRow,ROW()-ROW(TST!HeadRow),0,1,COLUMNS(TST!HeadRow)),1,MATCH(MA$5,TST!HeadRow,0))/MA$8</f>
        <v>0</v>
      </c>
      <c r="MB26" s="278">
        <f ca="1">$A26 - TST!SouthAustralia100dt + 1</f>
        <v>-35</v>
      </c>
      <c r="MC26" s="20">
        <f ca="1">INDEX(OFFSET(TST!HeadRow,ROW()-ROW(TST!HeadRow),0,1,COLUMNS(TST!HeadRow)),1,MATCH(MC$5,TST!HeadRow,0))/MC$8</f>
        <v>11.976047904191615</v>
      </c>
      <c r="MD26" s="278">
        <f ca="1">$A26 - TST!AustralianCapitalTerritory100dt + 1</f>
        <v>-41</v>
      </c>
      <c r="ME26" s="20">
        <f ca="1">INDEX(OFFSET(TST!HeadRow,ROW()-ROW(TST!HeadRow),0,1,COLUMNS(TST!HeadRow)),1,MATCH(ME$5,TST!HeadRow,0))/ME$8</f>
        <v>0</v>
      </c>
      <c r="MF26" s="278">
        <f ca="1">$A26 - TST!NorthernTerritory100dt + 1</f>
        <v>-41</v>
      </c>
      <c r="MG26" s="20">
        <f ca="1">INDEX(OFFSET(TST!HeadRow,ROW()-ROW(TST!HeadRow),0,1,COLUMNS(TST!HeadRow)),1,MATCH(MG$5,TST!HeadRow,0))/MG$8</f>
        <v>0</v>
      </c>
      <c r="MH26" s="278">
        <f ca="1">$A26 - TST!WesternAustralia100dt + 1</f>
        <v>-37</v>
      </c>
      <c r="MI26" s="20">
        <f ca="1">INDEX(OFFSET(TST!HeadRow,ROW()-ROW(TST!HeadRow),0,1,COLUMNS(TST!HeadRow)),1,MATCH(MI$5,TST!HeadRow,0))/MI$8</f>
        <v>0</v>
      </c>
      <c r="MJ26" s="278">
        <f ca="1">$A26 - TST!Germany100dt + 1</f>
        <v>-29</v>
      </c>
      <c r="MK26" s="20">
        <f ca="1">INDEX(OFFSET(TST!HeadRow,ROW()-ROW(TST!HeadRow),0,1,COLUMNS(TST!HeadRow)),1,MATCH(MK$5,TST!HeadRow,0))/MK$8</f>
        <v>1.5658877378944833</v>
      </c>
      <c r="ML26" s="278">
        <f ca="1">$A26 - TST!Denmark100dt + 1</f>
        <v>-30</v>
      </c>
      <c r="MM26" s="20">
        <f ca="1">INDEX(OFFSET(TST!HeadRow,ROW()-ROW(TST!HeadRow),0,1,COLUMNS(TST!HeadRow)),1,MATCH(MM$5,TST!HeadRow,0))/MM$8</f>
        <v>0</v>
      </c>
      <c r="MN26" s="278">
        <f ca="1">$A26 - TST!SouthAfrica100dt + 1</f>
        <v>-46</v>
      </c>
      <c r="MO26" s="20">
        <f ca="1">INDEX(OFFSET(TST!HeadRow,ROW()-ROW(TST!HeadRow),0,1,COLUMNS(TST!HeadRow)),1,MATCH(MO$5,TST!HeadRow,0))/MO$8</f>
        <v>0</v>
      </c>
      <c r="MP26" s="278">
        <f ca="1">$A26 - TST!UnitedKingdom100dt + 1</f>
        <v>-34</v>
      </c>
      <c r="MQ26" s="20">
        <f ca="1">INDEX(OFFSET(TST!HeadRow,ROW()-ROW(TST!HeadRow),0,1,COLUMNS(TST!HeadRow)),1,MATCH(MQ$5,TST!HeadRow,0))/MQ$8</f>
        <v>0.45153521974714028</v>
      </c>
      <c r="MR26" s="278">
        <f ca="1">$A26 - TST!Ireland100dt + 1</f>
        <v>-34</v>
      </c>
      <c r="MS26" s="20">
        <f ca="1">INDEX(OFFSET(TST!HeadRow,ROW()-ROW(TST!HeadRow),0,1,COLUMNS(TST!HeadRow)),1,MATCH(MS$5,TST!HeadRow,0))/MS$8</f>
        <v>0</v>
      </c>
      <c r="MT26" s="278">
        <f ca="1">$A26 - TST!Italy100dt + 1</f>
        <v>-19</v>
      </c>
      <c r="MU26" s="20">
        <f ca="1">INDEX(OFFSET(TST!HeadRow,ROW()-ROW(TST!HeadRow),0,1,COLUMNS(TST!HeadRow)),1,MATCH(MU$5,TST!HeadRow,0))/MU$8</f>
        <v>0.49599074150615857</v>
      </c>
      <c r="MV26" s="278">
        <f ca="1">$A26 - TST!US100dt + 1</f>
        <v>-36</v>
      </c>
      <c r="MW26" s="20">
        <f ca="1">INDEX(OFFSET(TST!HeadRow,ROW()-ROW(TST!HeadRow),0,1,COLUMNS(TST!HeadRow)),1,MATCH(MW$5,TST!HeadRow,0))/MW$8</f>
        <v>0.33411521761595392</v>
      </c>
      <c r="MX26" s="278">
        <f ca="1">$A26 - TST!AustraliaSum100dt + 1</f>
        <v>-36</v>
      </c>
      <c r="MY26" s="366">
        <f t="shared" si="7"/>
        <v>5.9138937076170954</v>
      </c>
      <c r="MZ26" s="278">
        <f ca="1">$A26 - TST!NewSouthWales100dt + 1</f>
        <v>-34</v>
      </c>
      <c r="NA26" s="366">
        <f ca="1">INDEX(OFFSET(TST!HeadRow,ROW()-ROW(TST!HeadRow),0,1,COLUMNS(TST!HeadRow)),1,MATCH(NA$5,TST!HeadRow,0))/NA$8</f>
        <v>4.9504950495049505</v>
      </c>
      <c r="NB26" s="278">
        <f ca="1">$A26 - TST!Taiwan100dt + 1</f>
        <v>-47</v>
      </c>
      <c r="NC26" s="366">
        <f ca="1">INDEX(OFFSET(TST!HeadRow,ROW()-ROW(TST!HeadRow),0,1,COLUMNS(TST!HeadRow)),1,MATCH(NC$5,TST!HeadRow,0))/NC$8</f>
        <v>6.7206327879007777</v>
      </c>
      <c r="ND26" s="20">
        <f ca="1">$A26 - TST!Hubei100dt + 1</f>
        <v>14</v>
      </c>
      <c r="NE26" s="20">
        <f ca="1">INDEX(OFFSET(TST!HeadRow,ROW()-ROW(TST!HeadRow),0,1,COLUMNS(TST!HeadRow)),1,MATCH(NE$5,TST!HeadRow,0))/NE$8</f>
        <v>4265.4700854700859</v>
      </c>
      <c r="NF26" s="20">
        <f ca="1">$A26 - TST!HongKong100dt + 1</f>
        <v>-16</v>
      </c>
      <c r="NG26" s="20">
        <f ca="1">INDEX(OFFSET(TST!HeadRow,ROW()-ROW(TST!HeadRow),0,1,COLUMNS(TST!HeadRow)),1,MATCH(NG$5,TST!HeadRow,0))/NG$8</f>
        <v>33.552543282780839</v>
      </c>
    </row>
    <row r="27" spans="1:371" x14ac:dyDescent="0.25">
      <c r="A27" s="243">
        <v>43869</v>
      </c>
      <c r="B27" s="23">
        <v>0</v>
      </c>
      <c r="C27" s="23">
        <v>0</v>
      </c>
      <c r="D27" s="23">
        <v>0</v>
      </c>
      <c r="E27" s="23">
        <v>0</v>
      </c>
      <c r="F27" s="23">
        <v>0</v>
      </c>
      <c r="G27" s="23">
        <v>0</v>
      </c>
      <c r="H27" s="23">
        <v>0</v>
      </c>
      <c r="I27" s="23">
        <v>0</v>
      </c>
      <c r="J27" s="23">
        <v>0</v>
      </c>
      <c r="K27" s="293">
        <v>4</v>
      </c>
      <c r="L27" s="23">
        <v>0</v>
      </c>
      <c r="M27" s="290">
        <v>5</v>
      </c>
      <c r="N27" s="23">
        <v>2</v>
      </c>
      <c r="O27" s="384">
        <v>0</v>
      </c>
      <c r="P27" s="287">
        <v>4</v>
      </c>
      <c r="Q27" s="23">
        <v>0</v>
      </c>
      <c r="R27" s="23">
        <v>0</v>
      </c>
      <c r="S27" s="23">
        <v>0</v>
      </c>
      <c r="T27" s="23">
        <v>0</v>
      </c>
      <c r="U27" s="23">
        <v>0</v>
      </c>
      <c r="V27" s="23">
        <v>0</v>
      </c>
      <c r="W27" s="23">
        <v>0</v>
      </c>
      <c r="X27" s="23">
        <v>0</v>
      </c>
      <c r="Y27" s="23">
        <v>1</v>
      </c>
      <c r="Z27" s="23">
        <v>0</v>
      </c>
      <c r="AA27" s="23">
        <v>0</v>
      </c>
      <c r="AB27" s="23">
        <v>0</v>
      </c>
      <c r="AC27" s="23">
        <v>0</v>
      </c>
      <c r="AD27" s="23">
        <v>0</v>
      </c>
      <c r="AE27" s="23">
        <v>0</v>
      </c>
      <c r="AF27" s="23">
        <v>0</v>
      </c>
      <c r="AG27" s="23">
        <v>0</v>
      </c>
      <c r="AH27" s="23">
        <v>0</v>
      </c>
      <c r="AI27" s="23">
        <v>1</v>
      </c>
      <c r="AJ27" s="23">
        <v>0</v>
      </c>
      <c r="AK27" s="23">
        <v>0</v>
      </c>
      <c r="AL27" s="23">
        <v>4</v>
      </c>
      <c r="AM27" s="23">
        <v>0</v>
      </c>
      <c r="AN27" s="23">
        <v>0</v>
      </c>
      <c r="AO27" s="23">
        <v>0</v>
      </c>
      <c r="AP27" s="23">
        <v>0</v>
      </c>
      <c r="AQ27" s="23">
        <v>0</v>
      </c>
      <c r="AR27" s="23">
        <v>3</v>
      </c>
      <c r="AS27" s="23">
        <v>0</v>
      </c>
      <c r="AT27" s="23">
        <v>0</v>
      </c>
      <c r="AU27" s="23">
        <v>0</v>
      </c>
      <c r="AV27" s="23">
        <v>0</v>
      </c>
      <c r="AW27" s="23">
        <v>0</v>
      </c>
      <c r="AX27" s="23">
        <v>0</v>
      </c>
      <c r="AY27" s="23">
        <v>733</v>
      </c>
      <c r="AZ27" s="23">
        <v>315</v>
      </c>
      <c r="BA27" s="23">
        <v>428</v>
      </c>
      <c r="BB27" s="23">
        <v>239</v>
      </c>
      <c r="BC27" s="23">
        <v>79</v>
      </c>
      <c r="BD27" s="23">
        <v>1095</v>
      </c>
      <c r="BE27" s="23">
        <v>183</v>
      </c>
      <c r="BF27" s="23">
        <v>89</v>
      </c>
      <c r="BG27" s="23">
        <v>124</v>
      </c>
      <c r="BH27" s="23">
        <v>195</v>
      </c>
      <c r="BI27" s="23">
        <v>295</v>
      </c>
      <c r="BJ27" s="23">
        <v>981</v>
      </c>
      <c r="BK27" s="23">
        <v>26</v>
      </c>
      <c r="BL27" s="23">
        <v>27100</v>
      </c>
      <c r="BM27" s="23">
        <v>803</v>
      </c>
      <c r="BN27" s="23">
        <v>52</v>
      </c>
      <c r="BO27" s="23">
        <v>439</v>
      </c>
      <c r="BP27" s="23">
        <v>698</v>
      </c>
      <c r="BQ27" s="23">
        <v>69</v>
      </c>
      <c r="BR27" s="23">
        <v>105</v>
      </c>
      <c r="BS27" s="23">
        <v>10</v>
      </c>
      <c r="BT27" s="23">
        <v>45</v>
      </c>
      <c r="BU27" s="23">
        <v>18</v>
      </c>
      <c r="BV27" s="23">
        <v>195</v>
      </c>
      <c r="BW27" s="23">
        <v>416</v>
      </c>
      <c r="BX27" s="23">
        <v>286</v>
      </c>
      <c r="BY27" s="23">
        <v>115</v>
      </c>
      <c r="BZ27" s="23">
        <v>364</v>
      </c>
      <c r="CA27" s="23">
        <v>88</v>
      </c>
      <c r="CB27" s="23">
        <v>1</v>
      </c>
      <c r="CC27" s="23">
        <v>42</v>
      </c>
      <c r="CD27" s="23">
        <v>138</v>
      </c>
      <c r="CE27" s="23">
        <v>1048</v>
      </c>
      <c r="CF27" s="23">
        <v>0</v>
      </c>
      <c r="CG27" s="23">
        <v>0</v>
      </c>
      <c r="CH27" s="23">
        <v>0</v>
      </c>
      <c r="CI27" s="23">
        <v>0</v>
      </c>
      <c r="CJ27" s="23">
        <v>0</v>
      </c>
      <c r="CK27" s="23">
        <v>0</v>
      </c>
      <c r="CL27" s="23">
        <v>61</v>
      </c>
      <c r="CM27" s="23">
        <v>0</v>
      </c>
      <c r="CN27" s="23">
        <v>0</v>
      </c>
      <c r="CO27" s="23">
        <v>0</v>
      </c>
      <c r="CP27" s="23">
        <v>0</v>
      </c>
      <c r="CQ27" s="23">
        <v>0</v>
      </c>
      <c r="CR27" s="23">
        <v>0</v>
      </c>
      <c r="CS27" s="23">
        <v>0</v>
      </c>
      <c r="CT27" s="23">
        <v>0</v>
      </c>
      <c r="CU27" s="23">
        <v>0</v>
      </c>
      <c r="CV27" s="23">
        <v>0</v>
      </c>
      <c r="CW27" s="23">
        <v>0</v>
      </c>
      <c r="CX27" s="23">
        <v>0</v>
      </c>
      <c r="CY27" s="23">
        <v>0</v>
      </c>
      <c r="CZ27" s="23">
        <v>0</v>
      </c>
      <c r="DA27" s="23">
        <v>0</v>
      </c>
      <c r="DB27" s="23">
        <v>0</v>
      </c>
      <c r="DC27" s="23">
        <v>0</v>
      </c>
      <c r="DD27" s="23">
        <v>1</v>
      </c>
      <c r="DE27" s="23">
        <v>0</v>
      </c>
      <c r="DF27" s="23">
        <v>0</v>
      </c>
      <c r="DG27" s="23">
        <v>0</v>
      </c>
      <c r="DH27" s="23">
        <v>0</v>
      </c>
      <c r="DI27" s="23">
        <v>0</v>
      </c>
      <c r="DJ27" s="23">
        <v>0</v>
      </c>
      <c r="DK27" s="23">
        <v>0</v>
      </c>
      <c r="DL27" s="23">
        <v>0</v>
      </c>
      <c r="DM27" s="23">
        <v>0</v>
      </c>
      <c r="DN27" s="23">
        <v>11</v>
      </c>
      <c r="DO27" s="23">
        <v>0</v>
      </c>
      <c r="DP27" s="23">
        <v>0</v>
      </c>
      <c r="DQ27" s="23">
        <v>0</v>
      </c>
      <c r="DR27" s="23">
        <v>13</v>
      </c>
      <c r="DS27" s="23">
        <v>0</v>
      </c>
      <c r="DT27" s="23">
        <v>0</v>
      </c>
      <c r="DU27" s="23">
        <v>0</v>
      </c>
      <c r="DV27" s="23">
        <v>0</v>
      </c>
      <c r="DW27" s="23">
        <v>0</v>
      </c>
      <c r="DX27" s="23">
        <v>0</v>
      </c>
      <c r="DY27" s="23">
        <v>0</v>
      </c>
      <c r="DZ27" s="23">
        <v>0</v>
      </c>
      <c r="EA27" s="23">
        <v>0</v>
      </c>
      <c r="EB27" s="23">
        <v>0</v>
      </c>
      <c r="EC27" s="23">
        <v>3</v>
      </c>
      <c r="ED27" s="23">
        <v>0</v>
      </c>
      <c r="EE27" s="23">
        <v>0</v>
      </c>
      <c r="EF27" s="23">
        <v>0</v>
      </c>
      <c r="EG27" s="23">
        <v>0</v>
      </c>
      <c r="EH27" s="23">
        <v>0</v>
      </c>
      <c r="EI27" s="23">
        <v>3</v>
      </c>
      <c r="EJ27" s="23">
        <v>0</v>
      </c>
      <c r="EK27" s="23">
        <v>25</v>
      </c>
      <c r="EL27" s="23">
        <v>0</v>
      </c>
      <c r="EM27" s="23">
        <v>0</v>
      </c>
      <c r="EN27" s="23">
        <v>0</v>
      </c>
      <c r="EO27" s="23">
        <v>24</v>
      </c>
      <c r="EP27" s="23">
        <v>0</v>
      </c>
      <c r="EQ27" s="23">
        <v>0</v>
      </c>
      <c r="ER27" s="23">
        <v>0</v>
      </c>
      <c r="ES27" s="23">
        <v>0</v>
      </c>
      <c r="ET27" s="23">
        <v>0</v>
      </c>
      <c r="EU27" s="23">
        <v>0</v>
      </c>
      <c r="EV27" s="23">
        <v>0</v>
      </c>
      <c r="EW27" s="23">
        <v>0</v>
      </c>
      <c r="EX27" s="23">
        <v>0</v>
      </c>
      <c r="EY27" s="23">
        <v>16</v>
      </c>
      <c r="EZ27" s="23">
        <v>0</v>
      </c>
      <c r="FA27" s="23">
        <v>0</v>
      </c>
      <c r="FB27" s="23">
        <v>0</v>
      </c>
      <c r="FC27" s="23">
        <v>0</v>
      </c>
      <c r="FD27" s="23">
        <v>0</v>
      </c>
      <c r="FE27" s="23">
        <v>0</v>
      </c>
      <c r="FF27" s="23">
        <v>0</v>
      </c>
      <c r="FG27" s="23">
        <v>0</v>
      </c>
      <c r="FH27" s="23">
        <v>0</v>
      </c>
      <c r="FI27" s="23">
        <v>0</v>
      </c>
      <c r="FJ27" s="23">
        <v>0</v>
      </c>
      <c r="FK27" s="23">
        <v>1</v>
      </c>
      <c r="FL27" s="23">
        <v>0</v>
      </c>
      <c r="FM27" s="23">
        <v>0</v>
      </c>
      <c r="FN27" s="23">
        <v>0</v>
      </c>
      <c r="FO27" s="23">
        <v>0</v>
      </c>
      <c r="FP27" s="23">
        <v>0</v>
      </c>
      <c r="FQ27" s="23">
        <v>0</v>
      </c>
      <c r="FR27" s="23">
        <v>0</v>
      </c>
      <c r="FS27" s="23">
        <v>0</v>
      </c>
      <c r="FT27" s="23">
        <v>0</v>
      </c>
      <c r="FU27" s="23">
        <v>0</v>
      </c>
      <c r="FV27" s="23">
        <v>0</v>
      </c>
      <c r="FW27" s="23">
        <v>0</v>
      </c>
      <c r="FX27" s="23">
        <v>0</v>
      </c>
      <c r="FY27" s="23">
        <v>0</v>
      </c>
      <c r="FZ27" s="23">
        <v>0</v>
      </c>
      <c r="GA27" s="23">
        <v>0</v>
      </c>
      <c r="GB27" s="23">
        <v>3</v>
      </c>
      <c r="GC27" s="23">
        <v>0</v>
      </c>
      <c r="GD27" s="23">
        <v>0</v>
      </c>
      <c r="GE27" s="23">
        <v>0</v>
      </c>
      <c r="GF27" s="23">
        <v>0</v>
      </c>
      <c r="GG27" s="23">
        <v>2</v>
      </c>
      <c r="GH27" s="23">
        <v>0</v>
      </c>
      <c r="GI27" s="23">
        <v>0</v>
      </c>
      <c r="GJ27" s="23">
        <v>0</v>
      </c>
      <c r="GK27" s="23">
        <v>0</v>
      </c>
      <c r="GL27" s="23">
        <v>0</v>
      </c>
      <c r="GM27" s="23">
        <v>0</v>
      </c>
      <c r="GN27" s="23">
        <v>0</v>
      </c>
      <c r="GO27" s="23">
        <v>0</v>
      </c>
      <c r="GP27" s="23">
        <v>33</v>
      </c>
      <c r="GQ27" s="23">
        <v>0</v>
      </c>
      <c r="GR27" s="23">
        <v>0</v>
      </c>
      <c r="GS27" s="23">
        <v>0</v>
      </c>
      <c r="GT27" s="23">
        <v>0</v>
      </c>
      <c r="GU27" s="23">
        <v>1</v>
      </c>
      <c r="GV27" s="23">
        <v>1</v>
      </c>
      <c r="GW27" s="23">
        <v>0</v>
      </c>
      <c r="GX27" s="23">
        <v>0</v>
      </c>
      <c r="GY27" s="23">
        <v>1</v>
      </c>
      <c r="GZ27" s="23">
        <v>0</v>
      </c>
      <c r="HA27" s="23">
        <v>17</v>
      </c>
      <c r="HB27" s="23">
        <v>0</v>
      </c>
      <c r="HC27" s="23">
        <v>32</v>
      </c>
      <c r="HD27" s="23">
        <v>0</v>
      </c>
      <c r="HE27" s="23">
        <v>0</v>
      </c>
      <c r="HF27" s="23">
        <v>0</v>
      </c>
      <c r="HG27" s="23">
        <v>0</v>
      </c>
      <c r="HH27" s="23">
        <v>0</v>
      </c>
      <c r="HI27" s="23">
        <v>0</v>
      </c>
      <c r="HJ27" s="23">
        <v>7</v>
      </c>
      <c r="HK27" s="23">
        <v>0</v>
      </c>
      <c r="HL27" s="23">
        <v>0</v>
      </c>
      <c r="HM27" s="23">
        <v>0</v>
      </c>
      <c r="HN27" s="23">
        <v>0</v>
      </c>
      <c r="HO27" s="23">
        <v>0</v>
      </c>
      <c r="HP27" s="23">
        <v>0</v>
      </c>
      <c r="HQ27" s="23">
        <v>3</v>
      </c>
      <c r="HR27" s="23">
        <v>0</v>
      </c>
      <c r="HS27" s="23">
        <v>11</v>
      </c>
      <c r="HT27" s="23">
        <v>0</v>
      </c>
      <c r="HU27" s="23">
        <v>0</v>
      </c>
      <c r="HV27" s="23">
        <v>13</v>
      </c>
      <c r="HW27" s="23">
        <v>0</v>
      </c>
      <c r="HX27" s="23">
        <v>0</v>
      </c>
      <c r="HY27" s="23">
        <v>0</v>
      </c>
      <c r="HZ27" s="23">
        <v>0</v>
      </c>
      <c r="IA27" s="23">
        <v>0</v>
      </c>
      <c r="IB27" s="23">
        <v>0</v>
      </c>
      <c r="IC27" s="23">
        <v>0</v>
      </c>
      <c r="ID27" s="23">
        <v>0</v>
      </c>
      <c r="IE27" s="23">
        <v>0</v>
      </c>
      <c r="IF27" s="23">
        <v>0</v>
      </c>
      <c r="IG27" s="23">
        <v>0</v>
      </c>
      <c r="IH27" s="23">
        <v>0</v>
      </c>
      <c r="II27" s="23">
        <v>0</v>
      </c>
      <c r="IJ27" s="23">
        <v>0</v>
      </c>
      <c r="IK27" s="23">
        <v>0</v>
      </c>
      <c r="IL27" s="23">
        <v>0</v>
      </c>
      <c r="IM27" s="23">
        <v>0</v>
      </c>
      <c r="IN27" s="23">
        <v>0</v>
      </c>
      <c r="IO27" s="23">
        <v>0</v>
      </c>
      <c r="IP27" s="23">
        <v>0</v>
      </c>
      <c r="IQ27" s="23">
        <v>0</v>
      </c>
      <c r="IR27" s="23">
        <v>0</v>
      </c>
      <c r="IS27" s="23">
        <v>0</v>
      </c>
      <c r="IT27" s="23">
        <v>0</v>
      </c>
      <c r="IU27" s="23">
        <v>0</v>
      </c>
      <c r="IV27" s="23">
        <v>0</v>
      </c>
      <c r="IW27" s="23">
        <v>0</v>
      </c>
      <c r="IX27" s="23">
        <v>0</v>
      </c>
      <c r="IY27" s="23">
        <v>0</v>
      </c>
      <c r="IZ27" s="23">
        <v>0</v>
      </c>
      <c r="JA27" s="23">
        <v>0</v>
      </c>
      <c r="JB27" s="23">
        <v>0</v>
      </c>
      <c r="JC27" s="23">
        <v>0</v>
      </c>
      <c r="JD27" s="23">
        <v>0</v>
      </c>
      <c r="JE27" s="23">
        <v>0</v>
      </c>
      <c r="JF27" s="23">
        <v>0</v>
      </c>
      <c r="JG27" s="23">
        <v>0</v>
      </c>
      <c r="JH27" s="23">
        <v>0</v>
      </c>
      <c r="JI27" s="23">
        <v>0</v>
      </c>
      <c r="JJ27" s="23">
        <v>0</v>
      </c>
      <c r="JK27" s="23">
        <v>0</v>
      </c>
      <c r="JL27" s="23">
        <v>0</v>
      </c>
      <c r="JM27" s="23">
        <v>0</v>
      </c>
      <c r="JN27" s="23">
        <v>0</v>
      </c>
      <c r="JO27" s="23">
        <v>1</v>
      </c>
      <c r="JP27" s="23">
        <v>0</v>
      </c>
      <c r="JQ27" s="23">
        <v>6</v>
      </c>
      <c r="JR27" s="23">
        <v>0</v>
      </c>
      <c r="JS27" s="23">
        <v>0</v>
      </c>
      <c r="JT27" s="23">
        <v>0</v>
      </c>
      <c r="JU27" s="23">
        <v>0</v>
      </c>
      <c r="JV27" s="23">
        <v>0</v>
      </c>
      <c r="JW27" s="23">
        <v>0</v>
      </c>
      <c r="JX27" s="23">
        <v>0</v>
      </c>
      <c r="JY27" s="23">
        <v>0</v>
      </c>
      <c r="JZ27" s="23">
        <v>2</v>
      </c>
      <c r="KA27" s="23">
        <v>0</v>
      </c>
      <c r="KB27" s="23">
        <v>0</v>
      </c>
      <c r="KC27" s="23">
        <v>0</v>
      </c>
      <c r="KD27" s="23">
        <v>0</v>
      </c>
      <c r="KE27" s="23">
        <v>0</v>
      </c>
      <c r="KF27" s="23">
        <v>0</v>
      </c>
      <c r="KG27" s="23">
        <v>0</v>
      </c>
      <c r="KH27" s="23">
        <v>1</v>
      </c>
      <c r="KI27" s="23">
        <v>0</v>
      </c>
      <c r="KJ27" s="23">
        <v>0</v>
      </c>
      <c r="KK27" s="23">
        <v>0</v>
      </c>
      <c r="KL27" s="23">
        <v>0</v>
      </c>
      <c r="KM27" s="23">
        <v>0</v>
      </c>
      <c r="KN27" s="23">
        <v>0</v>
      </c>
      <c r="KO27" s="23">
        <v>0</v>
      </c>
      <c r="KP27" s="23">
        <v>0</v>
      </c>
      <c r="KQ27" s="23">
        <v>0</v>
      </c>
      <c r="KR27" s="23">
        <v>0</v>
      </c>
      <c r="KS27" s="23">
        <v>0</v>
      </c>
      <c r="KT27" s="23">
        <v>0</v>
      </c>
      <c r="KU27" s="23">
        <v>0</v>
      </c>
      <c r="KV27" s="23">
        <v>0</v>
      </c>
      <c r="KW27" s="23">
        <v>0</v>
      </c>
      <c r="KX27" s="23">
        <v>0</v>
      </c>
      <c r="KY27" s="23">
        <v>0</v>
      </c>
      <c r="KZ27" s="23">
        <v>0</v>
      </c>
      <c r="LA27" s="23">
        <v>0</v>
      </c>
      <c r="LB27" s="23">
        <v>0</v>
      </c>
      <c r="LC27" s="23">
        <v>0</v>
      </c>
      <c r="LD27" s="23">
        <v>0</v>
      </c>
      <c r="LE27" s="23">
        <v>0</v>
      </c>
      <c r="LF27" s="23">
        <v>0</v>
      </c>
      <c r="LG27" s="23">
        <v>0</v>
      </c>
      <c r="LH27" s="23">
        <v>1</v>
      </c>
      <c r="LI27" s="23">
        <v>0</v>
      </c>
      <c r="LJ27" s="23">
        <v>0</v>
      </c>
      <c r="LK27" s="23">
        <v>0</v>
      </c>
      <c r="LL27" s="23">
        <v>0</v>
      </c>
      <c r="LM27" s="23">
        <v>0</v>
      </c>
      <c r="LN27" s="278">
        <f ca="1">$A27 - TST!Sweden100dt + 1</f>
        <v>-27</v>
      </c>
      <c r="LO27" s="20">
        <f ca="1">INDEX(OFFSET(TST!HeadRow,ROW()-ROW(TST!HeadRow),0,1,COLUMNS(TST!HeadRow)),1,MATCH(LO$5,TST!HeadRow,0))/LO$8</f>
        <v>0.97751710654936474</v>
      </c>
      <c r="LP27" s="278">
        <f ca="1">$A27 - TST!Spain100dt + 1</f>
        <v>-27</v>
      </c>
      <c r="LQ27" s="20">
        <f ca="1">INDEX(OFFSET(TST!HeadRow,ROW()-ROW(TST!HeadRow),0,1,COLUMNS(TST!HeadRow)),1,MATCH(LQ$5,TST!HeadRow,0))/LQ$8</f>
        <v>0.21303792074989347</v>
      </c>
      <c r="LR27" s="285">
        <f ca="1">$A27 - TST!Victoria100dt + 1</f>
        <v>-36</v>
      </c>
      <c r="LS27" s="20">
        <f ca="1">INDEX(OFFSET(TST!HeadRow,ROW()-ROW(TST!HeadRow),0,1,COLUMNS(TST!HeadRow)),1,MATCH(LS$5,TST!HeadRow,0))/LS$8</f>
        <v>6.0340926233217678</v>
      </c>
      <c r="LT27" s="278">
        <f ca="1">$A27 - TST!Iran100dt + 1</f>
        <v>-21</v>
      </c>
      <c r="LU27" s="20">
        <f ca="1">INDEX(OFFSET(TST!HeadRow,ROW()-ROW(TST!HeadRow),0,1,COLUMNS(TST!HeadRow)),1,MATCH(LU$5,TST!HeadRow,0))/LU$8</f>
        <v>0</v>
      </c>
      <c r="LV27" s="278">
        <f ca="1">$A27 - TST!Japan100dt + 1</f>
        <v>-45</v>
      </c>
      <c r="LW27" s="20">
        <f ca="1">INDEX(OFFSET(TST!HeadRow,ROW()-ROW(TST!HeadRow),0,1,COLUMNS(TST!HeadRow)),1,MATCH(LW$5,TST!HeadRow,0))/LW$8</f>
        <v>1.9754381448714113</v>
      </c>
      <c r="LX27" s="278">
        <f ca="1">$A27 - TST!Queensland100dt + 1</f>
        <v>-35</v>
      </c>
      <c r="LY27" s="20">
        <f ca="1">INDEX(OFFSET(TST!HeadRow,ROW()-ROW(TST!HeadRow),0,1,COLUMNS(TST!HeadRow)),1,MATCH(LY$5,TST!HeadRow,0))/LY$8</f>
        <v>9.7743092446785251</v>
      </c>
      <c r="LZ27" s="278">
        <f ca="1">$A27 - TST!Tasmania100dt + 1</f>
        <v>-35</v>
      </c>
      <c r="MA27" s="20">
        <f ca="1">INDEX(OFFSET(TST!HeadRow,ROW()-ROW(TST!HeadRow),0,1,COLUMNS(TST!HeadRow)),1,MATCH(MA$5,TST!HeadRow,0))/MA$8</f>
        <v>0</v>
      </c>
      <c r="MB27" s="278">
        <f ca="1">$A27 - TST!SouthAustralia100dt + 1</f>
        <v>-34</v>
      </c>
      <c r="MC27" s="20">
        <f ca="1">INDEX(OFFSET(TST!HeadRow,ROW()-ROW(TST!HeadRow),0,1,COLUMNS(TST!HeadRow)),1,MATCH(MC$5,TST!HeadRow,0))/MC$8</f>
        <v>11.976047904191615</v>
      </c>
      <c r="MD27" s="278">
        <f ca="1">$A27 - TST!AustralianCapitalTerritory100dt + 1</f>
        <v>-40</v>
      </c>
      <c r="ME27" s="20">
        <f ca="1">INDEX(OFFSET(TST!HeadRow,ROW()-ROW(TST!HeadRow),0,1,COLUMNS(TST!HeadRow)),1,MATCH(ME$5,TST!HeadRow,0))/ME$8</f>
        <v>0</v>
      </c>
      <c r="MF27" s="278">
        <f ca="1">$A27 - TST!NorthernTerritory100dt + 1</f>
        <v>-40</v>
      </c>
      <c r="MG27" s="20">
        <f ca="1">INDEX(OFFSET(TST!HeadRow,ROW()-ROW(TST!HeadRow),0,1,COLUMNS(TST!HeadRow)),1,MATCH(MG$5,TST!HeadRow,0))/MG$8</f>
        <v>0</v>
      </c>
      <c r="MH27" s="278">
        <f ca="1">$A27 - TST!WesternAustralia100dt + 1</f>
        <v>-36</v>
      </c>
      <c r="MI27" s="20">
        <f ca="1">INDEX(OFFSET(TST!HeadRow,ROW()-ROW(TST!HeadRow),0,1,COLUMNS(TST!HeadRow)),1,MATCH(MI$5,TST!HeadRow,0))/MI$8</f>
        <v>0</v>
      </c>
      <c r="MJ27" s="278">
        <f ca="1">$A27 - TST!Germany100dt + 1</f>
        <v>-28</v>
      </c>
      <c r="MK27" s="20">
        <f ca="1">INDEX(OFFSET(TST!HeadRow,ROW()-ROW(TST!HeadRow),0,1,COLUMNS(TST!HeadRow)),1,MATCH(MK$5,TST!HeadRow,0))/MK$8</f>
        <v>1.5658877378944833</v>
      </c>
      <c r="ML27" s="278">
        <f ca="1">$A27 - TST!Denmark100dt + 1</f>
        <v>-29</v>
      </c>
      <c r="MM27" s="20">
        <f ca="1">INDEX(OFFSET(TST!HeadRow,ROW()-ROW(TST!HeadRow),0,1,COLUMNS(TST!HeadRow)),1,MATCH(MM$5,TST!HeadRow,0))/MM$8</f>
        <v>0</v>
      </c>
      <c r="MN27" s="278">
        <f ca="1">$A27 - TST!SouthAfrica100dt + 1</f>
        <v>-45</v>
      </c>
      <c r="MO27" s="20">
        <f ca="1">INDEX(OFFSET(TST!HeadRow,ROW()-ROW(TST!HeadRow),0,1,COLUMNS(TST!HeadRow)),1,MATCH(MO$5,TST!HeadRow,0))/MO$8</f>
        <v>0</v>
      </c>
      <c r="MP27" s="278">
        <f ca="1">$A27 - TST!UnitedKingdom100dt + 1</f>
        <v>-33</v>
      </c>
      <c r="MQ27" s="20">
        <f ca="1">INDEX(OFFSET(TST!HeadRow,ROW()-ROW(TST!HeadRow),0,1,COLUMNS(TST!HeadRow)),1,MATCH(MQ$5,TST!HeadRow,0))/MQ$8</f>
        <v>0.45153521974714028</v>
      </c>
      <c r="MR27" s="278">
        <f ca="1">$A27 - TST!Ireland100dt + 1</f>
        <v>-33</v>
      </c>
      <c r="MS27" s="20">
        <f ca="1">INDEX(OFFSET(TST!HeadRow,ROW()-ROW(TST!HeadRow),0,1,COLUMNS(TST!HeadRow)),1,MATCH(MS$5,TST!HeadRow,0))/MS$8</f>
        <v>0</v>
      </c>
      <c r="MT27" s="278">
        <f ca="1">$A27 - TST!Italy100dt + 1</f>
        <v>-18</v>
      </c>
      <c r="MU27" s="20">
        <f ca="1">INDEX(OFFSET(TST!HeadRow,ROW()-ROW(TST!HeadRow),0,1,COLUMNS(TST!HeadRow)),1,MATCH(MU$5,TST!HeadRow,0))/MU$8</f>
        <v>0.49599074150615857</v>
      </c>
      <c r="MV27" s="278">
        <f ca="1">$A27 - TST!US100dt + 1</f>
        <v>-35</v>
      </c>
      <c r="MW27" s="20">
        <f ca="1">INDEX(OFFSET(TST!HeadRow,ROW()-ROW(TST!HeadRow),0,1,COLUMNS(TST!HeadRow)),1,MATCH(MW$5,TST!HeadRow,0))/MW$8</f>
        <v>0.33411521761595392</v>
      </c>
      <c r="MX27" s="278">
        <f ca="1">$A27 - TST!AustraliaSum100dt + 1</f>
        <v>-35</v>
      </c>
      <c r="MY27" s="366">
        <f t="shared" si="7"/>
        <v>5.9138937076170954</v>
      </c>
      <c r="MZ27" s="278">
        <f ca="1">$A27 - TST!NewSouthWales100dt + 1</f>
        <v>-33</v>
      </c>
      <c r="NA27" s="366">
        <f ca="1">INDEX(OFFSET(TST!HeadRow,ROW()-ROW(TST!HeadRow),0,1,COLUMNS(TST!HeadRow)),1,MATCH(NA$5,TST!HeadRow,0))/NA$8</f>
        <v>4.9504950495049505</v>
      </c>
      <c r="NB27" s="278">
        <f ca="1">$A27 - TST!Taiwan100dt + 1</f>
        <v>-46</v>
      </c>
      <c r="NC27" s="366">
        <f ca="1">INDEX(OFFSET(TST!HeadRow,ROW()-ROW(TST!HeadRow),0,1,COLUMNS(TST!HeadRow)),1,MATCH(NC$5,TST!HeadRow,0))/NC$8</f>
        <v>7.1406723371445757</v>
      </c>
      <c r="ND27" s="20">
        <f ca="1">$A27 - TST!Hubei100dt + 1</f>
        <v>15</v>
      </c>
      <c r="NE27" s="20">
        <f ca="1">INDEX(OFFSET(TST!HeadRow,ROW()-ROW(TST!HeadRow),0,1,COLUMNS(TST!HeadRow)),1,MATCH(NE$5,TST!HeadRow,0))/NE$8</f>
        <v>4632.4786324786328</v>
      </c>
      <c r="NF27" s="20">
        <f ca="1">$A27 - TST!HongKong100dt + 1</f>
        <v>-15</v>
      </c>
      <c r="NG27" s="20">
        <f ca="1">INDEX(OFFSET(TST!HeadRow,ROW()-ROW(TST!HeadRow),0,1,COLUMNS(TST!HeadRow)),1,MATCH(NG$5,TST!HeadRow,0))/NG$8</f>
        <v>34.89464501409207</v>
      </c>
    </row>
    <row r="28" spans="1:371" x14ac:dyDescent="0.25">
      <c r="A28" s="243">
        <v>43870</v>
      </c>
      <c r="B28" s="23">
        <v>0</v>
      </c>
      <c r="C28" s="23">
        <v>0</v>
      </c>
      <c r="D28" s="23">
        <v>0</v>
      </c>
      <c r="E28" s="23">
        <v>0</v>
      </c>
      <c r="F28" s="23">
        <v>0</v>
      </c>
      <c r="G28" s="23">
        <v>0</v>
      </c>
      <c r="H28" s="23">
        <v>0</v>
      </c>
      <c r="I28" s="23">
        <v>0</v>
      </c>
      <c r="J28" s="23">
        <v>0</v>
      </c>
      <c r="K28" s="293">
        <v>4</v>
      </c>
      <c r="L28" s="23">
        <v>0</v>
      </c>
      <c r="M28" s="290">
        <v>5</v>
      </c>
      <c r="N28" s="23">
        <v>2</v>
      </c>
      <c r="O28" s="384">
        <v>0</v>
      </c>
      <c r="P28" s="287">
        <v>4</v>
      </c>
      <c r="Q28" s="23">
        <v>0</v>
      </c>
      <c r="R28" s="23">
        <v>0</v>
      </c>
      <c r="S28" s="23">
        <v>0</v>
      </c>
      <c r="T28" s="23">
        <v>0</v>
      </c>
      <c r="U28" s="23">
        <v>0</v>
      </c>
      <c r="V28" s="23">
        <v>0</v>
      </c>
      <c r="W28" s="23">
        <v>0</v>
      </c>
      <c r="X28" s="23">
        <v>0</v>
      </c>
      <c r="Y28" s="23">
        <v>1</v>
      </c>
      <c r="Z28" s="23">
        <v>0</v>
      </c>
      <c r="AA28" s="23">
        <v>0</v>
      </c>
      <c r="AB28" s="23">
        <v>0</v>
      </c>
      <c r="AC28" s="23">
        <v>0</v>
      </c>
      <c r="AD28" s="23">
        <v>0</v>
      </c>
      <c r="AE28" s="23">
        <v>0</v>
      </c>
      <c r="AF28" s="23">
        <v>0</v>
      </c>
      <c r="AG28" s="23">
        <v>0</v>
      </c>
      <c r="AH28" s="23">
        <v>0</v>
      </c>
      <c r="AI28" s="23">
        <v>1</v>
      </c>
      <c r="AJ28" s="23">
        <v>0</v>
      </c>
      <c r="AK28" s="23">
        <v>0</v>
      </c>
      <c r="AL28" s="23">
        <v>4</v>
      </c>
      <c r="AM28" s="23">
        <v>0</v>
      </c>
      <c r="AN28" s="23">
        <v>0</v>
      </c>
      <c r="AO28" s="23">
        <v>0</v>
      </c>
      <c r="AP28" s="23">
        <v>0</v>
      </c>
      <c r="AQ28" s="23">
        <v>0</v>
      </c>
      <c r="AR28" s="23">
        <v>3</v>
      </c>
      <c r="AS28" s="23">
        <v>0</v>
      </c>
      <c r="AT28" s="23">
        <v>0</v>
      </c>
      <c r="AU28" s="23">
        <v>0</v>
      </c>
      <c r="AV28" s="23">
        <v>0</v>
      </c>
      <c r="AW28" s="23">
        <v>0</v>
      </c>
      <c r="AX28" s="23">
        <v>0</v>
      </c>
      <c r="AY28" s="23">
        <v>779</v>
      </c>
      <c r="AZ28" s="23">
        <v>326</v>
      </c>
      <c r="BA28" s="23">
        <v>468</v>
      </c>
      <c r="BB28" s="23">
        <v>250</v>
      </c>
      <c r="BC28" s="23">
        <v>83</v>
      </c>
      <c r="BD28" s="23">
        <v>1131</v>
      </c>
      <c r="BE28" s="23">
        <v>195</v>
      </c>
      <c r="BF28" s="23">
        <v>99</v>
      </c>
      <c r="BG28" s="23">
        <v>131</v>
      </c>
      <c r="BH28" s="23">
        <v>206</v>
      </c>
      <c r="BI28" s="23">
        <v>307</v>
      </c>
      <c r="BJ28" s="23">
        <v>1033</v>
      </c>
      <c r="BK28" s="23">
        <v>29</v>
      </c>
      <c r="BL28" s="23">
        <v>29631</v>
      </c>
      <c r="BM28" s="23">
        <v>838</v>
      </c>
      <c r="BN28" s="23">
        <v>54</v>
      </c>
      <c r="BO28" s="23">
        <v>468</v>
      </c>
      <c r="BP28" s="23">
        <v>740</v>
      </c>
      <c r="BQ28" s="23">
        <v>78</v>
      </c>
      <c r="BR28" s="23">
        <v>107</v>
      </c>
      <c r="BS28" s="23">
        <v>10</v>
      </c>
      <c r="BT28" s="23">
        <v>45</v>
      </c>
      <c r="BU28" s="23">
        <v>18</v>
      </c>
      <c r="BV28" s="23">
        <v>208</v>
      </c>
      <c r="BW28" s="23">
        <v>444</v>
      </c>
      <c r="BX28" s="23">
        <v>293</v>
      </c>
      <c r="BY28" s="23">
        <v>119</v>
      </c>
      <c r="BZ28" s="23">
        <v>386</v>
      </c>
      <c r="CA28" s="23">
        <v>91</v>
      </c>
      <c r="CB28" s="23">
        <v>1</v>
      </c>
      <c r="CC28" s="23">
        <v>45</v>
      </c>
      <c r="CD28" s="23">
        <v>141</v>
      </c>
      <c r="CE28" s="23">
        <v>1075</v>
      </c>
      <c r="CF28" s="23">
        <v>0</v>
      </c>
      <c r="CG28" s="23">
        <v>0</v>
      </c>
      <c r="CH28" s="23">
        <v>0</v>
      </c>
      <c r="CI28" s="23">
        <v>0</v>
      </c>
      <c r="CJ28" s="23">
        <v>0</v>
      </c>
      <c r="CK28" s="23">
        <v>0</v>
      </c>
      <c r="CL28" s="23">
        <v>64</v>
      </c>
      <c r="CM28" s="23">
        <v>0</v>
      </c>
      <c r="CN28" s="23">
        <v>0</v>
      </c>
      <c r="CO28" s="23">
        <v>0</v>
      </c>
      <c r="CP28" s="23">
        <v>0</v>
      </c>
      <c r="CQ28" s="23">
        <v>0</v>
      </c>
      <c r="CR28" s="23">
        <v>0</v>
      </c>
      <c r="CS28" s="23">
        <v>0</v>
      </c>
      <c r="CT28" s="23">
        <v>0</v>
      </c>
      <c r="CU28" s="23">
        <v>0</v>
      </c>
      <c r="CV28" s="23">
        <v>0</v>
      </c>
      <c r="CW28" s="23">
        <v>0</v>
      </c>
      <c r="CX28" s="23">
        <v>0</v>
      </c>
      <c r="CY28" s="23">
        <v>0</v>
      </c>
      <c r="CZ28" s="23">
        <v>0</v>
      </c>
      <c r="DA28" s="23">
        <v>0</v>
      </c>
      <c r="DB28" s="23">
        <v>0</v>
      </c>
      <c r="DC28" s="23">
        <v>0</v>
      </c>
      <c r="DD28" s="23">
        <v>1</v>
      </c>
      <c r="DE28" s="23">
        <v>0</v>
      </c>
      <c r="DF28" s="23">
        <v>0</v>
      </c>
      <c r="DG28" s="23">
        <v>0</v>
      </c>
      <c r="DH28" s="23">
        <v>0</v>
      </c>
      <c r="DI28" s="23">
        <v>0</v>
      </c>
      <c r="DJ28" s="23">
        <v>0</v>
      </c>
      <c r="DK28" s="23">
        <v>0</v>
      </c>
      <c r="DL28" s="23">
        <v>0</v>
      </c>
      <c r="DM28" s="23">
        <v>0</v>
      </c>
      <c r="DN28" s="23">
        <v>11</v>
      </c>
      <c r="DO28" s="23">
        <v>0</v>
      </c>
      <c r="DP28" s="23">
        <v>0</v>
      </c>
      <c r="DQ28" s="23">
        <v>0</v>
      </c>
      <c r="DR28" s="23">
        <v>14</v>
      </c>
      <c r="DS28" s="23">
        <v>0</v>
      </c>
      <c r="DT28" s="23">
        <v>0</v>
      </c>
      <c r="DU28" s="23">
        <v>0</v>
      </c>
      <c r="DV28" s="23">
        <v>0</v>
      </c>
      <c r="DW28" s="23">
        <v>0</v>
      </c>
      <c r="DX28" s="23">
        <v>0</v>
      </c>
      <c r="DY28" s="23">
        <v>0</v>
      </c>
      <c r="DZ28" s="23">
        <v>0</v>
      </c>
      <c r="EA28" s="23">
        <v>0</v>
      </c>
      <c r="EB28" s="23">
        <v>0</v>
      </c>
      <c r="EC28" s="23">
        <v>3</v>
      </c>
      <c r="ED28" s="23">
        <v>0</v>
      </c>
      <c r="EE28" s="23">
        <v>0</v>
      </c>
      <c r="EF28" s="23">
        <v>0</v>
      </c>
      <c r="EG28" s="23">
        <v>0</v>
      </c>
      <c r="EH28" s="23">
        <v>0</v>
      </c>
      <c r="EI28" s="23">
        <v>3</v>
      </c>
      <c r="EJ28" s="23">
        <v>0</v>
      </c>
      <c r="EK28" s="23">
        <v>26</v>
      </c>
      <c r="EL28" s="23">
        <v>0</v>
      </c>
      <c r="EM28" s="23">
        <v>0</v>
      </c>
      <c r="EN28" s="23">
        <v>0</v>
      </c>
      <c r="EO28" s="23">
        <v>25</v>
      </c>
      <c r="EP28" s="23">
        <v>0</v>
      </c>
      <c r="EQ28" s="23">
        <v>0</v>
      </c>
      <c r="ER28" s="23">
        <v>0</v>
      </c>
      <c r="ES28" s="23">
        <v>0</v>
      </c>
      <c r="ET28" s="23">
        <v>0</v>
      </c>
      <c r="EU28" s="23">
        <v>0</v>
      </c>
      <c r="EV28" s="23">
        <v>0</v>
      </c>
      <c r="EW28" s="23">
        <v>0</v>
      </c>
      <c r="EX28" s="23">
        <v>0</v>
      </c>
      <c r="EY28" s="23">
        <v>16</v>
      </c>
      <c r="EZ28" s="23">
        <v>0</v>
      </c>
      <c r="FA28" s="23">
        <v>0</v>
      </c>
      <c r="FB28" s="23">
        <v>0</v>
      </c>
      <c r="FC28" s="23">
        <v>0</v>
      </c>
      <c r="FD28" s="23">
        <v>0</v>
      </c>
      <c r="FE28" s="23">
        <v>0</v>
      </c>
      <c r="FF28" s="23">
        <v>0</v>
      </c>
      <c r="FG28" s="23">
        <v>0</v>
      </c>
      <c r="FH28" s="23">
        <v>0</v>
      </c>
      <c r="FI28" s="23">
        <v>0</v>
      </c>
      <c r="FJ28" s="23">
        <v>0</v>
      </c>
      <c r="FK28" s="23">
        <v>1</v>
      </c>
      <c r="FL28" s="23">
        <v>0</v>
      </c>
      <c r="FM28" s="23">
        <v>0</v>
      </c>
      <c r="FN28" s="23">
        <v>0</v>
      </c>
      <c r="FO28" s="23">
        <v>0</v>
      </c>
      <c r="FP28" s="23">
        <v>0</v>
      </c>
      <c r="FQ28" s="23">
        <v>0</v>
      </c>
      <c r="FR28" s="23">
        <v>0</v>
      </c>
      <c r="FS28" s="23">
        <v>0</v>
      </c>
      <c r="FT28" s="23">
        <v>0</v>
      </c>
      <c r="FU28" s="23">
        <v>0</v>
      </c>
      <c r="FV28" s="23">
        <v>0</v>
      </c>
      <c r="FW28" s="23">
        <v>0</v>
      </c>
      <c r="FX28" s="23">
        <v>0</v>
      </c>
      <c r="FY28" s="23">
        <v>0</v>
      </c>
      <c r="FZ28" s="23">
        <v>0</v>
      </c>
      <c r="GA28" s="23">
        <v>0</v>
      </c>
      <c r="GB28" s="23">
        <v>3</v>
      </c>
      <c r="GC28" s="23">
        <v>0</v>
      </c>
      <c r="GD28" s="23">
        <v>0</v>
      </c>
      <c r="GE28" s="23">
        <v>0</v>
      </c>
      <c r="GF28" s="23">
        <v>0</v>
      </c>
      <c r="GG28" s="23">
        <v>2</v>
      </c>
      <c r="GH28" s="23">
        <v>0</v>
      </c>
      <c r="GI28" s="23">
        <v>0</v>
      </c>
      <c r="GJ28" s="23">
        <v>0</v>
      </c>
      <c r="GK28" s="23">
        <v>0</v>
      </c>
      <c r="GL28" s="23">
        <v>0</v>
      </c>
      <c r="GM28" s="23">
        <v>0</v>
      </c>
      <c r="GN28" s="23">
        <v>0</v>
      </c>
      <c r="GO28" s="23">
        <v>0</v>
      </c>
      <c r="GP28" s="23">
        <v>40</v>
      </c>
      <c r="GQ28" s="23">
        <v>0</v>
      </c>
      <c r="GR28" s="23">
        <v>0</v>
      </c>
      <c r="GS28" s="23">
        <v>0</v>
      </c>
      <c r="GT28" s="23">
        <v>0</v>
      </c>
      <c r="GU28" s="23">
        <v>2</v>
      </c>
      <c r="GV28" s="23">
        <v>1</v>
      </c>
      <c r="GW28" s="23">
        <v>0</v>
      </c>
      <c r="GX28" s="23">
        <v>0</v>
      </c>
      <c r="GY28" s="23">
        <v>1</v>
      </c>
      <c r="GZ28" s="23">
        <v>0</v>
      </c>
      <c r="HA28" s="23">
        <v>18</v>
      </c>
      <c r="HB28" s="23">
        <v>0</v>
      </c>
      <c r="HC28" s="23">
        <v>32</v>
      </c>
      <c r="HD28" s="23">
        <v>0</v>
      </c>
      <c r="HE28" s="23">
        <v>0</v>
      </c>
      <c r="HF28" s="23">
        <v>0</v>
      </c>
      <c r="HG28" s="23">
        <v>0</v>
      </c>
      <c r="HH28" s="23">
        <v>0</v>
      </c>
      <c r="HI28" s="23">
        <v>0</v>
      </c>
      <c r="HJ28" s="23">
        <v>7</v>
      </c>
      <c r="HK28" s="23">
        <v>0</v>
      </c>
      <c r="HL28" s="23">
        <v>0</v>
      </c>
      <c r="HM28" s="23">
        <v>0</v>
      </c>
      <c r="HN28" s="23">
        <v>0</v>
      </c>
      <c r="HO28" s="23">
        <v>0</v>
      </c>
      <c r="HP28" s="23">
        <v>0</v>
      </c>
      <c r="HQ28" s="23">
        <v>3</v>
      </c>
      <c r="HR28" s="23">
        <v>0</v>
      </c>
      <c r="HS28" s="23">
        <v>11</v>
      </c>
      <c r="HT28" s="23">
        <v>0</v>
      </c>
      <c r="HU28" s="23">
        <v>0</v>
      </c>
      <c r="HV28" s="23">
        <v>13</v>
      </c>
      <c r="HW28" s="23">
        <v>0</v>
      </c>
      <c r="HX28" s="23">
        <v>0</v>
      </c>
      <c r="HY28" s="23">
        <v>0</v>
      </c>
      <c r="HZ28" s="23">
        <v>0</v>
      </c>
      <c r="IA28" s="23">
        <v>0</v>
      </c>
      <c r="IB28" s="23">
        <v>0</v>
      </c>
      <c r="IC28" s="23">
        <v>0</v>
      </c>
      <c r="ID28" s="23">
        <v>0</v>
      </c>
      <c r="IE28" s="23">
        <v>0</v>
      </c>
      <c r="IF28" s="23">
        <v>0</v>
      </c>
      <c r="IG28" s="23">
        <v>0</v>
      </c>
      <c r="IH28" s="23">
        <v>0</v>
      </c>
      <c r="II28" s="23">
        <v>0</v>
      </c>
      <c r="IJ28" s="23">
        <v>0</v>
      </c>
      <c r="IK28" s="23">
        <v>0</v>
      </c>
      <c r="IL28" s="23">
        <v>0</v>
      </c>
      <c r="IM28" s="23">
        <v>0</v>
      </c>
      <c r="IN28" s="23">
        <v>0</v>
      </c>
      <c r="IO28" s="23">
        <v>0</v>
      </c>
      <c r="IP28" s="23">
        <v>0</v>
      </c>
      <c r="IQ28" s="23">
        <v>0</v>
      </c>
      <c r="IR28" s="23">
        <v>0</v>
      </c>
      <c r="IS28" s="23">
        <v>0</v>
      </c>
      <c r="IT28" s="23">
        <v>0</v>
      </c>
      <c r="IU28" s="23">
        <v>0</v>
      </c>
      <c r="IV28" s="23">
        <v>0</v>
      </c>
      <c r="IW28" s="23">
        <v>0</v>
      </c>
      <c r="IX28" s="23">
        <v>0</v>
      </c>
      <c r="IY28" s="23">
        <v>0</v>
      </c>
      <c r="IZ28" s="23">
        <v>0</v>
      </c>
      <c r="JA28" s="23">
        <v>0</v>
      </c>
      <c r="JB28" s="23">
        <v>0</v>
      </c>
      <c r="JC28" s="23">
        <v>0</v>
      </c>
      <c r="JD28" s="23">
        <v>0</v>
      </c>
      <c r="JE28" s="23">
        <v>0</v>
      </c>
      <c r="JF28" s="23">
        <v>0</v>
      </c>
      <c r="JG28" s="23">
        <v>0</v>
      </c>
      <c r="JH28" s="23">
        <v>0</v>
      </c>
      <c r="JI28" s="23">
        <v>0</v>
      </c>
      <c r="JJ28" s="23">
        <v>0</v>
      </c>
      <c r="JK28" s="23">
        <v>0</v>
      </c>
      <c r="JL28" s="23">
        <v>0</v>
      </c>
      <c r="JM28" s="23">
        <v>0</v>
      </c>
      <c r="JN28" s="23">
        <v>0</v>
      </c>
      <c r="JO28" s="23">
        <v>1</v>
      </c>
      <c r="JP28" s="23">
        <v>0</v>
      </c>
      <c r="JQ28" s="23">
        <v>6</v>
      </c>
      <c r="JR28" s="23">
        <v>0</v>
      </c>
      <c r="JS28" s="23">
        <v>0</v>
      </c>
      <c r="JT28" s="23">
        <v>0</v>
      </c>
      <c r="JU28" s="23">
        <v>0</v>
      </c>
      <c r="JV28" s="23">
        <v>0</v>
      </c>
      <c r="JW28" s="23">
        <v>0</v>
      </c>
      <c r="JX28" s="23">
        <v>0</v>
      </c>
      <c r="JY28" s="23">
        <v>0</v>
      </c>
      <c r="JZ28" s="23">
        <v>2</v>
      </c>
      <c r="KA28" s="23">
        <v>0</v>
      </c>
      <c r="KB28" s="23">
        <v>0</v>
      </c>
      <c r="KC28" s="23">
        <v>0</v>
      </c>
      <c r="KD28" s="23">
        <v>0</v>
      </c>
      <c r="KE28" s="23">
        <v>0</v>
      </c>
      <c r="KF28" s="23">
        <v>0</v>
      </c>
      <c r="KG28" s="23">
        <v>0</v>
      </c>
      <c r="KH28" s="23">
        <v>1</v>
      </c>
      <c r="KI28" s="23">
        <v>0</v>
      </c>
      <c r="KJ28" s="23">
        <v>0</v>
      </c>
      <c r="KK28" s="23">
        <v>0</v>
      </c>
      <c r="KL28" s="23">
        <v>0</v>
      </c>
      <c r="KM28" s="23">
        <v>0</v>
      </c>
      <c r="KN28" s="23">
        <v>0</v>
      </c>
      <c r="KO28" s="23">
        <v>0</v>
      </c>
      <c r="KP28" s="23">
        <v>0</v>
      </c>
      <c r="KQ28" s="23">
        <v>0</v>
      </c>
      <c r="KR28" s="23">
        <v>0</v>
      </c>
      <c r="KS28" s="23">
        <v>0</v>
      </c>
      <c r="KT28" s="23">
        <v>0</v>
      </c>
      <c r="KU28" s="23">
        <v>0</v>
      </c>
      <c r="KV28" s="23">
        <v>0</v>
      </c>
      <c r="KW28" s="23">
        <v>0</v>
      </c>
      <c r="KX28" s="23">
        <v>0</v>
      </c>
      <c r="KY28" s="23">
        <v>0</v>
      </c>
      <c r="KZ28" s="23">
        <v>0</v>
      </c>
      <c r="LA28" s="23">
        <v>0</v>
      </c>
      <c r="LB28" s="23">
        <v>0</v>
      </c>
      <c r="LC28" s="23">
        <v>0</v>
      </c>
      <c r="LD28" s="23">
        <v>0</v>
      </c>
      <c r="LE28" s="23">
        <v>0</v>
      </c>
      <c r="LF28" s="23">
        <v>0</v>
      </c>
      <c r="LG28" s="23">
        <v>0</v>
      </c>
      <c r="LH28" s="23">
        <v>1</v>
      </c>
      <c r="LI28" s="23">
        <v>0</v>
      </c>
      <c r="LJ28" s="23">
        <v>0</v>
      </c>
      <c r="LK28" s="23">
        <v>0</v>
      </c>
      <c r="LL28" s="23">
        <v>0</v>
      </c>
      <c r="LM28" s="23">
        <v>0</v>
      </c>
      <c r="LN28" s="278">
        <f ca="1">$A28 - TST!Sweden100dt + 1</f>
        <v>-26</v>
      </c>
      <c r="LO28" s="20">
        <f ca="1">INDEX(OFFSET(TST!HeadRow,ROW()-ROW(TST!HeadRow),0,1,COLUMNS(TST!HeadRow)),1,MATCH(LO$5,TST!HeadRow,0))/LO$8</f>
        <v>0.97751710654936474</v>
      </c>
      <c r="LP28" s="278">
        <f ca="1">$A28 - TST!Spain100dt + 1</f>
        <v>-26</v>
      </c>
      <c r="LQ28" s="20">
        <f ca="1">INDEX(OFFSET(TST!HeadRow,ROW()-ROW(TST!HeadRow),0,1,COLUMNS(TST!HeadRow)),1,MATCH(LQ$5,TST!HeadRow,0))/LQ$8</f>
        <v>0.42607584149978694</v>
      </c>
      <c r="LR28" s="285">
        <f ca="1">$A28 - TST!Victoria100dt + 1</f>
        <v>-35</v>
      </c>
      <c r="LS28" s="20">
        <f ca="1">INDEX(OFFSET(TST!HeadRow,ROW()-ROW(TST!HeadRow),0,1,COLUMNS(TST!HeadRow)),1,MATCH(LS$5,TST!HeadRow,0))/LS$8</f>
        <v>6.0340926233217678</v>
      </c>
      <c r="LT28" s="278">
        <f ca="1">$A28 - TST!Iran100dt + 1</f>
        <v>-20</v>
      </c>
      <c r="LU28" s="20">
        <f ca="1">INDEX(OFFSET(TST!HeadRow,ROW()-ROW(TST!HeadRow),0,1,COLUMNS(TST!HeadRow)),1,MATCH(LU$5,TST!HeadRow,0))/LU$8</f>
        <v>0</v>
      </c>
      <c r="LV28" s="278">
        <f ca="1">$A28 - TST!Japan100dt + 1</f>
        <v>-44</v>
      </c>
      <c r="LW28" s="20">
        <f ca="1">INDEX(OFFSET(TST!HeadRow,ROW()-ROW(TST!HeadRow),0,1,COLUMNS(TST!HeadRow)),1,MATCH(LW$5,TST!HeadRow,0))/LW$8</f>
        <v>2.0544556706662678</v>
      </c>
      <c r="LX28" s="278">
        <f ca="1">$A28 - TST!Queensland100dt + 1</f>
        <v>-34</v>
      </c>
      <c r="LY28" s="20">
        <f ca="1">INDEX(OFFSET(TST!HeadRow,ROW()-ROW(TST!HeadRow),0,1,COLUMNS(TST!HeadRow)),1,MATCH(LY$5,TST!HeadRow,0))/LY$8</f>
        <v>9.7743092446785251</v>
      </c>
      <c r="LZ28" s="278">
        <f ca="1">$A28 - TST!Tasmania100dt + 1</f>
        <v>-34</v>
      </c>
      <c r="MA28" s="20">
        <f ca="1">INDEX(OFFSET(TST!HeadRow,ROW()-ROW(TST!HeadRow),0,1,COLUMNS(TST!HeadRow)),1,MATCH(MA$5,TST!HeadRow,0))/MA$8</f>
        <v>0</v>
      </c>
      <c r="MB28" s="278">
        <f ca="1">$A28 - TST!SouthAustralia100dt + 1</f>
        <v>-33</v>
      </c>
      <c r="MC28" s="20">
        <f ca="1">INDEX(OFFSET(TST!HeadRow,ROW()-ROW(TST!HeadRow),0,1,COLUMNS(TST!HeadRow)),1,MATCH(MC$5,TST!HeadRow,0))/MC$8</f>
        <v>11.976047904191615</v>
      </c>
      <c r="MD28" s="278">
        <f ca="1">$A28 - TST!AustralianCapitalTerritory100dt + 1</f>
        <v>-39</v>
      </c>
      <c r="ME28" s="20">
        <f ca="1">INDEX(OFFSET(TST!HeadRow,ROW()-ROW(TST!HeadRow),0,1,COLUMNS(TST!HeadRow)),1,MATCH(ME$5,TST!HeadRow,0))/ME$8</f>
        <v>0</v>
      </c>
      <c r="MF28" s="278">
        <f ca="1">$A28 - TST!NorthernTerritory100dt + 1</f>
        <v>-39</v>
      </c>
      <c r="MG28" s="20">
        <f ca="1">INDEX(OFFSET(TST!HeadRow,ROW()-ROW(TST!HeadRow),0,1,COLUMNS(TST!HeadRow)),1,MATCH(MG$5,TST!HeadRow,0))/MG$8</f>
        <v>0</v>
      </c>
      <c r="MH28" s="278">
        <f ca="1">$A28 - TST!WesternAustralia100dt + 1</f>
        <v>-35</v>
      </c>
      <c r="MI28" s="20">
        <f ca="1">INDEX(OFFSET(TST!HeadRow,ROW()-ROW(TST!HeadRow),0,1,COLUMNS(TST!HeadRow)),1,MATCH(MI$5,TST!HeadRow,0))/MI$8</f>
        <v>0</v>
      </c>
      <c r="MJ28" s="278">
        <f ca="1">$A28 - TST!Germany100dt + 1</f>
        <v>-27</v>
      </c>
      <c r="MK28" s="20">
        <f ca="1">INDEX(OFFSET(TST!HeadRow,ROW()-ROW(TST!HeadRow),0,1,COLUMNS(TST!HeadRow)),1,MATCH(MK$5,TST!HeadRow,0))/MK$8</f>
        <v>1.6863406408094437</v>
      </c>
      <c r="ML28" s="278">
        <f ca="1">$A28 - TST!Denmark100dt + 1</f>
        <v>-28</v>
      </c>
      <c r="MM28" s="20">
        <f ca="1">INDEX(OFFSET(TST!HeadRow,ROW()-ROW(TST!HeadRow),0,1,COLUMNS(TST!HeadRow)),1,MATCH(MM$5,TST!HeadRow,0))/MM$8</f>
        <v>0</v>
      </c>
      <c r="MN28" s="278">
        <f ca="1">$A28 - TST!SouthAfrica100dt + 1</f>
        <v>-44</v>
      </c>
      <c r="MO28" s="20">
        <f ca="1">INDEX(OFFSET(TST!HeadRow,ROW()-ROW(TST!HeadRow),0,1,COLUMNS(TST!HeadRow)),1,MATCH(MO$5,TST!HeadRow,0))/MO$8</f>
        <v>0</v>
      </c>
      <c r="MP28" s="278">
        <f ca="1">$A28 - TST!UnitedKingdom100dt + 1</f>
        <v>-32</v>
      </c>
      <c r="MQ28" s="20">
        <f ca="1">INDEX(OFFSET(TST!HeadRow,ROW()-ROW(TST!HeadRow),0,1,COLUMNS(TST!HeadRow)),1,MATCH(MQ$5,TST!HeadRow,0))/MQ$8</f>
        <v>0.45153521974714028</v>
      </c>
      <c r="MR28" s="278">
        <f ca="1">$A28 - TST!Ireland100dt + 1</f>
        <v>-32</v>
      </c>
      <c r="MS28" s="20">
        <f ca="1">INDEX(OFFSET(TST!HeadRow,ROW()-ROW(TST!HeadRow),0,1,COLUMNS(TST!HeadRow)),1,MATCH(MS$5,TST!HeadRow,0))/MS$8</f>
        <v>0</v>
      </c>
      <c r="MT28" s="278">
        <f ca="1">$A28 - TST!Italy100dt + 1</f>
        <v>-17</v>
      </c>
      <c r="MU28" s="20">
        <f ca="1">INDEX(OFFSET(TST!HeadRow,ROW()-ROW(TST!HeadRow),0,1,COLUMNS(TST!HeadRow)),1,MATCH(MU$5,TST!HeadRow,0))/MU$8</f>
        <v>0.49599074150615857</v>
      </c>
      <c r="MV28" s="278">
        <f ca="1">$A28 - TST!US100dt + 1</f>
        <v>-34</v>
      </c>
      <c r="MW28" s="20">
        <f ca="1">INDEX(OFFSET(TST!HeadRow,ROW()-ROW(TST!HeadRow),0,1,COLUMNS(TST!HeadRow)),1,MATCH(MW$5,TST!HeadRow,0))/MW$8</f>
        <v>0.33411521761595392</v>
      </c>
      <c r="MX28" s="278">
        <f ca="1">$A28 - TST!AustraliaSum100dt + 1</f>
        <v>-34</v>
      </c>
      <c r="MY28" s="366">
        <f t="shared" si="7"/>
        <v>5.9138937076170954</v>
      </c>
      <c r="MZ28" s="278">
        <f ca="1">$A28 - TST!NewSouthWales100dt + 1</f>
        <v>-32</v>
      </c>
      <c r="NA28" s="366">
        <f ca="1">INDEX(OFFSET(TST!HeadRow,ROW()-ROW(TST!HeadRow),0,1,COLUMNS(TST!HeadRow)),1,MATCH(NA$5,TST!HeadRow,0))/NA$8</f>
        <v>4.9504950495049505</v>
      </c>
      <c r="NB28" s="278">
        <f ca="1">$A28 - TST!Taiwan100dt + 1</f>
        <v>-45</v>
      </c>
      <c r="NC28" s="366">
        <f ca="1">INDEX(OFFSET(TST!HeadRow,ROW()-ROW(TST!HeadRow),0,1,COLUMNS(TST!HeadRow)),1,MATCH(NC$5,TST!HeadRow,0))/NC$8</f>
        <v>7.5607118863883747</v>
      </c>
      <c r="ND28" s="20">
        <f ca="1">$A28 - TST!Hubei100dt + 1</f>
        <v>16</v>
      </c>
      <c r="NE28" s="20">
        <f ca="1">INDEX(OFFSET(TST!HeadRow,ROW()-ROW(TST!HeadRow),0,1,COLUMNS(TST!HeadRow)),1,MATCH(NE$5,TST!HeadRow,0))/NE$8</f>
        <v>5065.1282051282051</v>
      </c>
      <c r="NF28" s="20">
        <f ca="1">$A28 - TST!HongKong100dt + 1</f>
        <v>-14</v>
      </c>
      <c r="NG28" s="20">
        <f ca="1">INDEX(OFFSET(TST!HeadRow,ROW()-ROW(TST!HeadRow),0,1,COLUMNS(TST!HeadRow)),1,MATCH(NG$5,TST!HeadRow,0))/NG$8</f>
        <v>38.920950208025772</v>
      </c>
    </row>
    <row r="29" spans="1:371" x14ac:dyDescent="0.25">
      <c r="A29" s="243">
        <v>43871</v>
      </c>
      <c r="B29" s="23">
        <v>0</v>
      </c>
      <c r="C29" s="23">
        <v>0</v>
      </c>
      <c r="D29" s="23">
        <v>0</v>
      </c>
      <c r="E29" s="23">
        <v>0</v>
      </c>
      <c r="F29" s="23">
        <v>0</v>
      </c>
      <c r="G29" s="23">
        <v>0</v>
      </c>
      <c r="H29" s="23">
        <v>0</v>
      </c>
      <c r="I29" s="23">
        <v>0</v>
      </c>
      <c r="J29" s="23">
        <v>0</v>
      </c>
      <c r="K29" s="293">
        <v>4</v>
      </c>
      <c r="L29" s="23">
        <v>0</v>
      </c>
      <c r="M29" s="290">
        <v>5</v>
      </c>
      <c r="N29" s="23">
        <v>2</v>
      </c>
      <c r="O29" s="384">
        <v>0</v>
      </c>
      <c r="P29" s="287">
        <v>4</v>
      </c>
      <c r="Q29" s="23">
        <v>0</v>
      </c>
      <c r="R29" s="23">
        <v>0</v>
      </c>
      <c r="S29" s="23">
        <v>0</v>
      </c>
      <c r="T29" s="23">
        <v>0</v>
      </c>
      <c r="U29" s="23">
        <v>0</v>
      </c>
      <c r="V29" s="23">
        <v>0</v>
      </c>
      <c r="W29" s="23">
        <v>0</v>
      </c>
      <c r="X29" s="23">
        <v>0</v>
      </c>
      <c r="Y29" s="23">
        <v>1</v>
      </c>
      <c r="Z29" s="23">
        <v>0</v>
      </c>
      <c r="AA29" s="23">
        <v>0</v>
      </c>
      <c r="AB29" s="23">
        <v>0</v>
      </c>
      <c r="AC29" s="23">
        <v>0</v>
      </c>
      <c r="AD29" s="23">
        <v>0</v>
      </c>
      <c r="AE29" s="23">
        <v>0</v>
      </c>
      <c r="AF29" s="23">
        <v>0</v>
      </c>
      <c r="AG29" s="23">
        <v>0</v>
      </c>
      <c r="AH29" s="23">
        <v>0</v>
      </c>
      <c r="AI29" s="23">
        <v>1</v>
      </c>
      <c r="AJ29" s="23">
        <v>0</v>
      </c>
      <c r="AK29" s="23">
        <v>0</v>
      </c>
      <c r="AL29" s="23">
        <v>4</v>
      </c>
      <c r="AM29" s="23">
        <v>0</v>
      </c>
      <c r="AN29" s="23">
        <v>0</v>
      </c>
      <c r="AO29" s="23">
        <v>0</v>
      </c>
      <c r="AP29" s="23">
        <v>0</v>
      </c>
      <c r="AQ29" s="23">
        <v>0</v>
      </c>
      <c r="AR29" s="23">
        <v>3</v>
      </c>
      <c r="AS29" s="23">
        <v>0</v>
      </c>
      <c r="AT29" s="23">
        <v>0</v>
      </c>
      <c r="AU29" s="23">
        <v>0</v>
      </c>
      <c r="AV29" s="23">
        <v>0</v>
      </c>
      <c r="AW29" s="23">
        <v>0</v>
      </c>
      <c r="AX29" s="23">
        <v>0</v>
      </c>
      <c r="AY29" s="23">
        <v>830</v>
      </c>
      <c r="AZ29" s="23">
        <v>337</v>
      </c>
      <c r="BA29" s="23">
        <v>486</v>
      </c>
      <c r="BB29" s="23">
        <v>261</v>
      </c>
      <c r="BC29" s="23">
        <v>83</v>
      </c>
      <c r="BD29" s="23">
        <v>1159</v>
      </c>
      <c r="BE29" s="23">
        <v>210</v>
      </c>
      <c r="BF29" s="23">
        <v>109</v>
      </c>
      <c r="BG29" s="23">
        <v>138</v>
      </c>
      <c r="BH29" s="23">
        <v>218</v>
      </c>
      <c r="BI29" s="23">
        <v>331</v>
      </c>
      <c r="BJ29" s="23">
        <v>1073</v>
      </c>
      <c r="BK29" s="23">
        <v>38</v>
      </c>
      <c r="BL29" s="23">
        <v>31728</v>
      </c>
      <c r="BM29" s="23">
        <v>879</v>
      </c>
      <c r="BN29" s="23">
        <v>58</v>
      </c>
      <c r="BO29" s="23">
        <v>492</v>
      </c>
      <c r="BP29" s="23">
        <v>771</v>
      </c>
      <c r="BQ29" s="23">
        <v>80</v>
      </c>
      <c r="BR29" s="23">
        <v>108</v>
      </c>
      <c r="BS29" s="23">
        <v>10</v>
      </c>
      <c r="BT29" s="23">
        <v>49</v>
      </c>
      <c r="BU29" s="23">
        <v>18</v>
      </c>
      <c r="BV29" s="23">
        <v>213</v>
      </c>
      <c r="BW29" s="23">
        <v>466</v>
      </c>
      <c r="BX29" s="23">
        <v>299</v>
      </c>
      <c r="BY29" s="23">
        <v>119</v>
      </c>
      <c r="BZ29" s="23">
        <v>405</v>
      </c>
      <c r="CA29" s="23">
        <v>95</v>
      </c>
      <c r="CB29" s="23">
        <v>1</v>
      </c>
      <c r="CC29" s="23">
        <v>49</v>
      </c>
      <c r="CD29" s="23">
        <v>149</v>
      </c>
      <c r="CE29" s="23">
        <v>1092</v>
      </c>
      <c r="CF29" s="23">
        <v>0</v>
      </c>
      <c r="CG29" s="23">
        <v>0</v>
      </c>
      <c r="CH29" s="23">
        <v>0</v>
      </c>
      <c r="CI29" s="23">
        <v>0</v>
      </c>
      <c r="CJ29" s="23">
        <v>0</v>
      </c>
      <c r="CK29" s="23">
        <v>0</v>
      </c>
      <c r="CL29" s="23">
        <v>135</v>
      </c>
      <c r="CM29" s="23">
        <v>0</v>
      </c>
      <c r="CN29" s="23">
        <v>0</v>
      </c>
      <c r="CO29" s="23">
        <v>0</v>
      </c>
      <c r="CP29" s="23">
        <v>0</v>
      </c>
      <c r="CQ29" s="23">
        <v>0</v>
      </c>
      <c r="CR29" s="23">
        <v>0</v>
      </c>
      <c r="CS29" s="23">
        <v>0</v>
      </c>
      <c r="CT29" s="23">
        <v>0</v>
      </c>
      <c r="CU29" s="23">
        <v>0</v>
      </c>
      <c r="CV29" s="23">
        <v>0</v>
      </c>
      <c r="CW29" s="23">
        <v>0</v>
      </c>
      <c r="CX29" s="23">
        <v>0</v>
      </c>
      <c r="CY29" s="23">
        <v>0</v>
      </c>
      <c r="CZ29" s="23">
        <v>0</v>
      </c>
      <c r="DA29" s="23">
        <v>0</v>
      </c>
      <c r="DB29" s="23">
        <v>0</v>
      </c>
      <c r="DC29" s="23">
        <v>0</v>
      </c>
      <c r="DD29" s="23">
        <v>1</v>
      </c>
      <c r="DE29" s="23">
        <v>0</v>
      </c>
      <c r="DF29" s="23">
        <v>0</v>
      </c>
      <c r="DG29" s="23">
        <v>0</v>
      </c>
      <c r="DH29" s="23">
        <v>0</v>
      </c>
      <c r="DI29" s="23">
        <v>0</v>
      </c>
      <c r="DJ29" s="23">
        <v>0</v>
      </c>
      <c r="DK29" s="23">
        <v>0</v>
      </c>
      <c r="DL29" s="23">
        <v>0</v>
      </c>
      <c r="DM29" s="23">
        <v>0</v>
      </c>
      <c r="DN29" s="23">
        <v>11</v>
      </c>
      <c r="DO29" s="23">
        <v>0</v>
      </c>
      <c r="DP29" s="23">
        <v>0</v>
      </c>
      <c r="DQ29" s="23">
        <v>0</v>
      </c>
      <c r="DR29" s="23">
        <v>14</v>
      </c>
      <c r="DS29" s="23">
        <v>0</v>
      </c>
      <c r="DT29" s="23">
        <v>0</v>
      </c>
      <c r="DU29" s="23">
        <v>0</v>
      </c>
      <c r="DV29" s="23">
        <v>0</v>
      </c>
      <c r="DW29" s="23">
        <v>0</v>
      </c>
      <c r="DX29" s="23">
        <v>0</v>
      </c>
      <c r="DY29" s="23">
        <v>0</v>
      </c>
      <c r="DZ29" s="23">
        <v>0</v>
      </c>
      <c r="EA29" s="23">
        <v>0</v>
      </c>
      <c r="EB29" s="23">
        <v>0</v>
      </c>
      <c r="EC29" s="23">
        <v>3</v>
      </c>
      <c r="ED29" s="23">
        <v>0</v>
      </c>
      <c r="EE29" s="23">
        <v>0</v>
      </c>
      <c r="EF29" s="23">
        <v>0</v>
      </c>
      <c r="EG29" s="23">
        <v>0</v>
      </c>
      <c r="EH29" s="23">
        <v>0</v>
      </c>
      <c r="EI29" s="23">
        <v>3</v>
      </c>
      <c r="EJ29" s="23">
        <v>0</v>
      </c>
      <c r="EK29" s="23">
        <v>26</v>
      </c>
      <c r="EL29" s="23">
        <v>0</v>
      </c>
      <c r="EM29" s="23">
        <v>0</v>
      </c>
      <c r="EN29" s="23">
        <v>0</v>
      </c>
      <c r="EO29" s="23">
        <v>27</v>
      </c>
      <c r="EP29" s="23">
        <v>0</v>
      </c>
      <c r="EQ29" s="23">
        <v>0</v>
      </c>
      <c r="ER29" s="23">
        <v>0</v>
      </c>
      <c r="ES29" s="23">
        <v>0</v>
      </c>
      <c r="ET29" s="23">
        <v>0</v>
      </c>
      <c r="EU29" s="23">
        <v>0</v>
      </c>
      <c r="EV29" s="23">
        <v>0</v>
      </c>
      <c r="EW29" s="23">
        <v>0</v>
      </c>
      <c r="EX29" s="23">
        <v>0</v>
      </c>
      <c r="EY29" s="23">
        <v>18</v>
      </c>
      <c r="EZ29" s="23">
        <v>0</v>
      </c>
      <c r="FA29" s="23">
        <v>0</v>
      </c>
      <c r="FB29" s="23">
        <v>0</v>
      </c>
      <c r="FC29" s="23">
        <v>0</v>
      </c>
      <c r="FD29" s="23">
        <v>0</v>
      </c>
      <c r="FE29" s="23">
        <v>0</v>
      </c>
      <c r="FF29" s="23">
        <v>0</v>
      </c>
      <c r="FG29" s="23">
        <v>0</v>
      </c>
      <c r="FH29" s="23">
        <v>0</v>
      </c>
      <c r="FI29" s="23">
        <v>0</v>
      </c>
      <c r="FJ29" s="23">
        <v>0</v>
      </c>
      <c r="FK29" s="23">
        <v>1</v>
      </c>
      <c r="FL29" s="23">
        <v>0</v>
      </c>
      <c r="FM29" s="23">
        <v>0</v>
      </c>
      <c r="FN29" s="23">
        <v>0</v>
      </c>
      <c r="FO29" s="23">
        <v>0</v>
      </c>
      <c r="FP29" s="23">
        <v>0</v>
      </c>
      <c r="FQ29" s="23">
        <v>0</v>
      </c>
      <c r="FR29" s="23">
        <v>0</v>
      </c>
      <c r="FS29" s="23">
        <v>0</v>
      </c>
      <c r="FT29" s="23">
        <v>0</v>
      </c>
      <c r="FU29" s="23">
        <v>0</v>
      </c>
      <c r="FV29" s="23">
        <v>0</v>
      </c>
      <c r="FW29" s="23">
        <v>0</v>
      </c>
      <c r="FX29" s="23">
        <v>0</v>
      </c>
      <c r="FY29" s="23">
        <v>0</v>
      </c>
      <c r="FZ29" s="23">
        <v>0</v>
      </c>
      <c r="GA29" s="23">
        <v>0</v>
      </c>
      <c r="GB29" s="23">
        <v>3</v>
      </c>
      <c r="GC29" s="23">
        <v>0</v>
      </c>
      <c r="GD29" s="23">
        <v>0</v>
      </c>
      <c r="GE29" s="23">
        <v>0</v>
      </c>
      <c r="GF29" s="23">
        <v>0</v>
      </c>
      <c r="GG29" s="23">
        <v>2</v>
      </c>
      <c r="GH29" s="23">
        <v>0</v>
      </c>
      <c r="GI29" s="23">
        <v>0</v>
      </c>
      <c r="GJ29" s="23">
        <v>0</v>
      </c>
      <c r="GK29" s="23">
        <v>0</v>
      </c>
      <c r="GL29" s="23">
        <v>0</v>
      </c>
      <c r="GM29" s="23">
        <v>0</v>
      </c>
      <c r="GN29" s="23">
        <v>0</v>
      </c>
      <c r="GO29" s="23">
        <v>0</v>
      </c>
      <c r="GP29" s="23">
        <v>45</v>
      </c>
      <c r="GQ29" s="23">
        <v>0</v>
      </c>
      <c r="GR29" s="23">
        <v>0</v>
      </c>
      <c r="GS29" s="23">
        <v>0</v>
      </c>
      <c r="GT29" s="23">
        <v>0</v>
      </c>
      <c r="GU29" s="23">
        <v>2</v>
      </c>
      <c r="GV29" s="23">
        <v>1</v>
      </c>
      <c r="GW29" s="23">
        <v>0</v>
      </c>
      <c r="GX29" s="23">
        <v>0</v>
      </c>
      <c r="GY29" s="23">
        <v>1</v>
      </c>
      <c r="GZ29" s="23">
        <v>0</v>
      </c>
      <c r="HA29" s="23">
        <v>18</v>
      </c>
      <c r="HB29" s="23">
        <v>0</v>
      </c>
      <c r="HC29" s="23">
        <v>32</v>
      </c>
      <c r="HD29" s="23">
        <v>0</v>
      </c>
      <c r="HE29" s="23">
        <v>0</v>
      </c>
      <c r="HF29" s="23">
        <v>0</v>
      </c>
      <c r="HG29" s="23">
        <v>0</v>
      </c>
      <c r="HH29" s="23">
        <v>0</v>
      </c>
      <c r="HI29" s="23">
        <v>0</v>
      </c>
      <c r="HJ29" s="23">
        <v>8</v>
      </c>
      <c r="HK29" s="23">
        <v>0</v>
      </c>
      <c r="HL29" s="23">
        <v>0</v>
      </c>
      <c r="HM29" s="23">
        <v>0</v>
      </c>
      <c r="HN29" s="23">
        <v>0</v>
      </c>
      <c r="HO29" s="23">
        <v>0</v>
      </c>
      <c r="HP29" s="23">
        <v>0</v>
      </c>
      <c r="HQ29" s="23">
        <v>8</v>
      </c>
      <c r="HR29" s="23">
        <v>0</v>
      </c>
      <c r="HS29" s="23">
        <v>11</v>
      </c>
      <c r="HT29" s="23">
        <v>0</v>
      </c>
      <c r="HU29" s="23">
        <v>0</v>
      </c>
      <c r="HV29" s="23">
        <v>14</v>
      </c>
      <c r="HW29" s="23">
        <v>0</v>
      </c>
      <c r="HX29" s="23">
        <v>0</v>
      </c>
      <c r="HY29" s="23">
        <v>0</v>
      </c>
      <c r="HZ29" s="23">
        <v>0</v>
      </c>
      <c r="IA29" s="23">
        <v>0</v>
      </c>
      <c r="IB29" s="23">
        <v>0</v>
      </c>
      <c r="IC29" s="23">
        <v>0</v>
      </c>
      <c r="ID29" s="23">
        <v>0</v>
      </c>
      <c r="IE29" s="23">
        <v>0</v>
      </c>
      <c r="IF29" s="23">
        <v>0</v>
      </c>
      <c r="IG29" s="23">
        <v>0</v>
      </c>
      <c r="IH29" s="23">
        <v>0</v>
      </c>
      <c r="II29" s="23">
        <v>0</v>
      </c>
      <c r="IJ29" s="23">
        <v>0</v>
      </c>
      <c r="IK29" s="23">
        <v>0</v>
      </c>
      <c r="IL29" s="23">
        <v>0</v>
      </c>
      <c r="IM29" s="23">
        <v>0</v>
      </c>
      <c r="IN29" s="23">
        <v>0</v>
      </c>
      <c r="IO29" s="23">
        <v>0</v>
      </c>
      <c r="IP29" s="23">
        <v>0</v>
      </c>
      <c r="IQ29" s="23">
        <v>0</v>
      </c>
      <c r="IR29" s="23">
        <v>0</v>
      </c>
      <c r="IS29" s="23">
        <v>0</v>
      </c>
      <c r="IT29" s="23">
        <v>0</v>
      </c>
      <c r="IU29" s="23">
        <v>0</v>
      </c>
      <c r="IV29" s="23">
        <v>0</v>
      </c>
      <c r="IW29" s="23">
        <v>0</v>
      </c>
      <c r="IX29" s="23">
        <v>0</v>
      </c>
      <c r="IY29" s="23">
        <v>0</v>
      </c>
      <c r="IZ29" s="23">
        <v>0</v>
      </c>
      <c r="JA29" s="23">
        <v>0</v>
      </c>
      <c r="JB29" s="23">
        <v>0</v>
      </c>
      <c r="JC29" s="23">
        <v>0</v>
      </c>
      <c r="JD29" s="23">
        <v>0</v>
      </c>
      <c r="JE29" s="23">
        <v>0</v>
      </c>
      <c r="JF29" s="23">
        <v>0</v>
      </c>
      <c r="JG29" s="23">
        <v>0</v>
      </c>
      <c r="JH29" s="23">
        <v>0</v>
      </c>
      <c r="JI29" s="23">
        <v>0</v>
      </c>
      <c r="JJ29" s="23">
        <v>0</v>
      </c>
      <c r="JK29" s="23">
        <v>0</v>
      </c>
      <c r="JL29" s="23">
        <v>0</v>
      </c>
      <c r="JM29" s="23">
        <v>0</v>
      </c>
      <c r="JN29" s="23">
        <v>0</v>
      </c>
      <c r="JO29" s="23">
        <v>1</v>
      </c>
      <c r="JP29" s="23">
        <v>0</v>
      </c>
      <c r="JQ29" s="23">
        <v>6</v>
      </c>
      <c r="JR29" s="23">
        <v>0</v>
      </c>
      <c r="JS29" s="23">
        <v>0</v>
      </c>
      <c r="JT29" s="23">
        <v>0</v>
      </c>
      <c r="JU29" s="23">
        <v>0</v>
      </c>
      <c r="JV29" s="23">
        <v>0</v>
      </c>
      <c r="JW29" s="23">
        <v>0</v>
      </c>
      <c r="JX29" s="23">
        <v>0</v>
      </c>
      <c r="JY29" s="23">
        <v>0</v>
      </c>
      <c r="JZ29" s="23">
        <v>2</v>
      </c>
      <c r="KA29" s="23">
        <v>0</v>
      </c>
      <c r="KB29" s="23">
        <v>0</v>
      </c>
      <c r="KC29" s="23">
        <v>0</v>
      </c>
      <c r="KD29" s="23">
        <v>0</v>
      </c>
      <c r="KE29" s="23">
        <v>0</v>
      </c>
      <c r="KF29" s="23">
        <v>0</v>
      </c>
      <c r="KG29" s="23">
        <v>0</v>
      </c>
      <c r="KH29" s="23">
        <v>1</v>
      </c>
      <c r="KI29" s="23">
        <v>0</v>
      </c>
      <c r="KJ29" s="23">
        <v>0</v>
      </c>
      <c r="KK29" s="23">
        <v>0</v>
      </c>
      <c r="KL29" s="23">
        <v>0</v>
      </c>
      <c r="KM29" s="23">
        <v>0</v>
      </c>
      <c r="KN29" s="23">
        <v>0</v>
      </c>
      <c r="KO29" s="23">
        <v>0</v>
      </c>
      <c r="KP29" s="23">
        <v>0</v>
      </c>
      <c r="KQ29" s="23">
        <v>0</v>
      </c>
      <c r="KR29" s="23">
        <v>0</v>
      </c>
      <c r="KS29" s="23">
        <v>0</v>
      </c>
      <c r="KT29" s="23">
        <v>0</v>
      </c>
      <c r="KU29" s="23">
        <v>0</v>
      </c>
      <c r="KV29" s="23">
        <v>0</v>
      </c>
      <c r="KW29" s="23">
        <v>0</v>
      </c>
      <c r="KX29" s="23">
        <v>0</v>
      </c>
      <c r="KY29" s="23">
        <v>0</v>
      </c>
      <c r="KZ29" s="23">
        <v>0</v>
      </c>
      <c r="LA29" s="23">
        <v>0</v>
      </c>
      <c r="LB29" s="23">
        <v>0</v>
      </c>
      <c r="LC29" s="23">
        <v>0</v>
      </c>
      <c r="LD29" s="23">
        <v>0</v>
      </c>
      <c r="LE29" s="23">
        <v>0</v>
      </c>
      <c r="LF29" s="23">
        <v>0</v>
      </c>
      <c r="LG29" s="23">
        <v>0</v>
      </c>
      <c r="LH29" s="23">
        <v>1</v>
      </c>
      <c r="LI29" s="23">
        <v>0</v>
      </c>
      <c r="LJ29" s="23">
        <v>0</v>
      </c>
      <c r="LK29" s="23">
        <v>0</v>
      </c>
      <c r="LL29" s="23">
        <v>0</v>
      </c>
      <c r="LM29" s="23">
        <v>0</v>
      </c>
      <c r="LN29" s="278">
        <f ca="1">$A29 - TST!Sweden100dt + 1</f>
        <v>-25</v>
      </c>
      <c r="LO29" s="20">
        <f ca="1">INDEX(OFFSET(TST!HeadRow,ROW()-ROW(TST!HeadRow),0,1,COLUMNS(TST!HeadRow)),1,MATCH(LO$5,TST!HeadRow,0))/LO$8</f>
        <v>0.97751710654936474</v>
      </c>
      <c r="LP29" s="278">
        <f ca="1">$A29 - TST!Spain100dt + 1</f>
        <v>-25</v>
      </c>
      <c r="LQ29" s="20">
        <f ca="1">INDEX(OFFSET(TST!HeadRow,ROW()-ROW(TST!HeadRow),0,1,COLUMNS(TST!HeadRow)),1,MATCH(LQ$5,TST!HeadRow,0))/LQ$8</f>
        <v>0.42607584149978694</v>
      </c>
      <c r="LR29" s="285">
        <f ca="1">$A29 - TST!Victoria100dt + 1</f>
        <v>-34</v>
      </c>
      <c r="LS29" s="20">
        <f ca="1">INDEX(OFFSET(TST!HeadRow,ROW()-ROW(TST!HeadRow),0,1,COLUMNS(TST!HeadRow)),1,MATCH(LS$5,TST!HeadRow,0))/LS$8</f>
        <v>6.0340926233217678</v>
      </c>
      <c r="LT29" s="278">
        <f ca="1">$A29 - TST!Iran100dt + 1</f>
        <v>-19</v>
      </c>
      <c r="LU29" s="20">
        <f ca="1">INDEX(OFFSET(TST!HeadRow,ROW()-ROW(TST!HeadRow),0,1,COLUMNS(TST!HeadRow)),1,MATCH(LU$5,TST!HeadRow,0))/LU$8</f>
        <v>0</v>
      </c>
      <c r="LV29" s="278">
        <f ca="1">$A29 - TST!Japan100dt + 1</f>
        <v>-43</v>
      </c>
      <c r="LW29" s="20">
        <f ca="1">INDEX(OFFSET(TST!HeadRow,ROW()-ROW(TST!HeadRow),0,1,COLUMNS(TST!HeadRow)),1,MATCH(LW$5,TST!HeadRow,0))/LW$8</f>
        <v>2.0544556706662678</v>
      </c>
      <c r="LX29" s="278">
        <f ca="1">$A29 - TST!Queensland100dt + 1</f>
        <v>-33</v>
      </c>
      <c r="LY29" s="20">
        <f ca="1">INDEX(OFFSET(TST!HeadRow,ROW()-ROW(TST!HeadRow),0,1,COLUMNS(TST!HeadRow)),1,MATCH(LY$5,TST!HeadRow,0))/LY$8</f>
        <v>9.7743092446785251</v>
      </c>
      <c r="LZ29" s="278">
        <f ca="1">$A29 - TST!Tasmania100dt + 1</f>
        <v>-33</v>
      </c>
      <c r="MA29" s="20">
        <f ca="1">INDEX(OFFSET(TST!HeadRow,ROW()-ROW(TST!HeadRow),0,1,COLUMNS(TST!HeadRow)),1,MATCH(MA$5,TST!HeadRow,0))/MA$8</f>
        <v>0</v>
      </c>
      <c r="MB29" s="278">
        <f ca="1">$A29 - TST!SouthAustralia100dt + 1</f>
        <v>-32</v>
      </c>
      <c r="MC29" s="20">
        <f ca="1">INDEX(OFFSET(TST!HeadRow,ROW()-ROW(TST!HeadRow),0,1,COLUMNS(TST!HeadRow)),1,MATCH(MC$5,TST!HeadRow,0))/MC$8</f>
        <v>11.976047904191615</v>
      </c>
      <c r="MD29" s="278">
        <f ca="1">$A29 - TST!AustralianCapitalTerritory100dt + 1</f>
        <v>-38</v>
      </c>
      <c r="ME29" s="20">
        <f ca="1">INDEX(OFFSET(TST!HeadRow,ROW()-ROW(TST!HeadRow),0,1,COLUMNS(TST!HeadRow)),1,MATCH(ME$5,TST!HeadRow,0))/ME$8</f>
        <v>0</v>
      </c>
      <c r="MF29" s="278">
        <f ca="1">$A29 - TST!NorthernTerritory100dt + 1</f>
        <v>-38</v>
      </c>
      <c r="MG29" s="20">
        <f ca="1">INDEX(OFFSET(TST!HeadRow,ROW()-ROW(TST!HeadRow),0,1,COLUMNS(TST!HeadRow)),1,MATCH(MG$5,TST!HeadRow,0))/MG$8</f>
        <v>0</v>
      </c>
      <c r="MH29" s="278">
        <f ca="1">$A29 - TST!WesternAustralia100dt + 1</f>
        <v>-34</v>
      </c>
      <c r="MI29" s="20">
        <f ca="1">INDEX(OFFSET(TST!HeadRow,ROW()-ROW(TST!HeadRow),0,1,COLUMNS(TST!HeadRow)),1,MATCH(MI$5,TST!HeadRow,0))/MI$8</f>
        <v>0</v>
      </c>
      <c r="MJ29" s="278">
        <f ca="1">$A29 - TST!Germany100dt + 1</f>
        <v>-26</v>
      </c>
      <c r="MK29" s="20">
        <f ca="1">INDEX(OFFSET(TST!HeadRow,ROW()-ROW(TST!HeadRow),0,1,COLUMNS(TST!HeadRow)),1,MATCH(MK$5,TST!HeadRow,0))/MK$8</f>
        <v>1.6863406408094437</v>
      </c>
      <c r="ML29" s="278">
        <f ca="1">$A29 - TST!Denmark100dt + 1</f>
        <v>-27</v>
      </c>
      <c r="MM29" s="20">
        <f ca="1">INDEX(OFFSET(TST!HeadRow,ROW()-ROW(TST!HeadRow),0,1,COLUMNS(TST!HeadRow)),1,MATCH(MM$5,TST!HeadRow,0))/MM$8</f>
        <v>0</v>
      </c>
      <c r="MN29" s="278">
        <f ca="1">$A29 - TST!SouthAfrica100dt + 1</f>
        <v>-43</v>
      </c>
      <c r="MO29" s="20">
        <f ca="1">INDEX(OFFSET(TST!HeadRow,ROW()-ROW(TST!HeadRow),0,1,COLUMNS(TST!HeadRow)),1,MATCH(MO$5,TST!HeadRow,0))/MO$8</f>
        <v>0</v>
      </c>
      <c r="MP29" s="278">
        <f ca="1">$A29 - TST!UnitedKingdom100dt + 1</f>
        <v>-31</v>
      </c>
      <c r="MQ29" s="20">
        <f ca="1">INDEX(OFFSET(TST!HeadRow,ROW()-ROW(TST!HeadRow),0,1,COLUMNS(TST!HeadRow)),1,MATCH(MQ$5,TST!HeadRow,0))/MQ$8</f>
        <v>1.2040939193257074</v>
      </c>
      <c r="MR29" s="278">
        <f ca="1">$A29 - TST!Ireland100dt + 1</f>
        <v>-31</v>
      </c>
      <c r="MS29" s="20">
        <f ca="1">INDEX(OFFSET(TST!HeadRow,ROW()-ROW(TST!HeadRow),0,1,COLUMNS(TST!HeadRow)),1,MATCH(MS$5,TST!HeadRow,0))/MS$8</f>
        <v>0</v>
      </c>
      <c r="MT29" s="278">
        <f ca="1">$A29 - TST!Italy100dt + 1</f>
        <v>-16</v>
      </c>
      <c r="MU29" s="20">
        <f ca="1">INDEX(OFFSET(TST!HeadRow,ROW()-ROW(TST!HeadRow),0,1,COLUMNS(TST!HeadRow)),1,MATCH(MU$5,TST!HeadRow,0))/MU$8</f>
        <v>0.49599074150615857</v>
      </c>
      <c r="MV29" s="278">
        <f ca="1">$A29 - TST!US100dt + 1</f>
        <v>-33</v>
      </c>
      <c r="MW29" s="20">
        <f ca="1">INDEX(OFFSET(TST!HeadRow,ROW()-ROW(TST!HeadRow),0,1,COLUMNS(TST!HeadRow)),1,MATCH(MW$5,TST!HeadRow,0))/MW$8</f>
        <v>0.33411521761595392</v>
      </c>
      <c r="MX29" s="278">
        <f ca="1">$A29 - TST!AustraliaSum100dt + 1</f>
        <v>-33</v>
      </c>
      <c r="MY29" s="366">
        <f t="shared" si="7"/>
        <v>5.9138937076170954</v>
      </c>
      <c r="MZ29" s="278">
        <f ca="1">$A29 - TST!NewSouthWales100dt + 1</f>
        <v>-31</v>
      </c>
      <c r="NA29" s="366">
        <f ca="1">INDEX(OFFSET(TST!HeadRow,ROW()-ROW(TST!HeadRow),0,1,COLUMNS(TST!HeadRow)),1,MATCH(NA$5,TST!HeadRow,0))/NA$8</f>
        <v>4.9504950495049505</v>
      </c>
      <c r="NB29" s="278">
        <f ca="1">$A29 - TST!Taiwan100dt + 1</f>
        <v>-44</v>
      </c>
      <c r="NC29" s="366">
        <f ca="1">INDEX(OFFSET(TST!HeadRow,ROW()-ROW(TST!HeadRow),0,1,COLUMNS(TST!HeadRow)),1,MATCH(NC$5,TST!HeadRow,0))/NC$8</f>
        <v>7.5607118863883747</v>
      </c>
      <c r="ND29" s="20">
        <f ca="1">$A29 - TST!Hubei100dt + 1</f>
        <v>17</v>
      </c>
      <c r="NE29" s="20">
        <f ca="1">INDEX(OFFSET(TST!HeadRow,ROW()-ROW(TST!HeadRow),0,1,COLUMNS(TST!HeadRow)),1,MATCH(NE$5,TST!HeadRow,0))/NE$8</f>
        <v>5423.5897435897441</v>
      </c>
      <c r="NF29" s="20">
        <f ca="1">$A29 - TST!HongKong100dt + 1</f>
        <v>-13</v>
      </c>
      <c r="NG29" s="20">
        <f ca="1">INDEX(OFFSET(TST!HeadRow,ROW()-ROW(TST!HeadRow),0,1,COLUMNS(TST!HeadRow)),1,MATCH(NG$5,TST!HeadRow,0))/NG$8</f>
        <v>50.99986578982687</v>
      </c>
    </row>
    <row r="30" spans="1:371" x14ac:dyDescent="0.25">
      <c r="A30" s="243">
        <v>43872</v>
      </c>
      <c r="B30" s="23">
        <v>0</v>
      </c>
      <c r="C30" s="23">
        <v>0</v>
      </c>
      <c r="D30" s="23">
        <v>0</v>
      </c>
      <c r="E30" s="23">
        <v>0</v>
      </c>
      <c r="F30" s="23">
        <v>0</v>
      </c>
      <c r="G30" s="23">
        <v>0</v>
      </c>
      <c r="H30" s="23">
        <v>0</v>
      </c>
      <c r="I30" s="23">
        <v>0</v>
      </c>
      <c r="J30" s="23">
        <v>0</v>
      </c>
      <c r="K30" s="293">
        <v>4</v>
      </c>
      <c r="L30" s="23">
        <v>0</v>
      </c>
      <c r="M30" s="290">
        <v>5</v>
      </c>
      <c r="N30" s="23">
        <v>2</v>
      </c>
      <c r="O30" s="384">
        <v>0</v>
      </c>
      <c r="P30" s="287">
        <v>4</v>
      </c>
      <c r="Q30" s="23">
        <v>0</v>
      </c>
      <c r="R30" s="23">
        <v>0</v>
      </c>
      <c r="S30" s="23">
        <v>0</v>
      </c>
      <c r="T30" s="23">
        <v>0</v>
      </c>
      <c r="U30" s="23">
        <v>0</v>
      </c>
      <c r="V30" s="23">
        <v>0</v>
      </c>
      <c r="W30" s="23">
        <v>0</v>
      </c>
      <c r="X30" s="23">
        <v>0</v>
      </c>
      <c r="Y30" s="23">
        <v>1</v>
      </c>
      <c r="Z30" s="23">
        <v>0</v>
      </c>
      <c r="AA30" s="23">
        <v>0</v>
      </c>
      <c r="AB30" s="23">
        <v>0</v>
      </c>
      <c r="AC30" s="23">
        <v>0</v>
      </c>
      <c r="AD30" s="23">
        <v>0</v>
      </c>
      <c r="AE30" s="23">
        <v>0</v>
      </c>
      <c r="AF30" s="23">
        <v>0</v>
      </c>
      <c r="AG30" s="23">
        <v>0</v>
      </c>
      <c r="AH30" s="23">
        <v>0</v>
      </c>
      <c r="AI30" s="23">
        <v>1</v>
      </c>
      <c r="AJ30" s="23">
        <v>0</v>
      </c>
      <c r="AK30" s="23">
        <v>0</v>
      </c>
      <c r="AL30" s="23">
        <v>4</v>
      </c>
      <c r="AM30" s="23">
        <v>0</v>
      </c>
      <c r="AN30" s="23">
        <v>0</v>
      </c>
      <c r="AO30" s="23">
        <v>0</v>
      </c>
      <c r="AP30" s="23">
        <v>0</v>
      </c>
      <c r="AQ30" s="23">
        <v>0</v>
      </c>
      <c r="AR30" s="23">
        <v>3</v>
      </c>
      <c r="AS30" s="23">
        <v>0</v>
      </c>
      <c r="AT30" s="23">
        <v>0</v>
      </c>
      <c r="AU30" s="23">
        <v>0</v>
      </c>
      <c r="AV30" s="23">
        <v>0</v>
      </c>
      <c r="AW30" s="23">
        <v>0</v>
      </c>
      <c r="AX30" s="23">
        <v>0</v>
      </c>
      <c r="AY30" s="23">
        <v>860</v>
      </c>
      <c r="AZ30" s="23">
        <v>342</v>
      </c>
      <c r="BA30" s="23">
        <v>505</v>
      </c>
      <c r="BB30" s="23">
        <v>267</v>
      </c>
      <c r="BC30" s="23">
        <v>86</v>
      </c>
      <c r="BD30" s="23">
        <v>1177</v>
      </c>
      <c r="BE30" s="23">
        <v>215</v>
      </c>
      <c r="BF30" s="23">
        <v>127</v>
      </c>
      <c r="BG30" s="23">
        <v>144</v>
      </c>
      <c r="BH30" s="23">
        <v>239</v>
      </c>
      <c r="BI30" s="23">
        <v>360</v>
      </c>
      <c r="BJ30" s="23">
        <v>1105</v>
      </c>
      <c r="BK30" s="23">
        <v>49</v>
      </c>
      <c r="BL30" s="23">
        <v>33366</v>
      </c>
      <c r="BM30" s="23">
        <v>912</v>
      </c>
      <c r="BN30" s="23">
        <v>58</v>
      </c>
      <c r="BO30" s="23">
        <v>515</v>
      </c>
      <c r="BP30" s="23">
        <v>804</v>
      </c>
      <c r="BQ30" s="23">
        <v>81</v>
      </c>
      <c r="BR30" s="23">
        <v>111</v>
      </c>
      <c r="BS30" s="23">
        <v>10</v>
      </c>
      <c r="BT30" s="23">
        <v>53</v>
      </c>
      <c r="BU30" s="23">
        <v>18</v>
      </c>
      <c r="BV30" s="23">
        <v>219</v>
      </c>
      <c r="BW30" s="23">
        <v>487</v>
      </c>
      <c r="BX30" s="23">
        <v>303</v>
      </c>
      <c r="BY30" s="23">
        <v>124</v>
      </c>
      <c r="BZ30" s="23">
        <v>417</v>
      </c>
      <c r="CA30" s="23">
        <v>106</v>
      </c>
      <c r="CB30" s="23">
        <v>1</v>
      </c>
      <c r="CC30" s="23">
        <v>55</v>
      </c>
      <c r="CD30" s="23">
        <v>153</v>
      </c>
      <c r="CE30" s="23">
        <v>1117</v>
      </c>
      <c r="CF30" s="23">
        <v>0</v>
      </c>
      <c r="CG30" s="23">
        <v>0</v>
      </c>
      <c r="CH30" s="23">
        <v>0</v>
      </c>
      <c r="CI30" s="23">
        <v>0</v>
      </c>
      <c r="CJ30" s="23">
        <v>0</v>
      </c>
      <c r="CK30" s="23">
        <v>0</v>
      </c>
      <c r="CL30" s="23">
        <v>135</v>
      </c>
      <c r="CM30" s="23">
        <v>0</v>
      </c>
      <c r="CN30" s="23">
        <v>0</v>
      </c>
      <c r="CO30" s="23">
        <v>0</v>
      </c>
      <c r="CP30" s="23">
        <v>0</v>
      </c>
      <c r="CQ30" s="23">
        <v>0</v>
      </c>
      <c r="CR30" s="23">
        <v>0</v>
      </c>
      <c r="CS30" s="23">
        <v>0</v>
      </c>
      <c r="CT30" s="23">
        <v>0</v>
      </c>
      <c r="CU30" s="23">
        <v>0</v>
      </c>
      <c r="CV30" s="23">
        <v>0</v>
      </c>
      <c r="CW30" s="23">
        <v>0</v>
      </c>
      <c r="CX30" s="23">
        <v>0</v>
      </c>
      <c r="CY30" s="23">
        <v>0</v>
      </c>
      <c r="CZ30" s="23">
        <v>0</v>
      </c>
      <c r="DA30" s="23">
        <v>0</v>
      </c>
      <c r="DB30" s="23">
        <v>0</v>
      </c>
      <c r="DC30" s="23">
        <v>0</v>
      </c>
      <c r="DD30" s="23">
        <v>1</v>
      </c>
      <c r="DE30" s="23">
        <v>0</v>
      </c>
      <c r="DF30" s="23">
        <v>0</v>
      </c>
      <c r="DG30" s="23">
        <v>0</v>
      </c>
      <c r="DH30" s="23">
        <v>0</v>
      </c>
      <c r="DI30" s="23">
        <v>0</v>
      </c>
      <c r="DJ30" s="23">
        <v>0</v>
      </c>
      <c r="DK30" s="23">
        <v>0</v>
      </c>
      <c r="DL30" s="23">
        <v>0</v>
      </c>
      <c r="DM30" s="23">
        <v>0</v>
      </c>
      <c r="DN30" s="23">
        <v>11</v>
      </c>
      <c r="DO30" s="23">
        <v>0</v>
      </c>
      <c r="DP30" s="23">
        <v>0</v>
      </c>
      <c r="DQ30" s="23">
        <v>0</v>
      </c>
      <c r="DR30" s="23">
        <v>16</v>
      </c>
      <c r="DS30" s="23">
        <v>0</v>
      </c>
      <c r="DT30" s="23">
        <v>0</v>
      </c>
      <c r="DU30" s="23">
        <v>0</v>
      </c>
      <c r="DV30" s="23">
        <v>0</v>
      </c>
      <c r="DW30" s="23">
        <v>0</v>
      </c>
      <c r="DX30" s="23">
        <v>0</v>
      </c>
      <c r="DY30" s="23">
        <v>0</v>
      </c>
      <c r="DZ30" s="23">
        <v>0</v>
      </c>
      <c r="EA30" s="23">
        <v>0</v>
      </c>
      <c r="EB30" s="23">
        <v>0</v>
      </c>
      <c r="EC30" s="23">
        <v>3</v>
      </c>
      <c r="ED30" s="23">
        <v>0</v>
      </c>
      <c r="EE30" s="23">
        <v>0</v>
      </c>
      <c r="EF30" s="23">
        <v>0</v>
      </c>
      <c r="EG30" s="23">
        <v>0</v>
      </c>
      <c r="EH30" s="23">
        <v>0</v>
      </c>
      <c r="EI30" s="23">
        <v>3</v>
      </c>
      <c r="EJ30" s="23">
        <v>0</v>
      </c>
      <c r="EK30" s="23">
        <v>26</v>
      </c>
      <c r="EL30" s="23">
        <v>0</v>
      </c>
      <c r="EM30" s="23">
        <v>0</v>
      </c>
      <c r="EN30" s="23">
        <v>0</v>
      </c>
      <c r="EO30" s="23">
        <v>28</v>
      </c>
      <c r="EP30" s="23">
        <v>0</v>
      </c>
      <c r="EQ30" s="23">
        <v>0</v>
      </c>
      <c r="ER30" s="23">
        <v>0</v>
      </c>
      <c r="ES30" s="23">
        <v>0</v>
      </c>
      <c r="ET30" s="23">
        <v>0</v>
      </c>
      <c r="EU30" s="23">
        <v>0</v>
      </c>
      <c r="EV30" s="23">
        <v>0</v>
      </c>
      <c r="EW30" s="23">
        <v>0</v>
      </c>
      <c r="EX30" s="23">
        <v>0</v>
      </c>
      <c r="EY30" s="23">
        <v>18</v>
      </c>
      <c r="EZ30" s="23">
        <v>0</v>
      </c>
      <c r="FA30" s="23">
        <v>0</v>
      </c>
      <c r="FB30" s="23">
        <v>0</v>
      </c>
      <c r="FC30" s="23">
        <v>0</v>
      </c>
      <c r="FD30" s="23">
        <v>0</v>
      </c>
      <c r="FE30" s="23">
        <v>0</v>
      </c>
      <c r="FF30" s="23">
        <v>0</v>
      </c>
      <c r="FG30" s="23">
        <v>0</v>
      </c>
      <c r="FH30" s="23">
        <v>0</v>
      </c>
      <c r="FI30" s="23">
        <v>0</v>
      </c>
      <c r="FJ30" s="23">
        <v>0</v>
      </c>
      <c r="FK30" s="23">
        <v>1</v>
      </c>
      <c r="FL30" s="23">
        <v>0</v>
      </c>
      <c r="FM30" s="23">
        <v>0</v>
      </c>
      <c r="FN30" s="23">
        <v>0</v>
      </c>
      <c r="FO30" s="23">
        <v>0</v>
      </c>
      <c r="FP30" s="23">
        <v>0</v>
      </c>
      <c r="FQ30" s="23">
        <v>0</v>
      </c>
      <c r="FR30" s="23">
        <v>0</v>
      </c>
      <c r="FS30" s="23">
        <v>0</v>
      </c>
      <c r="FT30" s="23">
        <v>0</v>
      </c>
      <c r="FU30" s="23">
        <v>0</v>
      </c>
      <c r="FV30" s="23">
        <v>0</v>
      </c>
      <c r="FW30" s="23">
        <v>0</v>
      </c>
      <c r="FX30" s="23">
        <v>0</v>
      </c>
      <c r="FY30" s="23">
        <v>0</v>
      </c>
      <c r="FZ30" s="23">
        <v>0</v>
      </c>
      <c r="GA30" s="23">
        <v>0</v>
      </c>
      <c r="GB30" s="23">
        <v>3</v>
      </c>
      <c r="GC30" s="23">
        <v>0</v>
      </c>
      <c r="GD30" s="23">
        <v>0</v>
      </c>
      <c r="GE30" s="23">
        <v>0</v>
      </c>
      <c r="GF30" s="23">
        <v>0</v>
      </c>
      <c r="GG30" s="23">
        <v>2</v>
      </c>
      <c r="GH30" s="23">
        <v>0</v>
      </c>
      <c r="GI30" s="23">
        <v>0</v>
      </c>
      <c r="GJ30" s="23">
        <v>0</v>
      </c>
      <c r="GK30" s="23">
        <v>0</v>
      </c>
      <c r="GL30" s="23">
        <v>0</v>
      </c>
      <c r="GM30" s="23">
        <v>0</v>
      </c>
      <c r="GN30" s="23">
        <v>0</v>
      </c>
      <c r="GO30" s="23">
        <v>0</v>
      </c>
      <c r="GP30" s="23">
        <v>47</v>
      </c>
      <c r="GQ30" s="23">
        <v>0</v>
      </c>
      <c r="GR30" s="23">
        <v>0</v>
      </c>
      <c r="GS30" s="23">
        <v>0</v>
      </c>
      <c r="GT30" s="23">
        <v>0</v>
      </c>
      <c r="GU30" s="23">
        <v>2</v>
      </c>
      <c r="GV30" s="23">
        <v>1</v>
      </c>
      <c r="GW30" s="23">
        <v>0</v>
      </c>
      <c r="GX30" s="23">
        <v>0</v>
      </c>
      <c r="GY30" s="23">
        <v>1</v>
      </c>
      <c r="GZ30" s="23">
        <v>0</v>
      </c>
      <c r="HA30" s="23">
        <v>18</v>
      </c>
      <c r="HB30" s="23">
        <v>0</v>
      </c>
      <c r="HC30" s="23">
        <v>33</v>
      </c>
      <c r="HD30" s="23">
        <v>0</v>
      </c>
      <c r="HE30" s="23">
        <v>0</v>
      </c>
      <c r="HF30" s="23">
        <v>0</v>
      </c>
      <c r="HG30" s="23">
        <v>0</v>
      </c>
      <c r="HH30" s="23">
        <v>0</v>
      </c>
      <c r="HI30" s="23">
        <v>0</v>
      </c>
      <c r="HJ30" s="23">
        <v>8</v>
      </c>
      <c r="HK30" s="23">
        <v>0</v>
      </c>
      <c r="HL30" s="23">
        <v>0</v>
      </c>
      <c r="HM30" s="23">
        <v>0</v>
      </c>
      <c r="HN30" s="23">
        <v>0</v>
      </c>
      <c r="HO30" s="23">
        <v>0</v>
      </c>
      <c r="HP30" s="23">
        <v>0</v>
      </c>
      <c r="HQ30" s="23">
        <v>8</v>
      </c>
      <c r="HR30" s="23">
        <v>0</v>
      </c>
      <c r="HS30" s="23">
        <v>12</v>
      </c>
      <c r="HT30" s="23">
        <v>0</v>
      </c>
      <c r="HU30" s="23">
        <v>0</v>
      </c>
      <c r="HV30" s="23">
        <v>15</v>
      </c>
      <c r="HW30" s="23">
        <v>0</v>
      </c>
      <c r="HX30" s="23">
        <v>0</v>
      </c>
      <c r="HY30" s="23">
        <v>0</v>
      </c>
      <c r="HZ30" s="23">
        <v>0</v>
      </c>
      <c r="IA30" s="23">
        <v>0</v>
      </c>
      <c r="IB30" s="23">
        <v>0</v>
      </c>
      <c r="IC30" s="23">
        <v>0</v>
      </c>
      <c r="ID30" s="23">
        <v>0</v>
      </c>
      <c r="IE30" s="23">
        <v>0</v>
      </c>
      <c r="IF30" s="23">
        <v>0</v>
      </c>
      <c r="IG30" s="23">
        <v>0</v>
      </c>
      <c r="IH30" s="23">
        <v>0</v>
      </c>
      <c r="II30" s="23">
        <v>0</v>
      </c>
      <c r="IJ30" s="23">
        <v>0</v>
      </c>
      <c r="IK30" s="23">
        <v>0</v>
      </c>
      <c r="IL30" s="23">
        <v>0</v>
      </c>
      <c r="IM30" s="23">
        <v>0</v>
      </c>
      <c r="IN30" s="23">
        <v>0</v>
      </c>
      <c r="IO30" s="23">
        <v>0</v>
      </c>
      <c r="IP30" s="23">
        <v>0</v>
      </c>
      <c r="IQ30" s="23">
        <v>0</v>
      </c>
      <c r="IR30" s="23">
        <v>0</v>
      </c>
      <c r="IS30" s="23">
        <v>0</v>
      </c>
      <c r="IT30" s="23">
        <v>0</v>
      </c>
      <c r="IU30" s="23">
        <v>0</v>
      </c>
      <c r="IV30" s="23">
        <v>0</v>
      </c>
      <c r="IW30" s="23">
        <v>0</v>
      </c>
      <c r="IX30" s="23">
        <v>0</v>
      </c>
      <c r="IY30" s="23">
        <v>0</v>
      </c>
      <c r="IZ30" s="23">
        <v>0</v>
      </c>
      <c r="JA30" s="23">
        <v>0</v>
      </c>
      <c r="JB30" s="23">
        <v>0</v>
      </c>
      <c r="JC30" s="23">
        <v>0</v>
      </c>
      <c r="JD30" s="23">
        <v>0</v>
      </c>
      <c r="JE30" s="23">
        <v>0</v>
      </c>
      <c r="JF30" s="23">
        <v>0</v>
      </c>
      <c r="JG30" s="23">
        <v>0</v>
      </c>
      <c r="JH30" s="23">
        <v>0</v>
      </c>
      <c r="JI30" s="23">
        <v>0</v>
      </c>
      <c r="JJ30" s="23">
        <v>0</v>
      </c>
      <c r="JK30" s="23">
        <v>0</v>
      </c>
      <c r="JL30" s="23">
        <v>0</v>
      </c>
      <c r="JM30" s="23">
        <v>0</v>
      </c>
      <c r="JN30" s="23">
        <v>0</v>
      </c>
      <c r="JO30" s="23">
        <v>1</v>
      </c>
      <c r="JP30" s="23">
        <v>0</v>
      </c>
      <c r="JQ30" s="23">
        <v>7</v>
      </c>
      <c r="JR30" s="23">
        <v>0</v>
      </c>
      <c r="JS30" s="23">
        <v>0</v>
      </c>
      <c r="JT30" s="23">
        <v>0</v>
      </c>
      <c r="JU30" s="23">
        <v>0</v>
      </c>
      <c r="JV30" s="23">
        <v>0</v>
      </c>
      <c r="JW30" s="23">
        <v>0</v>
      </c>
      <c r="JX30" s="23">
        <v>0</v>
      </c>
      <c r="JY30" s="23">
        <v>0</v>
      </c>
      <c r="JZ30" s="23">
        <v>2</v>
      </c>
      <c r="KA30" s="23">
        <v>0</v>
      </c>
      <c r="KB30" s="23">
        <v>0</v>
      </c>
      <c r="KC30" s="23">
        <v>0</v>
      </c>
      <c r="KD30" s="23">
        <v>0</v>
      </c>
      <c r="KE30" s="23">
        <v>0</v>
      </c>
      <c r="KF30" s="23">
        <v>0</v>
      </c>
      <c r="KG30" s="23">
        <v>0</v>
      </c>
      <c r="KH30" s="23">
        <v>1</v>
      </c>
      <c r="KI30" s="23">
        <v>0</v>
      </c>
      <c r="KJ30" s="23">
        <v>0</v>
      </c>
      <c r="KK30" s="23">
        <v>0</v>
      </c>
      <c r="KL30" s="23">
        <v>0</v>
      </c>
      <c r="KM30" s="23">
        <v>0</v>
      </c>
      <c r="KN30" s="23">
        <v>0</v>
      </c>
      <c r="KO30" s="23">
        <v>0</v>
      </c>
      <c r="KP30" s="23">
        <v>0</v>
      </c>
      <c r="KQ30" s="23">
        <v>0</v>
      </c>
      <c r="KR30" s="23">
        <v>0</v>
      </c>
      <c r="KS30" s="23">
        <v>0</v>
      </c>
      <c r="KT30" s="23">
        <v>0</v>
      </c>
      <c r="KU30" s="23">
        <v>0</v>
      </c>
      <c r="KV30" s="23">
        <v>0</v>
      </c>
      <c r="KW30" s="23">
        <v>0</v>
      </c>
      <c r="KX30" s="23">
        <v>0</v>
      </c>
      <c r="KY30" s="23">
        <v>0</v>
      </c>
      <c r="KZ30" s="23">
        <v>0</v>
      </c>
      <c r="LA30" s="23">
        <v>0</v>
      </c>
      <c r="LB30" s="23">
        <v>0</v>
      </c>
      <c r="LC30" s="23">
        <v>0</v>
      </c>
      <c r="LD30" s="23">
        <v>0</v>
      </c>
      <c r="LE30" s="23">
        <v>0</v>
      </c>
      <c r="LF30" s="23">
        <v>0</v>
      </c>
      <c r="LG30" s="23">
        <v>0</v>
      </c>
      <c r="LH30" s="23">
        <v>1</v>
      </c>
      <c r="LI30" s="23">
        <v>0</v>
      </c>
      <c r="LJ30" s="23">
        <v>0</v>
      </c>
      <c r="LK30" s="23">
        <v>0</v>
      </c>
      <c r="LL30" s="23">
        <v>0</v>
      </c>
      <c r="LM30" s="23">
        <v>0</v>
      </c>
      <c r="LN30" s="278">
        <f ca="1">$A30 - TST!Sweden100dt + 1</f>
        <v>-24</v>
      </c>
      <c r="LO30" s="20">
        <f ca="1">INDEX(OFFSET(TST!HeadRow,ROW()-ROW(TST!HeadRow),0,1,COLUMNS(TST!HeadRow)),1,MATCH(LO$5,TST!HeadRow,0))/LO$8</f>
        <v>0.97751710654936474</v>
      </c>
      <c r="LP30" s="278">
        <f ca="1">$A30 - TST!Spain100dt + 1</f>
        <v>-24</v>
      </c>
      <c r="LQ30" s="20">
        <f ca="1">INDEX(OFFSET(TST!HeadRow,ROW()-ROW(TST!HeadRow),0,1,COLUMNS(TST!HeadRow)),1,MATCH(LQ$5,TST!HeadRow,0))/LQ$8</f>
        <v>0.42607584149978694</v>
      </c>
      <c r="LR30" s="285">
        <f ca="1">$A30 - TST!Victoria100dt + 1</f>
        <v>-33</v>
      </c>
      <c r="LS30" s="20">
        <f ca="1">INDEX(OFFSET(TST!HeadRow,ROW()-ROW(TST!HeadRow),0,1,COLUMNS(TST!HeadRow)),1,MATCH(LS$5,TST!HeadRow,0))/LS$8</f>
        <v>6.0340926233217678</v>
      </c>
      <c r="LT30" s="278">
        <f ca="1">$A30 - TST!Iran100dt + 1</f>
        <v>-18</v>
      </c>
      <c r="LU30" s="20">
        <f ca="1">INDEX(OFFSET(TST!HeadRow,ROW()-ROW(TST!HeadRow),0,1,COLUMNS(TST!HeadRow)),1,MATCH(LU$5,TST!HeadRow,0))/LU$8</f>
        <v>0</v>
      </c>
      <c r="LV30" s="278">
        <f ca="1">$A30 - TST!Japan100dt + 1</f>
        <v>-42</v>
      </c>
      <c r="LW30" s="20">
        <f ca="1">INDEX(OFFSET(TST!HeadRow,ROW()-ROW(TST!HeadRow),0,1,COLUMNS(TST!HeadRow)),1,MATCH(LW$5,TST!HeadRow,0))/LW$8</f>
        <v>2.0544556706662678</v>
      </c>
      <c r="LX30" s="278">
        <f ca="1">$A30 - TST!Queensland100dt + 1</f>
        <v>-32</v>
      </c>
      <c r="LY30" s="20">
        <f ca="1">INDEX(OFFSET(TST!HeadRow,ROW()-ROW(TST!HeadRow),0,1,COLUMNS(TST!HeadRow)),1,MATCH(LY$5,TST!HeadRow,0))/LY$8</f>
        <v>9.7743092446785251</v>
      </c>
      <c r="LZ30" s="278">
        <f ca="1">$A30 - TST!Tasmania100dt + 1</f>
        <v>-32</v>
      </c>
      <c r="MA30" s="20">
        <f ca="1">INDEX(OFFSET(TST!HeadRow,ROW()-ROW(TST!HeadRow),0,1,COLUMNS(TST!HeadRow)),1,MATCH(MA$5,TST!HeadRow,0))/MA$8</f>
        <v>0</v>
      </c>
      <c r="MB30" s="278">
        <f ca="1">$A30 - TST!SouthAustralia100dt + 1</f>
        <v>-31</v>
      </c>
      <c r="MC30" s="20">
        <f ca="1">INDEX(OFFSET(TST!HeadRow,ROW()-ROW(TST!HeadRow),0,1,COLUMNS(TST!HeadRow)),1,MATCH(MC$5,TST!HeadRow,0))/MC$8</f>
        <v>11.976047904191615</v>
      </c>
      <c r="MD30" s="278">
        <f ca="1">$A30 - TST!AustralianCapitalTerritory100dt + 1</f>
        <v>-37</v>
      </c>
      <c r="ME30" s="20">
        <f ca="1">INDEX(OFFSET(TST!HeadRow,ROW()-ROW(TST!HeadRow),0,1,COLUMNS(TST!HeadRow)),1,MATCH(ME$5,TST!HeadRow,0))/ME$8</f>
        <v>0</v>
      </c>
      <c r="MF30" s="278">
        <f ca="1">$A30 - TST!NorthernTerritory100dt + 1</f>
        <v>-37</v>
      </c>
      <c r="MG30" s="20">
        <f ca="1">INDEX(OFFSET(TST!HeadRow,ROW()-ROW(TST!HeadRow),0,1,COLUMNS(TST!HeadRow)),1,MATCH(MG$5,TST!HeadRow,0))/MG$8</f>
        <v>0</v>
      </c>
      <c r="MH30" s="278">
        <f ca="1">$A30 - TST!WesternAustralia100dt + 1</f>
        <v>-33</v>
      </c>
      <c r="MI30" s="20">
        <f ca="1">INDEX(OFFSET(TST!HeadRow,ROW()-ROW(TST!HeadRow),0,1,COLUMNS(TST!HeadRow)),1,MATCH(MI$5,TST!HeadRow,0))/MI$8</f>
        <v>0</v>
      </c>
      <c r="MJ30" s="278">
        <f ca="1">$A30 - TST!Germany100dt + 1</f>
        <v>-25</v>
      </c>
      <c r="MK30" s="20">
        <f ca="1">INDEX(OFFSET(TST!HeadRow,ROW()-ROW(TST!HeadRow),0,1,COLUMNS(TST!HeadRow)),1,MATCH(MK$5,TST!HeadRow,0))/MK$8</f>
        <v>1.9272464466393642</v>
      </c>
      <c r="ML30" s="278">
        <f ca="1">$A30 - TST!Denmark100dt + 1</f>
        <v>-26</v>
      </c>
      <c r="MM30" s="20">
        <f ca="1">INDEX(OFFSET(TST!HeadRow,ROW()-ROW(TST!HeadRow),0,1,COLUMNS(TST!HeadRow)),1,MATCH(MM$5,TST!HeadRow,0))/MM$8</f>
        <v>0</v>
      </c>
      <c r="MN30" s="278">
        <f ca="1">$A30 - TST!SouthAfrica100dt + 1</f>
        <v>-42</v>
      </c>
      <c r="MO30" s="20">
        <f ca="1">INDEX(OFFSET(TST!HeadRow,ROW()-ROW(TST!HeadRow),0,1,COLUMNS(TST!HeadRow)),1,MATCH(MO$5,TST!HeadRow,0))/MO$8</f>
        <v>0</v>
      </c>
      <c r="MP30" s="278">
        <f ca="1">$A30 - TST!UnitedKingdom100dt + 1</f>
        <v>-30</v>
      </c>
      <c r="MQ30" s="20">
        <f ca="1">INDEX(OFFSET(TST!HeadRow,ROW()-ROW(TST!HeadRow),0,1,COLUMNS(TST!HeadRow)),1,MATCH(MQ$5,TST!HeadRow,0))/MQ$8</f>
        <v>1.2040939193257074</v>
      </c>
      <c r="MR30" s="278">
        <f ca="1">$A30 - TST!Ireland100dt + 1</f>
        <v>-30</v>
      </c>
      <c r="MS30" s="20">
        <f ca="1">INDEX(OFFSET(TST!HeadRow,ROW()-ROW(TST!HeadRow),0,1,COLUMNS(TST!HeadRow)),1,MATCH(MS$5,TST!HeadRow,0))/MS$8</f>
        <v>0</v>
      </c>
      <c r="MT30" s="278">
        <f ca="1">$A30 - TST!Italy100dt + 1</f>
        <v>-15</v>
      </c>
      <c r="MU30" s="20">
        <f ca="1">INDEX(OFFSET(TST!HeadRow,ROW()-ROW(TST!HeadRow),0,1,COLUMNS(TST!HeadRow)),1,MATCH(MU$5,TST!HeadRow,0))/MU$8</f>
        <v>0.49599074150615857</v>
      </c>
      <c r="MV30" s="278">
        <f ca="1">$A30 - TST!US100dt + 1</f>
        <v>-32</v>
      </c>
      <c r="MW30" s="20">
        <f ca="1">INDEX(OFFSET(TST!HeadRow,ROW()-ROW(TST!HeadRow),0,1,COLUMNS(TST!HeadRow)),1,MATCH(MW$5,TST!HeadRow,0))/MW$8</f>
        <v>0.36448932830831338</v>
      </c>
      <c r="MX30" s="278">
        <f ca="1">$A30 - TST!AustraliaSum100dt + 1</f>
        <v>-32</v>
      </c>
      <c r="MY30" s="366">
        <f t="shared" si="7"/>
        <v>5.9138937076170954</v>
      </c>
      <c r="MZ30" s="278">
        <f ca="1">$A30 - TST!NewSouthWales100dt + 1</f>
        <v>-30</v>
      </c>
      <c r="NA30" s="366">
        <f ca="1">INDEX(OFFSET(TST!HeadRow,ROW()-ROW(TST!HeadRow),0,1,COLUMNS(TST!HeadRow)),1,MATCH(NA$5,TST!HeadRow,0))/NA$8</f>
        <v>4.9504950495049505</v>
      </c>
      <c r="NB30" s="278">
        <f ca="1">$A30 - TST!Taiwan100dt + 1</f>
        <v>-43</v>
      </c>
      <c r="NC30" s="366">
        <f ca="1">INDEX(OFFSET(TST!HeadRow,ROW()-ROW(TST!HeadRow),0,1,COLUMNS(TST!HeadRow)),1,MATCH(NC$5,TST!HeadRow,0))/NC$8</f>
        <v>7.5607118863883747</v>
      </c>
      <c r="ND30" s="20">
        <f ca="1">$A30 - TST!Hubei100dt + 1</f>
        <v>18</v>
      </c>
      <c r="NE30" s="20">
        <f ca="1">INDEX(OFFSET(TST!HeadRow,ROW()-ROW(TST!HeadRow),0,1,COLUMNS(TST!HeadRow)),1,MATCH(NE$5,TST!HeadRow,0))/NE$8</f>
        <v>5703.5897435897441</v>
      </c>
      <c r="NF30" s="20">
        <f ca="1">$A30 - TST!HongKong100dt + 1</f>
        <v>-12</v>
      </c>
      <c r="NG30" s="20">
        <f ca="1">INDEX(OFFSET(TST!HeadRow,ROW()-ROW(TST!HeadRow),0,1,COLUMNS(TST!HeadRow)),1,MATCH(NG$5,TST!HeadRow,0))/NG$8</f>
        <v>65.762984834250432</v>
      </c>
    </row>
    <row r="31" spans="1:371" x14ac:dyDescent="0.25">
      <c r="A31" s="243">
        <v>43873</v>
      </c>
      <c r="B31" s="23">
        <v>0</v>
      </c>
      <c r="C31" s="23">
        <v>0</v>
      </c>
      <c r="D31" s="23">
        <v>0</v>
      </c>
      <c r="E31" s="23">
        <v>0</v>
      </c>
      <c r="F31" s="23">
        <v>0</v>
      </c>
      <c r="G31" s="23">
        <v>0</v>
      </c>
      <c r="H31" s="23">
        <v>0</v>
      </c>
      <c r="I31" s="23">
        <v>0</v>
      </c>
      <c r="J31" s="23">
        <v>0</v>
      </c>
      <c r="K31" s="293">
        <v>4</v>
      </c>
      <c r="L31" s="23">
        <v>0</v>
      </c>
      <c r="M31" s="290">
        <v>5</v>
      </c>
      <c r="N31" s="23">
        <v>2</v>
      </c>
      <c r="O31" s="384">
        <v>0</v>
      </c>
      <c r="P31" s="287">
        <v>4</v>
      </c>
      <c r="Q31" s="23">
        <v>0</v>
      </c>
      <c r="R31" s="23">
        <v>0</v>
      </c>
      <c r="S31" s="23">
        <v>0</v>
      </c>
      <c r="T31" s="23">
        <v>0</v>
      </c>
      <c r="U31" s="23">
        <v>0</v>
      </c>
      <c r="V31" s="23">
        <v>0</v>
      </c>
      <c r="W31" s="23">
        <v>0</v>
      </c>
      <c r="X31" s="23">
        <v>0</v>
      </c>
      <c r="Y31" s="23">
        <v>1</v>
      </c>
      <c r="Z31" s="23">
        <v>0</v>
      </c>
      <c r="AA31" s="23">
        <v>0</v>
      </c>
      <c r="AB31" s="23">
        <v>0</v>
      </c>
      <c r="AC31" s="23">
        <v>0</v>
      </c>
      <c r="AD31" s="23">
        <v>0</v>
      </c>
      <c r="AE31" s="23">
        <v>0</v>
      </c>
      <c r="AF31" s="23">
        <v>0</v>
      </c>
      <c r="AG31" s="23">
        <v>0</v>
      </c>
      <c r="AH31" s="23">
        <v>0</v>
      </c>
      <c r="AI31" s="23">
        <v>1</v>
      </c>
      <c r="AJ31" s="23">
        <v>0</v>
      </c>
      <c r="AK31" s="23">
        <v>0</v>
      </c>
      <c r="AL31" s="23">
        <v>4</v>
      </c>
      <c r="AM31" s="23">
        <v>0</v>
      </c>
      <c r="AN31" s="23">
        <v>0</v>
      </c>
      <c r="AO31" s="23">
        <v>0</v>
      </c>
      <c r="AP31" s="23">
        <v>0</v>
      </c>
      <c r="AQ31" s="23">
        <v>0</v>
      </c>
      <c r="AR31" s="23">
        <v>3</v>
      </c>
      <c r="AS31" s="23">
        <v>0</v>
      </c>
      <c r="AT31" s="23">
        <v>0</v>
      </c>
      <c r="AU31" s="23">
        <v>0</v>
      </c>
      <c r="AV31" s="23">
        <v>0</v>
      </c>
      <c r="AW31" s="23">
        <v>0</v>
      </c>
      <c r="AX31" s="23">
        <v>0</v>
      </c>
      <c r="AY31" s="23">
        <v>889</v>
      </c>
      <c r="AZ31" s="23">
        <v>352</v>
      </c>
      <c r="BA31" s="23">
        <v>518</v>
      </c>
      <c r="BB31" s="23">
        <v>272</v>
      </c>
      <c r="BC31" s="23">
        <v>87</v>
      </c>
      <c r="BD31" s="23">
        <v>1219</v>
      </c>
      <c r="BE31" s="23">
        <v>222</v>
      </c>
      <c r="BF31" s="23">
        <v>133</v>
      </c>
      <c r="BG31" s="23">
        <v>157</v>
      </c>
      <c r="BH31" s="23">
        <v>251</v>
      </c>
      <c r="BI31" s="23">
        <v>378</v>
      </c>
      <c r="BJ31" s="23">
        <v>1135</v>
      </c>
      <c r="BK31" s="23">
        <v>50</v>
      </c>
      <c r="BL31" s="23">
        <v>33366</v>
      </c>
      <c r="BM31" s="23">
        <v>946</v>
      </c>
      <c r="BN31" s="23">
        <v>60</v>
      </c>
      <c r="BO31" s="23">
        <v>543</v>
      </c>
      <c r="BP31" s="23">
        <v>844</v>
      </c>
      <c r="BQ31" s="23">
        <v>83</v>
      </c>
      <c r="BR31" s="23">
        <v>116</v>
      </c>
      <c r="BS31" s="23">
        <v>10</v>
      </c>
      <c r="BT31" s="23">
        <v>58</v>
      </c>
      <c r="BU31" s="23">
        <v>18</v>
      </c>
      <c r="BV31" s="23">
        <v>225</v>
      </c>
      <c r="BW31" s="23">
        <v>497</v>
      </c>
      <c r="BX31" s="23">
        <v>311</v>
      </c>
      <c r="BY31" s="23">
        <v>126</v>
      </c>
      <c r="BZ31" s="23">
        <v>436</v>
      </c>
      <c r="CA31" s="23">
        <v>112</v>
      </c>
      <c r="CB31" s="23">
        <v>1</v>
      </c>
      <c r="CC31" s="23">
        <v>59</v>
      </c>
      <c r="CD31" s="23">
        <v>154</v>
      </c>
      <c r="CE31" s="23">
        <v>1131</v>
      </c>
      <c r="CF31" s="23">
        <v>0</v>
      </c>
      <c r="CG31" s="23">
        <v>0</v>
      </c>
      <c r="CH31" s="23">
        <v>0</v>
      </c>
      <c r="CI31" s="23">
        <v>0</v>
      </c>
      <c r="CJ31" s="23">
        <v>0</v>
      </c>
      <c r="CK31" s="23">
        <v>0</v>
      </c>
      <c r="CL31" s="23">
        <v>175</v>
      </c>
      <c r="CM31" s="23">
        <v>0</v>
      </c>
      <c r="CN31" s="23">
        <v>0</v>
      </c>
      <c r="CO31" s="23">
        <v>0</v>
      </c>
      <c r="CP31" s="23">
        <v>0</v>
      </c>
      <c r="CQ31" s="23">
        <v>0</v>
      </c>
      <c r="CR31" s="23">
        <v>0</v>
      </c>
      <c r="CS31" s="23">
        <v>0</v>
      </c>
      <c r="CT31" s="23">
        <v>0</v>
      </c>
      <c r="CU31" s="23">
        <v>0</v>
      </c>
      <c r="CV31" s="23">
        <v>0</v>
      </c>
      <c r="CW31" s="23">
        <v>0</v>
      </c>
      <c r="CX31" s="23">
        <v>0</v>
      </c>
      <c r="CY31" s="23">
        <v>0</v>
      </c>
      <c r="CZ31" s="23">
        <v>0</v>
      </c>
      <c r="DA31" s="23">
        <v>0</v>
      </c>
      <c r="DB31" s="23">
        <v>0</v>
      </c>
      <c r="DC31" s="23">
        <v>0</v>
      </c>
      <c r="DD31" s="23">
        <v>1</v>
      </c>
      <c r="DE31" s="23">
        <v>0</v>
      </c>
      <c r="DF31" s="23">
        <v>0</v>
      </c>
      <c r="DG31" s="23">
        <v>0</v>
      </c>
      <c r="DH31" s="23">
        <v>0</v>
      </c>
      <c r="DI31" s="23">
        <v>0</v>
      </c>
      <c r="DJ31" s="23">
        <v>0</v>
      </c>
      <c r="DK31" s="23">
        <v>0</v>
      </c>
      <c r="DL31" s="23">
        <v>0</v>
      </c>
      <c r="DM31" s="23">
        <v>0</v>
      </c>
      <c r="DN31" s="23">
        <v>11</v>
      </c>
      <c r="DO31" s="23">
        <v>0</v>
      </c>
      <c r="DP31" s="23">
        <v>0</v>
      </c>
      <c r="DQ31" s="23">
        <v>0</v>
      </c>
      <c r="DR31" s="23">
        <v>16</v>
      </c>
      <c r="DS31" s="23">
        <v>0</v>
      </c>
      <c r="DT31" s="23">
        <v>0</v>
      </c>
      <c r="DU31" s="23">
        <v>0</v>
      </c>
      <c r="DV31" s="23">
        <v>0</v>
      </c>
      <c r="DW31" s="23">
        <v>0</v>
      </c>
      <c r="DX31" s="23">
        <v>0</v>
      </c>
      <c r="DY31" s="23">
        <v>0</v>
      </c>
      <c r="DZ31" s="23">
        <v>0</v>
      </c>
      <c r="EA31" s="23">
        <v>0</v>
      </c>
      <c r="EB31" s="23">
        <v>0</v>
      </c>
      <c r="EC31" s="23">
        <v>3</v>
      </c>
      <c r="ED31" s="23">
        <v>0</v>
      </c>
      <c r="EE31" s="23">
        <v>0</v>
      </c>
      <c r="EF31" s="23">
        <v>0</v>
      </c>
      <c r="EG31" s="23">
        <v>0</v>
      </c>
      <c r="EH31" s="23">
        <v>0</v>
      </c>
      <c r="EI31" s="23">
        <v>3</v>
      </c>
      <c r="EJ31" s="23">
        <v>0</v>
      </c>
      <c r="EK31" s="23">
        <v>28</v>
      </c>
      <c r="EL31" s="23">
        <v>0</v>
      </c>
      <c r="EM31" s="23">
        <v>0</v>
      </c>
      <c r="EN31" s="23">
        <v>0</v>
      </c>
      <c r="EO31" s="23">
        <v>28</v>
      </c>
      <c r="EP31" s="23">
        <v>0</v>
      </c>
      <c r="EQ31" s="23">
        <v>0</v>
      </c>
      <c r="ER31" s="23">
        <v>0</v>
      </c>
      <c r="ES31" s="23">
        <v>0</v>
      </c>
      <c r="ET31" s="23">
        <v>0</v>
      </c>
      <c r="EU31" s="23">
        <v>0</v>
      </c>
      <c r="EV31" s="23">
        <v>0</v>
      </c>
      <c r="EW31" s="23">
        <v>0</v>
      </c>
      <c r="EX31" s="23">
        <v>0</v>
      </c>
      <c r="EY31" s="23">
        <v>18</v>
      </c>
      <c r="EZ31" s="23">
        <v>0</v>
      </c>
      <c r="FA31" s="23">
        <v>0</v>
      </c>
      <c r="FB31" s="23">
        <v>0</v>
      </c>
      <c r="FC31" s="23">
        <v>0</v>
      </c>
      <c r="FD31" s="23">
        <v>0</v>
      </c>
      <c r="FE31" s="23">
        <v>0</v>
      </c>
      <c r="FF31" s="23">
        <v>0</v>
      </c>
      <c r="FG31" s="23">
        <v>0</v>
      </c>
      <c r="FH31" s="23">
        <v>0</v>
      </c>
      <c r="FI31" s="23">
        <v>0</v>
      </c>
      <c r="FJ31" s="23">
        <v>0</v>
      </c>
      <c r="FK31" s="23">
        <v>1</v>
      </c>
      <c r="FL31" s="23">
        <v>0</v>
      </c>
      <c r="FM31" s="23">
        <v>0</v>
      </c>
      <c r="FN31" s="23">
        <v>0</v>
      </c>
      <c r="FO31" s="23">
        <v>0</v>
      </c>
      <c r="FP31" s="23">
        <v>0</v>
      </c>
      <c r="FQ31" s="23">
        <v>0</v>
      </c>
      <c r="FR31" s="23">
        <v>0</v>
      </c>
      <c r="FS31" s="23">
        <v>0</v>
      </c>
      <c r="FT31" s="23">
        <v>0</v>
      </c>
      <c r="FU31" s="23">
        <v>0</v>
      </c>
      <c r="FV31" s="23">
        <v>0</v>
      </c>
      <c r="FW31" s="23">
        <v>0</v>
      </c>
      <c r="FX31" s="23">
        <v>0</v>
      </c>
      <c r="FY31" s="23">
        <v>0</v>
      </c>
      <c r="FZ31" s="23">
        <v>0</v>
      </c>
      <c r="GA31" s="23">
        <v>0</v>
      </c>
      <c r="GB31" s="23">
        <v>3</v>
      </c>
      <c r="GC31" s="23">
        <v>0</v>
      </c>
      <c r="GD31" s="23">
        <v>0</v>
      </c>
      <c r="GE31" s="23">
        <v>0</v>
      </c>
      <c r="GF31" s="23">
        <v>0</v>
      </c>
      <c r="GG31" s="23">
        <v>2</v>
      </c>
      <c r="GH31" s="23">
        <v>0</v>
      </c>
      <c r="GI31" s="23">
        <v>0</v>
      </c>
      <c r="GJ31" s="23">
        <v>0</v>
      </c>
      <c r="GK31" s="23">
        <v>0</v>
      </c>
      <c r="GL31" s="23">
        <v>0</v>
      </c>
      <c r="GM31" s="23">
        <v>0</v>
      </c>
      <c r="GN31" s="23">
        <v>0</v>
      </c>
      <c r="GO31" s="23">
        <v>0</v>
      </c>
      <c r="GP31" s="23">
        <v>50</v>
      </c>
      <c r="GQ31" s="23">
        <v>0</v>
      </c>
      <c r="GR31" s="23">
        <v>0</v>
      </c>
      <c r="GS31" s="23">
        <v>0</v>
      </c>
      <c r="GT31" s="23">
        <v>0</v>
      </c>
      <c r="GU31" s="23">
        <v>2</v>
      </c>
      <c r="GV31" s="23">
        <v>1</v>
      </c>
      <c r="GW31" s="23">
        <v>0</v>
      </c>
      <c r="GX31" s="23">
        <v>0</v>
      </c>
      <c r="GY31" s="23">
        <v>1</v>
      </c>
      <c r="GZ31" s="23">
        <v>0</v>
      </c>
      <c r="HA31" s="23">
        <v>18</v>
      </c>
      <c r="HB31" s="23">
        <v>0</v>
      </c>
      <c r="HC31" s="23">
        <v>33</v>
      </c>
      <c r="HD31" s="23">
        <v>0</v>
      </c>
      <c r="HE31" s="23">
        <v>0</v>
      </c>
      <c r="HF31" s="23">
        <v>0</v>
      </c>
      <c r="HG31" s="23">
        <v>0</v>
      </c>
      <c r="HH31" s="23">
        <v>0</v>
      </c>
      <c r="HI31" s="23">
        <v>0</v>
      </c>
      <c r="HJ31" s="23">
        <v>8</v>
      </c>
      <c r="HK31" s="23">
        <v>0</v>
      </c>
      <c r="HL31" s="23">
        <v>0</v>
      </c>
      <c r="HM31" s="23">
        <v>0</v>
      </c>
      <c r="HN31" s="23">
        <v>0</v>
      </c>
      <c r="HO31" s="23">
        <v>0</v>
      </c>
      <c r="HP31" s="23">
        <v>0</v>
      </c>
      <c r="HQ31" s="23">
        <v>9</v>
      </c>
      <c r="HR31" s="23">
        <v>0</v>
      </c>
      <c r="HS31" s="23">
        <v>12</v>
      </c>
      <c r="HT31" s="23">
        <v>0</v>
      </c>
      <c r="HU31" s="23">
        <v>0</v>
      </c>
      <c r="HV31" s="23">
        <v>15</v>
      </c>
      <c r="HW31" s="23">
        <v>0</v>
      </c>
      <c r="HX31" s="23">
        <v>0</v>
      </c>
      <c r="HY31" s="23">
        <v>0</v>
      </c>
      <c r="HZ31" s="23">
        <v>0</v>
      </c>
      <c r="IA31" s="23">
        <v>0</v>
      </c>
      <c r="IB31" s="23">
        <v>0</v>
      </c>
      <c r="IC31" s="23">
        <v>0</v>
      </c>
      <c r="ID31" s="23">
        <v>0</v>
      </c>
      <c r="IE31" s="23">
        <v>0</v>
      </c>
      <c r="IF31" s="23">
        <v>0</v>
      </c>
      <c r="IG31" s="23">
        <v>0</v>
      </c>
      <c r="IH31" s="23">
        <v>0</v>
      </c>
      <c r="II31" s="23">
        <v>0</v>
      </c>
      <c r="IJ31" s="23">
        <v>0</v>
      </c>
      <c r="IK31" s="23">
        <v>0</v>
      </c>
      <c r="IL31" s="23">
        <v>0</v>
      </c>
      <c r="IM31" s="23">
        <v>0</v>
      </c>
      <c r="IN31" s="23">
        <v>0</v>
      </c>
      <c r="IO31" s="23">
        <v>0</v>
      </c>
      <c r="IP31" s="23">
        <v>0</v>
      </c>
      <c r="IQ31" s="23">
        <v>0</v>
      </c>
      <c r="IR31" s="23">
        <v>0</v>
      </c>
      <c r="IS31" s="23">
        <v>0</v>
      </c>
      <c r="IT31" s="23">
        <v>0</v>
      </c>
      <c r="IU31" s="23">
        <v>0</v>
      </c>
      <c r="IV31" s="23">
        <v>0</v>
      </c>
      <c r="IW31" s="23">
        <v>0</v>
      </c>
      <c r="IX31" s="23">
        <v>0</v>
      </c>
      <c r="IY31" s="23">
        <v>0</v>
      </c>
      <c r="IZ31" s="23">
        <v>0</v>
      </c>
      <c r="JA31" s="23">
        <v>0</v>
      </c>
      <c r="JB31" s="23">
        <v>0</v>
      </c>
      <c r="JC31" s="23">
        <v>0</v>
      </c>
      <c r="JD31" s="23">
        <v>0</v>
      </c>
      <c r="JE31" s="23">
        <v>0</v>
      </c>
      <c r="JF31" s="23">
        <v>0</v>
      </c>
      <c r="JG31" s="23">
        <v>0</v>
      </c>
      <c r="JH31" s="23">
        <v>0</v>
      </c>
      <c r="JI31" s="23">
        <v>0</v>
      </c>
      <c r="JJ31" s="23">
        <v>0</v>
      </c>
      <c r="JK31" s="23">
        <v>0</v>
      </c>
      <c r="JL31" s="23">
        <v>0</v>
      </c>
      <c r="JM31" s="23">
        <v>0</v>
      </c>
      <c r="JN31" s="23">
        <v>0</v>
      </c>
      <c r="JO31" s="23">
        <v>1</v>
      </c>
      <c r="JP31" s="23">
        <v>0</v>
      </c>
      <c r="JQ31" s="23">
        <v>7</v>
      </c>
      <c r="JR31" s="23">
        <v>0</v>
      </c>
      <c r="JS31" s="23">
        <v>0</v>
      </c>
      <c r="JT31" s="23">
        <v>0</v>
      </c>
      <c r="JU31" s="23">
        <v>0</v>
      </c>
      <c r="JV31" s="23">
        <v>0</v>
      </c>
      <c r="JW31" s="23">
        <v>0</v>
      </c>
      <c r="JX31" s="23">
        <v>0</v>
      </c>
      <c r="JY31" s="23">
        <v>0</v>
      </c>
      <c r="JZ31" s="23">
        <v>2</v>
      </c>
      <c r="KA31" s="23">
        <v>0</v>
      </c>
      <c r="KB31" s="23">
        <v>0</v>
      </c>
      <c r="KC31" s="23">
        <v>0</v>
      </c>
      <c r="KD31" s="23">
        <v>0</v>
      </c>
      <c r="KE31" s="23">
        <v>0</v>
      </c>
      <c r="KF31" s="23">
        <v>0</v>
      </c>
      <c r="KG31" s="23">
        <v>0</v>
      </c>
      <c r="KH31" s="23">
        <v>1</v>
      </c>
      <c r="KI31" s="23">
        <v>0</v>
      </c>
      <c r="KJ31" s="23">
        <v>0</v>
      </c>
      <c r="KK31" s="23">
        <v>0</v>
      </c>
      <c r="KL31" s="23">
        <v>0</v>
      </c>
      <c r="KM31" s="23">
        <v>0</v>
      </c>
      <c r="KN31" s="23">
        <v>0</v>
      </c>
      <c r="KO31" s="23">
        <v>0</v>
      </c>
      <c r="KP31" s="23">
        <v>0</v>
      </c>
      <c r="KQ31" s="23">
        <v>0</v>
      </c>
      <c r="KR31" s="23">
        <v>0</v>
      </c>
      <c r="KS31" s="23">
        <v>0</v>
      </c>
      <c r="KT31" s="23">
        <v>0</v>
      </c>
      <c r="KU31" s="23">
        <v>0</v>
      </c>
      <c r="KV31" s="23">
        <v>0</v>
      </c>
      <c r="KW31" s="23">
        <v>0</v>
      </c>
      <c r="KX31" s="23">
        <v>0</v>
      </c>
      <c r="KY31" s="23">
        <v>0</v>
      </c>
      <c r="KZ31" s="23">
        <v>0</v>
      </c>
      <c r="LA31" s="23">
        <v>0</v>
      </c>
      <c r="LB31" s="23">
        <v>0</v>
      </c>
      <c r="LC31" s="23">
        <v>0</v>
      </c>
      <c r="LD31" s="23">
        <v>0</v>
      </c>
      <c r="LE31" s="23">
        <v>0</v>
      </c>
      <c r="LF31" s="23">
        <v>0</v>
      </c>
      <c r="LG31" s="23">
        <v>0</v>
      </c>
      <c r="LH31" s="23">
        <v>1</v>
      </c>
      <c r="LI31" s="23">
        <v>0</v>
      </c>
      <c r="LJ31" s="23">
        <v>0</v>
      </c>
      <c r="LK31" s="23">
        <v>0</v>
      </c>
      <c r="LL31" s="23">
        <v>0</v>
      </c>
      <c r="LM31" s="23">
        <v>0</v>
      </c>
      <c r="LN31" s="278">
        <f ca="1">$A31 - TST!Sweden100dt + 1</f>
        <v>-23</v>
      </c>
      <c r="LO31" s="20">
        <f ca="1">INDEX(OFFSET(TST!HeadRow,ROW()-ROW(TST!HeadRow),0,1,COLUMNS(TST!HeadRow)),1,MATCH(LO$5,TST!HeadRow,0))/LO$8</f>
        <v>0.97751710654936474</v>
      </c>
      <c r="LP31" s="278">
        <f ca="1">$A31 - TST!Spain100dt + 1</f>
        <v>-23</v>
      </c>
      <c r="LQ31" s="20">
        <f ca="1">INDEX(OFFSET(TST!HeadRow,ROW()-ROW(TST!HeadRow),0,1,COLUMNS(TST!HeadRow)),1,MATCH(LQ$5,TST!HeadRow,0))/LQ$8</f>
        <v>0.42607584149978694</v>
      </c>
      <c r="LR31" s="285">
        <f ca="1">$A31 - TST!Victoria100dt + 1</f>
        <v>-32</v>
      </c>
      <c r="LS31" s="20">
        <f ca="1">INDEX(OFFSET(TST!HeadRow,ROW()-ROW(TST!HeadRow),0,1,COLUMNS(TST!HeadRow)),1,MATCH(LS$5,TST!HeadRow,0))/LS$8</f>
        <v>6.0340926233217678</v>
      </c>
      <c r="LT31" s="278">
        <f ca="1">$A31 - TST!Iran100dt + 1</f>
        <v>-17</v>
      </c>
      <c r="LU31" s="20">
        <f ca="1">INDEX(OFFSET(TST!HeadRow,ROW()-ROW(TST!HeadRow),0,1,COLUMNS(TST!HeadRow)),1,MATCH(LU$5,TST!HeadRow,0))/LU$8</f>
        <v>0</v>
      </c>
      <c r="LV31" s="278">
        <f ca="1">$A31 - TST!Japan100dt + 1</f>
        <v>-41</v>
      </c>
      <c r="LW31" s="20">
        <f ca="1">INDEX(OFFSET(TST!HeadRow,ROW()-ROW(TST!HeadRow),0,1,COLUMNS(TST!HeadRow)),1,MATCH(LW$5,TST!HeadRow,0))/LW$8</f>
        <v>2.2124907222559806</v>
      </c>
      <c r="LX31" s="278">
        <f ca="1">$A31 - TST!Queensland100dt + 1</f>
        <v>-31</v>
      </c>
      <c r="LY31" s="20">
        <f ca="1">INDEX(OFFSET(TST!HeadRow,ROW()-ROW(TST!HeadRow),0,1,COLUMNS(TST!HeadRow)),1,MATCH(LY$5,TST!HeadRow,0))/LY$8</f>
        <v>9.7743092446785251</v>
      </c>
      <c r="LZ31" s="278">
        <f ca="1">$A31 - TST!Tasmania100dt + 1</f>
        <v>-31</v>
      </c>
      <c r="MA31" s="20">
        <f ca="1">INDEX(OFFSET(TST!HeadRow,ROW()-ROW(TST!HeadRow),0,1,COLUMNS(TST!HeadRow)),1,MATCH(MA$5,TST!HeadRow,0))/MA$8</f>
        <v>0</v>
      </c>
      <c r="MB31" s="278">
        <f ca="1">$A31 - TST!SouthAustralia100dt + 1</f>
        <v>-30</v>
      </c>
      <c r="MC31" s="20">
        <f ca="1">INDEX(OFFSET(TST!HeadRow,ROW()-ROW(TST!HeadRow),0,1,COLUMNS(TST!HeadRow)),1,MATCH(MC$5,TST!HeadRow,0))/MC$8</f>
        <v>11.976047904191615</v>
      </c>
      <c r="MD31" s="278">
        <f ca="1">$A31 - TST!AustralianCapitalTerritory100dt + 1</f>
        <v>-36</v>
      </c>
      <c r="ME31" s="20">
        <f ca="1">INDEX(OFFSET(TST!HeadRow,ROW()-ROW(TST!HeadRow),0,1,COLUMNS(TST!HeadRow)),1,MATCH(ME$5,TST!HeadRow,0))/ME$8</f>
        <v>0</v>
      </c>
      <c r="MF31" s="278">
        <f ca="1">$A31 - TST!NorthernTerritory100dt + 1</f>
        <v>-36</v>
      </c>
      <c r="MG31" s="20">
        <f ca="1">INDEX(OFFSET(TST!HeadRow,ROW()-ROW(TST!HeadRow),0,1,COLUMNS(TST!HeadRow)),1,MATCH(MG$5,TST!HeadRow,0))/MG$8</f>
        <v>0</v>
      </c>
      <c r="MH31" s="278">
        <f ca="1">$A31 - TST!WesternAustralia100dt + 1</f>
        <v>-32</v>
      </c>
      <c r="MI31" s="20">
        <f ca="1">INDEX(OFFSET(TST!HeadRow,ROW()-ROW(TST!HeadRow),0,1,COLUMNS(TST!HeadRow)),1,MATCH(MI$5,TST!HeadRow,0))/MI$8</f>
        <v>0</v>
      </c>
      <c r="MJ31" s="278">
        <f ca="1">$A31 - TST!Germany100dt + 1</f>
        <v>-24</v>
      </c>
      <c r="MK31" s="20">
        <f ca="1">INDEX(OFFSET(TST!HeadRow,ROW()-ROW(TST!HeadRow),0,1,COLUMNS(TST!HeadRow)),1,MATCH(MK$5,TST!HeadRow,0))/MK$8</f>
        <v>1.9272464466393642</v>
      </c>
      <c r="ML31" s="278">
        <f ca="1">$A31 - TST!Denmark100dt + 1</f>
        <v>-25</v>
      </c>
      <c r="MM31" s="20">
        <f ca="1">INDEX(OFFSET(TST!HeadRow,ROW()-ROW(TST!HeadRow),0,1,COLUMNS(TST!HeadRow)),1,MATCH(MM$5,TST!HeadRow,0))/MM$8</f>
        <v>0</v>
      </c>
      <c r="MN31" s="278">
        <f ca="1">$A31 - TST!SouthAfrica100dt + 1</f>
        <v>-41</v>
      </c>
      <c r="MO31" s="20">
        <f ca="1">INDEX(OFFSET(TST!HeadRow,ROW()-ROW(TST!HeadRow),0,1,COLUMNS(TST!HeadRow)),1,MATCH(MO$5,TST!HeadRow,0))/MO$8</f>
        <v>0</v>
      </c>
      <c r="MP31" s="278">
        <f ca="1">$A31 - TST!UnitedKingdom100dt + 1</f>
        <v>-29</v>
      </c>
      <c r="MQ31" s="20">
        <f ca="1">INDEX(OFFSET(TST!HeadRow,ROW()-ROW(TST!HeadRow),0,1,COLUMNS(TST!HeadRow)),1,MATCH(MQ$5,TST!HeadRow,0))/MQ$8</f>
        <v>1.3546056592414208</v>
      </c>
      <c r="MR31" s="278">
        <f ca="1">$A31 - TST!Ireland100dt + 1</f>
        <v>-29</v>
      </c>
      <c r="MS31" s="20">
        <f ca="1">INDEX(OFFSET(TST!HeadRow,ROW()-ROW(TST!HeadRow),0,1,COLUMNS(TST!HeadRow)),1,MATCH(MS$5,TST!HeadRow,0))/MS$8</f>
        <v>0</v>
      </c>
      <c r="MT31" s="278">
        <f ca="1">$A31 - TST!Italy100dt + 1</f>
        <v>-14</v>
      </c>
      <c r="MU31" s="20">
        <f ca="1">INDEX(OFFSET(TST!HeadRow,ROW()-ROW(TST!HeadRow),0,1,COLUMNS(TST!HeadRow)),1,MATCH(MU$5,TST!HeadRow,0))/MU$8</f>
        <v>0.49599074150615857</v>
      </c>
      <c r="MV31" s="278">
        <f ca="1">$A31 - TST!US100dt + 1</f>
        <v>-31</v>
      </c>
      <c r="MW31" s="20">
        <f ca="1">INDEX(OFFSET(TST!HeadRow,ROW()-ROW(TST!HeadRow),0,1,COLUMNS(TST!HeadRow)),1,MATCH(MW$5,TST!HeadRow,0))/MW$8</f>
        <v>0.36448932830831338</v>
      </c>
      <c r="MX31" s="278">
        <f ca="1">$A31 - TST!AustraliaSum100dt + 1</f>
        <v>-31</v>
      </c>
      <c r="MY31" s="366">
        <f t="shared" si="7"/>
        <v>5.9138937076170954</v>
      </c>
      <c r="MZ31" s="278">
        <f ca="1">$A31 - TST!NewSouthWales100dt + 1</f>
        <v>-29</v>
      </c>
      <c r="NA31" s="366">
        <f ca="1">INDEX(OFFSET(TST!HeadRow,ROW()-ROW(TST!HeadRow),0,1,COLUMNS(TST!HeadRow)),1,MATCH(NA$5,TST!HeadRow,0))/NA$8</f>
        <v>4.9504950495049505</v>
      </c>
      <c r="NB31" s="278">
        <f ca="1">$A31 - TST!Taiwan100dt + 1</f>
        <v>-42</v>
      </c>
      <c r="NC31" s="366">
        <f ca="1">INDEX(OFFSET(TST!HeadRow,ROW()-ROW(TST!HeadRow),0,1,COLUMNS(TST!HeadRow)),1,MATCH(NC$5,TST!HeadRow,0))/NC$8</f>
        <v>7.5607118863883747</v>
      </c>
      <c r="ND31" s="20">
        <f ca="1">$A31 - TST!Hubei100dt + 1</f>
        <v>19</v>
      </c>
      <c r="NE31" s="20">
        <f ca="1">INDEX(OFFSET(TST!HeadRow,ROW()-ROW(TST!HeadRow),0,1,COLUMNS(TST!HeadRow)),1,MATCH(NE$5,TST!HeadRow,0))/NE$8</f>
        <v>5703.5897435897441</v>
      </c>
      <c r="NF31" s="20">
        <f ca="1">$A31 - TST!HongKong100dt + 1</f>
        <v>-11</v>
      </c>
      <c r="NG31" s="20">
        <f ca="1">INDEX(OFFSET(TST!HeadRow,ROW()-ROW(TST!HeadRow),0,1,COLUMNS(TST!HeadRow)),1,MATCH(NG$5,TST!HeadRow,0))/NG$8</f>
        <v>67.105086565561678</v>
      </c>
    </row>
    <row r="32" spans="1:371" x14ac:dyDescent="0.25">
      <c r="A32" s="243">
        <v>43874</v>
      </c>
      <c r="B32" s="23">
        <v>0</v>
      </c>
      <c r="C32" s="23">
        <v>0</v>
      </c>
      <c r="D32" s="23">
        <v>0</v>
      </c>
      <c r="E32" s="23">
        <v>0</v>
      </c>
      <c r="F32" s="23">
        <v>0</v>
      </c>
      <c r="G32" s="23">
        <v>0</v>
      </c>
      <c r="H32" s="23">
        <v>0</v>
      </c>
      <c r="I32" s="23">
        <v>0</v>
      </c>
      <c r="J32" s="23">
        <v>0</v>
      </c>
      <c r="K32" s="293">
        <v>4</v>
      </c>
      <c r="L32" s="23">
        <v>0</v>
      </c>
      <c r="M32" s="290">
        <v>5</v>
      </c>
      <c r="N32" s="23">
        <v>2</v>
      </c>
      <c r="O32" s="384">
        <v>0</v>
      </c>
      <c r="P32" s="287">
        <v>4</v>
      </c>
      <c r="Q32" s="23">
        <v>0</v>
      </c>
      <c r="R32" s="23">
        <v>0</v>
      </c>
      <c r="S32" s="23">
        <v>0</v>
      </c>
      <c r="T32" s="23">
        <v>0</v>
      </c>
      <c r="U32" s="23">
        <v>0</v>
      </c>
      <c r="V32" s="23">
        <v>0</v>
      </c>
      <c r="W32" s="23">
        <v>0</v>
      </c>
      <c r="X32" s="23">
        <v>0</v>
      </c>
      <c r="Y32" s="23">
        <v>1</v>
      </c>
      <c r="Z32" s="23">
        <v>0</v>
      </c>
      <c r="AA32" s="23">
        <v>0</v>
      </c>
      <c r="AB32" s="23">
        <v>0</v>
      </c>
      <c r="AC32" s="23">
        <v>0</v>
      </c>
      <c r="AD32" s="23">
        <v>0</v>
      </c>
      <c r="AE32" s="23">
        <v>0</v>
      </c>
      <c r="AF32" s="23">
        <v>0</v>
      </c>
      <c r="AG32" s="23">
        <v>0</v>
      </c>
      <c r="AH32" s="23">
        <v>0</v>
      </c>
      <c r="AI32" s="23">
        <v>1</v>
      </c>
      <c r="AJ32" s="23">
        <v>0</v>
      </c>
      <c r="AK32" s="23">
        <v>0</v>
      </c>
      <c r="AL32" s="23">
        <v>4</v>
      </c>
      <c r="AM32" s="23">
        <v>0</v>
      </c>
      <c r="AN32" s="23">
        <v>0</v>
      </c>
      <c r="AO32" s="23">
        <v>0</v>
      </c>
      <c r="AP32" s="23">
        <v>0</v>
      </c>
      <c r="AQ32" s="23">
        <v>0</v>
      </c>
      <c r="AR32" s="23">
        <v>3</v>
      </c>
      <c r="AS32" s="23">
        <v>0</v>
      </c>
      <c r="AT32" s="23">
        <v>0</v>
      </c>
      <c r="AU32" s="23">
        <v>0</v>
      </c>
      <c r="AV32" s="23">
        <v>0</v>
      </c>
      <c r="AW32" s="23">
        <v>0</v>
      </c>
      <c r="AX32" s="23">
        <v>0</v>
      </c>
      <c r="AY32" s="23">
        <v>910</v>
      </c>
      <c r="AZ32" s="23">
        <v>366</v>
      </c>
      <c r="BA32" s="23">
        <v>529</v>
      </c>
      <c r="BB32" s="23">
        <v>279</v>
      </c>
      <c r="BC32" s="23">
        <v>90</v>
      </c>
      <c r="BD32" s="23">
        <v>1241</v>
      </c>
      <c r="BE32" s="23">
        <v>222</v>
      </c>
      <c r="BF32" s="23">
        <v>135</v>
      </c>
      <c r="BG32" s="23">
        <v>157</v>
      </c>
      <c r="BH32" s="23">
        <v>265</v>
      </c>
      <c r="BI32" s="23">
        <v>395</v>
      </c>
      <c r="BJ32" s="23">
        <v>1169</v>
      </c>
      <c r="BK32" s="23">
        <v>53</v>
      </c>
      <c r="BL32" s="23">
        <v>48206</v>
      </c>
      <c r="BM32" s="23">
        <v>968</v>
      </c>
      <c r="BN32" s="23">
        <v>61</v>
      </c>
      <c r="BO32" s="23">
        <v>570</v>
      </c>
      <c r="BP32" s="23">
        <v>872</v>
      </c>
      <c r="BQ32" s="23">
        <v>84</v>
      </c>
      <c r="BR32" s="23">
        <v>117</v>
      </c>
      <c r="BS32" s="23">
        <v>10</v>
      </c>
      <c r="BT32" s="23">
        <v>64</v>
      </c>
      <c r="BU32" s="23">
        <v>18</v>
      </c>
      <c r="BV32" s="23">
        <v>229</v>
      </c>
      <c r="BW32" s="23">
        <v>509</v>
      </c>
      <c r="BX32" s="23">
        <v>315</v>
      </c>
      <c r="BY32" s="23">
        <v>126</v>
      </c>
      <c r="BZ32" s="23">
        <v>451</v>
      </c>
      <c r="CA32" s="23">
        <v>119</v>
      </c>
      <c r="CB32" s="23">
        <v>1</v>
      </c>
      <c r="CC32" s="23">
        <v>63</v>
      </c>
      <c r="CD32" s="23">
        <v>156</v>
      </c>
      <c r="CE32" s="23">
        <v>1145</v>
      </c>
      <c r="CF32" s="23">
        <v>0</v>
      </c>
      <c r="CG32" s="23">
        <v>0</v>
      </c>
      <c r="CH32" s="23">
        <v>0</v>
      </c>
      <c r="CI32" s="23">
        <v>0</v>
      </c>
      <c r="CJ32" s="23">
        <v>0</v>
      </c>
      <c r="CK32" s="23">
        <v>0</v>
      </c>
      <c r="CL32" s="23">
        <v>175</v>
      </c>
      <c r="CM32" s="23">
        <v>0</v>
      </c>
      <c r="CN32" s="23">
        <v>0</v>
      </c>
      <c r="CO32" s="23">
        <v>0</v>
      </c>
      <c r="CP32" s="23">
        <v>0</v>
      </c>
      <c r="CQ32" s="23">
        <v>0</v>
      </c>
      <c r="CR32" s="23">
        <v>0</v>
      </c>
      <c r="CS32" s="23">
        <v>0</v>
      </c>
      <c r="CT32" s="23">
        <v>0</v>
      </c>
      <c r="CU32" s="23">
        <v>0</v>
      </c>
      <c r="CV32" s="23">
        <v>0</v>
      </c>
      <c r="CW32" s="23">
        <v>0</v>
      </c>
      <c r="CX32" s="23">
        <v>0</v>
      </c>
      <c r="CY32" s="23">
        <v>0</v>
      </c>
      <c r="CZ32" s="23">
        <v>0</v>
      </c>
      <c r="DA32" s="23">
        <v>0</v>
      </c>
      <c r="DB32" s="23">
        <v>0</v>
      </c>
      <c r="DC32" s="23">
        <v>0</v>
      </c>
      <c r="DD32" s="23">
        <v>1</v>
      </c>
      <c r="DE32" s="23">
        <v>0</v>
      </c>
      <c r="DF32" s="23">
        <v>0</v>
      </c>
      <c r="DG32" s="23">
        <v>0</v>
      </c>
      <c r="DH32" s="23">
        <v>0</v>
      </c>
      <c r="DI32" s="23">
        <v>0</v>
      </c>
      <c r="DJ32" s="23">
        <v>0</v>
      </c>
      <c r="DK32" s="23">
        <v>0</v>
      </c>
      <c r="DL32" s="23">
        <v>0</v>
      </c>
      <c r="DM32" s="23">
        <v>0</v>
      </c>
      <c r="DN32" s="23">
        <v>11</v>
      </c>
      <c r="DO32" s="23">
        <v>0</v>
      </c>
      <c r="DP32" s="23">
        <v>0</v>
      </c>
      <c r="DQ32" s="23">
        <v>0</v>
      </c>
      <c r="DR32" s="23">
        <v>16</v>
      </c>
      <c r="DS32" s="23">
        <v>0</v>
      </c>
      <c r="DT32" s="23">
        <v>0</v>
      </c>
      <c r="DU32" s="23">
        <v>0</v>
      </c>
      <c r="DV32" s="23">
        <v>0</v>
      </c>
      <c r="DW32" s="23">
        <v>0</v>
      </c>
      <c r="DX32" s="23">
        <v>0</v>
      </c>
      <c r="DY32" s="23">
        <v>0</v>
      </c>
      <c r="DZ32" s="23">
        <v>0</v>
      </c>
      <c r="EA32" s="23">
        <v>0</v>
      </c>
      <c r="EB32" s="23">
        <v>0</v>
      </c>
      <c r="EC32" s="23">
        <v>3</v>
      </c>
      <c r="ED32" s="23">
        <v>0</v>
      </c>
      <c r="EE32" s="23">
        <v>0</v>
      </c>
      <c r="EF32" s="23">
        <v>0</v>
      </c>
      <c r="EG32" s="23">
        <v>0</v>
      </c>
      <c r="EH32" s="23">
        <v>0</v>
      </c>
      <c r="EI32" s="23">
        <v>3</v>
      </c>
      <c r="EJ32" s="23">
        <v>0</v>
      </c>
      <c r="EK32" s="23">
        <v>28</v>
      </c>
      <c r="EL32" s="23">
        <v>0</v>
      </c>
      <c r="EM32" s="23">
        <v>0</v>
      </c>
      <c r="EN32" s="23">
        <v>0</v>
      </c>
      <c r="EO32" s="23">
        <v>28</v>
      </c>
      <c r="EP32" s="23">
        <v>0</v>
      </c>
      <c r="EQ32" s="23">
        <v>0</v>
      </c>
      <c r="ER32" s="23">
        <v>0</v>
      </c>
      <c r="ES32" s="23">
        <v>0</v>
      </c>
      <c r="ET32" s="23">
        <v>0</v>
      </c>
      <c r="EU32" s="23">
        <v>0</v>
      </c>
      <c r="EV32" s="23">
        <v>0</v>
      </c>
      <c r="EW32" s="23">
        <v>0</v>
      </c>
      <c r="EX32" s="23">
        <v>0</v>
      </c>
      <c r="EY32" s="23">
        <v>19</v>
      </c>
      <c r="EZ32" s="23">
        <v>0</v>
      </c>
      <c r="FA32" s="23">
        <v>0</v>
      </c>
      <c r="FB32" s="23">
        <v>0</v>
      </c>
      <c r="FC32" s="23">
        <v>0</v>
      </c>
      <c r="FD32" s="23">
        <v>0</v>
      </c>
      <c r="FE32" s="23">
        <v>0</v>
      </c>
      <c r="FF32" s="23">
        <v>0</v>
      </c>
      <c r="FG32" s="23">
        <v>0</v>
      </c>
      <c r="FH32" s="23">
        <v>0</v>
      </c>
      <c r="FI32" s="23">
        <v>0</v>
      </c>
      <c r="FJ32" s="23">
        <v>0</v>
      </c>
      <c r="FK32" s="23">
        <v>1</v>
      </c>
      <c r="FL32" s="23">
        <v>0</v>
      </c>
      <c r="FM32" s="23">
        <v>0</v>
      </c>
      <c r="FN32" s="23">
        <v>0</v>
      </c>
      <c r="FO32" s="23">
        <v>0</v>
      </c>
      <c r="FP32" s="23">
        <v>0</v>
      </c>
      <c r="FQ32" s="23">
        <v>0</v>
      </c>
      <c r="FR32" s="23">
        <v>0</v>
      </c>
      <c r="FS32" s="23">
        <v>0</v>
      </c>
      <c r="FT32" s="23">
        <v>0</v>
      </c>
      <c r="FU32" s="23">
        <v>0</v>
      </c>
      <c r="FV32" s="23">
        <v>0</v>
      </c>
      <c r="FW32" s="23">
        <v>0</v>
      </c>
      <c r="FX32" s="23">
        <v>0</v>
      </c>
      <c r="FY32" s="23">
        <v>0</v>
      </c>
      <c r="FZ32" s="23">
        <v>0</v>
      </c>
      <c r="GA32" s="23">
        <v>0</v>
      </c>
      <c r="GB32" s="23">
        <v>3</v>
      </c>
      <c r="GC32" s="23">
        <v>0</v>
      </c>
      <c r="GD32" s="23">
        <v>0</v>
      </c>
      <c r="GE32" s="23">
        <v>0</v>
      </c>
      <c r="GF32" s="23">
        <v>0</v>
      </c>
      <c r="GG32" s="23">
        <v>2</v>
      </c>
      <c r="GH32" s="23">
        <v>0</v>
      </c>
      <c r="GI32" s="23">
        <v>0</v>
      </c>
      <c r="GJ32" s="23">
        <v>0</v>
      </c>
      <c r="GK32" s="23">
        <v>0</v>
      </c>
      <c r="GL32" s="23">
        <v>0</v>
      </c>
      <c r="GM32" s="23">
        <v>0</v>
      </c>
      <c r="GN32" s="23">
        <v>0</v>
      </c>
      <c r="GO32" s="23">
        <v>0</v>
      </c>
      <c r="GP32" s="23">
        <v>58</v>
      </c>
      <c r="GQ32" s="23">
        <v>0</v>
      </c>
      <c r="GR32" s="23">
        <v>0</v>
      </c>
      <c r="GS32" s="23">
        <v>0</v>
      </c>
      <c r="GT32" s="23">
        <v>0</v>
      </c>
      <c r="GU32" s="23">
        <v>2</v>
      </c>
      <c r="GV32" s="23">
        <v>1</v>
      </c>
      <c r="GW32" s="23">
        <v>0</v>
      </c>
      <c r="GX32" s="23">
        <v>0</v>
      </c>
      <c r="GY32" s="23">
        <v>1</v>
      </c>
      <c r="GZ32" s="23">
        <v>0</v>
      </c>
      <c r="HA32" s="23">
        <v>18</v>
      </c>
      <c r="HB32" s="23">
        <v>0</v>
      </c>
      <c r="HC32" s="23">
        <v>33</v>
      </c>
      <c r="HD32" s="23">
        <v>0</v>
      </c>
      <c r="HE32" s="23">
        <v>0</v>
      </c>
      <c r="HF32" s="23">
        <v>0</v>
      </c>
      <c r="HG32" s="23">
        <v>0</v>
      </c>
      <c r="HH32" s="23">
        <v>0</v>
      </c>
      <c r="HI32" s="23">
        <v>0</v>
      </c>
      <c r="HJ32" s="23">
        <v>8</v>
      </c>
      <c r="HK32" s="23">
        <v>0</v>
      </c>
      <c r="HL32" s="23">
        <v>0</v>
      </c>
      <c r="HM32" s="23">
        <v>0</v>
      </c>
      <c r="HN32" s="23">
        <v>0</v>
      </c>
      <c r="HO32" s="23">
        <v>0</v>
      </c>
      <c r="HP32" s="23">
        <v>0</v>
      </c>
      <c r="HQ32" s="23">
        <v>9</v>
      </c>
      <c r="HR32" s="23">
        <v>0</v>
      </c>
      <c r="HS32" s="23">
        <v>13</v>
      </c>
      <c r="HT32" s="23">
        <v>0</v>
      </c>
      <c r="HU32" s="23">
        <v>0</v>
      </c>
      <c r="HV32" s="23">
        <v>16</v>
      </c>
      <c r="HW32" s="23">
        <v>0</v>
      </c>
      <c r="HX32" s="23">
        <v>0</v>
      </c>
      <c r="HY32" s="23">
        <v>0</v>
      </c>
      <c r="HZ32" s="23">
        <v>0</v>
      </c>
      <c r="IA32" s="23">
        <v>0</v>
      </c>
      <c r="IB32" s="23">
        <v>0</v>
      </c>
      <c r="IC32" s="23">
        <v>0</v>
      </c>
      <c r="ID32" s="23">
        <v>0</v>
      </c>
      <c r="IE32" s="23">
        <v>0</v>
      </c>
      <c r="IF32" s="23">
        <v>0</v>
      </c>
      <c r="IG32" s="23">
        <v>0</v>
      </c>
      <c r="IH32" s="23">
        <v>0</v>
      </c>
      <c r="II32" s="23">
        <v>0</v>
      </c>
      <c r="IJ32" s="23">
        <v>0</v>
      </c>
      <c r="IK32" s="23">
        <v>0</v>
      </c>
      <c r="IL32" s="23">
        <v>0</v>
      </c>
      <c r="IM32" s="23">
        <v>0</v>
      </c>
      <c r="IN32" s="23">
        <v>0</v>
      </c>
      <c r="IO32" s="23">
        <v>0</v>
      </c>
      <c r="IP32" s="23">
        <v>0</v>
      </c>
      <c r="IQ32" s="23">
        <v>0</v>
      </c>
      <c r="IR32" s="23">
        <v>0</v>
      </c>
      <c r="IS32" s="23">
        <v>0</v>
      </c>
      <c r="IT32" s="23">
        <v>0</v>
      </c>
      <c r="IU32" s="23">
        <v>0</v>
      </c>
      <c r="IV32" s="23">
        <v>0</v>
      </c>
      <c r="IW32" s="23">
        <v>0</v>
      </c>
      <c r="IX32" s="23">
        <v>0</v>
      </c>
      <c r="IY32" s="23">
        <v>0</v>
      </c>
      <c r="IZ32" s="23">
        <v>0</v>
      </c>
      <c r="JA32" s="23">
        <v>0</v>
      </c>
      <c r="JB32" s="23">
        <v>0</v>
      </c>
      <c r="JC32" s="23">
        <v>0</v>
      </c>
      <c r="JD32" s="23">
        <v>0</v>
      </c>
      <c r="JE32" s="23">
        <v>0</v>
      </c>
      <c r="JF32" s="23">
        <v>0</v>
      </c>
      <c r="JG32" s="23">
        <v>0</v>
      </c>
      <c r="JH32" s="23">
        <v>0</v>
      </c>
      <c r="JI32" s="23">
        <v>0</v>
      </c>
      <c r="JJ32" s="23">
        <v>0</v>
      </c>
      <c r="JK32" s="23">
        <v>0</v>
      </c>
      <c r="JL32" s="23">
        <v>0</v>
      </c>
      <c r="JM32" s="23">
        <v>0</v>
      </c>
      <c r="JN32" s="23">
        <v>0</v>
      </c>
      <c r="JO32" s="23">
        <v>1</v>
      </c>
      <c r="JP32" s="23">
        <v>0</v>
      </c>
      <c r="JQ32" s="23">
        <v>8</v>
      </c>
      <c r="JR32" s="23">
        <v>0</v>
      </c>
      <c r="JS32" s="23">
        <v>0</v>
      </c>
      <c r="JT32" s="23">
        <v>0</v>
      </c>
      <c r="JU32" s="23">
        <v>0</v>
      </c>
      <c r="JV32" s="23">
        <v>0</v>
      </c>
      <c r="JW32" s="23">
        <v>0</v>
      </c>
      <c r="JX32" s="23">
        <v>0</v>
      </c>
      <c r="JY32" s="23">
        <v>0</v>
      </c>
      <c r="JZ32" s="23">
        <v>2</v>
      </c>
      <c r="KA32" s="23">
        <v>0</v>
      </c>
      <c r="KB32" s="23">
        <v>0</v>
      </c>
      <c r="KC32" s="23">
        <v>0</v>
      </c>
      <c r="KD32" s="23">
        <v>0</v>
      </c>
      <c r="KE32" s="23">
        <v>0</v>
      </c>
      <c r="KF32" s="23">
        <v>0</v>
      </c>
      <c r="KG32" s="23">
        <v>0</v>
      </c>
      <c r="KH32" s="23">
        <v>1</v>
      </c>
      <c r="KI32" s="23">
        <v>0</v>
      </c>
      <c r="KJ32" s="23">
        <v>0</v>
      </c>
      <c r="KK32" s="23">
        <v>0</v>
      </c>
      <c r="KL32" s="23">
        <v>0</v>
      </c>
      <c r="KM32" s="23">
        <v>0</v>
      </c>
      <c r="KN32" s="23">
        <v>0</v>
      </c>
      <c r="KO32" s="23">
        <v>0</v>
      </c>
      <c r="KP32" s="23">
        <v>0</v>
      </c>
      <c r="KQ32" s="23">
        <v>0</v>
      </c>
      <c r="KR32" s="23">
        <v>0</v>
      </c>
      <c r="KS32" s="23">
        <v>0</v>
      </c>
      <c r="KT32" s="23">
        <v>0</v>
      </c>
      <c r="KU32" s="23">
        <v>0</v>
      </c>
      <c r="KV32" s="23">
        <v>0</v>
      </c>
      <c r="KW32" s="23">
        <v>0</v>
      </c>
      <c r="KX32" s="23">
        <v>0</v>
      </c>
      <c r="KY32" s="23">
        <v>0</v>
      </c>
      <c r="KZ32" s="23">
        <v>0</v>
      </c>
      <c r="LA32" s="23">
        <v>0</v>
      </c>
      <c r="LB32" s="23">
        <v>0</v>
      </c>
      <c r="LC32" s="23">
        <v>0</v>
      </c>
      <c r="LD32" s="23">
        <v>0</v>
      </c>
      <c r="LE32" s="23">
        <v>0</v>
      </c>
      <c r="LF32" s="23">
        <v>0</v>
      </c>
      <c r="LG32" s="23">
        <v>0</v>
      </c>
      <c r="LH32" s="23">
        <v>1</v>
      </c>
      <c r="LI32" s="23">
        <v>0</v>
      </c>
      <c r="LJ32" s="23">
        <v>0</v>
      </c>
      <c r="LK32" s="23">
        <v>0</v>
      </c>
      <c r="LL32" s="23">
        <v>0</v>
      </c>
      <c r="LM32" s="23">
        <v>0</v>
      </c>
      <c r="LN32" s="278">
        <f ca="1">$A32 - TST!Sweden100dt + 1</f>
        <v>-22</v>
      </c>
      <c r="LO32" s="20">
        <f ca="1">INDEX(OFFSET(TST!HeadRow,ROW()-ROW(TST!HeadRow),0,1,COLUMNS(TST!HeadRow)),1,MATCH(LO$5,TST!HeadRow,0))/LO$8</f>
        <v>0.97751710654936474</v>
      </c>
      <c r="LP32" s="278">
        <f ca="1">$A32 - TST!Spain100dt + 1</f>
        <v>-22</v>
      </c>
      <c r="LQ32" s="20">
        <f ca="1">INDEX(OFFSET(TST!HeadRow,ROW()-ROW(TST!HeadRow),0,1,COLUMNS(TST!HeadRow)),1,MATCH(LQ$5,TST!HeadRow,0))/LQ$8</f>
        <v>0.42607584149978694</v>
      </c>
      <c r="LR32" s="285">
        <f ca="1">$A32 - TST!Victoria100dt + 1</f>
        <v>-31</v>
      </c>
      <c r="LS32" s="20">
        <f ca="1">INDEX(OFFSET(TST!HeadRow,ROW()-ROW(TST!HeadRow),0,1,COLUMNS(TST!HeadRow)),1,MATCH(LS$5,TST!HeadRow,0))/LS$8</f>
        <v>6.0340926233217678</v>
      </c>
      <c r="LT32" s="278">
        <f ca="1">$A32 - TST!Iran100dt + 1</f>
        <v>-16</v>
      </c>
      <c r="LU32" s="20">
        <f ca="1">INDEX(OFFSET(TST!HeadRow,ROW()-ROW(TST!HeadRow),0,1,COLUMNS(TST!HeadRow)),1,MATCH(LU$5,TST!HeadRow,0))/LU$8</f>
        <v>0</v>
      </c>
      <c r="LV32" s="278">
        <f ca="1">$A32 - TST!Japan100dt + 1</f>
        <v>-40</v>
      </c>
      <c r="LW32" s="20">
        <f ca="1">INDEX(OFFSET(TST!HeadRow,ROW()-ROW(TST!HeadRow),0,1,COLUMNS(TST!HeadRow)),1,MATCH(LW$5,TST!HeadRow,0))/LW$8</f>
        <v>2.2124907222559806</v>
      </c>
      <c r="LX32" s="278">
        <f ca="1">$A32 - TST!Queensland100dt + 1</f>
        <v>-30</v>
      </c>
      <c r="LY32" s="20">
        <f ca="1">INDEX(OFFSET(TST!HeadRow,ROW()-ROW(TST!HeadRow),0,1,COLUMNS(TST!HeadRow)),1,MATCH(LY$5,TST!HeadRow,0))/LY$8</f>
        <v>9.7743092446785251</v>
      </c>
      <c r="LZ32" s="278">
        <f ca="1">$A32 - TST!Tasmania100dt + 1</f>
        <v>-30</v>
      </c>
      <c r="MA32" s="20">
        <f ca="1">INDEX(OFFSET(TST!HeadRow,ROW()-ROW(TST!HeadRow),0,1,COLUMNS(TST!HeadRow)),1,MATCH(MA$5,TST!HeadRow,0))/MA$8</f>
        <v>0</v>
      </c>
      <c r="MB32" s="278">
        <f ca="1">$A32 - TST!SouthAustralia100dt + 1</f>
        <v>-29</v>
      </c>
      <c r="MC32" s="20">
        <f ca="1">INDEX(OFFSET(TST!HeadRow,ROW()-ROW(TST!HeadRow),0,1,COLUMNS(TST!HeadRow)),1,MATCH(MC$5,TST!HeadRow,0))/MC$8</f>
        <v>11.976047904191615</v>
      </c>
      <c r="MD32" s="278">
        <f ca="1">$A32 - TST!AustralianCapitalTerritory100dt + 1</f>
        <v>-35</v>
      </c>
      <c r="ME32" s="20">
        <f ca="1">INDEX(OFFSET(TST!HeadRow,ROW()-ROW(TST!HeadRow),0,1,COLUMNS(TST!HeadRow)),1,MATCH(ME$5,TST!HeadRow,0))/ME$8</f>
        <v>0</v>
      </c>
      <c r="MF32" s="278">
        <f ca="1">$A32 - TST!NorthernTerritory100dt + 1</f>
        <v>-35</v>
      </c>
      <c r="MG32" s="20">
        <f ca="1">INDEX(OFFSET(TST!HeadRow,ROW()-ROW(TST!HeadRow),0,1,COLUMNS(TST!HeadRow)),1,MATCH(MG$5,TST!HeadRow,0))/MG$8</f>
        <v>0</v>
      </c>
      <c r="MH32" s="278">
        <f ca="1">$A32 - TST!WesternAustralia100dt + 1</f>
        <v>-31</v>
      </c>
      <c r="MI32" s="20">
        <f ca="1">INDEX(OFFSET(TST!HeadRow,ROW()-ROW(TST!HeadRow),0,1,COLUMNS(TST!HeadRow)),1,MATCH(MI$5,TST!HeadRow,0))/MI$8</f>
        <v>0</v>
      </c>
      <c r="MJ32" s="278">
        <f ca="1">$A32 - TST!Germany100dt + 1</f>
        <v>-23</v>
      </c>
      <c r="MK32" s="20">
        <f ca="1">INDEX(OFFSET(TST!HeadRow,ROW()-ROW(TST!HeadRow),0,1,COLUMNS(TST!HeadRow)),1,MATCH(MK$5,TST!HeadRow,0))/MK$8</f>
        <v>1.9272464466393642</v>
      </c>
      <c r="ML32" s="278">
        <f ca="1">$A32 - TST!Denmark100dt + 1</f>
        <v>-24</v>
      </c>
      <c r="MM32" s="20">
        <f ca="1">INDEX(OFFSET(TST!HeadRow,ROW()-ROW(TST!HeadRow),0,1,COLUMNS(TST!HeadRow)),1,MATCH(MM$5,TST!HeadRow,0))/MM$8</f>
        <v>0</v>
      </c>
      <c r="MN32" s="278">
        <f ca="1">$A32 - TST!SouthAfrica100dt + 1</f>
        <v>-40</v>
      </c>
      <c r="MO32" s="20">
        <f ca="1">INDEX(OFFSET(TST!HeadRow,ROW()-ROW(TST!HeadRow),0,1,COLUMNS(TST!HeadRow)),1,MATCH(MO$5,TST!HeadRow,0))/MO$8</f>
        <v>0</v>
      </c>
      <c r="MP32" s="278">
        <f ca="1">$A32 - TST!UnitedKingdom100dt + 1</f>
        <v>-28</v>
      </c>
      <c r="MQ32" s="20">
        <f ca="1">INDEX(OFFSET(TST!HeadRow,ROW()-ROW(TST!HeadRow),0,1,COLUMNS(TST!HeadRow)),1,MATCH(MQ$5,TST!HeadRow,0))/MQ$8</f>
        <v>1.3546056592414208</v>
      </c>
      <c r="MR32" s="278">
        <f ca="1">$A32 - TST!Ireland100dt + 1</f>
        <v>-28</v>
      </c>
      <c r="MS32" s="20">
        <f ca="1">INDEX(OFFSET(TST!HeadRow,ROW()-ROW(TST!HeadRow),0,1,COLUMNS(TST!HeadRow)),1,MATCH(MS$5,TST!HeadRow,0))/MS$8</f>
        <v>0</v>
      </c>
      <c r="MT32" s="278">
        <f ca="1">$A32 - TST!Italy100dt + 1</f>
        <v>-13</v>
      </c>
      <c r="MU32" s="20">
        <f ca="1">INDEX(OFFSET(TST!HeadRow,ROW()-ROW(TST!HeadRow),0,1,COLUMNS(TST!HeadRow)),1,MATCH(MU$5,TST!HeadRow,0))/MU$8</f>
        <v>0.49599074150615857</v>
      </c>
      <c r="MV32" s="278">
        <f ca="1">$A32 - TST!US100dt + 1</f>
        <v>-30</v>
      </c>
      <c r="MW32" s="20">
        <f ca="1">INDEX(OFFSET(TST!HeadRow,ROW()-ROW(TST!HeadRow),0,1,COLUMNS(TST!HeadRow)),1,MATCH(MW$5,TST!HeadRow,0))/MW$8</f>
        <v>0.39486343900067283</v>
      </c>
      <c r="MX32" s="278">
        <f ca="1">$A32 - TST!AustraliaSum100dt + 1</f>
        <v>-30</v>
      </c>
      <c r="MY32" s="366">
        <f t="shared" si="7"/>
        <v>5.9138937076170954</v>
      </c>
      <c r="MZ32" s="278">
        <f ca="1">$A32 - TST!NewSouthWales100dt + 1</f>
        <v>-28</v>
      </c>
      <c r="NA32" s="366">
        <f ca="1">INDEX(OFFSET(TST!HeadRow,ROW()-ROW(TST!HeadRow),0,1,COLUMNS(TST!HeadRow)),1,MATCH(NA$5,TST!HeadRow,0))/NA$8</f>
        <v>4.9504950495049505</v>
      </c>
      <c r="NB32" s="278">
        <f ca="1">$A32 - TST!Taiwan100dt + 1</f>
        <v>-41</v>
      </c>
      <c r="NC32" s="366">
        <f ca="1">INDEX(OFFSET(TST!HeadRow,ROW()-ROW(TST!HeadRow),0,1,COLUMNS(TST!HeadRow)),1,MATCH(NC$5,TST!HeadRow,0))/NC$8</f>
        <v>7.5607118863883747</v>
      </c>
      <c r="ND32" s="20">
        <f ca="1">$A32 - TST!Hubei100dt + 1</f>
        <v>20</v>
      </c>
      <c r="NE32" s="20">
        <f ca="1">INDEX(OFFSET(TST!HeadRow,ROW()-ROW(TST!HeadRow),0,1,COLUMNS(TST!HeadRow)),1,MATCH(NE$5,TST!HeadRow,0))/NE$8</f>
        <v>8240.3418803418808</v>
      </c>
      <c r="NF32" s="20">
        <f ca="1">$A32 - TST!HongKong100dt + 1</f>
        <v>-10</v>
      </c>
      <c r="NG32" s="20">
        <f ca="1">INDEX(OFFSET(TST!HeadRow,ROW()-ROW(TST!HeadRow),0,1,COLUMNS(TST!HeadRow)),1,MATCH(NG$5,TST!HeadRow,0))/NG$8</f>
        <v>71.131391759495372</v>
      </c>
    </row>
    <row r="33" spans="1:371" x14ac:dyDescent="0.25">
      <c r="A33" s="243">
        <v>43875</v>
      </c>
      <c r="B33" s="23">
        <v>0</v>
      </c>
      <c r="C33" s="23">
        <v>0</v>
      </c>
      <c r="D33" s="23">
        <v>0</v>
      </c>
      <c r="E33" s="23">
        <v>0</v>
      </c>
      <c r="F33" s="23">
        <v>0</v>
      </c>
      <c r="G33" s="23">
        <v>0</v>
      </c>
      <c r="H33" s="23">
        <v>0</v>
      </c>
      <c r="I33" s="23">
        <v>0</v>
      </c>
      <c r="J33" s="23">
        <v>0</v>
      </c>
      <c r="K33" s="293">
        <v>4</v>
      </c>
      <c r="L33" s="23">
        <v>0</v>
      </c>
      <c r="M33" s="290">
        <v>5</v>
      </c>
      <c r="N33" s="23">
        <v>2</v>
      </c>
      <c r="O33" s="384">
        <v>0</v>
      </c>
      <c r="P33" s="287">
        <v>4</v>
      </c>
      <c r="Q33" s="23">
        <v>0</v>
      </c>
      <c r="R33" s="23">
        <v>0</v>
      </c>
      <c r="S33" s="23">
        <v>0</v>
      </c>
      <c r="T33" s="23">
        <v>0</v>
      </c>
      <c r="U33" s="23">
        <v>0</v>
      </c>
      <c r="V33" s="23">
        <v>0</v>
      </c>
      <c r="W33" s="23">
        <v>0</v>
      </c>
      <c r="X33" s="23">
        <v>0</v>
      </c>
      <c r="Y33" s="23">
        <v>1</v>
      </c>
      <c r="Z33" s="23">
        <v>0</v>
      </c>
      <c r="AA33" s="23">
        <v>0</v>
      </c>
      <c r="AB33" s="23">
        <v>0</v>
      </c>
      <c r="AC33" s="23">
        <v>0</v>
      </c>
      <c r="AD33" s="23">
        <v>0</v>
      </c>
      <c r="AE33" s="23">
        <v>0</v>
      </c>
      <c r="AF33" s="23">
        <v>0</v>
      </c>
      <c r="AG33" s="23">
        <v>0</v>
      </c>
      <c r="AH33" s="23">
        <v>0</v>
      </c>
      <c r="AI33" s="23">
        <v>1</v>
      </c>
      <c r="AJ33" s="23">
        <v>0</v>
      </c>
      <c r="AK33" s="23">
        <v>0</v>
      </c>
      <c r="AL33" s="23">
        <v>4</v>
      </c>
      <c r="AM33" s="23">
        <v>0</v>
      </c>
      <c r="AN33" s="23">
        <v>0</v>
      </c>
      <c r="AO33" s="23">
        <v>0</v>
      </c>
      <c r="AP33" s="23">
        <v>0</v>
      </c>
      <c r="AQ33" s="23">
        <v>0</v>
      </c>
      <c r="AR33" s="23">
        <v>3</v>
      </c>
      <c r="AS33" s="23">
        <v>0</v>
      </c>
      <c r="AT33" s="23">
        <v>0</v>
      </c>
      <c r="AU33" s="23">
        <v>0</v>
      </c>
      <c r="AV33" s="23">
        <v>0</v>
      </c>
      <c r="AW33" s="23">
        <v>0</v>
      </c>
      <c r="AX33" s="23">
        <v>0</v>
      </c>
      <c r="AY33" s="23">
        <v>934</v>
      </c>
      <c r="AZ33" s="23">
        <v>372</v>
      </c>
      <c r="BA33" s="23">
        <v>537</v>
      </c>
      <c r="BB33" s="23">
        <v>281</v>
      </c>
      <c r="BC33" s="23">
        <v>90</v>
      </c>
      <c r="BD33" s="23">
        <v>1261</v>
      </c>
      <c r="BE33" s="23">
        <v>226</v>
      </c>
      <c r="BF33" s="23">
        <v>140</v>
      </c>
      <c r="BG33" s="23">
        <v>159</v>
      </c>
      <c r="BH33" s="23">
        <v>283</v>
      </c>
      <c r="BI33" s="23">
        <v>419</v>
      </c>
      <c r="BJ33" s="23">
        <v>1184</v>
      </c>
      <c r="BK33" s="23">
        <v>56</v>
      </c>
      <c r="BL33" s="23">
        <v>54406</v>
      </c>
      <c r="BM33" s="23">
        <v>988</v>
      </c>
      <c r="BN33" s="23">
        <v>65</v>
      </c>
      <c r="BO33" s="23">
        <v>593</v>
      </c>
      <c r="BP33" s="23">
        <v>900</v>
      </c>
      <c r="BQ33" s="23">
        <v>86</v>
      </c>
      <c r="BR33" s="23">
        <v>119</v>
      </c>
      <c r="BS33" s="23">
        <v>10</v>
      </c>
      <c r="BT33" s="23">
        <v>67</v>
      </c>
      <c r="BU33" s="23">
        <v>18</v>
      </c>
      <c r="BV33" s="23">
        <v>230</v>
      </c>
      <c r="BW33" s="23">
        <v>523</v>
      </c>
      <c r="BX33" s="23">
        <v>318</v>
      </c>
      <c r="BY33" s="23">
        <v>127</v>
      </c>
      <c r="BZ33" s="23">
        <v>463</v>
      </c>
      <c r="CA33" s="23">
        <v>120</v>
      </c>
      <c r="CB33" s="23">
        <v>1</v>
      </c>
      <c r="CC33" s="23">
        <v>65</v>
      </c>
      <c r="CD33" s="23">
        <v>162</v>
      </c>
      <c r="CE33" s="23">
        <v>1155</v>
      </c>
      <c r="CF33" s="23">
        <v>0</v>
      </c>
      <c r="CG33" s="23">
        <v>0</v>
      </c>
      <c r="CH33" s="23">
        <v>0</v>
      </c>
      <c r="CI33" s="23">
        <v>0</v>
      </c>
      <c r="CJ33" s="23">
        <v>0</v>
      </c>
      <c r="CK33" s="23">
        <v>0</v>
      </c>
      <c r="CL33" s="23">
        <v>218</v>
      </c>
      <c r="CM33" s="23">
        <v>0</v>
      </c>
      <c r="CN33" s="23">
        <v>0</v>
      </c>
      <c r="CO33" s="23">
        <v>0</v>
      </c>
      <c r="CP33" s="23">
        <v>0</v>
      </c>
      <c r="CQ33" s="23">
        <v>0</v>
      </c>
      <c r="CR33" s="23">
        <v>0</v>
      </c>
      <c r="CS33" s="23">
        <v>0</v>
      </c>
      <c r="CT33" s="23">
        <v>0</v>
      </c>
      <c r="CU33" s="23">
        <v>0</v>
      </c>
      <c r="CV33" s="23">
        <v>1</v>
      </c>
      <c r="CW33" s="23">
        <v>0</v>
      </c>
      <c r="CX33" s="23">
        <v>0</v>
      </c>
      <c r="CY33" s="23">
        <v>0</v>
      </c>
      <c r="CZ33" s="23">
        <v>0</v>
      </c>
      <c r="DA33" s="23">
        <v>0</v>
      </c>
      <c r="DB33" s="23">
        <v>0</v>
      </c>
      <c r="DC33" s="23">
        <v>0</v>
      </c>
      <c r="DD33" s="23">
        <v>1</v>
      </c>
      <c r="DE33" s="23">
        <v>0</v>
      </c>
      <c r="DF33" s="23">
        <v>0</v>
      </c>
      <c r="DG33" s="23">
        <v>0</v>
      </c>
      <c r="DH33" s="23">
        <v>0</v>
      </c>
      <c r="DI33" s="23">
        <v>0</v>
      </c>
      <c r="DJ33" s="23">
        <v>0</v>
      </c>
      <c r="DK33" s="23">
        <v>0</v>
      </c>
      <c r="DL33" s="23">
        <v>0</v>
      </c>
      <c r="DM33" s="23">
        <v>0</v>
      </c>
      <c r="DN33" s="23">
        <v>11</v>
      </c>
      <c r="DO33" s="23">
        <v>0</v>
      </c>
      <c r="DP33" s="23">
        <v>0</v>
      </c>
      <c r="DQ33" s="23">
        <v>0</v>
      </c>
      <c r="DR33" s="23">
        <v>16</v>
      </c>
      <c r="DS33" s="23">
        <v>0</v>
      </c>
      <c r="DT33" s="23">
        <v>0</v>
      </c>
      <c r="DU33" s="23">
        <v>0</v>
      </c>
      <c r="DV33" s="23">
        <v>0</v>
      </c>
      <c r="DW33" s="23">
        <v>0</v>
      </c>
      <c r="DX33" s="23">
        <v>0</v>
      </c>
      <c r="DY33" s="23">
        <v>0</v>
      </c>
      <c r="DZ33" s="23">
        <v>0</v>
      </c>
      <c r="EA33" s="23">
        <v>0</v>
      </c>
      <c r="EB33" s="23">
        <v>0</v>
      </c>
      <c r="EC33" s="23">
        <v>3</v>
      </c>
      <c r="ED33" s="23">
        <v>0</v>
      </c>
      <c r="EE33" s="23">
        <v>0</v>
      </c>
      <c r="EF33" s="23">
        <v>0</v>
      </c>
      <c r="EG33" s="23">
        <v>0</v>
      </c>
      <c r="EH33" s="23">
        <v>0</v>
      </c>
      <c r="EI33" s="23">
        <v>3</v>
      </c>
      <c r="EJ33" s="23">
        <v>0</v>
      </c>
      <c r="EK33" s="23">
        <v>29</v>
      </c>
      <c r="EL33" s="23">
        <v>0</v>
      </c>
      <c r="EM33" s="23">
        <v>0</v>
      </c>
      <c r="EN33" s="23">
        <v>0</v>
      </c>
      <c r="EO33" s="23">
        <v>28</v>
      </c>
      <c r="EP33" s="23">
        <v>0</v>
      </c>
      <c r="EQ33" s="23">
        <v>0</v>
      </c>
      <c r="ER33" s="23">
        <v>0</v>
      </c>
      <c r="ES33" s="23">
        <v>0</v>
      </c>
      <c r="ET33" s="23">
        <v>0</v>
      </c>
      <c r="EU33" s="23">
        <v>0</v>
      </c>
      <c r="EV33" s="23">
        <v>0</v>
      </c>
      <c r="EW33" s="23">
        <v>0</v>
      </c>
      <c r="EX33" s="23">
        <v>0</v>
      </c>
      <c r="EY33" s="23">
        <v>19</v>
      </c>
      <c r="EZ33" s="23">
        <v>0</v>
      </c>
      <c r="FA33" s="23">
        <v>0</v>
      </c>
      <c r="FB33" s="23">
        <v>0</v>
      </c>
      <c r="FC33" s="23">
        <v>0</v>
      </c>
      <c r="FD33" s="23">
        <v>0</v>
      </c>
      <c r="FE33" s="23">
        <v>0</v>
      </c>
      <c r="FF33" s="23">
        <v>0</v>
      </c>
      <c r="FG33" s="23">
        <v>0</v>
      </c>
      <c r="FH33" s="23">
        <v>0</v>
      </c>
      <c r="FI33" s="23">
        <v>0</v>
      </c>
      <c r="FJ33" s="23">
        <v>0</v>
      </c>
      <c r="FK33" s="23">
        <v>1</v>
      </c>
      <c r="FL33" s="23">
        <v>0</v>
      </c>
      <c r="FM33" s="23">
        <v>0</v>
      </c>
      <c r="FN33" s="23">
        <v>0</v>
      </c>
      <c r="FO33" s="23">
        <v>0</v>
      </c>
      <c r="FP33" s="23">
        <v>0</v>
      </c>
      <c r="FQ33" s="23">
        <v>0</v>
      </c>
      <c r="FR33" s="23">
        <v>0</v>
      </c>
      <c r="FS33" s="23">
        <v>0</v>
      </c>
      <c r="FT33" s="23">
        <v>0</v>
      </c>
      <c r="FU33" s="23">
        <v>0</v>
      </c>
      <c r="FV33" s="23">
        <v>0</v>
      </c>
      <c r="FW33" s="23">
        <v>0</v>
      </c>
      <c r="FX33" s="23">
        <v>0</v>
      </c>
      <c r="FY33" s="23">
        <v>0</v>
      </c>
      <c r="FZ33" s="23">
        <v>0</v>
      </c>
      <c r="GA33" s="23">
        <v>0</v>
      </c>
      <c r="GB33" s="23">
        <v>3</v>
      </c>
      <c r="GC33" s="23">
        <v>0</v>
      </c>
      <c r="GD33" s="23">
        <v>0</v>
      </c>
      <c r="GE33" s="23">
        <v>0</v>
      </c>
      <c r="GF33" s="23">
        <v>0</v>
      </c>
      <c r="GG33" s="23">
        <v>2</v>
      </c>
      <c r="GH33" s="23">
        <v>0</v>
      </c>
      <c r="GI33" s="23">
        <v>0</v>
      </c>
      <c r="GJ33" s="23">
        <v>0</v>
      </c>
      <c r="GK33" s="23">
        <v>0</v>
      </c>
      <c r="GL33" s="23">
        <v>0</v>
      </c>
      <c r="GM33" s="23">
        <v>0</v>
      </c>
      <c r="GN33" s="23">
        <v>0</v>
      </c>
      <c r="GO33" s="23">
        <v>0</v>
      </c>
      <c r="GP33" s="23">
        <v>67</v>
      </c>
      <c r="GQ33" s="23">
        <v>0</v>
      </c>
      <c r="GR33" s="23">
        <v>0</v>
      </c>
      <c r="GS33" s="23">
        <v>0</v>
      </c>
      <c r="GT33" s="23">
        <v>0</v>
      </c>
      <c r="GU33" s="23">
        <v>2</v>
      </c>
      <c r="GV33" s="23">
        <v>1</v>
      </c>
      <c r="GW33" s="23">
        <v>0</v>
      </c>
      <c r="GX33" s="23">
        <v>0</v>
      </c>
      <c r="GY33" s="23">
        <v>1</v>
      </c>
      <c r="GZ33" s="23">
        <v>0</v>
      </c>
      <c r="HA33" s="23">
        <v>18</v>
      </c>
      <c r="HB33" s="23">
        <v>0</v>
      </c>
      <c r="HC33" s="23">
        <v>33</v>
      </c>
      <c r="HD33" s="23">
        <v>0</v>
      </c>
      <c r="HE33" s="23">
        <v>0</v>
      </c>
      <c r="HF33" s="23">
        <v>0</v>
      </c>
      <c r="HG33" s="23">
        <v>0</v>
      </c>
      <c r="HH33" s="23">
        <v>0</v>
      </c>
      <c r="HI33" s="23">
        <v>0</v>
      </c>
      <c r="HJ33" s="23">
        <v>8</v>
      </c>
      <c r="HK33" s="23">
        <v>0</v>
      </c>
      <c r="HL33" s="23">
        <v>0</v>
      </c>
      <c r="HM33" s="23">
        <v>0</v>
      </c>
      <c r="HN33" s="23">
        <v>0</v>
      </c>
      <c r="HO33" s="23">
        <v>0</v>
      </c>
      <c r="HP33" s="23">
        <v>0</v>
      </c>
      <c r="HQ33" s="23">
        <v>9</v>
      </c>
      <c r="HR33" s="23">
        <v>0</v>
      </c>
      <c r="HS33" s="23">
        <v>13</v>
      </c>
      <c r="HT33" s="23">
        <v>0</v>
      </c>
      <c r="HU33" s="23">
        <v>0</v>
      </c>
      <c r="HV33" s="23">
        <v>16</v>
      </c>
      <c r="HW33" s="23">
        <v>0</v>
      </c>
      <c r="HX33" s="23">
        <v>0</v>
      </c>
      <c r="HY33" s="23">
        <v>0</v>
      </c>
      <c r="HZ33" s="23">
        <v>0</v>
      </c>
      <c r="IA33" s="23">
        <v>0</v>
      </c>
      <c r="IB33" s="23">
        <v>0</v>
      </c>
      <c r="IC33" s="23">
        <v>0</v>
      </c>
      <c r="ID33" s="23">
        <v>0</v>
      </c>
      <c r="IE33" s="23">
        <v>0</v>
      </c>
      <c r="IF33" s="23">
        <v>0</v>
      </c>
      <c r="IG33" s="23">
        <v>0</v>
      </c>
      <c r="IH33" s="23">
        <v>0</v>
      </c>
      <c r="II33" s="23">
        <v>0</v>
      </c>
      <c r="IJ33" s="23">
        <v>0</v>
      </c>
      <c r="IK33" s="23">
        <v>0</v>
      </c>
      <c r="IL33" s="23">
        <v>0</v>
      </c>
      <c r="IM33" s="23">
        <v>0</v>
      </c>
      <c r="IN33" s="23">
        <v>0</v>
      </c>
      <c r="IO33" s="23">
        <v>0</v>
      </c>
      <c r="IP33" s="23">
        <v>0</v>
      </c>
      <c r="IQ33" s="23">
        <v>0</v>
      </c>
      <c r="IR33" s="23">
        <v>0</v>
      </c>
      <c r="IS33" s="23">
        <v>0</v>
      </c>
      <c r="IT33" s="23">
        <v>0</v>
      </c>
      <c r="IU33" s="23">
        <v>0</v>
      </c>
      <c r="IV33" s="23">
        <v>0</v>
      </c>
      <c r="IW33" s="23">
        <v>0</v>
      </c>
      <c r="IX33" s="23">
        <v>0</v>
      </c>
      <c r="IY33" s="23">
        <v>0</v>
      </c>
      <c r="IZ33" s="23">
        <v>0</v>
      </c>
      <c r="JA33" s="23">
        <v>0</v>
      </c>
      <c r="JB33" s="23">
        <v>0</v>
      </c>
      <c r="JC33" s="23">
        <v>0</v>
      </c>
      <c r="JD33" s="23">
        <v>0</v>
      </c>
      <c r="JE33" s="23">
        <v>0</v>
      </c>
      <c r="JF33" s="23">
        <v>0</v>
      </c>
      <c r="JG33" s="23">
        <v>0</v>
      </c>
      <c r="JH33" s="23">
        <v>0</v>
      </c>
      <c r="JI33" s="23">
        <v>0</v>
      </c>
      <c r="JJ33" s="23">
        <v>0</v>
      </c>
      <c r="JK33" s="23">
        <v>0</v>
      </c>
      <c r="JL33" s="23">
        <v>0</v>
      </c>
      <c r="JM33" s="23">
        <v>0</v>
      </c>
      <c r="JN33" s="23">
        <v>0</v>
      </c>
      <c r="JO33" s="23">
        <v>1</v>
      </c>
      <c r="JP33" s="23">
        <v>0</v>
      </c>
      <c r="JQ33" s="23">
        <v>8</v>
      </c>
      <c r="JR33" s="23">
        <v>0</v>
      </c>
      <c r="JS33" s="23">
        <v>0</v>
      </c>
      <c r="JT33" s="23">
        <v>0</v>
      </c>
      <c r="JU33" s="23">
        <v>0</v>
      </c>
      <c r="JV33" s="23">
        <v>0</v>
      </c>
      <c r="JW33" s="23">
        <v>0</v>
      </c>
      <c r="JX33" s="23">
        <v>0</v>
      </c>
      <c r="JY33" s="23">
        <v>0</v>
      </c>
      <c r="JZ33" s="23">
        <v>2</v>
      </c>
      <c r="KA33" s="23">
        <v>0</v>
      </c>
      <c r="KB33" s="23">
        <v>0</v>
      </c>
      <c r="KC33" s="23">
        <v>0</v>
      </c>
      <c r="KD33" s="23">
        <v>0</v>
      </c>
      <c r="KE33" s="23">
        <v>0</v>
      </c>
      <c r="KF33" s="23">
        <v>0</v>
      </c>
      <c r="KG33" s="23">
        <v>0</v>
      </c>
      <c r="KH33" s="23">
        <v>1</v>
      </c>
      <c r="KI33" s="23">
        <v>0</v>
      </c>
      <c r="KJ33" s="23">
        <v>0</v>
      </c>
      <c r="KK33" s="23">
        <v>0</v>
      </c>
      <c r="KL33" s="23">
        <v>0</v>
      </c>
      <c r="KM33" s="23">
        <v>0</v>
      </c>
      <c r="KN33" s="23">
        <v>0</v>
      </c>
      <c r="KO33" s="23">
        <v>0</v>
      </c>
      <c r="KP33" s="23">
        <v>0</v>
      </c>
      <c r="KQ33" s="23">
        <v>0</v>
      </c>
      <c r="KR33" s="23">
        <v>0</v>
      </c>
      <c r="KS33" s="23">
        <v>0</v>
      </c>
      <c r="KT33" s="23">
        <v>0</v>
      </c>
      <c r="KU33" s="23">
        <v>0</v>
      </c>
      <c r="KV33" s="23">
        <v>0</v>
      </c>
      <c r="KW33" s="23">
        <v>0</v>
      </c>
      <c r="KX33" s="23">
        <v>0</v>
      </c>
      <c r="KY33" s="23">
        <v>0</v>
      </c>
      <c r="KZ33" s="23">
        <v>0</v>
      </c>
      <c r="LA33" s="23">
        <v>0</v>
      </c>
      <c r="LB33" s="23">
        <v>0</v>
      </c>
      <c r="LC33" s="23">
        <v>0</v>
      </c>
      <c r="LD33" s="23">
        <v>0</v>
      </c>
      <c r="LE33" s="23">
        <v>0</v>
      </c>
      <c r="LF33" s="23">
        <v>0</v>
      </c>
      <c r="LG33" s="23">
        <v>0</v>
      </c>
      <c r="LH33" s="23">
        <v>1</v>
      </c>
      <c r="LI33" s="23">
        <v>0</v>
      </c>
      <c r="LJ33" s="23">
        <v>0</v>
      </c>
      <c r="LK33" s="23">
        <v>0</v>
      </c>
      <c r="LL33" s="23">
        <v>0</v>
      </c>
      <c r="LM33" s="23">
        <v>0</v>
      </c>
      <c r="LN33" s="278">
        <f ca="1">$A33 - TST!Sweden100dt + 1</f>
        <v>-21</v>
      </c>
      <c r="LO33" s="20">
        <f ca="1">INDEX(OFFSET(TST!HeadRow,ROW()-ROW(TST!HeadRow),0,1,COLUMNS(TST!HeadRow)),1,MATCH(LO$5,TST!HeadRow,0))/LO$8</f>
        <v>0.97751710654936474</v>
      </c>
      <c r="LP33" s="278">
        <f ca="1">$A33 - TST!Spain100dt + 1</f>
        <v>-21</v>
      </c>
      <c r="LQ33" s="20">
        <f ca="1">INDEX(OFFSET(TST!HeadRow,ROW()-ROW(TST!HeadRow),0,1,COLUMNS(TST!HeadRow)),1,MATCH(LQ$5,TST!HeadRow,0))/LQ$8</f>
        <v>0.42607584149978694</v>
      </c>
      <c r="LR33" s="285">
        <f ca="1">$A33 - TST!Victoria100dt + 1</f>
        <v>-30</v>
      </c>
      <c r="LS33" s="20">
        <f ca="1">INDEX(OFFSET(TST!HeadRow,ROW()-ROW(TST!HeadRow),0,1,COLUMNS(TST!HeadRow)),1,MATCH(LS$5,TST!HeadRow,0))/LS$8</f>
        <v>6.0340926233217678</v>
      </c>
      <c r="LT33" s="278">
        <f ca="1">$A33 - TST!Iran100dt + 1</f>
        <v>-15</v>
      </c>
      <c r="LU33" s="20">
        <f ca="1">INDEX(OFFSET(TST!HeadRow,ROW()-ROW(TST!HeadRow),0,1,COLUMNS(TST!HeadRow)),1,MATCH(LU$5,TST!HeadRow,0))/LU$8</f>
        <v>0</v>
      </c>
      <c r="LV33" s="278">
        <f ca="1">$A33 - TST!Japan100dt + 1</f>
        <v>-39</v>
      </c>
      <c r="LW33" s="20">
        <f ca="1">INDEX(OFFSET(TST!HeadRow,ROW()-ROW(TST!HeadRow),0,1,COLUMNS(TST!HeadRow)),1,MATCH(LW$5,TST!HeadRow,0))/LW$8</f>
        <v>2.2915082480508371</v>
      </c>
      <c r="LX33" s="278">
        <f ca="1">$A33 - TST!Queensland100dt + 1</f>
        <v>-29</v>
      </c>
      <c r="LY33" s="20">
        <f ca="1">INDEX(OFFSET(TST!HeadRow,ROW()-ROW(TST!HeadRow),0,1,COLUMNS(TST!HeadRow)),1,MATCH(LY$5,TST!HeadRow,0))/LY$8</f>
        <v>9.7743092446785251</v>
      </c>
      <c r="LZ33" s="278">
        <f ca="1">$A33 - TST!Tasmania100dt + 1</f>
        <v>-29</v>
      </c>
      <c r="MA33" s="20">
        <f ca="1">INDEX(OFFSET(TST!HeadRow,ROW()-ROW(TST!HeadRow),0,1,COLUMNS(TST!HeadRow)),1,MATCH(MA$5,TST!HeadRow,0))/MA$8</f>
        <v>0</v>
      </c>
      <c r="MB33" s="278">
        <f ca="1">$A33 - TST!SouthAustralia100dt + 1</f>
        <v>-28</v>
      </c>
      <c r="MC33" s="20">
        <f ca="1">INDEX(OFFSET(TST!HeadRow,ROW()-ROW(TST!HeadRow),0,1,COLUMNS(TST!HeadRow)),1,MATCH(MC$5,TST!HeadRow,0))/MC$8</f>
        <v>11.976047904191615</v>
      </c>
      <c r="MD33" s="278">
        <f ca="1">$A33 - TST!AustralianCapitalTerritory100dt + 1</f>
        <v>-34</v>
      </c>
      <c r="ME33" s="20">
        <f ca="1">INDEX(OFFSET(TST!HeadRow,ROW()-ROW(TST!HeadRow),0,1,COLUMNS(TST!HeadRow)),1,MATCH(ME$5,TST!HeadRow,0))/ME$8</f>
        <v>0</v>
      </c>
      <c r="MF33" s="278">
        <f ca="1">$A33 - TST!NorthernTerritory100dt + 1</f>
        <v>-34</v>
      </c>
      <c r="MG33" s="20">
        <f ca="1">INDEX(OFFSET(TST!HeadRow,ROW()-ROW(TST!HeadRow),0,1,COLUMNS(TST!HeadRow)),1,MATCH(MG$5,TST!HeadRow,0))/MG$8</f>
        <v>0</v>
      </c>
      <c r="MH33" s="278">
        <f ca="1">$A33 - TST!WesternAustralia100dt + 1</f>
        <v>-30</v>
      </c>
      <c r="MI33" s="20">
        <f ca="1">INDEX(OFFSET(TST!HeadRow,ROW()-ROW(TST!HeadRow),0,1,COLUMNS(TST!HeadRow)),1,MATCH(MI$5,TST!HeadRow,0))/MI$8</f>
        <v>0</v>
      </c>
      <c r="MJ33" s="278">
        <f ca="1">$A33 - TST!Germany100dt + 1</f>
        <v>-22</v>
      </c>
      <c r="MK33" s="20">
        <f ca="1">INDEX(OFFSET(TST!HeadRow,ROW()-ROW(TST!HeadRow),0,1,COLUMNS(TST!HeadRow)),1,MATCH(MK$5,TST!HeadRow,0))/MK$8</f>
        <v>1.9272464466393642</v>
      </c>
      <c r="ML33" s="278">
        <f ca="1">$A33 - TST!Denmark100dt + 1</f>
        <v>-23</v>
      </c>
      <c r="MM33" s="20">
        <f ca="1">INDEX(OFFSET(TST!HeadRow,ROW()-ROW(TST!HeadRow),0,1,COLUMNS(TST!HeadRow)),1,MATCH(MM$5,TST!HeadRow,0))/MM$8</f>
        <v>0</v>
      </c>
      <c r="MN33" s="278">
        <f ca="1">$A33 - TST!SouthAfrica100dt + 1</f>
        <v>-39</v>
      </c>
      <c r="MO33" s="20">
        <f ca="1">INDEX(OFFSET(TST!HeadRow,ROW()-ROW(TST!HeadRow),0,1,COLUMNS(TST!HeadRow)),1,MATCH(MO$5,TST!HeadRow,0))/MO$8</f>
        <v>0</v>
      </c>
      <c r="MP33" s="278">
        <f ca="1">$A33 - TST!UnitedKingdom100dt + 1</f>
        <v>-27</v>
      </c>
      <c r="MQ33" s="20">
        <f ca="1">INDEX(OFFSET(TST!HeadRow,ROW()-ROW(TST!HeadRow),0,1,COLUMNS(TST!HeadRow)),1,MATCH(MQ$5,TST!HeadRow,0))/MQ$8</f>
        <v>1.3546056592414208</v>
      </c>
      <c r="MR33" s="278">
        <f ca="1">$A33 - TST!Ireland100dt + 1</f>
        <v>-27</v>
      </c>
      <c r="MS33" s="20">
        <f ca="1">INDEX(OFFSET(TST!HeadRow,ROW()-ROW(TST!HeadRow),0,1,COLUMNS(TST!HeadRow)),1,MATCH(MS$5,TST!HeadRow,0))/MS$8</f>
        <v>0</v>
      </c>
      <c r="MT33" s="278">
        <f ca="1">$A33 - TST!Italy100dt + 1</f>
        <v>-12</v>
      </c>
      <c r="MU33" s="20">
        <f ca="1">INDEX(OFFSET(TST!HeadRow,ROW()-ROW(TST!HeadRow),0,1,COLUMNS(TST!HeadRow)),1,MATCH(MU$5,TST!HeadRow,0))/MU$8</f>
        <v>0.49599074150615857</v>
      </c>
      <c r="MV33" s="278">
        <f ca="1">$A33 - TST!US100dt + 1</f>
        <v>-29</v>
      </c>
      <c r="MW33" s="20">
        <f ca="1">INDEX(OFFSET(TST!HeadRow,ROW()-ROW(TST!HeadRow),0,1,COLUMNS(TST!HeadRow)),1,MATCH(MW$5,TST!HeadRow,0))/MW$8</f>
        <v>0.39486343900067283</v>
      </c>
      <c r="MX33" s="278">
        <f ca="1">$A33 - TST!AustraliaSum100dt + 1</f>
        <v>-29</v>
      </c>
      <c r="MY33" s="366">
        <f t="shared" si="7"/>
        <v>5.9138937076170954</v>
      </c>
      <c r="MZ33" s="278">
        <f ca="1">$A33 - TST!NewSouthWales100dt + 1</f>
        <v>-27</v>
      </c>
      <c r="NA33" s="366">
        <f ca="1">INDEX(OFFSET(TST!HeadRow,ROW()-ROW(TST!HeadRow),0,1,COLUMNS(TST!HeadRow)),1,MATCH(NA$5,TST!HeadRow,0))/NA$8</f>
        <v>4.9504950495049505</v>
      </c>
      <c r="NB33" s="278">
        <f ca="1">$A33 - TST!Taiwan100dt + 1</f>
        <v>-40</v>
      </c>
      <c r="NC33" s="366">
        <f ca="1">INDEX(OFFSET(TST!HeadRow,ROW()-ROW(TST!HeadRow),0,1,COLUMNS(TST!HeadRow)),1,MATCH(NC$5,TST!HeadRow,0))/NC$8</f>
        <v>7.5607118863883747</v>
      </c>
      <c r="ND33" s="20">
        <f ca="1">$A33 - TST!Hubei100dt + 1</f>
        <v>21</v>
      </c>
      <c r="NE33" s="20">
        <f ca="1">INDEX(OFFSET(TST!HeadRow,ROW()-ROW(TST!HeadRow),0,1,COLUMNS(TST!HeadRow)),1,MATCH(NE$5,TST!HeadRow,0))/NE$8</f>
        <v>9300.1709401709413</v>
      </c>
      <c r="NF33" s="20">
        <f ca="1">$A33 - TST!HongKong100dt + 1</f>
        <v>-9</v>
      </c>
      <c r="NG33" s="20">
        <f ca="1">INDEX(OFFSET(TST!HeadRow,ROW()-ROW(TST!HeadRow),0,1,COLUMNS(TST!HeadRow)),1,MATCH(NG$5,TST!HeadRow,0))/NG$8</f>
        <v>75.157696953429067</v>
      </c>
    </row>
    <row r="34" spans="1:371" x14ac:dyDescent="0.25">
      <c r="A34" s="243">
        <v>43876</v>
      </c>
      <c r="B34" s="23">
        <v>0</v>
      </c>
      <c r="C34" s="23">
        <v>0</v>
      </c>
      <c r="D34" s="23">
        <v>0</v>
      </c>
      <c r="E34" s="23">
        <v>0</v>
      </c>
      <c r="F34" s="23">
        <v>0</v>
      </c>
      <c r="G34" s="23">
        <v>0</v>
      </c>
      <c r="H34" s="23">
        <v>0</v>
      </c>
      <c r="I34" s="23">
        <v>0</v>
      </c>
      <c r="J34" s="23">
        <v>0</v>
      </c>
      <c r="K34" s="293">
        <v>4</v>
      </c>
      <c r="L34" s="23">
        <v>0</v>
      </c>
      <c r="M34" s="290">
        <v>5</v>
      </c>
      <c r="N34" s="23">
        <v>2</v>
      </c>
      <c r="O34" s="384">
        <v>0</v>
      </c>
      <c r="P34" s="287">
        <v>4</v>
      </c>
      <c r="Q34" s="23">
        <v>0</v>
      </c>
      <c r="R34" s="23">
        <v>0</v>
      </c>
      <c r="S34" s="23">
        <v>0</v>
      </c>
      <c r="T34" s="23">
        <v>0</v>
      </c>
      <c r="U34" s="23">
        <v>0</v>
      </c>
      <c r="V34" s="23">
        <v>0</v>
      </c>
      <c r="W34" s="23">
        <v>0</v>
      </c>
      <c r="X34" s="23">
        <v>0</v>
      </c>
      <c r="Y34" s="23">
        <v>1</v>
      </c>
      <c r="Z34" s="23">
        <v>0</v>
      </c>
      <c r="AA34" s="23">
        <v>0</v>
      </c>
      <c r="AB34" s="23">
        <v>0</v>
      </c>
      <c r="AC34" s="23">
        <v>0</v>
      </c>
      <c r="AD34" s="23">
        <v>0</v>
      </c>
      <c r="AE34" s="23">
        <v>0</v>
      </c>
      <c r="AF34" s="23">
        <v>0</v>
      </c>
      <c r="AG34" s="23">
        <v>0</v>
      </c>
      <c r="AH34" s="23">
        <v>0</v>
      </c>
      <c r="AI34" s="23">
        <v>1</v>
      </c>
      <c r="AJ34" s="23">
        <v>0</v>
      </c>
      <c r="AK34" s="23">
        <v>0</v>
      </c>
      <c r="AL34" s="23">
        <v>4</v>
      </c>
      <c r="AM34" s="23">
        <v>0</v>
      </c>
      <c r="AN34" s="23">
        <v>0</v>
      </c>
      <c r="AO34" s="23">
        <v>0</v>
      </c>
      <c r="AP34" s="23">
        <v>0</v>
      </c>
      <c r="AQ34" s="23">
        <v>0</v>
      </c>
      <c r="AR34" s="23">
        <v>3</v>
      </c>
      <c r="AS34" s="23">
        <v>0</v>
      </c>
      <c r="AT34" s="23">
        <v>0</v>
      </c>
      <c r="AU34" s="23">
        <v>0</v>
      </c>
      <c r="AV34" s="23">
        <v>0</v>
      </c>
      <c r="AW34" s="23">
        <v>0</v>
      </c>
      <c r="AX34" s="23">
        <v>0</v>
      </c>
      <c r="AY34" s="23">
        <v>950</v>
      </c>
      <c r="AZ34" s="23">
        <v>375</v>
      </c>
      <c r="BA34" s="23">
        <v>544</v>
      </c>
      <c r="BB34" s="23">
        <v>285</v>
      </c>
      <c r="BC34" s="23">
        <v>90</v>
      </c>
      <c r="BD34" s="23">
        <v>1294</v>
      </c>
      <c r="BE34" s="23">
        <v>235</v>
      </c>
      <c r="BF34" s="23">
        <v>143</v>
      </c>
      <c r="BG34" s="23">
        <v>162</v>
      </c>
      <c r="BH34" s="23">
        <v>291</v>
      </c>
      <c r="BI34" s="23">
        <v>425</v>
      </c>
      <c r="BJ34" s="23">
        <v>1212</v>
      </c>
      <c r="BK34" s="23">
        <v>56</v>
      </c>
      <c r="BL34" s="23">
        <v>56249</v>
      </c>
      <c r="BM34" s="23">
        <v>1001</v>
      </c>
      <c r="BN34" s="23">
        <v>68</v>
      </c>
      <c r="BO34" s="23">
        <v>604</v>
      </c>
      <c r="BP34" s="23">
        <v>913</v>
      </c>
      <c r="BQ34" s="23">
        <v>88</v>
      </c>
      <c r="BR34" s="23">
        <v>119</v>
      </c>
      <c r="BS34" s="23">
        <v>10</v>
      </c>
      <c r="BT34" s="23">
        <v>70</v>
      </c>
      <c r="BU34" s="23">
        <v>18</v>
      </c>
      <c r="BV34" s="23">
        <v>232</v>
      </c>
      <c r="BW34" s="23">
        <v>532</v>
      </c>
      <c r="BX34" s="23">
        <v>326</v>
      </c>
      <c r="BY34" s="23">
        <v>128</v>
      </c>
      <c r="BZ34" s="23">
        <v>470</v>
      </c>
      <c r="CA34" s="23">
        <v>122</v>
      </c>
      <c r="CB34" s="23">
        <v>1</v>
      </c>
      <c r="CC34" s="23">
        <v>70</v>
      </c>
      <c r="CD34" s="23">
        <v>168</v>
      </c>
      <c r="CE34" s="23">
        <v>1162</v>
      </c>
      <c r="CF34" s="23">
        <v>0</v>
      </c>
      <c r="CG34" s="23">
        <v>0</v>
      </c>
      <c r="CH34" s="23">
        <v>0</v>
      </c>
      <c r="CI34" s="23">
        <v>0</v>
      </c>
      <c r="CJ34" s="23">
        <v>0</v>
      </c>
      <c r="CK34" s="23">
        <v>0</v>
      </c>
      <c r="CL34" s="23">
        <v>285</v>
      </c>
      <c r="CM34" s="23">
        <v>0</v>
      </c>
      <c r="CN34" s="23">
        <v>0</v>
      </c>
      <c r="CO34" s="23">
        <v>0</v>
      </c>
      <c r="CP34" s="23">
        <v>0</v>
      </c>
      <c r="CQ34" s="23">
        <v>0</v>
      </c>
      <c r="CR34" s="23">
        <v>0</v>
      </c>
      <c r="CS34" s="23">
        <v>0</v>
      </c>
      <c r="CT34" s="23">
        <v>0</v>
      </c>
      <c r="CU34" s="23">
        <v>0</v>
      </c>
      <c r="CV34" s="23">
        <v>1</v>
      </c>
      <c r="CW34" s="23">
        <v>0</v>
      </c>
      <c r="CX34" s="23">
        <v>0</v>
      </c>
      <c r="CY34" s="23">
        <v>0</v>
      </c>
      <c r="CZ34" s="23">
        <v>0</v>
      </c>
      <c r="DA34" s="23">
        <v>0</v>
      </c>
      <c r="DB34" s="23">
        <v>0</v>
      </c>
      <c r="DC34" s="23">
        <v>0</v>
      </c>
      <c r="DD34" s="23">
        <v>1</v>
      </c>
      <c r="DE34" s="23">
        <v>0</v>
      </c>
      <c r="DF34" s="23">
        <v>0</v>
      </c>
      <c r="DG34" s="23">
        <v>0</v>
      </c>
      <c r="DH34" s="23">
        <v>0</v>
      </c>
      <c r="DI34" s="23">
        <v>0</v>
      </c>
      <c r="DJ34" s="23">
        <v>0</v>
      </c>
      <c r="DK34" s="23">
        <v>0</v>
      </c>
      <c r="DL34" s="23">
        <v>0</v>
      </c>
      <c r="DM34" s="23">
        <v>0</v>
      </c>
      <c r="DN34" s="23">
        <v>12</v>
      </c>
      <c r="DO34" s="23">
        <v>0</v>
      </c>
      <c r="DP34" s="23">
        <v>0</v>
      </c>
      <c r="DQ34" s="23">
        <v>0</v>
      </c>
      <c r="DR34" s="23">
        <v>16</v>
      </c>
      <c r="DS34" s="23">
        <v>0</v>
      </c>
      <c r="DT34" s="23">
        <v>0</v>
      </c>
      <c r="DU34" s="23">
        <v>0</v>
      </c>
      <c r="DV34" s="23">
        <v>0</v>
      </c>
      <c r="DW34" s="23">
        <v>0</v>
      </c>
      <c r="DX34" s="23">
        <v>0</v>
      </c>
      <c r="DY34" s="23">
        <v>0</v>
      </c>
      <c r="DZ34" s="23">
        <v>0</v>
      </c>
      <c r="EA34" s="23">
        <v>0</v>
      </c>
      <c r="EB34" s="23">
        <v>0</v>
      </c>
      <c r="EC34" s="23">
        <v>3</v>
      </c>
      <c r="ED34" s="23">
        <v>0</v>
      </c>
      <c r="EE34" s="23">
        <v>0</v>
      </c>
      <c r="EF34" s="23">
        <v>0</v>
      </c>
      <c r="EG34" s="23">
        <v>0</v>
      </c>
      <c r="EH34" s="23">
        <v>0</v>
      </c>
      <c r="EI34" s="23">
        <v>3</v>
      </c>
      <c r="EJ34" s="23">
        <v>0</v>
      </c>
      <c r="EK34" s="23">
        <v>43</v>
      </c>
      <c r="EL34" s="23">
        <v>0</v>
      </c>
      <c r="EM34" s="23">
        <v>0</v>
      </c>
      <c r="EN34" s="23">
        <v>0</v>
      </c>
      <c r="EO34" s="23">
        <v>28</v>
      </c>
      <c r="EP34" s="23">
        <v>0</v>
      </c>
      <c r="EQ34" s="23">
        <v>0</v>
      </c>
      <c r="ER34" s="23">
        <v>0</v>
      </c>
      <c r="ES34" s="23">
        <v>0</v>
      </c>
      <c r="ET34" s="23">
        <v>0</v>
      </c>
      <c r="EU34" s="23">
        <v>0</v>
      </c>
      <c r="EV34" s="23">
        <v>0</v>
      </c>
      <c r="EW34" s="23">
        <v>0</v>
      </c>
      <c r="EX34" s="23">
        <v>0</v>
      </c>
      <c r="EY34" s="23">
        <v>22</v>
      </c>
      <c r="EZ34" s="23">
        <v>0</v>
      </c>
      <c r="FA34" s="23">
        <v>0</v>
      </c>
      <c r="FB34" s="23">
        <v>0</v>
      </c>
      <c r="FC34" s="23">
        <v>0</v>
      </c>
      <c r="FD34" s="23">
        <v>0</v>
      </c>
      <c r="FE34" s="23">
        <v>0</v>
      </c>
      <c r="FF34" s="23">
        <v>0</v>
      </c>
      <c r="FG34" s="23">
        <v>0</v>
      </c>
      <c r="FH34" s="23">
        <v>0</v>
      </c>
      <c r="FI34" s="23">
        <v>0</v>
      </c>
      <c r="FJ34" s="23">
        <v>0</v>
      </c>
      <c r="FK34" s="23">
        <v>1</v>
      </c>
      <c r="FL34" s="23">
        <v>0</v>
      </c>
      <c r="FM34" s="23">
        <v>0</v>
      </c>
      <c r="FN34" s="23">
        <v>0</v>
      </c>
      <c r="FO34" s="23">
        <v>0</v>
      </c>
      <c r="FP34" s="23">
        <v>0</v>
      </c>
      <c r="FQ34" s="23">
        <v>0</v>
      </c>
      <c r="FR34" s="23">
        <v>0</v>
      </c>
      <c r="FS34" s="23">
        <v>0</v>
      </c>
      <c r="FT34" s="23">
        <v>0</v>
      </c>
      <c r="FU34" s="23">
        <v>0</v>
      </c>
      <c r="FV34" s="23">
        <v>0</v>
      </c>
      <c r="FW34" s="23">
        <v>0</v>
      </c>
      <c r="FX34" s="23">
        <v>0</v>
      </c>
      <c r="FY34" s="23">
        <v>0</v>
      </c>
      <c r="FZ34" s="23">
        <v>0</v>
      </c>
      <c r="GA34" s="23">
        <v>0</v>
      </c>
      <c r="GB34" s="23">
        <v>3</v>
      </c>
      <c r="GC34" s="23">
        <v>0</v>
      </c>
      <c r="GD34" s="23">
        <v>0</v>
      </c>
      <c r="GE34" s="23">
        <v>0</v>
      </c>
      <c r="GF34" s="23">
        <v>0</v>
      </c>
      <c r="GG34" s="23">
        <v>2</v>
      </c>
      <c r="GH34" s="23">
        <v>0</v>
      </c>
      <c r="GI34" s="23">
        <v>0</v>
      </c>
      <c r="GJ34" s="23">
        <v>0</v>
      </c>
      <c r="GK34" s="23">
        <v>0</v>
      </c>
      <c r="GL34" s="23">
        <v>0</v>
      </c>
      <c r="GM34" s="23">
        <v>0</v>
      </c>
      <c r="GN34" s="23">
        <v>0</v>
      </c>
      <c r="GO34" s="23">
        <v>0</v>
      </c>
      <c r="GP34" s="23">
        <v>72</v>
      </c>
      <c r="GQ34" s="23">
        <v>0</v>
      </c>
      <c r="GR34" s="23">
        <v>0</v>
      </c>
      <c r="GS34" s="23">
        <v>0</v>
      </c>
      <c r="GT34" s="23">
        <v>0</v>
      </c>
      <c r="GU34" s="23">
        <v>2</v>
      </c>
      <c r="GV34" s="23">
        <v>1</v>
      </c>
      <c r="GW34" s="23">
        <v>0</v>
      </c>
      <c r="GX34" s="23">
        <v>0</v>
      </c>
      <c r="GY34" s="23">
        <v>1</v>
      </c>
      <c r="GZ34" s="23">
        <v>0</v>
      </c>
      <c r="HA34" s="23">
        <v>18</v>
      </c>
      <c r="HB34" s="23">
        <v>0</v>
      </c>
      <c r="HC34" s="23">
        <v>33</v>
      </c>
      <c r="HD34" s="23">
        <v>0</v>
      </c>
      <c r="HE34" s="23">
        <v>0</v>
      </c>
      <c r="HF34" s="23">
        <v>0</v>
      </c>
      <c r="HG34" s="23">
        <v>0</v>
      </c>
      <c r="HH34" s="23">
        <v>0</v>
      </c>
      <c r="HI34" s="23">
        <v>0</v>
      </c>
      <c r="HJ34" s="23">
        <v>8</v>
      </c>
      <c r="HK34" s="23">
        <v>0</v>
      </c>
      <c r="HL34" s="23">
        <v>0</v>
      </c>
      <c r="HM34" s="23">
        <v>0</v>
      </c>
      <c r="HN34" s="23">
        <v>0</v>
      </c>
      <c r="HO34" s="23">
        <v>0</v>
      </c>
      <c r="HP34" s="23">
        <v>0</v>
      </c>
      <c r="HQ34" s="23">
        <v>9</v>
      </c>
      <c r="HR34" s="23">
        <v>0</v>
      </c>
      <c r="HS34" s="23">
        <v>13</v>
      </c>
      <c r="HT34" s="23">
        <v>0</v>
      </c>
      <c r="HU34" s="23">
        <v>0</v>
      </c>
      <c r="HV34" s="23">
        <v>16</v>
      </c>
      <c r="HW34" s="23">
        <v>0</v>
      </c>
      <c r="HX34" s="23">
        <v>0</v>
      </c>
      <c r="HY34" s="23">
        <v>0</v>
      </c>
      <c r="HZ34" s="23">
        <v>0</v>
      </c>
      <c r="IA34" s="23">
        <v>0</v>
      </c>
      <c r="IB34" s="23">
        <v>0</v>
      </c>
      <c r="IC34" s="23">
        <v>0</v>
      </c>
      <c r="ID34" s="23">
        <v>0</v>
      </c>
      <c r="IE34" s="23">
        <v>0</v>
      </c>
      <c r="IF34" s="23">
        <v>0</v>
      </c>
      <c r="IG34" s="23">
        <v>0</v>
      </c>
      <c r="IH34" s="23">
        <v>0</v>
      </c>
      <c r="II34" s="23">
        <v>0</v>
      </c>
      <c r="IJ34" s="23">
        <v>0</v>
      </c>
      <c r="IK34" s="23">
        <v>0</v>
      </c>
      <c r="IL34" s="23">
        <v>0</v>
      </c>
      <c r="IM34" s="23">
        <v>0</v>
      </c>
      <c r="IN34" s="23">
        <v>0</v>
      </c>
      <c r="IO34" s="23">
        <v>0</v>
      </c>
      <c r="IP34" s="23">
        <v>0</v>
      </c>
      <c r="IQ34" s="23">
        <v>0</v>
      </c>
      <c r="IR34" s="23">
        <v>0</v>
      </c>
      <c r="IS34" s="23">
        <v>0</v>
      </c>
      <c r="IT34" s="23">
        <v>0</v>
      </c>
      <c r="IU34" s="23">
        <v>0</v>
      </c>
      <c r="IV34" s="23">
        <v>0</v>
      </c>
      <c r="IW34" s="23">
        <v>0</v>
      </c>
      <c r="IX34" s="23">
        <v>0</v>
      </c>
      <c r="IY34" s="23">
        <v>0</v>
      </c>
      <c r="IZ34" s="23">
        <v>0</v>
      </c>
      <c r="JA34" s="23">
        <v>0</v>
      </c>
      <c r="JB34" s="23">
        <v>0</v>
      </c>
      <c r="JC34" s="23">
        <v>0</v>
      </c>
      <c r="JD34" s="23">
        <v>0</v>
      </c>
      <c r="JE34" s="23">
        <v>0</v>
      </c>
      <c r="JF34" s="23">
        <v>0</v>
      </c>
      <c r="JG34" s="23">
        <v>0</v>
      </c>
      <c r="JH34" s="23">
        <v>0</v>
      </c>
      <c r="JI34" s="23">
        <v>0</v>
      </c>
      <c r="JJ34" s="23">
        <v>0</v>
      </c>
      <c r="JK34" s="23">
        <v>0</v>
      </c>
      <c r="JL34" s="23">
        <v>0</v>
      </c>
      <c r="JM34" s="23">
        <v>0</v>
      </c>
      <c r="JN34" s="23">
        <v>0</v>
      </c>
      <c r="JO34" s="23">
        <v>1</v>
      </c>
      <c r="JP34" s="23">
        <v>0</v>
      </c>
      <c r="JQ34" s="23">
        <v>8</v>
      </c>
      <c r="JR34" s="23">
        <v>0</v>
      </c>
      <c r="JS34" s="23">
        <v>0</v>
      </c>
      <c r="JT34" s="23">
        <v>0</v>
      </c>
      <c r="JU34" s="23">
        <v>0</v>
      </c>
      <c r="JV34" s="23">
        <v>0</v>
      </c>
      <c r="JW34" s="23">
        <v>0</v>
      </c>
      <c r="JX34" s="23">
        <v>0</v>
      </c>
      <c r="JY34" s="23">
        <v>0</v>
      </c>
      <c r="JZ34" s="23">
        <v>2</v>
      </c>
      <c r="KA34" s="23">
        <v>0</v>
      </c>
      <c r="KB34" s="23">
        <v>0</v>
      </c>
      <c r="KC34" s="23">
        <v>0</v>
      </c>
      <c r="KD34" s="23">
        <v>0</v>
      </c>
      <c r="KE34" s="23">
        <v>0</v>
      </c>
      <c r="KF34" s="23">
        <v>0</v>
      </c>
      <c r="KG34" s="23">
        <v>0</v>
      </c>
      <c r="KH34" s="23">
        <v>1</v>
      </c>
      <c r="KI34" s="23">
        <v>0</v>
      </c>
      <c r="KJ34" s="23">
        <v>0</v>
      </c>
      <c r="KK34" s="23">
        <v>0</v>
      </c>
      <c r="KL34" s="23">
        <v>0</v>
      </c>
      <c r="KM34" s="23">
        <v>0</v>
      </c>
      <c r="KN34" s="23">
        <v>0</v>
      </c>
      <c r="KO34" s="23">
        <v>0</v>
      </c>
      <c r="KP34" s="23">
        <v>0</v>
      </c>
      <c r="KQ34" s="23">
        <v>0</v>
      </c>
      <c r="KR34" s="23">
        <v>0</v>
      </c>
      <c r="KS34" s="23">
        <v>0</v>
      </c>
      <c r="KT34" s="23">
        <v>0</v>
      </c>
      <c r="KU34" s="23">
        <v>0</v>
      </c>
      <c r="KV34" s="23">
        <v>0</v>
      </c>
      <c r="KW34" s="23">
        <v>0</v>
      </c>
      <c r="KX34" s="23">
        <v>0</v>
      </c>
      <c r="KY34" s="23">
        <v>0</v>
      </c>
      <c r="KZ34" s="23">
        <v>0</v>
      </c>
      <c r="LA34" s="23">
        <v>0</v>
      </c>
      <c r="LB34" s="23">
        <v>0</v>
      </c>
      <c r="LC34" s="23">
        <v>0</v>
      </c>
      <c r="LD34" s="23">
        <v>0</v>
      </c>
      <c r="LE34" s="23">
        <v>0</v>
      </c>
      <c r="LF34" s="23">
        <v>0</v>
      </c>
      <c r="LG34" s="23">
        <v>0</v>
      </c>
      <c r="LH34" s="23">
        <v>1</v>
      </c>
      <c r="LI34" s="23">
        <v>0</v>
      </c>
      <c r="LJ34" s="23">
        <v>0</v>
      </c>
      <c r="LK34" s="23">
        <v>0</v>
      </c>
      <c r="LL34" s="23">
        <v>0</v>
      </c>
      <c r="LM34" s="23">
        <v>0</v>
      </c>
      <c r="LN34" s="278">
        <f ca="1">$A34 - TST!Sweden100dt + 1</f>
        <v>-20</v>
      </c>
      <c r="LO34" s="20">
        <f ca="1">INDEX(OFFSET(TST!HeadRow,ROW()-ROW(TST!HeadRow),0,1,COLUMNS(TST!HeadRow)),1,MATCH(LO$5,TST!HeadRow,0))/LO$8</f>
        <v>0.97751710654936474</v>
      </c>
      <c r="LP34" s="278">
        <f ca="1">$A34 - TST!Spain100dt + 1</f>
        <v>-20</v>
      </c>
      <c r="LQ34" s="20">
        <f ca="1">INDEX(OFFSET(TST!HeadRow,ROW()-ROW(TST!HeadRow),0,1,COLUMNS(TST!HeadRow)),1,MATCH(LQ$5,TST!HeadRow,0))/LQ$8</f>
        <v>0.42607584149978694</v>
      </c>
      <c r="LR34" s="285">
        <f ca="1">$A34 - TST!Victoria100dt + 1</f>
        <v>-29</v>
      </c>
      <c r="LS34" s="20">
        <f ca="1">INDEX(OFFSET(TST!HeadRow,ROW()-ROW(TST!HeadRow),0,1,COLUMNS(TST!HeadRow)),1,MATCH(LS$5,TST!HeadRow,0))/LS$8</f>
        <v>6.0340926233217678</v>
      </c>
      <c r="LT34" s="278">
        <f ca="1">$A34 - TST!Iran100dt + 1</f>
        <v>-14</v>
      </c>
      <c r="LU34" s="20">
        <f ca="1">INDEX(OFFSET(TST!HeadRow,ROW()-ROW(TST!HeadRow),0,1,COLUMNS(TST!HeadRow)),1,MATCH(LU$5,TST!HeadRow,0))/LU$8</f>
        <v>0</v>
      </c>
      <c r="LV34" s="278">
        <f ca="1">$A34 - TST!Japan100dt + 1</f>
        <v>-38</v>
      </c>
      <c r="LW34" s="20">
        <f ca="1">INDEX(OFFSET(TST!HeadRow,ROW()-ROW(TST!HeadRow),0,1,COLUMNS(TST!HeadRow)),1,MATCH(LW$5,TST!HeadRow,0))/LW$8</f>
        <v>3.3977536091788276</v>
      </c>
      <c r="LX34" s="278">
        <f ca="1">$A34 - TST!Queensland100dt + 1</f>
        <v>-28</v>
      </c>
      <c r="LY34" s="20">
        <f ca="1">INDEX(OFFSET(TST!HeadRow,ROW()-ROW(TST!HeadRow),0,1,COLUMNS(TST!HeadRow)),1,MATCH(LY$5,TST!HeadRow,0))/LY$8</f>
        <v>9.7743092446785251</v>
      </c>
      <c r="LZ34" s="278">
        <f ca="1">$A34 - TST!Tasmania100dt + 1</f>
        <v>-28</v>
      </c>
      <c r="MA34" s="20">
        <f ca="1">INDEX(OFFSET(TST!HeadRow,ROW()-ROW(TST!HeadRow),0,1,COLUMNS(TST!HeadRow)),1,MATCH(MA$5,TST!HeadRow,0))/MA$8</f>
        <v>0</v>
      </c>
      <c r="MB34" s="278">
        <f ca="1">$A34 - TST!SouthAustralia100dt + 1</f>
        <v>-27</v>
      </c>
      <c r="MC34" s="20">
        <f ca="1">INDEX(OFFSET(TST!HeadRow,ROW()-ROW(TST!HeadRow),0,1,COLUMNS(TST!HeadRow)),1,MATCH(MC$5,TST!HeadRow,0))/MC$8</f>
        <v>11.976047904191615</v>
      </c>
      <c r="MD34" s="278">
        <f ca="1">$A34 - TST!AustralianCapitalTerritory100dt + 1</f>
        <v>-33</v>
      </c>
      <c r="ME34" s="20">
        <f ca="1">INDEX(OFFSET(TST!HeadRow,ROW()-ROW(TST!HeadRow),0,1,COLUMNS(TST!HeadRow)),1,MATCH(ME$5,TST!HeadRow,0))/ME$8</f>
        <v>0</v>
      </c>
      <c r="MF34" s="278">
        <f ca="1">$A34 - TST!NorthernTerritory100dt + 1</f>
        <v>-33</v>
      </c>
      <c r="MG34" s="20">
        <f ca="1">INDEX(OFFSET(TST!HeadRow,ROW()-ROW(TST!HeadRow),0,1,COLUMNS(TST!HeadRow)),1,MATCH(MG$5,TST!HeadRow,0))/MG$8</f>
        <v>0</v>
      </c>
      <c r="MH34" s="278">
        <f ca="1">$A34 - TST!WesternAustralia100dt + 1</f>
        <v>-29</v>
      </c>
      <c r="MI34" s="20">
        <f ca="1">INDEX(OFFSET(TST!HeadRow,ROW()-ROW(TST!HeadRow),0,1,COLUMNS(TST!HeadRow)),1,MATCH(MI$5,TST!HeadRow,0))/MI$8</f>
        <v>0</v>
      </c>
      <c r="MJ34" s="278">
        <f ca="1">$A34 - TST!Germany100dt + 1</f>
        <v>-21</v>
      </c>
      <c r="MK34" s="20">
        <f ca="1">INDEX(OFFSET(TST!HeadRow,ROW()-ROW(TST!HeadRow),0,1,COLUMNS(TST!HeadRow)),1,MATCH(MK$5,TST!HeadRow,0))/MK$8</f>
        <v>1.9272464466393642</v>
      </c>
      <c r="ML34" s="278">
        <f ca="1">$A34 - TST!Denmark100dt + 1</f>
        <v>-22</v>
      </c>
      <c r="MM34" s="20">
        <f ca="1">INDEX(OFFSET(TST!HeadRow,ROW()-ROW(TST!HeadRow),0,1,COLUMNS(TST!HeadRow)),1,MATCH(MM$5,TST!HeadRow,0))/MM$8</f>
        <v>0</v>
      </c>
      <c r="MN34" s="278">
        <f ca="1">$A34 - TST!SouthAfrica100dt + 1</f>
        <v>-38</v>
      </c>
      <c r="MO34" s="20">
        <f ca="1">INDEX(OFFSET(TST!HeadRow,ROW()-ROW(TST!HeadRow),0,1,COLUMNS(TST!HeadRow)),1,MATCH(MO$5,TST!HeadRow,0))/MO$8</f>
        <v>0</v>
      </c>
      <c r="MP34" s="278">
        <f ca="1">$A34 - TST!UnitedKingdom100dt + 1</f>
        <v>-26</v>
      </c>
      <c r="MQ34" s="20">
        <f ca="1">INDEX(OFFSET(TST!HeadRow,ROW()-ROW(TST!HeadRow),0,1,COLUMNS(TST!HeadRow)),1,MATCH(MQ$5,TST!HeadRow,0))/MQ$8</f>
        <v>1.3546056592414208</v>
      </c>
      <c r="MR34" s="278">
        <f ca="1">$A34 - TST!Ireland100dt + 1</f>
        <v>-26</v>
      </c>
      <c r="MS34" s="20">
        <f ca="1">INDEX(OFFSET(TST!HeadRow,ROW()-ROW(TST!HeadRow),0,1,COLUMNS(TST!HeadRow)),1,MATCH(MS$5,TST!HeadRow,0))/MS$8</f>
        <v>0</v>
      </c>
      <c r="MT34" s="278">
        <f ca="1">$A34 - TST!Italy100dt + 1</f>
        <v>-11</v>
      </c>
      <c r="MU34" s="20">
        <f ca="1">INDEX(OFFSET(TST!HeadRow,ROW()-ROW(TST!HeadRow),0,1,COLUMNS(TST!HeadRow)),1,MATCH(MU$5,TST!HeadRow,0))/MU$8</f>
        <v>0.49599074150615857</v>
      </c>
      <c r="MV34" s="278">
        <f ca="1">$A34 - TST!US100dt + 1</f>
        <v>-28</v>
      </c>
      <c r="MW34" s="20">
        <f ca="1">INDEX(OFFSET(TST!HeadRow,ROW()-ROW(TST!HeadRow),0,1,COLUMNS(TST!HeadRow)),1,MATCH(MW$5,TST!HeadRow,0))/MW$8</f>
        <v>0.39486343900067283</v>
      </c>
      <c r="MX34" s="278">
        <f ca="1">$A34 - TST!AustraliaSum100dt + 1</f>
        <v>-28</v>
      </c>
      <c r="MY34" s="366">
        <f t="shared" si="7"/>
        <v>5.9138937076170954</v>
      </c>
      <c r="MZ34" s="278">
        <f ca="1">$A34 - TST!NewSouthWales100dt + 1</f>
        <v>-26</v>
      </c>
      <c r="NA34" s="366">
        <f ca="1">INDEX(OFFSET(TST!HeadRow,ROW()-ROW(TST!HeadRow),0,1,COLUMNS(TST!HeadRow)),1,MATCH(NA$5,TST!HeadRow,0))/NA$8</f>
        <v>4.9504950495049505</v>
      </c>
      <c r="NB34" s="278">
        <f ca="1">$A34 - TST!Taiwan100dt + 1</f>
        <v>-39</v>
      </c>
      <c r="NC34" s="366">
        <f ca="1">INDEX(OFFSET(TST!HeadRow,ROW()-ROW(TST!HeadRow),0,1,COLUMNS(TST!HeadRow)),1,MATCH(NC$5,TST!HeadRow,0))/NC$8</f>
        <v>7.5607118863883747</v>
      </c>
      <c r="ND34" s="20">
        <f ca="1">$A34 - TST!Hubei100dt + 1</f>
        <v>22</v>
      </c>
      <c r="NE34" s="20">
        <f ca="1">INDEX(OFFSET(TST!HeadRow,ROW()-ROW(TST!HeadRow),0,1,COLUMNS(TST!HeadRow)),1,MATCH(NE$5,TST!HeadRow,0))/NE$8</f>
        <v>9615.2136752136757</v>
      </c>
      <c r="NF34" s="20">
        <f ca="1">$A34 - TST!HongKong100dt + 1</f>
        <v>-8</v>
      </c>
      <c r="NG34" s="20">
        <f ca="1">INDEX(OFFSET(TST!HeadRow,ROW()-ROW(TST!HeadRow),0,1,COLUMNS(TST!HeadRow)),1,MATCH(NG$5,TST!HeadRow,0))/NG$8</f>
        <v>75.157696953429067</v>
      </c>
    </row>
    <row r="35" spans="1:371" x14ac:dyDescent="0.25">
      <c r="A35" s="243">
        <v>43877</v>
      </c>
      <c r="B35" s="23">
        <v>0</v>
      </c>
      <c r="C35" s="23">
        <v>0</v>
      </c>
      <c r="D35" s="23">
        <v>0</v>
      </c>
      <c r="E35" s="23">
        <v>0</v>
      </c>
      <c r="F35" s="23">
        <v>0</v>
      </c>
      <c r="G35" s="23">
        <v>0</v>
      </c>
      <c r="H35" s="23">
        <v>0</v>
      </c>
      <c r="I35" s="23">
        <v>0</v>
      </c>
      <c r="J35" s="23">
        <v>0</v>
      </c>
      <c r="K35" s="293">
        <v>4</v>
      </c>
      <c r="L35" s="23">
        <v>0</v>
      </c>
      <c r="M35" s="290">
        <v>5</v>
      </c>
      <c r="N35" s="23">
        <v>2</v>
      </c>
      <c r="O35" s="384">
        <v>0</v>
      </c>
      <c r="P35" s="287">
        <v>4</v>
      </c>
      <c r="Q35" s="23">
        <v>0</v>
      </c>
      <c r="R35" s="23">
        <v>0</v>
      </c>
      <c r="S35" s="23">
        <v>0</v>
      </c>
      <c r="T35" s="23">
        <v>0</v>
      </c>
      <c r="U35" s="23">
        <v>0</v>
      </c>
      <c r="V35" s="23">
        <v>0</v>
      </c>
      <c r="W35" s="23">
        <v>0</v>
      </c>
      <c r="X35" s="23">
        <v>0</v>
      </c>
      <c r="Y35" s="23">
        <v>1</v>
      </c>
      <c r="Z35" s="23">
        <v>0</v>
      </c>
      <c r="AA35" s="23">
        <v>0</v>
      </c>
      <c r="AB35" s="23">
        <v>0</v>
      </c>
      <c r="AC35" s="23">
        <v>0</v>
      </c>
      <c r="AD35" s="23">
        <v>0</v>
      </c>
      <c r="AE35" s="23">
        <v>0</v>
      </c>
      <c r="AF35" s="23">
        <v>0</v>
      </c>
      <c r="AG35" s="23">
        <v>0</v>
      </c>
      <c r="AH35" s="23">
        <v>0</v>
      </c>
      <c r="AI35" s="23">
        <v>1</v>
      </c>
      <c r="AJ35" s="23">
        <v>0</v>
      </c>
      <c r="AK35" s="23">
        <v>0</v>
      </c>
      <c r="AL35" s="23">
        <v>4</v>
      </c>
      <c r="AM35" s="23">
        <v>0</v>
      </c>
      <c r="AN35" s="23">
        <v>0</v>
      </c>
      <c r="AO35" s="23">
        <v>0</v>
      </c>
      <c r="AP35" s="23">
        <v>0</v>
      </c>
      <c r="AQ35" s="23">
        <v>0</v>
      </c>
      <c r="AR35" s="23">
        <v>3</v>
      </c>
      <c r="AS35" s="23">
        <v>0</v>
      </c>
      <c r="AT35" s="23">
        <v>0</v>
      </c>
      <c r="AU35" s="23">
        <v>0</v>
      </c>
      <c r="AV35" s="23">
        <v>0</v>
      </c>
      <c r="AW35" s="23">
        <v>0</v>
      </c>
      <c r="AX35" s="23">
        <v>0</v>
      </c>
      <c r="AY35" s="23">
        <v>962</v>
      </c>
      <c r="AZ35" s="23">
        <v>380</v>
      </c>
      <c r="BA35" s="23">
        <v>551</v>
      </c>
      <c r="BB35" s="23">
        <v>287</v>
      </c>
      <c r="BC35" s="23">
        <v>90</v>
      </c>
      <c r="BD35" s="23">
        <v>1316</v>
      </c>
      <c r="BE35" s="23">
        <v>237</v>
      </c>
      <c r="BF35" s="23">
        <v>144</v>
      </c>
      <c r="BG35" s="23">
        <v>162</v>
      </c>
      <c r="BH35" s="23">
        <v>300</v>
      </c>
      <c r="BI35" s="23">
        <v>445</v>
      </c>
      <c r="BJ35" s="23">
        <v>1231</v>
      </c>
      <c r="BK35" s="23">
        <v>57</v>
      </c>
      <c r="BL35" s="23">
        <v>58182</v>
      </c>
      <c r="BM35" s="23">
        <v>1004</v>
      </c>
      <c r="BN35" s="23">
        <v>70</v>
      </c>
      <c r="BO35" s="23">
        <v>617</v>
      </c>
      <c r="BP35" s="23">
        <v>925</v>
      </c>
      <c r="BQ35" s="23">
        <v>89</v>
      </c>
      <c r="BR35" s="23">
        <v>121</v>
      </c>
      <c r="BS35" s="23">
        <v>10</v>
      </c>
      <c r="BT35" s="23">
        <v>70</v>
      </c>
      <c r="BU35" s="23">
        <v>18</v>
      </c>
      <c r="BV35" s="23">
        <v>236</v>
      </c>
      <c r="BW35" s="23">
        <v>537</v>
      </c>
      <c r="BX35" s="23">
        <v>328</v>
      </c>
      <c r="BY35" s="23">
        <v>129</v>
      </c>
      <c r="BZ35" s="23">
        <v>481</v>
      </c>
      <c r="CA35" s="23">
        <v>124</v>
      </c>
      <c r="CB35" s="23">
        <v>1</v>
      </c>
      <c r="CC35" s="23">
        <v>71</v>
      </c>
      <c r="CD35" s="23">
        <v>171</v>
      </c>
      <c r="CE35" s="23">
        <v>1167</v>
      </c>
      <c r="CF35" s="23">
        <v>0</v>
      </c>
      <c r="CG35" s="23">
        <v>0</v>
      </c>
      <c r="CH35" s="23">
        <v>0</v>
      </c>
      <c r="CI35" s="23">
        <v>0</v>
      </c>
      <c r="CJ35" s="23">
        <v>0</v>
      </c>
      <c r="CK35" s="23">
        <v>0</v>
      </c>
      <c r="CL35" s="23">
        <v>355</v>
      </c>
      <c r="CM35" s="23">
        <v>0</v>
      </c>
      <c r="CN35" s="23">
        <v>0</v>
      </c>
      <c r="CO35" s="23">
        <v>0</v>
      </c>
      <c r="CP35" s="23">
        <v>0</v>
      </c>
      <c r="CQ35" s="23">
        <v>0</v>
      </c>
      <c r="CR35" s="23">
        <v>0</v>
      </c>
      <c r="CS35" s="23">
        <v>0</v>
      </c>
      <c r="CT35" s="23">
        <v>0</v>
      </c>
      <c r="CU35" s="23">
        <v>0</v>
      </c>
      <c r="CV35" s="23">
        <v>1</v>
      </c>
      <c r="CW35" s="23">
        <v>0</v>
      </c>
      <c r="CX35" s="23">
        <v>0</v>
      </c>
      <c r="CY35" s="23">
        <v>0</v>
      </c>
      <c r="CZ35" s="23">
        <v>0</v>
      </c>
      <c r="DA35" s="23">
        <v>0</v>
      </c>
      <c r="DB35" s="23">
        <v>0</v>
      </c>
      <c r="DC35" s="23">
        <v>0</v>
      </c>
      <c r="DD35" s="23">
        <v>1</v>
      </c>
      <c r="DE35" s="23">
        <v>0</v>
      </c>
      <c r="DF35" s="23">
        <v>0</v>
      </c>
      <c r="DG35" s="23">
        <v>0</v>
      </c>
      <c r="DH35" s="23">
        <v>0</v>
      </c>
      <c r="DI35" s="23">
        <v>0</v>
      </c>
      <c r="DJ35" s="23">
        <v>0</v>
      </c>
      <c r="DK35" s="23">
        <v>0</v>
      </c>
      <c r="DL35" s="23">
        <v>0</v>
      </c>
      <c r="DM35" s="23">
        <v>0</v>
      </c>
      <c r="DN35" s="23">
        <v>12</v>
      </c>
      <c r="DO35" s="23">
        <v>0</v>
      </c>
      <c r="DP35" s="23">
        <v>0</v>
      </c>
      <c r="DQ35" s="23">
        <v>0</v>
      </c>
      <c r="DR35" s="23">
        <v>16</v>
      </c>
      <c r="DS35" s="23">
        <v>0</v>
      </c>
      <c r="DT35" s="23">
        <v>0</v>
      </c>
      <c r="DU35" s="23">
        <v>0</v>
      </c>
      <c r="DV35" s="23">
        <v>0</v>
      </c>
      <c r="DW35" s="23">
        <v>0</v>
      </c>
      <c r="DX35" s="23">
        <v>0</v>
      </c>
      <c r="DY35" s="23">
        <v>0</v>
      </c>
      <c r="DZ35" s="23">
        <v>0</v>
      </c>
      <c r="EA35" s="23">
        <v>0</v>
      </c>
      <c r="EB35" s="23">
        <v>0</v>
      </c>
      <c r="EC35" s="23">
        <v>3</v>
      </c>
      <c r="ED35" s="23">
        <v>0</v>
      </c>
      <c r="EE35" s="23">
        <v>0</v>
      </c>
      <c r="EF35" s="23">
        <v>0</v>
      </c>
      <c r="EG35" s="23">
        <v>0</v>
      </c>
      <c r="EH35" s="23">
        <v>0</v>
      </c>
      <c r="EI35" s="23">
        <v>3</v>
      </c>
      <c r="EJ35" s="23">
        <v>0</v>
      </c>
      <c r="EK35" s="23">
        <v>59</v>
      </c>
      <c r="EL35" s="23">
        <v>0</v>
      </c>
      <c r="EM35" s="23">
        <v>0</v>
      </c>
      <c r="EN35" s="23">
        <v>0</v>
      </c>
      <c r="EO35" s="23">
        <v>29</v>
      </c>
      <c r="EP35" s="23">
        <v>0</v>
      </c>
      <c r="EQ35" s="23">
        <v>0</v>
      </c>
      <c r="ER35" s="23">
        <v>0</v>
      </c>
      <c r="ES35" s="23">
        <v>0</v>
      </c>
      <c r="ET35" s="23">
        <v>0</v>
      </c>
      <c r="EU35" s="23">
        <v>0</v>
      </c>
      <c r="EV35" s="23">
        <v>0</v>
      </c>
      <c r="EW35" s="23">
        <v>0</v>
      </c>
      <c r="EX35" s="23">
        <v>0</v>
      </c>
      <c r="EY35" s="23">
        <v>22</v>
      </c>
      <c r="EZ35" s="23">
        <v>0</v>
      </c>
      <c r="FA35" s="23">
        <v>0</v>
      </c>
      <c r="FB35" s="23">
        <v>0</v>
      </c>
      <c r="FC35" s="23">
        <v>0</v>
      </c>
      <c r="FD35" s="23">
        <v>0</v>
      </c>
      <c r="FE35" s="23">
        <v>0</v>
      </c>
      <c r="FF35" s="23">
        <v>0</v>
      </c>
      <c r="FG35" s="23">
        <v>0</v>
      </c>
      <c r="FH35" s="23">
        <v>0</v>
      </c>
      <c r="FI35" s="23">
        <v>0</v>
      </c>
      <c r="FJ35" s="23">
        <v>0</v>
      </c>
      <c r="FK35" s="23">
        <v>1</v>
      </c>
      <c r="FL35" s="23">
        <v>0</v>
      </c>
      <c r="FM35" s="23">
        <v>0</v>
      </c>
      <c r="FN35" s="23">
        <v>0</v>
      </c>
      <c r="FO35" s="23">
        <v>0</v>
      </c>
      <c r="FP35" s="23">
        <v>0</v>
      </c>
      <c r="FQ35" s="23">
        <v>0</v>
      </c>
      <c r="FR35" s="23">
        <v>0</v>
      </c>
      <c r="FS35" s="23">
        <v>0</v>
      </c>
      <c r="FT35" s="23">
        <v>0</v>
      </c>
      <c r="FU35" s="23">
        <v>0</v>
      </c>
      <c r="FV35" s="23">
        <v>0</v>
      </c>
      <c r="FW35" s="23">
        <v>0</v>
      </c>
      <c r="FX35" s="23">
        <v>0</v>
      </c>
      <c r="FY35" s="23">
        <v>0</v>
      </c>
      <c r="FZ35" s="23">
        <v>0</v>
      </c>
      <c r="GA35" s="23">
        <v>0</v>
      </c>
      <c r="GB35" s="23">
        <v>3</v>
      </c>
      <c r="GC35" s="23">
        <v>0</v>
      </c>
      <c r="GD35" s="23">
        <v>0</v>
      </c>
      <c r="GE35" s="23">
        <v>0</v>
      </c>
      <c r="GF35" s="23">
        <v>0</v>
      </c>
      <c r="GG35" s="23">
        <v>2</v>
      </c>
      <c r="GH35" s="23">
        <v>0</v>
      </c>
      <c r="GI35" s="23">
        <v>0</v>
      </c>
      <c r="GJ35" s="23">
        <v>0</v>
      </c>
      <c r="GK35" s="23">
        <v>0</v>
      </c>
      <c r="GL35" s="23">
        <v>0</v>
      </c>
      <c r="GM35" s="23">
        <v>0</v>
      </c>
      <c r="GN35" s="23">
        <v>0</v>
      </c>
      <c r="GO35" s="23">
        <v>0</v>
      </c>
      <c r="GP35" s="23">
        <v>75</v>
      </c>
      <c r="GQ35" s="23">
        <v>0</v>
      </c>
      <c r="GR35" s="23">
        <v>0</v>
      </c>
      <c r="GS35" s="23">
        <v>0</v>
      </c>
      <c r="GT35" s="23">
        <v>0</v>
      </c>
      <c r="GU35" s="23">
        <v>2</v>
      </c>
      <c r="GV35" s="23">
        <v>1</v>
      </c>
      <c r="GW35" s="23">
        <v>0</v>
      </c>
      <c r="GX35" s="23">
        <v>0</v>
      </c>
      <c r="GY35" s="23">
        <v>1</v>
      </c>
      <c r="GZ35" s="23">
        <v>0</v>
      </c>
      <c r="HA35" s="23">
        <v>20</v>
      </c>
      <c r="HB35" s="23">
        <v>0</v>
      </c>
      <c r="HC35" s="23">
        <v>34</v>
      </c>
      <c r="HD35" s="23">
        <v>0</v>
      </c>
      <c r="HE35" s="23">
        <v>0</v>
      </c>
      <c r="HF35" s="23">
        <v>0</v>
      </c>
      <c r="HG35" s="23">
        <v>0</v>
      </c>
      <c r="HH35" s="23">
        <v>0</v>
      </c>
      <c r="HI35" s="23">
        <v>0</v>
      </c>
      <c r="HJ35" s="23">
        <v>9</v>
      </c>
      <c r="HK35" s="23">
        <v>0</v>
      </c>
      <c r="HL35" s="23">
        <v>0</v>
      </c>
      <c r="HM35" s="23">
        <v>0</v>
      </c>
      <c r="HN35" s="23">
        <v>0</v>
      </c>
      <c r="HO35" s="23">
        <v>0</v>
      </c>
      <c r="HP35" s="23">
        <v>0</v>
      </c>
      <c r="HQ35" s="23">
        <v>9</v>
      </c>
      <c r="HR35" s="23">
        <v>0</v>
      </c>
      <c r="HS35" s="23">
        <v>13</v>
      </c>
      <c r="HT35" s="23">
        <v>0</v>
      </c>
      <c r="HU35" s="23">
        <v>0</v>
      </c>
      <c r="HV35" s="23">
        <v>16</v>
      </c>
      <c r="HW35" s="23">
        <v>0</v>
      </c>
      <c r="HX35" s="23">
        <v>0</v>
      </c>
      <c r="HY35" s="23">
        <v>0</v>
      </c>
      <c r="HZ35" s="23">
        <v>0</v>
      </c>
      <c r="IA35" s="23">
        <v>0</v>
      </c>
      <c r="IB35" s="23">
        <v>0</v>
      </c>
      <c r="IC35" s="23">
        <v>0</v>
      </c>
      <c r="ID35" s="23">
        <v>0</v>
      </c>
      <c r="IE35" s="23">
        <v>0</v>
      </c>
      <c r="IF35" s="23">
        <v>0</v>
      </c>
      <c r="IG35" s="23">
        <v>0</v>
      </c>
      <c r="IH35" s="23">
        <v>0</v>
      </c>
      <c r="II35" s="23">
        <v>0</v>
      </c>
      <c r="IJ35" s="23">
        <v>0</v>
      </c>
      <c r="IK35" s="23">
        <v>0</v>
      </c>
      <c r="IL35" s="23">
        <v>0</v>
      </c>
      <c r="IM35" s="23">
        <v>0</v>
      </c>
      <c r="IN35" s="23">
        <v>0</v>
      </c>
      <c r="IO35" s="23">
        <v>0</v>
      </c>
      <c r="IP35" s="23">
        <v>0</v>
      </c>
      <c r="IQ35" s="23">
        <v>0</v>
      </c>
      <c r="IR35" s="23">
        <v>0</v>
      </c>
      <c r="IS35" s="23">
        <v>0</v>
      </c>
      <c r="IT35" s="23">
        <v>0</v>
      </c>
      <c r="IU35" s="23">
        <v>0</v>
      </c>
      <c r="IV35" s="23">
        <v>0</v>
      </c>
      <c r="IW35" s="23">
        <v>0</v>
      </c>
      <c r="IX35" s="23">
        <v>0</v>
      </c>
      <c r="IY35" s="23">
        <v>0</v>
      </c>
      <c r="IZ35" s="23">
        <v>0</v>
      </c>
      <c r="JA35" s="23">
        <v>0</v>
      </c>
      <c r="JB35" s="23">
        <v>0</v>
      </c>
      <c r="JC35" s="23">
        <v>0</v>
      </c>
      <c r="JD35" s="23">
        <v>0</v>
      </c>
      <c r="JE35" s="23">
        <v>0</v>
      </c>
      <c r="JF35" s="23">
        <v>0</v>
      </c>
      <c r="JG35" s="23">
        <v>0</v>
      </c>
      <c r="JH35" s="23">
        <v>0</v>
      </c>
      <c r="JI35" s="23">
        <v>0</v>
      </c>
      <c r="JJ35" s="23">
        <v>0</v>
      </c>
      <c r="JK35" s="23">
        <v>0</v>
      </c>
      <c r="JL35" s="23">
        <v>0</v>
      </c>
      <c r="JM35" s="23">
        <v>0</v>
      </c>
      <c r="JN35" s="23">
        <v>0</v>
      </c>
      <c r="JO35" s="23">
        <v>1</v>
      </c>
      <c r="JP35" s="23">
        <v>0</v>
      </c>
      <c r="JQ35" s="23">
        <v>8</v>
      </c>
      <c r="JR35" s="23">
        <v>0</v>
      </c>
      <c r="JS35" s="23">
        <v>0</v>
      </c>
      <c r="JT35" s="23">
        <v>0</v>
      </c>
      <c r="JU35" s="23">
        <v>0</v>
      </c>
      <c r="JV35" s="23">
        <v>0</v>
      </c>
      <c r="JW35" s="23">
        <v>0</v>
      </c>
      <c r="JX35" s="23">
        <v>0</v>
      </c>
      <c r="JY35" s="23">
        <v>0</v>
      </c>
      <c r="JZ35" s="23">
        <v>2</v>
      </c>
      <c r="KA35" s="23">
        <v>0</v>
      </c>
      <c r="KB35" s="23">
        <v>0</v>
      </c>
      <c r="KC35" s="23">
        <v>0</v>
      </c>
      <c r="KD35" s="23">
        <v>0</v>
      </c>
      <c r="KE35" s="23">
        <v>0</v>
      </c>
      <c r="KF35" s="23">
        <v>0</v>
      </c>
      <c r="KG35" s="23">
        <v>0</v>
      </c>
      <c r="KH35" s="23">
        <v>1</v>
      </c>
      <c r="KI35" s="23">
        <v>0</v>
      </c>
      <c r="KJ35" s="23">
        <v>0</v>
      </c>
      <c r="KK35" s="23">
        <v>0</v>
      </c>
      <c r="KL35" s="23">
        <v>0</v>
      </c>
      <c r="KM35" s="23">
        <v>0</v>
      </c>
      <c r="KN35" s="23">
        <v>0</v>
      </c>
      <c r="KO35" s="23">
        <v>0</v>
      </c>
      <c r="KP35" s="23">
        <v>0</v>
      </c>
      <c r="KQ35" s="23">
        <v>0</v>
      </c>
      <c r="KR35" s="23">
        <v>0</v>
      </c>
      <c r="KS35" s="23">
        <v>0</v>
      </c>
      <c r="KT35" s="23">
        <v>0</v>
      </c>
      <c r="KU35" s="23">
        <v>0</v>
      </c>
      <c r="KV35" s="23">
        <v>0</v>
      </c>
      <c r="KW35" s="23">
        <v>0</v>
      </c>
      <c r="KX35" s="23">
        <v>0</v>
      </c>
      <c r="KY35" s="23">
        <v>0</v>
      </c>
      <c r="KZ35" s="23">
        <v>0</v>
      </c>
      <c r="LA35" s="23">
        <v>0</v>
      </c>
      <c r="LB35" s="23">
        <v>0</v>
      </c>
      <c r="LC35" s="23">
        <v>0</v>
      </c>
      <c r="LD35" s="23">
        <v>0</v>
      </c>
      <c r="LE35" s="23">
        <v>0</v>
      </c>
      <c r="LF35" s="23">
        <v>0</v>
      </c>
      <c r="LG35" s="23">
        <v>0</v>
      </c>
      <c r="LH35" s="23">
        <v>1</v>
      </c>
      <c r="LI35" s="23">
        <v>0</v>
      </c>
      <c r="LJ35" s="23">
        <v>0</v>
      </c>
      <c r="LK35" s="23">
        <v>0</v>
      </c>
      <c r="LL35" s="23">
        <v>0</v>
      </c>
      <c r="LM35" s="23">
        <v>0</v>
      </c>
      <c r="LN35" s="278">
        <f ca="1">$A35 - TST!Sweden100dt + 1</f>
        <v>-19</v>
      </c>
      <c r="LO35" s="20">
        <f ca="1">INDEX(OFFSET(TST!HeadRow,ROW()-ROW(TST!HeadRow),0,1,COLUMNS(TST!HeadRow)),1,MATCH(LO$5,TST!HeadRow,0))/LO$8</f>
        <v>0.97751710654936474</v>
      </c>
      <c r="LP35" s="278">
        <f ca="1">$A35 - TST!Spain100dt + 1</f>
        <v>-19</v>
      </c>
      <c r="LQ35" s="20">
        <f ca="1">INDEX(OFFSET(TST!HeadRow,ROW()-ROW(TST!HeadRow),0,1,COLUMNS(TST!HeadRow)),1,MATCH(LQ$5,TST!HeadRow,0))/LQ$8</f>
        <v>0.42607584149978694</v>
      </c>
      <c r="LR35" s="285">
        <f ca="1">$A35 - TST!Victoria100dt + 1</f>
        <v>-28</v>
      </c>
      <c r="LS35" s="20">
        <f ca="1">INDEX(OFFSET(TST!HeadRow,ROW()-ROW(TST!HeadRow),0,1,COLUMNS(TST!HeadRow)),1,MATCH(LS$5,TST!HeadRow,0))/LS$8</f>
        <v>6.0340926233217678</v>
      </c>
      <c r="LT35" s="278">
        <f ca="1">$A35 - TST!Iran100dt + 1</f>
        <v>-13</v>
      </c>
      <c r="LU35" s="20">
        <f ca="1">INDEX(OFFSET(TST!HeadRow,ROW()-ROW(TST!HeadRow),0,1,COLUMNS(TST!HeadRow)),1,MATCH(LU$5,TST!HeadRow,0))/LU$8</f>
        <v>0</v>
      </c>
      <c r="LV35" s="278">
        <f ca="1">$A35 - TST!Japan100dt + 1</f>
        <v>-37</v>
      </c>
      <c r="LW35" s="20">
        <f ca="1">INDEX(OFFSET(TST!HeadRow,ROW()-ROW(TST!HeadRow),0,1,COLUMNS(TST!HeadRow)),1,MATCH(LW$5,TST!HeadRow,0))/LW$8</f>
        <v>4.662034021896531</v>
      </c>
      <c r="LX35" s="278">
        <f ca="1">$A35 - TST!Queensland100dt + 1</f>
        <v>-27</v>
      </c>
      <c r="LY35" s="20">
        <f ca="1">INDEX(OFFSET(TST!HeadRow,ROW()-ROW(TST!HeadRow),0,1,COLUMNS(TST!HeadRow)),1,MATCH(LY$5,TST!HeadRow,0))/LY$8</f>
        <v>9.7743092446785251</v>
      </c>
      <c r="LZ35" s="278">
        <f ca="1">$A35 - TST!Tasmania100dt + 1</f>
        <v>-27</v>
      </c>
      <c r="MA35" s="20">
        <f ca="1">INDEX(OFFSET(TST!HeadRow,ROW()-ROW(TST!HeadRow),0,1,COLUMNS(TST!HeadRow)),1,MATCH(MA$5,TST!HeadRow,0))/MA$8</f>
        <v>0</v>
      </c>
      <c r="MB35" s="278">
        <f ca="1">$A35 - TST!SouthAustralia100dt + 1</f>
        <v>-26</v>
      </c>
      <c r="MC35" s="20">
        <f ca="1">INDEX(OFFSET(TST!HeadRow,ROW()-ROW(TST!HeadRow),0,1,COLUMNS(TST!HeadRow)),1,MATCH(MC$5,TST!HeadRow,0))/MC$8</f>
        <v>11.976047904191615</v>
      </c>
      <c r="MD35" s="278">
        <f ca="1">$A35 - TST!AustralianCapitalTerritory100dt + 1</f>
        <v>-32</v>
      </c>
      <c r="ME35" s="20">
        <f ca="1">INDEX(OFFSET(TST!HeadRow,ROW()-ROW(TST!HeadRow),0,1,COLUMNS(TST!HeadRow)),1,MATCH(ME$5,TST!HeadRow,0))/ME$8</f>
        <v>0</v>
      </c>
      <c r="MF35" s="278">
        <f ca="1">$A35 - TST!NorthernTerritory100dt + 1</f>
        <v>-32</v>
      </c>
      <c r="MG35" s="20">
        <f ca="1">INDEX(OFFSET(TST!HeadRow,ROW()-ROW(TST!HeadRow),0,1,COLUMNS(TST!HeadRow)),1,MATCH(MG$5,TST!HeadRow,0))/MG$8</f>
        <v>0</v>
      </c>
      <c r="MH35" s="278">
        <f ca="1">$A35 - TST!WesternAustralia100dt + 1</f>
        <v>-28</v>
      </c>
      <c r="MI35" s="20">
        <f ca="1">INDEX(OFFSET(TST!HeadRow,ROW()-ROW(TST!HeadRow),0,1,COLUMNS(TST!HeadRow)),1,MATCH(MI$5,TST!HeadRow,0))/MI$8</f>
        <v>0</v>
      </c>
      <c r="MJ35" s="278">
        <f ca="1">$A35 - TST!Germany100dt + 1</f>
        <v>-20</v>
      </c>
      <c r="MK35" s="20">
        <f ca="1">INDEX(OFFSET(TST!HeadRow,ROW()-ROW(TST!HeadRow),0,1,COLUMNS(TST!HeadRow)),1,MATCH(MK$5,TST!HeadRow,0))/MK$8</f>
        <v>1.9272464466393642</v>
      </c>
      <c r="ML35" s="278">
        <f ca="1">$A35 - TST!Denmark100dt + 1</f>
        <v>-21</v>
      </c>
      <c r="MM35" s="20">
        <f ca="1">INDEX(OFFSET(TST!HeadRow,ROW()-ROW(TST!HeadRow),0,1,COLUMNS(TST!HeadRow)),1,MATCH(MM$5,TST!HeadRow,0))/MM$8</f>
        <v>0</v>
      </c>
      <c r="MN35" s="278">
        <f ca="1">$A35 - TST!SouthAfrica100dt + 1</f>
        <v>-37</v>
      </c>
      <c r="MO35" s="20">
        <f ca="1">INDEX(OFFSET(TST!HeadRow,ROW()-ROW(TST!HeadRow),0,1,COLUMNS(TST!HeadRow)),1,MATCH(MO$5,TST!HeadRow,0))/MO$8</f>
        <v>0</v>
      </c>
      <c r="MP35" s="278">
        <f ca="1">$A35 - TST!UnitedKingdom100dt + 1</f>
        <v>-25</v>
      </c>
      <c r="MQ35" s="20">
        <f ca="1">INDEX(OFFSET(TST!HeadRow,ROW()-ROW(TST!HeadRow),0,1,COLUMNS(TST!HeadRow)),1,MATCH(MQ$5,TST!HeadRow,0))/MQ$8</f>
        <v>1.3546056592414208</v>
      </c>
      <c r="MR35" s="278">
        <f ca="1">$A35 - TST!Ireland100dt + 1</f>
        <v>-25</v>
      </c>
      <c r="MS35" s="20">
        <f ca="1">INDEX(OFFSET(TST!HeadRow,ROW()-ROW(TST!HeadRow),0,1,COLUMNS(TST!HeadRow)),1,MATCH(MS$5,TST!HeadRow,0))/MS$8</f>
        <v>0</v>
      </c>
      <c r="MT35" s="278">
        <f ca="1">$A35 - TST!Italy100dt + 1</f>
        <v>-10</v>
      </c>
      <c r="MU35" s="20">
        <f ca="1">INDEX(OFFSET(TST!HeadRow,ROW()-ROW(TST!HeadRow),0,1,COLUMNS(TST!HeadRow)),1,MATCH(MU$5,TST!HeadRow,0))/MU$8</f>
        <v>0.49599074150615857</v>
      </c>
      <c r="MV35" s="278">
        <f ca="1">$A35 - TST!US100dt + 1</f>
        <v>-27</v>
      </c>
      <c r="MW35" s="20">
        <f ca="1">INDEX(OFFSET(TST!HeadRow,ROW()-ROW(TST!HeadRow),0,1,COLUMNS(TST!HeadRow)),1,MATCH(MW$5,TST!HeadRow,0))/MW$8</f>
        <v>0.39486343900067283</v>
      </c>
      <c r="MX35" s="278">
        <f ca="1">$A35 - TST!AustraliaSum100dt + 1</f>
        <v>-27</v>
      </c>
      <c r="MY35" s="366">
        <f t="shared" si="7"/>
        <v>5.9138937076170954</v>
      </c>
      <c r="MZ35" s="278">
        <f ca="1">$A35 - TST!NewSouthWales100dt + 1</f>
        <v>-25</v>
      </c>
      <c r="NA35" s="366">
        <f ca="1">INDEX(OFFSET(TST!HeadRow,ROW()-ROW(TST!HeadRow),0,1,COLUMNS(TST!HeadRow)),1,MATCH(NA$5,TST!HeadRow,0))/NA$8</f>
        <v>4.9504950495049505</v>
      </c>
      <c r="NB35" s="278">
        <f ca="1">$A35 - TST!Taiwan100dt + 1</f>
        <v>-38</v>
      </c>
      <c r="NC35" s="366">
        <f ca="1">INDEX(OFFSET(TST!HeadRow,ROW()-ROW(TST!HeadRow),0,1,COLUMNS(TST!HeadRow)),1,MATCH(NC$5,TST!HeadRow,0))/NC$8</f>
        <v>8.4007909848759716</v>
      </c>
      <c r="ND35" s="20">
        <f ca="1">$A35 - TST!Hubei100dt + 1</f>
        <v>23</v>
      </c>
      <c r="NE35" s="20">
        <f ca="1">INDEX(OFFSET(TST!HeadRow,ROW()-ROW(TST!HeadRow),0,1,COLUMNS(TST!HeadRow)),1,MATCH(NE$5,TST!HeadRow,0))/NE$8</f>
        <v>9945.6410256410254</v>
      </c>
      <c r="NF35" s="20">
        <f ca="1">$A35 - TST!HongKong100dt + 1</f>
        <v>-7</v>
      </c>
      <c r="NG35" s="20">
        <f ca="1">INDEX(OFFSET(TST!HeadRow,ROW()-ROW(TST!HeadRow),0,1,COLUMNS(TST!HeadRow)),1,MATCH(NG$5,TST!HeadRow,0))/NG$8</f>
        <v>76.499798684740298</v>
      </c>
    </row>
    <row r="36" spans="1:371" x14ac:dyDescent="0.25">
      <c r="A36" s="243">
        <v>43878</v>
      </c>
      <c r="B36" s="23">
        <v>0</v>
      </c>
      <c r="C36" s="23">
        <v>0</v>
      </c>
      <c r="D36" s="23">
        <v>0</v>
      </c>
      <c r="E36" s="23">
        <v>0</v>
      </c>
      <c r="F36" s="23">
        <v>0</v>
      </c>
      <c r="G36" s="23">
        <v>0</v>
      </c>
      <c r="H36" s="23">
        <v>0</v>
      </c>
      <c r="I36" s="23">
        <v>0</v>
      </c>
      <c r="J36" s="23">
        <v>0</v>
      </c>
      <c r="K36" s="293">
        <v>4</v>
      </c>
      <c r="L36" s="23">
        <v>0</v>
      </c>
      <c r="M36" s="290">
        <v>5</v>
      </c>
      <c r="N36" s="23">
        <v>2</v>
      </c>
      <c r="O36" s="384">
        <v>0</v>
      </c>
      <c r="P36" s="287">
        <v>4</v>
      </c>
      <c r="Q36" s="23">
        <v>0</v>
      </c>
      <c r="R36" s="23">
        <v>0</v>
      </c>
      <c r="S36" s="23">
        <v>0</v>
      </c>
      <c r="T36" s="23">
        <v>0</v>
      </c>
      <c r="U36" s="23">
        <v>0</v>
      </c>
      <c r="V36" s="23">
        <v>0</v>
      </c>
      <c r="W36" s="23">
        <v>0</v>
      </c>
      <c r="X36" s="23">
        <v>0</v>
      </c>
      <c r="Y36" s="23">
        <v>1</v>
      </c>
      <c r="Z36" s="23">
        <v>0</v>
      </c>
      <c r="AA36" s="23">
        <v>0</v>
      </c>
      <c r="AB36" s="23">
        <v>0</v>
      </c>
      <c r="AC36" s="23">
        <v>0</v>
      </c>
      <c r="AD36" s="23">
        <v>0</v>
      </c>
      <c r="AE36" s="23">
        <v>0</v>
      </c>
      <c r="AF36" s="23">
        <v>0</v>
      </c>
      <c r="AG36" s="23">
        <v>0</v>
      </c>
      <c r="AH36" s="23">
        <v>0</v>
      </c>
      <c r="AI36" s="23">
        <v>1</v>
      </c>
      <c r="AJ36" s="23">
        <v>0</v>
      </c>
      <c r="AK36" s="23">
        <v>0</v>
      </c>
      <c r="AL36" s="23">
        <v>5</v>
      </c>
      <c r="AM36" s="23">
        <v>0</v>
      </c>
      <c r="AN36" s="23">
        <v>0</v>
      </c>
      <c r="AO36" s="23">
        <v>0</v>
      </c>
      <c r="AP36" s="23">
        <v>0</v>
      </c>
      <c r="AQ36" s="23">
        <v>0</v>
      </c>
      <c r="AR36" s="23">
        <v>3</v>
      </c>
      <c r="AS36" s="23">
        <v>0</v>
      </c>
      <c r="AT36" s="23">
        <v>0</v>
      </c>
      <c r="AU36" s="23">
        <v>0</v>
      </c>
      <c r="AV36" s="23">
        <v>0</v>
      </c>
      <c r="AW36" s="23">
        <v>0</v>
      </c>
      <c r="AX36" s="23">
        <v>0</v>
      </c>
      <c r="AY36" s="23">
        <v>973</v>
      </c>
      <c r="AZ36" s="23">
        <v>381</v>
      </c>
      <c r="BA36" s="23">
        <v>553</v>
      </c>
      <c r="BB36" s="23">
        <v>290</v>
      </c>
      <c r="BC36" s="23">
        <v>91</v>
      </c>
      <c r="BD36" s="23">
        <v>1322</v>
      </c>
      <c r="BE36" s="23">
        <v>238</v>
      </c>
      <c r="BF36" s="23">
        <v>146</v>
      </c>
      <c r="BG36" s="23">
        <v>163</v>
      </c>
      <c r="BH36" s="23">
        <v>301</v>
      </c>
      <c r="BI36" s="23">
        <v>457</v>
      </c>
      <c r="BJ36" s="23">
        <v>1246</v>
      </c>
      <c r="BK36" s="23">
        <v>60</v>
      </c>
      <c r="BL36" s="23">
        <v>59989</v>
      </c>
      <c r="BM36" s="23">
        <v>1006</v>
      </c>
      <c r="BN36" s="23">
        <v>72</v>
      </c>
      <c r="BO36" s="23">
        <v>626</v>
      </c>
      <c r="BP36" s="23">
        <v>930</v>
      </c>
      <c r="BQ36" s="23">
        <v>89</v>
      </c>
      <c r="BR36" s="23">
        <v>121</v>
      </c>
      <c r="BS36" s="23">
        <v>10</v>
      </c>
      <c r="BT36" s="23">
        <v>70</v>
      </c>
      <c r="BU36" s="23">
        <v>18</v>
      </c>
      <c r="BV36" s="23">
        <v>240</v>
      </c>
      <c r="BW36" s="23">
        <v>541</v>
      </c>
      <c r="BX36" s="23">
        <v>333</v>
      </c>
      <c r="BY36" s="23">
        <v>130</v>
      </c>
      <c r="BZ36" s="23">
        <v>495</v>
      </c>
      <c r="CA36" s="23">
        <v>125</v>
      </c>
      <c r="CB36" s="23">
        <v>1</v>
      </c>
      <c r="CC36" s="23">
        <v>75</v>
      </c>
      <c r="CD36" s="23">
        <v>171</v>
      </c>
      <c r="CE36" s="23">
        <v>1171</v>
      </c>
      <c r="CF36" s="23">
        <v>0</v>
      </c>
      <c r="CG36" s="23">
        <v>0</v>
      </c>
      <c r="CH36" s="23">
        <v>0</v>
      </c>
      <c r="CI36" s="23">
        <v>0</v>
      </c>
      <c r="CJ36" s="23">
        <v>0</v>
      </c>
      <c r="CK36" s="23">
        <v>0</v>
      </c>
      <c r="CL36" s="23">
        <v>454</v>
      </c>
      <c r="CM36" s="23">
        <v>0</v>
      </c>
      <c r="CN36" s="23">
        <v>0</v>
      </c>
      <c r="CO36" s="23">
        <v>0</v>
      </c>
      <c r="CP36" s="23">
        <v>0</v>
      </c>
      <c r="CQ36" s="23">
        <v>0</v>
      </c>
      <c r="CR36" s="23">
        <v>0</v>
      </c>
      <c r="CS36" s="23">
        <v>0</v>
      </c>
      <c r="CT36" s="23">
        <v>0</v>
      </c>
      <c r="CU36" s="23">
        <v>0</v>
      </c>
      <c r="CV36" s="23">
        <v>1</v>
      </c>
      <c r="CW36" s="23">
        <v>0</v>
      </c>
      <c r="CX36" s="23">
        <v>0</v>
      </c>
      <c r="CY36" s="23">
        <v>0</v>
      </c>
      <c r="CZ36" s="23">
        <v>0</v>
      </c>
      <c r="DA36" s="23">
        <v>0</v>
      </c>
      <c r="DB36" s="23">
        <v>0</v>
      </c>
      <c r="DC36" s="23">
        <v>0</v>
      </c>
      <c r="DD36" s="23">
        <v>1</v>
      </c>
      <c r="DE36" s="23">
        <v>0</v>
      </c>
      <c r="DF36" s="23">
        <v>0</v>
      </c>
      <c r="DG36" s="23">
        <v>0</v>
      </c>
      <c r="DH36" s="23">
        <v>0</v>
      </c>
      <c r="DI36" s="23">
        <v>0</v>
      </c>
      <c r="DJ36" s="23">
        <v>0</v>
      </c>
      <c r="DK36" s="23">
        <v>0</v>
      </c>
      <c r="DL36" s="23">
        <v>0</v>
      </c>
      <c r="DM36" s="23">
        <v>0</v>
      </c>
      <c r="DN36" s="23">
        <v>12</v>
      </c>
      <c r="DO36" s="23">
        <v>0</v>
      </c>
      <c r="DP36" s="23">
        <v>0</v>
      </c>
      <c r="DQ36" s="23">
        <v>0</v>
      </c>
      <c r="DR36" s="23">
        <v>16</v>
      </c>
      <c r="DS36" s="23">
        <v>0</v>
      </c>
      <c r="DT36" s="23">
        <v>0</v>
      </c>
      <c r="DU36" s="23">
        <v>0</v>
      </c>
      <c r="DV36" s="23">
        <v>0</v>
      </c>
      <c r="DW36" s="23">
        <v>0</v>
      </c>
      <c r="DX36" s="23">
        <v>0</v>
      </c>
      <c r="DY36" s="23">
        <v>0</v>
      </c>
      <c r="DZ36" s="23">
        <v>0</v>
      </c>
      <c r="EA36" s="23">
        <v>0</v>
      </c>
      <c r="EB36" s="23">
        <v>0</v>
      </c>
      <c r="EC36" s="23">
        <v>3</v>
      </c>
      <c r="ED36" s="23">
        <v>0</v>
      </c>
      <c r="EE36" s="23">
        <v>0</v>
      </c>
      <c r="EF36" s="23">
        <v>0</v>
      </c>
      <c r="EG36" s="23">
        <v>0</v>
      </c>
      <c r="EH36" s="23">
        <v>0</v>
      </c>
      <c r="EI36" s="23">
        <v>3</v>
      </c>
      <c r="EJ36" s="23">
        <v>0</v>
      </c>
      <c r="EK36" s="23">
        <v>66</v>
      </c>
      <c r="EL36" s="23">
        <v>0</v>
      </c>
      <c r="EM36" s="23">
        <v>0</v>
      </c>
      <c r="EN36" s="23">
        <v>0</v>
      </c>
      <c r="EO36" s="23">
        <v>30</v>
      </c>
      <c r="EP36" s="23">
        <v>0</v>
      </c>
      <c r="EQ36" s="23">
        <v>0</v>
      </c>
      <c r="ER36" s="23">
        <v>0</v>
      </c>
      <c r="ES36" s="23">
        <v>0</v>
      </c>
      <c r="ET36" s="23">
        <v>0</v>
      </c>
      <c r="EU36" s="23">
        <v>0</v>
      </c>
      <c r="EV36" s="23">
        <v>0</v>
      </c>
      <c r="EW36" s="23">
        <v>0</v>
      </c>
      <c r="EX36" s="23">
        <v>0</v>
      </c>
      <c r="EY36" s="23">
        <v>22</v>
      </c>
      <c r="EZ36" s="23">
        <v>0</v>
      </c>
      <c r="FA36" s="23">
        <v>0</v>
      </c>
      <c r="FB36" s="23">
        <v>0</v>
      </c>
      <c r="FC36" s="23">
        <v>0</v>
      </c>
      <c r="FD36" s="23">
        <v>0</v>
      </c>
      <c r="FE36" s="23">
        <v>0</v>
      </c>
      <c r="FF36" s="23">
        <v>0</v>
      </c>
      <c r="FG36" s="23">
        <v>0</v>
      </c>
      <c r="FH36" s="23">
        <v>0</v>
      </c>
      <c r="FI36" s="23">
        <v>0</v>
      </c>
      <c r="FJ36" s="23">
        <v>0</v>
      </c>
      <c r="FK36" s="23">
        <v>1</v>
      </c>
      <c r="FL36" s="23">
        <v>0</v>
      </c>
      <c r="FM36" s="23">
        <v>0</v>
      </c>
      <c r="FN36" s="23">
        <v>0</v>
      </c>
      <c r="FO36" s="23">
        <v>0</v>
      </c>
      <c r="FP36" s="23">
        <v>0</v>
      </c>
      <c r="FQ36" s="23">
        <v>0</v>
      </c>
      <c r="FR36" s="23">
        <v>0</v>
      </c>
      <c r="FS36" s="23">
        <v>0</v>
      </c>
      <c r="FT36" s="23">
        <v>0</v>
      </c>
      <c r="FU36" s="23">
        <v>0</v>
      </c>
      <c r="FV36" s="23">
        <v>0</v>
      </c>
      <c r="FW36" s="23">
        <v>0</v>
      </c>
      <c r="FX36" s="23">
        <v>0</v>
      </c>
      <c r="FY36" s="23">
        <v>0</v>
      </c>
      <c r="FZ36" s="23">
        <v>0</v>
      </c>
      <c r="GA36" s="23">
        <v>0</v>
      </c>
      <c r="GB36" s="23">
        <v>3</v>
      </c>
      <c r="GC36" s="23">
        <v>0</v>
      </c>
      <c r="GD36" s="23">
        <v>0</v>
      </c>
      <c r="GE36" s="23">
        <v>0</v>
      </c>
      <c r="GF36" s="23">
        <v>0</v>
      </c>
      <c r="GG36" s="23">
        <v>2</v>
      </c>
      <c r="GH36" s="23">
        <v>0</v>
      </c>
      <c r="GI36" s="23">
        <v>0</v>
      </c>
      <c r="GJ36" s="23">
        <v>0</v>
      </c>
      <c r="GK36" s="23">
        <v>0</v>
      </c>
      <c r="GL36" s="23">
        <v>0</v>
      </c>
      <c r="GM36" s="23">
        <v>0</v>
      </c>
      <c r="GN36" s="23">
        <v>0</v>
      </c>
      <c r="GO36" s="23">
        <v>0</v>
      </c>
      <c r="GP36" s="23">
        <v>77</v>
      </c>
      <c r="GQ36" s="23">
        <v>0</v>
      </c>
      <c r="GR36" s="23">
        <v>0</v>
      </c>
      <c r="GS36" s="23">
        <v>0</v>
      </c>
      <c r="GT36" s="23">
        <v>0</v>
      </c>
      <c r="GU36" s="23">
        <v>2</v>
      </c>
      <c r="GV36" s="23">
        <v>1</v>
      </c>
      <c r="GW36" s="23">
        <v>0</v>
      </c>
      <c r="GX36" s="23">
        <v>0</v>
      </c>
      <c r="GY36" s="23">
        <v>1</v>
      </c>
      <c r="GZ36" s="23">
        <v>0</v>
      </c>
      <c r="HA36" s="23">
        <v>22</v>
      </c>
      <c r="HB36" s="23">
        <v>0</v>
      </c>
      <c r="HC36" s="23">
        <v>35</v>
      </c>
      <c r="HD36" s="23">
        <v>0</v>
      </c>
      <c r="HE36" s="23">
        <v>0</v>
      </c>
      <c r="HF36" s="23">
        <v>0</v>
      </c>
      <c r="HG36" s="23">
        <v>0</v>
      </c>
      <c r="HH36" s="23">
        <v>0</v>
      </c>
      <c r="HI36" s="23">
        <v>0</v>
      </c>
      <c r="HJ36" s="23">
        <v>9</v>
      </c>
      <c r="HK36" s="23">
        <v>0</v>
      </c>
      <c r="HL36" s="23">
        <v>0</v>
      </c>
      <c r="HM36" s="23">
        <v>0</v>
      </c>
      <c r="HN36" s="23">
        <v>0</v>
      </c>
      <c r="HO36" s="23">
        <v>0</v>
      </c>
      <c r="HP36" s="23">
        <v>0</v>
      </c>
      <c r="HQ36" s="23">
        <v>9</v>
      </c>
      <c r="HR36" s="23">
        <v>0</v>
      </c>
      <c r="HS36" s="23">
        <v>13</v>
      </c>
      <c r="HT36" s="23">
        <v>0</v>
      </c>
      <c r="HU36" s="23">
        <v>0</v>
      </c>
      <c r="HV36" s="23">
        <v>16</v>
      </c>
      <c r="HW36" s="23">
        <v>0</v>
      </c>
      <c r="HX36" s="23">
        <v>0</v>
      </c>
      <c r="HY36" s="23">
        <v>0</v>
      </c>
      <c r="HZ36" s="23">
        <v>0</v>
      </c>
      <c r="IA36" s="23">
        <v>0</v>
      </c>
      <c r="IB36" s="23">
        <v>0</v>
      </c>
      <c r="IC36" s="23">
        <v>0</v>
      </c>
      <c r="ID36" s="23">
        <v>0</v>
      </c>
      <c r="IE36" s="23">
        <v>0</v>
      </c>
      <c r="IF36" s="23">
        <v>0</v>
      </c>
      <c r="IG36" s="23">
        <v>0</v>
      </c>
      <c r="IH36" s="23">
        <v>0</v>
      </c>
      <c r="II36" s="23">
        <v>0</v>
      </c>
      <c r="IJ36" s="23">
        <v>0</v>
      </c>
      <c r="IK36" s="23">
        <v>0</v>
      </c>
      <c r="IL36" s="23">
        <v>0</v>
      </c>
      <c r="IM36" s="23">
        <v>0</v>
      </c>
      <c r="IN36" s="23">
        <v>0</v>
      </c>
      <c r="IO36" s="23">
        <v>0</v>
      </c>
      <c r="IP36" s="23">
        <v>0</v>
      </c>
      <c r="IQ36" s="23">
        <v>0</v>
      </c>
      <c r="IR36" s="23">
        <v>0</v>
      </c>
      <c r="IS36" s="23">
        <v>0</v>
      </c>
      <c r="IT36" s="23">
        <v>0</v>
      </c>
      <c r="IU36" s="23">
        <v>0</v>
      </c>
      <c r="IV36" s="23">
        <v>0</v>
      </c>
      <c r="IW36" s="23">
        <v>0</v>
      </c>
      <c r="IX36" s="23">
        <v>0</v>
      </c>
      <c r="IY36" s="23">
        <v>0</v>
      </c>
      <c r="IZ36" s="23">
        <v>0</v>
      </c>
      <c r="JA36" s="23">
        <v>0</v>
      </c>
      <c r="JB36" s="23">
        <v>0</v>
      </c>
      <c r="JC36" s="23">
        <v>0</v>
      </c>
      <c r="JD36" s="23">
        <v>0</v>
      </c>
      <c r="JE36" s="23">
        <v>0</v>
      </c>
      <c r="JF36" s="23">
        <v>0</v>
      </c>
      <c r="JG36" s="23">
        <v>0</v>
      </c>
      <c r="JH36" s="23">
        <v>0</v>
      </c>
      <c r="JI36" s="23">
        <v>0</v>
      </c>
      <c r="JJ36" s="23">
        <v>0</v>
      </c>
      <c r="JK36" s="23">
        <v>0</v>
      </c>
      <c r="JL36" s="23">
        <v>0</v>
      </c>
      <c r="JM36" s="23">
        <v>0</v>
      </c>
      <c r="JN36" s="23">
        <v>0</v>
      </c>
      <c r="JO36" s="23">
        <v>1</v>
      </c>
      <c r="JP36" s="23">
        <v>0</v>
      </c>
      <c r="JQ36" s="23">
        <v>8</v>
      </c>
      <c r="JR36" s="23">
        <v>0</v>
      </c>
      <c r="JS36" s="23">
        <v>0</v>
      </c>
      <c r="JT36" s="23">
        <v>0</v>
      </c>
      <c r="JU36" s="23">
        <v>0</v>
      </c>
      <c r="JV36" s="23">
        <v>0</v>
      </c>
      <c r="JW36" s="23">
        <v>0</v>
      </c>
      <c r="JX36" s="23">
        <v>0</v>
      </c>
      <c r="JY36" s="23">
        <v>0</v>
      </c>
      <c r="JZ36" s="23">
        <v>2</v>
      </c>
      <c r="KA36" s="23">
        <v>0</v>
      </c>
      <c r="KB36" s="23">
        <v>0</v>
      </c>
      <c r="KC36" s="23">
        <v>0</v>
      </c>
      <c r="KD36" s="23">
        <v>0</v>
      </c>
      <c r="KE36" s="23">
        <v>0</v>
      </c>
      <c r="KF36" s="23">
        <v>0</v>
      </c>
      <c r="KG36" s="23">
        <v>0</v>
      </c>
      <c r="KH36" s="23">
        <v>1</v>
      </c>
      <c r="KI36" s="23">
        <v>0</v>
      </c>
      <c r="KJ36" s="23">
        <v>0</v>
      </c>
      <c r="KK36" s="23">
        <v>0</v>
      </c>
      <c r="KL36" s="23">
        <v>0</v>
      </c>
      <c r="KM36" s="23">
        <v>0</v>
      </c>
      <c r="KN36" s="23">
        <v>0</v>
      </c>
      <c r="KO36" s="23">
        <v>0</v>
      </c>
      <c r="KP36" s="23">
        <v>0</v>
      </c>
      <c r="KQ36" s="23">
        <v>0</v>
      </c>
      <c r="KR36" s="23">
        <v>0</v>
      </c>
      <c r="KS36" s="23">
        <v>0</v>
      </c>
      <c r="KT36" s="23">
        <v>0</v>
      </c>
      <c r="KU36" s="23">
        <v>0</v>
      </c>
      <c r="KV36" s="23">
        <v>0</v>
      </c>
      <c r="KW36" s="23">
        <v>0</v>
      </c>
      <c r="KX36" s="23">
        <v>0</v>
      </c>
      <c r="KY36" s="23">
        <v>0</v>
      </c>
      <c r="KZ36" s="23">
        <v>0</v>
      </c>
      <c r="LA36" s="23">
        <v>0</v>
      </c>
      <c r="LB36" s="23">
        <v>0</v>
      </c>
      <c r="LC36" s="23">
        <v>0</v>
      </c>
      <c r="LD36" s="23">
        <v>0</v>
      </c>
      <c r="LE36" s="23">
        <v>0</v>
      </c>
      <c r="LF36" s="23">
        <v>0</v>
      </c>
      <c r="LG36" s="23">
        <v>0</v>
      </c>
      <c r="LH36" s="23">
        <v>1</v>
      </c>
      <c r="LI36" s="23">
        <v>0</v>
      </c>
      <c r="LJ36" s="23">
        <v>0</v>
      </c>
      <c r="LK36" s="23">
        <v>0</v>
      </c>
      <c r="LL36" s="23">
        <v>0</v>
      </c>
      <c r="LM36" s="23">
        <v>0</v>
      </c>
      <c r="LN36" s="278">
        <f ca="1">$A36 - TST!Sweden100dt + 1</f>
        <v>-18</v>
      </c>
      <c r="LO36" s="20">
        <f ca="1">INDEX(OFFSET(TST!HeadRow,ROW()-ROW(TST!HeadRow),0,1,COLUMNS(TST!HeadRow)),1,MATCH(LO$5,TST!HeadRow,0))/LO$8</f>
        <v>0.97751710654936474</v>
      </c>
      <c r="LP36" s="278">
        <f ca="1">$A36 - TST!Spain100dt + 1</f>
        <v>-18</v>
      </c>
      <c r="LQ36" s="20">
        <f ca="1">INDEX(OFFSET(TST!HeadRow,ROW()-ROW(TST!HeadRow),0,1,COLUMNS(TST!HeadRow)),1,MATCH(LQ$5,TST!HeadRow,0))/LQ$8</f>
        <v>0.42607584149978694</v>
      </c>
      <c r="LR36" s="285">
        <f ca="1">$A36 - TST!Victoria100dt + 1</f>
        <v>-27</v>
      </c>
      <c r="LS36" s="20">
        <f ca="1">INDEX(OFFSET(TST!HeadRow,ROW()-ROW(TST!HeadRow),0,1,COLUMNS(TST!HeadRow)),1,MATCH(LS$5,TST!HeadRow,0))/LS$8</f>
        <v>6.0340926233217678</v>
      </c>
      <c r="LT36" s="278">
        <f ca="1">$A36 - TST!Iran100dt + 1</f>
        <v>-12</v>
      </c>
      <c r="LU36" s="20">
        <f ca="1">INDEX(OFFSET(TST!HeadRow,ROW()-ROW(TST!HeadRow),0,1,COLUMNS(TST!HeadRow)),1,MATCH(LU$5,TST!HeadRow,0))/LU$8</f>
        <v>0</v>
      </c>
      <c r="LV36" s="278">
        <f ca="1">$A36 - TST!Japan100dt + 1</f>
        <v>-36</v>
      </c>
      <c r="LW36" s="20">
        <f ca="1">INDEX(OFFSET(TST!HeadRow,ROW()-ROW(TST!HeadRow),0,1,COLUMNS(TST!HeadRow)),1,MATCH(LW$5,TST!HeadRow,0))/LW$8</f>
        <v>5.2151567024605265</v>
      </c>
      <c r="LX36" s="278">
        <f ca="1">$A36 - TST!Queensland100dt + 1</f>
        <v>-26</v>
      </c>
      <c r="LY36" s="20">
        <f ca="1">INDEX(OFFSET(TST!HeadRow,ROW()-ROW(TST!HeadRow),0,1,COLUMNS(TST!HeadRow)),1,MATCH(LY$5,TST!HeadRow,0))/LY$8</f>
        <v>9.7743092446785251</v>
      </c>
      <c r="LZ36" s="278">
        <f ca="1">$A36 - TST!Tasmania100dt + 1</f>
        <v>-26</v>
      </c>
      <c r="MA36" s="20">
        <f ca="1">INDEX(OFFSET(TST!HeadRow,ROW()-ROW(TST!HeadRow),0,1,COLUMNS(TST!HeadRow)),1,MATCH(MA$5,TST!HeadRow,0))/MA$8</f>
        <v>0</v>
      </c>
      <c r="MB36" s="278">
        <f ca="1">$A36 - TST!SouthAustralia100dt + 1</f>
        <v>-25</v>
      </c>
      <c r="MC36" s="20">
        <f ca="1">INDEX(OFFSET(TST!HeadRow,ROW()-ROW(TST!HeadRow),0,1,COLUMNS(TST!HeadRow)),1,MATCH(MC$5,TST!HeadRow,0))/MC$8</f>
        <v>11.976047904191615</v>
      </c>
      <c r="MD36" s="278">
        <f ca="1">$A36 - TST!AustralianCapitalTerritory100dt + 1</f>
        <v>-31</v>
      </c>
      <c r="ME36" s="20">
        <f ca="1">INDEX(OFFSET(TST!HeadRow,ROW()-ROW(TST!HeadRow),0,1,COLUMNS(TST!HeadRow)),1,MATCH(ME$5,TST!HeadRow,0))/ME$8</f>
        <v>0</v>
      </c>
      <c r="MF36" s="278">
        <f ca="1">$A36 - TST!NorthernTerritory100dt + 1</f>
        <v>-31</v>
      </c>
      <c r="MG36" s="20">
        <f ca="1">INDEX(OFFSET(TST!HeadRow,ROW()-ROW(TST!HeadRow),0,1,COLUMNS(TST!HeadRow)),1,MATCH(MG$5,TST!HeadRow,0))/MG$8</f>
        <v>0</v>
      </c>
      <c r="MH36" s="278">
        <f ca="1">$A36 - TST!WesternAustralia100dt + 1</f>
        <v>-27</v>
      </c>
      <c r="MI36" s="20">
        <f ca="1">INDEX(OFFSET(TST!HeadRow,ROW()-ROW(TST!HeadRow),0,1,COLUMNS(TST!HeadRow)),1,MATCH(MI$5,TST!HeadRow,0))/MI$8</f>
        <v>0</v>
      </c>
      <c r="MJ36" s="278">
        <f ca="1">$A36 - TST!Germany100dt + 1</f>
        <v>-19</v>
      </c>
      <c r="MK36" s="20">
        <f ca="1">INDEX(OFFSET(TST!HeadRow,ROW()-ROW(TST!HeadRow),0,1,COLUMNS(TST!HeadRow)),1,MATCH(MK$5,TST!HeadRow,0))/MK$8</f>
        <v>1.9272464466393642</v>
      </c>
      <c r="ML36" s="278">
        <f ca="1">$A36 - TST!Denmark100dt + 1</f>
        <v>-20</v>
      </c>
      <c r="MM36" s="20">
        <f ca="1">INDEX(OFFSET(TST!HeadRow,ROW()-ROW(TST!HeadRow),0,1,COLUMNS(TST!HeadRow)),1,MATCH(MM$5,TST!HeadRow,0))/MM$8</f>
        <v>0</v>
      </c>
      <c r="MN36" s="278">
        <f ca="1">$A36 - TST!SouthAfrica100dt + 1</f>
        <v>-36</v>
      </c>
      <c r="MO36" s="20">
        <f ca="1">INDEX(OFFSET(TST!HeadRow,ROW()-ROW(TST!HeadRow),0,1,COLUMNS(TST!HeadRow)),1,MATCH(MO$5,TST!HeadRow,0))/MO$8</f>
        <v>0</v>
      </c>
      <c r="MP36" s="278">
        <f ca="1">$A36 - TST!UnitedKingdom100dt + 1</f>
        <v>-24</v>
      </c>
      <c r="MQ36" s="20">
        <f ca="1">INDEX(OFFSET(TST!HeadRow,ROW()-ROW(TST!HeadRow),0,1,COLUMNS(TST!HeadRow)),1,MATCH(MQ$5,TST!HeadRow,0))/MQ$8</f>
        <v>1.3546056592414208</v>
      </c>
      <c r="MR36" s="278">
        <f ca="1">$A36 - TST!Ireland100dt + 1</f>
        <v>-24</v>
      </c>
      <c r="MS36" s="20">
        <f ca="1">INDEX(OFFSET(TST!HeadRow,ROW()-ROW(TST!HeadRow),0,1,COLUMNS(TST!HeadRow)),1,MATCH(MS$5,TST!HeadRow,0))/MS$8</f>
        <v>0</v>
      </c>
      <c r="MT36" s="278">
        <f ca="1">$A36 - TST!Italy100dt + 1</f>
        <v>-9</v>
      </c>
      <c r="MU36" s="20">
        <f ca="1">INDEX(OFFSET(TST!HeadRow,ROW()-ROW(TST!HeadRow),0,1,COLUMNS(TST!HeadRow)),1,MATCH(MU$5,TST!HeadRow,0))/MU$8</f>
        <v>0.49599074150615857</v>
      </c>
      <c r="MV36" s="278">
        <f ca="1">$A36 - TST!US100dt + 1</f>
        <v>-26</v>
      </c>
      <c r="MW36" s="20">
        <f ca="1">INDEX(OFFSET(TST!HeadRow,ROW()-ROW(TST!HeadRow),0,1,COLUMNS(TST!HeadRow)),1,MATCH(MW$5,TST!HeadRow,0))/MW$8</f>
        <v>0.39486343900067283</v>
      </c>
      <c r="MX36" s="278">
        <f ca="1">$A36 - TST!AustraliaSum100dt + 1</f>
        <v>-26</v>
      </c>
      <c r="MY36" s="366">
        <f t="shared" si="7"/>
        <v>5.9138937076170954</v>
      </c>
      <c r="MZ36" s="278">
        <f ca="1">$A36 - TST!NewSouthWales100dt + 1</f>
        <v>-24</v>
      </c>
      <c r="NA36" s="366">
        <f ca="1">INDEX(OFFSET(TST!HeadRow,ROW()-ROW(TST!HeadRow),0,1,COLUMNS(TST!HeadRow)),1,MATCH(NA$5,TST!HeadRow,0))/NA$8</f>
        <v>4.9504950495049505</v>
      </c>
      <c r="NB36" s="278">
        <f ca="1">$A36 - TST!Taiwan100dt + 1</f>
        <v>-37</v>
      </c>
      <c r="NC36" s="366">
        <f ca="1">INDEX(OFFSET(TST!HeadRow,ROW()-ROW(TST!HeadRow),0,1,COLUMNS(TST!HeadRow)),1,MATCH(NC$5,TST!HeadRow,0))/NC$8</f>
        <v>9.2408700833635695</v>
      </c>
      <c r="ND36" s="20">
        <f ca="1">$A36 - TST!Hubei100dt + 1</f>
        <v>24</v>
      </c>
      <c r="NE36" s="20">
        <f ca="1">INDEX(OFFSET(TST!HeadRow,ROW()-ROW(TST!HeadRow),0,1,COLUMNS(TST!HeadRow)),1,MATCH(NE$5,TST!HeadRow,0))/NE$8</f>
        <v>10254.529914529916</v>
      </c>
      <c r="NF36" s="20">
        <f ca="1">$A36 - TST!HongKong100dt + 1</f>
        <v>-6</v>
      </c>
      <c r="NG36" s="20">
        <f ca="1">INDEX(OFFSET(TST!HeadRow,ROW()-ROW(TST!HeadRow),0,1,COLUMNS(TST!HeadRow)),1,MATCH(NG$5,TST!HeadRow,0))/NG$8</f>
        <v>80.526103878674007</v>
      </c>
    </row>
    <row r="37" spans="1:371" x14ac:dyDescent="0.25">
      <c r="A37" s="243">
        <v>43879</v>
      </c>
      <c r="B37" s="23">
        <v>0</v>
      </c>
      <c r="C37" s="23">
        <v>0</v>
      </c>
      <c r="D37" s="23">
        <v>0</v>
      </c>
      <c r="E37" s="23">
        <v>0</v>
      </c>
      <c r="F37" s="23">
        <v>0</v>
      </c>
      <c r="G37" s="23">
        <v>0</v>
      </c>
      <c r="H37" s="23">
        <v>0</v>
      </c>
      <c r="I37" s="23">
        <v>0</v>
      </c>
      <c r="J37" s="23">
        <v>0</v>
      </c>
      <c r="K37" s="293">
        <v>4</v>
      </c>
      <c r="L37" s="23">
        <v>0</v>
      </c>
      <c r="M37" s="290">
        <v>5</v>
      </c>
      <c r="N37" s="23">
        <v>2</v>
      </c>
      <c r="O37" s="384">
        <v>0</v>
      </c>
      <c r="P37" s="287">
        <v>4</v>
      </c>
      <c r="Q37" s="23">
        <v>0</v>
      </c>
      <c r="R37" s="23">
        <v>0</v>
      </c>
      <c r="S37" s="23">
        <v>0</v>
      </c>
      <c r="T37" s="23">
        <v>0</v>
      </c>
      <c r="U37" s="23">
        <v>0</v>
      </c>
      <c r="V37" s="23">
        <v>0</v>
      </c>
      <c r="W37" s="23">
        <v>0</v>
      </c>
      <c r="X37" s="23">
        <v>0</v>
      </c>
      <c r="Y37" s="23">
        <v>1</v>
      </c>
      <c r="Z37" s="23">
        <v>0</v>
      </c>
      <c r="AA37" s="23">
        <v>0</v>
      </c>
      <c r="AB37" s="23">
        <v>0</v>
      </c>
      <c r="AC37" s="23">
        <v>0</v>
      </c>
      <c r="AD37" s="23">
        <v>0</v>
      </c>
      <c r="AE37" s="23">
        <v>0</v>
      </c>
      <c r="AF37" s="23">
        <v>0</v>
      </c>
      <c r="AG37" s="23">
        <v>0</v>
      </c>
      <c r="AH37" s="23">
        <v>0</v>
      </c>
      <c r="AI37" s="23">
        <v>1</v>
      </c>
      <c r="AJ37" s="23">
        <v>0</v>
      </c>
      <c r="AK37" s="23">
        <v>0</v>
      </c>
      <c r="AL37" s="23">
        <v>5</v>
      </c>
      <c r="AM37" s="23">
        <v>0</v>
      </c>
      <c r="AN37" s="23">
        <v>0</v>
      </c>
      <c r="AO37" s="23">
        <v>0</v>
      </c>
      <c r="AP37" s="23">
        <v>0</v>
      </c>
      <c r="AQ37" s="23">
        <v>0</v>
      </c>
      <c r="AR37" s="23">
        <v>3</v>
      </c>
      <c r="AS37" s="23">
        <v>0</v>
      </c>
      <c r="AT37" s="23">
        <v>0</v>
      </c>
      <c r="AU37" s="23">
        <v>0</v>
      </c>
      <c r="AV37" s="23">
        <v>0</v>
      </c>
      <c r="AW37" s="23">
        <v>0</v>
      </c>
      <c r="AX37" s="23">
        <v>0</v>
      </c>
      <c r="AY37" s="23">
        <v>982</v>
      </c>
      <c r="AZ37" s="23">
        <v>387</v>
      </c>
      <c r="BA37" s="23">
        <v>555</v>
      </c>
      <c r="BB37" s="23">
        <v>292</v>
      </c>
      <c r="BC37" s="23">
        <v>91</v>
      </c>
      <c r="BD37" s="23">
        <v>1328</v>
      </c>
      <c r="BE37" s="23">
        <v>242</v>
      </c>
      <c r="BF37" s="23">
        <v>146</v>
      </c>
      <c r="BG37" s="23">
        <v>163</v>
      </c>
      <c r="BH37" s="23">
        <v>306</v>
      </c>
      <c r="BI37" s="23">
        <v>464</v>
      </c>
      <c r="BJ37" s="23">
        <v>1257</v>
      </c>
      <c r="BK37" s="23">
        <v>62</v>
      </c>
      <c r="BL37" s="23">
        <v>61682</v>
      </c>
      <c r="BM37" s="23">
        <v>1007</v>
      </c>
      <c r="BN37" s="23">
        <v>73</v>
      </c>
      <c r="BO37" s="23">
        <v>629</v>
      </c>
      <c r="BP37" s="23">
        <v>933</v>
      </c>
      <c r="BQ37" s="23">
        <v>89</v>
      </c>
      <c r="BR37" s="23">
        <v>121</v>
      </c>
      <c r="BS37" s="23">
        <v>10</v>
      </c>
      <c r="BT37" s="23">
        <v>70</v>
      </c>
      <c r="BU37" s="23">
        <v>18</v>
      </c>
      <c r="BV37" s="23">
        <v>240</v>
      </c>
      <c r="BW37" s="23">
        <v>543</v>
      </c>
      <c r="BX37" s="23">
        <v>333</v>
      </c>
      <c r="BY37" s="23">
        <v>131</v>
      </c>
      <c r="BZ37" s="23">
        <v>508</v>
      </c>
      <c r="CA37" s="23">
        <v>128</v>
      </c>
      <c r="CB37" s="23">
        <v>1</v>
      </c>
      <c r="CC37" s="23">
        <v>76</v>
      </c>
      <c r="CD37" s="23">
        <v>172</v>
      </c>
      <c r="CE37" s="23">
        <v>1172</v>
      </c>
      <c r="CF37" s="23">
        <v>0</v>
      </c>
      <c r="CG37" s="23">
        <v>0</v>
      </c>
      <c r="CH37" s="23">
        <v>0</v>
      </c>
      <c r="CI37" s="23">
        <v>0</v>
      </c>
      <c r="CJ37" s="23">
        <v>0</v>
      </c>
      <c r="CK37" s="23">
        <v>0</v>
      </c>
      <c r="CL37" s="23">
        <v>542</v>
      </c>
      <c r="CM37" s="23">
        <v>0</v>
      </c>
      <c r="CN37" s="23">
        <v>0</v>
      </c>
      <c r="CO37" s="23">
        <v>0</v>
      </c>
      <c r="CP37" s="23">
        <v>0</v>
      </c>
      <c r="CQ37" s="23">
        <v>0</v>
      </c>
      <c r="CR37" s="23">
        <v>0</v>
      </c>
      <c r="CS37" s="23">
        <v>0</v>
      </c>
      <c r="CT37" s="23">
        <v>0</v>
      </c>
      <c r="CU37" s="23">
        <v>0</v>
      </c>
      <c r="CV37" s="23">
        <v>1</v>
      </c>
      <c r="CW37" s="23">
        <v>0</v>
      </c>
      <c r="CX37" s="23">
        <v>0</v>
      </c>
      <c r="CY37" s="23">
        <v>0</v>
      </c>
      <c r="CZ37" s="23">
        <v>0</v>
      </c>
      <c r="DA37" s="23">
        <v>0</v>
      </c>
      <c r="DB37" s="23">
        <v>0</v>
      </c>
      <c r="DC37" s="23">
        <v>0</v>
      </c>
      <c r="DD37" s="23">
        <v>1</v>
      </c>
      <c r="DE37" s="23">
        <v>0</v>
      </c>
      <c r="DF37" s="23">
        <v>0</v>
      </c>
      <c r="DG37" s="23">
        <v>0</v>
      </c>
      <c r="DH37" s="23">
        <v>0</v>
      </c>
      <c r="DI37" s="23">
        <v>0</v>
      </c>
      <c r="DJ37" s="23">
        <v>0</v>
      </c>
      <c r="DK37" s="23">
        <v>0</v>
      </c>
      <c r="DL37" s="23">
        <v>0</v>
      </c>
      <c r="DM37" s="23">
        <v>0</v>
      </c>
      <c r="DN37" s="23">
        <v>12</v>
      </c>
      <c r="DO37" s="23">
        <v>0</v>
      </c>
      <c r="DP37" s="23">
        <v>0</v>
      </c>
      <c r="DQ37" s="23">
        <v>0</v>
      </c>
      <c r="DR37" s="23">
        <v>16</v>
      </c>
      <c r="DS37" s="23">
        <v>0</v>
      </c>
      <c r="DT37" s="23">
        <v>0</v>
      </c>
      <c r="DU37" s="23">
        <v>0</v>
      </c>
      <c r="DV37" s="23">
        <v>0</v>
      </c>
      <c r="DW37" s="23">
        <v>0</v>
      </c>
      <c r="DX37" s="23">
        <v>0</v>
      </c>
      <c r="DY37" s="23">
        <v>0</v>
      </c>
      <c r="DZ37" s="23">
        <v>0</v>
      </c>
      <c r="EA37" s="23">
        <v>0</v>
      </c>
      <c r="EB37" s="23">
        <v>0</v>
      </c>
      <c r="EC37" s="23">
        <v>3</v>
      </c>
      <c r="ED37" s="23">
        <v>0</v>
      </c>
      <c r="EE37" s="23">
        <v>0</v>
      </c>
      <c r="EF37" s="23">
        <v>0</v>
      </c>
      <c r="EG37" s="23">
        <v>0</v>
      </c>
      <c r="EH37" s="23">
        <v>0</v>
      </c>
      <c r="EI37" s="23">
        <v>3</v>
      </c>
      <c r="EJ37" s="23">
        <v>0</v>
      </c>
      <c r="EK37" s="23">
        <v>74</v>
      </c>
      <c r="EL37" s="23">
        <v>0</v>
      </c>
      <c r="EM37" s="23">
        <v>0</v>
      </c>
      <c r="EN37" s="23">
        <v>0</v>
      </c>
      <c r="EO37" s="23">
        <v>31</v>
      </c>
      <c r="EP37" s="23">
        <v>0</v>
      </c>
      <c r="EQ37" s="23">
        <v>0</v>
      </c>
      <c r="ER37" s="23">
        <v>0</v>
      </c>
      <c r="ES37" s="23">
        <v>0</v>
      </c>
      <c r="ET37" s="23">
        <v>0</v>
      </c>
      <c r="EU37" s="23">
        <v>0</v>
      </c>
      <c r="EV37" s="23">
        <v>0</v>
      </c>
      <c r="EW37" s="23">
        <v>0</v>
      </c>
      <c r="EX37" s="23">
        <v>0</v>
      </c>
      <c r="EY37" s="23">
        <v>22</v>
      </c>
      <c r="EZ37" s="23">
        <v>0</v>
      </c>
      <c r="FA37" s="23">
        <v>0</v>
      </c>
      <c r="FB37" s="23">
        <v>0</v>
      </c>
      <c r="FC37" s="23">
        <v>0</v>
      </c>
      <c r="FD37" s="23">
        <v>0</v>
      </c>
      <c r="FE37" s="23">
        <v>0</v>
      </c>
      <c r="FF37" s="23">
        <v>0</v>
      </c>
      <c r="FG37" s="23">
        <v>0</v>
      </c>
      <c r="FH37" s="23">
        <v>0</v>
      </c>
      <c r="FI37" s="23">
        <v>0</v>
      </c>
      <c r="FJ37" s="23">
        <v>0</v>
      </c>
      <c r="FK37" s="23">
        <v>1</v>
      </c>
      <c r="FL37" s="23">
        <v>0</v>
      </c>
      <c r="FM37" s="23">
        <v>0</v>
      </c>
      <c r="FN37" s="23">
        <v>0</v>
      </c>
      <c r="FO37" s="23">
        <v>0</v>
      </c>
      <c r="FP37" s="23">
        <v>0</v>
      </c>
      <c r="FQ37" s="23">
        <v>0</v>
      </c>
      <c r="FR37" s="23">
        <v>0</v>
      </c>
      <c r="FS37" s="23">
        <v>0</v>
      </c>
      <c r="FT37" s="23">
        <v>0</v>
      </c>
      <c r="FU37" s="23">
        <v>0</v>
      </c>
      <c r="FV37" s="23">
        <v>0</v>
      </c>
      <c r="FW37" s="23">
        <v>0</v>
      </c>
      <c r="FX37" s="23">
        <v>0</v>
      </c>
      <c r="FY37" s="23">
        <v>0</v>
      </c>
      <c r="FZ37" s="23">
        <v>0</v>
      </c>
      <c r="GA37" s="23">
        <v>0</v>
      </c>
      <c r="GB37" s="23">
        <v>3</v>
      </c>
      <c r="GC37" s="23">
        <v>0</v>
      </c>
      <c r="GD37" s="23">
        <v>0</v>
      </c>
      <c r="GE37" s="23">
        <v>0</v>
      </c>
      <c r="GF37" s="23">
        <v>0</v>
      </c>
      <c r="GG37" s="23">
        <v>2</v>
      </c>
      <c r="GH37" s="23">
        <v>0</v>
      </c>
      <c r="GI37" s="23">
        <v>0</v>
      </c>
      <c r="GJ37" s="23">
        <v>0</v>
      </c>
      <c r="GK37" s="23">
        <v>0</v>
      </c>
      <c r="GL37" s="23">
        <v>0</v>
      </c>
      <c r="GM37" s="23">
        <v>0</v>
      </c>
      <c r="GN37" s="23">
        <v>0</v>
      </c>
      <c r="GO37" s="23">
        <v>0</v>
      </c>
      <c r="GP37" s="23">
        <v>81</v>
      </c>
      <c r="GQ37" s="23">
        <v>0</v>
      </c>
      <c r="GR37" s="23">
        <v>0</v>
      </c>
      <c r="GS37" s="23">
        <v>0</v>
      </c>
      <c r="GT37" s="23">
        <v>0</v>
      </c>
      <c r="GU37" s="23">
        <v>2</v>
      </c>
      <c r="GV37" s="23">
        <v>1</v>
      </c>
      <c r="GW37" s="23">
        <v>0</v>
      </c>
      <c r="GX37" s="23">
        <v>0</v>
      </c>
      <c r="GY37" s="23">
        <v>1</v>
      </c>
      <c r="GZ37" s="23">
        <v>0</v>
      </c>
      <c r="HA37" s="23">
        <v>22</v>
      </c>
      <c r="HB37" s="23">
        <v>0</v>
      </c>
      <c r="HC37" s="23">
        <v>35</v>
      </c>
      <c r="HD37" s="23">
        <v>0</v>
      </c>
      <c r="HE37" s="23">
        <v>0</v>
      </c>
      <c r="HF37" s="23">
        <v>0</v>
      </c>
      <c r="HG37" s="23">
        <v>0</v>
      </c>
      <c r="HH37" s="23">
        <v>0</v>
      </c>
      <c r="HI37" s="23">
        <v>0</v>
      </c>
      <c r="HJ37" s="23">
        <v>9</v>
      </c>
      <c r="HK37" s="23">
        <v>0</v>
      </c>
      <c r="HL37" s="23">
        <v>0</v>
      </c>
      <c r="HM37" s="23">
        <v>0</v>
      </c>
      <c r="HN37" s="23">
        <v>0</v>
      </c>
      <c r="HO37" s="23">
        <v>0</v>
      </c>
      <c r="HP37" s="23">
        <v>0</v>
      </c>
      <c r="HQ37" s="23">
        <v>9</v>
      </c>
      <c r="HR37" s="23">
        <v>0</v>
      </c>
      <c r="HS37" s="23">
        <v>13</v>
      </c>
      <c r="HT37" s="23">
        <v>0</v>
      </c>
      <c r="HU37" s="23">
        <v>0</v>
      </c>
      <c r="HV37" s="23">
        <v>16</v>
      </c>
      <c r="HW37" s="23">
        <v>0</v>
      </c>
      <c r="HX37" s="23">
        <v>0</v>
      </c>
      <c r="HY37" s="23">
        <v>0</v>
      </c>
      <c r="HZ37" s="23">
        <v>0</v>
      </c>
      <c r="IA37" s="23">
        <v>0</v>
      </c>
      <c r="IB37" s="23">
        <v>0</v>
      </c>
      <c r="IC37" s="23">
        <v>0</v>
      </c>
      <c r="ID37" s="23">
        <v>0</v>
      </c>
      <c r="IE37" s="23">
        <v>0</v>
      </c>
      <c r="IF37" s="23">
        <v>0</v>
      </c>
      <c r="IG37" s="23">
        <v>0</v>
      </c>
      <c r="IH37" s="23">
        <v>0</v>
      </c>
      <c r="II37" s="23">
        <v>0</v>
      </c>
      <c r="IJ37" s="23">
        <v>0</v>
      </c>
      <c r="IK37" s="23">
        <v>0</v>
      </c>
      <c r="IL37" s="23">
        <v>0</v>
      </c>
      <c r="IM37" s="23">
        <v>0</v>
      </c>
      <c r="IN37" s="23">
        <v>0</v>
      </c>
      <c r="IO37" s="23">
        <v>0</v>
      </c>
      <c r="IP37" s="23">
        <v>0</v>
      </c>
      <c r="IQ37" s="23">
        <v>0</v>
      </c>
      <c r="IR37" s="23">
        <v>0</v>
      </c>
      <c r="IS37" s="23">
        <v>0</v>
      </c>
      <c r="IT37" s="23">
        <v>0</v>
      </c>
      <c r="IU37" s="23">
        <v>0</v>
      </c>
      <c r="IV37" s="23">
        <v>0</v>
      </c>
      <c r="IW37" s="23">
        <v>0</v>
      </c>
      <c r="IX37" s="23">
        <v>0</v>
      </c>
      <c r="IY37" s="23">
        <v>0</v>
      </c>
      <c r="IZ37" s="23">
        <v>0</v>
      </c>
      <c r="JA37" s="23">
        <v>0</v>
      </c>
      <c r="JB37" s="23">
        <v>0</v>
      </c>
      <c r="JC37" s="23">
        <v>0</v>
      </c>
      <c r="JD37" s="23">
        <v>0</v>
      </c>
      <c r="JE37" s="23">
        <v>0</v>
      </c>
      <c r="JF37" s="23">
        <v>0</v>
      </c>
      <c r="JG37" s="23">
        <v>0</v>
      </c>
      <c r="JH37" s="23">
        <v>0</v>
      </c>
      <c r="JI37" s="23">
        <v>0</v>
      </c>
      <c r="JJ37" s="23">
        <v>0</v>
      </c>
      <c r="JK37" s="23">
        <v>0</v>
      </c>
      <c r="JL37" s="23">
        <v>0</v>
      </c>
      <c r="JM37" s="23">
        <v>0</v>
      </c>
      <c r="JN37" s="23">
        <v>0</v>
      </c>
      <c r="JO37" s="23">
        <v>1</v>
      </c>
      <c r="JP37" s="23">
        <v>0</v>
      </c>
      <c r="JQ37" s="23">
        <v>8</v>
      </c>
      <c r="JR37" s="23">
        <v>0</v>
      </c>
      <c r="JS37" s="23">
        <v>0</v>
      </c>
      <c r="JT37" s="23">
        <v>0</v>
      </c>
      <c r="JU37" s="23">
        <v>0</v>
      </c>
      <c r="JV37" s="23">
        <v>0</v>
      </c>
      <c r="JW37" s="23">
        <v>0</v>
      </c>
      <c r="JX37" s="23">
        <v>0</v>
      </c>
      <c r="JY37" s="23">
        <v>0</v>
      </c>
      <c r="JZ37" s="23">
        <v>2</v>
      </c>
      <c r="KA37" s="23">
        <v>0</v>
      </c>
      <c r="KB37" s="23">
        <v>0</v>
      </c>
      <c r="KC37" s="23">
        <v>0</v>
      </c>
      <c r="KD37" s="23">
        <v>0</v>
      </c>
      <c r="KE37" s="23">
        <v>0</v>
      </c>
      <c r="KF37" s="23">
        <v>0</v>
      </c>
      <c r="KG37" s="23">
        <v>0</v>
      </c>
      <c r="KH37" s="23">
        <v>1</v>
      </c>
      <c r="KI37" s="23">
        <v>0</v>
      </c>
      <c r="KJ37" s="23">
        <v>0</v>
      </c>
      <c r="KK37" s="23">
        <v>0</v>
      </c>
      <c r="KL37" s="23">
        <v>0</v>
      </c>
      <c r="KM37" s="23">
        <v>0</v>
      </c>
      <c r="KN37" s="23">
        <v>0</v>
      </c>
      <c r="KO37" s="23">
        <v>0</v>
      </c>
      <c r="KP37" s="23">
        <v>0</v>
      </c>
      <c r="KQ37" s="23">
        <v>0</v>
      </c>
      <c r="KR37" s="23">
        <v>0</v>
      </c>
      <c r="KS37" s="23">
        <v>0</v>
      </c>
      <c r="KT37" s="23">
        <v>0</v>
      </c>
      <c r="KU37" s="23">
        <v>0</v>
      </c>
      <c r="KV37" s="23">
        <v>0</v>
      </c>
      <c r="KW37" s="23">
        <v>0</v>
      </c>
      <c r="KX37" s="23">
        <v>0</v>
      </c>
      <c r="KY37" s="23">
        <v>0</v>
      </c>
      <c r="KZ37" s="23">
        <v>0</v>
      </c>
      <c r="LA37" s="23">
        <v>0</v>
      </c>
      <c r="LB37" s="23">
        <v>0</v>
      </c>
      <c r="LC37" s="23">
        <v>0</v>
      </c>
      <c r="LD37" s="23">
        <v>0</v>
      </c>
      <c r="LE37" s="23">
        <v>0</v>
      </c>
      <c r="LF37" s="23">
        <v>0</v>
      </c>
      <c r="LG37" s="23">
        <v>0</v>
      </c>
      <c r="LH37" s="23">
        <v>1</v>
      </c>
      <c r="LI37" s="23">
        <v>0</v>
      </c>
      <c r="LJ37" s="23">
        <v>0</v>
      </c>
      <c r="LK37" s="23">
        <v>0</v>
      </c>
      <c r="LL37" s="23">
        <v>0</v>
      </c>
      <c r="LM37" s="23">
        <v>0</v>
      </c>
      <c r="LN37" s="278">
        <f ca="1">$A37 - TST!Sweden100dt + 1</f>
        <v>-17</v>
      </c>
      <c r="LO37" s="20">
        <f ca="1">INDEX(OFFSET(TST!HeadRow,ROW()-ROW(TST!HeadRow),0,1,COLUMNS(TST!HeadRow)),1,MATCH(LO$5,TST!HeadRow,0))/LO$8</f>
        <v>0.97751710654936474</v>
      </c>
      <c r="LP37" s="278">
        <f ca="1">$A37 - TST!Spain100dt + 1</f>
        <v>-17</v>
      </c>
      <c r="LQ37" s="20">
        <f ca="1">INDEX(OFFSET(TST!HeadRow,ROW()-ROW(TST!HeadRow),0,1,COLUMNS(TST!HeadRow)),1,MATCH(LQ$5,TST!HeadRow,0))/LQ$8</f>
        <v>0.42607584149978694</v>
      </c>
      <c r="LR37" s="285">
        <f ca="1">$A37 - TST!Victoria100dt + 1</f>
        <v>-26</v>
      </c>
      <c r="LS37" s="20">
        <f ca="1">INDEX(OFFSET(TST!HeadRow,ROW()-ROW(TST!HeadRow),0,1,COLUMNS(TST!HeadRow)),1,MATCH(LS$5,TST!HeadRow,0))/LS$8</f>
        <v>6.0340926233217678</v>
      </c>
      <c r="LT37" s="278">
        <f ca="1">$A37 - TST!Iran100dt + 1</f>
        <v>-11</v>
      </c>
      <c r="LU37" s="20">
        <f ca="1">INDEX(OFFSET(TST!HeadRow,ROW()-ROW(TST!HeadRow),0,1,COLUMNS(TST!HeadRow)),1,MATCH(LU$5,TST!HeadRow,0))/LU$8</f>
        <v>0</v>
      </c>
      <c r="LV37" s="278">
        <f ca="1">$A37 - TST!Japan100dt + 1</f>
        <v>-35</v>
      </c>
      <c r="LW37" s="20">
        <f ca="1">INDEX(OFFSET(TST!HeadRow,ROW()-ROW(TST!HeadRow),0,1,COLUMNS(TST!HeadRow)),1,MATCH(LW$5,TST!HeadRow,0))/LW$8</f>
        <v>5.847296908819378</v>
      </c>
      <c r="LX37" s="278">
        <f ca="1">$A37 - TST!Queensland100dt + 1</f>
        <v>-25</v>
      </c>
      <c r="LY37" s="20">
        <f ca="1">INDEX(OFFSET(TST!HeadRow,ROW()-ROW(TST!HeadRow),0,1,COLUMNS(TST!HeadRow)),1,MATCH(LY$5,TST!HeadRow,0))/LY$8</f>
        <v>9.7743092446785251</v>
      </c>
      <c r="LZ37" s="278">
        <f ca="1">$A37 - TST!Tasmania100dt + 1</f>
        <v>-25</v>
      </c>
      <c r="MA37" s="20">
        <f ca="1">INDEX(OFFSET(TST!HeadRow,ROW()-ROW(TST!HeadRow),0,1,COLUMNS(TST!HeadRow)),1,MATCH(MA$5,TST!HeadRow,0))/MA$8</f>
        <v>0</v>
      </c>
      <c r="MB37" s="278">
        <f ca="1">$A37 - TST!SouthAustralia100dt + 1</f>
        <v>-24</v>
      </c>
      <c r="MC37" s="20">
        <f ca="1">INDEX(OFFSET(TST!HeadRow,ROW()-ROW(TST!HeadRow),0,1,COLUMNS(TST!HeadRow)),1,MATCH(MC$5,TST!HeadRow,0))/MC$8</f>
        <v>11.976047904191615</v>
      </c>
      <c r="MD37" s="278">
        <f ca="1">$A37 - TST!AustralianCapitalTerritory100dt + 1</f>
        <v>-30</v>
      </c>
      <c r="ME37" s="20">
        <f ca="1">INDEX(OFFSET(TST!HeadRow,ROW()-ROW(TST!HeadRow),0,1,COLUMNS(TST!HeadRow)),1,MATCH(ME$5,TST!HeadRow,0))/ME$8</f>
        <v>0</v>
      </c>
      <c r="MF37" s="278">
        <f ca="1">$A37 - TST!NorthernTerritory100dt + 1</f>
        <v>-30</v>
      </c>
      <c r="MG37" s="20">
        <f ca="1">INDEX(OFFSET(TST!HeadRow,ROW()-ROW(TST!HeadRow),0,1,COLUMNS(TST!HeadRow)),1,MATCH(MG$5,TST!HeadRow,0))/MG$8</f>
        <v>0</v>
      </c>
      <c r="MH37" s="278">
        <f ca="1">$A37 - TST!WesternAustralia100dt + 1</f>
        <v>-26</v>
      </c>
      <c r="MI37" s="20">
        <f ca="1">INDEX(OFFSET(TST!HeadRow,ROW()-ROW(TST!HeadRow),0,1,COLUMNS(TST!HeadRow)),1,MATCH(MI$5,TST!HeadRow,0))/MI$8</f>
        <v>0</v>
      </c>
      <c r="MJ37" s="278">
        <f ca="1">$A37 - TST!Germany100dt + 1</f>
        <v>-18</v>
      </c>
      <c r="MK37" s="20">
        <f ca="1">INDEX(OFFSET(TST!HeadRow,ROW()-ROW(TST!HeadRow),0,1,COLUMNS(TST!HeadRow)),1,MATCH(MK$5,TST!HeadRow,0))/MK$8</f>
        <v>1.9272464466393642</v>
      </c>
      <c r="ML37" s="278">
        <f ca="1">$A37 - TST!Denmark100dt + 1</f>
        <v>-19</v>
      </c>
      <c r="MM37" s="20">
        <f ca="1">INDEX(OFFSET(TST!HeadRow,ROW()-ROW(TST!HeadRow),0,1,COLUMNS(TST!HeadRow)),1,MATCH(MM$5,TST!HeadRow,0))/MM$8</f>
        <v>0</v>
      </c>
      <c r="MN37" s="278">
        <f ca="1">$A37 - TST!SouthAfrica100dt + 1</f>
        <v>-35</v>
      </c>
      <c r="MO37" s="20">
        <f ca="1">INDEX(OFFSET(TST!HeadRow,ROW()-ROW(TST!HeadRow),0,1,COLUMNS(TST!HeadRow)),1,MATCH(MO$5,TST!HeadRow,0))/MO$8</f>
        <v>0</v>
      </c>
      <c r="MP37" s="278">
        <f ca="1">$A37 - TST!UnitedKingdom100dt + 1</f>
        <v>-23</v>
      </c>
      <c r="MQ37" s="20">
        <f ca="1">INDEX(OFFSET(TST!HeadRow,ROW()-ROW(TST!HeadRow),0,1,COLUMNS(TST!HeadRow)),1,MATCH(MQ$5,TST!HeadRow,0))/MQ$8</f>
        <v>1.3546056592414208</v>
      </c>
      <c r="MR37" s="278">
        <f ca="1">$A37 - TST!Ireland100dt + 1</f>
        <v>-23</v>
      </c>
      <c r="MS37" s="20">
        <f ca="1">INDEX(OFFSET(TST!HeadRow,ROW()-ROW(TST!HeadRow),0,1,COLUMNS(TST!HeadRow)),1,MATCH(MS$5,TST!HeadRow,0))/MS$8</f>
        <v>0</v>
      </c>
      <c r="MT37" s="278">
        <f ca="1">$A37 - TST!Italy100dt + 1</f>
        <v>-8</v>
      </c>
      <c r="MU37" s="20">
        <f ca="1">INDEX(OFFSET(TST!HeadRow,ROW()-ROW(TST!HeadRow),0,1,COLUMNS(TST!HeadRow)),1,MATCH(MU$5,TST!HeadRow,0))/MU$8</f>
        <v>0.49599074150615857</v>
      </c>
      <c r="MV37" s="278">
        <f ca="1">$A37 - TST!US100dt + 1</f>
        <v>-25</v>
      </c>
      <c r="MW37" s="20">
        <f ca="1">INDEX(OFFSET(TST!HeadRow,ROW()-ROW(TST!HeadRow),0,1,COLUMNS(TST!HeadRow)),1,MATCH(MW$5,TST!HeadRow,0))/MW$8</f>
        <v>0.39486343900067283</v>
      </c>
      <c r="MX37" s="278">
        <f ca="1">$A37 - TST!AustraliaSum100dt + 1</f>
        <v>-25</v>
      </c>
      <c r="MY37" s="366">
        <f t="shared" si="7"/>
        <v>5.9138937076170954</v>
      </c>
      <c r="MZ37" s="278">
        <f ca="1">$A37 - TST!NewSouthWales100dt + 1</f>
        <v>-23</v>
      </c>
      <c r="NA37" s="366">
        <f ca="1">INDEX(OFFSET(TST!HeadRow,ROW()-ROW(TST!HeadRow),0,1,COLUMNS(TST!HeadRow)),1,MATCH(NA$5,TST!HeadRow,0))/NA$8</f>
        <v>4.9504950495049505</v>
      </c>
      <c r="NB37" s="278">
        <f ca="1">$A37 - TST!Taiwan100dt + 1</f>
        <v>-36</v>
      </c>
      <c r="NC37" s="366">
        <f ca="1">INDEX(OFFSET(TST!HeadRow,ROW()-ROW(TST!HeadRow),0,1,COLUMNS(TST!HeadRow)),1,MATCH(NC$5,TST!HeadRow,0))/NC$8</f>
        <v>9.2408700833635695</v>
      </c>
      <c r="ND37" s="20">
        <f ca="1">$A37 - TST!Hubei100dt + 1</f>
        <v>25</v>
      </c>
      <c r="NE37" s="20">
        <f ca="1">INDEX(OFFSET(TST!HeadRow,ROW()-ROW(TST!HeadRow),0,1,COLUMNS(TST!HeadRow)),1,MATCH(NE$5,TST!HeadRow,0))/NE$8</f>
        <v>10543.931623931625</v>
      </c>
      <c r="NF37" s="20">
        <f ca="1">$A37 - TST!HongKong100dt + 1</f>
        <v>-5</v>
      </c>
      <c r="NG37" s="20">
        <f ca="1">INDEX(OFFSET(TST!HeadRow,ROW()-ROW(TST!HeadRow),0,1,COLUMNS(TST!HeadRow)),1,MATCH(NG$5,TST!HeadRow,0))/NG$8</f>
        <v>83.21030734129647</v>
      </c>
    </row>
    <row r="38" spans="1:371" x14ac:dyDescent="0.25">
      <c r="A38" s="243">
        <v>43880</v>
      </c>
      <c r="B38" s="23">
        <v>0</v>
      </c>
      <c r="C38" s="23">
        <v>0</v>
      </c>
      <c r="D38" s="23">
        <v>0</v>
      </c>
      <c r="E38" s="23">
        <v>0</v>
      </c>
      <c r="F38" s="23">
        <v>0</v>
      </c>
      <c r="G38" s="23">
        <v>0</v>
      </c>
      <c r="H38" s="23">
        <v>0</v>
      </c>
      <c r="I38" s="23">
        <v>0</v>
      </c>
      <c r="J38" s="23">
        <v>0</v>
      </c>
      <c r="K38" s="293">
        <v>4</v>
      </c>
      <c r="L38" s="23">
        <v>0</v>
      </c>
      <c r="M38" s="290">
        <v>5</v>
      </c>
      <c r="N38" s="23">
        <v>2</v>
      </c>
      <c r="O38" s="384">
        <v>0</v>
      </c>
      <c r="P38" s="287">
        <v>4</v>
      </c>
      <c r="Q38" s="23">
        <v>0</v>
      </c>
      <c r="R38" s="23">
        <v>0</v>
      </c>
      <c r="S38" s="23">
        <v>0</v>
      </c>
      <c r="T38" s="23">
        <v>0</v>
      </c>
      <c r="U38" s="23">
        <v>0</v>
      </c>
      <c r="V38" s="23">
        <v>0</v>
      </c>
      <c r="W38" s="23">
        <v>0</v>
      </c>
      <c r="X38" s="23">
        <v>0</v>
      </c>
      <c r="Y38" s="23">
        <v>1</v>
      </c>
      <c r="Z38" s="23">
        <v>0</v>
      </c>
      <c r="AA38" s="23">
        <v>0</v>
      </c>
      <c r="AB38" s="23">
        <v>0</v>
      </c>
      <c r="AC38" s="23">
        <v>0</v>
      </c>
      <c r="AD38" s="23">
        <v>0</v>
      </c>
      <c r="AE38" s="23">
        <v>0</v>
      </c>
      <c r="AF38" s="23">
        <v>0</v>
      </c>
      <c r="AG38" s="23">
        <v>0</v>
      </c>
      <c r="AH38" s="23">
        <v>0</v>
      </c>
      <c r="AI38" s="23">
        <v>1</v>
      </c>
      <c r="AJ38" s="23">
        <v>0</v>
      </c>
      <c r="AK38" s="23">
        <v>0</v>
      </c>
      <c r="AL38" s="23">
        <v>5</v>
      </c>
      <c r="AM38" s="23">
        <v>0</v>
      </c>
      <c r="AN38" s="23">
        <v>0</v>
      </c>
      <c r="AO38" s="23">
        <v>0</v>
      </c>
      <c r="AP38" s="23">
        <v>0</v>
      </c>
      <c r="AQ38" s="23">
        <v>0</v>
      </c>
      <c r="AR38" s="23">
        <v>3</v>
      </c>
      <c r="AS38" s="23">
        <v>0</v>
      </c>
      <c r="AT38" s="23">
        <v>0</v>
      </c>
      <c r="AU38" s="23">
        <v>0</v>
      </c>
      <c r="AV38" s="23">
        <v>0</v>
      </c>
      <c r="AW38" s="23">
        <v>0</v>
      </c>
      <c r="AX38" s="23">
        <v>0</v>
      </c>
      <c r="AY38" s="23">
        <v>986</v>
      </c>
      <c r="AZ38" s="23">
        <v>393</v>
      </c>
      <c r="BA38" s="23">
        <v>560</v>
      </c>
      <c r="BB38" s="23">
        <v>293</v>
      </c>
      <c r="BC38" s="23">
        <v>91</v>
      </c>
      <c r="BD38" s="23">
        <v>1331</v>
      </c>
      <c r="BE38" s="23">
        <v>244</v>
      </c>
      <c r="BF38" s="23">
        <v>146</v>
      </c>
      <c r="BG38" s="23">
        <v>168</v>
      </c>
      <c r="BH38" s="23">
        <v>306</v>
      </c>
      <c r="BI38" s="23">
        <v>470</v>
      </c>
      <c r="BJ38" s="23">
        <v>1262</v>
      </c>
      <c r="BK38" s="23">
        <v>63</v>
      </c>
      <c r="BL38" s="23">
        <v>62031</v>
      </c>
      <c r="BM38" s="23">
        <v>1008</v>
      </c>
      <c r="BN38" s="23">
        <v>75</v>
      </c>
      <c r="BO38" s="23">
        <v>631</v>
      </c>
      <c r="BP38" s="23">
        <v>934</v>
      </c>
      <c r="BQ38" s="23">
        <v>90</v>
      </c>
      <c r="BR38" s="23">
        <v>121</v>
      </c>
      <c r="BS38" s="23">
        <v>10</v>
      </c>
      <c r="BT38" s="23">
        <v>71</v>
      </c>
      <c r="BU38" s="23">
        <v>18</v>
      </c>
      <c r="BV38" s="23">
        <v>242</v>
      </c>
      <c r="BW38" s="23">
        <v>544</v>
      </c>
      <c r="BX38" s="23">
        <v>333</v>
      </c>
      <c r="BY38" s="23">
        <v>131</v>
      </c>
      <c r="BZ38" s="23">
        <v>514</v>
      </c>
      <c r="CA38" s="23">
        <v>130</v>
      </c>
      <c r="CB38" s="23">
        <v>1</v>
      </c>
      <c r="CC38" s="23">
        <v>76</v>
      </c>
      <c r="CD38" s="23">
        <v>172</v>
      </c>
      <c r="CE38" s="23">
        <v>1174</v>
      </c>
      <c r="CF38" s="23">
        <v>0</v>
      </c>
      <c r="CG38" s="23">
        <v>0</v>
      </c>
      <c r="CH38" s="23">
        <v>0</v>
      </c>
      <c r="CI38" s="23">
        <v>0</v>
      </c>
      <c r="CJ38" s="23">
        <v>0</v>
      </c>
      <c r="CK38" s="23">
        <v>0</v>
      </c>
      <c r="CL38" s="23">
        <v>621</v>
      </c>
      <c r="CM38" s="23">
        <v>0</v>
      </c>
      <c r="CN38" s="23">
        <v>0</v>
      </c>
      <c r="CO38" s="23">
        <v>0</v>
      </c>
      <c r="CP38" s="23">
        <v>0</v>
      </c>
      <c r="CQ38" s="23">
        <v>0</v>
      </c>
      <c r="CR38" s="23">
        <v>0</v>
      </c>
      <c r="CS38" s="23">
        <v>0</v>
      </c>
      <c r="CT38" s="23">
        <v>0</v>
      </c>
      <c r="CU38" s="23">
        <v>0</v>
      </c>
      <c r="CV38" s="23">
        <v>1</v>
      </c>
      <c r="CW38" s="23">
        <v>0</v>
      </c>
      <c r="CX38" s="23">
        <v>0</v>
      </c>
      <c r="CY38" s="23">
        <v>0</v>
      </c>
      <c r="CZ38" s="23">
        <v>0</v>
      </c>
      <c r="DA38" s="23">
        <v>0</v>
      </c>
      <c r="DB38" s="23">
        <v>0</v>
      </c>
      <c r="DC38" s="23">
        <v>0</v>
      </c>
      <c r="DD38" s="23">
        <v>1</v>
      </c>
      <c r="DE38" s="23">
        <v>0</v>
      </c>
      <c r="DF38" s="23">
        <v>0</v>
      </c>
      <c r="DG38" s="23">
        <v>0</v>
      </c>
      <c r="DH38" s="23">
        <v>0</v>
      </c>
      <c r="DI38" s="23">
        <v>0</v>
      </c>
      <c r="DJ38" s="23">
        <v>0</v>
      </c>
      <c r="DK38" s="23">
        <v>0</v>
      </c>
      <c r="DL38" s="23">
        <v>0</v>
      </c>
      <c r="DM38" s="23">
        <v>0</v>
      </c>
      <c r="DN38" s="23">
        <v>12</v>
      </c>
      <c r="DO38" s="23">
        <v>0</v>
      </c>
      <c r="DP38" s="23">
        <v>0</v>
      </c>
      <c r="DQ38" s="23">
        <v>0</v>
      </c>
      <c r="DR38" s="23">
        <v>16</v>
      </c>
      <c r="DS38" s="23">
        <v>0</v>
      </c>
      <c r="DT38" s="23">
        <v>0</v>
      </c>
      <c r="DU38" s="23">
        <v>0</v>
      </c>
      <c r="DV38" s="23">
        <v>0</v>
      </c>
      <c r="DW38" s="23">
        <v>0</v>
      </c>
      <c r="DX38" s="23">
        <v>0</v>
      </c>
      <c r="DY38" s="23">
        <v>0</v>
      </c>
      <c r="DZ38" s="23">
        <v>0</v>
      </c>
      <c r="EA38" s="23">
        <v>0</v>
      </c>
      <c r="EB38" s="23">
        <v>0</v>
      </c>
      <c r="EC38" s="23">
        <v>3</v>
      </c>
      <c r="ED38" s="23">
        <v>0</v>
      </c>
      <c r="EE38" s="23">
        <v>2</v>
      </c>
      <c r="EF38" s="23">
        <v>0</v>
      </c>
      <c r="EG38" s="23">
        <v>0</v>
      </c>
      <c r="EH38" s="23">
        <v>0</v>
      </c>
      <c r="EI38" s="23">
        <v>3</v>
      </c>
      <c r="EJ38" s="23">
        <v>0</v>
      </c>
      <c r="EK38" s="23">
        <v>84</v>
      </c>
      <c r="EL38" s="23">
        <v>0</v>
      </c>
      <c r="EM38" s="23">
        <v>0</v>
      </c>
      <c r="EN38" s="23">
        <v>0</v>
      </c>
      <c r="EO38" s="23">
        <v>31</v>
      </c>
      <c r="EP38" s="23">
        <v>0</v>
      </c>
      <c r="EQ38" s="23">
        <v>0</v>
      </c>
      <c r="ER38" s="23">
        <v>0</v>
      </c>
      <c r="ES38" s="23">
        <v>0</v>
      </c>
      <c r="ET38" s="23">
        <v>0</v>
      </c>
      <c r="EU38" s="23">
        <v>0</v>
      </c>
      <c r="EV38" s="23">
        <v>0</v>
      </c>
      <c r="EW38" s="23">
        <v>0</v>
      </c>
      <c r="EX38" s="23">
        <v>0</v>
      </c>
      <c r="EY38" s="23">
        <v>22</v>
      </c>
      <c r="EZ38" s="23">
        <v>0</v>
      </c>
      <c r="FA38" s="23">
        <v>0</v>
      </c>
      <c r="FB38" s="23">
        <v>0</v>
      </c>
      <c r="FC38" s="23">
        <v>0</v>
      </c>
      <c r="FD38" s="23">
        <v>0</v>
      </c>
      <c r="FE38" s="23">
        <v>0</v>
      </c>
      <c r="FF38" s="23">
        <v>0</v>
      </c>
      <c r="FG38" s="23">
        <v>0</v>
      </c>
      <c r="FH38" s="23">
        <v>0</v>
      </c>
      <c r="FI38" s="23">
        <v>0</v>
      </c>
      <c r="FJ38" s="23">
        <v>0</v>
      </c>
      <c r="FK38" s="23">
        <v>1</v>
      </c>
      <c r="FL38" s="23">
        <v>0</v>
      </c>
      <c r="FM38" s="23">
        <v>0</v>
      </c>
      <c r="FN38" s="23">
        <v>0</v>
      </c>
      <c r="FO38" s="23">
        <v>0</v>
      </c>
      <c r="FP38" s="23">
        <v>0</v>
      </c>
      <c r="FQ38" s="23">
        <v>0</v>
      </c>
      <c r="FR38" s="23">
        <v>0</v>
      </c>
      <c r="FS38" s="23">
        <v>0</v>
      </c>
      <c r="FT38" s="23">
        <v>0</v>
      </c>
      <c r="FU38" s="23">
        <v>0</v>
      </c>
      <c r="FV38" s="23">
        <v>0</v>
      </c>
      <c r="FW38" s="23">
        <v>0</v>
      </c>
      <c r="FX38" s="23">
        <v>0</v>
      </c>
      <c r="FY38" s="23">
        <v>0</v>
      </c>
      <c r="FZ38" s="23">
        <v>0</v>
      </c>
      <c r="GA38" s="23">
        <v>0</v>
      </c>
      <c r="GB38" s="23">
        <v>3</v>
      </c>
      <c r="GC38" s="23">
        <v>0</v>
      </c>
      <c r="GD38" s="23">
        <v>0</v>
      </c>
      <c r="GE38" s="23">
        <v>0</v>
      </c>
      <c r="GF38" s="23">
        <v>0</v>
      </c>
      <c r="GG38" s="23">
        <v>2</v>
      </c>
      <c r="GH38" s="23">
        <v>0</v>
      </c>
      <c r="GI38" s="23">
        <v>0</v>
      </c>
      <c r="GJ38" s="23">
        <v>0</v>
      </c>
      <c r="GK38" s="23">
        <v>0</v>
      </c>
      <c r="GL38" s="23">
        <v>0</v>
      </c>
      <c r="GM38" s="23">
        <v>0</v>
      </c>
      <c r="GN38" s="23">
        <v>0</v>
      </c>
      <c r="GO38" s="23">
        <v>0</v>
      </c>
      <c r="GP38" s="23">
        <v>84</v>
      </c>
      <c r="GQ38" s="23">
        <v>0</v>
      </c>
      <c r="GR38" s="23">
        <v>0</v>
      </c>
      <c r="GS38" s="23">
        <v>0</v>
      </c>
      <c r="GT38" s="23">
        <v>0</v>
      </c>
      <c r="GU38" s="23">
        <v>2</v>
      </c>
      <c r="GV38" s="23">
        <v>1</v>
      </c>
      <c r="GW38" s="23">
        <v>0</v>
      </c>
      <c r="GX38" s="23">
        <v>0</v>
      </c>
      <c r="GY38" s="23">
        <v>1</v>
      </c>
      <c r="GZ38" s="23">
        <v>0</v>
      </c>
      <c r="HA38" s="23">
        <v>23</v>
      </c>
      <c r="HB38" s="23">
        <v>0</v>
      </c>
      <c r="HC38" s="23">
        <v>35</v>
      </c>
      <c r="HD38" s="23">
        <v>0</v>
      </c>
      <c r="HE38" s="23">
        <v>0</v>
      </c>
      <c r="HF38" s="23">
        <v>0</v>
      </c>
      <c r="HG38" s="23">
        <v>0</v>
      </c>
      <c r="HH38" s="23">
        <v>0</v>
      </c>
      <c r="HI38" s="23">
        <v>0</v>
      </c>
      <c r="HJ38" s="23">
        <v>9</v>
      </c>
      <c r="HK38" s="23">
        <v>0</v>
      </c>
      <c r="HL38" s="23">
        <v>0</v>
      </c>
      <c r="HM38" s="23">
        <v>0</v>
      </c>
      <c r="HN38" s="23">
        <v>0</v>
      </c>
      <c r="HO38" s="23">
        <v>0</v>
      </c>
      <c r="HP38" s="23">
        <v>0</v>
      </c>
      <c r="HQ38" s="23">
        <v>9</v>
      </c>
      <c r="HR38" s="23">
        <v>0</v>
      </c>
      <c r="HS38" s="23">
        <v>13</v>
      </c>
      <c r="HT38" s="23">
        <v>0</v>
      </c>
      <c r="HU38" s="23">
        <v>0</v>
      </c>
      <c r="HV38" s="23">
        <v>16</v>
      </c>
      <c r="HW38" s="23">
        <v>0</v>
      </c>
      <c r="HX38" s="23">
        <v>0</v>
      </c>
      <c r="HY38" s="23">
        <v>0</v>
      </c>
      <c r="HZ38" s="23">
        <v>0</v>
      </c>
      <c r="IA38" s="23">
        <v>0</v>
      </c>
      <c r="IB38" s="23">
        <v>0</v>
      </c>
      <c r="IC38" s="23">
        <v>0</v>
      </c>
      <c r="ID38" s="23">
        <v>0</v>
      </c>
      <c r="IE38" s="23">
        <v>0</v>
      </c>
      <c r="IF38" s="23">
        <v>0</v>
      </c>
      <c r="IG38" s="23">
        <v>0</v>
      </c>
      <c r="IH38" s="23">
        <v>0</v>
      </c>
      <c r="II38" s="23">
        <v>0</v>
      </c>
      <c r="IJ38" s="23">
        <v>0</v>
      </c>
      <c r="IK38" s="23">
        <v>0</v>
      </c>
      <c r="IL38" s="23">
        <v>0</v>
      </c>
      <c r="IM38" s="23">
        <v>0</v>
      </c>
      <c r="IN38" s="23">
        <v>0</v>
      </c>
      <c r="IO38" s="23">
        <v>0</v>
      </c>
      <c r="IP38" s="23">
        <v>0</v>
      </c>
      <c r="IQ38" s="23">
        <v>0</v>
      </c>
      <c r="IR38" s="23">
        <v>0</v>
      </c>
      <c r="IS38" s="23">
        <v>0</v>
      </c>
      <c r="IT38" s="23">
        <v>0</v>
      </c>
      <c r="IU38" s="23">
        <v>0</v>
      </c>
      <c r="IV38" s="23">
        <v>0</v>
      </c>
      <c r="IW38" s="23">
        <v>0</v>
      </c>
      <c r="IX38" s="23">
        <v>0</v>
      </c>
      <c r="IY38" s="23">
        <v>0</v>
      </c>
      <c r="IZ38" s="23">
        <v>0</v>
      </c>
      <c r="JA38" s="23">
        <v>0</v>
      </c>
      <c r="JB38" s="23">
        <v>0</v>
      </c>
      <c r="JC38" s="23">
        <v>0</v>
      </c>
      <c r="JD38" s="23">
        <v>0</v>
      </c>
      <c r="JE38" s="23">
        <v>0</v>
      </c>
      <c r="JF38" s="23">
        <v>0</v>
      </c>
      <c r="JG38" s="23">
        <v>0</v>
      </c>
      <c r="JH38" s="23">
        <v>0</v>
      </c>
      <c r="JI38" s="23">
        <v>0</v>
      </c>
      <c r="JJ38" s="23">
        <v>0</v>
      </c>
      <c r="JK38" s="23">
        <v>0</v>
      </c>
      <c r="JL38" s="23">
        <v>0</v>
      </c>
      <c r="JM38" s="23">
        <v>0</v>
      </c>
      <c r="JN38" s="23">
        <v>0</v>
      </c>
      <c r="JO38" s="23">
        <v>1</v>
      </c>
      <c r="JP38" s="23">
        <v>0</v>
      </c>
      <c r="JQ38" s="23">
        <v>8</v>
      </c>
      <c r="JR38" s="23">
        <v>0</v>
      </c>
      <c r="JS38" s="23">
        <v>0</v>
      </c>
      <c r="JT38" s="23">
        <v>0</v>
      </c>
      <c r="JU38" s="23">
        <v>0</v>
      </c>
      <c r="JV38" s="23">
        <v>0</v>
      </c>
      <c r="JW38" s="23">
        <v>0</v>
      </c>
      <c r="JX38" s="23">
        <v>0</v>
      </c>
      <c r="JY38" s="23">
        <v>0</v>
      </c>
      <c r="JZ38" s="23">
        <v>2</v>
      </c>
      <c r="KA38" s="23">
        <v>0</v>
      </c>
      <c r="KB38" s="23">
        <v>0</v>
      </c>
      <c r="KC38" s="23">
        <v>0</v>
      </c>
      <c r="KD38" s="23">
        <v>0</v>
      </c>
      <c r="KE38" s="23">
        <v>0</v>
      </c>
      <c r="KF38" s="23">
        <v>0</v>
      </c>
      <c r="KG38" s="23">
        <v>0</v>
      </c>
      <c r="KH38" s="23">
        <v>1</v>
      </c>
      <c r="KI38" s="23">
        <v>0</v>
      </c>
      <c r="KJ38" s="23">
        <v>0</v>
      </c>
      <c r="KK38" s="23">
        <v>0</v>
      </c>
      <c r="KL38" s="23">
        <v>0</v>
      </c>
      <c r="KM38" s="23">
        <v>0</v>
      </c>
      <c r="KN38" s="23">
        <v>0</v>
      </c>
      <c r="KO38" s="23">
        <v>0</v>
      </c>
      <c r="KP38" s="23">
        <v>0</v>
      </c>
      <c r="KQ38" s="23">
        <v>0</v>
      </c>
      <c r="KR38" s="23">
        <v>0</v>
      </c>
      <c r="KS38" s="23">
        <v>0</v>
      </c>
      <c r="KT38" s="23">
        <v>0</v>
      </c>
      <c r="KU38" s="23">
        <v>0</v>
      </c>
      <c r="KV38" s="23">
        <v>0</v>
      </c>
      <c r="KW38" s="23">
        <v>0</v>
      </c>
      <c r="KX38" s="23">
        <v>0</v>
      </c>
      <c r="KY38" s="23">
        <v>0</v>
      </c>
      <c r="KZ38" s="23">
        <v>0</v>
      </c>
      <c r="LA38" s="23">
        <v>0</v>
      </c>
      <c r="LB38" s="23">
        <v>0</v>
      </c>
      <c r="LC38" s="23">
        <v>0</v>
      </c>
      <c r="LD38" s="23">
        <v>0</v>
      </c>
      <c r="LE38" s="23">
        <v>0</v>
      </c>
      <c r="LF38" s="23">
        <v>0</v>
      </c>
      <c r="LG38" s="23">
        <v>0</v>
      </c>
      <c r="LH38" s="23">
        <v>1</v>
      </c>
      <c r="LI38" s="23">
        <v>0</v>
      </c>
      <c r="LJ38" s="23">
        <v>0</v>
      </c>
      <c r="LK38" s="23">
        <v>0</v>
      </c>
      <c r="LL38" s="23">
        <v>0</v>
      </c>
      <c r="LM38" s="23">
        <v>0</v>
      </c>
      <c r="LN38" s="278">
        <f ca="1">$A38 - TST!Sweden100dt + 1</f>
        <v>-16</v>
      </c>
      <c r="LO38" s="20">
        <f ca="1">INDEX(OFFSET(TST!HeadRow,ROW()-ROW(TST!HeadRow),0,1,COLUMNS(TST!HeadRow)),1,MATCH(LO$5,TST!HeadRow,0))/LO$8</f>
        <v>0.97751710654936474</v>
      </c>
      <c r="LP38" s="278">
        <f ca="1">$A38 - TST!Spain100dt + 1</f>
        <v>-16</v>
      </c>
      <c r="LQ38" s="20">
        <f ca="1">INDEX(OFFSET(TST!HeadRow,ROW()-ROW(TST!HeadRow),0,1,COLUMNS(TST!HeadRow)),1,MATCH(LQ$5,TST!HeadRow,0))/LQ$8</f>
        <v>0.42607584149978694</v>
      </c>
      <c r="LR38" s="285">
        <f ca="1">$A38 - TST!Victoria100dt + 1</f>
        <v>-25</v>
      </c>
      <c r="LS38" s="20">
        <f ca="1">INDEX(OFFSET(TST!HeadRow,ROW()-ROW(TST!HeadRow),0,1,COLUMNS(TST!HeadRow)),1,MATCH(LS$5,TST!HeadRow,0))/LS$8</f>
        <v>6.0340926233217678</v>
      </c>
      <c r="LT38" s="278">
        <f ca="1">$A38 - TST!Iran100dt + 1</f>
        <v>-10</v>
      </c>
      <c r="LU38" s="20">
        <f ca="1">INDEX(OFFSET(TST!HeadRow,ROW()-ROW(TST!HeadRow),0,1,COLUMNS(TST!HeadRow)),1,MATCH(LU$5,TST!HeadRow,0))/LU$8</f>
        <v>0.23874040561994914</v>
      </c>
      <c r="LV38" s="278">
        <f ca="1">$A38 - TST!Japan100dt + 1</f>
        <v>-34</v>
      </c>
      <c r="LW38" s="20">
        <f ca="1">INDEX(OFFSET(TST!HeadRow,ROW()-ROW(TST!HeadRow),0,1,COLUMNS(TST!HeadRow)),1,MATCH(LW$5,TST!HeadRow,0))/LW$8</f>
        <v>6.6374721667679424</v>
      </c>
      <c r="LX38" s="278">
        <f ca="1">$A38 - TST!Queensland100dt + 1</f>
        <v>-24</v>
      </c>
      <c r="LY38" s="20">
        <f ca="1">INDEX(OFFSET(TST!HeadRow,ROW()-ROW(TST!HeadRow),0,1,COLUMNS(TST!HeadRow)),1,MATCH(LY$5,TST!HeadRow,0))/LY$8</f>
        <v>9.7743092446785251</v>
      </c>
      <c r="LZ38" s="278">
        <f ca="1">$A38 - TST!Tasmania100dt + 1</f>
        <v>-24</v>
      </c>
      <c r="MA38" s="20">
        <f ca="1">INDEX(OFFSET(TST!HeadRow,ROW()-ROW(TST!HeadRow),0,1,COLUMNS(TST!HeadRow)),1,MATCH(MA$5,TST!HeadRow,0))/MA$8</f>
        <v>0</v>
      </c>
      <c r="MB38" s="278">
        <f ca="1">$A38 - TST!SouthAustralia100dt + 1</f>
        <v>-23</v>
      </c>
      <c r="MC38" s="20">
        <f ca="1">INDEX(OFFSET(TST!HeadRow,ROW()-ROW(TST!HeadRow),0,1,COLUMNS(TST!HeadRow)),1,MATCH(MC$5,TST!HeadRow,0))/MC$8</f>
        <v>11.976047904191615</v>
      </c>
      <c r="MD38" s="278">
        <f ca="1">$A38 - TST!AustralianCapitalTerritory100dt + 1</f>
        <v>-29</v>
      </c>
      <c r="ME38" s="20">
        <f ca="1">INDEX(OFFSET(TST!HeadRow,ROW()-ROW(TST!HeadRow),0,1,COLUMNS(TST!HeadRow)),1,MATCH(ME$5,TST!HeadRow,0))/ME$8</f>
        <v>0</v>
      </c>
      <c r="MF38" s="278">
        <f ca="1">$A38 - TST!NorthernTerritory100dt + 1</f>
        <v>-29</v>
      </c>
      <c r="MG38" s="20">
        <f ca="1">INDEX(OFFSET(TST!HeadRow,ROW()-ROW(TST!HeadRow),0,1,COLUMNS(TST!HeadRow)),1,MATCH(MG$5,TST!HeadRow,0))/MG$8</f>
        <v>0</v>
      </c>
      <c r="MH38" s="278">
        <f ca="1">$A38 - TST!WesternAustralia100dt + 1</f>
        <v>-25</v>
      </c>
      <c r="MI38" s="20">
        <f ca="1">INDEX(OFFSET(TST!HeadRow,ROW()-ROW(TST!HeadRow),0,1,COLUMNS(TST!HeadRow)),1,MATCH(MI$5,TST!HeadRow,0))/MI$8</f>
        <v>0</v>
      </c>
      <c r="MJ38" s="278">
        <f ca="1">$A38 - TST!Germany100dt + 1</f>
        <v>-17</v>
      </c>
      <c r="MK38" s="20">
        <f ca="1">INDEX(OFFSET(TST!HeadRow,ROW()-ROW(TST!HeadRow),0,1,COLUMNS(TST!HeadRow)),1,MATCH(MK$5,TST!HeadRow,0))/MK$8</f>
        <v>1.9272464466393642</v>
      </c>
      <c r="ML38" s="278">
        <f ca="1">$A38 - TST!Denmark100dt + 1</f>
        <v>-18</v>
      </c>
      <c r="MM38" s="20">
        <f ca="1">INDEX(OFFSET(TST!HeadRow,ROW()-ROW(TST!HeadRow),0,1,COLUMNS(TST!HeadRow)),1,MATCH(MM$5,TST!HeadRow,0))/MM$8</f>
        <v>0</v>
      </c>
      <c r="MN38" s="278">
        <f ca="1">$A38 - TST!SouthAfrica100dt + 1</f>
        <v>-34</v>
      </c>
      <c r="MO38" s="20">
        <f ca="1">INDEX(OFFSET(TST!HeadRow,ROW()-ROW(TST!HeadRow),0,1,COLUMNS(TST!HeadRow)),1,MATCH(MO$5,TST!HeadRow,0))/MO$8</f>
        <v>0</v>
      </c>
      <c r="MP38" s="278">
        <f ca="1">$A38 - TST!UnitedKingdom100dt + 1</f>
        <v>-22</v>
      </c>
      <c r="MQ38" s="20">
        <f ca="1">INDEX(OFFSET(TST!HeadRow,ROW()-ROW(TST!HeadRow),0,1,COLUMNS(TST!HeadRow)),1,MATCH(MQ$5,TST!HeadRow,0))/MQ$8</f>
        <v>1.3546056592414208</v>
      </c>
      <c r="MR38" s="278">
        <f ca="1">$A38 - TST!Ireland100dt + 1</f>
        <v>-22</v>
      </c>
      <c r="MS38" s="20">
        <f ca="1">INDEX(OFFSET(TST!HeadRow,ROW()-ROW(TST!HeadRow),0,1,COLUMNS(TST!HeadRow)),1,MATCH(MS$5,TST!HeadRow,0))/MS$8</f>
        <v>0</v>
      </c>
      <c r="MT38" s="278">
        <f ca="1">$A38 - TST!Italy100dt + 1</f>
        <v>-7</v>
      </c>
      <c r="MU38" s="20">
        <f ca="1">INDEX(OFFSET(TST!HeadRow,ROW()-ROW(TST!HeadRow),0,1,COLUMNS(TST!HeadRow)),1,MATCH(MU$5,TST!HeadRow,0))/MU$8</f>
        <v>0.49599074150615857</v>
      </c>
      <c r="MV38" s="278">
        <f ca="1">$A38 - TST!US100dt + 1</f>
        <v>-24</v>
      </c>
      <c r="MW38" s="20">
        <f ca="1">INDEX(OFFSET(TST!HeadRow,ROW()-ROW(TST!HeadRow),0,1,COLUMNS(TST!HeadRow)),1,MATCH(MW$5,TST!HeadRow,0))/MW$8</f>
        <v>0.39486343900067283</v>
      </c>
      <c r="MX38" s="278">
        <f ca="1">$A38 - TST!AustraliaSum100dt + 1</f>
        <v>-24</v>
      </c>
      <c r="MY38" s="366">
        <f t="shared" si="7"/>
        <v>5.9138937076170954</v>
      </c>
      <c r="MZ38" s="278">
        <f ca="1">$A38 - TST!NewSouthWales100dt + 1</f>
        <v>-22</v>
      </c>
      <c r="NA38" s="366">
        <f ca="1">INDEX(OFFSET(TST!HeadRow,ROW()-ROW(TST!HeadRow),0,1,COLUMNS(TST!HeadRow)),1,MATCH(NA$5,TST!HeadRow,0))/NA$8</f>
        <v>4.9504950495049505</v>
      </c>
      <c r="NB38" s="278">
        <f ca="1">$A38 - TST!Taiwan100dt + 1</f>
        <v>-35</v>
      </c>
      <c r="NC38" s="366">
        <f ca="1">INDEX(OFFSET(TST!HeadRow,ROW()-ROW(TST!HeadRow),0,1,COLUMNS(TST!HeadRow)),1,MATCH(NC$5,TST!HeadRow,0))/NC$8</f>
        <v>9.6609096326073676</v>
      </c>
      <c r="ND38" s="20">
        <f ca="1">$A38 - TST!Hubei100dt + 1</f>
        <v>26</v>
      </c>
      <c r="NE38" s="20">
        <f ca="1">INDEX(OFFSET(TST!HeadRow,ROW()-ROW(TST!HeadRow),0,1,COLUMNS(TST!HeadRow)),1,MATCH(NE$5,TST!HeadRow,0))/NE$8</f>
        <v>10603.589743589744</v>
      </c>
      <c r="NF38" s="20">
        <f ca="1">$A38 - TST!HongKong100dt + 1</f>
        <v>-4</v>
      </c>
      <c r="NG38" s="20">
        <f ca="1">INDEX(OFFSET(TST!HeadRow,ROW()-ROW(TST!HeadRow),0,1,COLUMNS(TST!HeadRow)),1,MATCH(NG$5,TST!HeadRow,0))/NG$8</f>
        <v>84.552409072607702</v>
      </c>
    </row>
    <row r="39" spans="1:371" x14ac:dyDescent="0.25">
      <c r="A39" s="243">
        <v>43881</v>
      </c>
      <c r="B39" s="23">
        <v>0</v>
      </c>
      <c r="C39" s="23">
        <v>0</v>
      </c>
      <c r="D39" s="23">
        <v>0</v>
      </c>
      <c r="E39" s="23">
        <v>0</v>
      </c>
      <c r="F39" s="23">
        <v>0</v>
      </c>
      <c r="G39" s="23">
        <v>0</v>
      </c>
      <c r="H39" s="23">
        <v>0</v>
      </c>
      <c r="I39" s="23">
        <v>0</v>
      </c>
      <c r="J39" s="23">
        <v>0</v>
      </c>
      <c r="K39" s="293">
        <v>4</v>
      </c>
      <c r="L39" s="23">
        <v>0</v>
      </c>
      <c r="M39" s="290">
        <v>5</v>
      </c>
      <c r="N39" s="23">
        <v>2</v>
      </c>
      <c r="O39" s="384">
        <v>0</v>
      </c>
      <c r="P39" s="287">
        <v>4</v>
      </c>
      <c r="Q39" s="23">
        <v>0</v>
      </c>
      <c r="R39" s="23">
        <v>0</v>
      </c>
      <c r="S39" s="23">
        <v>0</v>
      </c>
      <c r="T39" s="23">
        <v>0</v>
      </c>
      <c r="U39" s="23">
        <v>0</v>
      </c>
      <c r="V39" s="23">
        <v>0</v>
      </c>
      <c r="W39" s="23">
        <v>0</v>
      </c>
      <c r="X39" s="23">
        <v>0</v>
      </c>
      <c r="Y39" s="23">
        <v>1</v>
      </c>
      <c r="Z39" s="23">
        <v>0</v>
      </c>
      <c r="AA39" s="23">
        <v>0</v>
      </c>
      <c r="AB39" s="23">
        <v>0</v>
      </c>
      <c r="AC39" s="23">
        <v>0</v>
      </c>
      <c r="AD39" s="23">
        <v>0</v>
      </c>
      <c r="AE39" s="23">
        <v>0</v>
      </c>
      <c r="AF39" s="23">
        <v>0</v>
      </c>
      <c r="AG39" s="23">
        <v>0</v>
      </c>
      <c r="AH39" s="23">
        <v>0</v>
      </c>
      <c r="AI39" s="23">
        <v>1</v>
      </c>
      <c r="AJ39" s="23">
        <v>0</v>
      </c>
      <c r="AK39" s="23">
        <v>0</v>
      </c>
      <c r="AL39" s="23">
        <v>5</v>
      </c>
      <c r="AM39" s="23">
        <v>0</v>
      </c>
      <c r="AN39" s="23">
        <v>0</v>
      </c>
      <c r="AO39" s="23">
        <v>0</v>
      </c>
      <c r="AP39" s="23">
        <v>0</v>
      </c>
      <c r="AQ39" s="23">
        <v>0</v>
      </c>
      <c r="AR39" s="23">
        <v>3</v>
      </c>
      <c r="AS39" s="23">
        <v>0</v>
      </c>
      <c r="AT39" s="23">
        <v>0</v>
      </c>
      <c r="AU39" s="23">
        <v>0</v>
      </c>
      <c r="AV39" s="23">
        <v>0</v>
      </c>
      <c r="AW39" s="23">
        <v>0</v>
      </c>
      <c r="AX39" s="23">
        <v>0</v>
      </c>
      <c r="AY39" s="23">
        <v>987</v>
      </c>
      <c r="AZ39" s="23">
        <v>395</v>
      </c>
      <c r="BA39" s="23">
        <v>567</v>
      </c>
      <c r="BB39" s="23">
        <v>293</v>
      </c>
      <c r="BC39" s="23">
        <v>91</v>
      </c>
      <c r="BD39" s="23">
        <v>1332</v>
      </c>
      <c r="BE39" s="23">
        <v>245</v>
      </c>
      <c r="BF39" s="23">
        <v>146</v>
      </c>
      <c r="BG39" s="23">
        <v>168</v>
      </c>
      <c r="BH39" s="23">
        <v>307</v>
      </c>
      <c r="BI39" s="23">
        <v>476</v>
      </c>
      <c r="BJ39" s="23">
        <v>1265</v>
      </c>
      <c r="BK39" s="23">
        <v>68</v>
      </c>
      <c r="BL39" s="23">
        <v>62442</v>
      </c>
      <c r="BM39" s="23">
        <v>1010</v>
      </c>
      <c r="BN39" s="23">
        <v>75</v>
      </c>
      <c r="BO39" s="23">
        <v>631</v>
      </c>
      <c r="BP39" s="23">
        <v>934</v>
      </c>
      <c r="BQ39" s="23">
        <v>91</v>
      </c>
      <c r="BR39" s="23">
        <v>121</v>
      </c>
      <c r="BS39" s="23">
        <v>10</v>
      </c>
      <c r="BT39" s="23">
        <v>71</v>
      </c>
      <c r="BU39" s="23">
        <v>18</v>
      </c>
      <c r="BV39" s="23">
        <v>245</v>
      </c>
      <c r="BW39" s="23">
        <v>546</v>
      </c>
      <c r="BX39" s="23">
        <v>334</v>
      </c>
      <c r="BY39" s="23">
        <v>132</v>
      </c>
      <c r="BZ39" s="23">
        <v>520</v>
      </c>
      <c r="CA39" s="23">
        <v>131</v>
      </c>
      <c r="CB39" s="23">
        <v>1</v>
      </c>
      <c r="CC39" s="23">
        <v>76</v>
      </c>
      <c r="CD39" s="23">
        <v>174</v>
      </c>
      <c r="CE39" s="23">
        <v>1175</v>
      </c>
      <c r="CF39" s="23">
        <v>0</v>
      </c>
      <c r="CG39" s="23">
        <v>0</v>
      </c>
      <c r="CH39" s="23">
        <v>0</v>
      </c>
      <c r="CI39" s="23">
        <v>0</v>
      </c>
      <c r="CJ39" s="23">
        <v>0</v>
      </c>
      <c r="CK39" s="23">
        <v>0</v>
      </c>
      <c r="CL39" s="23">
        <v>634</v>
      </c>
      <c r="CM39" s="23">
        <v>0</v>
      </c>
      <c r="CN39" s="23">
        <v>0</v>
      </c>
      <c r="CO39" s="23">
        <v>0</v>
      </c>
      <c r="CP39" s="23">
        <v>0</v>
      </c>
      <c r="CQ39" s="23">
        <v>0</v>
      </c>
      <c r="CR39" s="23">
        <v>0</v>
      </c>
      <c r="CS39" s="23">
        <v>0</v>
      </c>
      <c r="CT39" s="23">
        <v>0</v>
      </c>
      <c r="CU39" s="23">
        <v>0</v>
      </c>
      <c r="CV39" s="23">
        <v>1</v>
      </c>
      <c r="CW39" s="23">
        <v>0</v>
      </c>
      <c r="CX39" s="23">
        <v>0</v>
      </c>
      <c r="CY39" s="23">
        <v>0</v>
      </c>
      <c r="CZ39" s="23">
        <v>0</v>
      </c>
      <c r="DA39" s="23">
        <v>0</v>
      </c>
      <c r="DB39" s="23">
        <v>0</v>
      </c>
      <c r="DC39" s="23">
        <v>0</v>
      </c>
      <c r="DD39" s="23">
        <v>1</v>
      </c>
      <c r="DE39" s="23">
        <v>0</v>
      </c>
      <c r="DF39" s="23">
        <v>0</v>
      </c>
      <c r="DG39" s="23">
        <v>0</v>
      </c>
      <c r="DH39" s="23">
        <v>0</v>
      </c>
      <c r="DI39" s="23">
        <v>0</v>
      </c>
      <c r="DJ39" s="23">
        <v>0</v>
      </c>
      <c r="DK39" s="23">
        <v>0</v>
      </c>
      <c r="DL39" s="23">
        <v>0</v>
      </c>
      <c r="DM39" s="23">
        <v>0</v>
      </c>
      <c r="DN39" s="23">
        <v>12</v>
      </c>
      <c r="DO39" s="23">
        <v>0</v>
      </c>
      <c r="DP39" s="23">
        <v>0</v>
      </c>
      <c r="DQ39" s="23">
        <v>0</v>
      </c>
      <c r="DR39" s="23">
        <v>16</v>
      </c>
      <c r="DS39" s="23">
        <v>0</v>
      </c>
      <c r="DT39" s="23">
        <v>0</v>
      </c>
      <c r="DU39" s="23">
        <v>0</v>
      </c>
      <c r="DV39" s="23">
        <v>0</v>
      </c>
      <c r="DW39" s="23">
        <v>0</v>
      </c>
      <c r="DX39" s="23">
        <v>0</v>
      </c>
      <c r="DY39" s="23">
        <v>0</v>
      </c>
      <c r="DZ39" s="23">
        <v>0</v>
      </c>
      <c r="EA39" s="23">
        <v>0</v>
      </c>
      <c r="EB39" s="23">
        <v>0</v>
      </c>
      <c r="EC39" s="23">
        <v>3</v>
      </c>
      <c r="ED39" s="23">
        <v>0</v>
      </c>
      <c r="EE39" s="23">
        <v>5</v>
      </c>
      <c r="EF39" s="23">
        <v>0</v>
      </c>
      <c r="EG39" s="23">
        <v>0</v>
      </c>
      <c r="EH39" s="23">
        <v>0</v>
      </c>
      <c r="EI39" s="23">
        <v>3</v>
      </c>
      <c r="EJ39" s="23">
        <v>0</v>
      </c>
      <c r="EK39" s="23">
        <v>94</v>
      </c>
      <c r="EL39" s="23">
        <v>0</v>
      </c>
      <c r="EM39" s="23">
        <v>0</v>
      </c>
      <c r="EN39" s="23">
        <v>0</v>
      </c>
      <c r="EO39" s="23">
        <v>104</v>
      </c>
      <c r="EP39" s="23">
        <v>0</v>
      </c>
      <c r="EQ39" s="23">
        <v>0</v>
      </c>
      <c r="ER39" s="23">
        <v>0</v>
      </c>
      <c r="ES39" s="23">
        <v>0</v>
      </c>
      <c r="ET39" s="23">
        <v>0</v>
      </c>
      <c r="EU39" s="23">
        <v>0</v>
      </c>
      <c r="EV39" s="23">
        <v>0</v>
      </c>
      <c r="EW39" s="23">
        <v>0</v>
      </c>
      <c r="EX39" s="23">
        <v>0</v>
      </c>
      <c r="EY39" s="23">
        <v>22</v>
      </c>
      <c r="EZ39" s="23">
        <v>0</v>
      </c>
      <c r="FA39" s="23">
        <v>0</v>
      </c>
      <c r="FB39" s="23">
        <v>0</v>
      </c>
      <c r="FC39" s="23">
        <v>0</v>
      </c>
      <c r="FD39" s="23">
        <v>0</v>
      </c>
      <c r="FE39" s="23">
        <v>0</v>
      </c>
      <c r="FF39" s="23">
        <v>0</v>
      </c>
      <c r="FG39" s="23">
        <v>0</v>
      </c>
      <c r="FH39" s="23">
        <v>0</v>
      </c>
      <c r="FI39" s="23">
        <v>0</v>
      </c>
      <c r="FJ39" s="23">
        <v>0</v>
      </c>
      <c r="FK39" s="23">
        <v>1</v>
      </c>
      <c r="FL39" s="23">
        <v>0</v>
      </c>
      <c r="FM39" s="23">
        <v>0</v>
      </c>
      <c r="FN39" s="23">
        <v>0</v>
      </c>
      <c r="FO39" s="23">
        <v>0</v>
      </c>
      <c r="FP39" s="23">
        <v>0</v>
      </c>
      <c r="FQ39" s="23">
        <v>0</v>
      </c>
      <c r="FR39" s="23">
        <v>0</v>
      </c>
      <c r="FS39" s="23">
        <v>0</v>
      </c>
      <c r="FT39" s="23">
        <v>0</v>
      </c>
      <c r="FU39" s="23">
        <v>0</v>
      </c>
      <c r="FV39" s="23">
        <v>0</v>
      </c>
      <c r="FW39" s="23">
        <v>0</v>
      </c>
      <c r="FX39" s="23">
        <v>0</v>
      </c>
      <c r="FY39" s="23">
        <v>0</v>
      </c>
      <c r="FZ39" s="23">
        <v>0</v>
      </c>
      <c r="GA39" s="23">
        <v>0</v>
      </c>
      <c r="GB39" s="23">
        <v>3</v>
      </c>
      <c r="GC39" s="23">
        <v>0</v>
      </c>
      <c r="GD39" s="23">
        <v>0</v>
      </c>
      <c r="GE39" s="23">
        <v>0</v>
      </c>
      <c r="GF39" s="23">
        <v>0</v>
      </c>
      <c r="GG39" s="23">
        <v>2</v>
      </c>
      <c r="GH39" s="23">
        <v>0</v>
      </c>
      <c r="GI39" s="23">
        <v>0</v>
      </c>
      <c r="GJ39" s="23">
        <v>0</v>
      </c>
      <c r="GK39" s="23">
        <v>0</v>
      </c>
      <c r="GL39" s="23">
        <v>0</v>
      </c>
      <c r="GM39" s="23">
        <v>0</v>
      </c>
      <c r="GN39" s="23">
        <v>0</v>
      </c>
      <c r="GO39" s="23">
        <v>0</v>
      </c>
      <c r="GP39" s="23">
        <v>84</v>
      </c>
      <c r="GQ39" s="23">
        <v>0</v>
      </c>
      <c r="GR39" s="23">
        <v>0</v>
      </c>
      <c r="GS39" s="23">
        <v>0</v>
      </c>
      <c r="GT39" s="23">
        <v>0</v>
      </c>
      <c r="GU39" s="23">
        <v>2</v>
      </c>
      <c r="GV39" s="23">
        <v>1</v>
      </c>
      <c r="GW39" s="23">
        <v>0</v>
      </c>
      <c r="GX39" s="23">
        <v>0</v>
      </c>
      <c r="GY39" s="23">
        <v>1</v>
      </c>
      <c r="GZ39" s="23">
        <v>0</v>
      </c>
      <c r="HA39" s="23">
        <v>24</v>
      </c>
      <c r="HB39" s="23">
        <v>0</v>
      </c>
      <c r="HC39" s="23">
        <v>35</v>
      </c>
      <c r="HD39" s="23">
        <v>0</v>
      </c>
      <c r="HE39" s="23">
        <v>0</v>
      </c>
      <c r="HF39" s="23">
        <v>0</v>
      </c>
      <c r="HG39" s="23">
        <v>0</v>
      </c>
      <c r="HH39" s="23">
        <v>0</v>
      </c>
      <c r="HI39" s="23">
        <v>0</v>
      </c>
      <c r="HJ39" s="23">
        <v>9</v>
      </c>
      <c r="HK39" s="23">
        <v>0</v>
      </c>
      <c r="HL39" s="23">
        <v>0</v>
      </c>
      <c r="HM39" s="23">
        <v>0</v>
      </c>
      <c r="HN39" s="23">
        <v>0</v>
      </c>
      <c r="HO39" s="23">
        <v>0</v>
      </c>
      <c r="HP39" s="23">
        <v>0</v>
      </c>
      <c r="HQ39" s="23">
        <v>9</v>
      </c>
      <c r="HR39" s="23">
        <v>0</v>
      </c>
      <c r="HS39" s="23">
        <v>13</v>
      </c>
      <c r="HT39" s="23">
        <v>0</v>
      </c>
      <c r="HU39" s="23">
        <v>0</v>
      </c>
      <c r="HV39" s="23">
        <v>16</v>
      </c>
      <c r="HW39" s="23">
        <v>0</v>
      </c>
      <c r="HX39" s="23">
        <v>0</v>
      </c>
      <c r="HY39" s="23">
        <v>0</v>
      </c>
      <c r="HZ39" s="23">
        <v>0</v>
      </c>
      <c r="IA39" s="23">
        <v>0</v>
      </c>
      <c r="IB39" s="23">
        <v>0</v>
      </c>
      <c r="IC39" s="23">
        <v>0</v>
      </c>
      <c r="ID39" s="23">
        <v>0</v>
      </c>
      <c r="IE39" s="23">
        <v>0</v>
      </c>
      <c r="IF39" s="23">
        <v>0</v>
      </c>
      <c r="IG39" s="23">
        <v>0</v>
      </c>
      <c r="IH39" s="23">
        <v>0</v>
      </c>
      <c r="II39" s="23">
        <v>0</v>
      </c>
      <c r="IJ39" s="23">
        <v>0</v>
      </c>
      <c r="IK39" s="23">
        <v>0</v>
      </c>
      <c r="IL39" s="23">
        <v>0</v>
      </c>
      <c r="IM39" s="23">
        <v>0</v>
      </c>
      <c r="IN39" s="23">
        <v>0</v>
      </c>
      <c r="IO39" s="23">
        <v>0</v>
      </c>
      <c r="IP39" s="23">
        <v>0</v>
      </c>
      <c r="IQ39" s="23">
        <v>0</v>
      </c>
      <c r="IR39" s="23">
        <v>0</v>
      </c>
      <c r="IS39" s="23">
        <v>0</v>
      </c>
      <c r="IT39" s="23">
        <v>0</v>
      </c>
      <c r="IU39" s="23">
        <v>0</v>
      </c>
      <c r="IV39" s="23">
        <v>0</v>
      </c>
      <c r="IW39" s="23">
        <v>0</v>
      </c>
      <c r="IX39" s="23">
        <v>0</v>
      </c>
      <c r="IY39" s="23">
        <v>0</v>
      </c>
      <c r="IZ39" s="23">
        <v>0</v>
      </c>
      <c r="JA39" s="23">
        <v>0</v>
      </c>
      <c r="JB39" s="23">
        <v>0</v>
      </c>
      <c r="JC39" s="23">
        <v>0</v>
      </c>
      <c r="JD39" s="23">
        <v>0</v>
      </c>
      <c r="JE39" s="23">
        <v>0</v>
      </c>
      <c r="JF39" s="23">
        <v>0</v>
      </c>
      <c r="JG39" s="23">
        <v>0</v>
      </c>
      <c r="JH39" s="23">
        <v>0</v>
      </c>
      <c r="JI39" s="23">
        <v>0</v>
      </c>
      <c r="JJ39" s="23">
        <v>0</v>
      </c>
      <c r="JK39" s="23">
        <v>0</v>
      </c>
      <c r="JL39" s="23">
        <v>0</v>
      </c>
      <c r="JM39" s="23">
        <v>0</v>
      </c>
      <c r="JN39" s="23">
        <v>0</v>
      </c>
      <c r="JO39" s="23">
        <v>1</v>
      </c>
      <c r="JP39" s="23">
        <v>0</v>
      </c>
      <c r="JQ39" s="23">
        <v>8</v>
      </c>
      <c r="JR39" s="23">
        <v>0</v>
      </c>
      <c r="JS39" s="23">
        <v>0</v>
      </c>
      <c r="JT39" s="23">
        <v>0</v>
      </c>
      <c r="JU39" s="23">
        <v>0</v>
      </c>
      <c r="JV39" s="23">
        <v>0</v>
      </c>
      <c r="JW39" s="23">
        <v>0</v>
      </c>
      <c r="JX39" s="23">
        <v>0</v>
      </c>
      <c r="JY39" s="23">
        <v>0</v>
      </c>
      <c r="JZ39" s="23">
        <v>2</v>
      </c>
      <c r="KA39" s="23">
        <v>0</v>
      </c>
      <c r="KB39" s="23">
        <v>0</v>
      </c>
      <c r="KC39" s="23">
        <v>0</v>
      </c>
      <c r="KD39" s="23">
        <v>0</v>
      </c>
      <c r="KE39" s="23">
        <v>0</v>
      </c>
      <c r="KF39" s="23">
        <v>0</v>
      </c>
      <c r="KG39" s="23">
        <v>0</v>
      </c>
      <c r="KH39" s="23">
        <v>1</v>
      </c>
      <c r="KI39" s="23">
        <v>0</v>
      </c>
      <c r="KJ39" s="23">
        <v>0</v>
      </c>
      <c r="KK39" s="23">
        <v>0</v>
      </c>
      <c r="KL39" s="23">
        <v>0</v>
      </c>
      <c r="KM39" s="23">
        <v>0</v>
      </c>
      <c r="KN39" s="23">
        <v>0</v>
      </c>
      <c r="KO39" s="23">
        <v>0</v>
      </c>
      <c r="KP39" s="23">
        <v>0</v>
      </c>
      <c r="KQ39" s="23">
        <v>0</v>
      </c>
      <c r="KR39" s="23">
        <v>0</v>
      </c>
      <c r="KS39" s="23">
        <v>0</v>
      </c>
      <c r="KT39" s="23">
        <v>0</v>
      </c>
      <c r="KU39" s="23">
        <v>0</v>
      </c>
      <c r="KV39" s="23">
        <v>0</v>
      </c>
      <c r="KW39" s="23">
        <v>0</v>
      </c>
      <c r="KX39" s="23">
        <v>0</v>
      </c>
      <c r="KY39" s="23">
        <v>0</v>
      </c>
      <c r="KZ39" s="23">
        <v>0</v>
      </c>
      <c r="LA39" s="23">
        <v>0</v>
      </c>
      <c r="LB39" s="23">
        <v>0</v>
      </c>
      <c r="LC39" s="23">
        <v>0</v>
      </c>
      <c r="LD39" s="23">
        <v>0</v>
      </c>
      <c r="LE39" s="23">
        <v>0</v>
      </c>
      <c r="LF39" s="23">
        <v>0</v>
      </c>
      <c r="LG39" s="23">
        <v>0</v>
      </c>
      <c r="LH39" s="23">
        <v>1</v>
      </c>
      <c r="LI39" s="23">
        <v>0</v>
      </c>
      <c r="LJ39" s="23">
        <v>0</v>
      </c>
      <c r="LK39" s="23">
        <v>0</v>
      </c>
      <c r="LL39" s="23">
        <v>0</v>
      </c>
      <c r="LM39" s="23">
        <v>0</v>
      </c>
      <c r="LN39" s="278">
        <f ca="1">$A39 - TST!Sweden100dt + 1</f>
        <v>-15</v>
      </c>
      <c r="LO39" s="20">
        <f ca="1">INDEX(OFFSET(TST!HeadRow,ROW()-ROW(TST!HeadRow),0,1,COLUMNS(TST!HeadRow)),1,MATCH(LO$5,TST!HeadRow,0))/LO$8</f>
        <v>0.97751710654936474</v>
      </c>
      <c r="LP39" s="278">
        <f ca="1">$A39 - TST!Spain100dt + 1</f>
        <v>-15</v>
      </c>
      <c r="LQ39" s="20">
        <f ca="1">INDEX(OFFSET(TST!HeadRow,ROW()-ROW(TST!HeadRow),0,1,COLUMNS(TST!HeadRow)),1,MATCH(LQ$5,TST!HeadRow,0))/LQ$8</f>
        <v>0.42607584149978694</v>
      </c>
      <c r="LR39" s="285">
        <f ca="1">$A39 - TST!Victoria100dt + 1</f>
        <v>-24</v>
      </c>
      <c r="LS39" s="20">
        <f ca="1">INDEX(OFFSET(TST!HeadRow,ROW()-ROW(TST!HeadRow),0,1,COLUMNS(TST!HeadRow)),1,MATCH(LS$5,TST!HeadRow,0))/LS$8</f>
        <v>6.0340926233217678</v>
      </c>
      <c r="LT39" s="278">
        <f ca="1">$A39 - TST!Iran100dt + 1</f>
        <v>-9</v>
      </c>
      <c r="LU39" s="20">
        <f ca="1">INDEX(OFFSET(TST!HeadRow,ROW()-ROW(TST!HeadRow),0,1,COLUMNS(TST!HeadRow)),1,MATCH(LU$5,TST!HeadRow,0))/LU$8</f>
        <v>0.59685101404987284</v>
      </c>
      <c r="LV39" s="278">
        <f ca="1">$A39 - TST!Japan100dt + 1</f>
        <v>-33</v>
      </c>
      <c r="LW39" s="20">
        <f ca="1">INDEX(OFFSET(TST!HeadRow,ROW()-ROW(TST!HeadRow),0,1,COLUMNS(TST!HeadRow)),1,MATCH(LW$5,TST!HeadRow,0))/LW$8</f>
        <v>7.4276474247165067</v>
      </c>
      <c r="LX39" s="278">
        <f ca="1">$A39 - TST!Queensland100dt + 1</f>
        <v>-23</v>
      </c>
      <c r="LY39" s="20">
        <f ca="1">INDEX(OFFSET(TST!HeadRow,ROW()-ROW(TST!HeadRow),0,1,COLUMNS(TST!HeadRow)),1,MATCH(LY$5,TST!HeadRow,0))/LY$8</f>
        <v>9.7743092446785251</v>
      </c>
      <c r="LZ39" s="278">
        <f ca="1">$A39 - TST!Tasmania100dt + 1</f>
        <v>-23</v>
      </c>
      <c r="MA39" s="20">
        <f ca="1">INDEX(OFFSET(TST!HeadRow,ROW()-ROW(TST!HeadRow),0,1,COLUMNS(TST!HeadRow)),1,MATCH(MA$5,TST!HeadRow,0))/MA$8</f>
        <v>0</v>
      </c>
      <c r="MB39" s="278">
        <f ca="1">$A39 - TST!SouthAustralia100dt + 1</f>
        <v>-22</v>
      </c>
      <c r="MC39" s="20">
        <f ca="1">INDEX(OFFSET(TST!HeadRow,ROW()-ROW(TST!HeadRow),0,1,COLUMNS(TST!HeadRow)),1,MATCH(MC$5,TST!HeadRow,0))/MC$8</f>
        <v>11.976047904191615</v>
      </c>
      <c r="MD39" s="278">
        <f ca="1">$A39 - TST!AustralianCapitalTerritory100dt + 1</f>
        <v>-28</v>
      </c>
      <c r="ME39" s="20">
        <f ca="1">INDEX(OFFSET(TST!HeadRow,ROW()-ROW(TST!HeadRow),0,1,COLUMNS(TST!HeadRow)),1,MATCH(ME$5,TST!HeadRow,0))/ME$8</f>
        <v>0</v>
      </c>
      <c r="MF39" s="278">
        <f ca="1">$A39 - TST!NorthernTerritory100dt + 1</f>
        <v>-28</v>
      </c>
      <c r="MG39" s="20">
        <f ca="1">INDEX(OFFSET(TST!HeadRow,ROW()-ROW(TST!HeadRow),0,1,COLUMNS(TST!HeadRow)),1,MATCH(MG$5,TST!HeadRow,0))/MG$8</f>
        <v>0</v>
      </c>
      <c r="MH39" s="278">
        <f ca="1">$A39 - TST!WesternAustralia100dt + 1</f>
        <v>-24</v>
      </c>
      <c r="MI39" s="20">
        <f ca="1">INDEX(OFFSET(TST!HeadRow,ROW()-ROW(TST!HeadRow),0,1,COLUMNS(TST!HeadRow)),1,MATCH(MI$5,TST!HeadRow,0))/MI$8</f>
        <v>0</v>
      </c>
      <c r="MJ39" s="278">
        <f ca="1">$A39 - TST!Germany100dt + 1</f>
        <v>-16</v>
      </c>
      <c r="MK39" s="20">
        <f ca="1">INDEX(OFFSET(TST!HeadRow,ROW()-ROW(TST!HeadRow),0,1,COLUMNS(TST!HeadRow)),1,MATCH(MK$5,TST!HeadRow,0))/MK$8</f>
        <v>1.9272464466393642</v>
      </c>
      <c r="ML39" s="278">
        <f ca="1">$A39 - TST!Denmark100dt + 1</f>
        <v>-17</v>
      </c>
      <c r="MM39" s="20">
        <f ca="1">INDEX(OFFSET(TST!HeadRow,ROW()-ROW(TST!HeadRow),0,1,COLUMNS(TST!HeadRow)),1,MATCH(MM$5,TST!HeadRow,0))/MM$8</f>
        <v>0</v>
      </c>
      <c r="MN39" s="278">
        <f ca="1">$A39 - TST!SouthAfrica100dt + 1</f>
        <v>-33</v>
      </c>
      <c r="MO39" s="20">
        <f ca="1">INDEX(OFFSET(TST!HeadRow,ROW()-ROW(TST!HeadRow),0,1,COLUMNS(TST!HeadRow)),1,MATCH(MO$5,TST!HeadRow,0))/MO$8</f>
        <v>0</v>
      </c>
      <c r="MP39" s="278">
        <f ca="1">$A39 - TST!UnitedKingdom100dt + 1</f>
        <v>-21</v>
      </c>
      <c r="MQ39" s="20">
        <f ca="1">INDEX(OFFSET(TST!HeadRow,ROW()-ROW(TST!HeadRow),0,1,COLUMNS(TST!HeadRow)),1,MATCH(MQ$5,TST!HeadRow,0))/MQ$8</f>
        <v>1.3546056592414208</v>
      </c>
      <c r="MR39" s="278">
        <f ca="1">$A39 - TST!Ireland100dt + 1</f>
        <v>-21</v>
      </c>
      <c r="MS39" s="20">
        <f ca="1">INDEX(OFFSET(TST!HeadRow,ROW()-ROW(TST!HeadRow),0,1,COLUMNS(TST!HeadRow)),1,MATCH(MS$5,TST!HeadRow,0))/MS$8</f>
        <v>0</v>
      </c>
      <c r="MT39" s="278">
        <f ca="1">$A39 - TST!Italy100dt + 1</f>
        <v>-6</v>
      </c>
      <c r="MU39" s="20">
        <f ca="1">INDEX(OFFSET(TST!HeadRow,ROW()-ROW(TST!HeadRow),0,1,COLUMNS(TST!HeadRow)),1,MATCH(MU$5,TST!HeadRow,0))/MU$8</f>
        <v>0.49599074150615857</v>
      </c>
      <c r="MV39" s="278">
        <f ca="1">$A39 - TST!US100dt + 1</f>
        <v>-23</v>
      </c>
      <c r="MW39" s="20">
        <f ca="1">INDEX(OFFSET(TST!HeadRow,ROW()-ROW(TST!HeadRow),0,1,COLUMNS(TST!HeadRow)),1,MATCH(MW$5,TST!HeadRow,0))/MW$8</f>
        <v>0.39486343900067283</v>
      </c>
      <c r="MX39" s="278">
        <f ca="1">$A39 - TST!AustraliaSum100dt + 1</f>
        <v>-23</v>
      </c>
      <c r="MY39" s="366">
        <f t="shared" si="7"/>
        <v>5.9138937076170954</v>
      </c>
      <c r="MZ39" s="278">
        <f ca="1">$A39 - TST!NewSouthWales100dt + 1</f>
        <v>-21</v>
      </c>
      <c r="NA39" s="366">
        <f ca="1">INDEX(OFFSET(TST!HeadRow,ROW()-ROW(TST!HeadRow),0,1,COLUMNS(TST!HeadRow)),1,MATCH(NA$5,TST!HeadRow,0))/NA$8</f>
        <v>4.9504950495049505</v>
      </c>
      <c r="NB39" s="278">
        <f ca="1">$A39 - TST!Taiwan100dt + 1</f>
        <v>-34</v>
      </c>
      <c r="NC39" s="366">
        <f ca="1">INDEX(OFFSET(TST!HeadRow,ROW()-ROW(TST!HeadRow),0,1,COLUMNS(TST!HeadRow)),1,MATCH(NC$5,TST!HeadRow,0))/NC$8</f>
        <v>10.080949181851166</v>
      </c>
      <c r="ND39" s="20">
        <f ca="1">$A39 - TST!Hubei100dt + 1</f>
        <v>27</v>
      </c>
      <c r="NE39" s="20">
        <f ca="1">INDEX(OFFSET(TST!HeadRow,ROW()-ROW(TST!HeadRow),0,1,COLUMNS(TST!HeadRow)),1,MATCH(NE$5,TST!HeadRow,0))/NE$8</f>
        <v>10673.846153846154</v>
      </c>
      <c r="NF39" s="20">
        <f ca="1">$A39 - TST!HongKong100dt + 1</f>
        <v>-3</v>
      </c>
      <c r="NG39" s="20">
        <f ca="1">INDEX(OFFSET(TST!HeadRow,ROW()-ROW(TST!HeadRow),0,1,COLUMNS(TST!HeadRow)),1,MATCH(NG$5,TST!HeadRow,0))/NG$8</f>
        <v>91.262917729163874</v>
      </c>
    </row>
    <row r="40" spans="1:371" x14ac:dyDescent="0.25">
      <c r="A40" s="243">
        <v>43882</v>
      </c>
      <c r="B40" s="23">
        <v>0</v>
      </c>
      <c r="C40" s="23">
        <v>0</v>
      </c>
      <c r="D40" s="23">
        <v>0</v>
      </c>
      <c r="E40" s="23">
        <v>0</v>
      </c>
      <c r="F40" s="23">
        <v>0</v>
      </c>
      <c r="G40" s="23">
        <v>0</v>
      </c>
      <c r="H40" s="23">
        <v>0</v>
      </c>
      <c r="I40" s="23">
        <v>0</v>
      </c>
      <c r="J40" s="23">
        <v>0</v>
      </c>
      <c r="K40" s="293">
        <v>4</v>
      </c>
      <c r="L40" s="23">
        <v>0</v>
      </c>
      <c r="M40" s="290">
        <v>5</v>
      </c>
      <c r="N40" s="23">
        <v>2</v>
      </c>
      <c r="O40" s="384">
        <v>0</v>
      </c>
      <c r="P40" s="287">
        <v>4</v>
      </c>
      <c r="Q40" s="23">
        <v>0</v>
      </c>
      <c r="R40" s="23">
        <v>0</v>
      </c>
      <c r="S40" s="23">
        <v>0</v>
      </c>
      <c r="T40" s="23">
        <v>0</v>
      </c>
      <c r="U40" s="23">
        <v>0</v>
      </c>
      <c r="V40" s="23">
        <v>0</v>
      </c>
      <c r="W40" s="23">
        <v>0</v>
      </c>
      <c r="X40" s="23">
        <v>0</v>
      </c>
      <c r="Y40" s="23">
        <v>1</v>
      </c>
      <c r="Z40" s="23">
        <v>0</v>
      </c>
      <c r="AA40" s="23">
        <v>0</v>
      </c>
      <c r="AB40" s="23">
        <v>0</v>
      </c>
      <c r="AC40" s="23">
        <v>0</v>
      </c>
      <c r="AD40" s="23">
        <v>0</v>
      </c>
      <c r="AE40" s="23">
        <v>0</v>
      </c>
      <c r="AF40" s="23">
        <v>0</v>
      </c>
      <c r="AG40" s="23">
        <v>0</v>
      </c>
      <c r="AH40" s="23">
        <v>0</v>
      </c>
      <c r="AI40" s="23">
        <v>1</v>
      </c>
      <c r="AJ40" s="23">
        <v>0</v>
      </c>
      <c r="AK40" s="23">
        <v>0</v>
      </c>
      <c r="AL40" s="23">
        <v>6</v>
      </c>
      <c r="AM40" s="23">
        <v>0</v>
      </c>
      <c r="AN40" s="23">
        <v>0</v>
      </c>
      <c r="AO40" s="23">
        <v>0</v>
      </c>
      <c r="AP40" s="23">
        <v>0</v>
      </c>
      <c r="AQ40" s="23">
        <v>0</v>
      </c>
      <c r="AR40" s="23">
        <v>3</v>
      </c>
      <c r="AS40" s="23">
        <v>0</v>
      </c>
      <c r="AT40" s="23">
        <v>0</v>
      </c>
      <c r="AU40" s="23">
        <v>0</v>
      </c>
      <c r="AV40" s="23">
        <v>0</v>
      </c>
      <c r="AW40" s="23">
        <v>0</v>
      </c>
      <c r="AX40" s="23">
        <v>0</v>
      </c>
      <c r="AY40" s="23">
        <v>988</v>
      </c>
      <c r="AZ40" s="23">
        <v>396</v>
      </c>
      <c r="BA40" s="23">
        <v>572</v>
      </c>
      <c r="BB40" s="23">
        <v>293</v>
      </c>
      <c r="BC40" s="23">
        <v>91</v>
      </c>
      <c r="BD40" s="23">
        <v>1333</v>
      </c>
      <c r="BE40" s="23">
        <v>246</v>
      </c>
      <c r="BF40" s="23">
        <v>146</v>
      </c>
      <c r="BG40" s="23">
        <v>168</v>
      </c>
      <c r="BH40" s="23">
        <v>308</v>
      </c>
      <c r="BI40" s="23">
        <v>479</v>
      </c>
      <c r="BJ40" s="23">
        <v>1267</v>
      </c>
      <c r="BK40" s="23">
        <v>68</v>
      </c>
      <c r="BL40" s="23">
        <v>62662</v>
      </c>
      <c r="BM40" s="23">
        <v>1011</v>
      </c>
      <c r="BN40" s="23">
        <v>75</v>
      </c>
      <c r="BO40" s="23">
        <v>631</v>
      </c>
      <c r="BP40" s="23">
        <v>934</v>
      </c>
      <c r="BQ40" s="23">
        <v>91</v>
      </c>
      <c r="BR40" s="23">
        <v>121</v>
      </c>
      <c r="BS40" s="23">
        <v>10</v>
      </c>
      <c r="BT40" s="23">
        <v>71</v>
      </c>
      <c r="BU40" s="23">
        <v>18</v>
      </c>
      <c r="BV40" s="23">
        <v>245</v>
      </c>
      <c r="BW40" s="23">
        <v>749</v>
      </c>
      <c r="BX40" s="23">
        <v>334</v>
      </c>
      <c r="BY40" s="23">
        <v>132</v>
      </c>
      <c r="BZ40" s="23">
        <v>525</v>
      </c>
      <c r="CA40" s="23">
        <v>132</v>
      </c>
      <c r="CB40" s="23">
        <v>1</v>
      </c>
      <c r="CC40" s="23">
        <v>76</v>
      </c>
      <c r="CD40" s="23">
        <v>174</v>
      </c>
      <c r="CE40" s="23">
        <v>1203</v>
      </c>
      <c r="CF40" s="23">
        <v>0</v>
      </c>
      <c r="CG40" s="23">
        <v>0</v>
      </c>
      <c r="CH40" s="23">
        <v>0</v>
      </c>
      <c r="CI40" s="23">
        <v>0</v>
      </c>
      <c r="CJ40" s="23">
        <v>0</v>
      </c>
      <c r="CK40" s="23">
        <v>0</v>
      </c>
      <c r="CL40" s="23">
        <v>634</v>
      </c>
      <c r="CM40" s="23">
        <v>0</v>
      </c>
      <c r="CN40" s="23">
        <v>0</v>
      </c>
      <c r="CO40" s="23">
        <v>0</v>
      </c>
      <c r="CP40" s="23">
        <v>0</v>
      </c>
      <c r="CQ40" s="23">
        <v>0</v>
      </c>
      <c r="CR40" s="23">
        <v>0</v>
      </c>
      <c r="CS40" s="23">
        <v>0</v>
      </c>
      <c r="CT40" s="23">
        <v>0</v>
      </c>
      <c r="CU40" s="23">
        <v>0</v>
      </c>
      <c r="CV40" s="23">
        <v>1</v>
      </c>
      <c r="CW40" s="23">
        <v>0</v>
      </c>
      <c r="CX40" s="23">
        <v>0</v>
      </c>
      <c r="CY40" s="23">
        <v>0</v>
      </c>
      <c r="CZ40" s="23">
        <v>0</v>
      </c>
      <c r="DA40" s="23">
        <v>0</v>
      </c>
      <c r="DB40" s="23">
        <v>0</v>
      </c>
      <c r="DC40" s="23">
        <v>0</v>
      </c>
      <c r="DD40" s="23">
        <v>1</v>
      </c>
      <c r="DE40" s="23">
        <v>0</v>
      </c>
      <c r="DF40" s="23">
        <v>0</v>
      </c>
      <c r="DG40" s="23">
        <v>0</v>
      </c>
      <c r="DH40" s="23">
        <v>0</v>
      </c>
      <c r="DI40" s="23">
        <v>0</v>
      </c>
      <c r="DJ40" s="23">
        <v>0</v>
      </c>
      <c r="DK40" s="23">
        <v>0</v>
      </c>
      <c r="DL40" s="23">
        <v>0</v>
      </c>
      <c r="DM40" s="23">
        <v>0</v>
      </c>
      <c r="DN40" s="23">
        <v>12</v>
      </c>
      <c r="DO40" s="23">
        <v>0</v>
      </c>
      <c r="DP40" s="23">
        <v>0</v>
      </c>
      <c r="DQ40" s="23">
        <v>0</v>
      </c>
      <c r="DR40" s="23">
        <v>16</v>
      </c>
      <c r="DS40" s="23">
        <v>0</v>
      </c>
      <c r="DT40" s="23">
        <v>0</v>
      </c>
      <c r="DU40" s="23">
        <v>0</v>
      </c>
      <c r="DV40" s="23">
        <v>0</v>
      </c>
      <c r="DW40" s="23">
        <v>0</v>
      </c>
      <c r="DX40" s="23">
        <v>0</v>
      </c>
      <c r="DY40" s="23">
        <v>0</v>
      </c>
      <c r="DZ40" s="23">
        <v>0</v>
      </c>
      <c r="EA40" s="23">
        <v>0</v>
      </c>
      <c r="EB40" s="23">
        <v>0</v>
      </c>
      <c r="EC40" s="23">
        <v>3</v>
      </c>
      <c r="ED40" s="23">
        <v>0</v>
      </c>
      <c r="EE40" s="23">
        <v>18</v>
      </c>
      <c r="EF40" s="23">
        <v>0</v>
      </c>
      <c r="EG40" s="23">
        <v>0</v>
      </c>
      <c r="EH40" s="23">
        <v>1</v>
      </c>
      <c r="EI40" s="23">
        <v>20</v>
      </c>
      <c r="EJ40" s="23">
        <v>0</v>
      </c>
      <c r="EK40" s="23">
        <v>105</v>
      </c>
      <c r="EL40" s="23">
        <v>0</v>
      </c>
      <c r="EM40" s="23">
        <v>0</v>
      </c>
      <c r="EN40" s="23">
        <v>0</v>
      </c>
      <c r="EO40" s="23">
        <v>204</v>
      </c>
      <c r="EP40" s="23">
        <v>0</v>
      </c>
      <c r="EQ40" s="23">
        <v>0</v>
      </c>
      <c r="ER40" s="23">
        <v>0</v>
      </c>
      <c r="ES40" s="23">
        <v>1</v>
      </c>
      <c r="ET40" s="23">
        <v>0</v>
      </c>
      <c r="EU40" s="23">
        <v>0</v>
      </c>
      <c r="EV40" s="23">
        <v>0</v>
      </c>
      <c r="EW40" s="23">
        <v>0</v>
      </c>
      <c r="EX40" s="23">
        <v>0</v>
      </c>
      <c r="EY40" s="23">
        <v>22</v>
      </c>
      <c r="EZ40" s="23">
        <v>0</v>
      </c>
      <c r="FA40" s="23">
        <v>0</v>
      </c>
      <c r="FB40" s="23">
        <v>0</v>
      </c>
      <c r="FC40" s="23">
        <v>0</v>
      </c>
      <c r="FD40" s="23">
        <v>0</v>
      </c>
      <c r="FE40" s="23">
        <v>0</v>
      </c>
      <c r="FF40" s="23">
        <v>0</v>
      </c>
      <c r="FG40" s="23">
        <v>0</v>
      </c>
      <c r="FH40" s="23">
        <v>0</v>
      </c>
      <c r="FI40" s="23">
        <v>0</v>
      </c>
      <c r="FJ40" s="23">
        <v>0</v>
      </c>
      <c r="FK40" s="23">
        <v>1</v>
      </c>
      <c r="FL40" s="23">
        <v>0</v>
      </c>
      <c r="FM40" s="23">
        <v>0</v>
      </c>
      <c r="FN40" s="23">
        <v>0</v>
      </c>
      <c r="FO40" s="23">
        <v>0</v>
      </c>
      <c r="FP40" s="23">
        <v>0</v>
      </c>
      <c r="FQ40" s="23">
        <v>0</v>
      </c>
      <c r="FR40" s="23">
        <v>0</v>
      </c>
      <c r="FS40" s="23">
        <v>0</v>
      </c>
      <c r="FT40" s="23">
        <v>0</v>
      </c>
      <c r="FU40" s="23">
        <v>0</v>
      </c>
      <c r="FV40" s="23">
        <v>0</v>
      </c>
      <c r="FW40" s="23">
        <v>0</v>
      </c>
      <c r="FX40" s="23">
        <v>0</v>
      </c>
      <c r="FY40" s="23">
        <v>0</v>
      </c>
      <c r="FZ40" s="23">
        <v>0</v>
      </c>
      <c r="GA40" s="23">
        <v>0</v>
      </c>
      <c r="GB40" s="23">
        <v>3</v>
      </c>
      <c r="GC40" s="23">
        <v>0</v>
      </c>
      <c r="GD40" s="23">
        <v>0</v>
      </c>
      <c r="GE40" s="23">
        <v>0</v>
      </c>
      <c r="GF40" s="23">
        <v>0</v>
      </c>
      <c r="GG40" s="23">
        <v>2</v>
      </c>
      <c r="GH40" s="23">
        <v>0</v>
      </c>
      <c r="GI40" s="23">
        <v>0</v>
      </c>
      <c r="GJ40" s="23">
        <v>0</v>
      </c>
      <c r="GK40" s="23">
        <v>0</v>
      </c>
      <c r="GL40" s="23">
        <v>0</v>
      </c>
      <c r="GM40" s="23">
        <v>0</v>
      </c>
      <c r="GN40" s="23">
        <v>0</v>
      </c>
      <c r="GO40" s="23">
        <v>0</v>
      </c>
      <c r="GP40" s="23">
        <v>85</v>
      </c>
      <c r="GQ40" s="23">
        <v>0</v>
      </c>
      <c r="GR40" s="23">
        <v>0</v>
      </c>
      <c r="GS40" s="23">
        <v>0</v>
      </c>
      <c r="GT40" s="23">
        <v>0</v>
      </c>
      <c r="GU40" s="23">
        <v>2</v>
      </c>
      <c r="GV40" s="23">
        <v>1</v>
      </c>
      <c r="GW40" s="23">
        <v>0</v>
      </c>
      <c r="GX40" s="23">
        <v>0</v>
      </c>
      <c r="GY40" s="23">
        <v>1</v>
      </c>
      <c r="GZ40" s="23">
        <v>0</v>
      </c>
      <c r="HA40" s="23">
        <v>26</v>
      </c>
      <c r="HB40" s="23">
        <v>0</v>
      </c>
      <c r="HC40" s="23">
        <v>35</v>
      </c>
      <c r="HD40" s="23">
        <v>0</v>
      </c>
      <c r="HE40" s="23">
        <v>0</v>
      </c>
      <c r="HF40" s="23">
        <v>0</v>
      </c>
      <c r="HG40" s="23">
        <v>0</v>
      </c>
      <c r="HH40" s="23">
        <v>0</v>
      </c>
      <c r="HI40" s="23">
        <v>0</v>
      </c>
      <c r="HJ40" s="23">
        <v>9</v>
      </c>
      <c r="HK40" s="23">
        <v>0</v>
      </c>
      <c r="HL40" s="23">
        <v>0</v>
      </c>
      <c r="HM40" s="23">
        <v>0</v>
      </c>
      <c r="HN40" s="23">
        <v>0</v>
      </c>
      <c r="HO40" s="23">
        <v>0</v>
      </c>
      <c r="HP40" s="23">
        <v>0</v>
      </c>
      <c r="HQ40" s="23">
        <v>9</v>
      </c>
      <c r="HR40" s="23">
        <v>0</v>
      </c>
      <c r="HS40" s="23">
        <v>15</v>
      </c>
      <c r="HT40" s="23">
        <v>0</v>
      </c>
      <c r="HU40" s="23">
        <v>0</v>
      </c>
      <c r="HV40" s="23">
        <v>16</v>
      </c>
      <c r="HW40" s="23">
        <v>0</v>
      </c>
      <c r="HX40" s="23">
        <v>0</v>
      </c>
      <c r="HY40" s="23">
        <v>0</v>
      </c>
      <c r="HZ40" s="23">
        <v>0</v>
      </c>
      <c r="IA40" s="23">
        <v>0</v>
      </c>
      <c r="IB40" s="23">
        <v>0</v>
      </c>
      <c r="IC40" s="23">
        <v>0</v>
      </c>
      <c r="ID40" s="23">
        <v>0</v>
      </c>
      <c r="IE40" s="23">
        <v>0</v>
      </c>
      <c r="IF40" s="23">
        <v>0</v>
      </c>
      <c r="IG40" s="23">
        <v>0</v>
      </c>
      <c r="IH40" s="23">
        <v>0</v>
      </c>
      <c r="II40" s="23">
        <v>0</v>
      </c>
      <c r="IJ40" s="23">
        <v>0</v>
      </c>
      <c r="IK40" s="23">
        <v>0</v>
      </c>
      <c r="IL40" s="23">
        <v>0</v>
      </c>
      <c r="IM40" s="23">
        <v>0</v>
      </c>
      <c r="IN40" s="23">
        <v>0</v>
      </c>
      <c r="IO40" s="23">
        <v>0</v>
      </c>
      <c r="IP40" s="23">
        <v>0</v>
      </c>
      <c r="IQ40" s="23">
        <v>0</v>
      </c>
      <c r="IR40" s="23">
        <v>0</v>
      </c>
      <c r="IS40" s="23">
        <v>0</v>
      </c>
      <c r="IT40" s="23">
        <v>0</v>
      </c>
      <c r="IU40" s="23">
        <v>0</v>
      </c>
      <c r="IV40" s="23">
        <v>0</v>
      </c>
      <c r="IW40" s="23">
        <v>0</v>
      </c>
      <c r="IX40" s="23">
        <v>0</v>
      </c>
      <c r="IY40" s="23">
        <v>0</v>
      </c>
      <c r="IZ40" s="23">
        <v>0</v>
      </c>
      <c r="JA40" s="23">
        <v>0</v>
      </c>
      <c r="JB40" s="23">
        <v>0</v>
      </c>
      <c r="JC40" s="23">
        <v>0</v>
      </c>
      <c r="JD40" s="23">
        <v>0</v>
      </c>
      <c r="JE40" s="23">
        <v>0</v>
      </c>
      <c r="JF40" s="23">
        <v>0</v>
      </c>
      <c r="JG40" s="23">
        <v>0</v>
      </c>
      <c r="JH40" s="23">
        <v>0</v>
      </c>
      <c r="JI40" s="23">
        <v>0</v>
      </c>
      <c r="JJ40" s="23">
        <v>0</v>
      </c>
      <c r="JK40" s="23">
        <v>0</v>
      </c>
      <c r="JL40" s="23">
        <v>0</v>
      </c>
      <c r="JM40" s="23">
        <v>0</v>
      </c>
      <c r="JN40" s="23">
        <v>0</v>
      </c>
      <c r="JO40" s="23">
        <v>1</v>
      </c>
      <c r="JP40" s="23">
        <v>0</v>
      </c>
      <c r="JQ40" s="23">
        <v>10</v>
      </c>
      <c r="JR40" s="23">
        <v>0</v>
      </c>
      <c r="JS40" s="23">
        <v>0</v>
      </c>
      <c r="JT40" s="23">
        <v>0</v>
      </c>
      <c r="JU40" s="23">
        <v>0</v>
      </c>
      <c r="JV40" s="23">
        <v>0</v>
      </c>
      <c r="JW40" s="23">
        <v>0</v>
      </c>
      <c r="JX40" s="23">
        <v>0</v>
      </c>
      <c r="JY40" s="23">
        <v>0</v>
      </c>
      <c r="JZ40" s="23">
        <v>2</v>
      </c>
      <c r="KA40" s="23">
        <v>0</v>
      </c>
      <c r="KB40" s="23">
        <v>0</v>
      </c>
      <c r="KC40" s="23">
        <v>0</v>
      </c>
      <c r="KD40" s="23">
        <v>0</v>
      </c>
      <c r="KE40" s="23">
        <v>0</v>
      </c>
      <c r="KF40" s="23">
        <v>0</v>
      </c>
      <c r="KG40" s="23">
        <v>0</v>
      </c>
      <c r="KH40" s="23">
        <v>1</v>
      </c>
      <c r="KI40" s="23">
        <v>0</v>
      </c>
      <c r="KJ40" s="23">
        <v>0</v>
      </c>
      <c r="KK40" s="23">
        <v>0</v>
      </c>
      <c r="KL40" s="23">
        <v>0</v>
      </c>
      <c r="KM40" s="23">
        <v>0</v>
      </c>
      <c r="KN40" s="23">
        <v>0</v>
      </c>
      <c r="KO40" s="23">
        <v>0</v>
      </c>
      <c r="KP40" s="23">
        <v>0</v>
      </c>
      <c r="KQ40" s="23">
        <v>0</v>
      </c>
      <c r="KR40" s="23">
        <v>0</v>
      </c>
      <c r="KS40" s="23">
        <v>0</v>
      </c>
      <c r="KT40" s="23">
        <v>0</v>
      </c>
      <c r="KU40" s="23">
        <v>0</v>
      </c>
      <c r="KV40" s="23">
        <v>0</v>
      </c>
      <c r="KW40" s="23">
        <v>0</v>
      </c>
      <c r="KX40" s="23">
        <v>0</v>
      </c>
      <c r="KY40" s="23">
        <v>0</v>
      </c>
      <c r="KZ40" s="23">
        <v>0</v>
      </c>
      <c r="LA40" s="23">
        <v>0</v>
      </c>
      <c r="LB40" s="23">
        <v>0</v>
      </c>
      <c r="LC40" s="23">
        <v>0</v>
      </c>
      <c r="LD40" s="23">
        <v>0</v>
      </c>
      <c r="LE40" s="23">
        <v>0</v>
      </c>
      <c r="LF40" s="23">
        <v>0</v>
      </c>
      <c r="LG40" s="23">
        <v>0</v>
      </c>
      <c r="LH40" s="23">
        <v>1</v>
      </c>
      <c r="LI40" s="23">
        <v>0</v>
      </c>
      <c r="LJ40" s="23">
        <v>0</v>
      </c>
      <c r="LK40" s="23">
        <v>0</v>
      </c>
      <c r="LL40" s="23">
        <v>0</v>
      </c>
      <c r="LM40" s="23">
        <v>0</v>
      </c>
      <c r="LN40" s="278">
        <f ca="1">$A40 - TST!Sweden100dt + 1</f>
        <v>-14</v>
      </c>
      <c r="LO40" s="20">
        <f ca="1">INDEX(OFFSET(TST!HeadRow,ROW()-ROW(TST!HeadRow),0,1,COLUMNS(TST!HeadRow)),1,MATCH(LO$5,TST!HeadRow,0))/LO$8</f>
        <v>0.97751710654936474</v>
      </c>
      <c r="LP40" s="278">
        <f ca="1">$A40 - TST!Spain100dt + 1</f>
        <v>-14</v>
      </c>
      <c r="LQ40" s="20">
        <f ca="1">INDEX(OFFSET(TST!HeadRow,ROW()-ROW(TST!HeadRow),0,1,COLUMNS(TST!HeadRow)),1,MATCH(LQ$5,TST!HeadRow,0))/LQ$8</f>
        <v>0.42607584149978694</v>
      </c>
      <c r="LR40" s="285">
        <f ca="1">$A40 - TST!Victoria100dt + 1</f>
        <v>-23</v>
      </c>
      <c r="LS40" s="20">
        <f ca="1">INDEX(OFFSET(TST!HeadRow,ROW()-ROW(TST!HeadRow),0,1,COLUMNS(TST!HeadRow)),1,MATCH(LS$5,TST!HeadRow,0))/LS$8</f>
        <v>6.0340926233217678</v>
      </c>
      <c r="LT40" s="278">
        <f ca="1">$A40 - TST!Iran100dt + 1</f>
        <v>-8</v>
      </c>
      <c r="LU40" s="20">
        <f ca="1">INDEX(OFFSET(TST!HeadRow,ROW()-ROW(TST!HeadRow),0,1,COLUMNS(TST!HeadRow)),1,MATCH(LU$5,TST!HeadRow,0))/LU$8</f>
        <v>2.1486636505795422</v>
      </c>
      <c r="LV40" s="278">
        <f ca="1">$A40 - TST!Japan100dt + 1</f>
        <v>-32</v>
      </c>
      <c r="LW40" s="20">
        <f ca="1">INDEX(OFFSET(TST!HeadRow,ROW()-ROW(TST!HeadRow),0,1,COLUMNS(TST!HeadRow)),1,MATCH(LW$5,TST!HeadRow,0))/LW$8</f>
        <v>8.296840208459928</v>
      </c>
      <c r="LX40" s="278">
        <f ca="1">$A40 - TST!Queensland100dt + 1</f>
        <v>-22</v>
      </c>
      <c r="LY40" s="20">
        <f ca="1">INDEX(OFFSET(TST!HeadRow,ROW()-ROW(TST!HeadRow),0,1,COLUMNS(TST!HeadRow)),1,MATCH(LY$5,TST!HeadRow,0))/LY$8</f>
        <v>9.7743092446785251</v>
      </c>
      <c r="LZ40" s="278">
        <f ca="1">$A40 - TST!Tasmania100dt + 1</f>
        <v>-22</v>
      </c>
      <c r="MA40" s="20">
        <f ca="1">INDEX(OFFSET(TST!HeadRow,ROW()-ROW(TST!HeadRow),0,1,COLUMNS(TST!HeadRow)),1,MATCH(MA$5,TST!HeadRow,0))/MA$8</f>
        <v>0</v>
      </c>
      <c r="MB40" s="278">
        <f ca="1">$A40 - TST!SouthAustralia100dt + 1</f>
        <v>-21</v>
      </c>
      <c r="MC40" s="20">
        <f ca="1">INDEX(OFFSET(TST!HeadRow,ROW()-ROW(TST!HeadRow),0,1,COLUMNS(TST!HeadRow)),1,MATCH(MC$5,TST!HeadRow,0))/MC$8</f>
        <v>11.976047904191615</v>
      </c>
      <c r="MD40" s="278">
        <f ca="1">$A40 - TST!AustralianCapitalTerritory100dt + 1</f>
        <v>-27</v>
      </c>
      <c r="ME40" s="20">
        <f ca="1">INDEX(OFFSET(TST!HeadRow,ROW()-ROW(TST!HeadRow),0,1,COLUMNS(TST!HeadRow)),1,MATCH(ME$5,TST!HeadRow,0))/ME$8</f>
        <v>0</v>
      </c>
      <c r="MF40" s="278">
        <f ca="1">$A40 - TST!NorthernTerritory100dt + 1</f>
        <v>-27</v>
      </c>
      <c r="MG40" s="20">
        <f ca="1">INDEX(OFFSET(TST!HeadRow,ROW()-ROW(TST!HeadRow),0,1,COLUMNS(TST!HeadRow)),1,MATCH(MG$5,TST!HeadRow,0))/MG$8</f>
        <v>0</v>
      </c>
      <c r="MH40" s="278">
        <f ca="1">$A40 - TST!WesternAustralia100dt + 1</f>
        <v>-23</v>
      </c>
      <c r="MI40" s="20">
        <f ca="1">INDEX(OFFSET(TST!HeadRow,ROW()-ROW(TST!HeadRow),0,1,COLUMNS(TST!HeadRow)),1,MATCH(MI$5,TST!HeadRow,0))/MI$8</f>
        <v>0</v>
      </c>
      <c r="MJ40" s="278">
        <f ca="1">$A40 - TST!Germany100dt + 1</f>
        <v>-15</v>
      </c>
      <c r="MK40" s="20">
        <f ca="1">INDEX(OFFSET(TST!HeadRow,ROW()-ROW(TST!HeadRow),0,1,COLUMNS(TST!HeadRow)),1,MATCH(MK$5,TST!HeadRow,0))/MK$8</f>
        <v>1.9272464466393642</v>
      </c>
      <c r="ML40" s="278">
        <f ca="1">$A40 - TST!Denmark100dt + 1</f>
        <v>-16</v>
      </c>
      <c r="MM40" s="20">
        <f ca="1">INDEX(OFFSET(TST!HeadRow,ROW()-ROW(TST!HeadRow),0,1,COLUMNS(TST!HeadRow)),1,MATCH(MM$5,TST!HeadRow,0))/MM$8</f>
        <v>0</v>
      </c>
      <c r="MN40" s="278">
        <f ca="1">$A40 - TST!SouthAfrica100dt + 1</f>
        <v>-32</v>
      </c>
      <c r="MO40" s="20">
        <f ca="1">INDEX(OFFSET(TST!HeadRow,ROW()-ROW(TST!HeadRow),0,1,COLUMNS(TST!HeadRow)),1,MATCH(MO$5,TST!HeadRow,0))/MO$8</f>
        <v>0</v>
      </c>
      <c r="MP40" s="278">
        <f ca="1">$A40 - TST!UnitedKingdom100dt + 1</f>
        <v>-20</v>
      </c>
      <c r="MQ40" s="20">
        <f ca="1">INDEX(OFFSET(TST!HeadRow,ROW()-ROW(TST!HeadRow),0,1,COLUMNS(TST!HeadRow)),1,MATCH(MQ$5,TST!HeadRow,0))/MQ$8</f>
        <v>1.3546056592414208</v>
      </c>
      <c r="MR40" s="278">
        <f ca="1">$A40 - TST!Ireland100dt + 1</f>
        <v>-20</v>
      </c>
      <c r="MS40" s="20">
        <f ca="1">INDEX(OFFSET(TST!HeadRow,ROW()-ROW(TST!HeadRow),0,1,COLUMNS(TST!HeadRow)),1,MATCH(MS$5,TST!HeadRow,0))/MS$8</f>
        <v>0</v>
      </c>
      <c r="MT40" s="278">
        <f ca="1">$A40 - TST!Italy100dt + 1</f>
        <v>-5</v>
      </c>
      <c r="MU40" s="20">
        <f ca="1">INDEX(OFFSET(TST!HeadRow,ROW()-ROW(TST!HeadRow),0,1,COLUMNS(TST!HeadRow)),1,MATCH(MU$5,TST!HeadRow,0))/MU$8</f>
        <v>3.3066049433743903</v>
      </c>
      <c r="MV40" s="278">
        <f ca="1">$A40 - TST!US100dt + 1</f>
        <v>-22</v>
      </c>
      <c r="MW40" s="20">
        <f ca="1">INDEX(OFFSET(TST!HeadRow,ROW()-ROW(TST!HeadRow),0,1,COLUMNS(TST!HeadRow)),1,MATCH(MW$5,TST!HeadRow,0))/MW$8</f>
        <v>0.45561166038539175</v>
      </c>
      <c r="MX40" s="278">
        <f ca="1">$A40 - TST!AustraliaSum100dt + 1</f>
        <v>-22</v>
      </c>
      <c r="MY40" s="366">
        <f t="shared" si="7"/>
        <v>5.9138937076170954</v>
      </c>
      <c r="MZ40" s="278">
        <f ca="1">$A40 - TST!NewSouthWales100dt + 1</f>
        <v>-20</v>
      </c>
      <c r="NA40" s="366">
        <f ca="1">INDEX(OFFSET(TST!HeadRow,ROW()-ROW(TST!HeadRow),0,1,COLUMNS(TST!HeadRow)),1,MATCH(NA$5,TST!HeadRow,0))/NA$8</f>
        <v>4.9504950495049505</v>
      </c>
      <c r="NB40" s="278">
        <f ca="1">$A40 - TST!Taiwan100dt + 1</f>
        <v>-33</v>
      </c>
      <c r="NC40" s="366">
        <f ca="1">INDEX(OFFSET(TST!HeadRow,ROW()-ROW(TST!HeadRow),0,1,COLUMNS(TST!HeadRow)),1,MATCH(NC$5,TST!HeadRow,0))/NC$8</f>
        <v>10.921028280338763</v>
      </c>
      <c r="ND40" s="20">
        <f ca="1">$A40 - TST!Hubei100dt + 1</f>
        <v>28</v>
      </c>
      <c r="NE40" s="20">
        <f ca="1">INDEX(OFFSET(TST!HeadRow,ROW()-ROW(TST!HeadRow),0,1,COLUMNS(TST!HeadRow)),1,MATCH(NE$5,TST!HeadRow,0))/NE$8</f>
        <v>10711.452991452992</v>
      </c>
      <c r="NF40" s="20">
        <f ca="1">$A40 - TST!HongKong100dt + 1</f>
        <v>-2</v>
      </c>
      <c r="NG40" s="20">
        <f ca="1">INDEX(OFFSET(TST!HeadRow,ROW()-ROW(TST!HeadRow),0,1,COLUMNS(TST!HeadRow)),1,MATCH(NG$5,TST!HeadRow,0))/NG$8</f>
        <v>91.262917729163874</v>
      </c>
    </row>
    <row r="41" spans="1:371" x14ac:dyDescent="0.25">
      <c r="A41" s="243">
        <v>43883</v>
      </c>
      <c r="B41" s="23">
        <v>0</v>
      </c>
      <c r="C41" s="23">
        <v>0</v>
      </c>
      <c r="D41" s="23">
        <v>0</v>
      </c>
      <c r="E41" s="23">
        <v>0</v>
      </c>
      <c r="F41" s="23">
        <v>0</v>
      </c>
      <c r="G41" s="23">
        <v>0</v>
      </c>
      <c r="H41" s="23">
        <v>0</v>
      </c>
      <c r="I41" s="23">
        <v>0</v>
      </c>
      <c r="J41" s="23">
        <v>0</v>
      </c>
      <c r="K41" s="293">
        <v>4</v>
      </c>
      <c r="L41" s="23">
        <v>0</v>
      </c>
      <c r="M41" s="290">
        <v>5</v>
      </c>
      <c r="N41" s="23">
        <v>2</v>
      </c>
      <c r="O41" s="384">
        <v>0</v>
      </c>
      <c r="P41" s="287">
        <v>4</v>
      </c>
      <c r="Q41" s="23">
        <v>0</v>
      </c>
      <c r="R41" s="23">
        <v>0</v>
      </c>
      <c r="S41" s="23">
        <v>0</v>
      </c>
      <c r="T41" s="23">
        <v>0</v>
      </c>
      <c r="U41" s="23">
        <v>0</v>
      </c>
      <c r="V41" s="23">
        <v>0</v>
      </c>
      <c r="W41" s="23">
        <v>0</v>
      </c>
      <c r="X41" s="23">
        <v>0</v>
      </c>
      <c r="Y41" s="23">
        <v>1</v>
      </c>
      <c r="Z41" s="23">
        <v>0</v>
      </c>
      <c r="AA41" s="23">
        <v>0</v>
      </c>
      <c r="AB41" s="23">
        <v>0</v>
      </c>
      <c r="AC41" s="23">
        <v>0</v>
      </c>
      <c r="AD41" s="23">
        <v>0</v>
      </c>
      <c r="AE41" s="23">
        <v>0</v>
      </c>
      <c r="AF41" s="23">
        <v>0</v>
      </c>
      <c r="AG41" s="23">
        <v>0</v>
      </c>
      <c r="AH41" s="23">
        <v>0</v>
      </c>
      <c r="AI41" s="23">
        <v>1</v>
      </c>
      <c r="AJ41" s="23">
        <v>0</v>
      </c>
      <c r="AK41" s="23">
        <v>0</v>
      </c>
      <c r="AL41" s="23">
        <v>6</v>
      </c>
      <c r="AM41" s="23">
        <v>0</v>
      </c>
      <c r="AN41" s="23">
        <v>0</v>
      </c>
      <c r="AO41" s="23">
        <v>0</v>
      </c>
      <c r="AP41" s="23">
        <v>0</v>
      </c>
      <c r="AQ41" s="23">
        <v>0</v>
      </c>
      <c r="AR41" s="23">
        <v>3</v>
      </c>
      <c r="AS41" s="23">
        <v>0</v>
      </c>
      <c r="AT41" s="23">
        <v>0</v>
      </c>
      <c r="AU41" s="23">
        <v>0</v>
      </c>
      <c r="AV41" s="23">
        <v>0</v>
      </c>
      <c r="AW41" s="23">
        <v>0</v>
      </c>
      <c r="AX41" s="23">
        <v>0</v>
      </c>
      <c r="AY41" s="23">
        <v>989</v>
      </c>
      <c r="AZ41" s="23">
        <v>399</v>
      </c>
      <c r="BA41" s="23">
        <v>573</v>
      </c>
      <c r="BB41" s="23">
        <v>293</v>
      </c>
      <c r="BC41" s="23">
        <v>91</v>
      </c>
      <c r="BD41" s="23">
        <v>1339</v>
      </c>
      <c r="BE41" s="23">
        <v>249</v>
      </c>
      <c r="BF41" s="23">
        <v>146</v>
      </c>
      <c r="BG41" s="23">
        <v>168</v>
      </c>
      <c r="BH41" s="23">
        <v>309</v>
      </c>
      <c r="BI41" s="23">
        <v>479</v>
      </c>
      <c r="BJ41" s="23">
        <v>1270</v>
      </c>
      <c r="BK41" s="23">
        <v>69</v>
      </c>
      <c r="BL41" s="23">
        <v>64084</v>
      </c>
      <c r="BM41" s="23">
        <v>1013</v>
      </c>
      <c r="BN41" s="23">
        <v>75</v>
      </c>
      <c r="BO41" s="23">
        <v>631</v>
      </c>
      <c r="BP41" s="23">
        <v>934</v>
      </c>
      <c r="BQ41" s="23">
        <v>91</v>
      </c>
      <c r="BR41" s="23">
        <v>121</v>
      </c>
      <c r="BS41" s="23">
        <v>10</v>
      </c>
      <c r="BT41" s="23">
        <v>71</v>
      </c>
      <c r="BU41" s="23">
        <v>18</v>
      </c>
      <c r="BV41" s="23">
        <v>245</v>
      </c>
      <c r="BW41" s="23">
        <v>750</v>
      </c>
      <c r="BX41" s="23">
        <v>335</v>
      </c>
      <c r="BY41" s="23">
        <v>132</v>
      </c>
      <c r="BZ41" s="23">
        <v>526</v>
      </c>
      <c r="CA41" s="23">
        <v>135</v>
      </c>
      <c r="CB41" s="23">
        <v>1</v>
      </c>
      <c r="CC41" s="23">
        <v>76</v>
      </c>
      <c r="CD41" s="23">
        <v>174</v>
      </c>
      <c r="CE41" s="23">
        <v>1205</v>
      </c>
      <c r="CF41" s="23">
        <v>0</v>
      </c>
      <c r="CG41" s="23">
        <v>0</v>
      </c>
      <c r="CH41" s="23">
        <v>0</v>
      </c>
      <c r="CI41" s="23">
        <v>0</v>
      </c>
      <c r="CJ41" s="23">
        <v>0</v>
      </c>
      <c r="CK41" s="23">
        <v>0</v>
      </c>
      <c r="CL41" s="23">
        <v>634</v>
      </c>
      <c r="CM41" s="23">
        <v>0</v>
      </c>
      <c r="CN41" s="23">
        <v>0</v>
      </c>
      <c r="CO41" s="23">
        <v>0</v>
      </c>
      <c r="CP41" s="23">
        <v>0</v>
      </c>
      <c r="CQ41" s="23">
        <v>0</v>
      </c>
      <c r="CR41" s="23">
        <v>0</v>
      </c>
      <c r="CS41" s="23">
        <v>0</v>
      </c>
      <c r="CT41" s="23">
        <v>0</v>
      </c>
      <c r="CU41" s="23">
        <v>0</v>
      </c>
      <c r="CV41" s="23">
        <v>1</v>
      </c>
      <c r="CW41" s="23">
        <v>0</v>
      </c>
      <c r="CX41" s="23">
        <v>0</v>
      </c>
      <c r="CY41" s="23">
        <v>0</v>
      </c>
      <c r="CZ41" s="23">
        <v>0</v>
      </c>
      <c r="DA41" s="23">
        <v>0</v>
      </c>
      <c r="DB41" s="23">
        <v>0</v>
      </c>
      <c r="DC41" s="23">
        <v>0</v>
      </c>
      <c r="DD41" s="23">
        <v>1</v>
      </c>
      <c r="DE41" s="23">
        <v>0</v>
      </c>
      <c r="DF41" s="23">
        <v>0</v>
      </c>
      <c r="DG41" s="23">
        <v>0</v>
      </c>
      <c r="DH41" s="23">
        <v>0</v>
      </c>
      <c r="DI41" s="23">
        <v>0</v>
      </c>
      <c r="DJ41" s="23">
        <v>0</v>
      </c>
      <c r="DK41" s="23">
        <v>0</v>
      </c>
      <c r="DL41" s="23">
        <v>0</v>
      </c>
      <c r="DM41" s="23">
        <v>0</v>
      </c>
      <c r="DN41" s="23">
        <v>12</v>
      </c>
      <c r="DO41" s="23">
        <v>0</v>
      </c>
      <c r="DP41" s="23">
        <v>0</v>
      </c>
      <c r="DQ41" s="23">
        <v>0</v>
      </c>
      <c r="DR41" s="23">
        <v>16</v>
      </c>
      <c r="DS41" s="23">
        <v>0</v>
      </c>
      <c r="DT41" s="23">
        <v>0</v>
      </c>
      <c r="DU41" s="23">
        <v>0</v>
      </c>
      <c r="DV41" s="23">
        <v>0</v>
      </c>
      <c r="DW41" s="23">
        <v>0</v>
      </c>
      <c r="DX41" s="23">
        <v>0</v>
      </c>
      <c r="DY41" s="23">
        <v>0</v>
      </c>
      <c r="DZ41" s="23">
        <v>0</v>
      </c>
      <c r="EA41" s="23">
        <v>0</v>
      </c>
      <c r="EB41" s="23">
        <v>0</v>
      </c>
      <c r="EC41" s="23">
        <v>3</v>
      </c>
      <c r="ED41" s="23">
        <v>0</v>
      </c>
      <c r="EE41" s="23">
        <v>28</v>
      </c>
      <c r="EF41" s="23">
        <v>0</v>
      </c>
      <c r="EG41" s="23">
        <v>0</v>
      </c>
      <c r="EH41" s="23">
        <v>1</v>
      </c>
      <c r="EI41" s="23">
        <v>62</v>
      </c>
      <c r="EJ41" s="23">
        <v>0</v>
      </c>
      <c r="EK41" s="23">
        <v>122</v>
      </c>
      <c r="EL41" s="23">
        <v>0</v>
      </c>
      <c r="EM41" s="23">
        <v>0</v>
      </c>
      <c r="EN41" s="23">
        <v>0</v>
      </c>
      <c r="EO41" s="23">
        <v>433</v>
      </c>
      <c r="EP41" s="23">
        <v>0</v>
      </c>
      <c r="EQ41" s="23">
        <v>0</v>
      </c>
      <c r="ER41" s="23">
        <v>0</v>
      </c>
      <c r="ES41" s="23">
        <v>1</v>
      </c>
      <c r="ET41" s="23">
        <v>0</v>
      </c>
      <c r="EU41" s="23">
        <v>0</v>
      </c>
      <c r="EV41" s="23">
        <v>0</v>
      </c>
      <c r="EW41" s="23">
        <v>0</v>
      </c>
      <c r="EX41" s="23">
        <v>0</v>
      </c>
      <c r="EY41" s="23">
        <v>22</v>
      </c>
      <c r="EZ41" s="23">
        <v>0</v>
      </c>
      <c r="FA41" s="23">
        <v>0</v>
      </c>
      <c r="FB41" s="23">
        <v>0</v>
      </c>
      <c r="FC41" s="23">
        <v>0</v>
      </c>
      <c r="FD41" s="23">
        <v>0</v>
      </c>
      <c r="FE41" s="23">
        <v>0</v>
      </c>
      <c r="FF41" s="23">
        <v>0</v>
      </c>
      <c r="FG41" s="23">
        <v>0</v>
      </c>
      <c r="FH41" s="23">
        <v>0</v>
      </c>
      <c r="FI41" s="23">
        <v>0</v>
      </c>
      <c r="FJ41" s="23">
        <v>0</v>
      </c>
      <c r="FK41" s="23">
        <v>1</v>
      </c>
      <c r="FL41" s="23">
        <v>0</v>
      </c>
      <c r="FM41" s="23">
        <v>0</v>
      </c>
      <c r="FN41" s="23">
        <v>0</v>
      </c>
      <c r="FO41" s="23">
        <v>0</v>
      </c>
      <c r="FP41" s="23">
        <v>0</v>
      </c>
      <c r="FQ41" s="23">
        <v>0</v>
      </c>
      <c r="FR41" s="23">
        <v>0</v>
      </c>
      <c r="FS41" s="23">
        <v>0</v>
      </c>
      <c r="FT41" s="23">
        <v>0</v>
      </c>
      <c r="FU41" s="23">
        <v>0</v>
      </c>
      <c r="FV41" s="23">
        <v>0</v>
      </c>
      <c r="FW41" s="23">
        <v>0</v>
      </c>
      <c r="FX41" s="23">
        <v>0</v>
      </c>
      <c r="FY41" s="23">
        <v>0</v>
      </c>
      <c r="FZ41" s="23">
        <v>0</v>
      </c>
      <c r="GA41" s="23">
        <v>0</v>
      </c>
      <c r="GB41" s="23">
        <v>3</v>
      </c>
      <c r="GC41" s="23">
        <v>0</v>
      </c>
      <c r="GD41" s="23">
        <v>0</v>
      </c>
      <c r="GE41" s="23">
        <v>0</v>
      </c>
      <c r="GF41" s="23">
        <v>0</v>
      </c>
      <c r="GG41" s="23">
        <v>2</v>
      </c>
      <c r="GH41" s="23">
        <v>0</v>
      </c>
      <c r="GI41" s="23">
        <v>0</v>
      </c>
      <c r="GJ41" s="23">
        <v>0</v>
      </c>
      <c r="GK41" s="23">
        <v>0</v>
      </c>
      <c r="GL41" s="23">
        <v>0</v>
      </c>
      <c r="GM41" s="23">
        <v>0</v>
      </c>
      <c r="GN41" s="23">
        <v>0</v>
      </c>
      <c r="GO41" s="23">
        <v>0</v>
      </c>
      <c r="GP41" s="23">
        <v>85</v>
      </c>
      <c r="GQ41" s="23">
        <v>0</v>
      </c>
      <c r="GR41" s="23">
        <v>0</v>
      </c>
      <c r="GS41" s="23">
        <v>0</v>
      </c>
      <c r="GT41" s="23">
        <v>0</v>
      </c>
      <c r="GU41" s="23">
        <v>2</v>
      </c>
      <c r="GV41" s="23">
        <v>1</v>
      </c>
      <c r="GW41" s="23">
        <v>0</v>
      </c>
      <c r="GX41" s="23">
        <v>0</v>
      </c>
      <c r="GY41" s="23">
        <v>1</v>
      </c>
      <c r="GZ41" s="23">
        <v>0</v>
      </c>
      <c r="HA41" s="23">
        <v>26</v>
      </c>
      <c r="HB41" s="23">
        <v>0</v>
      </c>
      <c r="HC41" s="23">
        <v>35</v>
      </c>
      <c r="HD41" s="23">
        <v>0</v>
      </c>
      <c r="HE41" s="23">
        <v>0</v>
      </c>
      <c r="HF41" s="23">
        <v>0</v>
      </c>
      <c r="HG41" s="23">
        <v>0</v>
      </c>
      <c r="HH41" s="23">
        <v>0</v>
      </c>
      <c r="HI41" s="23">
        <v>0</v>
      </c>
      <c r="HJ41" s="23">
        <v>13</v>
      </c>
      <c r="HK41" s="23">
        <v>0</v>
      </c>
      <c r="HL41" s="23">
        <v>0</v>
      </c>
      <c r="HM41" s="23">
        <v>0</v>
      </c>
      <c r="HN41" s="23">
        <v>0</v>
      </c>
      <c r="HO41" s="23">
        <v>0</v>
      </c>
      <c r="HP41" s="23">
        <v>0</v>
      </c>
      <c r="HQ41" s="23">
        <v>9</v>
      </c>
      <c r="HR41" s="23">
        <v>0</v>
      </c>
      <c r="HS41" s="23">
        <v>15</v>
      </c>
      <c r="HT41" s="23">
        <v>0</v>
      </c>
      <c r="HU41" s="23">
        <v>0</v>
      </c>
      <c r="HV41" s="23">
        <v>16</v>
      </c>
      <c r="HW41" s="23">
        <v>0</v>
      </c>
      <c r="HX41" s="23">
        <v>0</v>
      </c>
      <c r="HY41" s="23">
        <v>0</v>
      </c>
      <c r="HZ41" s="23">
        <v>0</v>
      </c>
      <c r="IA41" s="23">
        <v>0</v>
      </c>
      <c r="IB41" s="23">
        <v>0</v>
      </c>
      <c r="IC41" s="23">
        <v>0</v>
      </c>
      <c r="ID41" s="23">
        <v>0</v>
      </c>
      <c r="IE41" s="23">
        <v>0</v>
      </c>
      <c r="IF41" s="23">
        <v>0</v>
      </c>
      <c r="IG41" s="23">
        <v>0</v>
      </c>
      <c r="IH41" s="23">
        <v>0</v>
      </c>
      <c r="II41" s="23">
        <v>0</v>
      </c>
      <c r="IJ41" s="23">
        <v>0</v>
      </c>
      <c r="IK41" s="23">
        <v>0</v>
      </c>
      <c r="IL41" s="23">
        <v>0</v>
      </c>
      <c r="IM41" s="23">
        <v>0</v>
      </c>
      <c r="IN41" s="23">
        <v>0</v>
      </c>
      <c r="IO41" s="23">
        <v>0</v>
      </c>
      <c r="IP41" s="23">
        <v>0</v>
      </c>
      <c r="IQ41" s="23">
        <v>0</v>
      </c>
      <c r="IR41" s="23">
        <v>0</v>
      </c>
      <c r="IS41" s="23">
        <v>0</v>
      </c>
      <c r="IT41" s="23">
        <v>0</v>
      </c>
      <c r="IU41" s="23">
        <v>0</v>
      </c>
      <c r="IV41" s="23">
        <v>0</v>
      </c>
      <c r="IW41" s="23">
        <v>0</v>
      </c>
      <c r="IX41" s="23">
        <v>0</v>
      </c>
      <c r="IY41" s="23">
        <v>0</v>
      </c>
      <c r="IZ41" s="23">
        <v>0</v>
      </c>
      <c r="JA41" s="23">
        <v>0</v>
      </c>
      <c r="JB41" s="23">
        <v>0</v>
      </c>
      <c r="JC41" s="23">
        <v>0</v>
      </c>
      <c r="JD41" s="23">
        <v>0</v>
      </c>
      <c r="JE41" s="23">
        <v>0</v>
      </c>
      <c r="JF41" s="23">
        <v>0</v>
      </c>
      <c r="JG41" s="23">
        <v>0</v>
      </c>
      <c r="JH41" s="23">
        <v>0</v>
      </c>
      <c r="JI41" s="23">
        <v>0</v>
      </c>
      <c r="JJ41" s="23">
        <v>0</v>
      </c>
      <c r="JK41" s="23">
        <v>0</v>
      </c>
      <c r="JL41" s="23">
        <v>0</v>
      </c>
      <c r="JM41" s="23">
        <v>0</v>
      </c>
      <c r="JN41" s="23">
        <v>0</v>
      </c>
      <c r="JO41" s="23">
        <v>1</v>
      </c>
      <c r="JP41" s="23">
        <v>0</v>
      </c>
      <c r="JQ41" s="23">
        <v>10</v>
      </c>
      <c r="JR41" s="23">
        <v>0</v>
      </c>
      <c r="JS41" s="23">
        <v>0</v>
      </c>
      <c r="JT41" s="23">
        <v>0</v>
      </c>
      <c r="JU41" s="23">
        <v>0</v>
      </c>
      <c r="JV41" s="23">
        <v>0</v>
      </c>
      <c r="JW41" s="23">
        <v>0</v>
      </c>
      <c r="JX41" s="23">
        <v>0</v>
      </c>
      <c r="JY41" s="23">
        <v>0</v>
      </c>
      <c r="JZ41" s="23">
        <v>2</v>
      </c>
      <c r="KA41" s="23">
        <v>0</v>
      </c>
      <c r="KB41" s="23">
        <v>0</v>
      </c>
      <c r="KC41" s="23">
        <v>0</v>
      </c>
      <c r="KD41" s="23">
        <v>0</v>
      </c>
      <c r="KE41" s="23">
        <v>0</v>
      </c>
      <c r="KF41" s="23">
        <v>0</v>
      </c>
      <c r="KG41" s="23">
        <v>0</v>
      </c>
      <c r="KH41" s="23">
        <v>1</v>
      </c>
      <c r="KI41" s="23">
        <v>0</v>
      </c>
      <c r="KJ41" s="23">
        <v>0</v>
      </c>
      <c r="KK41" s="23">
        <v>0</v>
      </c>
      <c r="KL41" s="23">
        <v>0</v>
      </c>
      <c r="KM41" s="23">
        <v>0</v>
      </c>
      <c r="KN41" s="23">
        <v>0</v>
      </c>
      <c r="KO41" s="23">
        <v>0</v>
      </c>
      <c r="KP41" s="23">
        <v>0</v>
      </c>
      <c r="KQ41" s="23">
        <v>0</v>
      </c>
      <c r="KR41" s="23">
        <v>0</v>
      </c>
      <c r="KS41" s="23">
        <v>0</v>
      </c>
      <c r="KT41" s="23">
        <v>0</v>
      </c>
      <c r="KU41" s="23">
        <v>0</v>
      </c>
      <c r="KV41" s="23">
        <v>0</v>
      </c>
      <c r="KW41" s="23">
        <v>0</v>
      </c>
      <c r="KX41" s="23">
        <v>0</v>
      </c>
      <c r="KY41" s="23">
        <v>0</v>
      </c>
      <c r="KZ41" s="23">
        <v>0</v>
      </c>
      <c r="LA41" s="23">
        <v>0</v>
      </c>
      <c r="LB41" s="23">
        <v>0</v>
      </c>
      <c r="LC41" s="23">
        <v>0</v>
      </c>
      <c r="LD41" s="23">
        <v>0</v>
      </c>
      <c r="LE41" s="23">
        <v>0</v>
      </c>
      <c r="LF41" s="23">
        <v>0</v>
      </c>
      <c r="LG41" s="23">
        <v>0</v>
      </c>
      <c r="LH41" s="23">
        <v>1</v>
      </c>
      <c r="LI41" s="23">
        <v>0</v>
      </c>
      <c r="LJ41" s="23">
        <v>0</v>
      </c>
      <c r="LK41" s="23">
        <v>0</v>
      </c>
      <c r="LL41" s="23">
        <v>0</v>
      </c>
      <c r="LM41" s="23">
        <v>0</v>
      </c>
      <c r="LN41" s="278">
        <f ca="1">$A41 - TST!Sweden100dt + 1</f>
        <v>-13</v>
      </c>
      <c r="LO41" s="20">
        <f ca="1">INDEX(OFFSET(TST!HeadRow,ROW()-ROW(TST!HeadRow),0,1,COLUMNS(TST!HeadRow)),1,MATCH(LO$5,TST!HeadRow,0))/LO$8</f>
        <v>0.97751710654936474</v>
      </c>
      <c r="LP41" s="278">
        <f ca="1">$A41 - TST!Spain100dt + 1</f>
        <v>-13</v>
      </c>
      <c r="LQ41" s="20">
        <f ca="1">INDEX(OFFSET(TST!HeadRow,ROW()-ROW(TST!HeadRow),0,1,COLUMNS(TST!HeadRow)),1,MATCH(LQ$5,TST!HeadRow,0))/LQ$8</f>
        <v>0.42607584149978694</v>
      </c>
      <c r="LR41" s="285">
        <f ca="1">$A41 - TST!Victoria100dt + 1</f>
        <v>-22</v>
      </c>
      <c r="LS41" s="20">
        <f ca="1">INDEX(OFFSET(TST!HeadRow,ROW()-ROW(TST!HeadRow),0,1,COLUMNS(TST!HeadRow)),1,MATCH(LS$5,TST!HeadRow,0))/LS$8</f>
        <v>6.0340926233217678</v>
      </c>
      <c r="LT41" s="278">
        <f ca="1">$A41 - TST!Iran100dt + 1</f>
        <v>-7</v>
      </c>
      <c r="LU41" s="20">
        <f ca="1">INDEX(OFFSET(TST!HeadRow,ROW()-ROW(TST!HeadRow),0,1,COLUMNS(TST!HeadRow)),1,MATCH(LU$5,TST!HeadRow,0))/LU$8</f>
        <v>3.3423656786792879</v>
      </c>
      <c r="LV41" s="278">
        <f ca="1">$A41 - TST!Japan100dt + 1</f>
        <v>-31</v>
      </c>
      <c r="LW41" s="20">
        <f ca="1">INDEX(OFFSET(TST!HeadRow,ROW()-ROW(TST!HeadRow),0,1,COLUMNS(TST!HeadRow)),1,MATCH(LW$5,TST!HeadRow,0))/LW$8</f>
        <v>9.6401381469724878</v>
      </c>
      <c r="LX41" s="278">
        <f ca="1">$A41 - TST!Queensland100dt + 1</f>
        <v>-21</v>
      </c>
      <c r="LY41" s="20">
        <f ca="1">INDEX(OFFSET(TST!HeadRow,ROW()-ROW(TST!HeadRow),0,1,COLUMNS(TST!HeadRow)),1,MATCH(LY$5,TST!HeadRow,0))/LY$8</f>
        <v>9.7743092446785251</v>
      </c>
      <c r="LZ41" s="278">
        <f ca="1">$A41 - TST!Tasmania100dt + 1</f>
        <v>-21</v>
      </c>
      <c r="MA41" s="20">
        <f ca="1">INDEX(OFFSET(TST!HeadRow,ROW()-ROW(TST!HeadRow),0,1,COLUMNS(TST!HeadRow)),1,MATCH(MA$5,TST!HeadRow,0))/MA$8</f>
        <v>0</v>
      </c>
      <c r="MB41" s="278">
        <f ca="1">$A41 - TST!SouthAustralia100dt + 1</f>
        <v>-20</v>
      </c>
      <c r="MC41" s="20">
        <f ca="1">INDEX(OFFSET(TST!HeadRow,ROW()-ROW(TST!HeadRow),0,1,COLUMNS(TST!HeadRow)),1,MATCH(MC$5,TST!HeadRow,0))/MC$8</f>
        <v>11.976047904191615</v>
      </c>
      <c r="MD41" s="278">
        <f ca="1">$A41 - TST!AustralianCapitalTerritory100dt + 1</f>
        <v>-26</v>
      </c>
      <c r="ME41" s="20">
        <f ca="1">INDEX(OFFSET(TST!HeadRow,ROW()-ROW(TST!HeadRow),0,1,COLUMNS(TST!HeadRow)),1,MATCH(ME$5,TST!HeadRow,0))/ME$8</f>
        <v>0</v>
      </c>
      <c r="MF41" s="278">
        <f ca="1">$A41 - TST!NorthernTerritory100dt + 1</f>
        <v>-26</v>
      </c>
      <c r="MG41" s="20">
        <f ca="1">INDEX(OFFSET(TST!HeadRow,ROW()-ROW(TST!HeadRow),0,1,COLUMNS(TST!HeadRow)),1,MATCH(MG$5,TST!HeadRow,0))/MG$8</f>
        <v>0</v>
      </c>
      <c r="MH41" s="278">
        <f ca="1">$A41 - TST!WesternAustralia100dt + 1</f>
        <v>-22</v>
      </c>
      <c r="MI41" s="20">
        <f ca="1">INDEX(OFFSET(TST!HeadRow,ROW()-ROW(TST!HeadRow),0,1,COLUMNS(TST!HeadRow)),1,MATCH(MI$5,TST!HeadRow,0))/MI$8</f>
        <v>0</v>
      </c>
      <c r="MJ41" s="278">
        <f ca="1">$A41 - TST!Germany100dt + 1</f>
        <v>-14</v>
      </c>
      <c r="MK41" s="20">
        <f ca="1">INDEX(OFFSET(TST!HeadRow,ROW()-ROW(TST!HeadRow),0,1,COLUMNS(TST!HeadRow)),1,MATCH(MK$5,TST!HeadRow,0))/MK$8</f>
        <v>1.9272464466393642</v>
      </c>
      <c r="ML41" s="278">
        <f ca="1">$A41 - TST!Denmark100dt + 1</f>
        <v>-15</v>
      </c>
      <c r="MM41" s="20">
        <f ca="1">INDEX(OFFSET(TST!HeadRow,ROW()-ROW(TST!HeadRow),0,1,COLUMNS(TST!HeadRow)),1,MATCH(MM$5,TST!HeadRow,0))/MM$8</f>
        <v>0</v>
      </c>
      <c r="MN41" s="278">
        <f ca="1">$A41 - TST!SouthAfrica100dt + 1</f>
        <v>-31</v>
      </c>
      <c r="MO41" s="20">
        <f ca="1">INDEX(OFFSET(TST!HeadRow,ROW()-ROW(TST!HeadRow),0,1,COLUMNS(TST!HeadRow)),1,MATCH(MO$5,TST!HeadRow,0))/MO$8</f>
        <v>0</v>
      </c>
      <c r="MP41" s="278">
        <f ca="1">$A41 - TST!UnitedKingdom100dt + 1</f>
        <v>-19</v>
      </c>
      <c r="MQ41" s="20">
        <f ca="1">INDEX(OFFSET(TST!HeadRow,ROW()-ROW(TST!HeadRow),0,1,COLUMNS(TST!HeadRow)),1,MATCH(MQ$5,TST!HeadRow,0))/MQ$8</f>
        <v>1.3546056592414208</v>
      </c>
      <c r="MR41" s="278">
        <f ca="1">$A41 - TST!Ireland100dt + 1</f>
        <v>-19</v>
      </c>
      <c r="MS41" s="20">
        <f ca="1">INDEX(OFFSET(TST!HeadRow,ROW()-ROW(TST!HeadRow),0,1,COLUMNS(TST!HeadRow)),1,MATCH(MS$5,TST!HeadRow,0))/MS$8</f>
        <v>0</v>
      </c>
      <c r="MT41" s="278">
        <f ca="1">$A41 - TST!Italy100dt + 1</f>
        <v>-4</v>
      </c>
      <c r="MU41" s="20">
        <f ca="1">INDEX(OFFSET(TST!HeadRow,ROW()-ROW(TST!HeadRow),0,1,COLUMNS(TST!HeadRow)),1,MATCH(MU$5,TST!HeadRow,0))/MU$8</f>
        <v>10.250475324460611</v>
      </c>
      <c r="MV41" s="278">
        <f ca="1">$A41 - TST!US100dt + 1</f>
        <v>-21</v>
      </c>
      <c r="MW41" s="20">
        <f ca="1">INDEX(OFFSET(TST!HeadRow,ROW()-ROW(TST!HeadRow),0,1,COLUMNS(TST!HeadRow)),1,MATCH(MW$5,TST!HeadRow,0))/MW$8</f>
        <v>0.45561166038539175</v>
      </c>
      <c r="MX41" s="278">
        <f ca="1">$A41 - TST!AustraliaSum100dt + 1</f>
        <v>-21</v>
      </c>
      <c r="MY41" s="366">
        <f t="shared" si="7"/>
        <v>5.9138937076170954</v>
      </c>
      <c r="MZ41" s="278">
        <f ca="1">$A41 - TST!NewSouthWales100dt + 1</f>
        <v>-19</v>
      </c>
      <c r="NA41" s="366">
        <f ca="1">INDEX(OFFSET(TST!HeadRow,ROW()-ROW(TST!HeadRow),0,1,COLUMNS(TST!HeadRow)),1,MATCH(NA$5,TST!HeadRow,0))/NA$8</f>
        <v>4.9504950495049505</v>
      </c>
      <c r="NB41" s="278">
        <f ca="1">$A41 - TST!Taiwan100dt + 1</f>
        <v>-32</v>
      </c>
      <c r="NC41" s="366">
        <f ca="1">INDEX(OFFSET(TST!HeadRow,ROW()-ROW(TST!HeadRow),0,1,COLUMNS(TST!HeadRow)),1,MATCH(NC$5,TST!HeadRow,0))/NC$8</f>
        <v>10.921028280338763</v>
      </c>
      <c r="ND41" s="20">
        <f ca="1">$A41 - TST!Hubei100dt + 1</f>
        <v>29</v>
      </c>
      <c r="NE41" s="20">
        <f ca="1">INDEX(OFFSET(TST!HeadRow,ROW()-ROW(TST!HeadRow),0,1,COLUMNS(TST!HeadRow)),1,MATCH(NE$5,TST!HeadRow,0))/NE$8</f>
        <v>10954.529914529916</v>
      </c>
      <c r="NF41" s="20">
        <f ca="1">$A41 - TST!HongKong100dt + 1</f>
        <v>-1</v>
      </c>
      <c r="NG41" s="20">
        <f ca="1">INDEX(OFFSET(TST!HeadRow,ROW()-ROW(TST!HeadRow),0,1,COLUMNS(TST!HeadRow)),1,MATCH(NG$5,TST!HeadRow,0))/NG$8</f>
        <v>92.605019460475106</v>
      </c>
    </row>
    <row r="42" spans="1:371" x14ac:dyDescent="0.25">
      <c r="A42" s="243">
        <v>43884</v>
      </c>
      <c r="B42" s="23">
        <v>0</v>
      </c>
      <c r="C42" s="23">
        <v>0</v>
      </c>
      <c r="D42" s="23">
        <v>0</v>
      </c>
      <c r="E42" s="23">
        <v>0</v>
      </c>
      <c r="F42" s="23">
        <v>0</v>
      </c>
      <c r="G42" s="23">
        <v>0</v>
      </c>
      <c r="H42" s="23">
        <v>0</v>
      </c>
      <c r="I42" s="23">
        <v>0</v>
      </c>
      <c r="J42" s="23">
        <v>0</v>
      </c>
      <c r="K42" s="293">
        <v>4</v>
      </c>
      <c r="L42" s="23">
        <v>0</v>
      </c>
      <c r="M42" s="290">
        <v>5</v>
      </c>
      <c r="N42" s="23">
        <v>2</v>
      </c>
      <c r="O42" s="384">
        <v>0</v>
      </c>
      <c r="P42" s="287">
        <v>4</v>
      </c>
      <c r="Q42" s="23">
        <v>0</v>
      </c>
      <c r="R42" s="23">
        <v>0</v>
      </c>
      <c r="S42" s="23">
        <v>0</v>
      </c>
      <c r="T42" s="23">
        <v>0</v>
      </c>
      <c r="U42" s="23">
        <v>0</v>
      </c>
      <c r="V42" s="23">
        <v>0</v>
      </c>
      <c r="W42" s="23">
        <v>0</v>
      </c>
      <c r="X42" s="23">
        <v>0</v>
      </c>
      <c r="Y42" s="23">
        <v>1</v>
      </c>
      <c r="Z42" s="23">
        <v>0</v>
      </c>
      <c r="AA42" s="23">
        <v>0</v>
      </c>
      <c r="AB42" s="23">
        <v>0</v>
      </c>
      <c r="AC42" s="23">
        <v>0</v>
      </c>
      <c r="AD42" s="23">
        <v>0</v>
      </c>
      <c r="AE42" s="23">
        <v>0</v>
      </c>
      <c r="AF42" s="23">
        <v>0</v>
      </c>
      <c r="AG42" s="23">
        <v>0</v>
      </c>
      <c r="AH42" s="23">
        <v>0</v>
      </c>
      <c r="AI42" s="23">
        <v>1</v>
      </c>
      <c r="AJ42" s="23">
        <v>0</v>
      </c>
      <c r="AK42" s="23">
        <v>0</v>
      </c>
      <c r="AL42" s="23">
        <v>6</v>
      </c>
      <c r="AM42" s="23">
        <v>0</v>
      </c>
      <c r="AN42" s="23">
        <v>0</v>
      </c>
      <c r="AO42" s="23">
        <v>0</v>
      </c>
      <c r="AP42" s="23">
        <v>0</v>
      </c>
      <c r="AQ42" s="23">
        <v>0</v>
      </c>
      <c r="AR42" s="23">
        <v>3</v>
      </c>
      <c r="AS42" s="23">
        <v>0</v>
      </c>
      <c r="AT42" s="23">
        <v>0</v>
      </c>
      <c r="AU42" s="23">
        <v>0</v>
      </c>
      <c r="AV42" s="23">
        <v>0</v>
      </c>
      <c r="AW42" s="23">
        <v>0</v>
      </c>
      <c r="AX42" s="23">
        <v>0</v>
      </c>
      <c r="AY42" s="23">
        <v>989</v>
      </c>
      <c r="AZ42" s="23">
        <v>399</v>
      </c>
      <c r="BA42" s="23">
        <v>575</v>
      </c>
      <c r="BB42" s="23">
        <v>293</v>
      </c>
      <c r="BC42" s="23">
        <v>91</v>
      </c>
      <c r="BD42" s="23">
        <v>1342</v>
      </c>
      <c r="BE42" s="23">
        <v>249</v>
      </c>
      <c r="BF42" s="23">
        <v>146</v>
      </c>
      <c r="BG42" s="23">
        <v>168</v>
      </c>
      <c r="BH42" s="23">
        <v>311</v>
      </c>
      <c r="BI42" s="23">
        <v>480</v>
      </c>
      <c r="BJ42" s="23">
        <v>1271</v>
      </c>
      <c r="BK42" s="23">
        <v>74</v>
      </c>
      <c r="BL42" s="23">
        <v>64084</v>
      </c>
      <c r="BM42" s="23">
        <v>1016</v>
      </c>
      <c r="BN42" s="23">
        <v>75</v>
      </c>
      <c r="BO42" s="23">
        <v>631</v>
      </c>
      <c r="BP42" s="23">
        <v>934</v>
      </c>
      <c r="BQ42" s="23">
        <v>91</v>
      </c>
      <c r="BR42" s="23">
        <v>121</v>
      </c>
      <c r="BS42" s="23">
        <v>10</v>
      </c>
      <c r="BT42" s="23">
        <v>71</v>
      </c>
      <c r="BU42" s="23">
        <v>18</v>
      </c>
      <c r="BV42" s="23">
        <v>245</v>
      </c>
      <c r="BW42" s="23">
        <v>754</v>
      </c>
      <c r="BX42" s="23">
        <v>335</v>
      </c>
      <c r="BY42" s="23">
        <v>132</v>
      </c>
      <c r="BZ42" s="23">
        <v>526</v>
      </c>
      <c r="CA42" s="23">
        <v>135</v>
      </c>
      <c r="CB42" s="23">
        <v>1</v>
      </c>
      <c r="CC42" s="23">
        <v>76</v>
      </c>
      <c r="CD42" s="23">
        <v>174</v>
      </c>
      <c r="CE42" s="23">
        <v>1205</v>
      </c>
      <c r="CF42" s="23">
        <v>0</v>
      </c>
      <c r="CG42" s="23">
        <v>0</v>
      </c>
      <c r="CH42" s="23">
        <v>0</v>
      </c>
      <c r="CI42" s="23">
        <v>0</v>
      </c>
      <c r="CJ42" s="23">
        <v>0</v>
      </c>
      <c r="CK42" s="23">
        <v>0</v>
      </c>
      <c r="CL42" s="23">
        <v>691</v>
      </c>
      <c r="CM42" s="23">
        <v>0</v>
      </c>
      <c r="CN42" s="23">
        <v>0</v>
      </c>
      <c r="CO42" s="23">
        <v>0</v>
      </c>
      <c r="CP42" s="23">
        <v>0</v>
      </c>
      <c r="CQ42" s="23">
        <v>0</v>
      </c>
      <c r="CR42" s="23">
        <v>0</v>
      </c>
      <c r="CS42" s="23">
        <v>0</v>
      </c>
      <c r="CT42" s="23">
        <v>0</v>
      </c>
      <c r="CU42" s="23">
        <v>0</v>
      </c>
      <c r="CV42" s="23">
        <v>1</v>
      </c>
      <c r="CW42" s="23">
        <v>0</v>
      </c>
      <c r="CX42" s="23">
        <v>0</v>
      </c>
      <c r="CY42" s="23">
        <v>0</v>
      </c>
      <c r="CZ42" s="23">
        <v>0</v>
      </c>
      <c r="DA42" s="23">
        <v>0</v>
      </c>
      <c r="DB42" s="23">
        <v>0</v>
      </c>
      <c r="DC42" s="23">
        <v>0</v>
      </c>
      <c r="DD42" s="23">
        <v>1</v>
      </c>
      <c r="DE42" s="23">
        <v>0</v>
      </c>
      <c r="DF42" s="23">
        <v>0</v>
      </c>
      <c r="DG42" s="23">
        <v>0</v>
      </c>
      <c r="DH42" s="23">
        <v>0</v>
      </c>
      <c r="DI42" s="23">
        <v>0</v>
      </c>
      <c r="DJ42" s="23">
        <v>0</v>
      </c>
      <c r="DK42" s="23">
        <v>0</v>
      </c>
      <c r="DL42" s="23">
        <v>0</v>
      </c>
      <c r="DM42" s="23">
        <v>0</v>
      </c>
      <c r="DN42" s="23">
        <v>12</v>
      </c>
      <c r="DO42" s="23">
        <v>0</v>
      </c>
      <c r="DP42" s="23">
        <v>0</v>
      </c>
      <c r="DQ42" s="23">
        <v>0</v>
      </c>
      <c r="DR42" s="23">
        <v>16</v>
      </c>
      <c r="DS42" s="23">
        <v>0</v>
      </c>
      <c r="DT42" s="23">
        <v>0</v>
      </c>
      <c r="DU42" s="23">
        <v>0</v>
      </c>
      <c r="DV42" s="23">
        <v>0</v>
      </c>
      <c r="DW42" s="23">
        <v>0</v>
      </c>
      <c r="DX42" s="23">
        <v>0</v>
      </c>
      <c r="DY42" s="23">
        <v>0</v>
      </c>
      <c r="DZ42" s="23">
        <v>0</v>
      </c>
      <c r="EA42" s="23">
        <v>0</v>
      </c>
      <c r="EB42" s="23">
        <v>0</v>
      </c>
      <c r="EC42" s="23">
        <v>3</v>
      </c>
      <c r="ED42" s="23">
        <v>0</v>
      </c>
      <c r="EE42" s="23">
        <v>43</v>
      </c>
      <c r="EF42" s="23">
        <v>0</v>
      </c>
      <c r="EG42" s="23">
        <v>0</v>
      </c>
      <c r="EH42" s="23">
        <v>1</v>
      </c>
      <c r="EI42" s="23">
        <v>155</v>
      </c>
      <c r="EJ42" s="23">
        <v>0</v>
      </c>
      <c r="EK42" s="23">
        <v>147</v>
      </c>
      <c r="EL42" s="23">
        <v>0</v>
      </c>
      <c r="EM42" s="23">
        <v>0</v>
      </c>
      <c r="EN42" s="23">
        <v>0</v>
      </c>
      <c r="EO42" s="23">
        <v>602</v>
      </c>
      <c r="EP42" s="23">
        <v>0</v>
      </c>
      <c r="EQ42" s="23">
        <v>0</v>
      </c>
      <c r="ER42" s="23">
        <v>0</v>
      </c>
      <c r="ES42" s="23">
        <v>1</v>
      </c>
      <c r="ET42" s="23">
        <v>0</v>
      </c>
      <c r="EU42" s="23">
        <v>0</v>
      </c>
      <c r="EV42" s="23">
        <v>0</v>
      </c>
      <c r="EW42" s="23">
        <v>0</v>
      </c>
      <c r="EX42" s="23">
        <v>0</v>
      </c>
      <c r="EY42" s="23">
        <v>22</v>
      </c>
      <c r="EZ42" s="23">
        <v>0</v>
      </c>
      <c r="FA42" s="23">
        <v>0</v>
      </c>
      <c r="FB42" s="23">
        <v>0</v>
      </c>
      <c r="FC42" s="23">
        <v>0</v>
      </c>
      <c r="FD42" s="23">
        <v>0</v>
      </c>
      <c r="FE42" s="23">
        <v>0</v>
      </c>
      <c r="FF42" s="23">
        <v>0</v>
      </c>
      <c r="FG42" s="23">
        <v>0</v>
      </c>
      <c r="FH42" s="23">
        <v>0</v>
      </c>
      <c r="FI42" s="23">
        <v>0</v>
      </c>
      <c r="FJ42" s="23">
        <v>0</v>
      </c>
      <c r="FK42" s="23">
        <v>1</v>
      </c>
      <c r="FL42" s="23">
        <v>0</v>
      </c>
      <c r="FM42" s="23">
        <v>0</v>
      </c>
      <c r="FN42" s="23">
        <v>0</v>
      </c>
      <c r="FO42" s="23">
        <v>0</v>
      </c>
      <c r="FP42" s="23">
        <v>0</v>
      </c>
      <c r="FQ42" s="23">
        <v>0</v>
      </c>
      <c r="FR42" s="23">
        <v>0</v>
      </c>
      <c r="FS42" s="23">
        <v>0</v>
      </c>
      <c r="FT42" s="23">
        <v>0</v>
      </c>
      <c r="FU42" s="23">
        <v>0</v>
      </c>
      <c r="FV42" s="23">
        <v>0</v>
      </c>
      <c r="FW42" s="23">
        <v>0</v>
      </c>
      <c r="FX42" s="23">
        <v>0</v>
      </c>
      <c r="FY42" s="23">
        <v>0</v>
      </c>
      <c r="FZ42" s="23">
        <v>0</v>
      </c>
      <c r="GA42" s="23">
        <v>0</v>
      </c>
      <c r="GB42" s="23">
        <v>3</v>
      </c>
      <c r="GC42" s="23">
        <v>0</v>
      </c>
      <c r="GD42" s="23">
        <v>0</v>
      </c>
      <c r="GE42" s="23">
        <v>0</v>
      </c>
      <c r="GF42" s="23">
        <v>0</v>
      </c>
      <c r="GG42" s="23">
        <v>2</v>
      </c>
      <c r="GH42" s="23">
        <v>0</v>
      </c>
      <c r="GI42" s="23">
        <v>0</v>
      </c>
      <c r="GJ42" s="23">
        <v>0</v>
      </c>
      <c r="GK42" s="23">
        <v>0</v>
      </c>
      <c r="GL42" s="23">
        <v>0</v>
      </c>
      <c r="GM42" s="23">
        <v>0</v>
      </c>
      <c r="GN42" s="23">
        <v>0</v>
      </c>
      <c r="GO42" s="23">
        <v>0</v>
      </c>
      <c r="GP42" s="23">
        <v>89</v>
      </c>
      <c r="GQ42" s="23">
        <v>0</v>
      </c>
      <c r="GR42" s="23">
        <v>0</v>
      </c>
      <c r="GS42" s="23">
        <v>0</v>
      </c>
      <c r="GT42" s="23">
        <v>0</v>
      </c>
      <c r="GU42" s="23">
        <v>2</v>
      </c>
      <c r="GV42" s="23">
        <v>1</v>
      </c>
      <c r="GW42" s="23">
        <v>0</v>
      </c>
      <c r="GX42" s="23">
        <v>0</v>
      </c>
      <c r="GY42" s="23">
        <v>1</v>
      </c>
      <c r="GZ42" s="23">
        <v>0</v>
      </c>
      <c r="HA42" s="23">
        <v>28</v>
      </c>
      <c r="HB42" s="23">
        <v>0</v>
      </c>
      <c r="HC42" s="23">
        <v>35</v>
      </c>
      <c r="HD42" s="23">
        <v>0</v>
      </c>
      <c r="HE42" s="23">
        <v>0</v>
      </c>
      <c r="HF42" s="23">
        <v>0</v>
      </c>
      <c r="HG42" s="23">
        <v>0</v>
      </c>
      <c r="HH42" s="23">
        <v>0</v>
      </c>
      <c r="HI42" s="23">
        <v>0</v>
      </c>
      <c r="HJ42" s="23">
        <v>13</v>
      </c>
      <c r="HK42" s="23">
        <v>0</v>
      </c>
      <c r="HL42" s="23">
        <v>0</v>
      </c>
      <c r="HM42" s="23">
        <v>0</v>
      </c>
      <c r="HN42" s="23">
        <v>0</v>
      </c>
      <c r="HO42" s="23">
        <v>0</v>
      </c>
      <c r="HP42" s="23">
        <v>0</v>
      </c>
      <c r="HQ42" s="23">
        <v>9</v>
      </c>
      <c r="HR42" s="23">
        <v>0</v>
      </c>
      <c r="HS42" s="23">
        <v>15</v>
      </c>
      <c r="HT42" s="23">
        <v>0</v>
      </c>
      <c r="HU42" s="23">
        <v>0</v>
      </c>
      <c r="HV42" s="23">
        <v>16</v>
      </c>
      <c r="HW42" s="23">
        <v>0</v>
      </c>
      <c r="HX42" s="23">
        <v>0</v>
      </c>
      <c r="HY42" s="23">
        <v>0</v>
      </c>
      <c r="HZ42" s="23">
        <v>0</v>
      </c>
      <c r="IA42" s="23">
        <v>0</v>
      </c>
      <c r="IB42" s="23">
        <v>0</v>
      </c>
      <c r="IC42" s="23">
        <v>0</v>
      </c>
      <c r="ID42" s="23">
        <v>0</v>
      </c>
      <c r="IE42" s="23">
        <v>0</v>
      </c>
      <c r="IF42" s="23">
        <v>0</v>
      </c>
      <c r="IG42" s="23">
        <v>0</v>
      </c>
      <c r="IH42" s="23">
        <v>0</v>
      </c>
      <c r="II42" s="23">
        <v>0</v>
      </c>
      <c r="IJ42" s="23">
        <v>0</v>
      </c>
      <c r="IK42" s="23">
        <v>0</v>
      </c>
      <c r="IL42" s="23">
        <v>0</v>
      </c>
      <c r="IM42" s="23">
        <v>0</v>
      </c>
      <c r="IN42" s="23">
        <v>0</v>
      </c>
      <c r="IO42" s="23">
        <v>0</v>
      </c>
      <c r="IP42" s="23">
        <v>0</v>
      </c>
      <c r="IQ42" s="23">
        <v>0</v>
      </c>
      <c r="IR42" s="23">
        <v>0</v>
      </c>
      <c r="IS42" s="23">
        <v>0</v>
      </c>
      <c r="IT42" s="23">
        <v>0</v>
      </c>
      <c r="IU42" s="23">
        <v>0</v>
      </c>
      <c r="IV42" s="23">
        <v>0</v>
      </c>
      <c r="IW42" s="23">
        <v>0</v>
      </c>
      <c r="IX42" s="23">
        <v>0</v>
      </c>
      <c r="IY42" s="23">
        <v>0</v>
      </c>
      <c r="IZ42" s="23">
        <v>0</v>
      </c>
      <c r="JA42" s="23">
        <v>0</v>
      </c>
      <c r="JB42" s="23">
        <v>0</v>
      </c>
      <c r="JC42" s="23">
        <v>0</v>
      </c>
      <c r="JD42" s="23">
        <v>0</v>
      </c>
      <c r="JE42" s="23">
        <v>0</v>
      </c>
      <c r="JF42" s="23">
        <v>0</v>
      </c>
      <c r="JG42" s="23">
        <v>0</v>
      </c>
      <c r="JH42" s="23">
        <v>0</v>
      </c>
      <c r="JI42" s="23">
        <v>0</v>
      </c>
      <c r="JJ42" s="23">
        <v>0</v>
      </c>
      <c r="JK42" s="23">
        <v>0</v>
      </c>
      <c r="JL42" s="23">
        <v>0</v>
      </c>
      <c r="JM42" s="23">
        <v>0</v>
      </c>
      <c r="JN42" s="23">
        <v>0</v>
      </c>
      <c r="JO42" s="23">
        <v>1</v>
      </c>
      <c r="JP42" s="23">
        <v>0</v>
      </c>
      <c r="JQ42" s="23">
        <v>10</v>
      </c>
      <c r="JR42" s="23">
        <v>0</v>
      </c>
      <c r="JS42" s="23">
        <v>0</v>
      </c>
      <c r="JT42" s="23">
        <v>0</v>
      </c>
      <c r="JU42" s="23">
        <v>0</v>
      </c>
      <c r="JV42" s="23">
        <v>0</v>
      </c>
      <c r="JW42" s="23">
        <v>0</v>
      </c>
      <c r="JX42" s="23">
        <v>0</v>
      </c>
      <c r="JY42" s="23">
        <v>0</v>
      </c>
      <c r="JZ42" s="23">
        <v>2</v>
      </c>
      <c r="KA42" s="23">
        <v>0</v>
      </c>
      <c r="KB42" s="23">
        <v>0</v>
      </c>
      <c r="KC42" s="23">
        <v>0</v>
      </c>
      <c r="KD42" s="23">
        <v>0</v>
      </c>
      <c r="KE42" s="23">
        <v>0</v>
      </c>
      <c r="KF42" s="23">
        <v>0</v>
      </c>
      <c r="KG42" s="23">
        <v>0</v>
      </c>
      <c r="KH42" s="23">
        <v>1</v>
      </c>
      <c r="KI42" s="23">
        <v>0</v>
      </c>
      <c r="KJ42" s="23">
        <v>0</v>
      </c>
      <c r="KK42" s="23">
        <v>0</v>
      </c>
      <c r="KL42" s="23">
        <v>0</v>
      </c>
      <c r="KM42" s="23">
        <v>0</v>
      </c>
      <c r="KN42" s="23">
        <v>0</v>
      </c>
      <c r="KO42" s="23">
        <v>0</v>
      </c>
      <c r="KP42" s="23">
        <v>0</v>
      </c>
      <c r="KQ42" s="23">
        <v>0</v>
      </c>
      <c r="KR42" s="23">
        <v>0</v>
      </c>
      <c r="KS42" s="23">
        <v>0</v>
      </c>
      <c r="KT42" s="23">
        <v>0</v>
      </c>
      <c r="KU42" s="23">
        <v>0</v>
      </c>
      <c r="KV42" s="23">
        <v>0</v>
      </c>
      <c r="KW42" s="23">
        <v>0</v>
      </c>
      <c r="KX42" s="23">
        <v>0</v>
      </c>
      <c r="KY42" s="23">
        <v>0</v>
      </c>
      <c r="KZ42" s="23">
        <v>0</v>
      </c>
      <c r="LA42" s="23">
        <v>0</v>
      </c>
      <c r="LB42" s="23">
        <v>0</v>
      </c>
      <c r="LC42" s="23">
        <v>0</v>
      </c>
      <c r="LD42" s="23">
        <v>0</v>
      </c>
      <c r="LE42" s="23">
        <v>0</v>
      </c>
      <c r="LF42" s="23">
        <v>0</v>
      </c>
      <c r="LG42" s="23">
        <v>0</v>
      </c>
      <c r="LH42" s="23">
        <v>1</v>
      </c>
      <c r="LI42" s="23">
        <v>0</v>
      </c>
      <c r="LJ42" s="23">
        <v>0</v>
      </c>
      <c r="LK42" s="23">
        <v>0</v>
      </c>
      <c r="LL42" s="23">
        <v>0</v>
      </c>
      <c r="LM42" s="23">
        <v>0</v>
      </c>
      <c r="LN42" s="278">
        <f ca="1">$A42 - TST!Sweden100dt + 1</f>
        <v>-12</v>
      </c>
      <c r="LO42" s="20">
        <f ca="1">INDEX(OFFSET(TST!HeadRow,ROW()-ROW(TST!HeadRow),0,1,COLUMNS(TST!HeadRow)),1,MATCH(LO$5,TST!HeadRow,0))/LO$8</f>
        <v>0.97751710654936474</v>
      </c>
      <c r="LP42" s="278">
        <f ca="1">$A42 - TST!Spain100dt + 1</f>
        <v>-12</v>
      </c>
      <c r="LQ42" s="20">
        <f ca="1">INDEX(OFFSET(TST!HeadRow,ROW()-ROW(TST!HeadRow),0,1,COLUMNS(TST!HeadRow)),1,MATCH(LQ$5,TST!HeadRow,0))/LQ$8</f>
        <v>0.42607584149978694</v>
      </c>
      <c r="LR42" s="285">
        <f ca="1">$A42 - TST!Victoria100dt + 1</f>
        <v>-21</v>
      </c>
      <c r="LS42" s="20">
        <f ca="1">INDEX(OFFSET(TST!HeadRow,ROW()-ROW(TST!HeadRow),0,1,COLUMNS(TST!HeadRow)),1,MATCH(LS$5,TST!HeadRow,0))/LS$8</f>
        <v>6.0340926233217678</v>
      </c>
      <c r="LT42" s="278">
        <f ca="1">$A42 - TST!Iran100dt + 1</f>
        <v>-6</v>
      </c>
      <c r="LU42" s="20">
        <f ca="1">INDEX(OFFSET(TST!HeadRow,ROW()-ROW(TST!HeadRow),0,1,COLUMNS(TST!HeadRow)),1,MATCH(LU$5,TST!HeadRow,0))/LU$8</f>
        <v>5.1329187208289069</v>
      </c>
      <c r="LV42" s="278">
        <f ca="1">$A42 - TST!Japan100dt + 1</f>
        <v>-30</v>
      </c>
      <c r="LW42" s="20">
        <f ca="1">INDEX(OFFSET(TST!HeadRow,ROW()-ROW(TST!HeadRow),0,1,COLUMNS(TST!HeadRow)),1,MATCH(LW$5,TST!HeadRow,0))/LW$8</f>
        <v>11.615576291843899</v>
      </c>
      <c r="LX42" s="278">
        <f ca="1">$A42 - TST!Queensland100dt + 1</f>
        <v>-20</v>
      </c>
      <c r="LY42" s="20">
        <f ca="1">INDEX(OFFSET(TST!HeadRow,ROW()-ROW(TST!HeadRow),0,1,COLUMNS(TST!HeadRow)),1,MATCH(LY$5,TST!HeadRow,0))/LY$8</f>
        <v>9.7743092446785251</v>
      </c>
      <c r="LZ42" s="278">
        <f ca="1">$A42 - TST!Tasmania100dt + 1</f>
        <v>-20</v>
      </c>
      <c r="MA42" s="20">
        <f ca="1">INDEX(OFFSET(TST!HeadRow,ROW()-ROW(TST!HeadRow),0,1,COLUMNS(TST!HeadRow)),1,MATCH(MA$5,TST!HeadRow,0))/MA$8</f>
        <v>0</v>
      </c>
      <c r="MB42" s="278">
        <f ca="1">$A42 - TST!SouthAustralia100dt + 1</f>
        <v>-19</v>
      </c>
      <c r="MC42" s="20">
        <f ca="1">INDEX(OFFSET(TST!HeadRow,ROW()-ROW(TST!HeadRow),0,1,COLUMNS(TST!HeadRow)),1,MATCH(MC$5,TST!HeadRow,0))/MC$8</f>
        <v>11.976047904191615</v>
      </c>
      <c r="MD42" s="278">
        <f ca="1">$A42 - TST!AustralianCapitalTerritory100dt + 1</f>
        <v>-25</v>
      </c>
      <c r="ME42" s="20">
        <f ca="1">INDEX(OFFSET(TST!HeadRow,ROW()-ROW(TST!HeadRow),0,1,COLUMNS(TST!HeadRow)),1,MATCH(ME$5,TST!HeadRow,0))/ME$8</f>
        <v>0</v>
      </c>
      <c r="MF42" s="278">
        <f ca="1">$A42 - TST!NorthernTerritory100dt + 1</f>
        <v>-25</v>
      </c>
      <c r="MG42" s="20">
        <f ca="1">INDEX(OFFSET(TST!HeadRow,ROW()-ROW(TST!HeadRow),0,1,COLUMNS(TST!HeadRow)),1,MATCH(MG$5,TST!HeadRow,0))/MG$8</f>
        <v>0</v>
      </c>
      <c r="MH42" s="278">
        <f ca="1">$A42 - TST!WesternAustralia100dt + 1</f>
        <v>-21</v>
      </c>
      <c r="MI42" s="20">
        <f ca="1">INDEX(OFFSET(TST!HeadRow,ROW()-ROW(TST!HeadRow),0,1,COLUMNS(TST!HeadRow)),1,MATCH(MI$5,TST!HeadRow,0))/MI$8</f>
        <v>0</v>
      </c>
      <c r="MJ42" s="278">
        <f ca="1">$A42 - TST!Germany100dt + 1</f>
        <v>-13</v>
      </c>
      <c r="MK42" s="20">
        <f ca="1">INDEX(OFFSET(TST!HeadRow,ROW()-ROW(TST!HeadRow),0,1,COLUMNS(TST!HeadRow)),1,MATCH(MK$5,TST!HeadRow,0))/MK$8</f>
        <v>1.9272464466393642</v>
      </c>
      <c r="ML42" s="278">
        <f ca="1">$A42 - TST!Denmark100dt + 1</f>
        <v>-14</v>
      </c>
      <c r="MM42" s="20">
        <f ca="1">INDEX(OFFSET(TST!HeadRow,ROW()-ROW(TST!HeadRow),0,1,COLUMNS(TST!HeadRow)),1,MATCH(MM$5,TST!HeadRow,0))/MM$8</f>
        <v>0</v>
      </c>
      <c r="MN42" s="278">
        <f ca="1">$A42 - TST!SouthAfrica100dt + 1</f>
        <v>-30</v>
      </c>
      <c r="MO42" s="20">
        <f ca="1">INDEX(OFFSET(TST!HeadRow,ROW()-ROW(TST!HeadRow),0,1,COLUMNS(TST!HeadRow)),1,MATCH(MO$5,TST!HeadRow,0))/MO$8</f>
        <v>0</v>
      </c>
      <c r="MP42" s="278">
        <f ca="1">$A42 - TST!UnitedKingdom100dt + 1</f>
        <v>-18</v>
      </c>
      <c r="MQ42" s="20">
        <f ca="1">INDEX(OFFSET(TST!HeadRow,ROW()-ROW(TST!HeadRow),0,1,COLUMNS(TST!HeadRow)),1,MATCH(MQ$5,TST!HeadRow,0))/MQ$8</f>
        <v>1.3546056592414208</v>
      </c>
      <c r="MR42" s="278">
        <f ca="1">$A42 - TST!Ireland100dt + 1</f>
        <v>-18</v>
      </c>
      <c r="MS42" s="20">
        <f ca="1">INDEX(OFFSET(TST!HeadRow,ROW()-ROW(TST!HeadRow),0,1,COLUMNS(TST!HeadRow)),1,MATCH(MS$5,TST!HeadRow,0))/MS$8</f>
        <v>0</v>
      </c>
      <c r="MT42" s="278">
        <f ca="1">$A42 - TST!Italy100dt + 1</f>
        <v>-3</v>
      </c>
      <c r="MU42" s="20">
        <f ca="1">INDEX(OFFSET(TST!HeadRow,ROW()-ROW(TST!HeadRow),0,1,COLUMNS(TST!HeadRow)),1,MATCH(MU$5,TST!HeadRow,0))/MU$8</f>
        <v>25.626188311151527</v>
      </c>
      <c r="MV42" s="278">
        <f ca="1">$A42 - TST!US100dt + 1</f>
        <v>-20</v>
      </c>
      <c r="MW42" s="20">
        <f ca="1">INDEX(OFFSET(TST!HeadRow,ROW()-ROW(TST!HeadRow),0,1,COLUMNS(TST!HeadRow)),1,MATCH(MW$5,TST!HeadRow,0))/MW$8</f>
        <v>0.45561166038539175</v>
      </c>
      <c r="MX42" s="278">
        <f ca="1">$A42 - TST!AustraliaSum100dt + 1</f>
        <v>-20</v>
      </c>
      <c r="MY42" s="366">
        <f t="shared" ref="MY42:MY73" si="8">SUM($J42:$Q42)/$MY$8</f>
        <v>5.9138937076170954</v>
      </c>
      <c r="MZ42" s="278">
        <f ca="1">$A42 - TST!NewSouthWales100dt + 1</f>
        <v>-18</v>
      </c>
      <c r="NA42" s="366">
        <f ca="1">INDEX(OFFSET(TST!HeadRow,ROW()-ROW(TST!HeadRow),0,1,COLUMNS(TST!HeadRow)),1,MATCH(NA$5,TST!HeadRow,0))/NA$8</f>
        <v>4.9504950495049505</v>
      </c>
      <c r="NB42" s="278">
        <f ca="1">$A42 - TST!Taiwan100dt + 1</f>
        <v>-31</v>
      </c>
      <c r="NC42" s="366">
        <f ca="1">INDEX(OFFSET(TST!HeadRow,ROW()-ROW(TST!HeadRow),0,1,COLUMNS(TST!HeadRow)),1,MATCH(NC$5,TST!HeadRow,0))/NC$8</f>
        <v>11.76110737882636</v>
      </c>
      <c r="ND42" s="20">
        <f ca="1">$A42 - TST!Hubei100dt + 1</f>
        <v>30</v>
      </c>
      <c r="NE42" s="20">
        <f ca="1">INDEX(OFFSET(TST!HeadRow,ROW()-ROW(TST!HeadRow),0,1,COLUMNS(TST!HeadRow)),1,MATCH(NE$5,TST!HeadRow,0))/NE$8</f>
        <v>10954.529914529916</v>
      </c>
      <c r="NF42" s="20">
        <f ca="1">$A42 - TST!HongKong100dt + 1</f>
        <v>0</v>
      </c>
      <c r="NG42" s="20">
        <f ca="1">INDEX(OFFSET(TST!HeadRow,ROW()-ROW(TST!HeadRow),0,1,COLUMNS(TST!HeadRow)),1,MATCH(NG$5,TST!HeadRow,0))/NG$8</f>
        <v>99.315528117031278</v>
      </c>
    </row>
    <row r="43" spans="1:371" x14ac:dyDescent="0.25">
      <c r="A43" s="243">
        <v>43885</v>
      </c>
      <c r="B43" s="23">
        <v>1</v>
      </c>
      <c r="C43" s="23">
        <v>0</v>
      </c>
      <c r="D43" s="23">
        <v>0</v>
      </c>
      <c r="E43" s="23">
        <v>0</v>
      </c>
      <c r="F43" s="23">
        <v>0</v>
      </c>
      <c r="G43" s="23">
        <v>0</v>
      </c>
      <c r="H43" s="23">
        <v>0</v>
      </c>
      <c r="I43" s="23">
        <v>0</v>
      </c>
      <c r="J43" s="23">
        <v>0</v>
      </c>
      <c r="K43" s="293">
        <v>4</v>
      </c>
      <c r="L43" s="23">
        <v>0</v>
      </c>
      <c r="M43" s="290">
        <v>5</v>
      </c>
      <c r="N43" s="23">
        <v>2</v>
      </c>
      <c r="O43" s="384">
        <v>0</v>
      </c>
      <c r="P43" s="287">
        <v>4</v>
      </c>
      <c r="Q43" s="23">
        <v>0</v>
      </c>
      <c r="R43" s="23">
        <v>0</v>
      </c>
      <c r="S43" s="23">
        <v>0</v>
      </c>
      <c r="T43" s="23">
        <v>0</v>
      </c>
      <c r="U43" s="23">
        <v>1</v>
      </c>
      <c r="V43" s="23">
        <v>0</v>
      </c>
      <c r="W43" s="23">
        <v>0</v>
      </c>
      <c r="X43" s="23">
        <v>0</v>
      </c>
      <c r="Y43" s="23">
        <v>1</v>
      </c>
      <c r="Z43" s="23">
        <v>0</v>
      </c>
      <c r="AA43" s="23">
        <v>0</v>
      </c>
      <c r="AB43" s="23">
        <v>0</v>
      </c>
      <c r="AC43" s="23">
        <v>0</v>
      </c>
      <c r="AD43" s="23">
        <v>0</v>
      </c>
      <c r="AE43" s="23">
        <v>0</v>
      </c>
      <c r="AF43" s="23">
        <v>0</v>
      </c>
      <c r="AG43" s="23">
        <v>0</v>
      </c>
      <c r="AH43" s="23">
        <v>0</v>
      </c>
      <c r="AI43" s="23">
        <v>1</v>
      </c>
      <c r="AJ43" s="23">
        <v>0</v>
      </c>
      <c r="AK43" s="23">
        <v>0</v>
      </c>
      <c r="AL43" s="23">
        <v>6</v>
      </c>
      <c r="AM43" s="23">
        <v>0</v>
      </c>
      <c r="AN43" s="23">
        <v>0</v>
      </c>
      <c r="AO43" s="23">
        <v>0</v>
      </c>
      <c r="AP43" s="23">
        <v>0</v>
      </c>
      <c r="AQ43" s="23">
        <v>0</v>
      </c>
      <c r="AR43" s="23">
        <v>4</v>
      </c>
      <c r="AS43" s="23">
        <v>0</v>
      </c>
      <c r="AT43" s="23">
        <v>0</v>
      </c>
      <c r="AU43" s="23">
        <v>0</v>
      </c>
      <c r="AV43" s="23">
        <v>0</v>
      </c>
      <c r="AW43" s="23">
        <v>0</v>
      </c>
      <c r="AX43" s="23">
        <v>0</v>
      </c>
      <c r="AY43" s="23">
        <v>989</v>
      </c>
      <c r="AZ43" s="23">
        <v>399</v>
      </c>
      <c r="BA43" s="23">
        <v>576</v>
      </c>
      <c r="BB43" s="23">
        <v>293</v>
      </c>
      <c r="BC43" s="23">
        <v>91</v>
      </c>
      <c r="BD43" s="23">
        <v>1345</v>
      </c>
      <c r="BE43" s="23">
        <v>251</v>
      </c>
      <c r="BF43" s="23">
        <v>146</v>
      </c>
      <c r="BG43" s="23">
        <v>168</v>
      </c>
      <c r="BH43" s="23">
        <v>311</v>
      </c>
      <c r="BI43" s="23">
        <v>480</v>
      </c>
      <c r="BJ43" s="23">
        <v>1271</v>
      </c>
      <c r="BK43" s="23">
        <v>79</v>
      </c>
      <c r="BL43" s="23">
        <v>64287</v>
      </c>
      <c r="BM43" s="23">
        <v>1016</v>
      </c>
      <c r="BN43" s="23">
        <v>75</v>
      </c>
      <c r="BO43" s="23">
        <v>631</v>
      </c>
      <c r="BP43" s="23">
        <v>934</v>
      </c>
      <c r="BQ43" s="23">
        <v>93</v>
      </c>
      <c r="BR43" s="23">
        <v>121</v>
      </c>
      <c r="BS43" s="23">
        <v>10</v>
      </c>
      <c r="BT43" s="23">
        <v>71</v>
      </c>
      <c r="BU43" s="23">
        <v>18</v>
      </c>
      <c r="BV43" s="23">
        <v>245</v>
      </c>
      <c r="BW43" s="23">
        <v>755</v>
      </c>
      <c r="BX43" s="23">
        <v>335</v>
      </c>
      <c r="BY43" s="23">
        <v>133</v>
      </c>
      <c r="BZ43" s="23">
        <v>527</v>
      </c>
      <c r="CA43" s="23">
        <v>135</v>
      </c>
      <c r="CB43" s="23">
        <v>1</v>
      </c>
      <c r="CC43" s="23">
        <v>76</v>
      </c>
      <c r="CD43" s="23">
        <v>174</v>
      </c>
      <c r="CE43" s="23">
        <v>1205</v>
      </c>
      <c r="CF43" s="23">
        <v>0</v>
      </c>
      <c r="CG43" s="23">
        <v>0</v>
      </c>
      <c r="CH43" s="23">
        <v>0</v>
      </c>
      <c r="CI43" s="23">
        <v>0</v>
      </c>
      <c r="CJ43" s="23">
        <v>0</v>
      </c>
      <c r="CK43" s="23">
        <v>0</v>
      </c>
      <c r="CL43" s="23">
        <v>691</v>
      </c>
      <c r="CM43" s="23">
        <v>0</v>
      </c>
      <c r="CN43" s="23">
        <v>0</v>
      </c>
      <c r="CO43" s="23">
        <v>0</v>
      </c>
      <c r="CP43" s="23">
        <v>0</v>
      </c>
      <c r="CQ43" s="23">
        <v>0</v>
      </c>
      <c r="CR43" s="23">
        <v>0</v>
      </c>
      <c r="CS43" s="23">
        <v>0</v>
      </c>
      <c r="CT43" s="23">
        <v>0</v>
      </c>
      <c r="CU43" s="23">
        <v>0</v>
      </c>
      <c r="CV43" s="23">
        <v>1</v>
      </c>
      <c r="CW43" s="23">
        <v>0</v>
      </c>
      <c r="CX43" s="23">
        <v>0</v>
      </c>
      <c r="CY43" s="23">
        <v>0</v>
      </c>
      <c r="CZ43" s="23">
        <v>0</v>
      </c>
      <c r="DA43" s="23">
        <v>0</v>
      </c>
      <c r="DB43" s="23">
        <v>0</v>
      </c>
      <c r="DC43" s="23">
        <v>0</v>
      </c>
      <c r="DD43" s="23">
        <v>1</v>
      </c>
      <c r="DE43" s="23">
        <v>0</v>
      </c>
      <c r="DF43" s="23">
        <v>0</v>
      </c>
      <c r="DG43" s="23">
        <v>0</v>
      </c>
      <c r="DH43" s="23">
        <v>0</v>
      </c>
      <c r="DI43" s="23">
        <v>0</v>
      </c>
      <c r="DJ43" s="23">
        <v>0</v>
      </c>
      <c r="DK43" s="23">
        <v>0</v>
      </c>
      <c r="DL43" s="23">
        <v>0</v>
      </c>
      <c r="DM43" s="23">
        <v>0</v>
      </c>
      <c r="DN43" s="23">
        <v>12</v>
      </c>
      <c r="DO43" s="23">
        <v>0</v>
      </c>
      <c r="DP43" s="23">
        <v>0</v>
      </c>
      <c r="DQ43" s="23">
        <v>0</v>
      </c>
      <c r="DR43" s="23">
        <v>16</v>
      </c>
      <c r="DS43" s="23">
        <v>0</v>
      </c>
      <c r="DT43" s="23">
        <v>0</v>
      </c>
      <c r="DU43" s="23">
        <v>0</v>
      </c>
      <c r="DV43" s="23">
        <v>0</v>
      </c>
      <c r="DW43" s="23">
        <v>0</v>
      </c>
      <c r="DX43" s="23">
        <v>0</v>
      </c>
      <c r="DY43" s="23">
        <v>0</v>
      </c>
      <c r="DZ43" s="23">
        <v>0</v>
      </c>
      <c r="EA43" s="23">
        <v>0</v>
      </c>
      <c r="EB43" s="23">
        <v>0</v>
      </c>
      <c r="EC43" s="23">
        <v>3</v>
      </c>
      <c r="ED43" s="23">
        <v>0</v>
      </c>
      <c r="EE43" s="23">
        <v>61</v>
      </c>
      <c r="EF43" s="23">
        <v>1</v>
      </c>
      <c r="EG43" s="23">
        <v>0</v>
      </c>
      <c r="EH43" s="23">
        <v>1</v>
      </c>
      <c r="EI43" s="23">
        <v>229</v>
      </c>
      <c r="EJ43" s="23">
        <v>0</v>
      </c>
      <c r="EK43" s="23">
        <v>159</v>
      </c>
      <c r="EL43" s="23">
        <v>0</v>
      </c>
      <c r="EM43" s="23">
        <v>0</v>
      </c>
      <c r="EN43" s="23">
        <v>0</v>
      </c>
      <c r="EO43" s="23">
        <v>833</v>
      </c>
      <c r="EP43" s="23">
        <v>1</v>
      </c>
      <c r="EQ43" s="23">
        <v>0</v>
      </c>
      <c r="ER43" s="23">
        <v>0</v>
      </c>
      <c r="ES43" s="23">
        <v>1</v>
      </c>
      <c r="ET43" s="23">
        <v>0</v>
      </c>
      <c r="EU43" s="23">
        <v>0</v>
      </c>
      <c r="EV43" s="23">
        <v>0</v>
      </c>
      <c r="EW43" s="23">
        <v>0</v>
      </c>
      <c r="EX43" s="23">
        <v>0</v>
      </c>
      <c r="EY43" s="23">
        <v>22</v>
      </c>
      <c r="EZ43" s="23">
        <v>0</v>
      </c>
      <c r="FA43" s="23">
        <v>0</v>
      </c>
      <c r="FB43" s="23">
        <v>0</v>
      </c>
      <c r="FC43" s="23">
        <v>0</v>
      </c>
      <c r="FD43" s="23">
        <v>0</v>
      </c>
      <c r="FE43" s="23">
        <v>0</v>
      </c>
      <c r="FF43" s="23">
        <v>0</v>
      </c>
      <c r="FG43" s="23">
        <v>0</v>
      </c>
      <c r="FH43" s="23">
        <v>0</v>
      </c>
      <c r="FI43" s="23">
        <v>0</v>
      </c>
      <c r="FJ43" s="23">
        <v>0</v>
      </c>
      <c r="FK43" s="23">
        <v>1</v>
      </c>
      <c r="FL43" s="23">
        <v>0</v>
      </c>
      <c r="FM43" s="23">
        <v>0</v>
      </c>
      <c r="FN43" s="23">
        <v>0</v>
      </c>
      <c r="FO43" s="23">
        <v>0</v>
      </c>
      <c r="FP43" s="23">
        <v>0</v>
      </c>
      <c r="FQ43" s="23">
        <v>0</v>
      </c>
      <c r="FR43" s="23">
        <v>0</v>
      </c>
      <c r="FS43" s="23">
        <v>0</v>
      </c>
      <c r="FT43" s="23">
        <v>0</v>
      </c>
      <c r="FU43" s="23">
        <v>0</v>
      </c>
      <c r="FV43" s="23">
        <v>2</v>
      </c>
      <c r="FW43" s="23">
        <v>0</v>
      </c>
      <c r="FX43" s="23">
        <v>0</v>
      </c>
      <c r="FY43" s="23">
        <v>0</v>
      </c>
      <c r="FZ43" s="23">
        <v>0</v>
      </c>
      <c r="GA43" s="23">
        <v>0</v>
      </c>
      <c r="GB43" s="23">
        <v>3</v>
      </c>
      <c r="GC43" s="23">
        <v>0</v>
      </c>
      <c r="GD43" s="23">
        <v>0</v>
      </c>
      <c r="GE43" s="23">
        <v>0</v>
      </c>
      <c r="GF43" s="23">
        <v>0</v>
      </c>
      <c r="GG43" s="23">
        <v>2</v>
      </c>
      <c r="GH43" s="23">
        <v>0</v>
      </c>
      <c r="GI43" s="23">
        <v>0</v>
      </c>
      <c r="GJ43" s="23">
        <v>0</v>
      </c>
      <c r="GK43" s="23">
        <v>0</v>
      </c>
      <c r="GL43" s="23">
        <v>0</v>
      </c>
      <c r="GM43" s="23">
        <v>0</v>
      </c>
      <c r="GN43" s="23">
        <v>0</v>
      </c>
      <c r="GO43" s="23">
        <v>0</v>
      </c>
      <c r="GP43" s="23">
        <v>89</v>
      </c>
      <c r="GQ43" s="23">
        <v>0</v>
      </c>
      <c r="GR43" s="23">
        <v>0</v>
      </c>
      <c r="GS43" s="23">
        <v>0</v>
      </c>
      <c r="GT43" s="23">
        <v>0</v>
      </c>
      <c r="GU43" s="23">
        <v>2</v>
      </c>
      <c r="GV43" s="23">
        <v>1</v>
      </c>
      <c r="GW43" s="23">
        <v>0</v>
      </c>
      <c r="GX43" s="23">
        <v>0</v>
      </c>
      <c r="GY43" s="23">
        <v>1</v>
      </c>
      <c r="GZ43" s="23">
        <v>0</v>
      </c>
      <c r="HA43" s="23">
        <v>30</v>
      </c>
      <c r="HB43" s="23">
        <v>0</v>
      </c>
      <c r="HC43" s="23">
        <v>35</v>
      </c>
      <c r="HD43" s="23">
        <v>0</v>
      </c>
      <c r="HE43" s="23">
        <v>0</v>
      </c>
      <c r="HF43" s="23">
        <v>0</v>
      </c>
      <c r="HG43" s="23">
        <v>0</v>
      </c>
      <c r="HH43" s="23">
        <v>0</v>
      </c>
      <c r="HI43" s="23">
        <v>0</v>
      </c>
      <c r="HJ43" s="23">
        <v>13</v>
      </c>
      <c r="HK43" s="23">
        <v>0</v>
      </c>
      <c r="HL43" s="23">
        <v>0</v>
      </c>
      <c r="HM43" s="23">
        <v>0</v>
      </c>
      <c r="HN43" s="23">
        <v>0</v>
      </c>
      <c r="HO43" s="23">
        <v>0</v>
      </c>
      <c r="HP43" s="23">
        <v>0</v>
      </c>
      <c r="HQ43" s="23">
        <v>13</v>
      </c>
      <c r="HR43" s="23">
        <v>0</v>
      </c>
      <c r="HS43" s="23">
        <v>51</v>
      </c>
      <c r="HT43" s="23">
        <v>0</v>
      </c>
      <c r="HU43" s="23">
        <v>0</v>
      </c>
      <c r="HV43" s="23">
        <v>16</v>
      </c>
      <c r="HW43" s="23">
        <v>0</v>
      </c>
      <c r="HX43" s="23">
        <v>0</v>
      </c>
      <c r="HY43" s="23">
        <v>0</v>
      </c>
      <c r="HZ43" s="23">
        <v>0</v>
      </c>
      <c r="IA43" s="23">
        <v>0</v>
      </c>
      <c r="IB43" s="23">
        <v>0</v>
      </c>
      <c r="IC43" s="23">
        <v>0</v>
      </c>
      <c r="ID43" s="23">
        <v>0</v>
      </c>
      <c r="IE43" s="23">
        <v>0</v>
      </c>
      <c r="IF43" s="23">
        <v>0</v>
      </c>
      <c r="IG43" s="23">
        <v>0</v>
      </c>
      <c r="IH43" s="23">
        <v>0</v>
      </c>
      <c r="II43" s="23">
        <v>0</v>
      </c>
      <c r="IJ43" s="23">
        <v>0</v>
      </c>
      <c r="IK43" s="23">
        <v>0</v>
      </c>
      <c r="IL43" s="23">
        <v>0</v>
      </c>
      <c r="IM43" s="23">
        <v>0</v>
      </c>
      <c r="IN43" s="23">
        <v>0</v>
      </c>
      <c r="IO43" s="23">
        <v>0</v>
      </c>
      <c r="IP43" s="23">
        <v>0</v>
      </c>
      <c r="IQ43" s="23">
        <v>0</v>
      </c>
      <c r="IR43" s="23">
        <v>0</v>
      </c>
      <c r="IS43" s="23">
        <v>0</v>
      </c>
      <c r="IT43" s="23">
        <v>0</v>
      </c>
      <c r="IU43" s="23">
        <v>0</v>
      </c>
      <c r="IV43" s="23">
        <v>0</v>
      </c>
      <c r="IW43" s="23">
        <v>0</v>
      </c>
      <c r="IX43" s="23">
        <v>0</v>
      </c>
      <c r="IY43" s="23">
        <v>0</v>
      </c>
      <c r="IZ43" s="23">
        <v>0</v>
      </c>
      <c r="JA43" s="23">
        <v>0</v>
      </c>
      <c r="JB43" s="23">
        <v>0</v>
      </c>
      <c r="JC43" s="23">
        <v>0</v>
      </c>
      <c r="JD43" s="23">
        <v>0</v>
      </c>
      <c r="JE43" s="23">
        <v>0</v>
      </c>
      <c r="JF43" s="23">
        <v>0</v>
      </c>
      <c r="JG43" s="23">
        <v>0</v>
      </c>
      <c r="JH43" s="23">
        <v>0</v>
      </c>
      <c r="JI43" s="23">
        <v>0</v>
      </c>
      <c r="JJ43" s="23">
        <v>0</v>
      </c>
      <c r="JK43" s="23">
        <v>0</v>
      </c>
      <c r="JL43" s="23">
        <v>0</v>
      </c>
      <c r="JM43" s="23">
        <v>0</v>
      </c>
      <c r="JN43" s="23">
        <v>0</v>
      </c>
      <c r="JO43" s="23">
        <v>1</v>
      </c>
      <c r="JP43" s="23">
        <v>0</v>
      </c>
      <c r="JQ43" s="23">
        <v>10</v>
      </c>
      <c r="JR43" s="23">
        <v>0</v>
      </c>
      <c r="JS43" s="23">
        <v>0</v>
      </c>
      <c r="JT43" s="23">
        <v>0</v>
      </c>
      <c r="JU43" s="23">
        <v>0</v>
      </c>
      <c r="JV43" s="23">
        <v>0</v>
      </c>
      <c r="JW43" s="23">
        <v>0</v>
      </c>
      <c r="JX43" s="23">
        <v>0</v>
      </c>
      <c r="JY43" s="23">
        <v>0</v>
      </c>
      <c r="JZ43" s="23">
        <v>2</v>
      </c>
      <c r="KA43" s="23">
        <v>0</v>
      </c>
      <c r="KB43" s="23">
        <v>0</v>
      </c>
      <c r="KC43" s="23">
        <v>0</v>
      </c>
      <c r="KD43" s="23">
        <v>0</v>
      </c>
      <c r="KE43" s="23">
        <v>0</v>
      </c>
      <c r="KF43" s="23">
        <v>0</v>
      </c>
      <c r="KG43" s="23">
        <v>0</v>
      </c>
      <c r="KH43" s="23">
        <v>1</v>
      </c>
      <c r="KI43" s="23">
        <v>0</v>
      </c>
      <c r="KJ43" s="23">
        <v>0</v>
      </c>
      <c r="KK43" s="23">
        <v>0</v>
      </c>
      <c r="KL43" s="23">
        <v>0</v>
      </c>
      <c r="KM43" s="23">
        <v>0</v>
      </c>
      <c r="KN43" s="23">
        <v>0</v>
      </c>
      <c r="KO43" s="23">
        <v>0</v>
      </c>
      <c r="KP43" s="23">
        <v>0</v>
      </c>
      <c r="KQ43" s="23">
        <v>0</v>
      </c>
      <c r="KR43" s="23">
        <v>0</v>
      </c>
      <c r="KS43" s="23">
        <v>0</v>
      </c>
      <c r="KT43" s="23">
        <v>0</v>
      </c>
      <c r="KU43" s="23">
        <v>0</v>
      </c>
      <c r="KV43" s="23">
        <v>0</v>
      </c>
      <c r="KW43" s="23">
        <v>0</v>
      </c>
      <c r="KX43" s="23">
        <v>0</v>
      </c>
      <c r="KY43" s="23">
        <v>0</v>
      </c>
      <c r="KZ43" s="23">
        <v>0</v>
      </c>
      <c r="LA43" s="23">
        <v>0</v>
      </c>
      <c r="LB43" s="23">
        <v>0</v>
      </c>
      <c r="LC43" s="23">
        <v>0</v>
      </c>
      <c r="LD43" s="23">
        <v>0</v>
      </c>
      <c r="LE43" s="23">
        <v>0</v>
      </c>
      <c r="LF43" s="23">
        <v>0</v>
      </c>
      <c r="LG43" s="23">
        <v>0</v>
      </c>
      <c r="LH43" s="23">
        <v>1</v>
      </c>
      <c r="LI43" s="23">
        <v>0</v>
      </c>
      <c r="LJ43" s="23">
        <v>0</v>
      </c>
      <c r="LK43" s="23">
        <v>0</v>
      </c>
      <c r="LL43" s="23">
        <v>0</v>
      </c>
      <c r="LM43" s="23">
        <v>0</v>
      </c>
      <c r="LN43" s="278">
        <f ca="1">$A43 - TST!Sweden100dt + 1</f>
        <v>-11</v>
      </c>
      <c r="LO43" s="20">
        <f ca="1">INDEX(OFFSET(TST!HeadRow,ROW()-ROW(TST!HeadRow),0,1,COLUMNS(TST!HeadRow)),1,MATCH(LO$5,TST!HeadRow,0))/LO$8</f>
        <v>0.97751710654936474</v>
      </c>
      <c r="LP43" s="278">
        <f ca="1">$A43 - TST!Spain100dt + 1</f>
        <v>-11</v>
      </c>
      <c r="LQ43" s="20">
        <f ca="1">INDEX(OFFSET(TST!HeadRow,ROW()-ROW(TST!HeadRow),0,1,COLUMNS(TST!HeadRow)),1,MATCH(LQ$5,TST!HeadRow,0))/LQ$8</f>
        <v>0.42607584149978694</v>
      </c>
      <c r="LR43" s="285">
        <f ca="1">$A43 - TST!Victoria100dt + 1</f>
        <v>-20</v>
      </c>
      <c r="LS43" s="20">
        <f ca="1">INDEX(OFFSET(TST!HeadRow,ROW()-ROW(TST!HeadRow),0,1,COLUMNS(TST!HeadRow)),1,MATCH(LS$5,TST!HeadRow,0))/LS$8</f>
        <v>6.0340926233217678</v>
      </c>
      <c r="LT43" s="278">
        <f ca="1">$A43 - TST!Iran100dt + 1</f>
        <v>-5</v>
      </c>
      <c r="LU43" s="20">
        <f ca="1">INDEX(OFFSET(TST!HeadRow,ROW()-ROW(TST!HeadRow),0,1,COLUMNS(TST!HeadRow)),1,MATCH(LU$5,TST!HeadRow,0))/LU$8</f>
        <v>7.2815823714084491</v>
      </c>
      <c r="LV43" s="278">
        <f ca="1">$A43 - TST!Japan100dt + 1</f>
        <v>-29</v>
      </c>
      <c r="LW43" s="20">
        <f ca="1">INDEX(OFFSET(TST!HeadRow,ROW()-ROW(TST!HeadRow),0,1,COLUMNS(TST!HeadRow)),1,MATCH(LW$5,TST!HeadRow,0))/LW$8</f>
        <v>12.563786601382176</v>
      </c>
      <c r="LX43" s="278">
        <f ca="1">$A43 - TST!Queensland100dt + 1</f>
        <v>-19</v>
      </c>
      <c r="LY43" s="20">
        <f ca="1">INDEX(OFFSET(TST!HeadRow,ROW()-ROW(TST!HeadRow),0,1,COLUMNS(TST!HeadRow)),1,MATCH(LY$5,TST!HeadRow,0))/LY$8</f>
        <v>9.7743092446785251</v>
      </c>
      <c r="LZ43" s="278">
        <f ca="1">$A43 - TST!Tasmania100dt + 1</f>
        <v>-19</v>
      </c>
      <c r="MA43" s="20">
        <f ca="1">INDEX(OFFSET(TST!HeadRow,ROW()-ROW(TST!HeadRow),0,1,COLUMNS(TST!HeadRow)),1,MATCH(MA$5,TST!HeadRow,0))/MA$8</f>
        <v>0</v>
      </c>
      <c r="MB43" s="278">
        <f ca="1">$A43 - TST!SouthAustralia100dt + 1</f>
        <v>-18</v>
      </c>
      <c r="MC43" s="20">
        <f ca="1">INDEX(OFFSET(TST!HeadRow,ROW()-ROW(TST!HeadRow),0,1,COLUMNS(TST!HeadRow)),1,MATCH(MC$5,TST!HeadRow,0))/MC$8</f>
        <v>11.976047904191615</v>
      </c>
      <c r="MD43" s="278">
        <f ca="1">$A43 - TST!AustralianCapitalTerritory100dt + 1</f>
        <v>-24</v>
      </c>
      <c r="ME43" s="20">
        <f ca="1">INDEX(OFFSET(TST!HeadRow,ROW()-ROW(TST!HeadRow),0,1,COLUMNS(TST!HeadRow)),1,MATCH(ME$5,TST!HeadRow,0))/ME$8</f>
        <v>0</v>
      </c>
      <c r="MF43" s="278">
        <f ca="1">$A43 - TST!NorthernTerritory100dt + 1</f>
        <v>-24</v>
      </c>
      <c r="MG43" s="20">
        <f ca="1">INDEX(OFFSET(TST!HeadRow,ROW()-ROW(TST!HeadRow),0,1,COLUMNS(TST!HeadRow)),1,MATCH(MG$5,TST!HeadRow,0))/MG$8</f>
        <v>0</v>
      </c>
      <c r="MH43" s="278">
        <f ca="1">$A43 - TST!WesternAustralia100dt + 1</f>
        <v>-20</v>
      </c>
      <c r="MI43" s="20">
        <f ca="1">INDEX(OFFSET(TST!HeadRow,ROW()-ROW(TST!HeadRow),0,1,COLUMNS(TST!HeadRow)),1,MATCH(MI$5,TST!HeadRow,0))/MI$8</f>
        <v>0</v>
      </c>
      <c r="MJ43" s="278">
        <f ca="1">$A43 - TST!Germany100dt + 1</f>
        <v>-12</v>
      </c>
      <c r="MK43" s="20">
        <f ca="1">INDEX(OFFSET(TST!HeadRow,ROW()-ROW(TST!HeadRow),0,1,COLUMNS(TST!HeadRow)),1,MATCH(MK$5,TST!HeadRow,0))/MK$8</f>
        <v>1.9272464466393642</v>
      </c>
      <c r="ML43" s="278">
        <f ca="1">$A43 - TST!Denmark100dt + 1</f>
        <v>-13</v>
      </c>
      <c r="MM43" s="20">
        <f ca="1">INDEX(OFFSET(TST!HeadRow,ROW()-ROW(TST!HeadRow),0,1,COLUMNS(TST!HeadRow)),1,MATCH(MM$5,TST!HeadRow,0))/MM$8</f>
        <v>0</v>
      </c>
      <c r="MN43" s="278">
        <f ca="1">$A43 - TST!SouthAfrica100dt + 1</f>
        <v>-29</v>
      </c>
      <c r="MO43" s="20">
        <f ca="1">INDEX(OFFSET(TST!HeadRow,ROW()-ROW(TST!HeadRow),0,1,COLUMNS(TST!HeadRow)),1,MATCH(MO$5,TST!HeadRow,0))/MO$8</f>
        <v>0</v>
      </c>
      <c r="MP43" s="278">
        <f ca="1">$A43 - TST!UnitedKingdom100dt + 1</f>
        <v>-17</v>
      </c>
      <c r="MQ43" s="20">
        <f ca="1">INDEX(OFFSET(TST!HeadRow,ROW()-ROW(TST!HeadRow),0,1,COLUMNS(TST!HeadRow)),1,MATCH(MQ$5,TST!HeadRow,0))/MQ$8</f>
        <v>1.9566526189042746</v>
      </c>
      <c r="MR43" s="278">
        <f ca="1">$A43 - TST!Ireland100dt + 1</f>
        <v>-17</v>
      </c>
      <c r="MS43" s="20">
        <f ca="1">INDEX(OFFSET(TST!HeadRow,ROW()-ROW(TST!HeadRow),0,1,COLUMNS(TST!HeadRow)),1,MATCH(MS$5,TST!HeadRow,0))/MS$8</f>
        <v>0</v>
      </c>
      <c r="MT43" s="278">
        <f ca="1">$A43 - TST!Italy100dt + 1</f>
        <v>-2</v>
      </c>
      <c r="MU43" s="20">
        <f ca="1">INDEX(OFFSET(TST!HeadRow,ROW()-ROW(TST!HeadRow),0,1,COLUMNS(TST!HeadRow)),1,MATCH(MU$5,TST!HeadRow,0))/MU$8</f>
        <v>37.860626601636774</v>
      </c>
      <c r="MV43" s="278">
        <f ca="1">$A43 - TST!US100dt + 1</f>
        <v>-19</v>
      </c>
      <c r="MW43" s="20">
        <f ca="1">INDEX(OFFSET(TST!HeadRow,ROW()-ROW(TST!HeadRow),0,1,COLUMNS(TST!HeadRow)),1,MATCH(MW$5,TST!HeadRow,0))/MW$8</f>
        <v>1.5490796453103319</v>
      </c>
      <c r="MX43" s="278">
        <f ca="1">$A43 - TST!AustraliaSum100dt + 1</f>
        <v>-19</v>
      </c>
      <c r="MY43" s="366">
        <f t="shared" si="8"/>
        <v>5.9138937076170954</v>
      </c>
      <c r="MZ43" s="278">
        <f ca="1">$A43 - TST!NewSouthWales100dt + 1</f>
        <v>-17</v>
      </c>
      <c r="NA43" s="366">
        <f ca="1">INDEX(OFFSET(TST!HeadRow,ROW()-ROW(TST!HeadRow),0,1,COLUMNS(TST!HeadRow)),1,MATCH(NA$5,TST!HeadRow,0))/NA$8</f>
        <v>4.9504950495049505</v>
      </c>
      <c r="NB43" s="278">
        <f ca="1">$A43 - TST!Taiwan100dt + 1</f>
        <v>-30</v>
      </c>
      <c r="NC43" s="366">
        <f ca="1">INDEX(OFFSET(TST!HeadRow,ROW()-ROW(TST!HeadRow),0,1,COLUMNS(TST!HeadRow)),1,MATCH(NC$5,TST!HeadRow,0))/NC$8</f>
        <v>12.601186477313957</v>
      </c>
      <c r="ND43" s="20">
        <f ca="1">$A43 - TST!Hubei100dt + 1</f>
        <v>31</v>
      </c>
      <c r="NE43" s="20">
        <f ca="1">INDEX(OFFSET(TST!HeadRow,ROW()-ROW(TST!HeadRow),0,1,COLUMNS(TST!HeadRow)),1,MATCH(NE$5,TST!HeadRow,0))/NE$8</f>
        <v>10989.23076923077</v>
      </c>
      <c r="NF43" s="20">
        <f ca="1">$A43 - TST!HongKong100dt + 1</f>
        <v>1</v>
      </c>
      <c r="NG43" s="20">
        <f ca="1">INDEX(OFFSET(TST!HeadRow,ROW()-ROW(TST!HeadRow),0,1,COLUMNS(TST!HeadRow)),1,MATCH(NG$5,TST!HeadRow,0))/NG$8</f>
        <v>106.02603677358744</v>
      </c>
    </row>
    <row r="44" spans="1:371" x14ac:dyDescent="0.25">
      <c r="A44" s="243">
        <v>43886</v>
      </c>
      <c r="B44" s="23">
        <v>1</v>
      </c>
      <c r="C44" s="23">
        <v>0</v>
      </c>
      <c r="D44" s="23">
        <v>1</v>
      </c>
      <c r="E44" s="23">
        <v>0</v>
      </c>
      <c r="F44" s="23">
        <v>0</v>
      </c>
      <c r="G44" s="23">
        <v>0</v>
      </c>
      <c r="H44" s="23">
        <v>0</v>
      </c>
      <c r="I44" s="23">
        <v>0</v>
      </c>
      <c r="J44" s="23">
        <v>0</v>
      </c>
      <c r="K44" s="293">
        <v>4</v>
      </c>
      <c r="L44" s="23">
        <v>0</v>
      </c>
      <c r="M44" s="290">
        <v>5</v>
      </c>
      <c r="N44" s="23">
        <v>2</v>
      </c>
      <c r="O44" s="384">
        <v>0</v>
      </c>
      <c r="P44" s="287">
        <v>4</v>
      </c>
      <c r="Q44" s="23">
        <v>0</v>
      </c>
      <c r="R44" s="23">
        <v>2</v>
      </c>
      <c r="S44" s="23">
        <v>0</v>
      </c>
      <c r="T44" s="23">
        <v>0</v>
      </c>
      <c r="U44" s="23">
        <v>23</v>
      </c>
      <c r="V44" s="23">
        <v>0</v>
      </c>
      <c r="W44" s="23">
        <v>0</v>
      </c>
      <c r="X44" s="23">
        <v>0</v>
      </c>
      <c r="Y44" s="23">
        <v>1</v>
      </c>
      <c r="Z44" s="23">
        <v>0</v>
      </c>
      <c r="AA44" s="23">
        <v>0</v>
      </c>
      <c r="AB44" s="23">
        <v>0</v>
      </c>
      <c r="AC44" s="23">
        <v>0</v>
      </c>
      <c r="AD44" s="23">
        <v>0</v>
      </c>
      <c r="AE44" s="23">
        <v>0</v>
      </c>
      <c r="AF44" s="23">
        <v>0</v>
      </c>
      <c r="AG44" s="23">
        <v>0</v>
      </c>
      <c r="AH44" s="23">
        <v>0</v>
      </c>
      <c r="AI44" s="23">
        <v>1</v>
      </c>
      <c r="AJ44" s="23">
        <v>0</v>
      </c>
      <c r="AK44" s="23">
        <v>0</v>
      </c>
      <c r="AL44" s="23">
        <v>7</v>
      </c>
      <c r="AM44" s="23">
        <v>0</v>
      </c>
      <c r="AN44" s="23">
        <v>0</v>
      </c>
      <c r="AO44" s="23">
        <v>0</v>
      </c>
      <c r="AP44" s="23">
        <v>0</v>
      </c>
      <c r="AQ44" s="23">
        <v>0</v>
      </c>
      <c r="AR44" s="23">
        <v>4</v>
      </c>
      <c r="AS44" s="23">
        <v>0</v>
      </c>
      <c r="AT44" s="23">
        <v>0</v>
      </c>
      <c r="AU44" s="23">
        <v>0</v>
      </c>
      <c r="AV44" s="23">
        <v>0</v>
      </c>
      <c r="AW44" s="23">
        <v>0</v>
      </c>
      <c r="AX44" s="23">
        <v>0</v>
      </c>
      <c r="AY44" s="23">
        <v>989</v>
      </c>
      <c r="AZ44" s="23">
        <v>400</v>
      </c>
      <c r="BA44" s="23">
        <v>576</v>
      </c>
      <c r="BB44" s="23">
        <v>294</v>
      </c>
      <c r="BC44" s="23">
        <v>91</v>
      </c>
      <c r="BD44" s="23">
        <v>1347</v>
      </c>
      <c r="BE44" s="23">
        <v>252</v>
      </c>
      <c r="BF44" s="23">
        <v>146</v>
      </c>
      <c r="BG44" s="23">
        <v>168</v>
      </c>
      <c r="BH44" s="23">
        <v>311</v>
      </c>
      <c r="BI44" s="23">
        <v>480</v>
      </c>
      <c r="BJ44" s="23">
        <v>1271</v>
      </c>
      <c r="BK44" s="23">
        <v>84</v>
      </c>
      <c r="BL44" s="23">
        <v>64786</v>
      </c>
      <c r="BM44" s="23">
        <v>1016</v>
      </c>
      <c r="BN44" s="23">
        <v>75</v>
      </c>
      <c r="BO44" s="23">
        <v>631</v>
      </c>
      <c r="BP44" s="23">
        <v>934</v>
      </c>
      <c r="BQ44" s="23">
        <v>93</v>
      </c>
      <c r="BR44" s="23">
        <v>121</v>
      </c>
      <c r="BS44" s="23">
        <v>10</v>
      </c>
      <c r="BT44" s="23">
        <v>71</v>
      </c>
      <c r="BU44" s="23">
        <v>18</v>
      </c>
      <c r="BV44" s="23">
        <v>245</v>
      </c>
      <c r="BW44" s="23">
        <v>756</v>
      </c>
      <c r="BX44" s="23">
        <v>336</v>
      </c>
      <c r="BY44" s="23">
        <v>133</v>
      </c>
      <c r="BZ44" s="23">
        <v>529</v>
      </c>
      <c r="CA44" s="23">
        <v>135</v>
      </c>
      <c r="CB44" s="23">
        <v>1</v>
      </c>
      <c r="CC44" s="23">
        <v>76</v>
      </c>
      <c r="CD44" s="23">
        <v>174</v>
      </c>
      <c r="CE44" s="23">
        <v>1205</v>
      </c>
      <c r="CF44" s="23">
        <v>0</v>
      </c>
      <c r="CG44" s="23">
        <v>0</v>
      </c>
      <c r="CH44" s="23">
        <v>0</v>
      </c>
      <c r="CI44" s="23">
        <v>0</v>
      </c>
      <c r="CJ44" s="23">
        <v>0</v>
      </c>
      <c r="CK44" s="23">
        <v>1</v>
      </c>
      <c r="CL44" s="23">
        <v>691</v>
      </c>
      <c r="CM44" s="23">
        <v>0</v>
      </c>
      <c r="CN44" s="23">
        <v>0</v>
      </c>
      <c r="CO44" s="23">
        <v>0</v>
      </c>
      <c r="CP44" s="23">
        <v>0</v>
      </c>
      <c r="CQ44" s="23">
        <v>0</v>
      </c>
      <c r="CR44" s="23">
        <v>0</v>
      </c>
      <c r="CS44" s="23">
        <v>0</v>
      </c>
      <c r="CT44" s="23">
        <v>0</v>
      </c>
      <c r="CU44" s="23">
        <v>0</v>
      </c>
      <c r="CV44" s="23">
        <v>1</v>
      </c>
      <c r="CW44" s="23">
        <v>0</v>
      </c>
      <c r="CX44" s="23">
        <v>0</v>
      </c>
      <c r="CY44" s="23">
        <v>0</v>
      </c>
      <c r="CZ44" s="23">
        <v>0</v>
      </c>
      <c r="DA44" s="23">
        <v>0</v>
      </c>
      <c r="DB44" s="23">
        <v>0</v>
      </c>
      <c r="DC44" s="23">
        <v>0</v>
      </c>
      <c r="DD44" s="23">
        <v>1</v>
      </c>
      <c r="DE44" s="23">
        <v>0</v>
      </c>
      <c r="DF44" s="23">
        <v>0</v>
      </c>
      <c r="DG44" s="23">
        <v>0</v>
      </c>
      <c r="DH44" s="23">
        <v>0</v>
      </c>
      <c r="DI44" s="23">
        <v>0</v>
      </c>
      <c r="DJ44" s="23">
        <v>0</v>
      </c>
      <c r="DK44" s="23">
        <v>0</v>
      </c>
      <c r="DL44" s="23">
        <v>0</v>
      </c>
      <c r="DM44" s="23">
        <v>0</v>
      </c>
      <c r="DN44" s="23">
        <v>14</v>
      </c>
      <c r="DO44" s="23">
        <v>0</v>
      </c>
      <c r="DP44" s="23">
        <v>0</v>
      </c>
      <c r="DQ44" s="23">
        <v>0</v>
      </c>
      <c r="DR44" s="23">
        <v>17</v>
      </c>
      <c r="DS44" s="23">
        <v>0</v>
      </c>
      <c r="DT44" s="23">
        <v>0</v>
      </c>
      <c r="DU44" s="23">
        <v>0</v>
      </c>
      <c r="DV44" s="23">
        <v>0</v>
      </c>
      <c r="DW44" s="23">
        <v>0</v>
      </c>
      <c r="DX44" s="23">
        <v>0</v>
      </c>
      <c r="DY44" s="23">
        <v>0</v>
      </c>
      <c r="DZ44" s="23">
        <v>0</v>
      </c>
      <c r="EA44" s="23">
        <v>0</v>
      </c>
      <c r="EB44" s="23">
        <v>0</v>
      </c>
      <c r="EC44" s="23">
        <v>3</v>
      </c>
      <c r="ED44" s="23">
        <v>0</v>
      </c>
      <c r="EE44" s="23">
        <v>95</v>
      </c>
      <c r="EF44" s="23">
        <v>1</v>
      </c>
      <c r="EG44" s="23">
        <v>0</v>
      </c>
      <c r="EH44" s="23">
        <v>1</v>
      </c>
      <c r="EI44" s="23">
        <v>322</v>
      </c>
      <c r="EJ44" s="23">
        <v>0</v>
      </c>
      <c r="EK44" s="23">
        <v>170</v>
      </c>
      <c r="EL44" s="23">
        <v>0</v>
      </c>
      <c r="EM44" s="23">
        <v>0</v>
      </c>
      <c r="EN44" s="23">
        <v>0</v>
      </c>
      <c r="EO44" s="23">
        <v>977</v>
      </c>
      <c r="EP44" s="23">
        <v>11</v>
      </c>
      <c r="EQ44" s="23">
        <v>0</v>
      </c>
      <c r="ER44" s="23">
        <v>0</v>
      </c>
      <c r="ES44" s="23">
        <v>1</v>
      </c>
      <c r="ET44" s="23">
        <v>0</v>
      </c>
      <c r="EU44" s="23">
        <v>0</v>
      </c>
      <c r="EV44" s="23">
        <v>0</v>
      </c>
      <c r="EW44" s="23">
        <v>0</v>
      </c>
      <c r="EX44" s="23">
        <v>0</v>
      </c>
      <c r="EY44" s="23">
        <v>22</v>
      </c>
      <c r="EZ44" s="23">
        <v>0</v>
      </c>
      <c r="FA44" s="23">
        <v>0</v>
      </c>
      <c r="FB44" s="23">
        <v>0</v>
      </c>
      <c r="FC44" s="23">
        <v>0</v>
      </c>
      <c r="FD44" s="23">
        <v>0</v>
      </c>
      <c r="FE44" s="23">
        <v>0</v>
      </c>
      <c r="FF44" s="23">
        <v>0</v>
      </c>
      <c r="FG44" s="23">
        <v>0</v>
      </c>
      <c r="FH44" s="23">
        <v>0</v>
      </c>
      <c r="FI44" s="23">
        <v>0</v>
      </c>
      <c r="FJ44" s="23">
        <v>0</v>
      </c>
      <c r="FK44" s="23">
        <v>1</v>
      </c>
      <c r="FL44" s="23">
        <v>0</v>
      </c>
      <c r="FM44" s="23">
        <v>0</v>
      </c>
      <c r="FN44" s="23">
        <v>0</v>
      </c>
      <c r="FO44" s="23">
        <v>0</v>
      </c>
      <c r="FP44" s="23">
        <v>0</v>
      </c>
      <c r="FQ44" s="23">
        <v>0</v>
      </c>
      <c r="FR44" s="23">
        <v>0</v>
      </c>
      <c r="FS44" s="23">
        <v>0</v>
      </c>
      <c r="FT44" s="23">
        <v>0</v>
      </c>
      <c r="FU44" s="23">
        <v>0</v>
      </c>
      <c r="FV44" s="23">
        <v>2</v>
      </c>
      <c r="FW44" s="23">
        <v>0</v>
      </c>
      <c r="FX44" s="23">
        <v>0</v>
      </c>
      <c r="FY44" s="23">
        <v>0</v>
      </c>
      <c r="FZ44" s="23">
        <v>0</v>
      </c>
      <c r="GA44" s="23">
        <v>0</v>
      </c>
      <c r="GB44" s="23">
        <v>3</v>
      </c>
      <c r="GC44" s="23">
        <v>0</v>
      </c>
      <c r="GD44" s="23">
        <v>0</v>
      </c>
      <c r="GE44" s="23">
        <v>0</v>
      </c>
      <c r="GF44" s="23">
        <v>0</v>
      </c>
      <c r="GG44" s="23">
        <v>2</v>
      </c>
      <c r="GH44" s="23">
        <v>0</v>
      </c>
      <c r="GI44" s="23">
        <v>0</v>
      </c>
      <c r="GJ44" s="23">
        <v>0</v>
      </c>
      <c r="GK44" s="23">
        <v>0</v>
      </c>
      <c r="GL44" s="23">
        <v>0</v>
      </c>
      <c r="GM44" s="23">
        <v>0</v>
      </c>
      <c r="GN44" s="23">
        <v>0</v>
      </c>
      <c r="GO44" s="23">
        <v>0</v>
      </c>
      <c r="GP44" s="23">
        <v>91</v>
      </c>
      <c r="GQ44" s="23">
        <v>0</v>
      </c>
      <c r="GR44" s="23">
        <v>0</v>
      </c>
      <c r="GS44" s="23">
        <v>0</v>
      </c>
      <c r="GT44" s="23">
        <v>0</v>
      </c>
      <c r="GU44" s="23">
        <v>6</v>
      </c>
      <c r="GV44" s="23">
        <v>1</v>
      </c>
      <c r="GW44" s="23">
        <v>0</v>
      </c>
      <c r="GX44" s="23">
        <v>0</v>
      </c>
      <c r="GY44" s="23">
        <v>1</v>
      </c>
      <c r="GZ44" s="23">
        <v>1</v>
      </c>
      <c r="HA44" s="23">
        <v>31</v>
      </c>
      <c r="HB44" s="23">
        <v>0</v>
      </c>
      <c r="HC44" s="23">
        <v>37</v>
      </c>
      <c r="HD44" s="23">
        <v>0</v>
      </c>
      <c r="HE44" s="23">
        <v>0</v>
      </c>
      <c r="HF44" s="23">
        <v>0</v>
      </c>
      <c r="HG44" s="23">
        <v>0</v>
      </c>
      <c r="HH44" s="23">
        <v>0</v>
      </c>
      <c r="HI44" s="23">
        <v>0</v>
      </c>
      <c r="HJ44" s="23">
        <v>13</v>
      </c>
      <c r="HK44" s="23">
        <v>0</v>
      </c>
      <c r="HL44" s="23">
        <v>0</v>
      </c>
      <c r="HM44" s="23">
        <v>0</v>
      </c>
      <c r="HN44" s="23">
        <v>0</v>
      </c>
      <c r="HO44" s="23">
        <v>0</v>
      </c>
      <c r="HP44" s="23">
        <v>0</v>
      </c>
      <c r="HQ44" s="23">
        <v>13</v>
      </c>
      <c r="HR44" s="23">
        <v>0</v>
      </c>
      <c r="HS44" s="23">
        <v>51</v>
      </c>
      <c r="HT44" s="23">
        <v>0</v>
      </c>
      <c r="HU44" s="23">
        <v>0</v>
      </c>
      <c r="HV44" s="23">
        <v>16</v>
      </c>
      <c r="HW44" s="23">
        <v>0</v>
      </c>
      <c r="HX44" s="23">
        <v>0</v>
      </c>
      <c r="HY44" s="23">
        <v>0</v>
      </c>
      <c r="HZ44" s="23">
        <v>0</v>
      </c>
      <c r="IA44" s="23">
        <v>0</v>
      </c>
      <c r="IB44" s="23">
        <v>0</v>
      </c>
      <c r="IC44" s="23">
        <v>0</v>
      </c>
      <c r="ID44" s="23">
        <v>0</v>
      </c>
      <c r="IE44" s="23">
        <v>0</v>
      </c>
      <c r="IF44" s="23">
        <v>0</v>
      </c>
      <c r="IG44" s="23">
        <v>0</v>
      </c>
      <c r="IH44" s="23">
        <v>0</v>
      </c>
      <c r="II44" s="23">
        <v>0</v>
      </c>
      <c r="IJ44" s="23">
        <v>0</v>
      </c>
      <c r="IK44" s="23">
        <v>0</v>
      </c>
      <c r="IL44" s="23">
        <v>0</v>
      </c>
      <c r="IM44" s="23">
        <v>0</v>
      </c>
      <c r="IN44" s="23">
        <v>0</v>
      </c>
      <c r="IO44" s="23">
        <v>0</v>
      </c>
      <c r="IP44" s="23">
        <v>0</v>
      </c>
      <c r="IQ44" s="23">
        <v>0</v>
      </c>
      <c r="IR44" s="23">
        <v>0</v>
      </c>
      <c r="IS44" s="23">
        <v>0</v>
      </c>
      <c r="IT44" s="23">
        <v>0</v>
      </c>
      <c r="IU44" s="23">
        <v>0</v>
      </c>
      <c r="IV44" s="23">
        <v>0</v>
      </c>
      <c r="IW44" s="23">
        <v>0</v>
      </c>
      <c r="IX44" s="23">
        <v>0</v>
      </c>
      <c r="IY44" s="23">
        <v>0</v>
      </c>
      <c r="IZ44" s="23">
        <v>0</v>
      </c>
      <c r="JA44" s="23">
        <v>0</v>
      </c>
      <c r="JB44" s="23">
        <v>0</v>
      </c>
      <c r="JC44" s="23">
        <v>0</v>
      </c>
      <c r="JD44" s="23">
        <v>0</v>
      </c>
      <c r="JE44" s="23">
        <v>0</v>
      </c>
      <c r="JF44" s="23">
        <v>0</v>
      </c>
      <c r="JG44" s="23">
        <v>0</v>
      </c>
      <c r="JH44" s="23">
        <v>0</v>
      </c>
      <c r="JI44" s="23">
        <v>0</v>
      </c>
      <c r="JJ44" s="23">
        <v>0</v>
      </c>
      <c r="JK44" s="23">
        <v>0</v>
      </c>
      <c r="JL44" s="23">
        <v>0</v>
      </c>
      <c r="JM44" s="23">
        <v>0</v>
      </c>
      <c r="JN44" s="23">
        <v>0</v>
      </c>
      <c r="JO44" s="23">
        <v>1</v>
      </c>
      <c r="JP44" s="23">
        <v>0</v>
      </c>
      <c r="JQ44" s="23">
        <v>10</v>
      </c>
      <c r="JR44" s="23">
        <v>0</v>
      </c>
      <c r="JS44" s="23">
        <v>0</v>
      </c>
      <c r="JT44" s="23">
        <v>0</v>
      </c>
      <c r="JU44" s="23">
        <v>0</v>
      </c>
      <c r="JV44" s="23">
        <v>0</v>
      </c>
      <c r="JW44" s="23">
        <v>0</v>
      </c>
      <c r="JX44" s="23">
        <v>0</v>
      </c>
      <c r="JY44" s="23">
        <v>0</v>
      </c>
      <c r="JZ44" s="23">
        <v>2</v>
      </c>
      <c r="KA44" s="23">
        <v>0</v>
      </c>
      <c r="KB44" s="23">
        <v>0</v>
      </c>
      <c r="KC44" s="23">
        <v>0</v>
      </c>
      <c r="KD44" s="23">
        <v>0</v>
      </c>
      <c r="KE44" s="23">
        <v>0</v>
      </c>
      <c r="KF44" s="23">
        <v>0</v>
      </c>
      <c r="KG44" s="23">
        <v>0</v>
      </c>
      <c r="KH44" s="23">
        <v>1</v>
      </c>
      <c r="KI44" s="23">
        <v>0</v>
      </c>
      <c r="KJ44" s="23">
        <v>0</v>
      </c>
      <c r="KK44" s="23">
        <v>0</v>
      </c>
      <c r="KL44" s="23">
        <v>0</v>
      </c>
      <c r="KM44" s="23">
        <v>0</v>
      </c>
      <c r="KN44" s="23">
        <v>0</v>
      </c>
      <c r="KO44" s="23">
        <v>0</v>
      </c>
      <c r="KP44" s="23">
        <v>0</v>
      </c>
      <c r="KQ44" s="23">
        <v>0</v>
      </c>
      <c r="KR44" s="23">
        <v>0</v>
      </c>
      <c r="KS44" s="23">
        <v>0</v>
      </c>
      <c r="KT44" s="23">
        <v>0</v>
      </c>
      <c r="KU44" s="23">
        <v>0</v>
      </c>
      <c r="KV44" s="23">
        <v>0</v>
      </c>
      <c r="KW44" s="23">
        <v>0</v>
      </c>
      <c r="KX44" s="23">
        <v>0</v>
      </c>
      <c r="KY44" s="23">
        <v>0</v>
      </c>
      <c r="KZ44" s="23">
        <v>0</v>
      </c>
      <c r="LA44" s="23">
        <v>0</v>
      </c>
      <c r="LB44" s="23">
        <v>0</v>
      </c>
      <c r="LC44" s="23">
        <v>0</v>
      </c>
      <c r="LD44" s="23">
        <v>0</v>
      </c>
      <c r="LE44" s="23">
        <v>0</v>
      </c>
      <c r="LF44" s="23">
        <v>0</v>
      </c>
      <c r="LG44" s="23">
        <v>0</v>
      </c>
      <c r="LH44" s="23">
        <v>1</v>
      </c>
      <c r="LI44" s="23">
        <v>0</v>
      </c>
      <c r="LJ44" s="23">
        <v>0</v>
      </c>
      <c r="LK44" s="23">
        <v>0</v>
      </c>
      <c r="LL44" s="23">
        <v>0</v>
      </c>
      <c r="LM44" s="23">
        <v>0</v>
      </c>
      <c r="LN44" s="278">
        <f ca="1">$A44 - TST!Sweden100dt + 1</f>
        <v>-10</v>
      </c>
      <c r="LO44" s="20">
        <f ca="1">INDEX(OFFSET(TST!HeadRow,ROW()-ROW(TST!HeadRow),0,1,COLUMNS(TST!HeadRow)),1,MATCH(LO$5,TST!HeadRow,0))/LO$8</f>
        <v>0.97751710654936474</v>
      </c>
      <c r="LP44" s="278">
        <f ca="1">$A44 - TST!Spain100dt + 1</f>
        <v>-10</v>
      </c>
      <c r="LQ44" s="20">
        <f ca="1">INDEX(OFFSET(TST!HeadRow,ROW()-ROW(TST!HeadRow),0,1,COLUMNS(TST!HeadRow)),1,MATCH(LQ$5,TST!HeadRow,0))/LQ$8</f>
        <v>1.2782275244993608</v>
      </c>
      <c r="LR44" s="285">
        <f ca="1">$A44 - TST!Victoria100dt + 1</f>
        <v>-19</v>
      </c>
      <c r="LS44" s="20">
        <f ca="1">INDEX(OFFSET(TST!HeadRow,ROW()-ROW(TST!HeadRow),0,1,COLUMNS(TST!HeadRow)),1,MATCH(LS$5,TST!HeadRow,0))/LS$8</f>
        <v>6.0340926233217678</v>
      </c>
      <c r="LT44" s="278">
        <f ca="1">$A44 - TST!Iran100dt + 1</f>
        <v>-4</v>
      </c>
      <c r="LU44" s="20">
        <f ca="1">INDEX(OFFSET(TST!HeadRow,ROW()-ROW(TST!HeadRow),0,1,COLUMNS(TST!HeadRow)),1,MATCH(LU$5,TST!HeadRow,0))/LU$8</f>
        <v>11.340169266947585</v>
      </c>
      <c r="LV44" s="278">
        <f ca="1">$A44 - TST!Japan100dt + 1</f>
        <v>-28</v>
      </c>
      <c r="LW44" s="20">
        <f ca="1">INDEX(OFFSET(TST!HeadRow,ROW()-ROW(TST!HeadRow),0,1,COLUMNS(TST!HeadRow)),1,MATCH(LW$5,TST!HeadRow,0))/LW$8</f>
        <v>13.432979385125599</v>
      </c>
      <c r="LX44" s="278">
        <f ca="1">$A44 - TST!Queensland100dt + 1</f>
        <v>-18</v>
      </c>
      <c r="LY44" s="20">
        <f ca="1">INDEX(OFFSET(TST!HeadRow,ROW()-ROW(TST!HeadRow),0,1,COLUMNS(TST!HeadRow)),1,MATCH(LY$5,TST!HeadRow,0))/LY$8</f>
        <v>9.7743092446785251</v>
      </c>
      <c r="LZ44" s="278">
        <f ca="1">$A44 - TST!Tasmania100dt + 1</f>
        <v>-18</v>
      </c>
      <c r="MA44" s="20">
        <f ca="1">INDEX(OFFSET(TST!HeadRow,ROW()-ROW(TST!HeadRow),0,1,COLUMNS(TST!HeadRow)),1,MATCH(MA$5,TST!HeadRow,0))/MA$8</f>
        <v>0</v>
      </c>
      <c r="MB44" s="278">
        <f ca="1">$A44 - TST!SouthAustralia100dt + 1</f>
        <v>-17</v>
      </c>
      <c r="MC44" s="20">
        <f ca="1">INDEX(OFFSET(TST!HeadRow,ROW()-ROW(TST!HeadRow),0,1,COLUMNS(TST!HeadRow)),1,MATCH(MC$5,TST!HeadRow,0))/MC$8</f>
        <v>11.976047904191615</v>
      </c>
      <c r="MD44" s="278">
        <f ca="1">$A44 - TST!AustralianCapitalTerritory100dt + 1</f>
        <v>-23</v>
      </c>
      <c r="ME44" s="20">
        <f ca="1">INDEX(OFFSET(TST!HeadRow,ROW()-ROW(TST!HeadRow),0,1,COLUMNS(TST!HeadRow)),1,MATCH(ME$5,TST!HeadRow,0))/ME$8</f>
        <v>0</v>
      </c>
      <c r="MF44" s="278">
        <f ca="1">$A44 - TST!NorthernTerritory100dt + 1</f>
        <v>-23</v>
      </c>
      <c r="MG44" s="20">
        <f ca="1">INDEX(OFFSET(TST!HeadRow,ROW()-ROW(TST!HeadRow),0,1,COLUMNS(TST!HeadRow)),1,MATCH(MG$5,TST!HeadRow,0))/MG$8</f>
        <v>0</v>
      </c>
      <c r="MH44" s="278">
        <f ca="1">$A44 - TST!WesternAustralia100dt + 1</f>
        <v>-19</v>
      </c>
      <c r="MI44" s="20">
        <f ca="1">INDEX(OFFSET(TST!HeadRow,ROW()-ROW(TST!HeadRow),0,1,COLUMNS(TST!HeadRow)),1,MATCH(MI$5,TST!HeadRow,0))/MI$8</f>
        <v>0</v>
      </c>
      <c r="MJ44" s="278">
        <f ca="1">$A44 - TST!Germany100dt + 1</f>
        <v>-11</v>
      </c>
      <c r="MK44" s="20">
        <f ca="1">INDEX(OFFSET(TST!HeadRow,ROW()-ROW(TST!HeadRow),0,1,COLUMNS(TST!HeadRow)),1,MATCH(MK$5,TST!HeadRow,0))/MK$8</f>
        <v>2.0476993495543243</v>
      </c>
      <c r="ML44" s="278">
        <f ca="1">$A44 - TST!Denmark100dt + 1</f>
        <v>-12</v>
      </c>
      <c r="MM44" s="20">
        <f ca="1">INDEX(OFFSET(TST!HeadRow,ROW()-ROW(TST!HeadRow),0,1,COLUMNS(TST!HeadRow)),1,MATCH(MM$5,TST!HeadRow,0))/MM$8</f>
        <v>0</v>
      </c>
      <c r="MN44" s="278">
        <f ca="1">$A44 - TST!SouthAfrica100dt + 1</f>
        <v>-28</v>
      </c>
      <c r="MO44" s="20">
        <f ca="1">INDEX(OFFSET(TST!HeadRow,ROW()-ROW(TST!HeadRow),0,1,COLUMNS(TST!HeadRow)),1,MATCH(MO$5,TST!HeadRow,0))/MO$8</f>
        <v>0</v>
      </c>
      <c r="MP44" s="278">
        <f ca="1">$A44 - TST!UnitedKingdom100dt + 1</f>
        <v>-16</v>
      </c>
      <c r="MQ44" s="20">
        <f ca="1">INDEX(OFFSET(TST!HeadRow,ROW()-ROW(TST!HeadRow),0,1,COLUMNS(TST!HeadRow)),1,MATCH(MQ$5,TST!HeadRow,0))/MQ$8</f>
        <v>1.9566526189042746</v>
      </c>
      <c r="MR44" s="278">
        <f ca="1">$A44 - TST!Ireland100dt + 1</f>
        <v>-16</v>
      </c>
      <c r="MS44" s="20">
        <f ca="1">INDEX(OFFSET(TST!HeadRow,ROW()-ROW(TST!HeadRow),0,1,COLUMNS(TST!HeadRow)),1,MATCH(MS$5,TST!HeadRow,0))/MS$8</f>
        <v>0</v>
      </c>
      <c r="MT44" s="278">
        <f ca="1">$A44 - TST!Italy100dt + 1</f>
        <v>-1</v>
      </c>
      <c r="MU44" s="20">
        <f ca="1">INDEX(OFFSET(TST!HeadRow,ROW()-ROW(TST!HeadRow),0,1,COLUMNS(TST!HeadRow)),1,MATCH(MU$5,TST!HeadRow,0))/MU$8</f>
        <v>53.236339588327688</v>
      </c>
      <c r="MV44" s="278">
        <f ca="1">$A44 - TST!US100dt + 1</f>
        <v>-18</v>
      </c>
      <c r="MW44" s="20">
        <f ca="1">INDEX(OFFSET(TST!HeadRow,ROW()-ROW(TST!HeadRow),0,1,COLUMNS(TST!HeadRow)),1,MATCH(MW$5,TST!HeadRow,0))/MW$8</f>
        <v>1.5490796453103319</v>
      </c>
      <c r="MX44" s="278">
        <f ca="1">$A44 - TST!AustraliaSum100dt + 1</f>
        <v>-18</v>
      </c>
      <c r="MY44" s="366">
        <f t="shared" si="8"/>
        <v>5.9138937076170954</v>
      </c>
      <c r="MZ44" s="278">
        <f ca="1">$A44 - TST!NewSouthWales100dt + 1</f>
        <v>-16</v>
      </c>
      <c r="NA44" s="366">
        <f ca="1">INDEX(OFFSET(TST!HeadRow,ROW()-ROW(TST!HeadRow),0,1,COLUMNS(TST!HeadRow)),1,MATCH(NA$5,TST!HeadRow,0))/NA$8</f>
        <v>4.9504950495049505</v>
      </c>
      <c r="NB44" s="278">
        <f ca="1">$A44 - TST!Taiwan100dt + 1</f>
        <v>-29</v>
      </c>
      <c r="NC44" s="366">
        <f ca="1">INDEX(OFFSET(TST!HeadRow,ROW()-ROW(TST!HeadRow),0,1,COLUMNS(TST!HeadRow)),1,MATCH(NC$5,TST!HeadRow,0))/NC$8</f>
        <v>13.021226026557756</v>
      </c>
      <c r="ND44" s="20">
        <f ca="1">$A44 - TST!Hubei100dt + 1</f>
        <v>32</v>
      </c>
      <c r="NE44" s="20">
        <f ca="1">INDEX(OFFSET(TST!HeadRow,ROW()-ROW(TST!HeadRow),0,1,COLUMNS(TST!HeadRow)),1,MATCH(NE$5,TST!HeadRow,0))/NE$8</f>
        <v>11074.529914529916</v>
      </c>
      <c r="NF44" s="20">
        <f ca="1">$A44 - TST!HongKong100dt + 1</f>
        <v>2</v>
      </c>
      <c r="NG44" s="20">
        <f ca="1">INDEX(OFFSET(TST!HeadRow,ROW()-ROW(TST!HeadRow),0,1,COLUMNS(TST!HeadRow)),1,MATCH(NG$5,TST!HeadRow,0))/NG$8</f>
        <v>112.73654543014361</v>
      </c>
    </row>
    <row r="45" spans="1:371" x14ac:dyDescent="0.25">
      <c r="A45" s="243">
        <v>43887</v>
      </c>
      <c r="B45" s="23">
        <v>1</v>
      </c>
      <c r="C45" s="23">
        <v>0</v>
      </c>
      <c r="D45" s="23">
        <v>1</v>
      </c>
      <c r="E45" s="23">
        <v>0</v>
      </c>
      <c r="F45" s="23">
        <v>0</v>
      </c>
      <c r="G45" s="23">
        <v>0</v>
      </c>
      <c r="H45" s="23">
        <v>0</v>
      </c>
      <c r="I45" s="23">
        <v>0</v>
      </c>
      <c r="J45" s="23">
        <v>0</v>
      </c>
      <c r="K45" s="293">
        <v>4</v>
      </c>
      <c r="L45" s="23">
        <v>0</v>
      </c>
      <c r="M45" s="290">
        <v>5</v>
      </c>
      <c r="N45" s="23">
        <v>2</v>
      </c>
      <c r="O45" s="384">
        <v>0</v>
      </c>
      <c r="P45" s="287">
        <v>4</v>
      </c>
      <c r="Q45" s="23">
        <v>0</v>
      </c>
      <c r="R45" s="23">
        <v>2</v>
      </c>
      <c r="S45" s="23">
        <v>0</v>
      </c>
      <c r="T45" s="23">
        <v>0</v>
      </c>
      <c r="U45" s="23">
        <v>33</v>
      </c>
      <c r="V45" s="23">
        <v>0</v>
      </c>
      <c r="W45" s="23">
        <v>0</v>
      </c>
      <c r="X45" s="23">
        <v>0</v>
      </c>
      <c r="Y45" s="23">
        <v>1</v>
      </c>
      <c r="Z45" s="23">
        <v>0</v>
      </c>
      <c r="AA45" s="23">
        <v>0</v>
      </c>
      <c r="AB45" s="23">
        <v>0</v>
      </c>
      <c r="AC45" s="23">
        <v>0</v>
      </c>
      <c r="AD45" s="23">
        <v>1</v>
      </c>
      <c r="AE45" s="23">
        <v>0</v>
      </c>
      <c r="AF45" s="23">
        <v>0</v>
      </c>
      <c r="AG45" s="23">
        <v>0</v>
      </c>
      <c r="AH45" s="23">
        <v>0</v>
      </c>
      <c r="AI45" s="23">
        <v>1</v>
      </c>
      <c r="AJ45" s="23">
        <v>0</v>
      </c>
      <c r="AK45" s="23">
        <v>0</v>
      </c>
      <c r="AL45" s="23">
        <v>7</v>
      </c>
      <c r="AM45" s="23">
        <v>0</v>
      </c>
      <c r="AN45" s="23">
        <v>0</v>
      </c>
      <c r="AO45" s="23">
        <v>0</v>
      </c>
      <c r="AP45" s="23">
        <v>0</v>
      </c>
      <c r="AQ45" s="23">
        <v>0</v>
      </c>
      <c r="AR45" s="23">
        <v>4</v>
      </c>
      <c r="AS45" s="23">
        <v>0</v>
      </c>
      <c r="AT45" s="23">
        <v>0</v>
      </c>
      <c r="AU45" s="23">
        <v>0</v>
      </c>
      <c r="AV45" s="23">
        <v>0</v>
      </c>
      <c r="AW45" s="23">
        <v>0</v>
      </c>
      <c r="AX45" s="23">
        <v>0</v>
      </c>
      <c r="AY45" s="23">
        <v>989</v>
      </c>
      <c r="AZ45" s="23">
        <v>400</v>
      </c>
      <c r="BA45" s="23">
        <v>576</v>
      </c>
      <c r="BB45" s="23">
        <v>294</v>
      </c>
      <c r="BC45" s="23">
        <v>91</v>
      </c>
      <c r="BD45" s="23">
        <v>1347</v>
      </c>
      <c r="BE45" s="23">
        <v>252</v>
      </c>
      <c r="BF45" s="23">
        <v>146</v>
      </c>
      <c r="BG45" s="23">
        <v>168</v>
      </c>
      <c r="BH45" s="23">
        <v>312</v>
      </c>
      <c r="BI45" s="23">
        <v>480</v>
      </c>
      <c r="BJ45" s="23">
        <v>1271</v>
      </c>
      <c r="BK45" s="23">
        <v>91</v>
      </c>
      <c r="BL45" s="23">
        <v>65187</v>
      </c>
      <c r="BM45" s="23">
        <v>1016</v>
      </c>
      <c r="BN45" s="23">
        <v>75</v>
      </c>
      <c r="BO45" s="23">
        <v>631</v>
      </c>
      <c r="BP45" s="23">
        <v>934</v>
      </c>
      <c r="BQ45" s="23">
        <v>93</v>
      </c>
      <c r="BR45" s="23">
        <v>121</v>
      </c>
      <c r="BS45" s="23">
        <v>10</v>
      </c>
      <c r="BT45" s="23">
        <v>71</v>
      </c>
      <c r="BU45" s="23">
        <v>18</v>
      </c>
      <c r="BV45" s="23">
        <v>245</v>
      </c>
      <c r="BW45" s="23">
        <v>756</v>
      </c>
      <c r="BX45" s="23">
        <v>337</v>
      </c>
      <c r="BY45" s="23">
        <v>133</v>
      </c>
      <c r="BZ45" s="23">
        <v>531</v>
      </c>
      <c r="CA45" s="23">
        <v>135</v>
      </c>
      <c r="CB45" s="23">
        <v>1</v>
      </c>
      <c r="CC45" s="23">
        <v>76</v>
      </c>
      <c r="CD45" s="23">
        <v>174</v>
      </c>
      <c r="CE45" s="23">
        <v>1205</v>
      </c>
      <c r="CF45" s="23">
        <v>0</v>
      </c>
      <c r="CG45" s="23">
        <v>0</v>
      </c>
      <c r="CH45" s="23">
        <v>0</v>
      </c>
      <c r="CI45" s="23">
        <v>0</v>
      </c>
      <c r="CJ45" s="23">
        <v>0</v>
      </c>
      <c r="CK45" s="23">
        <v>3</v>
      </c>
      <c r="CL45" s="23">
        <v>705</v>
      </c>
      <c r="CM45" s="23">
        <v>0</v>
      </c>
      <c r="CN45" s="23">
        <v>0</v>
      </c>
      <c r="CO45" s="23">
        <v>0</v>
      </c>
      <c r="CP45" s="23">
        <v>0</v>
      </c>
      <c r="CQ45" s="23">
        <v>0</v>
      </c>
      <c r="CR45" s="23">
        <v>0</v>
      </c>
      <c r="CS45" s="23">
        <v>0</v>
      </c>
      <c r="CT45" s="23">
        <v>0</v>
      </c>
      <c r="CU45" s="23">
        <v>0</v>
      </c>
      <c r="CV45" s="23">
        <v>1</v>
      </c>
      <c r="CW45" s="23">
        <v>0</v>
      </c>
      <c r="CX45" s="23">
        <v>0</v>
      </c>
      <c r="CY45" s="23">
        <v>0</v>
      </c>
      <c r="CZ45" s="23">
        <v>0</v>
      </c>
      <c r="DA45" s="23">
        <v>0</v>
      </c>
      <c r="DB45" s="23">
        <v>0</v>
      </c>
      <c r="DC45" s="23">
        <v>0</v>
      </c>
      <c r="DD45" s="23">
        <v>2</v>
      </c>
      <c r="DE45" s="23">
        <v>0</v>
      </c>
      <c r="DF45" s="23">
        <v>0</v>
      </c>
      <c r="DG45" s="23">
        <v>0</v>
      </c>
      <c r="DH45" s="23">
        <v>0</v>
      </c>
      <c r="DI45" s="23">
        <v>0</v>
      </c>
      <c r="DJ45" s="23">
        <v>0</v>
      </c>
      <c r="DK45" s="23">
        <v>0</v>
      </c>
      <c r="DL45" s="23">
        <v>0</v>
      </c>
      <c r="DM45" s="23">
        <v>0</v>
      </c>
      <c r="DN45" s="23">
        <v>18</v>
      </c>
      <c r="DO45" s="23">
        <v>0</v>
      </c>
      <c r="DP45" s="23">
        <v>0</v>
      </c>
      <c r="DQ45" s="23">
        <v>1</v>
      </c>
      <c r="DR45" s="23">
        <v>27</v>
      </c>
      <c r="DS45" s="23">
        <v>0</v>
      </c>
      <c r="DT45" s="23">
        <v>1</v>
      </c>
      <c r="DU45" s="23">
        <v>0</v>
      </c>
      <c r="DV45" s="23">
        <v>0</v>
      </c>
      <c r="DW45" s="23">
        <v>0</v>
      </c>
      <c r="DX45" s="23">
        <v>0</v>
      </c>
      <c r="DY45" s="23">
        <v>0</v>
      </c>
      <c r="DZ45" s="23">
        <v>0</v>
      </c>
      <c r="EA45" s="23">
        <v>0</v>
      </c>
      <c r="EB45" s="23">
        <v>0</v>
      </c>
      <c r="EC45" s="23">
        <v>3</v>
      </c>
      <c r="ED45" s="23">
        <v>0</v>
      </c>
      <c r="EE45" s="23">
        <v>139</v>
      </c>
      <c r="EF45" s="23">
        <v>5</v>
      </c>
      <c r="EG45" s="23">
        <v>0</v>
      </c>
      <c r="EH45" s="23">
        <v>2</v>
      </c>
      <c r="EI45" s="23">
        <v>453</v>
      </c>
      <c r="EJ45" s="23">
        <v>0</v>
      </c>
      <c r="EK45" s="23">
        <v>189</v>
      </c>
      <c r="EL45" s="23">
        <v>0</v>
      </c>
      <c r="EM45" s="23">
        <v>0</v>
      </c>
      <c r="EN45" s="23">
        <v>0</v>
      </c>
      <c r="EO45" s="23">
        <v>1261</v>
      </c>
      <c r="EP45" s="23">
        <v>26</v>
      </c>
      <c r="EQ45" s="23">
        <v>0</v>
      </c>
      <c r="ER45" s="23">
        <v>0</v>
      </c>
      <c r="ES45" s="23">
        <v>2</v>
      </c>
      <c r="ET45" s="23">
        <v>0</v>
      </c>
      <c r="EU45" s="23">
        <v>0</v>
      </c>
      <c r="EV45" s="23">
        <v>0</v>
      </c>
      <c r="EW45" s="23">
        <v>0</v>
      </c>
      <c r="EX45" s="23">
        <v>0</v>
      </c>
      <c r="EY45" s="23">
        <v>22</v>
      </c>
      <c r="EZ45" s="23">
        <v>0</v>
      </c>
      <c r="FA45" s="23">
        <v>0</v>
      </c>
      <c r="FB45" s="23">
        <v>0</v>
      </c>
      <c r="FC45" s="23">
        <v>0</v>
      </c>
      <c r="FD45" s="23">
        <v>0</v>
      </c>
      <c r="FE45" s="23">
        <v>0</v>
      </c>
      <c r="FF45" s="23">
        <v>0</v>
      </c>
      <c r="FG45" s="23">
        <v>0</v>
      </c>
      <c r="FH45" s="23">
        <v>0</v>
      </c>
      <c r="FI45" s="23">
        <v>0</v>
      </c>
      <c r="FJ45" s="23">
        <v>0</v>
      </c>
      <c r="FK45" s="23">
        <v>1</v>
      </c>
      <c r="FL45" s="23">
        <v>0</v>
      </c>
      <c r="FM45" s="23">
        <v>0</v>
      </c>
      <c r="FN45" s="23">
        <v>0</v>
      </c>
      <c r="FO45" s="23">
        <v>0</v>
      </c>
      <c r="FP45" s="23">
        <v>0</v>
      </c>
      <c r="FQ45" s="23">
        <v>0</v>
      </c>
      <c r="FR45" s="23">
        <v>0</v>
      </c>
      <c r="FS45" s="23">
        <v>0</v>
      </c>
      <c r="FT45" s="23">
        <v>1</v>
      </c>
      <c r="FU45" s="23">
        <v>1</v>
      </c>
      <c r="FV45" s="23">
        <v>4</v>
      </c>
      <c r="FW45" s="23">
        <v>2</v>
      </c>
      <c r="FX45" s="23">
        <v>0</v>
      </c>
      <c r="FY45" s="23">
        <v>0</v>
      </c>
      <c r="FZ45" s="23">
        <v>0</v>
      </c>
      <c r="GA45" s="23">
        <v>0</v>
      </c>
      <c r="GB45" s="23">
        <v>3</v>
      </c>
      <c r="GC45" s="23">
        <v>0</v>
      </c>
      <c r="GD45" s="23">
        <v>0</v>
      </c>
      <c r="GE45" s="23">
        <v>0</v>
      </c>
      <c r="GF45" s="23">
        <v>1</v>
      </c>
      <c r="GG45" s="23">
        <v>2</v>
      </c>
      <c r="GH45" s="23">
        <v>0</v>
      </c>
      <c r="GI45" s="23">
        <v>0</v>
      </c>
      <c r="GJ45" s="23">
        <v>0</v>
      </c>
      <c r="GK45" s="23">
        <v>0</v>
      </c>
      <c r="GL45" s="23">
        <v>0</v>
      </c>
      <c r="GM45" s="23">
        <v>0</v>
      </c>
      <c r="GN45" s="23">
        <v>0</v>
      </c>
      <c r="GO45" s="23">
        <v>0</v>
      </c>
      <c r="GP45" s="23">
        <v>93</v>
      </c>
      <c r="GQ45" s="23">
        <v>0</v>
      </c>
      <c r="GR45" s="23">
        <v>0</v>
      </c>
      <c r="GS45" s="23">
        <v>0</v>
      </c>
      <c r="GT45" s="23">
        <v>0</v>
      </c>
      <c r="GU45" s="23">
        <v>13</v>
      </c>
      <c r="GV45" s="23">
        <v>1</v>
      </c>
      <c r="GW45" s="23">
        <v>0</v>
      </c>
      <c r="GX45" s="23">
        <v>0</v>
      </c>
      <c r="GY45" s="23">
        <v>2</v>
      </c>
      <c r="GZ45" s="23">
        <v>1</v>
      </c>
      <c r="HA45" s="23">
        <v>32</v>
      </c>
      <c r="HB45" s="23">
        <v>0</v>
      </c>
      <c r="HC45" s="23">
        <v>40</v>
      </c>
      <c r="HD45" s="23">
        <v>0</v>
      </c>
      <c r="HE45" s="23">
        <v>0</v>
      </c>
      <c r="HF45" s="23">
        <v>0</v>
      </c>
      <c r="HG45" s="23">
        <v>0</v>
      </c>
      <c r="HH45" s="23">
        <v>0</v>
      </c>
      <c r="HI45" s="23">
        <v>0</v>
      </c>
      <c r="HJ45" s="23">
        <v>13</v>
      </c>
      <c r="HK45" s="23">
        <v>0</v>
      </c>
      <c r="HL45" s="23">
        <v>0</v>
      </c>
      <c r="HM45" s="23">
        <v>0</v>
      </c>
      <c r="HN45" s="23">
        <v>0</v>
      </c>
      <c r="HO45" s="23">
        <v>0</v>
      </c>
      <c r="HP45" s="23">
        <v>0</v>
      </c>
      <c r="HQ45" s="23">
        <v>13</v>
      </c>
      <c r="HR45" s="23">
        <v>0</v>
      </c>
      <c r="HS45" s="23">
        <v>57</v>
      </c>
      <c r="HT45" s="23">
        <v>0</v>
      </c>
      <c r="HU45" s="23">
        <v>0</v>
      </c>
      <c r="HV45" s="23">
        <v>16</v>
      </c>
      <c r="HW45" s="23">
        <v>0</v>
      </c>
      <c r="HX45" s="23">
        <v>0</v>
      </c>
      <c r="HY45" s="23">
        <v>0</v>
      </c>
      <c r="HZ45" s="23">
        <v>0</v>
      </c>
      <c r="IA45" s="23">
        <v>0</v>
      </c>
      <c r="IB45" s="23">
        <v>0</v>
      </c>
      <c r="IC45" s="23">
        <v>0</v>
      </c>
      <c r="ID45" s="23">
        <v>0</v>
      </c>
      <c r="IE45" s="23">
        <v>0</v>
      </c>
      <c r="IF45" s="23">
        <v>0</v>
      </c>
      <c r="IG45" s="23">
        <v>0</v>
      </c>
      <c r="IH45" s="23">
        <v>0</v>
      </c>
      <c r="II45" s="23">
        <v>0</v>
      </c>
      <c r="IJ45" s="23">
        <v>0</v>
      </c>
      <c r="IK45" s="23">
        <v>0</v>
      </c>
      <c r="IL45" s="23">
        <v>0</v>
      </c>
      <c r="IM45" s="23">
        <v>0</v>
      </c>
      <c r="IN45" s="23">
        <v>0</v>
      </c>
      <c r="IO45" s="23">
        <v>0</v>
      </c>
      <c r="IP45" s="23">
        <v>0</v>
      </c>
      <c r="IQ45" s="23">
        <v>0</v>
      </c>
      <c r="IR45" s="23">
        <v>0</v>
      </c>
      <c r="IS45" s="23">
        <v>0</v>
      </c>
      <c r="IT45" s="23">
        <v>0</v>
      </c>
      <c r="IU45" s="23">
        <v>0</v>
      </c>
      <c r="IV45" s="23">
        <v>0</v>
      </c>
      <c r="IW45" s="23">
        <v>0</v>
      </c>
      <c r="IX45" s="23">
        <v>0</v>
      </c>
      <c r="IY45" s="23">
        <v>0</v>
      </c>
      <c r="IZ45" s="23">
        <v>0</v>
      </c>
      <c r="JA45" s="23">
        <v>0</v>
      </c>
      <c r="JB45" s="23">
        <v>0</v>
      </c>
      <c r="JC45" s="23">
        <v>0</v>
      </c>
      <c r="JD45" s="23">
        <v>0</v>
      </c>
      <c r="JE45" s="23">
        <v>0</v>
      </c>
      <c r="JF45" s="23">
        <v>0</v>
      </c>
      <c r="JG45" s="23">
        <v>0</v>
      </c>
      <c r="JH45" s="23">
        <v>0</v>
      </c>
      <c r="JI45" s="23">
        <v>0</v>
      </c>
      <c r="JJ45" s="23">
        <v>0</v>
      </c>
      <c r="JK45" s="23">
        <v>0</v>
      </c>
      <c r="JL45" s="23">
        <v>0</v>
      </c>
      <c r="JM45" s="23">
        <v>0</v>
      </c>
      <c r="JN45" s="23">
        <v>0</v>
      </c>
      <c r="JO45" s="23">
        <v>1</v>
      </c>
      <c r="JP45" s="23">
        <v>0</v>
      </c>
      <c r="JQ45" s="23">
        <v>10</v>
      </c>
      <c r="JR45" s="23">
        <v>0</v>
      </c>
      <c r="JS45" s="23">
        <v>0</v>
      </c>
      <c r="JT45" s="23">
        <v>0</v>
      </c>
      <c r="JU45" s="23">
        <v>0</v>
      </c>
      <c r="JV45" s="23">
        <v>0</v>
      </c>
      <c r="JW45" s="23">
        <v>0</v>
      </c>
      <c r="JX45" s="23">
        <v>0</v>
      </c>
      <c r="JY45" s="23">
        <v>0</v>
      </c>
      <c r="JZ45" s="23">
        <v>2</v>
      </c>
      <c r="KA45" s="23">
        <v>0</v>
      </c>
      <c r="KB45" s="23">
        <v>0</v>
      </c>
      <c r="KC45" s="23">
        <v>0</v>
      </c>
      <c r="KD45" s="23">
        <v>0</v>
      </c>
      <c r="KE45" s="23">
        <v>0</v>
      </c>
      <c r="KF45" s="23">
        <v>0</v>
      </c>
      <c r="KG45" s="23">
        <v>0</v>
      </c>
      <c r="KH45" s="23">
        <v>1</v>
      </c>
      <c r="KI45" s="23">
        <v>0</v>
      </c>
      <c r="KJ45" s="23">
        <v>0</v>
      </c>
      <c r="KK45" s="23">
        <v>0</v>
      </c>
      <c r="KL45" s="23">
        <v>0</v>
      </c>
      <c r="KM45" s="23">
        <v>0</v>
      </c>
      <c r="KN45" s="23">
        <v>0</v>
      </c>
      <c r="KO45" s="23">
        <v>0</v>
      </c>
      <c r="KP45" s="23">
        <v>0</v>
      </c>
      <c r="KQ45" s="23">
        <v>0</v>
      </c>
      <c r="KR45" s="23">
        <v>0</v>
      </c>
      <c r="KS45" s="23">
        <v>0</v>
      </c>
      <c r="KT45" s="23">
        <v>0</v>
      </c>
      <c r="KU45" s="23">
        <v>0</v>
      </c>
      <c r="KV45" s="23">
        <v>0</v>
      </c>
      <c r="KW45" s="23">
        <v>0</v>
      </c>
      <c r="KX45" s="23">
        <v>0</v>
      </c>
      <c r="KY45" s="23">
        <v>0</v>
      </c>
      <c r="KZ45" s="23">
        <v>0</v>
      </c>
      <c r="LA45" s="23">
        <v>0</v>
      </c>
      <c r="LB45" s="23">
        <v>0</v>
      </c>
      <c r="LC45" s="23">
        <v>0</v>
      </c>
      <c r="LD45" s="23">
        <v>0</v>
      </c>
      <c r="LE45" s="23">
        <v>0</v>
      </c>
      <c r="LF45" s="23">
        <v>0</v>
      </c>
      <c r="LG45" s="23">
        <v>0</v>
      </c>
      <c r="LH45" s="23">
        <v>1</v>
      </c>
      <c r="LI45" s="23">
        <v>0</v>
      </c>
      <c r="LJ45" s="23">
        <v>0</v>
      </c>
      <c r="LK45" s="23">
        <v>0</v>
      </c>
      <c r="LL45" s="23">
        <v>0</v>
      </c>
      <c r="LM45" s="23">
        <v>0</v>
      </c>
      <c r="LN45" s="278">
        <f ca="1">$A45 - TST!Sweden100dt + 1</f>
        <v>-9</v>
      </c>
      <c r="LO45" s="20">
        <f ca="1">INDEX(OFFSET(TST!HeadRow,ROW()-ROW(TST!HeadRow),0,1,COLUMNS(TST!HeadRow)),1,MATCH(LO$5,TST!HeadRow,0))/LO$8</f>
        <v>1.9550342130987295</v>
      </c>
      <c r="LP45" s="278">
        <f ca="1">$A45 - TST!Spain100dt + 1</f>
        <v>-9</v>
      </c>
      <c r="LQ45" s="20">
        <f ca="1">INDEX(OFFSET(TST!HeadRow,ROW()-ROW(TST!HeadRow),0,1,COLUMNS(TST!HeadRow)),1,MATCH(LQ$5,TST!HeadRow,0))/LQ$8</f>
        <v>2.7694929697486153</v>
      </c>
      <c r="LR45" s="285">
        <f ca="1">$A45 - TST!Victoria100dt + 1</f>
        <v>-18</v>
      </c>
      <c r="LS45" s="20">
        <f ca="1">INDEX(OFFSET(TST!HeadRow,ROW()-ROW(TST!HeadRow),0,1,COLUMNS(TST!HeadRow)),1,MATCH(LS$5,TST!HeadRow,0))/LS$8</f>
        <v>6.0340926233217678</v>
      </c>
      <c r="LT45" s="278">
        <f ca="1">$A45 - TST!Iran100dt + 1</f>
        <v>-3</v>
      </c>
      <c r="LU45" s="20">
        <f ca="1">INDEX(OFFSET(TST!HeadRow,ROW()-ROW(TST!HeadRow),0,1,COLUMNS(TST!HeadRow)),1,MATCH(LU$5,TST!HeadRow,0))/LU$8</f>
        <v>16.592458190586466</v>
      </c>
      <c r="LV45" s="278">
        <f ca="1">$A45 - TST!Japan100dt + 1</f>
        <v>-27</v>
      </c>
      <c r="LW45" s="20">
        <f ca="1">INDEX(OFFSET(TST!HeadRow,ROW()-ROW(TST!HeadRow),0,1,COLUMNS(TST!HeadRow)),1,MATCH(LW$5,TST!HeadRow,0))/LW$8</f>
        <v>14.93431237522787</v>
      </c>
      <c r="LX45" s="278">
        <f ca="1">$A45 - TST!Queensland100dt + 1</f>
        <v>-17</v>
      </c>
      <c r="LY45" s="20">
        <f ca="1">INDEX(OFFSET(TST!HeadRow,ROW()-ROW(TST!HeadRow),0,1,COLUMNS(TST!HeadRow)),1,MATCH(LY$5,TST!HeadRow,0))/LY$8</f>
        <v>9.7743092446785251</v>
      </c>
      <c r="LZ45" s="278">
        <f ca="1">$A45 - TST!Tasmania100dt + 1</f>
        <v>-17</v>
      </c>
      <c r="MA45" s="20">
        <f ca="1">INDEX(OFFSET(TST!HeadRow,ROW()-ROW(TST!HeadRow),0,1,COLUMNS(TST!HeadRow)),1,MATCH(MA$5,TST!HeadRow,0))/MA$8</f>
        <v>0</v>
      </c>
      <c r="MB45" s="278">
        <f ca="1">$A45 - TST!SouthAustralia100dt + 1</f>
        <v>-16</v>
      </c>
      <c r="MC45" s="20">
        <f ca="1">INDEX(OFFSET(TST!HeadRow,ROW()-ROW(TST!HeadRow),0,1,COLUMNS(TST!HeadRow)),1,MATCH(MC$5,TST!HeadRow,0))/MC$8</f>
        <v>11.976047904191615</v>
      </c>
      <c r="MD45" s="278">
        <f ca="1">$A45 - TST!AustralianCapitalTerritory100dt + 1</f>
        <v>-22</v>
      </c>
      <c r="ME45" s="20">
        <f ca="1">INDEX(OFFSET(TST!HeadRow,ROW()-ROW(TST!HeadRow),0,1,COLUMNS(TST!HeadRow)),1,MATCH(ME$5,TST!HeadRow,0))/ME$8</f>
        <v>0</v>
      </c>
      <c r="MF45" s="278">
        <f ca="1">$A45 - TST!NorthernTerritory100dt + 1</f>
        <v>-22</v>
      </c>
      <c r="MG45" s="20">
        <f ca="1">INDEX(OFFSET(TST!HeadRow,ROW()-ROW(TST!HeadRow),0,1,COLUMNS(TST!HeadRow)),1,MATCH(MG$5,TST!HeadRow,0))/MG$8</f>
        <v>0</v>
      </c>
      <c r="MH45" s="278">
        <f ca="1">$A45 - TST!WesternAustralia100dt + 1</f>
        <v>-18</v>
      </c>
      <c r="MI45" s="20">
        <f ca="1">INDEX(OFFSET(TST!HeadRow,ROW()-ROW(TST!HeadRow),0,1,COLUMNS(TST!HeadRow)),1,MATCH(MI$5,TST!HeadRow,0))/MI$8</f>
        <v>0</v>
      </c>
      <c r="MJ45" s="278">
        <f ca="1">$A45 - TST!Germany100dt + 1</f>
        <v>-10</v>
      </c>
      <c r="MK45" s="20">
        <f ca="1">INDEX(OFFSET(TST!HeadRow,ROW()-ROW(TST!HeadRow),0,1,COLUMNS(TST!HeadRow)),1,MATCH(MK$5,TST!HeadRow,0))/MK$8</f>
        <v>3.252228378703927</v>
      </c>
      <c r="ML45" s="278">
        <f ca="1">$A45 - TST!Denmark100dt + 1</f>
        <v>-11</v>
      </c>
      <c r="MM45" s="20">
        <f ca="1">INDEX(OFFSET(TST!HeadRow,ROW()-ROW(TST!HeadRow),0,1,COLUMNS(TST!HeadRow)),1,MATCH(MM$5,TST!HeadRow,0))/MM$8</f>
        <v>0</v>
      </c>
      <c r="MN45" s="278">
        <f ca="1">$A45 - TST!SouthAfrica100dt + 1</f>
        <v>-27</v>
      </c>
      <c r="MO45" s="20">
        <f ca="1">INDEX(OFFSET(TST!HeadRow,ROW()-ROW(TST!HeadRow),0,1,COLUMNS(TST!HeadRow)),1,MATCH(MO$5,TST!HeadRow,0))/MO$8</f>
        <v>0</v>
      </c>
      <c r="MP45" s="278">
        <f ca="1">$A45 - TST!UnitedKingdom100dt + 1</f>
        <v>-15</v>
      </c>
      <c r="MQ45" s="20">
        <f ca="1">INDEX(OFFSET(TST!HeadRow,ROW()-ROW(TST!HeadRow),0,1,COLUMNS(TST!HeadRow)),1,MATCH(MQ$5,TST!HeadRow,0))/MQ$8</f>
        <v>1.9566526189042746</v>
      </c>
      <c r="MR45" s="278">
        <f ca="1">$A45 - TST!Ireland100dt + 1</f>
        <v>-15</v>
      </c>
      <c r="MS45" s="20">
        <f ca="1">INDEX(OFFSET(TST!HeadRow,ROW()-ROW(TST!HeadRow),0,1,COLUMNS(TST!HeadRow)),1,MATCH(MS$5,TST!HeadRow,0))/MS$8</f>
        <v>0</v>
      </c>
      <c r="MT45" s="278">
        <f ca="1">$A45 - TST!Italy100dt + 1</f>
        <v>0</v>
      </c>
      <c r="MU45" s="20">
        <f ca="1">INDEX(OFFSET(TST!HeadRow,ROW()-ROW(TST!HeadRow),0,1,COLUMNS(TST!HeadRow)),1,MATCH(MU$5,TST!HeadRow,0))/MU$8</f>
        <v>74.894601967429949</v>
      </c>
      <c r="MV45" s="278">
        <f ca="1">$A45 - TST!US100dt + 1</f>
        <v>-17</v>
      </c>
      <c r="MW45" s="20">
        <f ca="1">INDEX(OFFSET(TST!HeadRow,ROW()-ROW(TST!HeadRow),0,1,COLUMNS(TST!HeadRow)),1,MATCH(MW$5,TST!HeadRow,0))/MW$8</f>
        <v>1.7313243094644886</v>
      </c>
      <c r="MX45" s="278">
        <f ca="1">$A45 - TST!AustraliaSum100dt + 1</f>
        <v>-17</v>
      </c>
      <c r="MY45" s="366">
        <f t="shared" si="8"/>
        <v>5.9138937076170954</v>
      </c>
      <c r="MZ45" s="278">
        <f ca="1">$A45 - TST!NewSouthWales100dt + 1</f>
        <v>-15</v>
      </c>
      <c r="NA45" s="366">
        <f ca="1">INDEX(OFFSET(TST!HeadRow,ROW()-ROW(TST!HeadRow),0,1,COLUMNS(TST!HeadRow)),1,MATCH(NA$5,TST!HeadRow,0))/NA$8</f>
        <v>4.9504950495049505</v>
      </c>
      <c r="NB45" s="278">
        <f ca="1">$A45 - TST!Taiwan100dt + 1</f>
        <v>-28</v>
      </c>
      <c r="NC45" s="366">
        <f ca="1">INDEX(OFFSET(TST!HeadRow,ROW()-ROW(TST!HeadRow),0,1,COLUMNS(TST!HeadRow)),1,MATCH(NC$5,TST!HeadRow,0))/NC$8</f>
        <v>13.441265575801555</v>
      </c>
      <c r="ND45" s="20">
        <f ca="1">$A45 - TST!Hubei100dt + 1</f>
        <v>33</v>
      </c>
      <c r="NE45" s="20">
        <f ca="1">INDEX(OFFSET(TST!HeadRow,ROW()-ROW(TST!HeadRow),0,1,COLUMNS(TST!HeadRow)),1,MATCH(NE$5,TST!HeadRow,0))/NE$8</f>
        <v>11143.076923076924</v>
      </c>
      <c r="NF45" s="20">
        <f ca="1">$A45 - TST!HongKong100dt + 1</f>
        <v>3</v>
      </c>
      <c r="NG45" s="20">
        <f ca="1">INDEX(OFFSET(TST!HeadRow,ROW()-ROW(TST!HeadRow),0,1,COLUMNS(TST!HeadRow)),1,MATCH(NG$5,TST!HeadRow,0))/NG$8</f>
        <v>122.13125754932224</v>
      </c>
    </row>
    <row r="46" spans="1:371" x14ac:dyDescent="0.25">
      <c r="A46" s="243">
        <v>43888</v>
      </c>
      <c r="B46" s="23">
        <v>1</v>
      </c>
      <c r="C46" s="23">
        <v>0</v>
      </c>
      <c r="D46" s="23">
        <v>1</v>
      </c>
      <c r="E46" s="23">
        <v>0</v>
      </c>
      <c r="F46" s="23">
        <v>0</v>
      </c>
      <c r="G46" s="23">
        <v>0</v>
      </c>
      <c r="H46" s="23">
        <v>0</v>
      </c>
      <c r="I46" s="23">
        <v>0</v>
      </c>
      <c r="J46" s="23">
        <v>0</v>
      </c>
      <c r="K46" s="293">
        <v>4</v>
      </c>
      <c r="L46" s="23">
        <v>0</v>
      </c>
      <c r="M46" s="290">
        <v>5</v>
      </c>
      <c r="N46" s="23">
        <v>2</v>
      </c>
      <c r="O46" s="384">
        <v>0</v>
      </c>
      <c r="P46" s="287">
        <v>4</v>
      </c>
      <c r="Q46" s="23">
        <v>0</v>
      </c>
      <c r="R46" s="23">
        <v>3</v>
      </c>
      <c r="S46" s="23">
        <v>0</v>
      </c>
      <c r="T46" s="23">
        <v>0</v>
      </c>
      <c r="U46" s="23">
        <v>33</v>
      </c>
      <c r="V46" s="23">
        <v>0</v>
      </c>
      <c r="W46" s="23">
        <v>0</v>
      </c>
      <c r="X46" s="23">
        <v>0</v>
      </c>
      <c r="Y46" s="23">
        <v>1</v>
      </c>
      <c r="Z46" s="23">
        <v>0</v>
      </c>
      <c r="AA46" s="23">
        <v>0</v>
      </c>
      <c r="AB46" s="23">
        <v>0</v>
      </c>
      <c r="AC46" s="23">
        <v>0</v>
      </c>
      <c r="AD46" s="23">
        <v>1</v>
      </c>
      <c r="AE46" s="23">
        <v>0</v>
      </c>
      <c r="AF46" s="23">
        <v>0</v>
      </c>
      <c r="AG46" s="23">
        <v>0</v>
      </c>
      <c r="AH46" s="23">
        <v>0</v>
      </c>
      <c r="AI46" s="23">
        <v>1</v>
      </c>
      <c r="AJ46" s="23">
        <v>0</v>
      </c>
      <c r="AK46" s="23">
        <v>0</v>
      </c>
      <c r="AL46" s="23">
        <v>7</v>
      </c>
      <c r="AM46" s="23">
        <v>0</v>
      </c>
      <c r="AN46" s="23">
        <v>0</v>
      </c>
      <c r="AO46" s="23">
        <v>0</v>
      </c>
      <c r="AP46" s="23">
        <v>0</v>
      </c>
      <c r="AQ46" s="23">
        <v>0</v>
      </c>
      <c r="AR46" s="23">
        <v>6</v>
      </c>
      <c r="AS46" s="23">
        <v>0</v>
      </c>
      <c r="AT46" s="23">
        <v>0</v>
      </c>
      <c r="AU46" s="23">
        <v>0</v>
      </c>
      <c r="AV46" s="23">
        <v>0</v>
      </c>
      <c r="AW46" s="23">
        <v>0</v>
      </c>
      <c r="AX46" s="23">
        <v>0</v>
      </c>
      <c r="AY46" s="23">
        <v>989</v>
      </c>
      <c r="AZ46" s="23">
        <v>410</v>
      </c>
      <c r="BA46" s="23">
        <v>576</v>
      </c>
      <c r="BB46" s="23">
        <v>296</v>
      </c>
      <c r="BC46" s="23">
        <v>91</v>
      </c>
      <c r="BD46" s="23">
        <v>1347</v>
      </c>
      <c r="BE46" s="23">
        <v>252</v>
      </c>
      <c r="BF46" s="23">
        <v>146</v>
      </c>
      <c r="BG46" s="23">
        <v>168</v>
      </c>
      <c r="BH46" s="23">
        <v>317</v>
      </c>
      <c r="BI46" s="23">
        <v>480</v>
      </c>
      <c r="BJ46" s="23">
        <v>1272</v>
      </c>
      <c r="BK46" s="23">
        <v>92</v>
      </c>
      <c r="BL46" s="23">
        <v>65596</v>
      </c>
      <c r="BM46" s="23">
        <v>1017</v>
      </c>
      <c r="BN46" s="23">
        <v>75</v>
      </c>
      <c r="BO46" s="23">
        <v>631</v>
      </c>
      <c r="BP46" s="23">
        <v>934</v>
      </c>
      <c r="BQ46" s="23">
        <v>93</v>
      </c>
      <c r="BR46" s="23">
        <v>121</v>
      </c>
      <c r="BS46" s="23">
        <v>10</v>
      </c>
      <c r="BT46" s="23">
        <v>72</v>
      </c>
      <c r="BU46" s="23">
        <v>18</v>
      </c>
      <c r="BV46" s="23">
        <v>245</v>
      </c>
      <c r="BW46" s="23">
        <v>756</v>
      </c>
      <c r="BX46" s="23">
        <v>337</v>
      </c>
      <c r="BY46" s="23">
        <v>133</v>
      </c>
      <c r="BZ46" s="23">
        <v>534</v>
      </c>
      <c r="CA46" s="23">
        <v>136</v>
      </c>
      <c r="CB46" s="23">
        <v>1</v>
      </c>
      <c r="CC46" s="23">
        <v>76</v>
      </c>
      <c r="CD46" s="23">
        <v>174</v>
      </c>
      <c r="CE46" s="23">
        <v>1205</v>
      </c>
      <c r="CF46" s="23">
        <v>0</v>
      </c>
      <c r="CG46" s="23">
        <v>0</v>
      </c>
      <c r="CH46" s="23">
        <v>0</v>
      </c>
      <c r="CI46" s="23">
        <v>0</v>
      </c>
      <c r="CJ46" s="23">
        <v>0</v>
      </c>
      <c r="CK46" s="23">
        <v>3</v>
      </c>
      <c r="CL46" s="23">
        <v>705</v>
      </c>
      <c r="CM46" s="23">
        <v>0</v>
      </c>
      <c r="CN46" s="23">
        <v>0</v>
      </c>
      <c r="CO46" s="23">
        <v>0</v>
      </c>
      <c r="CP46" s="23">
        <v>0</v>
      </c>
      <c r="CQ46" s="23">
        <v>0</v>
      </c>
      <c r="CR46" s="23">
        <v>1</v>
      </c>
      <c r="CS46" s="23">
        <v>0</v>
      </c>
      <c r="CT46" s="23">
        <v>0</v>
      </c>
      <c r="CU46" s="23">
        <v>0</v>
      </c>
      <c r="CV46" s="23">
        <v>1</v>
      </c>
      <c r="CW46" s="23">
        <v>0</v>
      </c>
      <c r="CX46" s="23">
        <v>0</v>
      </c>
      <c r="CY46" s="23">
        <v>0</v>
      </c>
      <c r="CZ46" s="23">
        <v>1</v>
      </c>
      <c r="DA46" s="23">
        <v>0</v>
      </c>
      <c r="DB46" s="23">
        <v>0</v>
      </c>
      <c r="DC46" s="23">
        <v>0</v>
      </c>
      <c r="DD46" s="23">
        <v>2</v>
      </c>
      <c r="DE46" s="23">
        <v>0</v>
      </c>
      <c r="DF46" s="23">
        <v>0</v>
      </c>
      <c r="DG46" s="23">
        <v>0</v>
      </c>
      <c r="DH46" s="23">
        <v>0</v>
      </c>
      <c r="DI46" s="23">
        <v>0</v>
      </c>
      <c r="DJ46" s="23">
        <v>0</v>
      </c>
      <c r="DK46" s="23">
        <v>0</v>
      </c>
      <c r="DL46" s="23">
        <v>0</v>
      </c>
      <c r="DM46" s="23">
        <v>0</v>
      </c>
      <c r="DN46" s="23">
        <v>38</v>
      </c>
      <c r="DO46" s="23">
        <v>0</v>
      </c>
      <c r="DP46" s="23">
        <v>0</v>
      </c>
      <c r="DQ46" s="23">
        <v>1</v>
      </c>
      <c r="DR46" s="23">
        <v>46</v>
      </c>
      <c r="DS46" s="23">
        <v>0</v>
      </c>
      <c r="DT46" s="23">
        <v>3</v>
      </c>
      <c r="DU46" s="23">
        <v>0</v>
      </c>
      <c r="DV46" s="23">
        <v>0</v>
      </c>
      <c r="DW46" s="23">
        <v>0</v>
      </c>
      <c r="DX46" s="23">
        <v>0</v>
      </c>
      <c r="DY46" s="23">
        <v>0</v>
      </c>
      <c r="DZ46" s="23">
        <v>0</v>
      </c>
      <c r="EA46" s="23">
        <v>0</v>
      </c>
      <c r="EB46" s="23">
        <v>0</v>
      </c>
      <c r="EC46" s="23">
        <v>3</v>
      </c>
      <c r="ED46" s="23">
        <v>0</v>
      </c>
      <c r="EE46" s="23">
        <v>245</v>
      </c>
      <c r="EF46" s="23">
        <v>7</v>
      </c>
      <c r="EG46" s="23">
        <v>0</v>
      </c>
      <c r="EH46" s="23">
        <v>3</v>
      </c>
      <c r="EI46" s="23">
        <v>655</v>
      </c>
      <c r="EJ46" s="23">
        <v>0</v>
      </c>
      <c r="EK46" s="23">
        <v>214</v>
      </c>
      <c r="EL46" s="23">
        <v>0</v>
      </c>
      <c r="EM46" s="23">
        <v>0</v>
      </c>
      <c r="EN46" s="23">
        <v>0</v>
      </c>
      <c r="EO46" s="23">
        <v>1766</v>
      </c>
      <c r="EP46" s="23">
        <v>43</v>
      </c>
      <c r="EQ46" s="23">
        <v>0</v>
      </c>
      <c r="ER46" s="23">
        <v>0</v>
      </c>
      <c r="ES46" s="23">
        <v>2</v>
      </c>
      <c r="ET46" s="23">
        <v>0</v>
      </c>
      <c r="EU46" s="23">
        <v>0</v>
      </c>
      <c r="EV46" s="23">
        <v>0</v>
      </c>
      <c r="EW46" s="23">
        <v>0</v>
      </c>
      <c r="EX46" s="23">
        <v>0</v>
      </c>
      <c r="EY46" s="23">
        <v>23</v>
      </c>
      <c r="EZ46" s="23">
        <v>0</v>
      </c>
      <c r="FA46" s="23">
        <v>0</v>
      </c>
      <c r="FB46" s="23">
        <v>0</v>
      </c>
      <c r="FC46" s="23">
        <v>0</v>
      </c>
      <c r="FD46" s="23">
        <v>0</v>
      </c>
      <c r="FE46" s="23">
        <v>0</v>
      </c>
      <c r="FF46" s="23">
        <v>0</v>
      </c>
      <c r="FG46" s="23">
        <v>0</v>
      </c>
      <c r="FH46" s="23">
        <v>0</v>
      </c>
      <c r="FI46" s="23">
        <v>0</v>
      </c>
      <c r="FJ46" s="23">
        <v>0</v>
      </c>
      <c r="FK46" s="23">
        <v>1</v>
      </c>
      <c r="FL46" s="23">
        <v>0</v>
      </c>
      <c r="FM46" s="23">
        <v>0</v>
      </c>
      <c r="FN46" s="23">
        <v>0</v>
      </c>
      <c r="FO46" s="23">
        <v>1</v>
      </c>
      <c r="FP46" s="23">
        <v>0</v>
      </c>
      <c r="FQ46" s="23">
        <v>0</v>
      </c>
      <c r="FR46" s="23">
        <v>0</v>
      </c>
      <c r="FS46" s="23">
        <v>0</v>
      </c>
      <c r="FT46" s="23">
        <v>1</v>
      </c>
      <c r="FU46" s="23">
        <v>1</v>
      </c>
      <c r="FV46" s="23">
        <v>4</v>
      </c>
      <c r="FW46" s="23">
        <v>2</v>
      </c>
      <c r="FX46" s="23">
        <v>0</v>
      </c>
      <c r="FY46" s="23">
        <v>0</v>
      </c>
      <c r="FZ46" s="23">
        <v>0</v>
      </c>
      <c r="GA46" s="23">
        <v>0</v>
      </c>
      <c r="GB46" s="23">
        <v>3</v>
      </c>
      <c r="GC46" s="23">
        <v>0</v>
      </c>
      <c r="GD46" s="23">
        <v>0</v>
      </c>
      <c r="GE46" s="23">
        <v>0</v>
      </c>
      <c r="GF46" s="23">
        <v>1</v>
      </c>
      <c r="GG46" s="23">
        <v>2</v>
      </c>
      <c r="GH46" s="23">
        <v>0</v>
      </c>
      <c r="GI46" s="23">
        <v>0</v>
      </c>
      <c r="GJ46" s="23">
        <v>0</v>
      </c>
      <c r="GK46" s="23">
        <v>1</v>
      </c>
      <c r="GL46" s="23">
        <v>0</v>
      </c>
      <c r="GM46" s="23">
        <v>0</v>
      </c>
      <c r="GN46" s="23">
        <v>0</v>
      </c>
      <c r="GO46" s="23">
        <v>0</v>
      </c>
      <c r="GP46" s="23">
        <v>93</v>
      </c>
      <c r="GQ46" s="23">
        <v>0</v>
      </c>
      <c r="GR46" s="23">
        <v>0</v>
      </c>
      <c r="GS46" s="23">
        <v>0</v>
      </c>
      <c r="GT46" s="23">
        <v>0</v>
      </c>
      <c r="GU46" s="23">
        <v>15</v>
      </c>
      <c r="GV46" s="23">
        <v>1</v>
      </c>
      <c r="GW46" s="23">
        <v>0</v>
      </c>
      <c r="GX46" s="23">
        <v>0</v>
      </c>
      <c r="GY46" s="23">
        <v>7</v>
      </c>
      <c r="GZ46" s="23">
        <v>8</v>
      </c>
      <c r="HA46" s="23">
        <v>32</v>
      </c>
      <c r="HB46" s="23">
        <v>0</v>
      </c>
      <c r="HC46" s="23">
        <v>40</v>
      </c>
      <c r="HD46" s="23">
        <v>0</v>
      </c>
      <c r="HE46" s="23">
        <v>0</v>
      </c>
      <c r="HF46" s="23">
        <v>0</v>
      </c>
      <c r="HG46" s="23">
        <v>0</v>
      </c>
      <c r="HH46" s="23">
        <v>0</v>
      </c>
      <c r="HI46" s="23">
        <v>0</v>
      </c>
      <c r="HJ46" s="23">
        <v>13</v>
      </c>
      <c r="HK46" s="23">
        <v>0</v>
      </c>
      <c r="HL46" s="23">
        <v>0</v>
      </c>
      <c r="HM46" s="23">
        <v>0</v>
      </c>
      <c r="HN46" s="23">
        <v>0</v>
      </c>
      <c r="HO46" s="23">
        <v>0</v>
      </c>
      <c r="HP46" s="23">
        <v>0</v>
      </c>
      <c r="HQ46" s="23">
        <v>15</v>
      </c>
      <c r="HR46" s="23">
        <v>0</v>
      </c>
      <c r="HS46" s="23">
        <v>58</v>
      </c>
      <c r="HT46" s="23">
        <v>0</v>
      </c>
      <c r="HU46" s="23">
        <v>0</v>
      </c>
      <c r="HV46" s="23">
        <v>16</v>
      </c>
      <c r="HW46" s="23">
        <v>0</v>
      </c>
      <c r="HX46" s="23">
        <v>0</v>
      </c>
      <c r="HY46" s="23">
        <v>0</v>
      </c>
      <c r="HZ46" s="23">
        <v>0</v>
      </c>
      <c r="IA46" s="23">
        <v>0</v>
      </c>
      <c r="IB46" s="23">
        <v>0</v>
      </c>
      <c r="IC46" s="23">
        <v>0</v>
      </c>
      <c r="ID46" s="23">
        <v>0</v>
      </c>
      <c r="IE46" s="23">
        <v>0</v>
      </c>
      <c r="IF46" s="23">
        <v>0</v>
      </c>
      <c r="IG46" s="23">
        <v>0</v>
      </c>
      <c r="IH46" s="23">
        <v>0</v>
      </c>
      <c r="II46" s="23">
        <v>0</v>
      </c>
      <c r="IJ46" s="23">
        <v>0</v>
      </c>
      <c r="IK46" s="23">
        <v>0</v>
      </c>
      <c r="IL46" s="23">
        <v>0</v>
      </c>
      <c r="IM46" s="23">
        <v>0</v>
      </c>
      <c r="IN46" s="23">
        <v>0</v>
      </c>
      <c r="IO46" s="23">
        <v>0</v>
      </c>
      <c r="IP46" s="23">
        <v>0</v>
      </c>
      <c r="IQ46" s="23">
        <v>0</v>
      </c>
      <c r="IR46" s="23">
        <v>0</v>
      </c>
      <c r="IS46" s="23">
        <v>0</v>
      </c>
      <c r="IT46" s="23">
        <v>0</v>
      </c>
      <c r="IU46" s="23">
        <v>0</v>
      </c>
      <c r="IV46" s="23">
        <v>0</v>
      </c>
      <c r="IW46" s="23">
        <v>0</v>
      </c>
      <c r="IX46" s="23">
        <v>0</v>
      </c>
      <c r="IY46" s="23">
        <v>0</v>
      </c>
      <c r="IZ46" s="23">
        <v>0</v>
      </c>
      <c r="JA46" s="23">
        <v>0</v>
      </c>
      <c r="JB46" s="23">
        <v>0</v>
      </c>
      <c r="JC46" s="23">
        <v>0</v>
      </c>
      <c r="JD46" s="23">
        <v>0</v>
      </c>
      <c r="JE46" s="23">
        <v>0</v>
      </c>
      <c r="JF46" s="23">
        <v>0</v>
      </c>
      <c r="JG46" s="23">
        <v>0</v>
      </c>
      <c r="JH46" s="23">
        <v>0</v>
      </c>
      <c r="JI46" s="23">
        <v>0</v>
      </c>
      <c r="JJ46" s="23">
        <v>0</v>
      </c>
      <c r="JK46" s="23">
        <v>0</v>
      </c>
      <c r="JL46" s="23">
        <v>0</v>
      </c>
      <c r="JM46" s="23">
        <v>0</v>
      </c>
      <c r="JN46" s="23">
        <v>0</v>
      </c>
      <c r="JO46" s="23">
        <v>1</v>
      </c>
      <c r="JP46" s="23">
        <v>0</v>
      </c>
      <c r="JQ46" s="23">
        <v>11</v>
      </c>
      <c r="JR46" s="23">
        <v>0</v>
      </c>
      <c r="JS46" s="23">
        <v>0</v>
      </c>
      <c r="JT46" s="23">
        <v>0</v>
      </c>
      <c r="JU46" s="23">
        <v>0</v>
      </c>
      <c r="JV46" s="23">
        <v>0</v>
      </c>
      <c r="JW46" s="23">
        <v>0</v>
      </c>
      <c r="JX46" s="23">
        <v>0</v>
      </c>
      <c r="JY46" s="23">
        <v>0</v>
      </c>
      <c r="JZ46" s="23">
        <v>2</v>
      </c>
      <c r="KA46" s="23">
        <v>0</v>
      </c>
      <c r="KB46" s="23">
        <v>0</v>
      </c>
      <c r="KC46" s="23">
        <v>0</v>
      </c>
      <c r="KD46" s="23">
        <v>0</v>
      </c>
      <c r="KE46" s="23">
        <v>0</v>
      </c>
      <c r="KF46" s="23">
        <v>0</v>
      </c>
      <c r="KG46" s="23">
        <v>0</v>
      </c>
      <c r="KH46" s="23">
        <v>1</v>
      </c>
      <c r="KI46" s="23">
        <v>0</v>
      </c>
      <c r="KJ46" s="23">
        <v>0</v>
      </c>
      <c r="KK46" s="23">
        <v>0</v>
      </c>
      <c r="KL46" s="23">
        <v>0</v>
      </c>
      <c r="KM46" s="23">
        <v>0</v>
      </c>
      <c r="KN46" s="23">
        <v>0</v>
      </c>
      <c r="KO46" s="23">
        <v>0</v>
      </c>
      <c r="KP46" s="23">
        <v>0</v>
      </c>
      <c r="KQ46" s="23">
        <v>0</v>
      </c>
      <c r="KR46" s="23">
        <v>0</v>
      </c>
      <c r="KS46" s="23">
        <v>0</v>
      </c>
      <c r="KT46" s="23">
        <v>0</v>
      </c>
      <c r="KU46" s="23">
        <v>0</v>
      </c>
      <c r="KV46" s="23">
        <v>0</v>
      </c>
      <c r="KW46" s="23">
        <v>0</v>
      </c>
      <c r="KX46" s="23">
        <v>0</v>
      </c>
      <c r="KY46" s="23">
        <v>0</v>
      </c>
      <c r="KZ46" s="23">
        <v>0</v>
      </c>
      <c r="LA46" s="23">
        <v>0</v>
      </c>
      <c r="LB46" s="23">
        <v>0</v>
      </c>
      <c r="LC46" s="23">
        <v>0</v>
      </c>
      <c r="LD46" s="23">
        <v>0</v>
      </c>
      <c r="LE46" s="23">
        <v>0</v>
      </c>
      <c r="LF46" s="23">
        <v>0</v>
      </c>
      <c r="LG46" s="23">
        <v>0</v>
      </c>
      <c r="LH46" s="23">
        <v>1</v>
      </c>
      <c r="LI46" s="23">
        <v>0</v>
      </c>
      <c r="LJ46" s="23">
        <v>0</v>
      </c>
      <c r="LK46" s="23">
        <v>0</v>
      </c>
      <c r="LL46" s="23">
        <v>0</v>
      </c>
      <c r="LM46" s="23">
        <v>0</v>
      </c>
      <c r="LN46" s="278">
        <f ca="1">$A46 - TST!Sweden100dt + 1</f>
        <v>-8</v>
      </c>
      <c r="LO46" s="20">
        <f ca="1">INDEX(OFFSET(TST!HeadRow,ROW()-ROW(TST!HeadRow),0,1,COLUMNS(TST!HeadRow)),1,MATCH(LO$5,TST!HeadRow,0))/LO$8</f>
        <v>6.8426197458455533</v>
      </c>
      <c r="LP46" s="278">
        <f ca="1">$A46 - TST!Spain100dt + 1</f>
        <v>-8</v>
      </c>
      <c r="LQ46" s="20">
        <f ca="1">INDEX(OFFSET(TST!HeadRow,ROW()-ROW(TST!HeadRow),0,1,COLUMNS(TST!HeadRow)),1,MATCH(LQ$5,TST!HeadRow,0))/LQ$8</f>
        <v>3.1955688112484024</v>
      </c>
      <c r="LR46" s="285">
        <f ca="1">$A46 - TST!Victoria100dt + 1</f>
        <v>-17</v>
      </c>
      <c r="LS46" s="20">
        <f ca="1">INDEX(OFFSET(TST!HeadRow,ROW()-ROW(TST!HeadRow),0,1,COLUMNS(TST!HeadRow)),1,MATCH(LS$5,TST!HeadRow,0))/LS$8</f>
        <v>6.0340926233217678</v>
      </c>
      <c r="LT46" s="278">
        <f ca="1">$A46 - TST!Iran100dt + 1</f>
        <v>-2</v>
      </c>
      <c r="LU46" s="20">
        <f ca="1">INDEX(OFFSET(TST!HeadRow,ROW()-ROW(TST!HeadRow),0,1,COLUMNS(TST!HeadRow)),1,MATCH(LU$5,TST!HeadRow,0))/LU$8</f>
        <v>29.245699688443771</v>
      </c>
      <c r="LV46" s="278">
        <f ca="1">$A46 - TST!Japan100dt + 1</f>
        <v>-26</v>
      </c>
      <c r="LW46" s="20">
        <f ca="1">INDEX(OFFSET(TST!HeadRow,ROW()-ROW(TST!HeadRow),0,1,COLUMNS(TST!HeadRow)),1,MATCH(LW$5,TST!HeadRow,0))/LW$8</f>
        <v>16.909750520099283</v>
      </c>
      <c r="LX46" s="278">
        <f ca="1">$A46 - TST!Queensland100dt + 1</f>
        <v>-16</v>
      </c>
      <c r="LY46" s="20">
        <f ca="1">INDEX(OFFSET(TST!HeadRow,ROW()-ROW(TST!HeadRow),0,1,COLUMNS(TST!HeadRow)),1,MATCH(LY$5,TST!HeadRow,0))/LY$8</f>
        <v>9.7743092446785251</v>
      </c>
      <c r="LZ46" s="278">
        <f ca="1">$A46 - TST!Tasmania100dt + 1</f>
        <v>-16</v>
      </c>
      <c r="MA46" s="20">
        <f ca="1">INDEX(OFFSET(TST!HeadRow,ROW()-ROW(TST!HeadRow),0,1,COLUMNS(TST!HeadRow)),1,MATCH(MA$5,TST!HeadRow,0))/MA$8</f>
        <v>0</v>
      </c>
      <c r="MB46" s="278">
        <f ca="1">$A46 - TST!SouthAustralia100dt + 1</f>
        <v>-15</v>
      </c>
      <c r="MC46" s="20">
        <f ca="1">INDEX(OFFSET(TST!HeadRow,ROW()-ROW(TST!HeadRow),0,1,COLUMNS(TST!HeadRow)),1,MATCH(MC$5,TST!HeadRow,0))/MC$8</f>
        <v>11.976047904191615</v>
      </c>
      <c r="MD46" s="278">
        <f ca="1">$A46 - TST!AustralianCapitalTerritory100dt + 1</f>
        <v>-21</v>
      </c>
      <c r="ME46" s="20">
        <f ca="1">INDEX(OFFSET(TST!HeadRow,ROW()-ROW(TST!HeadRow),0,1,COLUMNS(TST!HeadRow)),1,MATCH(ME$5,TST!HeadRow,0))/ME$8</f>
        <v>0</v>
      </c>
      <c r="MF46" s="278">
        <f ca="1">$A46 - TST!NorthernTerritory100dt + 1</f>
        <v>-21</v>
      </c>
      <c r="MG46" s="20">
        <f ca="1">INDEX(OFFSET(TST!HeadRow,ROW()-ROW(TST!HeadRow),0,1,COLUMNS(TST!HeadRow)),1,MATCH(MG$5,TST!HeadRow,0))/MG$8</f>
        <v>0</v>
      </c>
      <c r="MH46" s="278">
        <f ca="1">$A46 - TST!WesternAustralia100dt + 1</f>
        <v>-17</v>
      </c>
      <c r="MI46" s="20">
        <f ca="1">INDEX(OFFSET(TST!HeadRow,ROW()-ROW(TST!HeadRow),0,1,COLUMNS(TST!HeadRow)),1,MATCH(MI$5,TST!HeadRow,0))/MI$8</f>
        <v>0</v>
      </c>
      <c r="MJ46" s="278">
        <f ca="1">$A46 - TST!Germany100dt + 1</f>
        <v>-9</v>
      </c>
      <c r="MK46" s="20">
        <f ca="1">INDEX(OFFSET(TST!HeadRow,ROW()-ROW(TST!HeadRow),0,1,COLUMNS(TST!HeadRow)),1,MATCH(MK$5,TST!HeadRow,0))/MK$8</f>
        <v>5.540833534088172</v>
      </c>
      <c r="ML46" s="278">
        <f ca="1">$A46 - TST!Denmark100dt + 1</f>
        <v>-10</v>
      </c>
      <c r="MM46" s="20">
        <f ca="1">INDEX(OFFSET(TST!HeadRow,ROW()-ROW(TST!HeadRow),0,1,COLUMNS(TST!HeadRow)),1,MATCH(MM$5,TST!HeadRow,0))/MM$8</f>
        <v>1.722356183258698</v>
      </c>
      <c r="MN46" s="278">
        <f ca="1">$A46 - TST!SouthAfrica100dt + 1</f>
        <v>-26</v>
      </c>
      <c r="MO46" s="20">
        <f ca="1">INDEX(OFFSET(TST!HeadRow,ROW()-ROW(TST!HeadRow),0,1,COLUMNS(TST!HeadRow)),1,MATCH(MO$5,TST!HeadRow,0))/MO$8</f>
        <v>0</v>
      </c>
      <c r="MP46" s="278">
        <f ca="1">$A46 - TST!UnitedKingdom100dt + 1</f>
        <v>-14</v>
      </c>
      <c r="MQ46" s="20">
        <f ca="1">INDEX(OFFSET(TST!HeadRow,ROW()-ROW(TST!HeadRow),0,1,COLUMNS(TST!HeadRow)),1,MATCH(MQ$5,TST!HeadRow,0))/MQ$8</f>
        <v>2.2576760987357014</v>
      </c>
      <c r="MR46" s="278">
        <f ca="1">$A46 - TST!Ireland100dt + 1</f>
        <v>-14</v>
      </c>
      <c r="MS46" s="20">
        <f ca="1">INDEX(OFFSET(TST!HeadRow,ROW()-ROW(TST!HeadRow),0,1,COLUMNS(TST!HeadRow)),1,MATCH(MS$5,TST!HeadRow,0))/MS$8</f>
        <v>0</v>
      </c>
      <c r="MT46" s="278">
        <f ca="1">$A46 - TST!Italy100dt + 1</f>
        <v>1</v>
      </c>
      <c r="MU46" s="20">
        <f ca="1">INDEX(OFFSET(TST!HeadRow,ROW()-ROW(TST!HeadRow),0,1,COLUMNS(TST!HeadRow)),1,MATCH(MU$5,TST!HeadRow,0))/MU$8</f>
        <v>108.29131189551129</v>
      </c>
      <c r="MV46" s="278">
        <f ca="1">$A46 - TST!US100dt + 1</f>
        <v>-16</v>
      </c>
      <c r="MW46" s="20">
        <f ca="1">INDEX(OFFSET(TST!HeadRow,ROW()-ROW(TST!HeadRow),0,1,COLUMNS(TST!HeadRow)),1,MATCH(MW$5,TST!HeadRow,0))/MW$8</f>
        <v>1.761698420156848</v>
      </c>
      <c r="MX46" s="278">
        <f ca="1">$A46 - TST!AustraliaSum100dt + 1</f>
        <v>-16</v>
      </c>
      <c r="MY46" s="366">
        <f t="shared" si="8"/>
        <v>5.9138937076170954</v>
      </c>
      <c r="MZ46" s="278">
        <f ca="1">$A46 - TST!NewSouthWales100dt + 1</f>
        <v>-14</v>
      </c>
      <c r="NA46" s="366">
        <f ca="1">INDEX(OFFSET(TST!HeadRow,ROW()-ROW(TST!HeadRow),0,1,COLUMNS(TST!HeadRow)),1,MATCH(NA$5,TST!HeadRow,0))/NA$8</f>
        <v>4.9504950495049505</v>
      </c>
      <c r="NB46" s="278">
        <f ca="1">$A46 - TST!Taiwan100dt + 1</f>
        <v>-27</v>
      </c>
      <c r="NC46" s="366">
        <f ca="1">INDEX(OFFSET(TST!HeadRow,ROW()-ROW(TST!HeadRow),0,1,COLUMNS(TST!HeadRow)),1,MATCH(NC$5,TST!HeadRow,0))/NC$8</f>
        <v>13.441265575801555</v>
      </c>
      <c r="ND46" s="20">
        <f ca="1">$A46 - TST!Hubei100dt + 1</f>
        <v>34</v>
      </c>
      <c r="NE46" s="20">
        <f ca="1">INDEX(OFFSET(TST!HeadRow,ROW()-ROW(TST!HeadRow),0,1,COLUMNS(TST!HeadRow)),1,MATCH(NE$5,TST!HeadRow,0))/NE$8</f>
        <v>11212.991452991453</v>
      </c>
      <c r="NF46" s="20">
        <f ca="1">$A46 - TST!HongKong100dt + 1</f>
        <v>4</v>
      </c>
      <c r="NG46" s="20">
        <f ca="1">INDEX(OFFSET(TST!HeadRow,ROW()-ROW(TST!HeadRow),0,1,COLUMNS(TST!HeadRow)),1,MATCH(NG$5,TST!HeadRow,0))/NG$8</f>
        <v>123.47335928063347</v>
      </c>
    </row>
    <row r="47" spans="1:371" x14ac:dyDescent="0.25">
      <c r="A47" s="243">
        <v>43889</v>
      </c>
      <c r="B47" s="23">
        <v>1</v>
      </c>
      <c r="C47" s="23">
        <v>0</v>
      </c>
      <c r="D47" s="23">
        <v>1</v>
      </c>
      <c r="E47" s="23">
        <v>0</v>
      </c>
      <c r="F47" s="23">
        <v>0</v>
      </c>
      <c r="G47" s="23">
        <v>0</v>
      </c>
      <c r="H47" s="23">
        <v>0</v>
      </c>
      <c r="I47" s="23">
        <v>0</v>
      </c>
      <c r="J47" s="23">
        <v>0</v>
      </c>
      <c r="K47" s="293">
        <v>4</v>
      </c>
      <c r="L47" s="23">
        <v>0</v>
      </c>
      <c r="M47" s="290">
        <v>5</v>
      </c>
      <c r="N47" s="23">
        <v>2</v>
      </c>
      <c r="O47" s="384">
        <v>0</v>
      </c>
      <c r="P47" s="287">
        <v>4</v>
      </c>
      <c r="Q47" s="23">
        <v>0</v>
      </c>
      <c r="R47" s="23">
        <v>3</v>
      </c>
      <c r="S47" s="23">
        <v>0</v>
      </c>
      <c r="T47" s="23">
        <v>0</v>
      </c>
      <c r="U47" s="23">
        <v>36</v>
      </c>
      <c r="V47" s="23">
        <v>0</v>
      </c>
      <c r="W47" s="23">
        <v>0</v>
      </c>
      <c r="X47" s="23">
        <v>1</v>
      </c>
      <c r="Y47" s="23">
        <v>1</v>
      </c>
      <c r="Z47" s="23">
        <v>0</v>
      </c>
      <c r="AA47" s="23">
        <v>0</v>
      </c>
      <c r="AB47" s="23">
        <v>0</v>
      </c>
      <c r="AC47" s="23">
        <v>0</v>
      </c>
      <c r="AD47" s="23">
        <v>1</v>
      </c>
      <c r="AE47" s="23">
        <v>0</v>
      </c>
      <c r="AF47" s="23">
        <v>0</v>
      </c>
      <c r="AG47" s="23">
        <v>0</v>
      </c>
      <c r="AH47" s="23">
        <v>0</v>
      </c>
      <c r="AI47" s="23">
        <v>1</v>
      </c>
      <c r="AJ47" s="23">
        <v>0</v>
      </c>
      <c r="AK47" s="23">
        <v>0</v>
      </c>
      <c r="AL47" s="23">
        <v>7</v>
      </c>
      <c r="AM47" s="23">
        <v>0</v>
      </c>
      <c r="AN47" s="23">
        <v>0</v>
      </c>
      <c r="AO47" s="23">
        <v>0</v>
      </c>
      <c r="AP47" s="23">
        <v>0</v>
      </c>
      <c r="AQ47" s="23">
        <v>0</v>
      </c>
      <c r="AR47" s="23">
        <v>6</v>
      </c>
      <c r="AS47" s="23">
        <v>0</v>
      </c>
      <c r="AT47" s="23">
        <v>1</v>
      </c>
      <c r="AU47" s="23">
        <v>0</v>
      </c>
      <c r="AV47" s="23">
        <v>0</v>
      </c>
      <c r="AW47" s="23">
        <v>0</v>
      </c>
      <c r="AX47" s="23">
        <v>0</v>
      </c>
      <c r="AY47" s="23">
        <v>990</v>
      </c>
      <c r="AZ47" s="23">
        <v>410</v>
      </c>
      <c r="BA47" s="23">
        <v>576</v>
      </c>
      <c r="BB47" s="23">
        <v>296</v>
      </c>
      <c r="BC47" s="23">
        <v>91</v>
      </c>
      <c r="BD47" s="23">
        <v>1348</v>
      </c>
      <c r="BE47" s="23">
        <v>252</v>
      </c>
      <c r="BF47" s="23">
        <v>146</v>
      </c>
      <c r="BG47" s="23">
        <v>168</v>
      </c>
      <c r="BH47" s="23">
        <v>318</v>
      </c>
      <c r="BI47" s="23">
        <v>480</v>
      </c>
      <c r="BJ47" s="23">
        <v>1272</v>
      </c>
      <c r="BK47" s="23">
        <v>94</v>
      </c>
      <c r="BL47" s="23">
        <v>65914</v>
      </c>
      <c r="BM47" s="23">
        <v>1017</v>
      </c>
      <c r="BN47" s="23">
        <v>75</v>
      </c>
      <c r="BO47" s="23">
        <v>631</v>
      </c>
      <c r="BP47" s="23">
        <v>935</v>
      </c>
      <c r="BQ47" s="23">
        <v>93</v>
      </c>
      <c r="BR47" s="23">
        <v>121</v>
      </c>
      <c r="BS47" s="23">
        <v>10</v>
      </c>
      <c r="BT47" s="23">
        <v>72</v>
      </c>
      <c r="BU47" s="23">
        <v>18</v>
      </c>
      <c r="BV47" s="23">
        <v>245</v>
      </c>
      <c r="BW47" s="23">
        <v>756</v>
      </c>
      <c r="BX47" s="23">
        <v>337</v>
      </c>
      <c r="BY47" s="23">
        <v>133</v>
      </c>
      <c r="BZ47" s="23">
        <v>538</v>
      </c>
      <c r="CA47" s="23">
        <v>136</v>
      </c>
      <c r="CB47" s="23">
        <v>1</v>
      </c>
      <c r="CC47" s="23">
        <v>76</v>
      </c>
      <c r="CD47" s="23">
        <v>174</v>
      </c>
      <c r="CE47" s="23">
        <v>1205</v>
      </c>
      <c r="CF47" s="23">
        <v>0</v>
      </c>
      <c r="CG47" s="23">
        <v>0</v>
      </c>
      <c r="CH47" s="23">
        <v>0</v>
      </c>
      <c r="CI47" s="23">
        <v>0</v>
      </c>
      <c r="CJ47" s="23">
        <v>0</v>
      </c>
      <c r="CK47" s="23">
        <v>5</v>
      </c>
      <c r="CL47" s="23">
        <v>705</v>
      </c>
      <c r="CM47" s="23">
        <v>0</v>
      </c>
      <c r="CN47" s="23">
        <v>0</v>
      </c>
      <c r="CO47" s="23">
        <v>0</v>
      </c>
      <c r="CP47" s="23">
        <v>0</v>
      </c>
      <c r="CQ47" s="23">
        <v>0</v>
      </c>
      <c r="CR47" s="23">
        <v>1</v>
      </c>
      <c r="CS47" s="23">
        <v>0</v>
      </c>
      <c r="CT47" s="23">
        <v>0</v>
      </c>
      <c r="CU47" s="23">
        <v>0</v>
      </c>
      <c r="CV47" s="23">
        <v>1</v>
      </c>
      <c r="CW47" s="23">
        <v>0</v>
      </c>
      <c r="CX47" s="23">
        <v>0</v>
      </c>
      <c r="CY47" s="23">
        <v>0</v>
      </c>
      <c r="CZ47" s="23">
        <v>1</v>
      </c>
      <c r="DA47" s="23">
        <v>0</v>
      </c>
      <c r="DB47" s="23">
        <v>0</v>
      </c>
      <c r="DC47" s="23">
        <v>0</v>
      </c>
      <c r="DD47" s="23">
        <v>2</v>
      </c>
      <c r="DE47" s="23">
        <v>0</v>
      </c>
      <c r="DF47" s="23">
        <v>0</v>
      </c>
      <c r="DG47" s="23">
        <v>0</v>
      </c>
      <c r="DH47" s="23">
        <v>0</v>
      </c>
      <c r="DI47" s="23">
        <v>0</v>
      </c>
      <c r="DJ47" s="23">
        <v>0</v>
      </c>
      <c r="DK47" s="23">
        <v>0</v>
      </c>
      <c r="DL47" s="23">
        <v>0</v>
      </c>
      <c r="DM47" s="23">
        <v>0</v>
      </c>
      <c r="DN47" s="23">
        <v>57</v>
      </c>
      <c r="DO47" s="23">
        <v>0</v>
      </c>
      <c r="DP47" s="23">
        <v>0</v>
      </c>
      <c r="DQ47" s="23">
        <v>1</v>
      </c>
      <c r="DR47" s="23">
        <v>48</v>
      </c>
      <c r="DS47" s="23">
        <v>0</v>
      </c>
      <c r="DT47" s="23">
        <v>4</v>
      </c>
      <c r="DU47" s="23">
        <v>0</v>
      </c>
      <c r="DV47" s="23">
        <v>0</v>
      </c>
      <c r="DW47" s="23">
        <v>0</v>
      </c>
      <c r="DX47" s="23">
        <v>0</v>
      </c>
      <c r="DY47" s="23">
        <v>0</v>
      </c>
      <c r="DZ47" s="23">
        <v>0</v>
      </c>
      <c r="EA47" s="23">
        <v>0</v>
      </c>
      <c r="EB47" s="23">
        <v>1</v>
      </c>
      <c r="EC47" s="23">
        <v>3</v>
      </c>
      <c r="ED47" s="23">
        <v>0</v>
      </c>
      <c r="EE47" s="23">
        <v>388</v>
      </c>
      <c r="EF47" s="23">
        <v>7</v>
      </c>
      <c r="EG47" s="23">
        <v>0</v>
      </c>
      <c r="EH47" s="23">
        <v>4</v>
      </c>
      <c r="EI47" s="23">
        <v>888</v>
      </c>
      <c r="EJ47" s="23">
        <v>0</v>
      </c>
      <c r="EK47" s="23">
        <v>228</v>
      </c>
      <c r="EL47" s="23">
        <v>0</v>
      </c>
      <c r="EM47" s="23">
        <v>0</v>
      </c>
      <c r="EN47" s="23">
        <v>0</v>
      </c>
      <c r="EO47" s="23">
        <v>2337</v>
      </c>
      <c r="EP47" s="23">
        <v>45</v>
      </c>
      <c r="EQ47" s="23">
        <v>0</v>
      </c>
      <c r="ER47" s="23">
        <v>0</v>
      </c>
      <c r="ES47" s="23">
        <v>2</v>
      </c>
      <c r="ET47" s="23">
        <v>0</v>
      </c>
      <c r="EU47" s="23">
        <v>0</v>
      </c>
      <c r="EV47" s="23">
        <v>1</v>
      </c>
      <c r="EW47" s="23">
        <v>0</v>
      </c>
      <c r="EX47" s="23">
        <v>0</v>
      </c>
      <c r="EY47" s="23">
        <v>23</v>
      </c>
      <c r="EZ47" s="23">
        <v>0</v>
      </c>
      <c r="FA47" s="23">
        <v>0</v>
      </c>
      <c r="FB47" s="23">
        <v>0</v>
      </c>
      <c r="FC47" s="23">
        <v>0</v>
      </c>
      <c r="FD47" s="23">
        <v>1</v>
      </c>
      <c r="FE47" s="23">
        <v>0</v>
      </c>
      <c r="FF47" s="23">
        <v>0</v>
      </c>
      <c r="FG47" s="23">
        <v>0</v>
      </c>
      <c r="FH47" s="23">
        <v>0</v>
      </c>
      <c r="FI47" s="23">
        <v>0</v>
      </c>
      <c r="FJ47" s="23">
        <v>0</v>
      </c>
      <c r="FK47" s="23">
        <v>1</v>
      </c>
      <c r="FL47" s="23">
        <v>0</v>
      </c>
      <c r="FM47" s="23">
        <v>0</v>
      </c>
      <c r="FN47" s="23">
        <v>0</v>
      </c>
      <c r="FO47" s="23">
        <v>1</v>
      </c>
      <c r="FP47" s="23">
        <v>1</v>
      </c>
      <c r="FQ47" s="23">
        <v>0</v>
      </c>
      <c r="FR47" s="23">
        <v>0</v>
      </c>
      <c r="FS47" s="23">
        <v>1</v>
      </c>
      <c r="FT47" s="23">
        <v>1</v>
      </c>
      <c r="FU47" s="23">
        <v>6</v>
      </c>
      <c r="FV47" s="23">
        <v>4</v>
      </c>
      <c r="FW47" s="23">
        <v>2</v>
      </c>
      <c r="FX47" s="23">
        <v>0</v>
      </c>
      <c r="FY47" s="23">
        <v>0</v>
      </c>
      <c r="FZ47" s="23">
        <v>0</v>
      </c>
      <c r="GA47" s="23">
        <v>0</v>
      </c>
      <c r="GB47" s="23">
        <v>3</v>
      </c>
      <c r="GC47" s="23">
        <v>0</v>
      </c>
      <c r="GD47" s="23">
        <v>0</v>
      </c>
      <c r="GE47" s="23">
        <v>0</v>
      </c>
      <c r="GF47" s="23">
        <v>3</v>
      </c>
      <c r="GG47" s="23">
        <v>2</v>
      </c>
      <c r="GH47" s="23">
        <v>0</v>
      </c>
      <c r="GI47" s="23">
        <v>0</v>
      </c>
      <c r="GJ47" s="23">
        <v>0</v>
      </c>
      <c r="GK47" s="23">
        <v>1</v>
      </c>
      <c r="GL47" s="23">
        <v>0</v>
      </c>
      <c r="GM47" s="23">
        <v>0</v>
      </c>
      <c r="GN47" s="23">
        <v>0</v>
      </c>
      <c r="GO47" s="23">
        <v>0</v>
      </c>
      <c r="GP47" s="23">
        <v>93</v>
      </c>
      <c r="GQ47" s="23">
        <v>0</v>
      </c>
      <c r="GR47" s="23">
        <v>0</v>
      </c>
      <c r="GS47" s="23">
        <v>0</v>
      </c>
      <c r="GT47" s="23">
        <v>0</v>
      </c>
      <c r="GU47" s="23">
        <v>32</v>
      </c>
      <c r="GV47" s="23">
        <v>1</v>
      </c>
      <c r="GW47" s="23">
        <v>0</v>
      </c>
      <c r="GX47" s="23">
        <v>0</v>
      </c>
      <c r="GY47" s="23">
        <v>7</v>
      </c>
      <c r="GZ47" s="23">
        <v>8</v>
      </c>
      <c r="HA47" s="23">
        <v>34</v>
      </c>
      <c r="HB47" s="23">
        <v>0</v>
      </c>
      <c r="HC47" s="23">
        <v>41</v>
      </c>
      <c r="HD47" s="23">
        <v>0</v>
      </c>
      <c r="HE47" s="23">
        <v>0</v>
      </c>
      <c r="HF47" s="23">
        <v>0</v>
      </c>
      <c r="HG47" s="23">
        <v>0</v>
      </c>
      <c r="HH47" s="23">
        <v>0</v>
      </c>
      <c r="HI47" s="23">
        <v>0</v>
      </c>
      <c r="HJ47" s="23">
        <v>19</v>
      </c>
      <c r="HK47" s="23">
        <v>0</v>
      </c>
      <c r="HL47" s="23">
        <v>0</v>
      </c>
      <c r="HM47" s="23">
        <v>0</v>
      </c>
      <c r="HN47" s="23">
        <v>0</v>
      </c>
      <c r="HO47" s="23">
        <v>0</v>
      </c>
      <c r="HP47" s="23">
        <v>0</v>
      </c>
      <c r="HQ47" s="23">
        <v>20</v>
      </c>
      <c r="HR47" s="23">
        <v>0</v>
      </c>
      <c r="HS47" s="23">
        <v>60</v>
      </c>
      <c r="HT47" s="23">
        <v>0</v>
      </c>
      <c r="HU47" s="23">
        <v>0</v>
      </c>
      <c r="HV47" s="23">
        <v>16</v>
      </c>
      <c r="HW47" s="23">
        <v>0</v>
      </c>
      <c r="HX47" s="23">
        <v>0</v>
      </c>
      <c r="HY47" s="23">
        <v>0</v>
      </c>
      <c r="HZ47" s="23">
        <v>0</v>
      </c>
      <c r="IA47" s="23">
        <v>0</v>
      </c>
      <c r="IB47" s="23">
        <v>0</v>
      </c>
      <c r="IC47" s="23">
        <v>0</v>
      </c>
      <c r="ID47" s="23">
        <v>0</v>
      </c>
      <c r="IE47" s="23">
        <v>0</v>
      </c>
      <c r="IF47" s="23">
        <v>0</v>
      </c>
      <c r="IG47" s="23">
        <v>0</v>
      </c>
      <c r="IH47" s="23">
        <v>0</v>
      </c>
      <c r="II47" s="23">
        <v>0</v>
      </c>
      <c r="IJ47" s="23">
        <v>0</v>
      </c>
      <c r="IK47" s="23">
        <v>0</v>
      </c>
      <c r="IL47" s="23">
        <v>0</v>
      </c>
      <c r="IM47" s="23">
        <v>0</v>
      </c>
      <c r="IN47" s="23">
        <v>0</v>
      </c>
      <c r="IO47" s="23">
        <v>0</v>
      </c>
      <c r="IP47" s="23">
        <v>0</v>
      </c>
      <c r="IQ47" s="23">
        <v>0</v>
      </c>
      <c r="IR47" s="23">
        <v>0</v>
      </c>
      <c r="IS47" s="23">
        <v>0</v>
      </c>
      <c r="IT47" s="23">
        <v>0</v>
      </c>
      <c r="IU47" s="23">
        <v>0</v>
      </c>
      <c r="IV47" s="23">
        <v>0</v>
      </c>
      <c r="IW47" s="23">
        <v>0</v>
      </c>
      <c r="IX47" s="23">
        <v>0</v>
      </c>
      <c r="IY47" s="23">
        <v>0</v>
      </c>
      <c r="IZ47" s="23">
        <v>0</v>
      </c>
      <c r="JA47" s="23">
        <v>0</v>
      </c>
      <c r="JB47" s="23">
        <v>0</v>
      </c>
      <c r="JC47" s="23">
        <v>0</v>
      </c>
      <c r="JD47" s="23">
        <v>0</v>
      </c>
      <c r="JE47" s="23">
        <v>0</v>
      </c>
      <c r="JF47" s="23">
        <v>0</v>
      </c>
      <c r="JG47" s="23">
        <v>0</v>
      </c>
      <c r="JH47" s="23">
        <v>0</v>
      </c>
      <c r="JI47" s="23">
        <v>0</v>
      </c>
      <c r="JJ47" s="23">
        <v>0</v>
      </c>
      <c r="JK47" s="23">
        <v>0</v>
      </c>
      <c r="JL47" s="23">
        <v>0</v>
      </c>
      <c r="JM47" s="23">
        <v>0</v>
      </c>
      <c r="JN47" s="23">
        <v>0</v>
      </c>
      <c r="JO47" s="23">
        <v>1</v>
      </c>
      <c r="JP47" s="23">
        <v>0</v>
      </c>
      <c r="JQ47" s="23">
        <v>11</v>
      </c>
      <c r="JR47" s="23">
        <v>0</v>
      </c>
      <c r="JS47" s="23">
        <v>0</v>
      </c>
      <c r="JT47" s="23">
        <v>0</v>
      </c>
      <c r="JU47" s="23">
        <v>0</v>
      </c>
      <c r="JV47" s="23">
        <v>0</v>
      </c>
      <c r="JW47" s="23">
        <v>0</v>
      </c>
      <c r="JX47" s="23">
        <v>0</v>
      </c>
      <c r="JY47" s="23">
        <v>0</v>
      </c>
      <c r="JZ47" s="23">
        <v>2</v>
      </c>
      <c r="KA47" s="23">
        <v>0</v>
      </c>
      <c r="KB47" s="23">
        <v>0</v>
      </c>
      <c r="KC47" s="23">
        <v>0</v>
      </c>
      <c r="KD47" s="23">
        <v>0</v>
      </c>
      <c r="KE47" s="23">
        <v>0</v>
      </c>
      <c r="KF47" s="23">
        <v>0</v>
      </c>
      <c r="KG47" s="23">
        <v>0</v>
      </c>
      <c r="KH47" s="23">
        <v>1</v>
      </c>
      <c r="KI47" s="23">
        <v>0</v>
      </c>
      <c r="KJ47" s="23">
        <v>0</v>
      </c>
      <c r="KK47" s="23">
        <v>0</v>
      </c>
      <c r="KL47" s="23">
        <v>0</v>
      </c>
      <c r="KM47" s="23">
        <v>0</v>
      </c>
      <c r="KN47" s="23">
        <v>0</v>
      </c>
      <c r="KO47" s="23">
        <v>0</v>
      </c>
      <c r="KP47" s="23">
        <v>0</v>
      </c>
      <c r="KQ47" s="23">
        <v>0</v>
      </c>
      <c r="KR47" s="23">
        <v>0</v>
      </c>
      <c r="KS47" s="23">
        <v>0</v>
      </c>
      <c r="KT47" s="23">
        <v>0</v>
      </c>
      <c r="KU47" s="23">
        <v>0</v>
      </c>
      <c r="KV47" s="23">
        <v>0</v>
      </c>
      <c r="KW47" s="23">
        <v>0</v>
      </c>
      <c r="KX47" s="23">
        <v>0</v>
      </c>
      <c r="KY47" s="23">
        <v>0</v>
      </c>
      <c r="KZ47" s="23">
        <v>0</v>
      </c>
      <c r="LA47" s="23">
        <v>0</v>
      </c>
      <c r="LB47" s="23">
        <v>0</v>
      </c>
      <c r="LC47" s="23">
        <v>0</v>
      </c>
      <c r="LD47" s="23">
        <v>0</v>
      </c>
      <c r="LE47" s="23">
        <v>0</v>
      </c>
      <c r="LF47" s="23">
        <v>0</v>
      </c>
      <c r="LG47" s="23">
        <v>0</v>
      </c>
      <c r="LH47" s="23">
        <v>1</v>
      </c>
      <c r="LI47" s="23">
        <v>0</v>
      </c>
      <c r="LJ47" s="23">
        <v>0</v>
      </c>
      <c r="LK47" s="23">
        <v>0</v>
      </c>
      <c r="LL47" s="23">
        <v>0</v>
      </c>
      <c r="LM47" s="23">
        <v>0</v>
      </c>
      <c r="LN47" s="278">
        <f ca="1">$A47 - TST!Sweden100dt + 1</f>
        <v>-7</v>
      </c>
      <c r="LO47" s="20">
        <f ca="1">INDEX(OFFSET(TST!HeadRow,ROW()-ROW(TST!HeadRow),0,1,COLUMNS(TST!HeadRow)),1,MATCH(LO$5,TST!HeadRow,0))/LO$8</f>
        <v>6.8426197458455533</v>
      </c>
      <c r="LP47" s="278">
        <f ca="1">$A47 - TST!Spain100dt + 1</f>
        <v>-7</v>
      </c>
      <c r="LQ47" s="20">
        <f ca="1">INDEX(OFFSET(TST!HeadRow,ROW()-ROW(TST!HeadRow),0,1,COLUMNS(TST!HeadRow)),1,MATCH(LQ$5,TST!HeadRow,0))/LQ$8</f>
        <v>6.8172134639965911</v>
      </c>
      <c r="LR47" s="285">
        <f ca="1">$A47 - TST!Victoria100dt + 1</f>
        <v>-16</v>
      </c>
      <c r="LS47" s="20">
        <f ca="1">INDEX(OFFSET(TST!HeadRow,ROW()-ROW(TST!HeadRow),0,1,COLUMNS(TST!HeadRow)),1,MATCH(LS$5,TST!HeadRow,0))/LS$8</f>
        <v>6.0340926233217678</v>
      </c>
      <c r="LT47" s="278">
        <f ca="1">$A47 - TST!Iran100dt + 1</f>
        <v>-1</v>
      </c>
      <c r="LU47" s="20">
        <f ca="1">INDEX(OFFSET(TST!HeadRow,ROW()-ROW(TST!HeadRow),0,1,COLUMNS(TST!HeadRow)),1,MATCH(LU$5,TST!HeadRow,0))/LU$8</f>
        <v>46.315638690270134</v>
      </c>
      <c r="LV47" s="278">
        <f ca="1">$A47 - TST!Japan100dt + 1</f>
        <v>-25</v>
      </c>
      <c r="LW47" s="20">
        <f ca="1">INDEX(OFFSET(TST!HeadRow,ROW()-ROW(TST!HeadRow),0,1,COLUMNS(TST!HeadRow)),1,MATCH(LW$5,TST!HeadRow,0))/LW$8</f>
        <v>18.015995881227273</v>
      </c>
      <c r="LX47" s="278">
        <f ca="1">$A47 - TST!Queensland100dt + 1</f>
        <v>-15</v>
      </c>
      <c r="LY47" s="20">
        <f ca="1">INDEX(OFFSET(TST!HeadRow,ROW()-ROW(TST!HeadRow),0,1,COLUMNS(TST!HeadRow)),1,MATCH(LY$5,TST!HeadRow,0))/LY$8</f>
        <v>9.7743092446785251</v>
      </c>
      <c r="LZ47" s="278">
        <f ca="1">$A47 - TST!Tasmania100dt + 1</f>
        <v>-15</v>
      </c>
      <c r="MA47" s="20">
        <f ca="1">INDEX(OFFSET(TST!HeadRow,ROW()-ROW(TST!HeadRow),0,1,COLUMNS(TST!HeadRow)),1,MATCH(MA$5,TST!HeadRow,0))/MA$8</f>
        <v>0</v>
      </c>
      <c r="MB47" s="278">
        <f ca="1">$A47 - TST!SouthAustralia100dt + 1</f>
        <v>-14</v>
      </c>
      <c r="MC47" s="20">
        <f ca="1">INDEX(OFFSET(TST!HeadRow,ROW()-ROW(TST!HeadRow),0,1,COLUMNS(TST!HeadRow)),1,MATCH(MC$5,TST!HeadRow,0))/MC$8</f>
        <v>11.976047904191615</v>
      </c>
      <c r="MD47" s="278">
        <f ca="1">$A47 - TST!AustralianCapitalTerritory100dt + 1</f>
        <v>-20</v>
      </c>
      <c r="ME47" s="20">
        <f ca="1">INDEX(OFFSET(TST!HeadRow,ROW()-ROW(TST!HeadRow),0,1,COLUMNS(TST!HeadRow)),1,MATCH(ME$5,TST!HeadRow,0))/ME$8</f>
        <v>0</v>
      </c>
      <c r="MF47" s="278">
        <f ca="1">$A47 - TST!NorthernTerritory100dt + 1</f>
        <v>-20</v>
      </c>
      <c r="MG47" s="20">
        <f ca="1">INDEX(OFFSET(TST!HeadRow,ROW()-ROW(TST!HeadRow),0,1,COLUMNS(TST!HeadRow)),1,MATCH(MG$5,TST!HeadRow,0))/MG$8</f>
        <v>0</v>
      </c>
      <c r="MH47" s="278">
        <f ca="1">$A47 - TST!WesternAustralia100dt + 1</f>
        <v>-16</v>
      </c>
      <c r="MI47" s="20">
        <f ca="1">INDEX(OFFSET(TST!HeadRow,ROW()-ROW(TST!HeadRow),0,1,COLUMNS(TST!HeadRow)),1,MATCH(MI$5,TST!HeadRow,0))/MI$8</f>
        <v>0</v>
      </c>
      <c r="MJ47" s="278">
        <f ca="1">$A47 - TST!Germany100dt + 1</f>
        <v>-8</v>
      </c>
      <c r="MK47" s="20">
        <f ca="1">INDEX(OFFSET(TST!HeadRow,ROW()-ROW(TST!HeadRow),0,1,COLUMNS(TST!HeadRow)),1,MATCH(MK$5,TST!HeadRow,0))/MK$8</f>
        <v>5.7817393399180927</v>
      </c>
      <c r="ML47" s="278">
        <f ca="1">$A47 - TST!Denmark100dt + 1</f>
        <v>-9</v>
      </c>
      <c r="MM47" s="20">
        <f ca="1">INDEX(OFFSET(TST!HeadRow,ROW()-ROW(TST!HeadRow),0,1,COLUMNS(TST!HeadRow)),1,MATCH(MM$5,TST!HeadRow,0))/MM$8</f>
        <v>1.722356183258698</v>
      </c>
      <c r="MN47" s="278">
        <f ca="1">$A47 - TST!SouthAfrica100dt + 1</f>
        <v>-25</v>
      </c>
      <c r="MO47" s="20">
        <f ca="1">INDEX(OFFSET(TST!HeadRow,ROW()-ROW(TST!HeadRow),0,1,COLUMNS(TST!HeadRow)),1,MATCH(MO$5,TST!HeadRow,0))/MO$8</f>
        <v>0</v>
      </c>
      <c r="MP47" s="278">
        <f ca="1">$A47 - TST!UnitedKingdom100dt + 1</f>
        <v>-13</v>
      </c>
      <c r="MQ47" s="20">
        <f ca="1">INDEX(OFFSET(TST!HeadRow,ROW()-ROW(TST!HeadRow),0,1,COLUMNS(TST!HeadRow)),1,MATCH(MQ$5,TST!HeadRow,0))/MQ$8</f>
        <v>3.0102347983142685</v>
      </c>
      <c r="MR47" s="278">
        <f ca="1">$A47 - TST!Ireland100dt + 1</f>
        <v>-13</v>
      </c>
      <c r="MS47" s="20">
        <f ca="1">INDEX(OFFSET(TST!HeadRow,ROW()-ROW(TST!HeadRow),0,1,COLUMNS(TST!HeadRow)),1,MATCH(MS$5,TST!HeadRow,0))/MS$8</f>
        <v>0</v>
      </c>
      <c r="MT47" s="278">
        <f ca="1">$A47 - TST!Italy100dt + 1</f>
        <v>2</v>
      </c>
      <c r="MU47" s="20">
        <f ca="1">INDEX(OFFSET(TST!HeadRow,ROW()-ROW(TST!HeadRow),0,1,COLUMNS(TST!HeadRow)),1,MATCH(MU$5,TST!HeadRow,0))/MU$8</f>
        <v>146.81325948582293</v>
      </c>
      <c r="MV47" s="278">
        <f ca="1">$A47 - TST!US100dt + 1</f>
        <v>-15</v>
      </c>
      <c r="MW47" s="20">
        <f ca="1">INDEX(OFFSET(TST!HeadRow,ROW()-ROW(TST!HeadRow),0,1,COLUMNS(TST!HeadRow)),1,MATCH(MW$5,TST!HeadRow,0))/MW$8</f>
        <v>1.822446641541567</v>
      </c>
      <c r="MX47" s="278">
        <f ca="1">$A47 - TST!AustraliaSum100dt + 1</f>
        <v>-15</v>
      </c>
      <c r="MY47" s="366">
        <f t="shared" si="8"/>
        <v>5.9138937076170954</v>
      </c>
      <c r="MZ47" s="278">
        <f ca="1">$A47 - TST!NewSouthWales100dt + 1</f>
        <v>-13</v>
      </c>
      <c r="NA47" s="366">
        <f ca="1">INDEX(OFFSET(TST!HeadRow,ROW()-ROW(TST!HeadRow),0,1,COLUMNS(TST!HeadRow)),1,MATCH(NA$5,TST!HeadRow,0))/NA$8</f>
        <v>4.9504950495049505</v>
      </c>
      <c r="NB47" s="278">
        <f ca="1">$A47 - TST!Taiwan100dt + 1</f>
        <v>-26</v>
      </c>
      <c r="NC47" s="366">
        <f ca="1">INDEX(OFFSET(TST!HeadRow,ROW()-ROW(TST!HeadRow),0,1,COLUMNS(TST!HeadRow)),1,MATCH(NC$5,TST!HeadRow,0))/NC$8</f>
        <v>14.281344674289151</v>
      </c>
      <c r="ND47" s="20">
        <f ca="1">$A47 - TST!Hubei100dt + 1</f>
        <v>35</v>
      </c>
      <c r="NE47" s="20">
        <f ca="1">INDEX(OFFSET(TST!HeadRow,ROW()-ROW(TST!HeadRow),0,1,COLUMNS(TST!HeadRow)),1,MATCH(NE$5,TST!HeadRow,0))/NE$8</f>
        <v>11267.350427350428</v>
      </c>
      <c r="NF47" s="20">
        <f ca="1">$A47 - TST!HongKong100dt + 1</f>
        <v>5</v>
      </c>
      <c r="NG47" s="20">
        <f ca="1">INDEX(OFFSET(TST!HeadRow,ROW()-ROW(TST!HeadRow),0,1,COLUMNS(TST!HeadRow)),1,MATCH(NG$5,TST!HeadRow,0))/NG$8</f>
        <v>126.15756274325594</v>
      </c>
    </row>
    <row r="48" spans="1:371" x14ac:dyDescent="0.25">
      <c r="A48" s="243">
        <v>43890</v>
      </c>
      <c r="B48" s="23">
        <v>1</v>
      </c>
      <c r="C48" s="23">
        <v>0</v>
      </c>
      <c r="D48" s="23">
        <v>1</v>
      </c>
      <c r="E48" s="23">
        <v>0</v>
      </c>
      <c r="F48" s="23">
        <v>0</v>
      </c>
      <c r="G48" s="23">
        <v>0</v>
      </c>
      <c r="H48" s="23">
        <v>0</v>
      </c>
      <c r="I48" s="23">
        <v>0</v>
      </c>
      <c r="J48" s="23">
        <v>0</v>
      </c>
      <c r="K48" s="293">
        <v>4</v>
      </c>
      <c r="L48" s="23">
        <v>0</v>
      </c>
      <c r="M48" s="290">
        <v>9</v>
      </c>
      <c r="N48" s="23">
        <v>3</v>
      </c>
      <c r="O48" s="384">
        <v>0</v>
      </c>
      <c r="P48" s="287">
        <v>7</v>
      </c>
      <c r="Q48" s="23">
        <v>2</v>
      </c>
      <c r="R48" s="23">
        <v>9</v>
      </c>
      <c r="S48" s="23">
        <v>0</v>
      </c>
      <c r="T48" s="23">
        <v>0</v>
      </c>
      <c r="U48" s="23">
        <v>41</v>
      </c>
      <c r="V48" s="23">
        <v>0</v>
      </c>
      <c r="W48" s="23">
        <v>0</v>
      </c>
      <c r="X48" s="23">
        <v>1</v>
      </c>
      <c r="Y48" s="23">
        <v>1</v>
      </c>
      <c r="Z48" s="23">
        <v>0</v>
      </c>
      <c r="AA48" s="23">
        <v>0</v>
      </c>
      <c r="AB48" s="23">
        <v>0</v>
      </c>
      <c r="AC48" s="23">
        <v>0</v>
      </c>
      <c r="AD48" s="23">
        <v>2</v>
      </c>
      <c r="AE48" s="23">
        <v>0</v>
      </c>
      <c r="AF48" s="23">
        <v>0</v>
      </c>
      <c r="AG48" s="23">
        <v>0</v>
      </c>
      <c r="AH48" s="23">
        <v>0</v>
      </c>
      <c r="AI48" s="23">
        <v>1</v>
      </c>
      <c r="AJ48" s="23">
        <v>0</v>
      </c>
      <c r="AK48" s="23">
        <v>0</v>
      </c>
      <c r="AL48" s="23">
        <v>8</v>
      </c>
      <c r="AM48" s="23">
        <v>0</v>
      </c>
      <c r="AN48" s="23">
        <v>0</v>
      </c>
      <c r="AO48" s="23">
        <v>0</v>
      </c>
      <c r="AP48" s="23">
        <v>0</v>
      </c>
      <c r="AQ48" s="23">
        <v>0</v>
      </c>
      <c r="AR48" s="23">
        <v>11</v>
      </c>
      <c r="AS48" s="23">
        <v>0</v>
      </c>
      <c r="AT48" s="23">
        <v>1</v>
      </c>
      <c r="AU48" s="23">
        <v>0</v>
      </c>
      <c r="AV48" s="23">
        <v>0</v>
      </c>
      <c r="AW48" s="23">
        <v>0</v>
      </c>
      <c r="AX48" s="23">
        <v>0</v>
      </c>
      <c r="AY48" s="23">
        <v>990</v>
      </c>
      <c r="AZ48" s="23">
        <v>411</v>
      </c>
      <c r="BA48" s="23">
        <v>576</v>
      </c>
      <c r="BB48" s="23">
        <v>296</v>
      </c>
      <c r="BC48" s="23">
        <v>91</v>
      </c>
      <c r="BD48" s="23">
        <v>1349</v>
      </c>
      <c r="BE48" s="23">
        <v>252</v>
      </c>
      <c r="BF48" s="23">
        <v>146</v>
      </c>
      <c r="BG48" s="23">
        <v>168</v>
      </c>
      <c r="BH48" s="23">
        <v>318</v>
      </c>
      <c r="BI48" s="23">
        <v>480</v>
      </c>
      <c r="BJ48" s="23">
        <v>1272</v>
      </c>
      <c r="BK48" s="23">
        <v>95</v>
      </c>
      <c r="BL48" s="23">
        <v>66337</v>
      </c>
      <c r="BM48" s="23">
        <v>1018</v>
      </c>
      <c r="BN48" s="23">
        <v>75</v>
      </c>
      <c r="BO48" s="23">
        <v>631</v>
      </c>
      <c r="BP48" s="23">
        <v>935</v>
      </c>
      <c r="BQ48" s="23">
        <v>93</v>
      </c>
      <c r="BR48" s="23">
        <v>121</v>
      </c>
      <c r="BS48" s="23">
        <v>10</v>
      </c>
      <c r="BT48" s="23">
        <v>73</v>
      </c>
      <c r="BU48" s="23">
        <v>18</v>
      </c>
      <c r="BV48" s="23">
        <v>245</v>
      </c>
      <c r="BW48" s="23">
        <v>756</v>
      </c>
      <c r="BX48" s="23">
        <v>337</v>
      </c>
      <c r="BY48" s="23">
        <v>133</v>
      </c>
      <c r="BZ48" s="23">
        <v>538</v>
      </c>
      <c r="CA48" s="23">
        <v>136</v>
      </c>
      <c r="CB48" s="23">
        <v>1</v>
      </c>
      <c r="CC48" s="23">
        <v>76</v>
      </c>
      <c r="CD48" s="23">
        <v>174</v>
      </c>
      <c r="CE48" s="23">
        <v>1205</v>
      </c>
      <c r="CF48" s="23">
        <v>0</v>
      </c>
      <c r="CG48" s="23">
        <v>0</v>
      </c>
      <c r="CH48" s="23">
        <v>0</v>
      </c>
      <c r="CI48" s="23">
        <v>0</v>
      </c>
      <c r="CJ48" s="23">
        <v>0</v>
      </c>
      <c r="CK48" s="23">
        <v>6</v>
      </c>
      <c r="CL48" s="23">
        <v>705</v>
      </c>
      <c r="CM48" s="23">
        <v>0</v>
      </c>
      <c r="CN48" s="23">
        <v>0</v>
      </c>
      <c r="CO48" s="23">
        <v>0</v>
      </c>
      <c r="CP48" s="23">
        <v>0</v>
      </c>
      <c r="CQ48" s="23">
        <v>0</v>
      </c>
      <c r="CR48" s="23">
        <v>3</v>
      </c>
      <c r="CS48" s="23">
        <v>0</v>
      </c>
      <c r="CT48" s="23">
        <v>0</v>
      </c>
      <c r="CU48" s="23">
        <v>0</v>
      </c>
      <c r="CV48" s="23">
        <v>1</v>
      </c>
      <c r="CW48" s="23">
        <v>0</v>
      </c>
      <c r="CX48" s="23">
        <v>0</v>
      </c>
      <c r="CY48" s="23">
        <v>0</v>
      </c>
      <c r="CZ48" s="23">
        <v>1</v>
      </c>
      <c r="DA48" s="23">
        <v>0</v>
      </c>
      <c r="DB48" s="23">
        <v>0</v>
      </c>
      <c r="DC48" s="23">
        <v>0</v>
      </c>
      <c r="DD48" s="23">
        <v>3</v>
      </c>
      <c r="DE48" s="23">
        <v>0</v>
      </c>
      <c r="DF48" s="23">
        <v>0</v>
      </c>
      <c r="DG48" s="23">
        <v>0</v>
      </c>
      <c r="DH48" s="23">
        <v>0</v>
      </c>
      <c r="DI48" s="23">
        <v>0</v>
      </c>
      <c r="DJ48" s="23">
        <v>0</v>
      </c>
      <c r="DK48" s="23">
        <v>0</v>
      </c>
      <c r="DL48" s="23">
        <v>0</v>
      </c>
      <c r="DM48" s="23">
        <v>0</v>
      </c>
      <c r="DN48" s="23">
        <v>100</v>
      </c>
      <c r="DO48" s="23">
        <v>0</v>
      </c>
      <c r="DP48" s="23">
        <v>0</v>
      </c>
      <c r="DQ48" s="23">
        <v>1</v>
      </c>
      <c r="DR48" s="23">
        <v>79</v>
      </c>
      <c r="DS48" s="23">
        <v>0</v>
      </c>
      <c r="DT48" s="23">
        <v>4</v>
      </c>
      <c r="DU48" s="23">
        <v>0</v>
      </c>
      <c r="DV48" s="23">
        <v>0</v>
      </c>
      <c r="DW48" s="23">
        <v>0</v>
      </c>
      <c r="DX48" s="23">
        <v>0</v>
      </c>
      <c r="DY48" s="23">
        <v>0</v>
      </c>
      <c r="DZ48" s="23">
        <v>0</v>
      </c>
      <c r="EA48" s="23">
        <v>0</v>
      </c>
      <c r="EB48" s="23">
        <v>1</v>
      </c>
      <c r="EC48" s="23">
        <v>3</v>
      </c>
      <c r="ED48" s="23">
        <v>0</v>
      </c>
      <c r="EE48" s="23">
        <v>593</v>
      </c>
      <c r="EF48" s="23">
        <v>13</v>
      </c>
      <c r="EG48" s="23">
        <v>1</v>
      </c>
      <c r="EH48" s="23">
        <v>7</v>
      </c>
      <c r="EI48" s="23">
        <v>1128</v>
      </c>
      <c r="EJ48" s="23">
        <v>0</v>
      </c>
      <c r="EK48" s="23">
        <v>241</v>
      </c>
      <c r="EL48" s="23">
        <v>0</v>
      </c>
      <c r="EM48" s="23">
        <v>0</v>
      </c>
      <c r="EN48" s="23">
        <v>0</v>
      </c>
      <c r="EO48" s="23">
        <v>3150</v>
      </c>
      <c r="EP48" s="23">
        <v>45</v>
      </c>
      <c r="EQ48" s="23">
        <v>0</v>
      </c>
      <c r="ER48" s="23">
        <v>0</v>
      </c>
      <c r="ES48" s="23">
        <v>4</v>
      </c>
      <c r="ET48" s="23">
        <v>0</v>
      </c>
      <c r="EU48" s="23">
        <v>0</v>
      </c>
      <c r="EV48" s="23">
        <v>1</v>
      </c>
      <c r="EW48" s="23">
        <v>1</v>
      </c>
      <c r="EX48" s="23">
        <v>0</v>
      </c>
      <c r="EY48" s="23">
        <v>25</v>
      </c>
      <c r="EZ48" s="23">
        <v>0</v>
      </c>
      <c r="FA48" s="23">
        <v>0</v>
      </c>
      <c r="FB48" s="23">
        <v>0</v>
      </c>
      <c r="FC48" s="23">
        <v>0</v>
      </c>
      <c r="FD48" s="23">
        <v>4</v>
      </c>
      <c r="FE48" s="23">
        <v>0</v>
      </c>
      <c r="FF48" s="23">
        <v>1</v>
      </c>
      <c r="FG48" s="23">
        <v>0</v>
      </c>
      <c r="FH48" s="23">
        <v>0</v>
      </c>
      <c r="FI48" s="23">
        <v>0</v>
      </c>
      <c r="FJ48" s="23">
        <v>0</v>
      </c>
      <c r="FK48" s="23">
        <v>1</v>
      </c>
      <c r="FL48" s="23">
        <v>0</v>
      </c>
      <c r="FM48" s="23">
        <v>0</v>
      </c>
      <c r="FN48" s="23">
        <v>0</v>
      </c>
      <c r="FO48" s="23">
        <v>6</v>
      </c>
      <c r="FP48" s="23">
        <v>1</v>
      </c>
      <c r="FQ48" s="23">
        <v>0</v>
      </c>
      <c r="FR48" s="23">
        <v>0</v>
      </c>
      <c r="FS48" s="23">
        <v>1</v>
      </c>
      <c r="FT48" s="23">
        <v>1</v>
      </c>
      <c r="FU48" s="23">
        <v>15</v>
      </c>
      <c r="FV48" s="23">
        <v>6</v>
      </c>
      <c r="FW48" s="23">
        <v>4</v>
      </c>
      <c r="FX48" s="23">
        <v>0</v>
      </c>
      <c r="FY48" s="23">
        <v>0</v>
      </c>
      <c r="FZ48" s="23">
        <v>0</v>
      </c>
      <c r="GA48" s="23">
        <v>0</v>
      </c>
      <c r="GB48" s="23">
        <v>3</v>
      </c>
      <c r="GC48" s="23">
        <v>0</v>
      </c>
      <c r="GD48" s="23">
        <v>0</v>
      </c>
      <c r="GE48" s="23">
        <v>1</v>
      </c>
      <c r="GF48" s="23">
        <v>3</v>
      </c>
      <c r="GG48" s="23">
        <v>2</v>
      </c>
      <c r="GH48" s="23">
        <v>0</v>
      </c>
      <c r="GI48" s="23">
        <v>0</v>
      </c>
      <c r="GJ48" s="23">
        <v>0</v>
      </c>
      <c r="GK48" s="23">
        <v>1</v>
      </c>
      <c r="GL48" s="23">
        <v>0</v>
      </c>
      <c r="GM48" s="23">
        <v>0</v>
      </c>
      <c r="GN48" s="23">
        <v>0</v>
      </c>
      <c r="GO48" s="23">
        <v>0</v>
      </c>
      <c r="GP48" s="23">
        <v>102</v>
      </c>
      <c r="GQ48" s="23">
        <v>0</v>
      </c>
      <c r="GR48" s="23">
        <v>0</v>
      </c>
      <c r="GS48" s="23">
        <v>0</v>
      </c>
      <c r="GT48" s="23">
        <v>0</v>
      </c>
      <c r="GU48" s="23">
        <v>45</v>
      </c>
      <c r="GV48" s="23">
        <v>1</v>
      </c>
      <c r="GW48" s="23">
        <v>0</v>
      </c>
      <c r="GX48" s="23">
        <v>0</v>
      </c>
      <c r="GY48" s="23">
        <v>12</v>
      </c>
      <c r="GZ48" s="23">
        <v>18</v>
      </c>
      <c r="HA48" s="23">
        <v>39</v>
      </c>
      <c r="HB48" s="23">
        <v>0</v>
      </c>
      <c r="HC48" s="23">
        <v>42</v>
      </c>
      <c r="HD48" s="23">
        <v>0</v>
      </c>
      <c r="HE48" s="23">
        <v>0</v>
      </c>
      <c r="HF48" s="23">
        <v>0</v>
      </c>
      <c r="HG48" s="23">
        <v>0</v>
      </c>
      <c r="HH48" s="23">
        <v>0</v>
      </c>
      <c r="HI48" s="23">
        <v>0</v>
      </c>
      <c r="HJ48" s="23">
        <v>21</v>
      </c>
      <c r="HK48" s="23">
        <v>0</v>
      </c>
      <c r="HL48" s="23">
        <v>0</v>
      </c>
      <c r="HM48" s="23">
        <v>0</v>
      </c>
      <c r="HN48" s="23">
        <v>0</v>
      </c>
      <c r="HO48" s="23">
        <v>0</v>
      </c>
      <c r="HP48" s="23">
        <v>0</v>
      </c>
      <c r="HQ48" s="23">
        <v>23</v>
      </c>
      <c r="HR48" s="23">
        <v>0</v>
      </c>
      <c r="HS48" s="23">
        <v>68</v>
      </c>
      <c r="HT48" s="23">
        <v>0</v>
      </c>
      <c r="HU48" s="23">
        <v>0</v>
      </c>
      <c r="HV48" s="23">
        <v>16</v>
      </c>
      <c r="HW48" s="23">
        <v>0</v>
      </c>
      <c r="HX48" s="23">
        <v>0</v>
      </c>
      <c r="HY48" s="23">
        <v>0</v>
      </c>
      <c r="HZ48" s="23">
        <v>0</v>
      </c>
      <c r="IA48" s="23">
        <v>0</v>
      </c>
      <c r="IB48" s="23">
        <v>0</v>
      </c>
      <c r="IC48" s="23">
        <v>0</v>
      </c>
      <c r="ID48" s="23">
        <v>0</v>
      </c>
      <c r="IE48" s="23">
        <v>0</v>
      </c>
      <c r="IF48" s="23">
        <v>0</v>
      </c>
      <c r="IG48" s="23">
        <v>0</v>
      </c>
      <c r="IH48" s="23">
        <v>0</v>
      </c>
      <c r="II48" s="23">
        <v>0</v>
      </c>
      <c r="IJ48" s="23">
        <v>0</v>
      </c>
      <c r="IK48" s="23">
        <v>0</v>
      </c>
      <c r="IL48" s="23">
        <v>0</v>
      </c>
      <c r="IM48" s="23">
        <v>0</v>
      </c>
      <c r="IN48" s="23">
        <v>0</v>
      </c>
      <c r="IO48" s="23">
        <v>0</v>
      </c>
      <c r="IP48" s="23">
        <v>0</v>
      </c>
      <c r="IQ48" s="23">
        <v>0</v>
      </c>
      <c r="IR48" s="23">
        <v>0</v>
      </c>
      <c r="IS48" s="23">
        <v>0</v>
      </c>
      <c r="IT48" s="23">
        <v>0</v>
      </c>
      <c r="IU48" s="23">
        <v>0</v>
      </c>
      <c r="IV48" s="23">
        <v>0</v>
      </c>
      <c r="IW48" s="23">
        <v>0</v>
      </c>
      <c r="IX48" s="23">
        <v>0</v>
      </c>
      <c r="IY48" s="23">
        <v>0</v>
      </c>
      <c r="IZ48" s="23">
        <v>0</v>
      </c>
      <c r="JA48" s="23">
        <v>0</v>
      </c>
      <c r="JB48" s="23">
        <v>0</v>
      </c>
      <c r="JC48" s="23">
        <v>0</v>
      </c>
      <c r="JD48" s="23">
        <v>0</v>
      </c>
      <c r="JE48" s="23">
        <v>0</v>
      </c>
      <c r="JF48" s="23">
        <v>0</v>
      </c>
      <c r="JG48" s="23">
        <v>0</v>
      </c>
      <c r="JH48" s="23">
        <v>0</v>
      </c>
      <c r="JI48" s="23">
        <v>0</v>
      </c>
      <c r="JJ48" s="23">
        <v>0</v>
      </c>
      <c r="JK48" s="23">
        <v>0</v>
      </c>
      <c r="JL48" s="23">
        <v>0</v>
      </c>
      <c r="JM48" s="23">
        <v>0</v>
      </c>
      <c r="JN48" s="23">
        <v>0</v>
      </c>
      <c r="JO48" s="23">
        <v>1</v>
      </c>
      <c r="JP48" s="23">
        <v>0</v>
      </c>
      <c r="JQ48" s="23">
        <v>12</v>
      </c>
      <c r="JR48" s="23">
        <v>0</v>
      </c>
      <c r="JS48" s="23">
        <v>0</v>
      </c>
      <c r="JT48" s="23">
        <v>0</v>
      </c>
      <c r="JU48" s="23">
        <v>0</v>
      </c>
      <c r="JV48" s="23">
        <v>0</v>
      </c>
      <c r="JW48" s="23">
        <v>0</v>
      </c>
      <c r="JX48" s="23">
        <v>0</v>
      </c>
      <c r="JY48" s="23">
        <v>0</v>
      </c>
      <c r="JZ48" s="23">
        <v>2</v>
      </c>
      <c r="KA48" s="23">
        <v>0</v>
      </c>
      <c r="KB48" s="23">
        <v>0</v>
      </c>
      <c r="KC48" s="23">
        <v>0</v>
      </c>
      <c r="KD48" s="23">
        <v>0</v>
      </c>
      <c r="KE48" s="23">
        <v>0</v>
      </c>
      <c r="KF48" s="23">
        <v>0</v>
      </c>
      <c r="KG48" s="23">
        <v>0</v>
      </c>
      <c r="KH48" s="23">
        <v>1</v>
      </c>
      <c r="KI48" s="23">
        <v>0</v>
      </c>
      <c r="KJ48" s="23">
        <v>0</v>
      </c>
      <c r="KK48" s="23">
        <v>0</v>
      </c>
      <c r="KL48" s="23">
        <v>0</v>
      </c>
      <c r="KM48" s="23">
        <v>0</v>
      </c>
      <c r="KN48" s="23">
        <v>0</v>
      </c>
      <c r="KO48" s="23">
        <v>0</v>
      </c>
      <c r="KP48" s="23">
        <v>0</v>
      </c>
      <c r="KQ48" s="23">
        <v>0</v>
      </c>
      <c r="KR48" s="23">
        <v>0</v>
      </c>
      <c r="KS48" s="23">
        <v>0</v>
      </c>
      <c r="KT48" s="23">
        <v>0</v>
      </c>
      <c r="KU48" s="23">
        <v>0</v>
      </c>
      <c r="KV48" s="23">
        <v>0</v>
      </c>
      <c r="KW48" s="23">
        <v>0</v>
      </c>
      <c r="KX48" s="23">
        <v>1</v>
      </c>
      <c r="KY48" s="23">
        <v>0</v>
      </c>
      <c r="KZ48" s="23">
        <v>0</v>
      </c>
      <c r="LA48" s="23">
        <v>0</v>
      </c>
      <c r="LB48" s="23">
        <v>0</v>
      </c>
      <c r="LC48" s="23">
        <v>0</v>
      </c>
      <c r="LD48" s="23">
        <v>0</v>
      </c>
      <c r="LE48" s="23">
        <v>0</v>
      </c>
      <c r="LF48" s="23">
        <v>0</v>
      </c>
      <c r="LG48" s="23">
        <v>0</v>
      </c>
      <c r="LH48" s="23">
        <v>7</v>
      </c>
      <c r="LI48" s="23">
        <v>0</v>
      </c>
      <c r="LJ48" s="23">
        <v>0</v>
      </c>
      <c r="LK48" s="23">
        <v>0</v>
      </c>
      <c r="LL48" s="23">
        <v>0</v>
      </c>
      <c r="LM48" s="23">
        <v>0</v>
      </c>
      <c r="LN48" s="278">
        <f ca="1">$A48 - TST!Sweden100dt + 1</f>
        <v>-6</v>
      </c>
      <c r="LO48" s="20">
        <f ca="1">INDEX(OFFSET(TST!HeadRow,ROW()-ROW(TST!HeadRow),0,1,COLUMNS(TST!HeadRow)),1,MATCH(LO$5,TST!HeadRow,0))/LO$8</f>
        <v>11.730205278592376</v>
      </c>
      <c r="LP48" s="278">
        <f ca="1">$A48 - TST!Spain100dt + 1</f>
        <v>-6</v>
      </c>
      <c r="LQ48" s="20">
        <f ca="1">INDEX(OFFSET(TST!HeadRow,ROW()-ROW(TST!HeadRow),0,1,COLUMNS(TST!HeadRow)),1,MATCH(LQ$5,TST!HeadRow,0))/LQ$8</f>
        <v>9.5867064337452064</v>
      </c>
      <c r="LR48" s="285">
        <f ca="1">$A48 - TST!Victoria100dt + 1</f>
        <v>-15</v>
      </c>
      <c r="LS48" s="20">
        <f ca="1">INDEX(OFFSET(TST!HeadRow,ROW()-ROW(TST!HeadRow),0,1,COLUMNS(TST!HeadRow)),1,MATCH(LS$5,TST!HeadRow,0))/LS$8</f>
        <v>10.559662090813093</v>
      </c>
      <c r="LT48" s="278">
        <f ca="1">$A48 - TST!Iran100dt + 1</f>
        <v>0</v>
      </c>
      <c r="LU48" s="20">
        <f ca="1">INDEX(OFFSET(TST!HeadRow,ROW()-ROW(TST!HeadRow),0,1,COLUMNS(TST!HeadRow)),1,MATCH(LU$5,TST!HeadRow,0))/LU$8</f>
        <v>70.786530266314927</v>
      </c>
      <c r="LV48" s="278">
        <f ca="1">$A48 - TST!Japan100dt + 1</f>
        <v>-24</v>
      </c>
      <c r="LW48" s="20">
        <f ca="1">INDEX(OFFSET(TST!HeadRow,ROW()-ROW(TST!HeadRow),0,1,COLUMNS(TST!HeadRow)),1,MATCH(LW$5,TST!HeadRow,0))/LW$8</f>
        <v>19.043223716560405</v>
      </c>
      <c r="LX48" s="278">
        <f ca="1">$A48 - TST!Queensland100dt + 1</f>
        <v>-14</v>
      </c>
      <c r="LY48" s="20">
        <f ca="1">INDEX(OFFSET(TST!HeadRow,ROW()-ROW(TST!HeadRow),0,1,COLUMNS(TST!HeadRow)),1,MATCH(LY$5,TST!HeadRow,0))/LY$8</f>
        <v>17.593756640421343</v>
      </c>
      <c r="LZ48" s="278">
        <f ca="1">$A48 - TST!Tasmania100dt + 1</f>
        <v>-14</v>
      </c>
      <c r="MA48" s="20">
        <f ca="1">INDEX(OFFSET(TST!HeadRow,ROW()-ROW(TST!HeadRow),0,1,COLUMNS(TST!HeadRow)),1,MATCH(MA$5,TST!HeadRow,0))/MA$8</f>
        <v>0</v>
      </c>
      <c r="MB48" s="278">
        <f ca="1">$A48 - TST!SouthAustralia100dt + 1</f>
        <v>-13</v>
      </c>
      <c r="MC48" s="20">
        <f ca="1">INDEX(OFFSET(TST!HeadRow,ROW()-ROW(TST!HeadRow),0,1,COLUMNS(TST!HeadRow)),1,MATCH(MC$5,TST!HeadRow,0))/MC$8</f>
        <v>17.964071856287426</v>
      </c>
      <c r="MD48" s="278">
        <f ca="1">$A48 - TST!AustralianCapitalTerritory100dt + 1</f>
        <v>-19</v>
      </c>
      <c r="ME48" s="20">
        <f ca="1">INDEX(OFFSET(TST!HeadRow,ROW()-ROW(TST!HeadRow),0,1,COLUMNS(TST!HeadRow)),1,MATCH(ME$5,TST!HeadRow,0))/ME$8</f>
        <v>0</v>
      </c>
      <c r="MF48" s="278">
        <f ca="1">$A48 - TST!NorthernTerritory100dt + 1</f>
        <v>-19</v>
      </c>
      <c r="MG48" s="20">
        <f ca="1">INDEX(OFFSET(TST!HeadRow,ROW()-ROW(TST!HeadRow),0,1,COLUMNS(TST!HeadRow)),1,MATCH(MG$5,TST!HeadRow,0))/MG$8</f>
        <v>0</v>
      </c>
      <c r="MH48" s="278">
        <f ca="1">$A48 - TST!WesternAustralia100dt + 1</f>
        <v>-15</v>
      </c>
      <c r="MI48" s="20">
        <f ca="1">INDEX(OFFSET(TST!HeadRow,ROW()-ROW(TST!HeadRow),0,1,COLUMNS(TST!HeadRow)),1,MATCH(MI$5,TST!HeadRow,0))/MI$8</f>
        <v>7.7249903437620695</v>
      </c>
      <c r="MJ48" s="278">
        <f ca="1">$A48 - TST!Germany100dt + 1</f>
        <v>-7</v>
      </c>
      <c r="MK48" s="20">
        <f ca="1">INDEX(OFFSET(TST!HeadRow,ROW()-ROW(TST!HeadRow),0,1,COLUMNS(TST!HeadRow)),1,MATCH(MK$5,TST!HeadRow,0))/MK$8</f>
        <v>9.5157793302818607</v>
      </c>
      <c r="ML48" s="278">
        <f ca="1">$A48 - TST!Denmark100dt + 1</f>
        <v>-8</v>
      </c>
      <c r="MM48" s="20">
        <f ca="1">INDEX(OFFSET(TST!HeadRow,ROW()-ROW(TST!HeadRow),0,1,COLUMNS(TST!HeadRow)),1,MATCH(MM$5,TST!HeadRow,0))/MM$8</f>
        <v>5.1670685497760935</v>
      </c>
      <c r="MN48" s="278">
        <f ca="1">$A48 - TST!SouthAfrica100dt + 1</f>
        <v>-24</v>
      </c>
      <c r="MO48" s="20">
        <f ca="1">INDEX(OFFSET(TST!HeadRow,ROW()-ROW(TST!HeadRow),0,1,COLUMNS(TST!HeadRow)),1,MATCH(MO$5,TST!HeadRow,0))/MO$8</f>
        <v>0</v>
      </c>
      <c r="MP48" s="278">
        <f ca="1">$A48 - TST!UnitedKingdom100dt + 1</f>
        <v>-12</v>
      </c>
      <c r="MQ48" s="20">
        <f ca="1">INDEX(OFFSET(TST!HeadRow,ROW()-ROW(TST!HeadRow),0,1,COLUMNS(TST!HeadRow)),1,MATCH(MQ$5,TST!HeadRow,0))/MQ$8</f>
        <v>3.4617700180614088</v>
      </c>
      <c r="MR48" s="278">
        <f ca="1">$A48 - TST!Ireland100dt + 1</f>
        <v>-12</v>
      </c>
      <c r="MS48" s="20">
        <f ca="1">INDEX(OFFSET(TST!HeadRow,ROW()-ROW(TST!HeadRow),0,1,COLUMNS(TST!HeadRow)),1,MATCH(MS$5,TST!HeadRow,0))/MS$8</f>
        <v>2.0408163265306123</v>
      </c>
      <c r="MT48" s="278">
        <f ca="1">$A48 - TST!Italy100dt + 1</f>
        <v>3</v>
      </c>
      <c r="MU48" s="20">
        <f ca="1">INDEX(OFFSET(TST!HeadRow,ROW()-ROW(TST!HeadRow),0,1,COLUMNS(TST!HeadRow)),1,MATCH(MU$5,TST!HeadRow,0))/MU$8</f>
        <v>186.49251880631562</v>
      </c>
      <c r="MV48" s="278">
        <f ca="1">$A48 - TST!US100dt + 1</f>
        <v>-14</v>
      </c>
      <c r="MW48" s="20">
        <f ca="1">INDEX(OFFSET(TST!HeadRow,ROW()-ROW(TST!HeadRow),0,1,COLUMNS(TST!HeadRow)),1,MATCH(MW$5,TST!HeadRow,0))/MW$8</f>
        <v>2.0654395270804424</v>
      </c>
      <c r="MX48" s="278">
        <f ca="1">$A48 - TST!AustraliaSum100dt + 1</f>
        <v>-14</v>
      </c>
      <c r="MY48" s="366">
        <f t="shared" si="8"/>
        <v>9.856489512695159</v>
      </c>
      <c r="MZ48" s="278">
        <f ca="1">$A48 - TST!NewSouthWales100dt + 1</f>
        <v>-12</v>
      </c>
      <c r="NA48" s="366">
        <f ca="1">INDEX(OFFSET(TST!HeadRow,ROW()-ROW(TST!HeadRow),0,1,COLUMNS(TST!HeadRow)),1,MATCH(NA$5,TST!HeadRow,0))/NA$8</f>
        <v>4.9504950495049505</v>
      </c>
      <c r="NB48" s="278">
        <f ca="1">$A48 - TST!Taiwan100dt + 1</f>
        <v>-25</v>
      </c>
      <c r="NC48" s="366">
        <f ca="1">INDEX(OFFSET(TST!HeadRow,ROW()-ROW(TST!HeadRow),0,1,COLUMNS(TST!HeadRow)),1,MATCH(NC$5,TST!HeadRow,0))/NC$8</f>
        <v>16.381542420508143</v>
      </c>
      <c r="ND48" s="20">
        <f ca="1">$A48 - TST!Hubei100dt + 1</f>
        <v>36</v>
      </c>
      <c r="NE48" s="20">
        <f ca="1">INDEX(OFFSET(TST!HeadRow,ROW()-ROW(TST!HeadRow),0,1,COLUMNS(TST!HeadRow)),1,MATCH(NE$5,TST!HeadRow,0))/NE$8</f>
        <v>11339.658119658121</v>
      </c>
      <c r="NF48" s="20">
        <f ca="1">$A48 - TST!HongKong100dt + 1</f>
        <v>6</v>
      </c>
      <c r="NG48" s="20">
        <f ca="1">INDEX(OFFSET(TST!HeadRow,ROW()-ROW(TST!HeadRow),0,1,COLUMNS(TST!HeadRow)),1,MATCH(NG$5,TST!HeadRow,0))/NG$8</f>
        <v>127.49966447456717</v>
      </c>
    </row>
    <row r="49" spans="1:371" x14ac:dyDescent="0.25">
      <c r="A49" s="243">
        <v>43891</v>
      </c>
      <c r="B49" s="23">
        <v>1</v>
      </c>
      <c r="C49" s="23">
        <v>0</v>
      </c>
      <c r="D49" s="23">
        <v>1</v>
      </c>
      <c r="E49" s="23">
        <v>0</v>
      </c>
      <c r="F49" s="23">
        <v>0</v>
      </c>
      <c r="G49" s="23">
        <v>0</v>
      </c>
      <c r="H49" s="23">
        <v>0</v>
      </c>
      <c r="I49" s="23">
        <v>1</v>
      </c>
      <c r="J49" s="23">
        <v>0</v>
      </c>
      <c r="K49" s="293">
        <v>6</v>
      </c>
      <c r="L49" s="23">
        <v>0</v>
      </c>
      <c r="M49" s="290">
        <v>9</v>
      </c>
      <c r="N49" s="23">
        <v>3</v>
      </c>
      <c r="O49" s="384">
        <v>0</v>
      </c>
      <c r="P49" s="287">
        <v>7</v>
      </c>
      <c r="Q49" s="23">
        <v>2</v>
      </c>
      <c r="R49" s="23">
        <v>14</v>
      </c>
      <c r="S49" s="23">
        <v>3</v>
      </c>
      <c r="T49" s="23">
        <v>0</v>
      </c>
      <c r="U49" s="23">
        <v>47</v>
      </c>
      <c r="V49" s="23">
        <v>0</v>
      </c>
      <c r="W49" s="23">
        <v>0</v>
      </c>
      <c r="X49" s="23">
        <v>1</v>
      </c>
      <c r="Y49" s="23">
        <v>2</v>
      </c>
      <c r="Z49" s="23">
        <v>0</v>
      </c>
      <c r="AA49" s="23">
        <v>0</v>
      </c>
      <c r="AB49" s="23">
        <v>0</v>
      </c>
      <c r="AC49" s="23">
        <v>0</v>
      </c>
      <c r="AD49" s="23">
        <v>2</v>
      </c>
      <c r="AE49" s="23">
        <v>0</v>
      </c>
      <c r="AF49" s="23">
        <v>0</v>
      </c>
      <c r="AG49" s="23">
        <v>0</v>
      </c>
      <c r="AH49" s="23">
        <v>0</v>
      </c>
      <c r="AI49" s="23">
        <v>1</v>
      </c>
      <c r="AJ49" s="23">
        <v>0</v>
      </c>
      <c r="AK49" s="23">
        <v>0</v>
      </c>
      <c r="AL49" s="23">
        <v>8</v>
      </c>
      <c r="AM49" s="23">
        <v>0</v>
      </c>
      <c r="AN49" s="23">
        <v>0</v>
      </c>
      <c r="AO49" s="23">
        <v>0</v>
      </c>
      <c r="AP49" s="23">
        <v>0</v>
      </c>
      <c r="AQ49" s="23">
        <v>0</v>
      </c>
      <c r="AR49" s="23">
        <v>15</v>
      </c>
      <c r="AS49" s="23">
        <v>0</v>
      </c>
      <c r="AT49" s="23">
        <v>1</v>
      </c>
      <c r="AU49" s="23">
        <v>0</v>
      </c>
      <c r="AV49" s="23">
        <v>0</v>
      </c>
      <c r="AW49" s="23">
        <v>0</v>
      </c>
      <c r="AX49" s="23">
        <v>0</v>
      </c>
      <c r="AY49" s="23">
        <v>990</v>
      </c>
      <c r="AZ49" s="23">
        <v>413</v>
      </c>
      <c r="BA49" s="23">
        <v>576</v>
      </c>
      <c r="BB49" s="23">
        <v>296</v>
      </c>
      <c r="BC49" s="23">
        <v>91</v>
      </c>
      <c r="BD49" s="23">
        <v>1349</v>
      </c>
      <c r="BE49" s="23">
        <v>252</v>
      </c>
      <c r="BF49" s="23">
        <v>146</v>
      </c>
      <c r="BG49" s="23">
        <v>168</v>
      </c>
      <c r="BH49" s="23">
        <v>318</v>
      </c>
      <c r="BI49" s="23">
        <v>480</v>
      </c>
      <c r="BJ49" s="23">
        <v>1272</v>
      </c>
      <c r="BK49" s="23">
        <v>96</v>
      </c>
      <c r="BL49" s="23">
        <v>66907</v>
      </c>
      <c r="BM49" s="23">
        <v>1018</v>
      </c>
      <c r="BN49" s="23">
        <v>75</v>
      </c>
      <c r="BO49" s="23">
        <v>631</v>
      </c>
      <c r="BP49" s="23">
        <v>935</v>
      </c>
      <c r="BQ49" s="23">
        <v>93</v>
      </c>
      <c r="BR49" s="23">
        <v>122</v>
      </c>
      <c r="BS49" s="23">
        <v>10</v>
      </c>
      <c r="BT49" s="23">
        <v>73</v>
      </c>
      <c r="BU49" s="23">
        <v>18</v>
      </c>
      <c r="BV49" s="23">
        <v>245</v>
      </c>
      <c r="BW49" s="23">
        <v>758</v>
      </c>
      <c r="BX49" s="23">
        <v>337</v>
      </c>
      <c r="BY49" s="23">
        <v>133</v>
      </c>
      <c r="BZ49" s="23">
        <v>538</v>
      </c>
      <c r="CA49" s="23">
        <v>136</v>
      </c>
      <c r="CB49" s="23">
        <v>1</v>
      </c>
      <c r="CC49" s="23">
        <v>76</v>
      </c>
      <c r="CD49" s="23">
        <v>174</v>
      </c>
      <c r="CE49" s="23">
        <v>1205</v>
      </c>
      <c r="CF49" s="23">
        <v>0</v>
      </c>
      <c r="CG49" s="23">
        <v>0</v>
      </c>
      <c r="CH49" s="23">
        <v>0</v>
      </c>
      <c r="CI49" s="23">
        <v>0</v>
      </c>
      <c r="CJ49" s="23">
        <v>0</v>
      </c>
      <c r="CK49" s="23">
        <v>7</v>
      </c>
      <c r="CL49" s="23">
        <v>705</v>
      </c>
      <c r="CM49" s="23">
        <v>0</v>
      </c>
      <c r="CN49" s="23">
        <v>0</v>
      </c>
      <c r="CO49" s="23">
        <v>3</v>
      </c>
      <c r="CP49" s="23">
        <v>0</v>
      </c>
      <c r="CQ49" s="23">
        <v>0</v>
      </c>
      <c r="CR49" s="23">
        <v>4</v>
      </c>
      <c r="CS49" s="23">
        <v>0</v>
      </c>
      <c r="CT49" s="23">
        <v>1</v>
      </c>
      <c r="CU49" s="23">
        <v>6</v>
      </c>
      <c r="CV49" s="23">
        <v>2</v>
      </c>
      <c r="CW49" s="23">
        <v>0</v>
      </c>
      <c r="CX49" s="23">
        <v>0</v>
      </c>
      <c r="CY49" s="23">
        <v>0</v>
      </c>
      <c r="CZ49" s="23">
        <v>1</v>
      </c>
      <c r="DA49" s="23">
        <v>0</v>
      </c>
      <c r="DB49" s="23">
        <v>0</v>
      </c>
      <c r="DC49" s="23">
        <v>0</v>
      </c>
      <c r="DD49" s="23">
        <v>6</v>
      </c>
      <c r="DE49" s="23">
        <v>0</v>
      </c>
      <c r="DF49" s="23">
        <v>0</v>
      </c>
      <c r="DG49" s="23">
        <v>0</v>
      </c>
      <c r="DH49" s="23">
        <v>0</v>
      </c>
      <c r="DI49" s="23">
        <v>0</v>
      </c>
      <c r="DJ49" s="23">
        <v>0</v>
      </c>
      <c r="DK49" s="23">
        <v>0</v>
      </c>
      <c r="DL49" s="23">
        <v>0</v>
      </c>
      <c r="DM49" s="23">
        <v>0</v>
      </c>
      <c r="DN49" s="23">
        <v>130</v>
      </c>
      <c r="DO49" s="23">
        <v>0</v>
      </c>
      <c r="DP49" s="23">
        <v>0</v>
      </c>
      <c r="DQ49" s="23">
        <v>3</v>
      </c>
      <c r="DR49" s="23">
        <v>130</v>
      </c>
      <c r="DS49" s="23">
        <v>0</v>
      </c>
      <c r="DT49" s="23">
        <v>7</v>
      </c>
      <c r="DU49" s="23">
        <v>0</v>
      </c>
      <c r="DV49" s="23">
        <v>0</v>
      </c>
      <c r="DW49" s="23">
        <v>0</v>
      </c>
      <c r="DX49" s="23">
        <v>0</v>
      </c>
      <c r="DY49" s="23">
        <v>0</v>
      </c>
      <c r="DZ49" s="23">
        <v>0</v>
      </c>
      <c r="EA49" s="23">
        <v>0</v>
      </c>
      <c r="EB49" s="23">
        <v>3</v>
      </c>
      <c r="EC49" s="23">
        <v>3</v>
      </c>
      <c r="ED49" s="23">
        <v>0</v>
      </c>
      <c r="EE49" s="23">
        <v>978</v>
      </c>
      <c r="EF49" s="23">
        <v>19</v>
      </c>
      <c r="EG49" s="23">
        <v>1</v>
      </c>
      <c r="EH49" s="23">
        <v>10</v>
      </c>
      <c r="EI49" s="23">
        <v>1694</v>
      </c>
      <c r="EJ49" s="23">
        <v>0</v>
      </c>
      <c r="EK49" s="23">
        <v>256</v>
      </c>
      <c r="EL49" s="23">
        <v>0</v>
      </c>
      <c r="EM49" s="23">
        <v>0</v>
      </c>
      <c r="EN49" s="23">
        <v>0</v>
      </c>
      <c r="EO49" s="23">
        <v>3736</v>
      </c>
      <c r="EP49" s="23">
        <v>45</v>
      </c>
      <c r="EQ49" s="23">
        <v>0</v>
      </c>
      <c r="ER49" s="23">
        <v>0</v>
      </c>
      <c r="ES49" s="23">
        <v>10</v>
      </c>
      <c r="ET49" s="23">
        <v>0</v>
      </c>
      <c r="EU49" s="23">
        <v>0</v>
      </c>
      <c r="EV49" s="23">
        <v>1</v>
      </c>
      <c r="EW49" s="23">
        <v>1</v>
      </c>
      <c r="EX49" s="23">
        <v>0</v>
      </c>
      <c r="EY49" s="23">
        <v>29</v>
      </c>
      <c r="EZ49" s="23">
        <v>0</v>
      </c>
      <c r="FA49" s="23">
        <v>0</v>
      </c>
      <c r="FB49" s="23">
        <v>0</v>
      </c>
      <c r="FC49" s="23">
        <v>0</v>
      </c>
      <c r="FD49" s="23">
        <v>5</v>
      </c>
      <c r="FE49" s="23">
        <v>0</v>
      </c>
      <c r="FF49" s="23">
        <v>1</v>
      </c>
      <c r="FG49" s="23">
        <v>0</v>
      </c>
      <c r="FH49" s="23">
        <v>0</v>
      </c>
      <c r="FI49" s="23">
        <v>0</v>
      </c>
      <c r="FJ49" s="23">
        <v>0</v>
      </c>
      <c r="FK49" s="23">
        <v>1</v>
      </c>
      <c r="FL49" s="23">
        <v>0</v>
      </c>
      <c r="FM49" s="23">
        <v>0</v>
      </c>
      <c r="FN49" s="23">
        <v>0</v>
      </c>
      <c r="FO49" s="23">
        <v>10</v>
      </c>
      <c r="FP49" s="23">
        <v>1</v>
      </c>
      <c r="FQ49" s="23">
        <v>0</v>
      </c>
      <c r="FR49" s="23">
        <v>0</v>
      </c>
      <c r="FS49" s="23">
        <v>1</v>
      </c>
      <c r="FT49" s="23">
        <v>1</v>
      </c>
      <c r="FU49" s="23">
        <v>19</v>
      </c>
      <c r="FV49" s="23">
        <v>6</v>
      </c>
      <c r="FW49" s="23">
        <v>4</v>
      </c>
      <c r="FX49" s="23">
        <v>0</v>
      </c>
      <c r="FY49" s="23">
        <v>0</v>
      </c>
      <c r="FZ49" s="23">
        <v>0</v>
      </c>
      <c r="GA49" s="23">
        <v>0</v>
      </c>
      <c r="GB49" s="23">
        <v>3</v>
      </c>
      <c r="GC49" s="23">
        <v>0</v>
      </c>
      <c r="GD49" s="23">
        <v>0</v>
      </c>
      <c r="GE49" s="23">
        <v>3</v>
      </c>
      <c r="GF49" s="23">
        <v>3</v>
      </c>
      <c r="GG49" s="23">
        <v>2</v>
      </c>
      <c r="GH49" s="23">
        <v>0</v>
      </c>
      <c r="GI49" s="23">
        <v>0</v>
      </c>
      <c r="GJ49" s="23">
        <v>0</v>
      </c>
      <c r="GK49" s="23">
        <v>1</v>
      </c>
      <c r="GL49" s="23">
        <v>0</v>
      </c>
      <c r="GM49" s="23">
        <v>0</v>
      </c>
      <c r="GN49" s="23">
        <v>0</v>
      </c>
      <c r="GO49" s="23">
        <v>0</v>
      </c>
      <c r="GP49" s="23">
        <v>106</v>
      </c>
      <c r="GQ49" s="23">
        <v>0</v>
      </c>
      <c r="GR49" s="23">
        <v>0</v>
      </c>
      <c r="GS49" s="23">
        <v>0</v>
      </c>
      <c r="GT49" s="23">
        <v>0</v>
      </c>
      <c r="GU49" s="23">
        <v>84</v>
      </c>
      <c r="GV49" s="23">
        <v>1</v>
      </c>
      <c r="GW49" s="23">
        <v>0</v>
      </c>
      <c r="GX49" s="23">
        <v>0</v>
      </c>
      <c r="GY49" s="23">
        <v>14</v>
      </c>
      <c r="GZ49" s="23">
        <v>27</v>
      </c>
      <c r="HA49" s="23">
        <v>40</v>
      </c>
      <c r="HB49" s="23">
        <v>0</v>
      </c>
      <c r="HC49" s="23">
        <v>42</v>
      </c>
      <c r="HD49" s="23">
        <v>0</v>
      </c>
      <c r="HE49" s="23">
        <v>0</v>
      </c>
      <c r="HF49" s="23">
        <v>0</v>
      </c>
      <c r="HG49" s="23">
        <v>0</v>
      </c>
      <c r="HH49" s="23">
        <v>0</v>
      </c>
      <c r="HI49" s="23">
        <v>0</v>
      </c>
      <c r="HJ49" s="23">
        <v>21</v>
      </c>
      <c r="HK49" s="23">
        <v>0</v>
      </c>
      <c r="HL49" s="23">
        <v>0</v>
      </c>
      <c r="HM49" s="23">
        <v>0</v>
      </c>
      <c r="HN49" s="23">
        <v>0</v>
      </c>
      <c r="HO49" s="23">
        <v>0</v>
      </c>
      <c r="HP49" s="23">
        <v>0</v>
      </c>
      <c r="HQ49" s="23">
        <v>36</v>
      </c>
      <c r="HR49" s="23">
        <v>0</v>
      </c>
      <c r="HS49" s="23">
        <v>74</v>
      </c>
      <c r="HT49" s="23">
        <v>0</v>
      </c>
      <c r="HU49" s="23">
        <v>0</v>
      </c>
      <c r="HV49" s="23">
        <v>16</v>
      </c>
      <c r="HW49" s="23">
        <v>0</v>
      </c>
      <c r="HX49" s="23">
        <v>0</v>
      </c>
      <c r="HY49" s="23">
        <v>0</v>
      </c>
      <c r="HZ49" s="23">
        <v>0</v>
      </c>
      <c r="IA49" s="23">
        <v>0</v>
      </c>
      <c r="IB49" s="23">
        <v>0</v>
      </c>
      <c r="IC49" s="23">
        <v>0</v>
      </c>
      <c r="ID49" s="23">
        <v>0</v>
      </c>
      <c r="IE49" s="23">
        <v>0</v>
      </c>
      <c r="IF49" s="23">
        <v>0</v>
      </c>
      <c r="IG49" s="23">
        <v>0</v>
      </c>
      <c r="IH49" s="23">
        <v>0</v>
      </c>
      <c r="II49" s="23">
        <v>0</v>
      </c>
      <c r="IJ49" s="23">
        <v>0</v>
      </c>
      <c r="IK49" s="23">
        <v>0</v>
      </c>
      <c r="IL49" s="23">
        <v>0</v>
      </c>
      <c r="IM49" s="23">
        <v>0</v>
      </c>
      <c r="IN49" s="23">
        <v>0</v>
      </c>
      <c r="IO49" s="23">
        <v>0</v>
      </c>
      <c r="IP49" s="23">
        <v>0</v>
      </c>
      <c r="IQ49" s="23">
        <v>0</v>
      </c>
      <c r="IR49" s="23">
        <v>0</v>
      </c>
      <c r="IS49" s="23">
        <v>0</v>
      </c>
      <c r="IT49" s="23">
        <v>0</v>
      </c>
      <c r="IU49" s="23">
        <v>0</v>
      </c>
      <c r="IV49" s="23">
        <v>0</v>
      </c>
      <c r="IW49" s="23">
        <v>0</v>
      </c>
      <c r="IX49" s="23">
        <v>0</v>
      </c>
      <c r="IY49" s="23">
        <v>0</v>
      </c>
      <c r="IZ49" s="23">
        <v>0</v>
      </c>
      <c r="JA49" s="23">
        <v>0</v>
      </c>
      <c r="JB49" s="23">
        <v>0</v>
      </c>
      <c r="JC49" s="23">
        <v>0</v>
      </c>
      <c r="JD49" s="23">
        <v>0</v>
      </c>
      <c r="JE49" s="23">
        <v>0</v>
      </c>
      <c r="JF49" s="23">
        <v>0</v>
      </c>
      <c r="JG49" s="23">
        <v>0</v>
      </c>
      <c r="JH49" s="23">
        <v>0</v>
      </c>
      <c r="JI49" s="23">
        <v>0</v>
      </c>
      <c r="JJ49" s="23">
        <v>0</v>
      </c>
      <c r="JK49" s="23">
        <v>0</v>
      </c>
      <c r="JL49" s="23">
        <v>0</v>
      </c>
      <c r="JM49" s="23">
        <v>0</v>
      </c>
      <c r="JN49" s="23">
        <v>0</v>
      </c>
      <c r="JO49" s="23">
        <v>1</v>
      </c>
      <c r="JP49" s="23">
        <v>0</v>
      </c>
      <c r="JQ49" s="23">
        <v>12</v>
      </c>
      <c r="JR49" s="23">
        <v>0</v>
      </c>
      <c r="JS49" s="23">
        <v>0</v>
      </c>
      <c r="JT49" s="23">
        <v>0</v>
      </c>
      <c r="JU49" s="23">
        <v>0</v>
      </c>
      <c r="JV49" s="23">
        <v>0</v>
      </c>
      <c r="JW49" s="23">
        <v>0</v>
      </c>
      <c r="JX49" s="23">
        <v>0</v>
      </c>
      <c r="JY49" s="23">
        <v>0</v>
      </c>
      <c r="JZ49" s="23">
        <v>3</v>
      </c>
      <c r="KA49" s="23">
        <v>0</v>
      </c>
      <c r="KB49" s="23">
        <v>0</v>
      </c>
      <c r="KC49" s="23">
        <v>0</v>
      </c>
      <c r="KD49" s="23">
        <v>0</v>
      </c>
      <c r="KE49" s="23">
        <v>0</v>
      </c>
      <c r="KF49" s="23">
        <v>0</v>
      </c>
      <c r="KG49" s="23">
        <v>0</v>
      </c>
      <c r="KH49" s="23">
        <v>1</v>
      </c>
      <c r="KI49" s="23">
        <v>0</v>
      </c>
      <c r="KJ49" s="23">
        <v>0</v>
      </c>
      <c r="KK49" s="23">
        <v>0</v>
      </c>
      <c r="KL49" s="23">
        <v>0</v>
      </c>
      <c r="KM49" s="23">
        <v>0</v>
      </c>
      <c r="KN49" s="23">
        <v>0</v>
      </c>
      <c r="KO49" s="23">
        <v>0</v>
      </c>
      <c r="KP49" s="23">
        <v>0</v>
      </c>
      <c r="KQ49" s="23">
        <v>0</v>
      </c>
      <c r="KR49" s="23">
        <v>0</v>
      </c>
      <c r="KS49" s="23">
        <v>0</v>
      </c>
      <c r="KT49" s="23">
        <v>0</v>
      </c>
      <c r="KU49" s="23">
        <v>0</v>
      </c>
      <c r="KV49" s="23">
        <v>0</v>
      </c>
      <c r="KW49" s="23">
        <v>0</v>
      </c>
      <c r="KX49" s="23">
        <v>1</v>
      </c>
      <c r="KY49" s="23">
        <v>0</v>
      </c>
      <c r="KZ49" s="23">
        <v>1</v>
      </c>
      <c r="LA49" s="23">
        <v>0</v>
      </c>
      <c r="LB49" s="23">
        <v>0</v>
      </c>
      <c r="LC49" s="23">
        <v>0</v>
      </c>
      <c r="LD49" s="23">
        <v>0</v>
      </c>
      <c r="LE49" s="23">
        <v>0</v>
      </c>
      <c r="LF49" s="23">
        <v>0</v>
      </c>
      <c r="LG49" s="23">
        <v>0</v>
      </c>
      <c r="LH49" s="23">
        <v>11</v>
      </c>
      <c r="LI49" s="23">
        <v>0</v>
      </c>
      <c r="LJ49" s="23">
        <v>0</v>
      </c>
      <c r="LK49" s="23">
        <v>0</v>
      </c>
      <c r="LL49" s="23">
        <v>0</v>
      </c>
      <c r="LM49" s="23">
        <v>0</v>
      </c>
      <c r="LN49" s="278">
        <f ca="1">$A49 - TST!Sweden100dt + 1</f>
        <v>-5</v>
      </c>
      <c r="LO49" s="20">
        <f ca="1">INDEX(OFFSET(TST!HeadRow,ROW()-ROW(TST!HeadRow),0,1,COLUMNS(TST!HeadRow)),1,MATCH(LO$5,TST!HeadRow,0))/LO$8</f>
        <v>13.685239491691107</v>
      </c>
      <c r="LP49" s="278">
        <f ca="1">$A49 - TST!Spain100dt + 1</f>
        <v>-5</v>
      </c>
      <c r="LQ49" s="20">
        <f ca="1">INDEX(OFFSET(TST!HeadRow,ROW()-ROW(TST!HeadRow),0,1,COLUMNS(TST!HeadRow)),1,MATCH(LQ$5,TST!HeadRow,0))/LQ$8</f>
        <v>17.895185342991052</v>
      </c>
      <c r="LR49" s="285">
        <f ca="1">$A49 - TST!Victoria100dt + 1</f>
        <v>-14</v>
      </c>
      <c r="LS49" s="20">
        <f ca="1">INDEX(OFFSET(TST!HeadRow,ROW()-ROW(TST!HeadRow),0,1,COLUMNS(TST!HeadRow)),1,MATCH(LS$5,TST!HeadRow,0))/LS$8</f>
        <v>10.559662090813093</v>
      </c>
      <c r="LT49" s="278">
        <f ca="1">$A49 - TST!Iran100dt + 1</f>
        <v>1</v>
      </c>
      <c r="LU49" s="20">
        <f ca="1">INDEX(OFFSET(TST!HeadRow,ROW()-ROW(TST!HeadRow),0,1,COLUMNS(TST!HeadRow)),1,MATCH(LU$5,TST!HeadRow,0))/LU$8</f>
        <v>116.74405834815514</v>
      </c>
      <c r="LV49" s="278">
        <f ca="1">$A49 - TST!Japan100dt + 1</f>
        <v>-23</v>
      </c>
      <c r="LW49" s="20">
        <f ca="1">INDEX(OFFSET(TST!HeadRow,ROW()-ROW(TST!HeadRow),0,1,COLUMNS(TST!HeadRow)),1,MATCH(LW$5,TST!HeadRow,0))/LW$8</f>
        <v>20.228486603483255</v>
      </c>
      <c r="LX49" s="278">
        <f ca="1">$A49 - TST!Queensland100dt + 1</f>
        <v>-13</v>
      </c>
      <c r="LY49" s="20">
        <f ca="1">INDEX(OFFSET(TST!HeadRow,ROW()-ROW(TST!HeadRow),0,1,COLUMNS(TST!HeadRow)),1,MATCH(LY$5,TST!HeadRow,0))/LY$8</f>
        <v>17.593756640421343</v>
      </c>
      <c r="LZ49" s="278">
        <f ca="1">$A49 - TST!Tasmania100dt + 1</f>
        <v>-13</v>
      </c>
      <c r="MA49" s="20">
        <f ca="1">INDEX(OFFSET(TST!HeadRow,ROW()-ROW(TST!HeadRow),0,1,COLUMNS(TST!HeadRow)),1,MATCH(MA$5,TST!HeadRow,0))/MA$8</f>
        <v>0</v>
      </c>
      <c r="MB49" s="278">
        <f ca="1">$A49 - TST!SouthAustralia100dt + 1</f>
        <v>-12</v>
      </c>
      <c r="MC49" s="20">
        <f ca="1">INDEX(OFFSET(TST!HeadRow,ROW()-ROW(TST!HeadRow),0,1,COLUMNS(TST!HeadRow)),1,MATCH(MC$5,TST!HeadRow,0))/MC$8</f>
        <v>17.964071856287426</v>
      </c>
      <c r="MD49" s="278">
        <f ca="1">$A49 - TST!AustralianCapitalTerritory100dt + 1</f>
        <v>-18</v>
      </c>
      <c r="ME49" s="20">
        <f ca="1">INDEX(OFFSET(TST!HeadRow,ROW()-ROW(TST!HeadRow),0,1,COLUMNS(TST!HeadRow)),1,MATCH(ME$5,TST!HeadRow,0))/ME$8</f>
        <v>0</v>
      </c>
      <c r="MF49" s="278">
        <f ca="1">$A49 - TST!NorthernTerritory100dt + 1</f>
        <v>-18</v>
      </c>
      <c r="MG49" s="20">
        <f ca="1">INDEX(OFFSET(TST!HeadRow,ROW()-ROW(TST!HeadRow),0,1,COLUMNS(TST!HeadRow)),1,MATCH(MG$5,TST!HeadRow,0))/MG$8</f>
        <v>0</v>
      </c>
      <c r="MH49" s="278">
        <f ca="1">$A49 - TST!WesternAustralia100dt + 1</f>
        <v>-14</v>
      </c>
      <c r="MI49" s="20">
        <f ca="1">INDEX(OFFSET(TST!HeadRow,ROW()-ROW(TST!HeadRow),0,1,COLUMNS(TST!HeadRow)),1,MATCH(MI$5,TST!HeadRow,0))/MI$8</f>
        <v>7.7249903437620695</v>
      </c>
      <c r="MJ49" s="278">
        <f ca="1">$A49 - TST!Germany100dt + 1</f>
        <v>-6</v>
      </c>
      <c r="MK49" s="20">
        <f ca="1">INDEX(OFFSET(TST!HeadRow,ROW()-ROW(TST!HeadRow),0,1,COLUMNS(TST!HeadRow)),1,MATCH(MK$5,TST!HeadRow,0))/MK$8</f>
        <v>15.658877378944833</v>
      </c>
      <c r="ML49" s="278">
        <f ca="1">$A49 - TST!Denmark100dt + 1</f>
        <v>-7</v>
      </c>
      <c r="MM49" s="20">
        <f ca="1">INDEX(OFFSET(TST!HeadRow,ROW()-ROW(TST!HeadRow),0,1,COLUMNS(TST!HeadRow)),1,MATCH(MM$5,TST!HeadRow,0))/MM$8</f>
        <v>6.889424733034792</v>
      </c>
      <c r="MN49" s="278">
        <f ca="1">$A49 - TST!SouthAfrica100dt + 1</f>
        <v>-23</v>
      </c>
      <c r="MO49" s="20">
        <f ca="1">INDEX(OFFSET(TST!HeadRow,ROW()-ROW(TST!HeadRow),0,1,COLUMNS(TST!HeadRow)),1,MATCH(MO$5,TST!HeadRow,0))/MO$8</f>
        <v>0</v>
      </c>
      <c r="MP49" s="278">
        <f ca="1">$A49 - TST!UnitedKingdom100dt + 1</f>
        <v>-11</v>
      </c>
      <c r="MQ49" s="20">
        <f ca="1">INDEX(OFFSET(TST!HeadRow,ROW()-ROW(TST!HeadRow),0,1,COLUMNS(TST!HeadRow)),1,MATCH(MQ$5,TST!HeadRow,0))/MQ$8</f>
        <v>5.4184226369656834</v>
      </c>
      <c r="MR49" s="278">
        <f ca="1">$A49 - TST!Ireland100dt + 1</f>
        <v>-11</v>
      </c>
      <c r="MS49" s="20">
        <f ca="1">INDEX(OFFSET(TST!HeadRow,ROW()-ROW(TST!HeadRow),0,1,COLUMNS(TST!HeadRow)),1,MATCH(MS$5,TST!HeadRow,0))/MS$8</f>
        <v>2.0408163265306123</v>
      </c>
      <c r="MT49" s="278">
        <f ca="1">$A49 - TST!Italy100dt + 1</f>
        <v>4</v>
      </c>
      <c r="MU49" s="20">
        <f ca="1">INDEX(OFFSET(TST!HeadRow,ROW()-ROW(TST!HeadRow),0,1,COLUMNS(TST!HeadRow)),1,MATCH(MU$5,TST!HeadRow,0))/MU$8</f>
        <v>280.06943870381087</v>
      </c>
      <c r="MV49" s="278">
        <f ca="1">$A49 - TST!US100dt + 1</f>
        <v>-13</v>
      </c>
      <c r="MW49" s="20">
        <f ca="1">INDEX(OFFSET(TST!HeadRow,ROW()-ROW(TST!HeadRow),0,1,COLUMNS(TST!HeadRow)),1,MATCH(MW$5,TST!HeadRow,0))/MW$8</f>
        <v>2.2476841912345993</v>
      </c>
      <c r="MX49" s="278">
        <f ca="1">$A49 - TST!AustraliaSum100dt + 1</f>
        <v>-13</v>
      </c>
      <c r="MY49" s="366">
        <f t="shared" si="8"/>
        <v>10.645008673710771</v>
      </c>
      <c r="MZ49" s="278">
        <f ca="1">$A49 - TST!NewSouthWales100dt + 1</f>
        <v>-11</v>
      </c>
      <c r="NA49" s="366">
        <f ca="1">INDEX(OFFSET(TST!HeadRow,ROW()-ROW(TST!HeadRow),0,1,COLUMNS(TST!HeadRow)),1,MATCH(NA$5,TST!HeadRow,0))/NA$8</f>
        <v>7.4257425742574252</v>
      </c>
      <c r="NB49" s="278">
        <f ca="1">$A49 - TST!Taiwan100dt + 1</f>
        <v>-24</v>
      </c>
      <c r="NC49" s="366">
        <f ca="1">INDEX(OFFSET(TST!HeadRow,ROW()-ROW(TST!HeadRow),0,1,COLUMNS(TST!HeadRow)),1,MATCH(NC$5,TST!HeadRow,0))/NC$8</f>
        <v>16.801581969751943</v>
      </c>
      <c r="ND49" s="20">
        <f ca="1">$A49 - TST!Hubei100dt + 1</f>
        <v>37</v>
      </c>
      <c r="NE49" s="20">
        <f ca="1">INDEX(OFFSET(TST!HeadRow,ROW()-ROW(TST!HeadRow),0,1,COLUMNS(TST!HeadRow)),1,MATCH(NE$5,TST!HeadRow,0))/NE$8</f>
        <v>11437.094017094018</v>
      </c>
      <c r="NF49" s="20">
        <f ca="1">$A49 - TST!HongKong100dt + 1</f>
        <v>7</v>
      </c>
      <c r="NG49" s="20">
        <f ca="1">INDEX(OFFSET(TST!HeadRow,ROW()-ROW(TST!HeadRow),0,1,COLUMNS(TST!HeadRow)),1,MATCH(NG$5,TST!HeadRow,0))/NG$8</f>
        <v>128.8417662058784</v>
      </c>
    </row>
    <row r="50" spans="1:371" x14ac:dyDescent="0.25">
      <c r="A50" s="243">
        <v>43892</v>
      </c>
      <c r="B50" s="23">
        <v>1</v>
      </c>
      <c r="C50" s="23">
        <v>0</v>
      </c>
      <c r="D50" s="23">
        <v>3</v>
      </c>
      <c r="E50" s="23">
        <v>1</v>
      </c>
      <c r="F50" s="23">
        <v>0</v>
      </c>
      <c r="G50" s="23">
        <v>0</v>
      </c>
      <c r="H50" s="23">
        <v>0</v>
      </c>
      <c r="I50" s="23">
        <v>1</v>
      </c>
      <c r="J50" s="23">
        <v>0</v>
      </c>
      <c r="K50" s="293">
        <v>6</v>
      </c>
      <c r="L50" s="23">
        <v>0</v>
      </c>
      <c r="M50" s="290">
        <v>9</v>
      </c>
      <c r="N50" s="23">
        <v>3</v>
      </c>
      <c r="O50" s="384">
        <v>1</v>
      </c>
      <c r="P50" s="287">
        <v>9</v>
      </c>
      <c r="Q50" s="23">
        <v>2</v>
      </c>
      <c r="R50" s="23">
        <v>18</v>
      </c>
      <c r="S50" s="23">
        <v>3</v>
      </c>
      <c r="T50" s="23">
        <v>0</v>
      </c>
      <c r="U50" s="23">
        <v>49</v>
      </c>
      <c r="V50" s="23">
        <v>0</v>
      </c>
      <c r="W50" s="23">
        <v>0</v>
      </c>
      <c r="X50" s="23">
        <v>1</v>
      </c>
      <c r="Y50" s="23">
        <v>8</v>
      </c>
      <c r="Z50" s="23">
        <v>0</v>
      </c>
      <c r="AA50" s="23">
        <v>0</v>
      </c>
      <c r="AB50" s="23">
        <v>0</v>
      </c>
      <c r="AC50" s="23">
        <v>0</v>
      </c>
      <c r="AD50" s="23">
        <v>2</v>
      </c>
      <c r="AE50" s="23">
        <v>0</v>
      </c>
      <c r="AF50" s="23">
        <v>0</v>
      </c>
      <c r="AG50" s="23">
        <v>0</v>
      </c>
      <c r="AH50" s="23">
        <v>0</v>
      </c>
      <c r="AI50" s="23">
        <v>1</v>
      </c>
      <c r="AJ50" s="23">
        <v>0</v>
      </c>
      <c r="AK50" s="23">
        <v>0</v>
      </c>
      <c r="AL50" s="23">
        <v>8</v>
      </c>
      <c r="AM50" s="23">
        <v>0</v>
      </c>
      <c r="AN50" s="23">
        <v>0</v>
      </c>
      <c r="AO50" s="23">
        <v>0</v>
      </c>
      <c r="AP50" s="23">
        <v>0</v>
      </c>
      <c r="AQ50" s="23">
        <v>0</v>
      </c>
      <c r="AR50" s="23">
        <v>18</v>
      </c>
      <c r="AS50" s="23">
        <v>0</v>
      </c>
      <c r="AT50" s="23">
        <v>1</v>
      </c>
      <c r="AU50" s="23">
        <v>0</v>
      </c>
      <c r="AV50" s="23">
        <v>0</v>
      </c>
      <c r="AW50" s="23">
        <v>0</v>
      </c>
      <c r="AX50" s="23">
        <v>0</v>
      </c>
      <c r="AY50" s="23">
        <v>990</v>
      </c>
      <c r="AZ50" s="23">
        <v>414</v>
      </c>
      <c r="BA50" s="23">
        <v>576</v>
      </c>
      <c r="BB50" s="23">
        <v>296</v>
      </c>
      <c r="BC50" s="23">
        <v>91</v>
      </c>
      <c r="BD50" s="23">
        <v>1350</v>
      </c>
      <c r="BE50" s="23">
        <v>252</v>
      </c>
      <c r="BF50" s="23">
        <v>146</v>
      </c>
      <c r="BG50" s="23">
        <v>168</v>
      </c>
      <c r="BH50" s="23">
        <v>318</v>
      </c>
      <c r="BI50" s="23">
        <v>480</v>
      </c>
      <c r="BJ50" s="23">
        <v>1272</v>
      </c>
      <c r="BK50" s="23">
        <v>100</v>
      </c>
      <c r="BL50" s="23">
        <v>67103</v>
      </c>
      <c r="BM50" s="23">
        <v>1018</v>
      </c>
      <c r="BN50" s="23">
        <v>75</v>
      </c>
      <c r="BO50" s="23">
        <v>631</v>
      </c>
      <c r="BP50" s="23">
        <v>935</v>
      </c>
      <c r="BQ50" s="23">
        <v>93</v>
      </c>
      <c r="BR50" s="23">
        <v>122</v>
      </c>
      <c r="BS50" s="23">
        <v>10</v>
      </c>
      <c r="BT50" s="23">
        <v>74</v>
      </c>
      <c r="BU50" s="23">
        <v>18</v>
      </c>
      <c r="BV50" s="23">
        <v>245</v>
      </c>
      <c r="BW50" s="23">
        <v>758</v>
      </c>
      <c r="BX50" s="23">
        <v>337</v>
      </c>
      <c r="BY50" s="23">
        <v>133</v>
      </c>
      <c r="BZ50" s="23">
        <v>538</v>
      </c>
      <c r="CA50" s="23">
        <v>136</v>
      </c>
      <c r="CB50" s="23">
        <v>1</v>
      </c>
      <c r="CC50" s="23">
        <v>76</v>
      </c>
      <c r="CD50" s="23">
        <v>174</v>
      </c>
      <c r="CE50" s="23">
        <v>1206</v>
      </c>
      <c r="CF50" s="23">
        <v>0</v>
      </c>
      <c r="CG50" s="23">
        <v>0</v>
      </c>
      <c r="CH50" s="23">
        <v>0</v>
      </c>
      <c r="CI50" s="23">
        <v>0</v>
      </c>
      <c r="CJ50" s="23">
        <v>0</v>
      </c>
      <c r="CK50" s="23">
        <v>7</v>
      </c>
      <c r="CL50" s="23">
        <v>705</v>
      </c>
      <c r="CM50" s="23">
        <v>0</v>
      </c>
      <c r="CN50" s="23">
        <v>0</v>
      </c>
      <c r="CO50" s="23">
        <v>3</v>
      </c>
      <c r="CP50" s="23">
        <v>0</v>
      </c>
      <c r="CQ50" s="23">
        <v>0</v>
      </c>
      <c r="CR50" s="23">
        <v>4</v>
      </c>
      <c r="CS50" s="23">
        <v>0</v>
      </c>
      <c r="CT50" s="23">
        <v>1</v>
      </c>
      <c r="CU50" s="23">
        <v>6</v>
      </c>
      <c r="CV50" s="23">
        <v>2</v>
      </c>
      <c r="CW50" s="23">
        <v>0</v>
      </c>
      <c r="CX50" s="23">
        <v>0</v>
      </c>
      <c r="CY50" s="23">
        <v>0</v>
      </c>
      <c r="CZ50" s="23">
        <v>1</v>
      </c>
      <c r="DA50" s="23">
        <v>0</v>
      </c>
      <c r="DB50" s="23">
        <v>0</v>
      </c>
      <c r="DC50" s="23">
        <v>0</v>
      </c>
      <c r="DD50" s="23">
        <v>6</v>
      </c>
      <c r="DE50" s="23">
        <v>0</v>
      </c>
      <c r="DF50" s="23">
        <v>0</v>
      </c>
      <c r="DG50" s="23">
        <v>0</v>
      </c>
      <c r="DH50" s="23">
        <v>0</v>
      </c>
      <c r="DI50" s="23">
        <v>0</v>
      </c>
      <c r="DJ50" s="23">
        <v>0</v>
      </c>
      <c r="DK50" s="23">
        <v>0</v>
      </c>
      <c r="DL50" s="23">
        <v>0</v>
      </c>
      <c r="DM50" s="23">
        <v>0</v>
      </c>
      <c r="DN50" s="23">
        <v>191</v>
      </c>
      <c r="DO50" s="23">
        <v>0</v>
      </c>
      <c r="DP50" s="23">
        <v>0</v>
      </c>
      <c r="DQ50" s="23">
        <v>3</v>
      </c>
      <c r="DR50" s="23">
        <v>159</v>
      </c>
      <c r="DS50" s="23">
        <v>0</v>
      </c>
      <c r="DT50" s="23">
        <v>7</v>
      </c>
      <c r="DU50" s="23">
        <v>0</v>
      </c>
      <c r="DV50" s="23">
        <v>0</v>
      </c>
      <c r="DW50" s="23">
        <v>0</v>
      </c>
      <c r="DX50" s="23">
        <v>0</v>
      </c>
      <c r="DY50" s="23">
        <v>0</v>
      </c>
      <c r="DZ50" s="23">
        <v>0</v>
      </c>
      <c r="EA50" s="23">
        <v>0</v>
      </c>
      <c r="EB50" s="23">
        <v>6</v>
      </c>
      <c r="EC50" s="23">
        <v>5</v>
      </c>
      <c r="ED50" s="23">
        <v>2</v>
      </c>
      <c r="EE50" s="23">
        <v>1501</v>
      </c>
      <c r="EF50" s="23">
        <v>26</v>
      </c>
      <c r="EG50" s="23">
        <v>1</v>
      </c>
      <c r="EH50" s="23">
        <v>10</v>
      </c>
      <c r="EI50" s="23">
        <v>2036</v>
      </c>
      <c r="EJ50" s="23">
        <v>0</v>
      </c>
      <c r="EK50" s="23">
        <v>274</v>
      </c>
      <c r="EL50" s="23">
        <v>0</v>
      </c>
      <c r="EM50" s="23">
        <v>0</v>
      </c>
      <c r="EN50" s="23">
        <v>0</v>
      </c>
      <c r="EO50" s="23">
        <v>4335</v>
      </c>
      <c r="EP50" s="23">
        <v>56</v>
      </c>
      <c r="EQ50" s="23">
        <v>0</v>
      </c>
      <c r="ER50" s="23">
        <v>1</v>
      </c>
      <c r="ES50" s="23">
        <v>13</v>
      </c>
      <c r="ET50" s="23">
        <v>0</v>
      </c>
      <c r="EU50" s="23">
        <v>0</v>
      </c>
      <c r="EV50" s="23">
        <v>1</v>
      </c>
      <c r="EW50" s="23">
        <v>1</v>
      </c>
      <c r="EX50" s="23">
        <v>0</v>
      </c>
      <c r="EY50" s="23">
        <v>29</v>
      </c>
      <c r="EZ50" s="23">
        <v>0</v>
      </c>
      <c r="FA50" s="23">
        <v>0</v>
      </c>
      <c r="FB50" s="23">
        <v>0</v>
      </c>
      <c r="FC50" s="23">
        <v>0</v>
      </c>
      <c r="FD50" s="23">
        <v>5</v>
      </c>
      <c r="FE50" s="23">
        <v>0</v>
      </c>
      <c r="FF50" s="23">
        <v>1</v>
      </c>
      <c r="FG50" s="23">
        <v>0</v>
      </c>
      <c r="FH50" s="23">
        <v>0</v>
      </c>
      <c r="FI50" s="23">
        <v>1</v>
      </c>
      <c r="FJ50" s="23">
        <v>0</v>
      </c>
      <c r="FK50" s="23">
        <v>1</v>
      </c>
      <c r="FL50" s="23">
        <v>0</v>
      </c>
      <c r="FM50" s="23">
        <v>0</v>
      </c>
      <c r="FN50" s="23">
        <v>0</v>
      </c>
      <c r="FO50" s="23">
        <v>18</v>
      </c>
      <c r="FP50" s="23">
        <v>1</v>
      </c>
      <c r="FQ50" s="23">
        <v>0</v>
      </c>
      <c r="FR50" s="23">
        <v>0</v>
      </c>
      <c r="FS50" s="23">
        <v>1</v>
      </c>
      <c r="FT50" s="23">
        <v>1</v>
      </c>
      <c r="FU50" s="23">
        <v>25</v>
      </c>
      <c r="FV50" s="23">
        <v>6</v>
      </c>
      <c r="FW50" s="23">
        <v>4</v>
      </c>
      <c r="FX50" s="23">
        <v>0</v>
      </c>
      <c r="FY50" s="23">
        <v>0</v>
      </c>
      <c r="FZ50" s="23">
        <v>0</v>
      </c>
      <c r="GA50" s="23">
        <v>0</v>
      </c>
      <c r="GB50" s="23">
        <v>3</v>
      </c>
      <c r="GC50" s="23">
        <v>0</v>
      </c>
      <c r="GD50" s="23">
        <v>2</v>
      </c>
      <c r="GE50" s="23">
        <v>3</v>
      </c>
      <c r="GF50" s="23">
        <v>3</v>
      </c>
      <c r="GG50" s="23">
        <v>3</v>
      </c>
      <c r="GH50" s="23">
        <v>0</v>
      </c>
      <c r="GI50" s="23">
        <v>0</v>
      </c>
      <c r="GJ50" s="23">
        <v>0</v>
      </c>
      <c r="GK50" s="23">
        <v>8</v>
      </c>
      <c r="GL50" s="23">
        <v>1</v>
      </c>
      <c r="GM50" s="23">
        <v>1</v>
      </c>
      <c r="GN50" s="23">
        <v>0</v>
      </c>
      <c r="GO50" s="23">
        <v>0</v>
      </c>
      <c r="GP50" s="23">
        <v>108</v>
      </c>
      <c r="GQ50" s="23">
        <v>0</v>
      </c>
      <c r="GR50" s="23">
        <v>0</v>
      </c>
      <c r="GS50" s="23">
        <v>0</v>
      </c>
      <c r="GT50" s="23">
        <v>0</v>
      </c>
      <c r="GU50" s="23">
        <v>120</v>
      </c>
      <c r="GV50" s="23">
        <v>1</v>
      </c>
      <c r="GW50" s="23">
        <v>0</v>
      </c>
      <c r="GX50" s="23">
        <v>0</v>
      </c>
      <c r="GY50" s="23">
        <v>15</v>
      </c>
      <c r="GZ50" s="23">
        <v>42</v>
      </c>
      <c r="HA50" s="23">
        <v>41</v>
      </c>
      <c r="HB50" s="23">
        <v>0</v>
      </c>
      <c r="HC50" s="23">
        <v>43</v>
      </c>
      <c r="HD50" s="23">
        <v>0</v>
      </c>
      <c r="HE50" s="23">
        <v>0</v>
      </c>
      <c r="HF50" s="23">
        <v>0</v>
      </c>
      <c r="HG50" s="23">
        <v>0</v>
      </c>
      <c r="HH50" s="23">
        <v>0</v>
      </c>
      <c r="HI50" s="23">
        <v>0</v>
      </c>
      <c r="HJ50" s="23">
        <v>21</v>
      </c>
      <c r="HK50" s="23">
        <v>0</v>
      </c>
      <c r="HL50" s="23">
        <v>0</v>
      </c>
      <c r="HM50" s="23">
        <v>0</v>
      </c>
      <c r="HN50" s="23">
        <v>0</v>
      </c>
      <c r="HO50" s="23">
        <v>0</v>
      </c>
      <c r="HP50" s="23">
        <v>0</v>
      </c>
      <c r="HQ50" s="23">
        <v>40</v>
      </c>
      <c r="HR50" s="23">
        <v>0</v>
      </c>
      <c r="HS50" s="23">
        <v>98</v>
      </c>
      <c r="HT50" s="23">
        <v>0</v>
      </c>
      <c r="HU50" s="23">
        <v>0</v>
      </c>
      <c r="HV50" s="23">
        <v>16</v>
      </c>
      <c r="HW50" s="23">
        <v>0</v>
      </c>
      <c r="HX50" s="23">
        <v>0</v>
      </c>
      <c r="HY50" s="23">
        <v>0</v>
      </c>
      <c r="HZ50" s="23">
        <v>0</v>
      </c>
      <c r="IA50" s="23">
        <v>0</v>
      </c>
      <c r="IB50" s="23">
        <v>0</v>
      </c>
      <c r="IC50" s="23">
        <v>0</v>
      </c>
      <c r="ID50" s="23">
        <v>0</v>
      </c>
      <c r="IE50" s="23">
        <v>0</v>
      </c>
      <c r="IF50" s="23">
        <v>0</v>
      </c>
      <c r="IG50" s="23">
        <v>0</v>
      </c>
      <c r="IH50" s="23">
        <v>0</v>
      </c>
      <c r="II50" s="23">
        <v>0</v>
      </c>
      <c r="IJ50" s="23">
        <v>0</v>
      </c>
      <c r="IK50" s="23">
        <v>0</v>
      </c>
      <c r="IL50" s="23">
        <v>0</v>
      </c>
      <c r="IM50" s="23">
        <v>0</v>
      </c>
      <c r="IN50" s="23">
        <v>0</v>
      </c>
      <c r="IO50" s="23">
        <v>0</v>
      </c>
      <c r="IP50" s="23">
        <v>0</v>
      </c>
      <c r="IQ50" s="23">
        <v>0</v>
      </c>
      <c r="IR50" s="23">
        <v>0</v>
      </c>
      <c r="IS50" s="23">
        <v>0</v>
      </c>
      <c r="IT50" s="23">
        <v>0</v>
      </c>
      <c r="IU50" s="23">
        <v>0</v>
      </c>
      <c r="IV50" s="23">
        <v>0</v>
      </c>
      <c r="IW50" s="23">
        <v>0</v>
      </c>
      <c r="IX50" s="23">
        <v>0</v>
      </c>
      <c r="IY50" s="23">
        <v>0</v>
      </c>
      <c r="IZ50" s="23">
        <v>0</v>
      </c>
      <c r="JA50" s="23">
        <v>0</v>
      </c>
      <c r="JB50" s="23">
        <v>0</v>
      </c>
      <c r="JC50" s="23">
        <v>0</v>
      </c>
      <c r="JD50" s="23">
        <v>0</v>
      </c>
      <c r="JE50" s="23">
        <v>0</v>
      </c>
      <c r="JF50" s="23">
        <v>0</v>
      </c>
      <c r="JG50" s="23">
        <v>0</v>
      </c>
      <c r="JH50" s="23">
        <v>0</v>
      </c>
      <c r="JI50" s="23">
        <v>0</v>
      </c>
      <c r="JJ50" s="23">
        <v>0</v>
      </c>
      <c r="JK50" s="23">
        <v>0</v>
      </c>
      <c r="JL50" s="23">
        <v>0</v>
      </c>
      <c r="JM50" s="23">
        <v>0</v>
      </c>
      <c r="JN50" s="23">
        <v>0</v>
      </c>
      <c r="JO50" s="23">
        <v>1</v>
      </c>
      <c r="JP50" s="23">
        <v>0</v>
      </c>
      <c r="JQ50" s="23">
        <v>21</v>
      </c>
      <c r="JR50" s="23">
        <v>0</v>
      </c>
      <c r="JS50" s="23">
        <v>0</v>
      </c>
      <c r="JT50" s="23">
        <v>0</v>
      </c>
      <c r="JU50" s="23">
        <v>0</v>
      </c>
      <c r="JV50" s="23">
        <v>1</v>
      </c>
      <c r="JW50" s="23">
        <v>0</v>
      </c>
      <c r="JX50" s="23">
        <v>0</v>
      </c>
      <c r="JY50" s="23">
        <v>0</v>
      </c>
      <c r="JZ50" s="23">
        <v>4</v>
      </c>
      <c r="KA50" s="23">
        <v>0</v>
      </c>
      <c r="KB50" s="23">
        <v>0</v>
      </c>
      <c r="KC50" s="23">
        <v>0</v>
      </c>
      <c r="KD50" s="23">
        <v>0</v>
      </c>
      <c r="KE50" s="23">
        <v>0</v>
      </c>
      <c r="KF50" s="23">
        <v>0</v>
      </c>
      <c r="KG50" s="23">
        <v>0</v>
      </c>
      <c r="KH50" s="23">
        <v>1</v>
      </c>
      <c r="KI50" s="23">
        <v>0</v>
      </c>
      <c r="KJ50" s="23">
        <v>0</v>
      </c>
      <c r="KK50" s="23">
        <v>0</v>
      </c>
      <c r="KL50" s="23">
        <v>0</v>
      </c>
      <c r="KM50" s="23">
        <v>0</v>
      </c>
      <c r="KN50" s="23">
        <v>0</v>
      </c>
      <c r="KO50" s="23">
        <v>0</v>
      </c>
      <c r="KP50" s="23">
        <v>1</v>
      </c>
      <c r="KQ50" s="23">
        <v>0</v>
      </c>
      <c r="KR50" s="23">
        <v>0</v>
      </c>
      <c r="KS50" s="23">
        <v>1</v>
      </c>
      <c r="KT50" s="23">
        <v>0</v>
      </c>
      <c r="KU50" s="23">
        <v>0</v>
      </c>
      <c r="KV50" s="23">
        <v>0</v>
      </c>
      <c r="KW50" s="23">
        <v>0</v>
      </c>
      <c r="KX50" s="23">
        <v>3</v>
      </c>
      <c r="KY50" s="23">
        <v>0</v>
      </c>
      <c r="KZ50" s="23">
        <v>2</v>
      </c>
      <c r="LA50" s="23">
        <v>0</v>
      </c>
      <c r="LB50" s="23">
        <v>0</v>
      </c>
      <c r="LC50" s="23">
        <v>0</v>
      </c>
      <c r="LD50" s="23">
        <v>0</v>
      </c>
      <c r="LE50" s="23">
        <v>0</v>
      </c>
      <c r="LF50" s="23">
        <v>0</v>
      </c>
      <c r="LG50" s="23">
        <v>0</v>
      </c>
      <c r="LH50" s="23">
        <v>18</v>
      </c>
      <c r="LI50" s="23">
        <v>0</v>
      </c>
      <c r="LJ50" s="23">
        <v>0</v>
      </c>
      <c r="LK50" s="23">
        <v>0</v>
      </c>
      <c r="LL50" s="23">
        <v>0</v>
      </c>
      <c r="LM50" s="23">
        <v>0</v>
      </c>
      <c r="LN50" s="278">
        <f ca="1">$A50 - TST!Sweden100dt + 1</f>
        <v>-4</v>
      </c>
      <c r="LO50" s="20">
        <f ca="1">INDEX(OFFSET(TST!HeadRow,ROW()-ROW(TST!HeadRow),0,1,COLUMNS(TST!HeadRow)),1,MATCH(LO$5,TST!HeadRow,0))/LO$8</f>
        <v>14.66275659824047</v>
      </c>
      <c r="LP50" s="278">
        <f ca="1">$A50 - TST!Spain100dt + 1</f>
        <v>-4</v>
      </c>
      <c r="LQ50" s="20">
        <f ca="1">INDEX(OFFSET(TST!HeadRow,ROW()-ROW(TST!HeadRow),0,1,COLUMNS(TST!HeadRow)),1,MATCH(LQ$5,TST!HeadRow,0))/LQ$8</f>
        <v>25.564550489987219</v>
      </c>
      <c r="LR50" s="285">
        <f ca="1">$A50 - TST!Victoria100dt + 1</f>
        <v>-13</v>
      </c>
      <c r="LS50" s="20">
        <f ca="1">INDEX(OFFSET(TST!HeadRow,ROW()-ROW(TST!HeadRow),0,1,COLUMNS(TST!HeadRow)),1,MATCH(LS$5,TST!HeadRow,0))/LS$8</f>
        <v>13.576708402473978</v>
      </c>
      <c r="LT50" s="278">
        <f ca="1">$A50 - TST!Iran100dt + 1</f>
        <v>2</v>
      </c>
      <c r="LU50" s="20">
        <f ca="1">INDEX(OFFSET(TST!HeadRow,ROW()-ROW(TST!HeadRow),0,1,COLUMNS(TST!HeadRow)),1,MATCH(LU$5,TST!HeadRow,0))/LU$8</f>
        <v>179.17467441777183</v>
      </c>
      <c r="LV50" s="278">
        <f ca="1">$A50 - TST!Japan100dt + 1</f>
        <v>-22</v>
      </c>
      <c r="LW50" s="20">
        <f ca="1">INDEX(OFFSET(TST!HeadRow,ROW()-ROW(TST!HeadRow),0,1,COLUMNS(TST!HeadRow)),1,MATCH(LW$5,TST!HeadRow,0))/LW$8</f>
        <v>21.650802067790668</v>
      </c>
      <c r="LX50" s="278">
        <f ca="1">$A50 - TST!Queensland100dt + 1</f>
        <v>-12</v>
      </c>
      <c r="LY50" s="20">
        <f ca="1">INDEX(OFFSET(TST!HeadRow,ROW()-ROW(TST!HeadRow),0,1,COLUMNS(TST!HeadRow)),1,MATCH(LY$5,TST!HeadRow,0))/LY$8</f>
        <v>17.593756640421343</v>
      </c>
      <c r="LZ50" s="278">
        <f ca="1">$A50 - TST!Tasmania100dt + 1</f>
        <v>-12</v>
      </c>
      <c r="MA50" s="20">
        <f ca="1">INDEX(OFFSET(TST!HeadRow,ROW()-ROW(TST!HeadRow),0,1,COLUMNS(TST!HeadRow)),1,MATCH(MA$5,TST!HeadRow,0))/MA$8</f>
        <v>19.417475728155342</v>
      </c>
      <c r="MB50" s="278">
        <f ca="1">$A50 - TST!SouthAustralia100dt + 1</f>
        <v>-11</v>
      </c>
      <c r="MC50" s="20">
        <f ca="1">INDEX(OFFSET(TST!HeadRow,ROW()-ROW(TST!HeadRow),0,1,COLUMNS(TST!HeadRow)),1,MATCH(MC$5,TST!HeadRow,0))/MC$8</f>
        <v>17.964071856287426</v>
      </c>
      <c r="MD50" s="278">
        <f ca="1">$A50 - TST!AustralianCapitalTerritory100dt + 1</f>
        <v>-17</v>
      </c>
      <c r="ME50" s="20">
        <f ca="1">INDEX(OFFSET(TST!HeadRow,ROW()-ROW(TST!HeadRow),0,1,COLUMNS(TST!HeadRow)),1,MATCH(ME$5,TST!HeadRow,0))/ME$8</f>
        <v>0</v>
      </c>
      <c r="MF50" s="278">
        <f ca="1">$A50 - TST!NorthernTerritory100dt + 1</f>
        <v>-17</v>
      </c>
      <c r="MG50" s="20">
        <f ca="1">INDEX(OFFSET(TST!HeadRow,ROW()-ROW(TST!HeadRow),0,1,COLUMNS(TST!HeadRow)),1,MATCH(MG$5,TST!HeadRow,0))/MG$8</f>
        <v>0</v>
      </c>
      <c r="MH50" s="278">
        <f ca="1">$A50 - TST!WesternAustralia100dt + 1</f>
        <v>-13</v>
      </c>
      <c r="MI50" s="20">
        <f ca="1">INDEX(OFFSET(TST!HeadRow,ROW()-ROW(TST!HeadRow),0,1,COLUMNS(TST!HeadRow)),1,MATCH(MI$5,TST!HeadRow,0))/MI$8</f>
        <v>7.7249903437620695</v>
      </c>
      <c r="MJ50" s="278">
        <f ca="1">$A50 - TST!Germany100dt + 1</f>
        <v>-5</v>
      </c>
      <c r="MK50" s="20">
        <f ca="1">INDEX(OFFSET(TST!HeadRow,ROW()-ROW(TST!HeadRow),0,1,COLUMNS(TST!HeadRow)),1,MATCH(MK$5,TST!HeadRow,0))/MK$8</f>
        <v>19.152011563478681</v>
      </c>
      <c r="ML50" s="278">
        <f ca="1">$A50 - TST!Denmark100dt + 1</f>
        <v>-6</v>
      </c>
      <c r="MM50" s="20">
        <f ca="1">INDEX(OFFSET(TST!HeadRow,ROW()-ROW(TST!HeadRow),0,1,COLUMNS(TST!HeadRow)),1,MATCH(MM$5,TST!HeadRow,0))/MM$8</f>
        <v>6.889424733034792</v>
      </c>
      <c r="MN50" s="278">
        <f ca="1">$A50 - TST!SouthAfrica100dt + 1</f>
        <v>-22</v>
      </c>
      <c r="MO50" s="20">
        <f ca="1">INDEX(OFFSET(TST!HeadRow,ROW()-ROW(TST!HeadRow),0,1,COLUMNS(TST!HeadRow)),1,MATCH(MO$5,TST!HeadRow,0))/MO$8</f>
        <v>0</v>
      </c>
      <c r="MP50" s="278">
        <f ca="1">$A50 - TST!UnitedKingdom100dt + 1</f>
        <v>-10</v>
      </c>
      <c r="MQ50" s="20">
        <f ca="1">INDEX(OFFSET(TST!HeadRow,ROW()-ROW(TST!HeadRow),0,1,COLUMNS(TST!HeadRow)),1,MATCH(MQ$5,TST!HeadRow,0))/MQ$8</f>
        <v>6.0204695966285371</v>
      </c>
      <c r="MR50" s="278">
        <f ca="1">$A50 - TST!Ireland100dt + 1</f>
        <v>-10</v>
      </c>
      <c r="MS50" s="20">
        <f ca="1">INDEX(OFFSET(TST!HeadRow,ROW()-ROW(TST!HeadRow),0,1,COLUMNS(TST!HeadRow)),1,MATCH(MS$5,TST!HeadRow,0))/MS$8</f>
        <v>2.0408163265306123</v>
      </c>
      <c r="MT50" s="278">
        <f ca="1">$A50 - TST!Italy100dt + 1</f>
        <v>5</v>
      </c>
      <c r="MU50" s="20">
        <f ca="1">INDEX(OFFSET(TST!HeadRow,ROW()-ROW(TST!HeadRow),0,1,COLUMNS(TST!HeadRow)),1,MATCH(MU$5,TST!HeadRow,0))/MU$8</f>
        <v>336.61238323551294</v>
      </c>
      <c r="MV50" s="278">
        <f ca="1">$A50 - TST!US100dt + 1</f>
        <v>-12</v>
      </c>
      <c r="MW50" s="20">
        <f ca="1">INDEX(OFFSET(TST!HeadRow,ROW()-ROW(TST!HeadRow),0,1,COLUMNS(TST!HeadRow)),1,MATCH(MW$5,TST!HeadRow,0))/MW$8</f>
        <v>2.9766628478512263</v>
      </c>
      <c r="MX50" s="278">
        <f ca="1">$A50 - TST!AustraliaSum100dt + 1</f>
        <v>-12</v>
      </c>
      <c r="MY50" s="366">
        <f t="shared" si="8"/>
        <v>11.827787415234191</v>
      </c>
      <c r="MZ50" s="278">
        <f ca="1">$A50 - TST!NewSouthWales100dt + 1</f>
        <v>-10</v>
      </c>
      <c r="NA50" s="366">
        <f ca="1">INDEX(OFFSET(TST!HeadRow,ROW()-ROW(TST!HeadRow),0,1,COLUMNS(TST!HeadRow)),1,MATCH(NA$5,TST!HeadRow,0))/NA$8</f>
        <v>7.4257425742574252</v>
      </c>
      <c r="NB50" s="278">
        <f ca="1">$A50 - TST!Taiwan100dt + 1</f>
        <v>-23</v>
      </c>
      <c r="NC50" s="366">
        <f ca="1">INDEX(OFFSET(TST!HeadRow,ROW()-ROW(TST!HeadRow),0,1,COLUMNS(TST!HeadRow)),1,MATCH(NC$5,TST!HeadRow,0))/NC$8</f>
        <v>17.221621518995743</v>
      </c>
      <c r="ND50" s="20">
        <f ca="1">$A50 - TST!Hubei100dt + 1</f>
        <v>38</v>
      </c>
      <c r="NE50" s="20">
        <f ca="1">INDEX(OFFSET(TST!HeadRow,ROW()-ROW(TST!HeadRow),0,1,COLUMNS(TST!HeadRow)),1,MATCH(NE$5,TST!HeadRow,0))/NE$8</f>
        <v>11470.598290598291</v>
      </c>
      <c r="NF50" s="20">
        <f ca="1">$A50 - TST!HongKong100dt + 1</f>
        <v>8</v>
      </c>
      <c r="NG50" s="20">
        <f ca="1">INDEX(OFFSET(TST!HeadRow,ROW()-ROW(TST!HeadRow),0,1,COLUMNS(TST!HeadRow)),1,MATCH(NG$5,TST!HeadRow,0))/NG$8</f>
        <v>134.21017313112336</v>
      </c>
    </row>
    <row r="51" spans="1:371" x14ac:dyDescent="0.25">
      <c r="A51" s="243">
        <v>43893</v>
      </c>
      <c r="B51" s="23">
        <v>1</v>
      </c>
      <c r="C51" s="23">
        <v>0</v>
      </c>
      <c r="D51" s="23">
        <v>5</v>
      </c>
      <c r="E51" s="23">
        <v>1</v>
      </c>
      <c r="F51" s="23">
        <v>0</v>
      </c>
      <c r="G51" s="23">
        <v>0</v>
      </c>
      <c r="H51" s="23">
        <v>1</v>
      </c>
      <c r="I51" s="23">
        <v>1</v>
      </c>
      <c r="J51" s="23">
        <v>0</v>
      </c>
      <c r="K51" s="293">
        <v>13</v>
      </c>
      <c r="L51" s="23">
        <v>0</v>
      </c>
      <c r="M51" s="290">
        <v>11</v>
      </c>
      <c r="N51" s="23">
        <v>3</v>
      </c>
      <c r="O51" s="384">
        <v>1</v>
      </c>
      <c r="P51" s="287">
        <v>9</v>
      </c>
      <c r="Q51" s="23">
        <v>2</v>
      </c>
      <c r="R51" s="23">
        <v>21</v>
      </c>
      <c r="S51" s="23">
        <v>3</v>
      </c>
      <c r="T51" s="23">
        <v>0</v>
      </c>
      <c r="U51" s="23">
        <v>49</v>
      </c>
      <c r="V51" s="23">
        <v>0</v>
      </c>
      <c r="W51" s="23">
        <v>0</v>
      </c>
      <c r="X51" s="23">
        <v>1</v>
      </c>
      <c r="Y51" s="23">
        <v>13</v>
      </c>
      <c r="Z51" s="23">
        <v>0</v>
      </c>
      <c r="AA51" s="23">
        <v>0</v>
      </c>
      <c r="AB51" s="23">
        <v>0</v>
      </c>
      <c r="AC51" s="23">
        <v>0</v>
      </c>
      <c r="AD51" s="23">
        <v>2</v>
      </c>
      <c r="AE51" s="23">
        <v>0</v>
      </c>
      <c r="AF51" s="23">
        <v>0</v>
      </c>
      <c r="AG51" s="23">
        <v>0</v>
      </c>
      <c r="AH51" s="23">
        <v>0</v>
      </c>
      <c r="AI51" s="23">
        <v>1</v>
      </c>
      <c r="AJ51" s="23">
        <v>0</v>
      </c>
      <c r="AK51" s="23">
        <v>0</v>
      </c>
      <c r="AL51" s="23">
        <v>9</v>
      </c>
      <c r="AM51" s="23">
        <v>0</v>
      </c>
      <c r="AN51" s="23">
        <v>0</v>
      </c>
      <c r="AO51" s="23">
        <v>0</v>
      </c>
      <c r="AP51" s="23">
        <v>0</v>
      </c>
      <c r="AQ51" s="23">
        <v>0</v>
      </c>
      <c r="AR51" s="23">
        <v>20</v>
      </c>
      <c r="AS51" s="23">
        <v>0</v>
      </c>
      <c r="AT51" s="23">
        <v>1</v>
      </c>
      <c r="AU51" s="23">
        <v>0</v>
      </c>
      <c r="AV51" s="23">
        <v>0</v>
      </c>
      <c r="AW51" s="23">
        <v>0</v>
      </c>
      <c r="AX51" s="23">
        <v>1</v>
      </c>
      <c r="AY51" s="23">
        <v>990</v>
      </c>
      <c r="AZ51" s="23">
        <v>414</v>
      </c>
      <c r="BA51" s="23">
        <v>576</v>
      </c>
      <c r="BB51" s="23">
        <v>296</v>
      </c>
      <c r="BC51" s="23">
        <v>91</v>
      </c>
      <c r="BD51" s="23">
        <v>1350</v>
      </c>
      <c r="BE51" s="23">
        <v>252</v>
      </c>
      <c r="BF51" s="23">
        <v>146</v>
      </c>
      <c r="BG51" s="23">
        <v>168</v>
      </c>
      <c r="BH51" s="23">
        <v>318</v>
      </c>
      <c r="BI51" s="23">
        <v>480</v>
      </c>
      <c r="BJ51" s="23">
        <v>1272</v>
      </c>
      <c r="BK51" s="23">
        <v>100</v>
      </c>
      <c r="BL51" s="23">
        <v>67217</v>
      </c>
      <c r="BM51" s="23">
        <v>1018</v>
      </c>
      <c r="BN51" s="23">
        <v>75</v>
      </c>
      <c r="BO51" s="23">
        <v>631</v>
      </c>
      <c r="BP51" s="23">
        <v>935</v>
      </c>
      <c r="BQ51" s="23">
        <v>93</v>
      </c>
      <c r="BR51" s="23">
        <v>125</v>
      </c>
      <c r="BS51" s="23">
        <v>10</v>
      </c>
      <c r="BT51" s="23">
        <v>74</v>
      </c>
      <c r="BU51" s="23">
        <v>18</v>
      </c>
      <c r="BV51" s="23">
        <v>245</v>
      </c>
      <c r="BW51" s="23">
        <v>758</v>
      </c>
      <c r="BX51" s="23">
        <v>338</v>
      </c>
      <c r="BY51" s="23">
        <v>133</v>
      </c>
      <c r="BZ51" s="23">
        <v>538</v>
      </c>
      <c r="CA51" s="23">
        <v>136</v>
      </c>
      <c r="CB51" s="23">
        <v>1</v>
      </c>
      <c r="CC51" s="23">
        <v>76</v>
      </c>
      <c r="CD51" s="23">
        <v>174</v>
      </c>
      <c r="CE51" s="23">
        <v>1213</v>
      </c>
      <c r="CF51" s="23">
        <v>0</v>
      </c>
      <c r="CG51" s="23">
        <v>0</v>
      </c>
      <c r="CH51" s="23">
        <v>0</v>
      </c>
      <c r="CI51" s="23">
        <v>0</v>
      </c>
      <c r="CJ51" s="23">
        <v>0</v>
      </c>
      <c r="CK51" s="23">
        <v>9</v>
      </c>
      <c r="CL51" s="23">
        <v>706</v>
      </c>
      <c r="CM51" s="23">
        <v>0</v>
      </c>
      <c r="CN51" s="23">
        <v>0</v>
      </c>
      <c r="CO51" s="23">
        <v>5</v>
      </c>
      <c r="CP51" s="23">
        <v>0</v>
      </c>
      <c r="CQ51" s="23">
        <v>0</v>
      </c>
      <c r="CR51" s="23">
        <v>6</v>
      </c>
      <c r="CS51" s="23">
        <v>0</v>
      </c>
      <c r="CT51" s="23">
        <v>1</v>
      </c>
      <c r="CU51" s="23">
        <v>7</v>
      </c>
      <c r="CV51" s="23">
        <v>2</v>
      </c>
      <c r="CW51" s="23">
        <v>0</v>
      </c>
      <c r="CX51" s="23">
        <v>0</v>
      </c>
      <c r="CY51" s="23">
        <v>0</v>
      </c>
      <c r="CZ51" s="23">
        <v>2</v>
      </c>
      <c r="DA51" s="23">
        <v>0</v>
      </c>
      <c r="DB51" s="23">
        <v>0</v>
      </c>
      <c r="DC51" s="23">
        <v>0</v>
      </c>
      <c r="DD51" s="23">
        <v>6</v>
      </c>
      <c r="DE51" s="23">
        <v>0</v>
      </c>
      <c r="DF51" s="23">
        <v>0</v>
      </c>
      <c r="DG51" s="23">
        <v>0</v>
      </c>
      <c r="DH51" s="23">
        <v>0</v>
      </c>
      <c r="DI51" s="23">
        <v>0</v>
      </c>
      <c r="DJ51" s="23">
        <v>0</v>
      </c>
      <c r="DK51" s="23">
        <v>0</v>
      </c>
      <c r="DL51" s="23">
        <v>0</v>
      </c>
      <c r="DM51" s="23">
        <v>0</v>
      </c>
      <c r="DN51" s="23">
        <v>204</v>
      </c>
      <c r="DO51" s="23">
        <v>0</v>
      </c>
      <c r="DP51" s="23">
        <v>0</v>
      </c>
      <c r="DQ51" s="23">
        <v>3</v>
      </c>
      <c r="DR51" s="23">
        <v>196</v>
      </c>
      <c r="DS51" s="23">
        <v>0</v>
      </c>
      <c r="DT51" s="23">
        <v>7</v>
      </c>
      <c r="DU51" s="23">
        <v>0</v>
      </c>
      <c r="DV51" s="23">
        <v>0</v>
      </c>
      <c r="DW51" s="23">
        <v>0</v>
      </c>
      <c r="DX51" s="23">
        <v>0</v>
      </c>
      <c r="DY51" s="23">
        <v>0</v>
      </c>
      <c r="DZ51" s="23">
        <v>0</v>
      </c>
      <c r="EA51" s="23">
        <v>0</v>
      </c>
      <c r="EB51" s="23">
        <v>11</v>
      </c>
      <c r="EC51" s="23">
        <v>5</v>
      </c>
      <c r="ED51" s="23">
        <v>2</v>
      </c>
      <c r="EE51" s="23">
        <v>2336</v>
      </c>
      <c r="EF51" s="23">
        <v>32</v>
      </c>
      <c r="EG51" s="23">
        <v>2</v>
      </c>
      <c r="EH51" s="23">
        <v>12</v>
      </c>
      <c r="EI51" s="23">
        <v>2502</v>
      </c>
      <c r="EJ51" s="23">
        <v>0</v>
      </c>
      <c r="EK51" s="23">
        <v>293</v>
      </c>
      <c r="EL51" s="23">
        <v>1</v>
      </c>
      <c r="EM51" s="23">
        <v>0</v>
      </c>
      <c r="EN51" s="23">
        <v>0</v>
      </c>
      <c r="EO51" s="23">
        <v>5186</v>
      </c>
      <c r="EP51" s="23">
        <v>56</v>
      </c>
      <c r="EQ51" s="23">
        <v>0</v>
      </c>
      <c r="ER51" s="23">
        <v>1</v>
      </c>
      <c r="ES51" s="23">
        <v>13</v>
      </c>
      <c r="ET51" s="23">
        <v>0</v>
      </c>
      <c r="EU51" s="23">
        <v>0</v>
      </c>
      <c r="EV51" s="23">
        <v>1</v>
      </c>
      <c r="EW51" s="23">
        <v>1</v>
      </c>
      <c r="EX51" s="23">
        <v>0</v>
      </c>
      <c r="EY51" s="23">
        <v>36</v>
      </c>
      <c r="EZ51" s="23">
        <v>0</v>
      </c>
      <c r="FA51" s="23">
        <v>0</v>
      </c>
      <c r="FB51" s="23">
        <v>0</v>
      </c>
      <c r="FC51" s="23">
        <v>0</v>
      </c>
      <c r="FD51" s="23">
        <v>5</v>
      </c>
      <c r="FE51" s="23">
        <v>0</v>
      </c>
      <c r="FF51" s="23">
        <v>1</v>
      </c>
      <c r="FG51" s="23">
        <v>0</v>
      </c>
      <c r="FH51" s="23">
        <v>0</v>
      </c>
      <c r="FI51" s="23">
        <v>1</v>
      </c>
      <c r="FJ51" s="23">
        <v>0</v>
      </c>
      <c r="FK51" s="23">
        <v>1</v>
      </c>
      <c r="FL51" s="23">
        <v>0</v>
      </c>
      <c r="FM51" s="23">
        <v>0</v>
      </c>
      <c r="FN51" s="23">
        <v>0</v>
      </c>
      <c r="FO51" s="23">
        <v>24</v>
      </c>
      <c r="FP51" s="23">
        <v>1</v>
      </c>
      <c r="FQ51" s="23">
        <v>0</v>
      </c>
      <c r="FR51" s="23">
        <v>0</v>
      </c>
      <c r="FS51" s="23">
        <v>1</v>
      </c>
      <c r="FT51" s="23">
        <v>1</v>
      </c>
      <c r="FU51" s="23">
        <v>32</v>
      </c>
      <c r="FV51" s="23">
        <v>12</v>
      </c>
      <c r="FW51" s="23">
        <v>5</v>
      </c>
      <c r="FX51" s="23">
        <v>0</v>
      </c>
      <c r="FY51" s="23">
        <v>0</v>
      </c>
      <c r="FZ51" s="23">
        <v>0</v>
      </c>
      <c r="GA51" s="23">
        <v>0</v>
      </c>
      <c r="GB51" s="23">
        <v>3</v>
      </c>
      <c r="GC51" s="23">
        <v>0</v>
      </c>
      <c r="GD51" s="23">
        <v>2</v>
      </c>
      <c r="GE51" s="23">
        <v>7</v>
      </c>
      <c r="GF51" s="23">
        <v>3</v>
      </c>
      <c r="GG51" s="23">
        <v>3</v>
      </c>
      <c r="GH51" s="23">
        <v>0</v>
      </c>
      <c r="GI51" s="23">
        <v>0</v>
      </c>
      <c r="GJ51" s="23">
        <v>0</v>
      </c>
      <c r="GK51" s="23">
        <v>10</v>
      </c>
      <c r="GL51" s="23">
        <v>1</v>
      </c>
      <c r="GM51" s="23">
        <v>2</v>
      </c>
      <c r="GN51" s="23">
        <v>0</v>
      </c>
      <c r="GO51" s="23">
        <v>0</v>
      </c>
      <c r="GP51" s="23">
        <v>110</v>
      </c>
      <c r="GQ51" s="23">
        <v>0</v>
      </c>
      <c r="GR51" s="23">
        <v>0</v>
      </c>
      <c r="GS51" s="23">
        <v>0</v>
      </c>
      <c r="GT51" s="23">
        <v>0</v>
      </c>
      <c r="GU51" s="23">
        <v>165</v>
      </c>
      <c r="GV51" s="23">
        <v>1</v>
      </c>
      <c r="GW51" s="23">
        <v>0</v>
      </c>
      <c r="GX51" s="23">
        <v>0</v>
      </c>
      <c r="GY51" s="23">
        <v>21</v>
      </c>
      <c r="GZ51" s="23">
        <v>56</v>
      </c>
      <c r="HA51" s="23">
        <v>42</v>
      </c>
      <c r="HB51" s="23">
        <v>0</v>
      </c>
      <c r="HC51" s="23">
        <v>43</v>
      </c>
      <c r="HD51" s="23">
        <v>0</v>
      </c>
      <c r="HE51" s="23">
        <v>0</v>
      </c>
      <c r="HF51" s="23">
        <v>0</v>
      </c>
      <c r="HG51" s="23">
        <v>0</v>
      </c>
      <c r="HH51" s="23">
        <v>0</v>
      </c>
      <c r="HI51" s="23">
        <v>1</v>
      </c>
      <c r="HJ51" s="23">
        <v>27</v>
      </c>
      <c r="HK51" s="23">
        <v>0</v>
      </c>
      <c r="HL51" s="23">
        <v>0</v>
      </c>
      <c r="HM51" s="23">
        <v>0</v>
      </c>
      <c r="HN51" s="23">
        <v>0</v>
      </c>
      <c r="HO51" s="23">
        <v>0</v>
      </c>
      <c r="HP51" s="23">
        <v>0</v>
      </c>
      <c r="HQ51" s="23">
        <v>51</v>
      </c>
      <c r="HR51" s="23">
        <v>0</v>
      </c>
      <c r="HS51" s="23">
        <v>118</v>
      </c>
      <c r="HT51" s="23">
        <v>0</v>
      </c>
      <c r="HU51" s="23">
        <v>0</v>
      </c>
      <c r="HV51" s="23">
        <v>16</v>
      </c>
      <c r="HW51" s="23">
        <v>0</v>
      </c>
      <c r="HX51" s="23">
        <v>0</v>
      </c>
      <c r="HY51" s="23">
        <v>0</v>
      </c>
      <c r="HZ51" s="23">
        <v>0</v>
      </c>
      <c r="IA51" s="23">
        <v>0</v>
      </c>
      <c r="IB51" s="23">
        <v>0</v>
      </c>
      <c r="IC51" s="23">
        <v>0</v>
      </c>
      <c r="ID51" s="23">
        <v>0</v>
      </c>
      <c r="IE51" s="23">
        <v>0</v>
      </c>
      <c r="IF51" s="23">
        <v>0</v>
      </c>
      <c r="IG51" s="23">
        <v>0</v>
      </c>
      <c r="IH51" s="23">
        <v>0</v>
      </c>
      <c r="II51" s="23">
        <v>0</v>
      </c>
      <c r="IJ51" s="23">
        <v>0</v>
      </c>
      <c r="IK51" s="23">
        <v>0</v>
      </c>
      <c r="IL51" s="23">
        <v>0</v>
      </c>
      <c r="IM51" s="23">
        <v>0</v>
      </c>
      <c r="IN51" s="23">
        <v>0</v>
      </c>
      <c r="IO51" s="23">
        <v>0</v>
      </c>
      <c r="IP51" s="23">
        <v>0</v>
      </c>
      <c r="IQ51" s="23">
        <v>0</v>
      </c>
      <c r="IR51" s="23">
        <v>0</v>
      </c>
      <c r="IS51" s="23">
        <v>0</v>
      </c>
      <c r="IT51" s="23">
        <v>0</v>
      </c>
      <c r="IU51" s="23">
        <v>0</v>
      </c>
      <c r="IV51" s="23">
        <v>0</v>
      </c>
      <c r="IW51" s="23">
        <v>0</v>
      </c>
      <c r="IX51" s="23">
        <v>0</v>
      </c>
      <c r="IY51" s="23">
        <v>0</v>
      </c>
      <c r="IZ51" s="23">
        <v>0</v>
      </c>
      <c r="JA51" s="23">
        <v>0</v>
      </c>
      <c r="JB51" s="23">
        <v>0</v>
      </c>
      <c r="JC51" s="23">
        <v>0</v>
      </c>
      <c r="JD51" s="23">
        <v>0</v>
      </c>
      <c r="JE51" s="23">
        <v>0</v>
      </c>
      <c r="JF51" s="23">
        <v>0</v>
      </c>
      <c r="JG51" s="23">
        <v>0</v>
      </c>
      <c r="JH51" s="23">
        <v>0</v>
      </c>
      <c r="JI51" s="23">
        <v>0</v>
      </c>
      <c r="JJ51" s="23">
        <v>0</v>
      </c>
      <c r="JK51" s="23">
        <v>0</v>
      </c>
      <c r="JL51" s="23">
        <v>0</v>
      </c>
      <c r="JM51" s="23">
        <v>0</v>
      </c>
      <c r="JN51" s="23">
        <v>0</v>
      </c>
      <c r="JO51" s="23">
        <v>1</v>
      </c>
      <c r="JP51" s="23">
        <v>0</v>
      </c>
      <c r="JQ51" s="23">
        <v>25</v>
      </c>
      <c r="JR51" s="23">
        <v>0</v>
      </c>
      <c r="JS51" s="23">
        <v>0</v>
      </c>
      <c r="JT51" s="23">
        <v>0</v>
      </c>
      <c r="JU51" s="23">
        <v>0</v>
      </c>
      <c r="JV51" s="23">
        <v>2</v>
      </c>
      <c r="JW51" s="23">
        <v>2</v>
      </c>
      <c r="JX51" s="23">
        <v>0</v>
      </c>
      <c r="JY51" s="23">
        <v>0</v>
      </c>
      <c r="JZ51" s="23">
        <v>4</v>
      </c>
      <c r="KA51" s="23">
        <v>0</v>
      </c>
      <c r="KB51" s="23">
        <v>0</v>
      </c>
      <c r="KC51" s="23">
        <v>0</v>
      </c>
      <c r="KD51" s="23">
        <v>0</v>
      </c>
      <c r="KE51" s="23">
        <v>0</v>
      </c>
      <c r="KF51" s="23">
        <v>0</v>
      </c>
      <c r="KG51" s="23">
        <v>0</v>
      </c>
      <c r="KH51" s="23">
        <v>2</v>
      </c>
      <c r="KI51" s="23">
        <v>0</v>
      </c>
      <c r="KJ51" s="23">
        <v>0</v>
      </c>
      <c r="KK51" s="23">
        <v>0</v>
      </c>
      <c r="KL51" s="23">
        <v>0</v>
      </c>
      <c r="KM51" s="23">
        <v>0</v>
      </c>
      <c r="KN51" s="23">
        <v>0</v>
      </c>
      <c r="KO51" s="23">
        <v>0</v>
      </c>
      <c r="KP51" s="23">
        <v>2</v>
      </c>
      <c r="KQ51" s="23">
        <v>0</v>
      </c>
      <c r="KR51" s="23">
        <v>0</v>
      </c>
      <c r="KS51" s="23">
        <v>2</v>
      </c>
      <c r="KT51" s="23">
        <v>1</v>
      </c>
      <c r="KU51" s="23">
        <v>0</v>
      </c>
      <c r="KV51" s="23">
        <v>0</v>
      </c>
      <c r="KW51" s="23">
        <v>0</v>
      </c>
      <c r="KX51" s="23">
        <v>3</v>
      </c>
      <c r="KY51" s="23">
        <v>0</v>
      </c>
      <c r="KZ51" s="23">
        <v>2</v>
      </c>
      <c r="LA51" s="23">
        <v>0</v>
      </c>
      <c r="LB51" s="23">
        <v>0</v>
      </c>
      <c r="LC51" s="23">
        <v>0</v>
      </c>
      <c r="LD51" s="23">
        <v>0</v>
      </c>
      <c r="LE51" s="23">
        <v>0</v>
      </c>
      <c r="LF51" s="23">
        <v>0</v>
      </c>
      <c r="LG51" s="23">
        <v>0</v>
      </c>
      <c r="LH51" s="23">
        <v>27</v>
      </c>
      <c r="LI51" s="23">
        <v>0</v>
      </c>
      <c r="LJ51" s="23">
        <v>0</v>
      </c>
      <c r="LK51" s="23">
        <v>0</v>
      </c>
      <c r="LL51" s="23">
        <v>0</v>
      </c>
      <c r="LM51" s="23">
        <v>0</v>
      </c>
      <c r="LN51" s="278">
        <f ca="1">$A51 - TST!Sweden100dt + 1</f>
        <v>-3</v>
      </c>
      <c r="LO51" s="20">
        <f ca="1">INDEX(OFFSET(TST!HeadRow,ROW()-ROW(TST!HeadRow),0,1,COLUMNS(TST!HeadRow)),1,MATCH(LO$5,TST!HeadRow,0))/LO$8</f>
        <v>20.52785923753666</v>
      </c>
      <c r="LP51" s="278">
        <f ca="1">$A51 - TST!Spain100dt + 1</f>
        <v>-3</v>
      </c>
      <c r="LQ51" s="20">
        <f ca="1">INDEX(OFFSET(TST!HeadRow,ROW()-ROW(TST!HeadRow),0,1,COLUMNS(TST!HeadRow)),1,MATCH(LQ$5,TST!HeadRow,0))/LQ$8</f>
        <v>35.151256923732426</v>
      </c>
      <c r="LR51" s="285">
        <f ca="1">$A51 - TST!Victoria100dt + 1</f>
        <v>-12</v>
      </c>
      <c r="LS51" s="20">
        <f ca="1">INDEX(OFFSET(TST!HeadRow,ROW()-ROW(TST!HeadRow),0,1,COLUMNS(TST!HeadRow)),1,MATCH(LS$5,TST!HeadRow,0))/LS$8</f>
        <v>13.576708402473978</v>
      </c>
      <c r="LT51" s="278">
        <f ca="1">$A51 - TST!Iran100dt + 1</f>
        <v>3</v>
      </c>
      <c r="LU51" s="20">
        <f ca="1">INDEX(OFFSET(TST!HeadRow,ROW()-ROW(TST!HeadRow),0,1,COLUMNS(TST!HeadRow)),1,MATCH(LU$5,TST!HeadRow,0))/LU$8</f>
        <v>278.84879376410061</v>
      </c>
      <c r="LV51" s="278">
        <f ca="1">$A51 - TST!Japan100dt + 1</f>
        <v>-21</v>
      </c>
      <c r="LW51" s="20">
        <f ca="1">INDEX(OFFSET(TST!HeadRow,ROW()-ROW(TST!HeadRow),0,1,COLUMNS(TST!HeadRow)),1,MATCH(LW$5,TST!HeadRow,0))/LW$8</f>
        <v>23.152135057892941</v>
      </c>
      <c r="LX51" s="278">
        <f ca="1">$A51 - TST!Queensland100dt + 1</f>
        <v>-11</v>
      </c>
      <c r="LY51" s="20">
        <f ca="1">INDEX(OFFSET(TST!HeadRow,ROW()-ROW(TST!HeadRow),0,1,COLUMNS(TST!HeadRow)),1,MATCH(LY$5,TST!HeadRow,0))/LY$8</f>
        <v>21.503480338292754</v>
      </c>
      <c r="LZ51" s="278">
        <f ca="1">$A51 - TST!Tasmania100dt + 1</f>
        <v>-11</v>
      </c>
      <c r="MA51" s="20">
        <f ca="1">INDEX(OFFSET(TST!HeadRow,ROW()-ROW(TST!HeadRow),0,1,COLUMNS(TST!HeadRow)),1,MATCH(MA$5,TST!HeadRow,0))/MA$8</f>
        <v>19.417475728155342</v>
      </c>
      <c r="MB51" s="278">
        <f ca="1">$A51 - TST!SouthAustralia100dt + 1</f>
        <v>-10</v>
      </c>
      <c r="MC51" s="20">
        <f ca="1">INDEX(OFFSET(TST!HeadRow,ROW()-ROW(TST!HeadRow),0,1,COLUMNS(TST!HeadRow)),1,MATCH(MC$5,TST!HeadRow,0))/MC$8</f>
        <v>17.964071856287426</v>
      </c>
      <c r="MD51" s="278">
        <f ca="1">$A51 - TST!AustralianCapitalTerritory100dt + 1</f>
        <v>-16</v>
      </c>
      <c r="ME51" s="20">
        <f ca="1">INDEX(OFFSET(TST!HeadRow,ROW()-ROW(TST!HeadRow),0,1,COLUMNS(TST!HeadRow)),1,MATCH(ME$5,TST!HeadRow,0))/ME$8</f>
        <v>0</v>
      </c>
      <c r="MF51" s="278">
        <f ca="1">$A51 - TST!NorthernTerritory100dt + 1</f>
        <v>-16</v>
      </c>
      <c r="MG51" s="20">
        <f ca="1">INDEX(OFFSET(TST!HeadRow,ROW()-ROW(TST!HeadRow),0,1,COLUMNS(TST!HeadRow)),1,MATCH(MG$5,TST!HeadRow,0))/MG$8</f>
        <v>0</v>
      </c>
      <c r="MH51" s="278">
        <f ca="1">$A51 - TST!WesternAustralia100dt + 1</f>
        <v>-12</v>
      </c>
      <c r="MI51" s="20">
        <f ca="1">INDEX(OFFSET(TST!HeadRow,ROW()-ROW(TST!HeadRow),0,1,COLUMNS(TST!HeadRow)),1,MATCH(MI$5,TST!HeadRow,0))/MI$8</f>
        <v>7.7249903437620695</v>
      </c>
      <c r="MJ51" s="278">
        <f ca="1">$A51 - TST!Germany100dt + 1</f>
        <v>-4</v>
      </c>
      <c r="MK51" s="20">
        <f ca="1">INDEX(OFFSET(TST!HeadRow,ROW()-ROW(TST!HeadRow),0,1,COLUMNS(TST!HeadRow)),1,MATCH(MK$5,TST!HeadRow,0))/MK$8</f>
        <v>23.608768971332211</v>
      </c>
      <c r="ML51" s="278">
        <f ca="1">$A51 - TST!Denmark100dt + 1</f>
        <v>-5</v>
      </c>
      <c r="MM51" s="20">
        <f ca="1">INDEX(OFFSET(TST!HeadRow,ROW()-ROW(TST!HeadRow),0,1,COLUMNS(TST!HeadRow)),1,MATCH(MM$5,TST!HeadRow,0))/MM$8</f>
        <v>10.334137099552187</v>
      </c>
      <c r="MN51" s="278">
        <f ca="1">$A51 - TST!SouthAfrica100dt + 1</f>
        <v>-21</v>
      </c>
      <c r="MO51" s="20">
        <f ca="1">INDEX(OFFSET(TST!HeadRow,ROW()-ROW(TST!HeadRow),0,1,COLUMNS(TST!HeadRow)),1,MATCH(MO$5,TST!HeadRow,0))/MO$8</f>
        <v>0</v>
      </c>
      <c r="MP51" s="278">
        <f ca="1">$A51 - TST!UnitedKingdom100dt + 1</f>
        <v>-9</v>
      </c>
      <c r="MQ51" s="20">
        <f ca="1">INDEX(OFFSET(TST!HeadRow,ROW()-ROW(TST!HeadRow),0,1,COLUMNS(TST!HeadRow)),1,MATCH(MQ$5,TST!HeadRow,0))/MQ$8</f>
        <v>7.6760987357013848</v>
      </c>
      <c r="MR51" s="278">
        <f ca="1">$A51 - TST!Ireland100dt + 1</f>
        <v>-9</v>
      </c>
      <c r="MS51" s="20">
        <f ca="1">INDEX(OFFSET(TST!HeadRow,ROW()-ROW(TST!HeadRow),0,1,COLUMNS(TST!HeadRow)),1,MATCH(MS$5,TST!HeadRow,0))/MS$8</f>
        <v>4.0816326530612246</v>
      </c>
      <c r="MT51" s="278">
        <f ca="1">$A51 - TST!Italy100dt + 1</f>
        <v>6</v>
      </c>
      <c r="MU51" s="20">
        <f ca="1">INDEX(OFFSET(TST!HeadRow,ROW()-ROW(TST!HeadRow),0,1,COLUMNS(TST!HeadRow)),1,MATCH(MU$5,TST!HeadRow,0))/MU$8</f>
        <v>413.65627841613627</v>
      </c>
      <c r="MV51" s="278">
        <f ca="1">$A51 - TST!US100dt + 1</f>
        <v>-11</v>
      </c>
      <c r="MW51" s="20">
        <f ca="1">INDEX(OFFSET(TST!HeadRow,ROW()-ROW(TST!HeadRow),0,1,COLUMNS(TST!HeadRow)),1,MATCH(MW$5,TST!HeadRow,0))/MW$8</f>
        <v>3.5841450616984152</v>
      </c>
      <c r="MX51" s="278">
        <f ca="1">$A51 - TST!AustraliaSum100dt + 1</f>
        <v>-11</v>
      </c>
      <c r="MY51" s="366">
        <f t="shared" si="8"/>
        <v>15.376123639804447</v>
      </c>
      <c r="MZ51" s="278">
        <f ca="1">$A51 - TST!NewSouthWales100dt + 1</f>
        <v>-9</v>
      </c>
      <c r="NA51" s="366">
        <f ca="1">INDEX(OFFSET(TST!HeadRow,ROW()-ROW(TST!HeadRow),0,1,COLUMNS(TST!HeadRow)),1,MATCH(NA$5,TST!HeadRow,0))/NA$8</f>
        <v>16.089108910891088</v>
      </c>
      <c r="NB51" s="278">
        <f ca="1">$A51 - TST!Taiwan100dt + 1</f>
        <v>-22</v>
      </c>
      <c r="NC51" s="366">
        <f ca="1">INDEX(OFFSET(TST!HeadRow,ROW()-ROW(TST!HeadRow),0,1,COLUMNS(TST!HeadRow)),1,MATCH(NC$5,TST!HeadRow,0))/NC$8</f>
        <v>17.641661068239539</v>
      </c>
      <c r="ND51" s="20">
        <f ca="1">$A51 - TST!Hubei100dt + 1</f>
        <v>39</v>
      </c>
      <c r="NE51" s="20">
        <f ca="1">INDEX(OFFSET(TST!HeadRow,ROW()-ROW(TST!HeadRow),0,1,COLUMNS(TST!HeadRow)),1,MATCH(NE$5,TST!HeadRow,0))/NE$8</f>
        <v>11490.085470085471</v>
      </c>
      <c r="NF51" s="20">
        <f ca="1">$A51 - TST!HongKong100dt + 1</f>
        <v>9</v>
      </c>
      <c r="NG51" s="20">
        <f ca="1">INDEX(OFFSET(TST!HeadRow,ROW()-ROW(TST!HeadRow),0,1,COLUMNS(TST!HeadRow)),1,MATCH(NG$5,TST!HeadRow,0))/NG$8</f>
        <v>134.21017313112336</v>
      </c>
    </row>
    <row r="52" spans="1:371" x14ac:dyDescent="0.25">
      <c r="A52" s="243">
        <v>43894</v>
      </c>
      <c r="B52" s="23">
        <v>1</v>
      </c>
      <c r="C52" s="23">
        <v>0</v>
      </c>
      <c r="D52" s="23">
        <v>12</v>
      </c>
      <c r="E52" s="23">
        <v>1</v>
      </c>
      <c r="F52" s="23">
        <v>0</v>
      </c>
      <c r="G52" s="23">
        <v>0</v>
      </c>
      <c r="H52" s="23">
        <v>1</v>
      </c>
      <c r="I52" s="23">
        <v>1</v>
      </c>
      <c r="J52" s="23">
        <v>0</v>
      </c>
      <c r="K52" s="293">
        <v>22</v>
      </c>
      <c r="L52" s="23">
        <v>1</v>
      </c>
      <c r="M52" s="290">
        <v>11</v>
      </c>
      <c r="N52" s="23">
        <v>5</v>
      </c>
      <c r="O52" s="384">
        <v>1</v>
      </c>
      <c r="P52" s="287">
        <v>10</v>
      </c>
      <c r="Q52" s="23">
        <v>2</v>
      </c>
      <c r="R52" s="23">
        <v>29</v>
      </c>
      <c r="S52" s="23">
        <v>3</v>
      </c>
      <c r="T52" s="23">
        <v>0</v>
      </c>
      <c r="U52" s="23">
        <v>52</v>
      </c>
      <c r="V52" s="23">
        <v>0</v>
      </c>
      <c r="W52" s="23">
        <v>0</v>
      </c>
      <c r="X52" s="23">
        <v>6</v>
      </c>
      <c r="Y52" s="23">
        <v>23</v>
      </c>
      <c r="Z52" s="23">
        <v>0</v>
      </c>
      <c r="AA52" s="23">
        <v>0</v>
      </c>
      <c r="AB52" s="23">
        <v>0</v>
      </c>
      <c r="AC52" s="23">
        <v>0</v>
      </c>
      <c r="AD52" s="23">
        <v>4</v>
      </c>
      <c r="AE52" s="23">
        <v>0</v>
      </c>
      <c r="AF52" s="23">
        <v>0</v>
      </c>
      <c r="AG52" s="23">
        <v>0</v>
      </c>
      <c r="AH52" s="23">
        <v>0</v>
      </c>
      <c r="AI52" s="23">
        <v>1</v>
      </c>
      <c r="AJ52" s="23">
        <v>0</v>
      </c>
      <c r="AK52" s="23">
        <v>0</v>
      </c>
      <c r="AL52" s="23">
        <v>12</v>
      </c>
      <c r="AM52" s="23">
        <v>0</v>
      </c>
      <c r="AN52" s="23">
        <v>0</v>
      </c>
      <c r="AO52" s="23">
        <v>0</v>
      </c>
      <c r="AP52" s="23">
        <v>0</v>
      </c>
      <c r="AQ52" s="23">
        <v>0</v>
      </c>
      <c r="AR52" s="23">
        <v>20</v>
      </c>
      <c r="AS52" s="23">
        <v>0</v>
      </c>
      <c r="AT52" s="23">
        <v>1</v>
      </c>
      <c r="AU52" s="23">
        <v>0</v>
      </c>
      <c r="AV52" s="23">
        <v>0</v>
      </c>
      <c r="AW52" s="23">
        <v>0</v>
      </c>
      <c r="AX52" s="23">
        <v>1</v>
      </c>
      <c r="AY52" s="23">
        <v>990</v>
      </c>
      <c r="AZ52" s="23">
        <v>418</v>
      </c>
      <c r="BA52" s="23">
        <v>576</v>
      </c>
      <c r="BB52" s="23">
        <v>296</v>
      </c>
      <c r="BC52" s="23">
        <v>91</v>
      </c>
      <c r="BD52" s="23">
        <v>1350</v>
      </c>
      <c r="BE52" s="23">
        <v>252</v>
      </c>
      <c r="BF52" s="23">
        <v>146</v>
      </c>
      <c r="BG52" s="23">
        <v>168</v>
      </c>
      <c r="BH52" s="23">
        <v>318</v>
      </c>
      <c r="BI52" s="23">
        <v>480</v>
      </c>
      <c r="BJ52" s="23">
        <v>1272</v>
      </c>
      <c r="BK52" s="23">
        <v>105</v>
      </c>
      <c r="BL52" s="23">
        <v>67332</v>
      </c>
      <c r="BM52" s="23">
        <v>1018</v>
      </c>
      <c r="BN52" s="23">
        <v>75</v>
      </c>
      <c r="BO52" s="23">
        <v>631</v>
      </c>
      <c r="BP52" s="23">
        <v>935</v>
      </c>
      <c r="BQ52" s="23">
        <v>93</v>
      </c>
      <c r="BR52" s="23">
        <v>125</v>
      </c>
      <c r="BS52" s="23">
        <v>10</v>
      </c>
      <c r="BT52" s="23">
        <v>75</v>
      </c>
      <c r="BU52" s="23">
        <v>18</v>
      </c>
      <c r="BV52" s="23">
        <v>245</v>
      </c>
      <c r="BW52" s="23">
        <v>758</v>
      </c>
      <c r="BX52" s="23">
        <v>338</v>
      </c>
      <c r="BY52" s="23">
        <v>133</v>
      </c>
      <c r="BZ52" s="23">
        <v>538</v>
      </c>
      <c r="CA52" s="23">
        <v>136</v>
      </c>
      <c r="CB52" s="23">
        <v>1</v>
      </c>
      <c r="CC52" s="23">
        <v>76</v>
      </c>
      <c r="CD52" s="23">
        <v>174</v>
      </c>
      <c r="CE52" s="23">
        <v>1213</v>
      </c>
      <c r="CF52" s="23">
        <v>0</v>
      </c>
      <c r="CG52" s="23">
        <v>0</v>
      </c>
      <c r="CH52" s="23">
        <v>0</v>
      </c>
      <c r="CI52" s="23">
        <v>0</v>
      </c>
      <c r="CJ52" s="23">
        <v>0</v>
      </c>
      <c r="CK52" s="23">
        <v>10</v>
      </c>
      <c r="CL52" s="23">
        <v>706</v>
      </c>
      <c r="CM52" s="23">
        <v>0</v>
      </c>
      <c r="CN52" s="23">
        <v>0</v>
      </c>
      <c r="CO52" s="23">
        <v>8</v>
      </c>
      <c r="CP52" s="23">
        <v>1</v>
      </c>
      <c r="CQ52" s="23">
        <v>0</v>
      </c>
      <c r="CR52" s="23">
        <v>10</v>
      </c>
      <c r="CS52" s="23">
        <v>0</v>
      </c>
      <c r="CT52" s="23">
        <v>1</v>
      </c>
      <c r="CU52" s="23">
        <v>10</v>
      </c>
      <c r="CV52" s="23">
        <v>2</v>
      </c>
      <c r="CW52" s="23">
        <v>0</v>
      </c>
      <c r="CX52" s="23">
        <v>0</v>
      </c>
      <c r="CY52" s="23">
        <v>0</v>
      </c>
      <c r="CZ52" s="23">
        <v>2</v>
      </c>
      <c r="DA52" s="23">
        <v>0</v>
      </c>
      <c r="DB52" s="23">
        <v>0</v>
      </c>
      <c r="DC52" s="23">
        <v>0</v>
      </c>
      <c r="DD52" s="23">
        <v>6</v>
      </c>
      <c r="DE52" s="23">
        <v>0</v>
      </c>
      <c r="DF52" s="23">
        <v>0</v>
      </c>
      <c r="DG52" s="23">
        <v>0</v>
      </c>
      <c r="DH52" s="23">
        <v>0</v>
      </c>
      <c r="DI52" s="23">
        <v>0</v>
      </c>
      <c r="DJ52" s="23">
        <v>0</v>
      </c>
      <c r="DK52" s="23">
        <v>3</v>
      </c>
      <c r="DL52" s="23">
        <v>0</v>
      </c>
      <c r="DM52" s="23">
        <v>0</v>
      </c>
      <c r="DN52" s="23">
        <v>285</v>
      </c>
      <c r="DO52" s="23">
        <v>0</v>
      </c>
      <c r="DP52" s="23">
        <v>0</v>
      </c>
      <c r="DQ52" s="23">
        <v>3</v>
      </c>
      <c r="DR52" s="23">
        <v>262</v>
      </c>
      <c r="DS52" s="23">
        <v>0</v>
      </c>
      <c r="DT52" s="23">
        <v>9</v>
      </c>
      <c r="DU52" s="23">
        <v>0</v>
      </c>
      <c r="DV52" s="23">
        <v>0</v>
      </c>
      <c r="DW52" s="23">
        <v>0</v>
      </c>
      <c r="DX52" s="23">
        <v>0</v>
      </c>
      <c r="DY52" s="23">
        <v>0</v>
      </c>
      <c r="DZ52" s="23">
        <v>0</v>
      </c>
      <c r="EA52" s="23">
        <v>2</v>
      </c>
      <c r="EB52" s="23">
        <v>26</v>
      </c>
      <c r="EC52" s="23">
        <v>28</v>
      </c>
      <c r="ED52" s="23">
        <v>2</v>
      </c>
      <c r="EE52" s="23">
        <v>2922</v>
      </c>
      <c r="EF52" s="23">
        <v>35</v>
      </c>
      <c r="EG52" s="23">
        <v>6</v>
      </c>
      <c r="EH52" s="23">
        <v>15</v>
      </c>
      <c r="EI52" s="23">
        <v>3089</v>
      </c>
      <c r="EJ52" s="23">
        <v>0</v>
      </c>
      <c r="EK52" s="23">
        <v>331</v>
      </c>
      <c r="EL52" s="23">
        <v>1</v>
      </c>
      <c r="EM52" s="23">
        <v>0</v>
      </c>
      <c r="EN52" s="23">
        <v>0</v>
      </c>
      <c r="EO52" s="23">
        <v>5621</v>
      </c>
      <c r="EP52" s="23">
        <v>56</v>
      </c>
      <c r="EQ52" s="23">
        <v>0</v>
      </c>
      <c r="ER52" s="23">
        <v>1</v>
      </c>
      <c r="ES52" s="23">
        <v>13</v>
      </c>
      <c r="ET52" s="23">
        <v>0</v>
      </c>
      <c r="EU52" s="23">
        <v>1</v>
      </c>
      <c r="EV52" s="23">
        <v>1</v>
      </c>
      <c r="EW52" s="23">
        <v>1</v>
      </c>
      <c r="EX52" s="23">
        <v>0</v>
      </c>
      <c r="EY52" s="23">
        <v>50</v>
      </c>
      <c r="EZ52" s="23">
        <v>0</v>
      </c>
      <c r="FA52" s="23">
        <v>0</v>
      </c>
      <c r="FB52" s="23">
        <v>0</v>
      </c>
      <c r="FC52" s="23">
        <v>0</v>
      </c>
      <c r="FD52" s="23">
        <v>5</v>
      </c>
      <c r="FE52" s="23">
        <v>0</v>
      </c>
      <c r="FF52" s="23">
        <v>1</v>
      </c>
      <c r="FG52" s="23">
        <v>0</v>
      </c>
      <c r="FH52" s="23">
        <v>0</v>
      </c>
      <c r="FI52" s="23">
        <v>1</v>
      </c>
      <c r="FJ52" s="23">
        <v>0</v>
      </c>
      <c r="FK52" s="23">
        <v>1</v>
      </c>
      <c r="FL52" s="23">
        <v>0</v>
      </c>
      <c r="FM52" s="23">
        <v>0</v>
      </c>
      <c r="FN52" s="23">
        <v>0</v>
      </c>
      <c r="FO52" s="23">
        <v>38</v>
      </c>
      <c r="FP52" s="23">
        <v>3</v>
      </c>
      <c r="FQ52" s="23">
        <v>0</v>
      </c>
      <c r="FR52" s="23">
        <v>0</v>
      </c>
      <c r="FS52" s="23">
        <v>1</v>
      </c>
      <c r="FT52" s="23">
        <v>1</v>
      </c>
      <c r="FU52" s="23">
        <v>56</v>
      </c>
      <c r="FV52" s="23">
        <v>15</v>
      </c>
      <c r="FW52" s="23">
        <v>5</v>
      </c>
      <c r="FX52" s="23">
        <v>0</v>
      </c>
      <c r="FY52" s="23">
        <v>0</v>
      </c>
      <c r="FZ52" s="23">
        <v>0</v>
      </c>
      <c r="GA52" s="23">
        <v>0</v>
      </c>
      <c r="GB52" s="23">
        <v>3</v>
      </c>
      <c r="GC52" s="23">
        <v>1</v>
      </c>
      <c r="GD52" s="23">
        <v>5</v>
      </c>
      <c r="GE52" s="23">
        <v>8</v>
      </c>
      <c r="GF52" s="23">
        <v>4</v>
      </c>
      <c r="GG52" s="23">
        <v>3</v>
      </c>
      <c r="GH52" s="23">
        <v>0</v>
      </c>
      <c r="GI52" s="23">
        <v>0</v>
      </c>
      <c r="GJ52" s="23">
        <v>0</v>
      </c>
      <c r="GK52" s="23">
        <v>16</v>
      </c>
      <c r="GL52" s="23">
        <v>1</v>
      </c>
      <c r="GM52" s="23">
        <v>4</v>
      </c>
      <c r="GN52" s="23">
        <v>0</v>
      </c>
      <c r="GO52" s="23">
        <v>0</v>
      </c>
      <c r="GP52" s="23">
        <v>110</v>
      </c>
      <c r="GQ52" s="23">
        <v>0</v>
      </c>
      <c r="GR52" s="23">
        <v>0</v>
      </c>
      <c r="GS52" s="23">
        <v>0</v>
      </c>
      <c r="GT52" s="23">
        <v>0</v>
      </c>
      <c r="GU52" s="23">
        <v>222</v>
      </c>
      <c r="GV52" s="23">
        <v>1</v>
      </c>
      <c r="GW52" s="23">
        <v>0</v>
      </c>
      <c r="GX52" s="23">
        <v>0</v>
      </c>
      <c r="GY52" s="23">
        <v>35</v>
      </c>
      <c r="GZ52" s="23">
        <v>90</v>
      </c>
      <c r="HA52" s="23">
        <v>42</v>
      </c>
      <c r="HB52" s="23">
        <v>0</v>
      </c>
      <c r="HC52" s="23">
        <v>43</v>
      </c>
      <c r="HD52" s="23">
        <v>0</v>
      </c>
      <c r="HE52" s="23">
        <v>0</v>
      </c>
      <c r="HF52" s="23">
        <v>1</v>
      </c>
      <c r="HG52" s="23">
        <v>0</v>
      </c>
      <c r="HH52" s="23">
        <v>0</v>
      </c>
      <c r="HI52" s="23">
        <v>1</v>
      </c>
      <c r="HJ52" s="23">
        <v>27</v>
      </c>
      <c r="HK52" s="23">
        <v>0</v>
      </c>
      <c r="HL52" s="23">
        <v>0</v>
      </c>
      <c r="HM52" s="23">
        <v>0</v>
      </c>
      <c r="HN52" s="23">
        <v>1</v>
      </c>
      <c r="HO52" s="23">
        <v>0</v>
      </c>
      <c r="HP52" s="23">
        <v>0</v>
      </c>
      <c r="HQ52" s="23">
        <v>85</v>
      </c>
      <c r="HR52" s="23">
        <v>0</v>
      </c>
      <c r="HS52" s="23">
        <v>149</v>
      </c>
      <c r="HT52" s="23">
        <v>0</v>
      </c>
      <c r="HU52" s="23">
        <v>0</v>
      </c>
      <c r="HV52" s="23">
        <v>16</v>
      </c>
      <c r="HW52" s="23">
        <v>0</v>
      </c>
      <c r="HX52" s="23">
        <v>0</v>
      </c>
      <c r="HY52" s="23">
        <v>0</v>
      </c>
      <c r="HZ52" s="23">
        <v>0</v>
      </c>
      <c r="IA52" s="23">
        <v>0</v>
      </c>
      <c r="IB52" s="23">
        <v>0</v>
      </c>
      <c r="IC52" s="23">
        <v>0</v>
      </c>
      <c r="ID52" s="23">
        <v>0</v>
      </c>
      <c r="IE52" s="23">
        <v>0</v>
      </c>
      <c r="IF52" s="23">
        <v>0</v>
      </c>
      <c r="IG52" s="23">
        <v>0</v>
      </c>
      <c r="IH52" s="23">
        <v>0</v>
      </c>
      <c r="II52" s="23">
        <v>0</v>
      </c>
      <c r="IJ52" s="23">
        <v>0</v>
      </c>
      <c r="IK52" s="23">
        <v>0</v>
      </c>
      <c r="IL52" s="23">
        <v>0</v>
      </c>
      <c r="IM52" s="23">
        <v>0</v>
      </c>
      <c r="IN52" s="23">
        <v>0</v>
      </c>
      <c r="IO52" s="23">
        <v>0</v>
      </c>
      <c r="IP52" s="23">
        <v>0</v>
      </c>
      <c r="IQ52" s="23">
        <v>0</v>
      </c>
      <c r="IR52" s="23">
        <v>0</v>
      </c>
      <c r="IS52" s="23">
        <v>0</v>
      </c>
      <c r="IT52" s="23">
        <v>0</v>
      </c>
      <c r="IU52" s="23">
        <v>0</v>
      </c>
      <c r="IV52" s="23">
        <v>0</v>
      </c>
      <c r="IW52" s="23">
        <v>0</v>
      </c>
      <c r="IX52" s="23">
        <v>0</v>
      </c>
      <c r="IY52" s="23">
        <v>0</v>
      </c>
      <c r="IZ52" s="23">
        <v>0</v>
      </c>
      <c r="JA52" s="23">
        <v>0</v>
      </c>
      <c r="JB52" s="23">
        <v>0</v>
      </c>
      <c r="JC52" s="23">
        <v>0</v>
      </c>
      <c r="JD52" s="23">
        <v>0</v>
      </c>
      <c r="JE52" s="23">
        <v>0</v>
      </c>
      <c r="JF52" s="23">
        <v>0</v>
      </c>
      <c r="JG52" s="23">
        <v>0</v>
      </c>
      <c r="JH52" s="23">
        <v>0</v>
      </c>
      <c r="JI52" s="23">
        <v>0</v>
      </c>
      <c r="JJ52" s="23">
        <v>0</v>
      </c>
      <c r="JK52" s="23">
        <v>0</v>
      </c>
      <c r="JL52" s="23">
        <v>0</v>
      </c>
      <c r="JM52" s="23">
        <v>0</v>
      </c>
      <c r="JN52" s="23">
        <v>0</v>
      </c>
      <c r="JO52" s="23">
        <v>1</v>
      </c>
      <c r="JP52" s="23">
        <v>0</v>
      </c>
      <c r="JQ52" s="23">
        <v>35</v>
      </c>
      <c r="JR52" s="23">
        <v>0</v>
      </c>
      <c r="JS52" s="23">
        <v>0</v>
      </c>
      <c r="JT52" s="23">
        <v>0</v>
      </c>
      <c r="JU52" s="23">
        <v>0</v>
      </c>
      <c r="JV52" s="23">
        <v>2</v>
      </c>
      <c r="JW52" s="23">
        <v>2</v>
      </c>
      <c r="JX52" s="23">
        <v>0</v>
      </c>
      <c r="JY52" s="23">
        <v>0</v>
      </c>
      <c r="JZ52" s="23">
        <v>4</v>
      </c>
      <c r="KA52" s="23">
        <v>0</v>
      </c>
      <c r="KB52" s="23">
        <v>0</v>
      </c>
      <c r="KC52" s="23">
        <v>0</v>
      </c>
      <c r="KD52" s="23">
        <v>0</v>
      </c>
      <c r="KE52" s="23">
        <v>0</v>
      </c>
      <c r="KF52" s="23">
        <v>0</v>
      </c>
      <c r="KG52" s="23">
        <v>0</v>
      </c>
      <c r="KH52" s="23">
        <v>2</v>
      </c>
      <c r="KI52" s="23">
        <v>0</v>
      </c>
      <c r="KJ52" s="23">
        <v>0</v>
      </c>
      <c r="KK52" s="23">
        <v>0</v>
      </c>
      <c r="KL52" s="23">
        <v>0</v>
      </c>
      <c r="KM52" s="23">
        <v>0</v>
      </c>
      <c r="KN52" s="23">
        <v>0</v>
      </c>
      <c r="KO52" s="23">
        <v>0</v>
      </c>
      <c r="KP52" s="23">
        <v>2</v>
      </c>
      <c r="KQ52" s="23">
        <v>0</v>
      </c>
      <c r="KR52" s="23">
        <v>0</v>
      </c>
      <c r="KS52" s="23">
        <v>11</v>
      </c>
      <c r="KT52" s="23">
        <v>1</v>
      </c>
      <c r="KU52" s="23">
        <v>0</v>
      </c>
      <c r="KV52" s="23">
        <v>0</v>
      </c>
      <c r="KW52" s="23">
        <v>0</v>
      </c>
      <c r="KX52" s="23">
        <v>3</v>
      </c>
      <c r="KY52" s="23">
        <v>0</v>
      </c>
      <c r="KZ52" s="23">
        <v>2</v>
      </c>
      <c r="LA52" s="23">
        <v>0</v>
      </c>
      <c r="LB52" s="23">
        <v>0</v>
      </c>
      <c r="LC52" s="23">
        <v>0</v>
      </c>
      <c r="LD52" s="23">
        <v>0</v>
      </c>
      <c r="LE52" s="23">
        <v>0</v>
      </c>
      <c r="LF52" s="23">
        <v>0</v>
      </c>
      <c r="LG52" s="23">
        <v>0</v>
      </c>
      <c r="LH52" s="23">
        <v>39</v>
      </c>
      <c r="LI52" s="23">
        <v>0</v>
      </c>
      <c r="LJ52" s="23">
        <v>0</v>
      </c>
      <c r="LK52" s="23">
        <v>0</v>
      </c>
      <c r="LL52" s="23">
        <v>0</v>
      </c>
      <c r="LM52" s="23">
        <v>0</v>
      </c>
      <c r="LN52" s="278">
        <f ca="1">$A52 - TST!Sweden100dt + 1</f>
        <v>-2</v>
      </c>
      <c r="LO52" s="20">
        <f ca="1">INDEX(OFFSET(TST!HeadRow,ROW()-ROW(TST!HeadRow),0,1,COLUMNS(TST!HeadRow)),1,MATCH(LO$5,TST!HeadRow,0))/LO$8</f>
        <v>34.213098729227767</v>
      </c>
      <c r="LP52" s="278">
        <f ca="1">$A52 - TST!Spain100dt + 1</f>
        <v>-2</v>
      </c>
      <c r="LQ52" s="20">
        <f ca="1">INDEX(OFFSET(TST!HeadRow,ROW()-ROW(TST!HeadRow),0,1,COLUMNS(TST!HeadRow)),1,MATCH(LQ$5,TST!HeadRow,0))/LQ$8</f>
        <v>47.294418406476353</v>
      </c>
      <c r="LR52" s="285">
        <f ca="1">$A52 - TST!Victoria100dt + 1</f>
        <v>-11</v>
      </c>
      <c r="LS52" s="20">
        <f ca="1">INDEX(OFFSET(TST!HeadRow,ROW()-ROW(TST!HeadRow),0,1,COLUMNS(TST!HeadRow)),1,MATCH(LS$5,TST!HeadRow,0))/LS$8</f>
        <v>15.085231558304418</v>
      </c>
      <c r="LT52" s="278">
        <f ca="1">$A52 - TST!Iran100dt + 1</f>
        <v>4</v>
      </c>
      <c r="LU52" s="20">
        <f ca="1">INDEX(OFFSET(TST!HeadRow,ROW()-ROW(TST!HeadRow),0,1,COLUMNS(TST!HeadRow)),1,MATCH(LU$5,TST!HeadRow,0))/LU$8</f>
        <v>348.79973261074571</v>
      </c>
      <c r="LV52" s="278">
        <f ca="1">$A52 - TST!Japan100dt + 1</f>
        <v>-20</v>
      </c>
      <c r="LW52" s="20">
        <f ca="1">INDEX(OFFSET(TST!HeadRow,ROW()-ROW(TST!HeadRow),0,1,COLUMNS(TST!HeadRow)),1,MATCH(LW$5,TST!HeadRow,0))/LW$8</f>
        <v>26.154801038097489</v>
      </c>
      <c r="LX52" s="278">
        <f ca="1">$A52 - TST!Queensland100dt + 1</f>
        <v>-10</v>
      </c>
      <c r="LY52" s="20">
        <f ca="1">INDEX(OFFSET(TST!HeadRow,ROW()-ROW(TST!HeadRow),0,1,COLUMNS(TST!HeadRow)),1,MATCH(LY$5,TST!HeadRow,0))/LY$8</f>
        <v>21.503480338292754</v>
      </c>
      <c r="LZ52" s="278">
        <f ca="1">$A52 - TST!Tasmania100dt + 1</f>
        <v>-10</v>
      </c>
      <c r="MA52" s="20">
        <f ca="1">INDEX(OFFSET(TST!HeadRow,ROW()-ROW(TST!HeadRow),0,1,COLUMNS(TST!HeadRow)),1,MATCH(MA$5,TST!HeadRow,0))/MA$8</f>
        <v>19.417475728155342</v>
      </c>
      <c r="MB52" s="278">
        <f ca="1">$A52 - TST!SouthAustralia100dt + 1</f>
        <v>-9</v>
      </c>
      <c r="MC52" s="20">
        <f ca="1">INDEX(OFFSET(TST!HeadRow,ROW()-ROW(TST!HeadRow),0,1,COLUMNS(TST!HeadRow)),1,MATCH(MC$5,TST!HeadRow,0))/MC$8</f>
        <v>29.940119760479039</v>
      </c>
      <c r="MD52" s="278">
        <f ca="1">$A52 - TST!AustralianCapitalTerritory100dt + 1</f>
        <v>-15</v>
      </c>
      <c r="ME52" s="20">
        <f ca="1">INDEX(OFFSET(TST!HeadRow,ROW()-ROW(TST!HeadRow),0,1,COLUMNS(TST!HeadRow)),1,MATCH(ME$5,TST!HeadRow,0))/ME$8</f>
        <v>0</v>
      </c>
      <c r="MF52" s="278">
        <f ca="1">$A52 - TST!NorthernTerritory100dt + 1</f>
        <v>-15</v>
      </c>
      <c r="MG52" s="20">
        <f ca="1">INDEX(OFFSET(TST!HeadRow,ROW()-ROW(TST!HeadRow),0,1,COLUMNS(TST!HeadRow)),1,MATCH(MG$5,TST!HeadRow,0))/MG$8</f>
        <v>47.182051947439192</v>
      </c>
      <c r="MH52" s="278">
        <f ca="1">$A52 - TST!WesternAustralia100dt + 1</f>
        <v>-11</v>
      </c>
      <c r="MI52" s="20">
        <f ca="1">INDEX(OFFSET(TST!HeadRow,ROW()-ROW(TST!HeadRow),0,1,COLUMNS(TST!HeadRow)),1,MATCH(MI$5,TST!HeadRow,0))/MI$8</f>
        <v>7.7249903437620695</v>
      </c>
      <c r="MJ52" s="278">
        <f ca="1">$A52 - TST!Germany100dt + 1</f>
        <v>-3</v>
      </c>
      <c r="MK52" s="20">
        <f ca="1">INDEX(OFFSET(TST!HeadRow,ROW()-ROW(TST!HeadRow),0,1,COLUMNS(TST!HeadRow)),1,MATCH(MK$5,TST!HeadRow,0))/MK$8</f>
        <v>31.558660563719588</v>
      </c>
      <c r="ML52" s="278">
        <f ca="1">$A52 - TST!Denmark100dt + 1</f>
        <v>-4</v>
      </c>
      <c r="MM52" s="20">
        <f ca="1">INDEX(OFFSET(TST!HeadRow,ROW()-ROW(TST!HeadRow),0,1,COLUMNS(TST!HeadRow)),1,MATCH(MM$5,TST!HeadRow,0))/MM$8</f>
        <v>17.223561832586977</v>
      </c>
      <c r="MN52" s="278">
        <f ca="1">$A52 - TST!SouthAfrica100dt + 1</f>
        <v>-20</v>
      </c>
      <c r="MO52" s="20">
        <f ca="1">INDEX(OFFSET(TST!HeadRow,ROW()-ROW(TST!HeadRow),0,1,COLUMNS(TST!HeadRow)),1,MATCH(MO$5,TST!HeadRow,0))/MO$8</f>
        <v>0</v>
      </c>
      <c r="MP52" s="278">
        <f ca="1">$A52 - TST!UnitedKingdom100dt + 1</f>
        <v>-8</v>
      </c>
      <c r="MQ52" s="20">
        <f ca="1">INDEX(OFFSET(TST!HeadRow,ROW()-ROW(TST!HeadRow),0,1,COLUMNS(TST!HeadRow)),1,MATCH(MQ$5,TST!HeadRow,0))/MQ$8</f>
        <v>12.79349789283564</v>
      </c>
      <c r="MR52" s="278">
        <f ca="1">$A52 - TST!Ireland100dt + 1</f>
        <v>-8</v>
      </c>
      <c r="MS52" s="20">
        <f ca="1">INDEX(OFFSET(TST!HeadRow,ROW()-ROW(TST!HeadRow),0,1,COLUMNS(TST!HeadRow)),1,MATCH(MS$5,TST!HeadRow,0))/MS$8</f>
        <v>12.244897959183673</v>
      </c>
      <c r="MT52" s="278">
        <f ca="1">$A52 - TST!Italy100dt + 1</f>
        <v>7</v>
      </c>
      <c r="MU52" s="20">
        <f ca="1">INDEX(OFFSET(TST!HeadRow,ROW()-ROW(TST!HeadRow),0,1,COLUMNS(TST!HeadRow)),1,MATCH(MU$5,TST!HeadRow,0))/MU$8</f>
        <v>510.70513350417463</v>
      </c>
      <c r="MV52" s="278">
        <f ca="1">$A52 - TST!US100dt + 1</f>
        <v>-10</v>
      </c>
      <c r="MW52" s="20">
        <f ca="1">INDEX(OFFSET(TST!HeadRow,ROW()-ROW(TST!HeadRow),0,1,COLUMNS(TST!HeadRow)),1,MATCH(MW$5,TST!HeadRow,0))/MW$8</f>
        <v>4.525742493161558</v>
      </c>
      <c r="MX52" s="278">
        <f ca="1">$A52 - TST!AustraliaSum100dt + 1</f>
        <v>-10</v>
      </c>
      <c r="MY52" s="366">
        <f t="shared" si="8"/>
        <v>20.501498186405929</v>
      </c>
      <c r="MZ52" s="278">
        <f ca="1">$A52 - TST!NewSouthWales100dt + 1</f>
        <v>-8</v>
      </c>
      <c r="NA52" s="366">
        <f ca="1">INDEX(OFFSET(TST!HeadRow,ROW()-ROW(TST!HeadRow),0,1,COLUMNS(TST!HeadRow)),1,MATCH(NA$5,TST!HeadRow,0))/NA$8</f>
        <v>27.227722772277225</v>
      </c>
      <c r="NB52" s="278">
        <f ca="1">$A52 - TST!Taiwan100dt + 1</f>
        <v>-21</v>
      </c>
      <c r="NC52" s="366">
        <f ca="1">INDEX(OFFSET(TST!HeadRow,ROW()-ROW(TST!HeadRow),0,1,COLUMNS(TST!HeadRow)),1,MATCH(NC$5,TST!HeadRow,0))/NC$8</f>
        <v>17.641661068239539</v>
      </c>
      <c r="ND52" s="20">
        <f ca="1">$A52 - TST!Hubei100dt + 1</f>
        <v>40</v>
      </c>
      <c r="NE52" s="20">
        <f ca="1">INDEX(OFFSET(TST!HeadRow,ROW()-ROW(TST!HeadRow),0,1,COLUMNS(TST!HeadRow)),1,MATCH(NE$5,TST!HeadRow,0))/NE$8</f>
        <v>11509.74358974359</v>
      </c>
      <c r="NF52" s="20">
        <f ca="1">$A52 - TST!HongKong100dt + 1</f>
        <v>10</v>
      </c>
      <c r="NG52" s="20">
        <f ca="1">INDEX(OFFSET(TST!HeadRow,ROW()-ROW(TST!HeadRow),0,1,COLUMNS(TST!HeadRow)),1,MATCH(NG$5,TST!HeadRow,0))/NG$8</f>
        <v>140.92068178767951</v>
      </c>
    </row>
    <row r="53" spans="1:371" x14ac:dyDescent="0.25">
      <c r="A53" s="243">
        <v>43895</v>
      </c>
      <c r="B53" s="23">
        <v>1</v>
      </c>
      <c r="C53" s="23">
        <v>0</v>
      </c>
      <c r="D53" s="23">
        <v>12</v>
      </c>
      <c r="E53" s="23">
        <v>1</v>
      </c>
      <c r="F53" s="23">
        <v>0</v>
      </c>
      <c r="G53" s="23">
        <v>0</v>
      </c>
      <c r="H53" s="23">
        <v>1</v>
      </c>
      <c r="I53" s="23">
        <v>1</v>
      </c>
      <c r="J53" s="23">
        <v>0</v>
      </c>
      <c r="K53" s="293">
        <v>22</v>
      </c>
      <c r="L53" s="23">
        <v>1</v>
      </c>
      <c r="M53" s="290">
        <v>13</v>
      </c>
      <c r="N53" s="23">
        <v>5</v>
      </c>
      <c r="O53" s="384">
        <v>1</v>
      </c>
      <c r="P53" s="287">
        <v>10</v>
      </c>
      <c r="Q53" s="23">
        <v>3</v>
      </c>
      <c r="R53" s="23">
        <v>41</v>
      </c>
      <c r="S53" s="23">
        <v>6</v>
      </c>
      <c r="T53" s="23">
        <v>0</v>
      </c>
      <c r="U53" s="23">
        <v>55</v>
      </c>
      <c r="V53" s="23">
        <v>0</v>
      </c>
      <c r="W53" s="23">
        <v>0</v>
      </c>
      <c r="X53" s="23">
        <v>6</v>
      </c>
      <c r="Y53" s="23">
        <v>50</v>
      </c>
      <c r="Z53" s="23">
        <v>0</v>
      </c>
      <c r="AA53" s="23">
        <v>0</v>
      </c>
      <c r="AB53" s="23">
        <v>0</v>
      </c>
      <c r="AC53" s="23">
        <v>2</v>
      </c>
      <c r="AD53" s="23">
        <v>4</v>
      </c>
      <c r="AE53" s="23">
        <v>0</v>
      </c>
      <c r="AF53" s="23">
        <v>0</v>
      </c>
      <c r="AG53" s="23">
        <v>0</v>
      </c>
      <c r="AH53" s="23">
        <v>0</v>
      </c>
      <c r="AI53" s="23">
        <v>1</v>
      </c>
      <c r="AJ53" s="23">
        <v>0</v>
      </c>
      <c r="AK53" s="23">
        <v>0</v>
      </c>
      <c r="AL53" s="23">
        <v>13</v>
      </c>
      <c r="AM53" s="23">
        <v>0</v>
      </c>
      <c r="AN53" s="23">
        <v>0</v>
      </c>
      <c r="AO53" s="23">
        <v>0</v>
      </c>
      <c r="AP53" s="23">
        <v>0</v>
      </c>
      <c r="AQ53" s="23">
        <v>0</v>
      </c>
      <c r="AR53" s="23">
        <v>22</v>
      </c>
      <c r="AS53" s="23">
        <v>0</v>
      </c>
      <c r="AT53" s="23">
        <v>2</v>
      </c>
      <c r="AU53" s="23">
        <v>0</v>
      </c>
      <c r="AV53" s="23">
        <v>0</v>
      </c>
      <c r="AW53" s="23">
        <v>0</v>
      </c>
      <c r="AX53" s="23">
        <v>4</v>
      </c>
      <c r="AY53" s="23">
        <v>990</v>
      </c>
      <c r="AZ53" s="23">
        <v>418</v>
      </c>
      <c r="BA53" s="23">
        <v>576</v>
      </c>
      <c r="BB53" s="23">
        <v>296</v>
      </c>
      <c r="BC53" s="23">
        <v>102</v>
      </c>
      <c r="BD53" s="23">
        <v>1351</v>
      </c>
      <c r="BE53" s="23">
        <v>252</v>
      </c>
      <c r="BF53" s="23">
        <v>146</v>
      </c>
      <c r="BG53" s="23">
        <v>168</v>
      </c>
      <c r="BH53" s="23">
        <v>318</v>
      </c>
      <c r="BI53" s="23">
        <v>481</v>
      </c>
      <c r="BJ53" s="23">
        <v>1272</v>
      </c>
      <c r="BK53" s="23">
        <v>105</v>
      </c>
      <c r="BL53" s="23">
        <v>67466</v>
      </c>
      <c r="BM53" s="23">
        <v>1018</v>
      </c>
      <c r="BN53" s="23">
        <v>75</v>
      </c>
      <c r="BO53" s="23">
        <v>631</v>
      </c>
      <c r="BP53" s="23">
        <v>935</v>
      </c>
      <c r="BQ53" s="23">
        <v>93</v>
      </c>
      <c r="BR53" s="23">
        <v>125</v>
      </c>
      <c r="BS53" s="23">
        <v>10</v>
      </c>
      <c r="BT53" s="23">
        <v>75</v>
      </c>
      <c r="BU53" s="23">
        <v>18</v>
      </c>
      <c r="BV53" s="23">
        <v>245</v>
      </c>
      <c r="BW53" s="23">
        <v>758</v>
      </c>
      <c r="BX53" s="23">
        <v>339</v>
      </c>
      <c r="BY53" s="23">
        <v>133</v>
      </c>
      <c r="BZ53" s="23">
        <v>539</v>
      </c>
      <c r="CA53" s="23">
        <v>136</v>
      </c>
      <c r="CB53" s="23">
        <v>1</v>
      </c>
      <c r="CC53" s="23">
        <v>76</v>
      </c>
      <c r="CD53" s="23">
        <v>174</v>
      </c>
      <c r="CE53" s="23">
        <v>1215</v>
      </c>
      <c r="CF53" s="23">
        <v>0</v>
      </c>
      <c r="CG53" s="23">
        <v>0</v>
      </c>
      <c r="CH53" s="23">
        <v>0</v>
      </c>
      <c r="CI53" s="23">
        <v>0</v>
      </c>
      <c r="CJ53" s="23">
        <v>0</v>
      </c>
      <c r="CK53" s="23">
        <v>10</v>
      </c>
      <c r="CL53" s="23">
        <v>706</v>
      </c>
      <c r="CM53" s="23">
        <v>0</v>
      </c>
      <c r="CN53" s="23">
        <v>0</v>
      </c>
      <c r="CO53" s="23">
        <v>12</v>
      </c>
      <c r="CP53" s="23">
        <v>1</v>
      </c>
      <c r="CQ53" s="23">
        <v>0</v>
      </c>
      <c r="CR53" s="23">
        <v>10</v>
      </c>
      <c r="CS53" s="23">
        <v>0</v>
      </c>
      <c r="CT53" s="23">
        <v>1</v>
      </c>
      <c r="CU53" s="23">
        <v>13</v>
      </c>
      <c r="CV53" s="23">
        <v>3</v>
      </c>
      <c r="CW53" s="23">
        <v>0</v>
      </c>
      <c r="CX53" s="23">
        <v>0</v>
      </c>
      <c r="CY53" s="23">
        <v>0</v>
      </c>
      <c r="CZ53" s="23">
        <v>3</v>
      </c>
      <c r="DA53" s="23">
        <v>0</v>
      </c>
      <c r="DB53" s="23">
        <v>0</v>
      </c>
      <c r="DC53" s="23">
        <v>0</v>
      </c>
      <c r="DD53" s="23">
        <v>12</v>
      </c>
      <c r="DE53" s="23">
        <v>0</v>
      </c>
      <c r="DF53" s="23">
        <v>0</v>
      </c>
      <c r="DG53" s="23">
        <v>0</v>
      </c>
      <c r="DH53" s="23">
        <v>0</v>
      </c>
      <c r="DI53" s="23">
        <v>0</v>
      </c>
      <c r="DJ53" s="23">
        <v>0</v>
      </c>
      <c r="DK53" s="23">
        <v>3</v>
      </c>
      <c r="DL53" s="23">
        <v>0</v>
      </c>
      <c r="DM53" s="23">
        <v>0</v>
      </c>
      <c r="DN53" s="23">
        <v>377</v>
      </c>
      <c r="DO53" s="23">
        <v>0</v>
      </c>
      <c r="DP53" s="23">
        <v>0</v>
      </c>
      <c r="DQ53" s="23">
        <v>4</v>
      </c>
      <c r="DR53" s="23">
        <v>482</v>
      </c>
      <c r="DS53" s="23">
        <v>0</v>
      </c>
      <c r="DT53" s="23">
        <v>31</v>
      </c>
      <c r="DU53" s="23">
        <v>0</v>
      </c>
      <c r="DV53" s="23">
        <v>0</v>
      </c>
      <c r="DW53" s="23">
        <v>0</v>
      </c>
      <c r="DX53" s="23">
        <v>0</v>
      </c>
      <c r="DY53" s="23">
        <v>0</v>
      </c>
      <c r="DZ53" s="23">
        <v>0</v>
      </c>
      <c r="EA53" s="23">
        <v>2</v>
      </c>
      <c r="EB53" s="23">
        <v>34</v>
      </c>
      <c r="EC53" s="23">
        <v>30</v>
      </c>
      <c r="ED53" s="23">
        <v>2</v>
      </c>
      <c r="EE53" s="23">
        <v>3513</v>
      </c>
      <c r="EF53" s="23">
        <v>35</v>
      </c>
      <c r="EG53" s="23">
        <v>6</v>
      </c>
      <c r="EH53" s="23">
        <v>20</v>
      </c>
      <c r="EI53" s="23">
        <v>3858</v>
      </c>
      <c r="EJ53" s="23">
        <v>0</v>
      </c>
      <c r="EK53" s="23">
        <v>360</v>
      </c>
      <c r="EL53" s="23">
        <v>1</v>
      </c>
      <c r="EM53" s="23">
        <v>0</v>
      </c>
      <c r="EN53" s="23">
        <v>0</v>
      </c>
      <c r="EO53" s="23">
        <v>6088</v>
      </c>
      <c r="EP53" s="23">
        <v>58</v>
      </c>
      <c r="EQ53" s="23">
        <v>0</v>
      </c>
      <c r="ER53" s="23">
        <v>1</v>
      </c>
      <c r="ES53" s="23">
        <v>16</v>
      </c>
      <c r="ET53" s="23">
        <v>0</v>
      </c>
      <c r="EU53" s="23">
        <v>1</v>
      </c>
      <c r="EV53" s="23">
        <v>1</v>
      </c>
      <c r="EW53" s="23">
        <v>1</v>
      </c>
      <c r="EX53" s="23">
        <v>0</v>
      </c>
      <c r="EY53" s="23">
        <v>50</v>
      </c>
      <c r="EZ53" s="23">
        <v>0</v>
      </c>
      <c r="FA53" s="23">
        <v>0</v>
      </c>
      <c r="FB53" s="23">
        <v>0</v>
      </c>
      <c r="FC53" s="23">
        <v>0</v>
      </c>
      <c r="FD53" s="23">
        <v>5</v>
      </c>
      <c r="FE53" s="23">
        <v>0</v>
      </c>
      <c r="FF53" s="23">
        <v>1</v>
      </c>
      <c r="FG53" s="23">
        <v>0</v>
      </c>
      <c r="FH53" s="23">
        <v>0</v>
      </c>
      <c r="FI53" s="23">
        <v>2</v>
      </c>
      <c r="FJ53" s="23">
        <v>0</v>
      </c>
      <c r="FK53" s="23">
        <v>1</v>
      </c>
      <c r="FL53" s="23">
        <v>0</v>
      </c>
      <c r="FM53" s="23">
        <v>0</v>
      </c>
      <c r="FN53" s="23">
        <v>0</v>
      </c>
      <c r="FO53" s="23">
        <v>82</v>
      </c>
      <c r="FP53" s="23">
        <v>3</v>
      </c>
      <c r="FQ53" s="23">
        <v>0</v>
      </c>
      <c r="FR53" s="23">
        <v>0</v>
      </c>
      <c r="FS53" s="23">
        <v>1</v>
      </c>
      <c r="FT53" s="23">
        <v>1</v>
      </c>
      <c r="FU53" s="23">
        <v>87</v>
      </c>
      <c r="FV53" s="23">
        <v>16</v>
      </c>
      <c r="FW53" s="23">
        <v>5</v>
      </c>
      <c r="FX53" s="23">
        <v>0</v>
      </c>
      <c r="FY53" s="23">
        <v>0</v>
      </c>
      <c r="FZ53" s="23">
        <v>0</v>
      </c>
      <c r="GA53" s="23">
        <v>0</v>
      </c>
      <c r="GB53" s="23">
        <v>3</v>
      </c>
      <c r="GC53" s="23">
        <v>1</v>
      </c>
      <c r="GD53" s="23">
        <v>8</v>
      </c>
      <c r="GE53" s="23">
        <v>8</v>
      </c>
      <c r="GF53" s="23">
        <v>6</v>
      </c>
      <c r="GG53" s="23">
        <v>4</v>
      </c>
      <c r="GH53" s="23">
        <v>0</v>
      </c>
      <c r="GI53" s="23">
        <v>0</v>
      </c>
      <c r="GJ53" s="23">
        <v>0</v>
      </c>
      <c r="GK53" s="23">
        <v>21</v>
      </c>
      <c r="GL53" s="23">
        <v>5</v>
      </c>
      <c r="GM53" s="23">
        <v>4</v>
      </c>
      <c r="GN53" s="23">
        <v>0</v>
      </c>
      <c r="GO53" s="23">
        <v>0</v>
      </c>
      <c r="GP53" s="23">
        <v>117</v>
      </c>
      <c r="GQ53" s="23">
        <v>0</v>
      </c>
      <c r="GR53" s="23">
        <v>2</v>
      </c>
      <c r="GS53" s="23">
        <v>0</v>
      </c>
      <c r="GT53" s="23">
        <v>1</v>
      </c>
      <c r="GU53" s="23">
        <v>259</v>
      </c>
      <c r="GV53" s="23">
        <v>1</v>
      </c>
      <c r="GW53" s="23">
        <v>0</v>
      </c>
      <c r="GX53" s="23">
        <v>0</v>
      </c>
      <c r="GY53" s="23">
        <v>94</v>
      </c>
      <c r="GZ53" s="23">
        <v>114</v>
      </c>
      <c r="HA53" s="23">
        <v>44</v>
      </c>
      <c r="HB53" s="23">
        <v>0</v>
      </c>
      <c r="HC53" s="23">
        <v>47</v>
      </c>
      <c r="HD53" s="23">
        <v>0</v>
      </c>
      <c r="HE53" s="23">
        <v>0</v>
      </c>
      <c r="HF53" s="23">
        <v>1</v>
      </c>
      <c r="HG53" s="23">
        <v>0</v>
      </c>
      <c r="HH53" s="23">
        <v>0</v>
      </c>
      <c r="HI53" s="23">
        <v>1</v>
      </c>
      <c r="HJ53" s="23">
        <v>29</v>
      </c>
      <c r="HK53" s="23">
        <v>0</v>
      </c>
      <c r="HL53" s="23">
        <v>0</v>
      </c>
      <c r="HM53" s="23">
        <v>0</v>
      </c>
      <c r="HN53" s="23">
        <v>1</v>
      </c>
      <c r="HO53" s="23">
        <v>0</v>
      </c>
      <c r="HP53" s="23">
        <v>0</v>
      </c>
      <c r="HQ53" s="23">
        <v>115</v>
      </c>
      <c r="HR53" s="23">
        <v>0</v>
      </c>
      <c r="HS53" s="23">
        <v>217</v>
      </c>
      <c r="HT53" s="23">
        <v>0</v>
      </c>
      <c r="HU53" s="23">
        <v>0</v>
      </c>
      <c r="HV53" s="23">
        <v>16</v>
      </c>
      <c r="HW53" s="23">
        <v>0</v>
      </c>
      <c r="HX53" s="23">
        <v>0</v>
      </c>
      <c r="HY53" s="23">
        <v>0</v>
      </c>
      <c r="HZ53" s="23">
        <v>0</v>
      </c>
      <c r="IA53" s="23">
        <v>0</v>
      </c>
      <c r="IB53" s="23">
        <v>0</v>
      </c>
      <c r="IC53" s="23">
        <v>0</v>
      </c>
      <c r="ID53" s="23">
        <v>0</v>
      </c>
      <c r="IE53" s="23">
        <v>0</v>
      </c>
      <c r="IF53" s="23">
        <v>0</v>
      </c>
      <c r="IG53" s="23">
        <v>0</v>
      </c>
      <c r="IH53" s="23">
        <v>0</v>
      </c>
      <c r="II53" s="23">
        <v>4</v>
      </c>
      <c r="IJ53" s="23">
        <v>0</v>
      </c>
      <c r="IK53" s="23">
        <v>0</v>
      </c>
      <c r="IL53" s="23">
        <v>0</v>
      </c>
      <c r="IM53" s="23">
        <v>0</v>
      </c>
      <c r="IN53" s="23">
        <v>0</v>
      </c>
      <c r="IO53" s="23">
        <v>0</v>
      </c>
      <c r="IP53" s="23">
        <v>0</v>
      </c>
      <c r="IQ53" s="23">
        <v>0</v>
      </c>
      <c r="IR53" s="23">
        <v>0</v>
      </c>
      <c r="IS53" s="23">
        <v>0</v>
      </c>
      <c r="IT53" s="23">
        <v>0</v>
      </c>
      <c r="IU53" s="23">
        <v>0</v>
      </c>
      <c r="IV53" s="23">
        <v>0</v>
      </c>
      <c r="IW53" s="23">
        <v>0</v>
      </c>
      <c r="IX53" s="23">
        <v>0</v>
      </c>
      <c r="IY53" s="23">
        <v>0</v>
      </c>
      <c r="IZ53" s="23">
        <v>0</v>
      </c>
      <c r="JA53" s="23">
        <v>0</v>
      </c>
      <c r="JB53" s="23">
        <v>0</v>
      </c>
      <c r="JC53" s="23">
        <v>0</v>
      </c>
      <c r="JD53" s="23">
        <v>0</v>
      </c>
      <c r="JE53" s="23">
        <v>0</v>
      </c>
      <c r="JF53" s="23">
        <v>0</v>
      </c>
      <c r="JG53" s="23">
        <v>0</v>
      </c>
      <c r="JH53" s="23">
        <v>0</v>
      </c>
      <c r="JI53" s="23">
        <v>0</v>
      </c>
      <c r="JJ53" s="23">
        <v>0</v>
      </c>
      <c r="JK53" s="23">
        <v>0</v>
      </c>
      <c r="JL53" s="23">
        <v>0</v>
      </c>
      <c r="JM53" s="23">
        <v>0</v>
      </c>
      <c r="JN53" s="23">
        <v>0</v>
      </c>
      <c r="JO53" s="23">
        <v>1</v>
      </c>
      <c r="JP53" s="23">
        <v>0</v>
      </c>
      <c r="JQ53" s="23">
        <v>51</v>
      </c>
      <c r="JR53" s="23">
        <v>0</v>
      </c>
      <c r="JS53" s="23">
        <v>0</v>
      </c>
      <c r="JT53" s="23">
        <v>0</v>
      </c>
      <c r="JU53" s="23">
        <v>0</v>
      </c>
      <c r="JV53" s="23">
        <v>3</v>
      </c>
      <c r="JW53" s="23">
        <v>2</v>
      </c>
      <c r="JX53" s="23">
        <v>0</v>
      </c>
      <c r="JY53" s="23">
        <v>0</v>
      </c>
      <c r="JZ53" s="23">
        <v>5</v>
      </c>
      <c r="KA53" s="23">
        <v>0</v>
      </c>
      <c r="KB53" s="23">
        <v>0</v>
      </c>
      <c r="KC53" s="23">
        <v>0</v>
      </c>
      <c r="KD53" s="23">
        <v>0</v>
      </c>
      <c r="KE53" s="23">
        <v>0</v>
      </c>
      <c r="KF53" s="23">
        <v>0</v>
      </c>
      <c r="KG53" s="23">
        <v>0</v>
      </c>
      <c r="KH53" s="23">
        <v>2</v>
      </c>
      <c r="KI53" s="23">
        <v>0</v>
      </c>
      <c r="KJ53" s="23">
        <v>0</v>
      </c>
      <c r="KK53" s="23">
        <v>0</v>
      </c>
      <c r="KL53" s="23">
        <v>0</v>
      </c>
      <c r="KM53" s="23">
        <v>0</v>
      </c>
      <c r="KN53" s="23">
        <v>0</v>
      </c>
      <c r="KO53" s="23">
        <v>1</v>
      </c>
      <c r="KP53" s="23">
        <v>2</v>
      </c>
      <c r="KQ53" s="23">
        <v>2</v>
      </c>
      <c r="KR53" s="23">
        <v>0</v>
      </c>
      <c r="KS53" s="23">
        <v>23</v>
      </c>
      <c r="KT53" s="23">
        <v>1</v>
      </c>
      <c r="KU53" s="23">
        <v>0</v>
      </c>
      <c r="KV53" s="23">
        <v>0</v>
      </c>
      <c r="KW53" s="23">
        <v>0</v>
      </c>
      <c r="KX53" s="23">
        <v>3</v>
      </c>
      <c r="KY53" s="23">
        <v>0</v>
      </c>
      <c r="KZ53" s="23">
        <v>2</v>
      </c>
      <c r="LA53" s="23">
        <v>0</v>
      </c>
      <c r="LB53" s="23">
        <v>0</v>
      </c>
      <c r="LC53" s="23">
        <v>1</v>
      </c>
      <c r="LD53" s="23">
        <v>3</v>
      </c>
      <c r="LE53" s="23">
        <v>0</v>
      </c>
      <c r="LF53" s="23">
        <v>0</v>
      </c>
      <c r="LG53" s="23">
        <v>0</v>
      </c>
      <c r="LH53" s="23">
        <v>70</v>
      </c>
      <c r="LI53" s="23">
        <v>0</v>
      </c>
      <c r="LJ53" s="23">
        <v>0</v>
      </c>
      <c r="LK53" s="23">
        <v>0</v>
      </c>
      <c r="LL53" s="23">
        <v>0</v>
      </c>
      <c r="LM53" s="23">
        <v>0</v>
      </c>
      <c r="LN53" s="278">
        <f ca="1">$A53 - TST!Sweden100dt + 1</f>
        <v>-1</v>
      </c>
      <c r="LO53" s="20">
        <f ca="1">INDEX(OFFSET(TST!HeadRow,ROW()-ROW(TST!HeadRow),0,1,COLUMNS(TST!HeadRow)),1,MATCH(LO$5,TST!HeadRow,0))/LO$8</f>
        <v>91.886608015640277</v>
      </c>
      <c r="LP53" s="278">
        <f ca="1">$A53 - TST!Spain100dt + 1</f>
        <v>-1</v>
      </c>
      <c r="LQ53" s="20">
        <f ca="1">INDEX(OFFSET(TST!HeadRow,ROW()-ROW(TST!HeadRow),0,1,COLUMNS(TST!HeadRow)),1,MATCH(LQ$5,TST!HeadRow,0))/LQ$8</f>
        <v>55.176821474222415</v>
      </c>
      <c r="LR53" s="285">
        <f ca="1">$A53 - TST!Victoria100dt + 1</f>
        <v>-10</v>
      </c>
      <c r="LS53" s="20">
        <f ca="1">INDEX(OFFSET(TST!HeadRow,ROW()-ROW(TST!HeadRow),0,1,COLUMNS(TST!HeadRow)),1,MATCH(LS$5,TST!HeadRow,0))/LS$8</f>
        <v>15.085231558304418</v>
      </c>
      <c r="LT53" s="278">
        <f ca="1">$A53 - TST!Iran100dt + 1</f>
        <v>5</v>
      </c>
      <c r="LU53" s="20">
        <f ca="1">INDEX(OFFSET(TST!HeadRow,ROW()-ROW(TST!HeadRow),0,1,COLUMNS(TST!HeadRow)),1,MATCH(LU$5,TST!HeadRow,0))/LU$8</f>
        <v>419.3475224714407</v>
      </c>
      <c r="LV53" s="278">
        <f ca="1">$A53 - TST!Japan100dt + 1</f>
        <v>-19</v>
      </c>
      <c r="LW53" s="20">
        <f ca="1">INDEX(OFFSET(TST!HeadRow,ROW()-ROW(TST!HeadRow),0,1,COLUMNS(TST!HeadRow)),1,MATCH(LW$5,TST!HeadRow,0))/LW$8</f>
        <v>28.446309286148324</v>
      </c>
      <c r="LX53" s="278">
        <f ca="1">$A53 - TST!Queensland100dt + 1</f>
        <v>-9</v>
      </c>
      <c r="LY53" s="20">
        <f ca="1">INDEX(OFFSET(TST!HeadRow,ROW()-ROW(TST!HeadRow),0,1,COLUMNS(TST!HeadRow)),1,MATCH(LY$5,TST!HeadRow,0))/LY$8</f>
        <v>25.413204036164164</v>
      </c>
      <c r="LZ53" s="278">
        <f ca="1">$A53 - TST!Tasmania100dt + 1</f>
        <v>-9</v>
      </c>
      <c r="MA53" s="20">
        <f ca="1">INDEX(OFFSET(TST!HeadRow,ROW()-ROW(TST!HeadRow),0,1,COLUMNS(TST!HeadRow)),1,MATCH(MA$5,TST!HeadRow,0))/MA$8</f>
        <v>19.417475728155342</v>
      </c>
      <c r="MB53" s="278">
        <f ca="1">$A53 - TST!SouthAustralia100dt + 1</f>
        <v>-8</v>
      </c>
      <c r="MC53" s="20">
        <f ca="1">INDEX(OFFSET(TST!HeadRow,ROW()-ROW(TST!HeadRow),0,1,COLUMNS(TST!HeadRow)),1,MATCH(MC$5,TST!HeadRow,0))/MC$8</f>
        <v>29.940119760479039</v>
      </c>
      <c r="MD53" s="278">
        <f ca="1">$A53 - TST!AustralianCapitalTerritory100dt + 1</f>
        <v>-14</v>
      </c>
      <c r="ME53" s="20">
        <f ca="1">INDEX(OFFSET(TST!HeadRow,ROW()-ROW(TST!HeadRow),0,1,COLUMNS(TST!HeadRow)),1,MATCH(ME$5,TST!HeadRow,0))/ME$8</f>
        <v>0</v>
      </c>
      <c r="MF53" s="278">
        <f ca="1">$A53 - TST!NorthernTerritory100dt + 1</f>
        <v>-14</v>
      </c>
      <c r="MG53" s="20">
        <f ca="1">INDEX(OFFSET(TST!HeadRow,ROW()-ROW(TST!HeadRow),0,1,COLUMNS(TST!HeadRow)),1,MATCH(MG$5,TST!HeadRow,0))/MG$8</f>
        <v>47.182051947439192</v>
      </c>
      <c r="MH53" s="278">
        <f ca="1">$A53 - TST!WesternAustralia100dt + 1</f>
        <v>-10</v>
      </c>
      <c r="MI53" s="20">
        <f ca="1">INDEX(OFFSET(TST!HeadRow,ROW()-ROW(TST!HeadRow),0,1,COLUMNS(TST!HeadRow)),1,MATCH(MI$5,TST!HeadRow,0))/MI$8</f>
        <v>11.587485515643104</v>
      </c>
      <c r="MJ53" s="278">
        <f ca="1">$A53 - TST!Germany100dt + 1</f>
        <v>-2</v>
      </c>
      <c r="MK53" s="20">
        <f ca="1">INDEX(OFFSET(TST!HeadRow,ROW()-ROW(TST!HeadRow),0,1,COLUMNS(TST!HeadRow)),1,MATCH(MK$5,TST!HeadRow,0))/MK$8</f>
        <v>58.05829920501084</v>
      </c>
      <c r="ML53" s="278">
        <f ca="1">$A53 - TST!Denmark100dt + 1</f>
        <v>-3</v>
      </c>
      <c r="MM53" s="20">
        <f ca="1">INDEX(OFFSET(TST!HeadRow,ROW()-ROW(TST!HeadRow),0,1,COLUMNS(TST!HeadRow)),1,MATCH(MM$5,TST!HeadRow,0))/MM$8</f>
        <v>17.223561832586977</v>
      </c>
      <c r="MN53" s="278">
        <f ca="1">$A53 - TST!SouthAfrica100dt + 1</f>
        <v>-19</v>
      </c>
      <c r="MO53" s="20">
        <f ca="1">INDEX(OFFSET(TST!HeadRow,ROW()-ROW(TST!HeadRow),0,1,COLUMNS(TST!HeadRow)),1,MATCH(MO$5,TST!HeadRow,0))/MO$8</f>
        <v>0.17307026652821048</v>
      </c>
      <c r="MP53" s="278">
        <f ca="1">$A53 - TST!UnitedKingdom100dt + 1</f>
        <v>-7</v>
      </c>
      <c r="MQ53" s="20">
        <f ca="1">INDEX(OFFSET(TST!HeadRow,ROW()-ROW(TST!HeadRow),0,1,COLUMNS(TST!HeadRow)),1,MATCH(MQ$5,TST!HeadRow,0))/MQ$8</f>
        <v>17.308850090307043</v>
      </c>
      <c r="MR53" s="278">
        <f ca="1">$A53 - TST!Ireland100dt + 1</f>
        <v>-7</v>
      </c>
      <c r="MS53" s="20">
        <f ca="1">INDEX(OFFSET(TST!HeadRow,ROW()-ROW(TST!HeadRow),0,1,COLUMNS(TST!HeadRow)),1,MATCH(MS$5,TST!HeadRow,0))/MS$8</f>
        <v>12.244897959183673</v>
      </c>
      <c r="MT53" s="278">
        <f ca="1">$A53 - TST!Italy100dt + 1</f>
        <v>8</v>
      </c>
      <c r="MU53" s="20">
        <f ca="1">INDEX(OFFSET(TST!HeadRow,ROW()-ROW(TST!HeadRow),0,1,COLUMNS(TST!HeadRow)),1,MATCH(MU$5,TST!HeadRow,0))/MU$8</f>
        <v>637.84409357691993</v>
      </c>
      <c r="MV53" s="278">
        <f ca="1">$A53 - TST!US100dt + 1</f>
        <v>-9</v>
      </c>
      <c r="MW53" s="20">
        <f ca="1">INDEX(OFFSET(TST!HeadRow,ROW()-ROW(TST!HeadRow),0,1,COLUMNS(TST!HeadRow)),1,MATCH(MW$5,TST!HeadRow,0))/MW$8</f>
        <v>6.5911820202420008</v>
      </c>
      <c r="MX53" s="278">
        <f ca="1">$A53 - TST!AustraliaSum100dt + 1</f>
        <v>-9</v>
      </c>
      <c r="MY53" s="366">
        <f t="shared" si="8"/>
        <v>21.68427692792935</v>
      </c>
      <c r="MZ53" s="278">
        <f ca="1">$A53 - TST!NewSouthWales100dt + 1</f>
        <v>-7</v>
      </c>
      <c r="NA53" s="366">
        <f ca="1">INDEX(OFFSET(TST!HeadRow,ROW()-ROW(TST!HeadRow),0,1,COLUMNS(TST!HeadRow)),1,MATCH(NA$5,TST!HeadRow,0))/NA$8</f>
        <v>27.227722772277225</v>
      </c>
      <c r="NB53" s="278">
        <f ca="1">$A53 - TST!Taiwan100dt + 1</f>
        <v>-20</v>
      </c>
      <c r="NC53" s="366">
        <f ca="1">INDEX(OFFSET(TST!HeadRow,ROW()-ROW(TST!HeadRow),0,1,COLUMNS(TST!HeadRow)),1,MATCH(NC$5,TST!HeadRow,0))/NC$8</f>
        <v>18.481740166727139</v>
      </c>
      <c r="ND53" s="20">
        <f ca="1">$A53 - TST!Hubei100dt + 1</f>
        <v>41</v>
      </c>
      <c r="NE53" s="20">
        <f ca="1">INDEX(OFFSET(TST!HeadRow,ROW()-ROW(TST!HeadRow),0,1,COLUMNS(TST!HeadRow)),1,MATCH(NE$5,TST!HeadRow,0))/NE$8</f>
        <v>11532.649572649574</v>
      </c>
      <c r="NF53" s="20">
        <f ca="1">$A53 - TST!HongKong100dt + 1</f>
        <v>11</v>
      </c>
      <c r="NG53" s="20">
        <f ca="1">INDEX(OFFSET(TST!HeadRow,ROW()-ROW(TST!HeadRow),0,1,COLUMNS(TST!HeadRow)),1,MATCH(NG$5,TST!HeadRow,0))/NG$8</f>
        <v>140.92068178767951</v>
      </c>
    </row>
    <row r="54" spans="1:371" x14ac:dyDescent="0.25">
      <c r="A54" s="243">
        <v>43896</v>
      </c>
      <c r="B54" s="23">
        <v>1</v>
      </c>
      <c r="C54" s="23">
        <v>0</v>
      </c>
      <c r="D54" s="23">
        <v>17</v>
      </c>
      <c r="E54" s="23">
        <v>1</v>
      </c>
      <c r="F54" s="23">
        <v>0</v>
      </c>
      <c r="G54" s="23">
        <v>0</v>
      </c>
      <c r="H54" s="23">
        <v>2</v>
      </c>
      <c r="I54" s="23">
        <v>1</v>
      </c>
      <c r="J54" s="23">
        <v>0</v>
      </c>
      <c r="K54" s="293">
        <v>26</v>
      </c>
      <c r="L54" s="23">
        <v>0</v>
      </c>
      <c r="M54" s="290">
        <v>13</v>
      </c>
      <c r="N54" s="23">
        <v>7</v>
      </c>
      <c r="O54" s="384">
        <v>1</v>
      </c>
      <c r="P54" s="287">
        <v>10</v>
      </c>
      <c r="Q54" s="23">
        <v>3</v>
      </c>
      <c r="R54" s="23">
        <v>55</v>
      </c>
      <c r="S54" s="23">
        <v>6</v>
      </c>
      <c r="T54" s="23">
        <v>0</v>
      </c>
      <c r="U54" s="23">
        <v>60</v>
      </c>
      <c r="V54" s="23">
        <v>0</v>
      </c>
      <c r="W54" s="23">
        <v>0</v>
      </c>
      <c r="X54" s="23">
        <v>6</v>
      </c>
      <c r="Y54" s="23">
        <v>109</v>
      </c>
      <c r="Z54" s="23">
        <v>0</v>
      </c>
      <c r="AA54" s="23">
        <v>1</v>
      </c>
      <c r="AB54" s="23">
        <v>0</v>
      </c>
      <c r="AC54" s="23">
        <v>2</v>
      </c>
      <c r="AD54" s="23">
        <v>13</v>
      </c>
      <c r="AE54" s="23">
        <v>0</v>
      </c>
      <c r="AF54" s="23">
        <v>0</v>
      </c>
      <c r="AG54" s="23">
        <v>0</v>
      </c>
      <c r="AH54" s="23">
        <v>0</v>
      </c>
      <c r="AI54" s="23">
        <v>1</v>
      </c>
      <c r="AJ54" s="23">
        <v>1</v>
      </c>
      <c r="AK54" s="23">
        <v>1</v>
      </c>
      <c r="AL54" s="23">
        <v>21</v>
      </c>
      <c r="AM54" s="23">
        <v>0</v>
      </c>
      <c r="AN54" s="23">
        <v>0</v>
      </c>
      <c r="AO54" s="23">
        <v>0</v>
      </c>
      <c r="AP54" s="23">
        <v>0</v>
      </c>
      <c r="AQ54" s="23">
        <v>0</v>
      </c>
      <c r="AR54" s="23">
        <v>25</v>
      </c>
      <c r="AS54" s="23">
        <v>0</v>
      </c>
      <c r="AT54" s="23">
        <v>2</v>
      </c>
      <c r="AU54" s="23">
        <v>0</v>
      </c>
      <c r="AV54" s="23">
        <v>0</v>
      </c>
      <c r="AW54" s="23">
        <v>0</v>
      </c>
      <c r="AX54" s="23">
        <v>4</v>
      </c>
      <c r="AY54" s="23">
        <v>990</v>
      </c>
      <c r="AZ54" s="23">
        <v>422</v>
      </c>
      <c r="BA54" s="23">
        <v>576</v>
      </c>
      <c r="BB54" s="23">
        <v>296</v>
      </c>
      <c r="BC54" s="23">
        <v>119</v>
      </c>
      <c r="BD54" s="23">
        <v>1352</v>
      </c>
      <c r="BE54" s="23">
        <v>252</v>
      </c>
      <c r="BF54" s="23">
        <v>146</v>
      </c>
      <c r="BG54" s="23">
        <v>168</v>
      </c>
      <c r="BH54" s="23">
        <v>318</v>
      </c>
      <c r="BI54" s="23">
        <v>481</v>
      </c>
      <c r="BJ54" s="23">
        <v>1272</v>
      </c>
      <c r="BK54" s="23">
        <v>107</v>
      </c>
      <c r="BL54" s="23">
        <v>67592</v>
      </c>
      <c r="BM54" s="23">
        <v>1018</v>
      </c>
      <c r="BN54" s="23">
        <v>75</v>
      </c>
      <c r="BO54" s="23">
        <v>631</v>
      </c>
      <c r="BP54" s="23">
        <v>935</v>
      </c>
      <c r="BQ54" s="23">
        <v>93</v>
      </c>
      <c r="BR54" s="23">
        <v>125</v>
      </c>
      <c r="BS54" s="23">
        <v>10</v>
      </c>
      <c r="BT54" s="23">
        <v>75</v>
      </c>
      <c r="BU54" s="23">
        <v>18</v>
      </c>
      <c r="BV54" s="23">
        <v>245</v>
      </c>
      <c r="BW54" s="23">
        <v>758</v>
      </c>
      <c r="BX54" s="23">
        <v>342</v>
      </c>
      <c r="BY54" s="23">
        <v>133</v>
      </c>
      <c r="BZ54" s="23">
        <v>539</v>
      </c>
      <c r="CA54" s="23">
        <v>136</v>
      </c>
      <c r="CB54" s="23">
        <v>1</v>
      </c>
      <c r="CC54" s="23">
        <v>76</v>
      </c>
      <c r="CD54" s="23">
        <v>174</v>
      </c>
      <c r="CE54" s="23">
        <v>1215</v>
      </c>
      <c r="CF54" s="23">
        <v>1</v>
      </c>
      <c r="CG54" s="23">
        <v>0</v>
      </c>
      <c r="CH54" s="23">
        <v>0</v>
      </c>
      <c r="CI54" s="23">
        <v>1</v>
      </c>
      <c r="CJ54" s="23">
        <v>0</v>
      </c>
      <c r="CK54" s="23">
        <v>11</v>
      </c>
      <c r="CL54" s="23">
        <v>706</v>
      </c>
      <c r="CM54" s="23">
        <v>0</v>
      </c>
      <c r="CN54" s="23">
        <v>0</v>
      </c>
      <c r="CO54" s="23">
        <v>18</v>
      </c>
      <c r="CP54" s="23">
        <v>1</v>
      </c>
      <c r="CQ54" s="23">
        <v>0</v>
      </c>
      <c r="CR54" s="23">
        <v>23</v>
      </c>
      <c r="CS54" s="23">
        <v>0</v>
      </c>
      <c r="CT54" s="23">
        <v>2</v>
      </c>
      <c r="CU54" s="23">
        <v>13</v>
      </c>
      <c r="CV54" s="23">
        <v>15</v>
      </c>
      <c r="CW54" s="23">
        <v>0</v>
      </c>
      <c r="CX54" s="23">
        <v>0</v>
      </c>
      <c r="CY54" s="23">
        <v>0</v>
      </c>
      <c r="CZ54" s="23">
        <v>10</v>
      </c>
      <c r="DA54" s="23">
        <v>0</v>
      </c>
      <c r="DB54" s="23">
        <v>0</v>
      </c>
      <c r="DC54" s="23">
        <v>0</v>
      </c>
      <c r="DD54" s="23">
        <v>15</v>
      </c>
      <c r="DE54" s="23">
        <v>0</v>
      </c>
      <c r="DF54" s="23">
        <v>0</v>
      </c>
      <c r="DG54" s="23">
        <v>0</v>
      </c>
      <c r="DH54" s="23">
        <v>0</v>
      </c>
      <c r="DI54" s="23">
        <v>0</v>
      </c>
      <c r="DJ54" s="23">
        <v>0</v>
      </c>
      <c r="DK54" s="23">
        <v>3</v>
      </c>
      <c r="DL54" s="23">
        <v>0</v>
      </c>
      <c r="DM54" s="23">
        <v>0</v>
      </c>
      <c r="DN54" s="23">
        <v>653</v>
      </c>
      <c r="DO54" s="23">
        <v>0</v>
      </c>
      <c r="DP54" s="23">
        <v>0</v>
      </c>
      <c r="DQ54" s="23">
        <v>4</v>
      </c>
      <c r="DR54" s="23">
        <v>670</v>
      </c>
      <c r="DS54" s="23">
        <v>0</v>
      </c>
      <c r="DT54" s="23">
        <v>45</v>
      </c>
      <c r="DU54" s="23">
        <v>0</v>
      </c>
      <c r="DV54" s="23">
        <v>0</v>
      </c>
      <c r="DW54" s="23">
        <v>0</v>
      </c>
      <c r="DX54" s="23">
        <v>0</v>
      </c>
      <c r="DY54" s="23">
        <v>1</v>
      </c>
      <c r="DZ54" s="23">
        <v>0</v>
      </c>
      <c r="EA54" s="23">
        <v>2</v>
      </c>
      <c r="EB54" s="23">
        <v>43</v>
      </c>
      <c r="EC54" s="23">
        <v>31</v>
      </c>
      <c r="ED54" s="23">
        <v>4</v>
      </c>
      <c r="EE54" s="23">
        <v>4747</v>
      </c>
      <c r="EF54" s="23">
        <v>40</v>
      </c>
      <c r="EG54" s="23">
        <v>18</v>
      </c>
      <c r="EH54" s="23">
        <v>37</v>
      </c>
      <c r="EI54" s="23">
        <v>4636</v>
      </c>
      <c r="EJ54" s="23">
        <v>0</v>
      </c>
      <c r="EK54" s="23">
        <v>420</v>
      </c>
      <c r="EL54" s="23">
        <v>1</v>
      </c>
      <c r="EM54" s="23">
        <v>0</v>
      </c>
      <c r="EN54" s="23">
        <v>0</v>
      </c>
      <c r="EO54" s="23">
        <v>6593</v>
      </c>
      <c r="EP54" s="23">
        <v>58</v>
      </c>
      <c r="EQ54" s="23">
        <v>0</v>
      </c>
      <c r="ER54" s="23">
        <v>1</v>
      </c>
      <c r="ES54" s="23">
        <v>22</v>
      </c>
      <c r="ET54" s="23">
        <v>0</v>
      </c>
      <c r="EU54" s="23">
        <v>1</v>
      </c>
      <c r="EV54" s="23">
        <v>1</v>
      </c>
      <c r="EW54" s="23">
        <v>2</v>
      </c>
      <c r="EX54" s="23">
        <v>0</v>
      </c>
      <c r="EY54" s="23">
        <v>83</v>
      </c>
      <c r="EZ54" s="23">
        <v>0</v>
      </c>
      <c r="FA54" s="23">
        <v>0</v>
      </c>
      <c r="FB54" s="23">
        <v>0</v>
      </c>
      <c r="FC54" s="23">
        <v>0</v>
      </c>
      <c r="FD54" s="23">
        <v>6</v>
      </c>
      <c r="FE54" s="23">
        <v>0</v>
      </c>
      <c r="FF54" s="23">
        <v>1</v>
      </c>
      <c r="FG54" s="23">
        <v>0</v>
      </c>
      <c r="FH54" s="23">
        <v>0</v>
      </c>
      <c r="FI54" s="23">
        <v>2</v>
      </c>
      <c r="FJ54" s="23">
        <v>0</v>
      </c>
      <c r="FK54" s="23">
        <v>1</v>
      </c>
      <c r="FL54" s="23">
        <v>0</v>
      </c>
      <c r="FM54" s="23">
        <v>0</v>
      </c>
      <c r="FN54" s="23">
        <v>0</v>
      </c>
      <c r="FO54" s="23">
        <v>128</v>
      </c>
      <c r="FP54" s="23">
        <v>4</v>
      </c>
      <c r="FQ54" s="23">
        <v>0</v>
      </c>
      <c r="FR54" s="23">
        <v>0</v>
      </c>
      <c r="FS54" s="23">
        <v>1</v>
      </c>
      <c r="FT54" s="23">
        <v>3</v>
      </c>
      <c r="FU54" s="23">
        <v>108</v>
      </c>
      <c r="FV54" s="23">
        <v>16</v>
      </c>
      <c r="FW54" s="23">
        <v>6</v>
      </c>
      <c r="FX54" s="23">
        <v>0</v>
      </c>
      <c r="FY54" s="23">
        <v>0</v>
      </c>
      <c r="FZ54" s="23">
        <v>0</v>
      </c>
      <c r="GA54" s="23">
        <v>1</v>
      </c>
      <c r="GB54" s="23">
        <v>5</v>
      </c>
      <c r="GC54" s="23">
        <v>5</v>
      </c>
      <c r="GD54" s="23">
        <v>13</v>
      </c>
      <c r="GE54" s="23">
        <v>8</v>
      </c>
      <c r="GF54" s="23">
        <v>9</v>
      </c>
      <c r="GG54" s="23">
        <v>13</v>
      </c>
      <c r="GH54" s="23">
        <v>0</v>
      </c>
      <c r="GI54" s="23">
        <v>0</v>
      </c>
      <c r="GJ54" s="23">
        <v>0</v>
      </c>
      <c r="GK54" s="23">
        <v>21</v>
      </c>
      <c r="GL54" s="23">
        <v>5</v>
      </c>
      <c r="GM54" s="23">
        <v>4</v>
      </c>
      <c r="GN54" s="23">
        <v>1</v>
      </c>
      <c r="GO54" s="23">
        <v>0</v>
      </c>
      <c r="GP54" s="23">
        <v>130</v>
      </c>
      <c r="GQ54" s="23">
        <v>1</v>
      </c>
      <c r="GR54" s="23">
        <v>7</v>
      </c>
      <c r="GS54" s="23">
        <v>0</v>
      </c>
      <c r="GT54" s="23">
        <v>1</v>
      </c>
      <c r="GU54" s="23">
        <v>400</v>
      </c>
      <c r="GV54" s="23">
        <v>1</v>
      </c>
      <c r="GW54" s="23">
        <v>0</v>
      </c>
      <c r="GX54" s="23">
        <v>0</v>
      </c>
      <c r="GY54" s="23">
        <v>101</v>
      </c>
      <c r="GZ54" s="23">
        <v>214</v>
      </c>
      <c r="HA54" s="23">
        <v>45</v>
      </c>
      <c r="HB54" s="23">
        <v>0</v>
      </c>
      <c r="HC54" s="23">
        <v>48</v>
      </c>
      <c r="HD54" s="23">
        <v>1</v>
      </c>
      <c r="HE54" s="23">
        <v>0</v>
      </c>
      <c r="HF54" s="23">
        <v>1</v>
      </c>
      <c r="HG54" s="23">
        <v>0</v>
      </c>
      <c r="HH54" s="23">
        <v>0</v>
      </c>
      <c r="HI54" s="23">
        <v>1</v>
      </c>
      <c r="HJ54" s="23">
        <v>29</v>
      </c>
      <c r="HK54" s="23">
        <v>0</v>
      </c>
      <c r="HL54" s="23">
        <v>0</v>
      </c>
      <c r="HM54" s="23">
        <v>0</v>
      </c>
      <c r="HN54" s="23">
        <v>1</v>
      </c>
      <c r="HO54" s="23">
        <v>0</v>
      </c>
      <c r="HP54" s="23">
        <v>0</v>
      </c>
      <c r="HQ54" s="23">
        <v>163</v>
      </c>
      <c r="HR54" s="23">
        <v>0</v>
      </c>
      <c r="HS54" s="23">
        <v>262</v>
      </c>
      <c r="HT54" s="23">
        <v>0</v>
      </c>
      <c r="HU54" s="23">
        <v>0</v>
      </c>
      <c r="HV54" s="23">
        <v>16</v>
      </c>
      <c r="HW54" s="23">
        <v>0</v>
      </c>
      <c r="HX54" s="23">
        <v>0</v>
      </c>
      <c r="HY54" s="23">
        <v>0</v>
      </c>
      <c r="HZ54" s="23">
        <v>0</v>
      </c>
      <c r="IA54" s="23">
        <v>0</v>
      </c>
      <c r="IB54" s="23">
        <v>0</v>
      </c>
      <c r="IC54" s="23">
        <v>0</v>
      </c>
      <c r="ID54" s="23">
        <v>0</v>
      </c>
      <c r="IE54" s="23">
        <v>0</v>
      </c>
      <c r="IF54" s="23">
        <v>0</v>
      </c>
      <c r="IG54" s="23">
        <v>0</v>
      </c>
      <c r="IH54" s="23">
        <v>0</v>
      </c>
      <c r="II54" s="23">
        <v>7</v>
      </c>
      <c r="IJ54" s="23">
        <v>0</v>
      </c>
      <c r="IK54" s="23">
        <v>0</v>
      </c>
      <c r="IL54" s="23">
        <v>0</v>
      </c>
      <c r="IM54" s="23">
        <v>0</v>
      </c>
      <c r="IN54" s="23">
        <v>0</v>
      </c>
      <c r="IO54" s="23">
        <v>0</v>
      </c>
      <c r="IP54" s="23">
        <v>0</v>
      </c>
      <c r="IQ54" s="23">
        <v>0</v>
      </c>
      <c r="IR54" s="23">
        <v>0</v>
      </c>
      <c r="IS54" s="23">
        <v>0</v>
      </c>
      <c r="IT54" s="23">
        <v>0</v>
      </c>
      <c r="IU54" s="23">
        <v>0</v>
      </c>
      <c r="IV54" s="23">
        <v>0</v>
      </c>
      <c r="IW54" s="23">
        <v>0</v>
      </c>
      <c r="IX54" s="23">
        <v>0</v>
      </c>
      <c r="IY54" s="23">
        <v>0</v>
      </c>
      <c r="IZ54" s="23">
        <v>0</v>
      </c>
      <c r="JA54" s="23">
        <v>0</v>
      </c>
      <c r="JB54" s="23">
        <v>0</v>
      </c>
      <c r="JC54" s="23">
        <v>0</v>
      </c>
      <c r="JD54" s="23">
        <v>0</v>
      </c>
      <c r="JE54" s="23">
        <v>0</v>
      </c>
      <c r="JF54" s="23">
        <v>0</v>
      </c>
      <c r="JG54" s="23">
        <v>0</v>
      </c>
      <c r="JH54" s="23">
        <v>0</v>
      </c>
      <c r="JI54" s="23">
        <v>0</v>
      </c>
      <c r="JJ54" s="23">
        <v>0</v>
      </c>
      <c r="JK54" s="23">
        <v>0</v>
      </c>
      <c r="JL54" s="23">
        <v>0</v>
      </c>
      <c r="JM54" s="23">
        <v>0</v>
      </c>
      <c r="JN54" s="23">
        <v>0</v>
      </c>
      <c r="JO54" s="23">
        <v>2</v>
      </c>
      <c r="JP54" s="23">
        <v>0</v>
      </c>
      <c r="JQ54" s="23">
        <v>59</v>
      </c>
      <c r="JR54" s="23">
        <v>3</v>
      </c>
      <c r="JS54" s="23">
        <v>0</v>
      </c>
      <c r="JT54" s="23">
        <v>0</v>
      </c>
      <c r="JU54" s="23">
        <v>0</v>
      </c>
      <c r="JV54" s="23">
        <v>3</v>
      </c>
      <c r="JW54" s="23">
        <v>3</v>
      </c>
      <c r="JX54" s="23">
        <v>0</v>
      </c>
      <c r="JY54" s="23">
        <v>0</v>
      </c>
      <c r="JZ54" s="23">
        <v>5</v>
      </c>
      <c r="KA54" s="23">
        <v>1</v>
      </c>
      <c r="KB54" s="23">
        <v>0</v>
      </c>
      <c r="KC54" s="23">
        <v>0</v>
      </c>
      <c r="KD54" s="23">
        <v>1</v>
      </c>
      <c r="KE54" s="23">
        <v>0</v>
      </c>
      <c r="KF54" s="23">
        <v>0</v>
      </c>
      <c r="KG54" s="23">
        <v>3</v>
      </c>
      <c r="KH54" s="23">
        <v>6</v>
      </c>
      <c r="KI54" s="23">
        <v>0</v>
      </c>
      <c r="KJ54" s="23">
        <v>1</v>
      </c>
      <c r="KK54" s="23">
        <v>0</v>
      </c>
      <c r="KL54" s="23">
        <v>0</v>
      </c>
      <c r="KM54" s="23">
        <v>0</v>
      </c>
      <c r="KN54" s="23">
        <v>1</v>
      </c>
      <c r="KO54" s="23">
        <v>2</v>
      </c>
      <c r="KP54" s="23">
        <v>2</v>
      </c>
      <c r="KQ54" s="23">
        <v>2</v>
      </c>
      <c r="KR54" s="23">
        <v>0</v>
      </c>
      <c r="KS54" s="23">
        <v>31</v>
      </c>
      <c r="KT54" s="23">
        <v>2</v>
      </c>
      <c r="KU54" s="23">
        <v>0</v>
      </c>
      <c r="KV54" s="23">
        <v>0</v>
      </c>
      <c r="KW54" s="23">
        <v>0</v>
      </c>
      <c r="KX54" s="23">
        <v>3</v>
      </c>
      <c r="KY54" s="23">
        <v>2</v>
      </c>
      <c r="KZ54" s="23">
        <v>2</v>
      </c>
      <c r="LA54" s="23">
        <v>0</v>
      </c>
      <c r="LB54" s="23">
        <v>0</v>
      </c>
      <c r="LC54" s="23">
        <v>1</v>
      </c>
      <c r="LD54" s="23">
        <v>4</v>
      </c>
      <c r="LE54" s="23">
        <v>0</v>
      </c>
      <c r="LF54" s="23">
        <v>0</v>
      </c>
      <c r="LG54" s="23">
        <v>0</v>
      </c>
      <c r="LH54" s="23">
        <v>78</v>
      </c>
      <c r="LI54" s="23">
        <v>0</v>
      </c>
      <c r="LJ54" s="23">
        <v>0</v>
      </c>
      <c r="LK54" s="23">
        <v>0</v>
      </c>
      <c r="LL54" s="23">
        <v>0</v>
      </c>
      <c r="LM54" s="23">
        <v>0</v>
      </c>
      <c r="LN54" s="278">
        <f ca="1">$A54 - TST!Sweden100dt + 1</f>
        <v>0</v>
      </c>
      <c r="LO54" s="20">
        <f ca="1">INDEX(OFFSET(TST!HeadRow,ROW()-ROW(TST!HeadRow),0,1,COLUMNS(TST!HeadRow)),1,MATCH(LO$5,TST!HeadRow,0))/LO$8</f>
        <v>98.729227761485831</v>
      </c>
      <c r="LP54" s="278">
        <f ca="1">$A54 - TST!Spain100dt + 1</f>
        <v>0</v>
      </c>
      <c r="LQ54" s="20">
        <f ca="1">INDEX(OFFSET(TST!HeadRow,ROW()-ROW(TST!HeadRow),0,1,COLUMNS(TST!HeadRow)),1,MATCH(LQ$5,TST!HeadRow,0))/LQ$8</f>
        <v>85.215168299957398</v>
      </c>
      <c r="LR54" s="285">
        <f ca="1">$A54 - TST!Victoria100dt + 1</f>
        <v>-9</v>
      </c>
      <c r="LS54" s="20">
        <f ca="1">INDEX(OFFSET(TST!HeadRow,ROW()-ROW(TST!HeadRow),0,1,COLUMNS(TST!HeadRow)),1,MATCH(LS$5,TST!HeadRow,0))/LS$8</f>
        <v>15.085231558304418</v>
      </c>
      <c r="LT54" s="278">
        <f ca="1">$A54 - TST!Iran100dt + 1</f>
        <v>6</v>
      </c>
      <c r="LU54" s="20">
        <f ca="1">INDEX(OFFSET(TST!HeadRow,ROW()-ROW(TST!HeadRow),0,1,COLUMNS(TST!HeadRow)),1,MATCH(LU$5,TST!HeadRow,0))/LU$8</f>
        <v>566.65035273894932</v>
      </c>
      <c r="LV54" s="278">
        <f ca="1">$A54 - TST!Japan100dt + 1</f>
        <v>-18</v>
      </c>
      <c r="LW54" s="20">
        <f ca="1">INDEX(OFFSET(TST!HeadRow,ROW()-ROW(TST!HeadRow),0,1,COLUMNS(TST!HeadRow)),1,MATCH(LW$5,TST!HeadRow,0))/LW$8</f>
        <v>33.187360833839712</v>
      </c>
      <c r="LX54" s="278">
        <f ca="1">$A54 - TST!Queensland100dt + 1</f>
        <v>-8</v>
      </c>
      <c r="LY54" s="20">
        <f ca="1">INDEX(OFFSET(TST!HeadRow,ROW()-ROW(TST!HeadRow),0,1,COLUMNS(TST!HeadRow)),1,MATCH(LY$5,TST!HeadRow,0))/LY$8</f>
        <v>25.413204036164164</v>
      </c>
      <c r="LZ54" s="278">
        <f ca="1">$A54 - TST!Tasmania100dt + 1</f>
        <v>-8</v>
      </c>
      <c r="MA54" s="20">
        <f ca="1">INDEX(OFFSET(TST!HeadRow,ROW()-ROW(TST!HeadRow),0,1,COLUMNS(TST!HeadRow)),1,MATCH(MA$5,TST!HeadRow,0))/MA$8</f>
        <v>19.417475728155342</v>
      </c>
      <c r="MB54" s="278">
        <f ca="1">$A54 - TST!SouthAustralia100dt + 1</f>
        <v>-7</v>
      </c>
      <c r="MC54" s="20">
        <f ca="1">INDEX(OFFSET(TST!HeadRow,ROW()-ROW(TST!HeadRow),0,1,COLUMNS(TST!HeadRow)),1,MATCH(MC$5,TST!HeadRow,0))/MC$8</f>
        <v>41.91616766467066</v>
      </c>
      <c r="MD54" s="278">
        <f ca="1">$A54 - TST!AustralianCapitalTerritory100dt + 1</f>
        <v>-13</v>
      </c>
      <c r="ME54" s="20">
        <f ca="1">INDEX(OFFSET(TST!HeadRow,ROW()-ROW(TST!HeadRow),0,1,COLUMNS(TST!HeadRow)),1,MATCH(ME$5,TST!HeadRow,0))/ME$8</f>
        <v>0</v>
      </c>
      <c r="MF54" s="278">
        <f ca="1">$A54 - TST!NorthernTerritory100dt + 1</f>
        <v>-13</v>
      </c>
      <c r="MG54" s="20">
        <f ca="1">INDEX(OFFSET(TST!HeadRow,ROW()-ROW(TST!HeadRow),0,1,COLUMNS(TST!HeadRow)),1,MATCH(MG$5,TST!HeadRow,0))/MG$8</f>
        <v>0</v>
      </c>
      <c r="MH54" s="278">
        <f ca="1">$A54 - TST!WesternAustralia100dt + 1</f>
        <v>-9</v>
      </c>
      <c r="MI54" s="20">
        <f ca="1">INDEX(OFFSET(TST!HeadRow,ROW()-ROW(TST!HeadRow),0,1,COLUMNS(TST!HeadRow)),1,MATCH(MI$5,TST!HeadRow,0))/MI$8</f>
        <v>11.587485515643104</v>
      </c>
      <c r="MJ54" s="278">
        <f ca="1">$A54 - TST!Germany100dt + 1</f>
        <v>-1</v>
      </c>
      <c r="MK54" s="20">
        <f ca="1">INDEX(OFFSET(TST!HeadRow,ROW()-ROW(TST!HeadRow),0,1,COLUMNS(TST!HeadRow)),1,MATCH(MK$5,TST!HeadRow,0))/MK$8</f>
        <v>80.703444953023379</v>
      </c>
      <c r="ML54" s="278">
        <f ca="1">$A54 - TST!Denmark100dt + 1</f>
        <v>-2</v>
      </c>
      <c r="MM54" s="20">
        <f ca="1">INDEX(OFFSET(TST!HeadRow,ROW()-ROW(TST!HeadRow),0,1,COLUMNS(TST!HeadRow)),1,MATCH(MM$5,TST!HeadRow,0))/MM$8</f>
        <v>39.614192214950052</v>
      </c>
      <c r="MN54" s="278">
        <f ca="1">$A54 - TST!SouthAfrica100dt + 1</f>
        <v>-18</v>
      </c>
      <c r="MO54" s="20">
        <f ca="1">INDEX(OFFSET(TST!HeadRow,ROW()-ROW(TST!HeadRow),0,1,COLUMNS(TST!HeadRow)),1,MATCH(MO$5,TST!HeadRow,0))/MO$8</f>
        <v>0.17307026652821048</v>
      </c>
      <c r="MP54" s="278">
        <f ca="1">$A54 - TST!UnitedKingdom100dt + 1</f>
        <v>-6</v>
      </c>
      <c r="MQ54" s="20">
        <f ca="1">INDEX(OFFSET(TST!HeadRow,ROW()-ROW(TST!HeadRow),0,1,COLUMNS(TST!HeadRow)),1,MATCH(MQ$5,TST!HeadRow,0))/MQ$8</f>
        <v>24.533413606261288</v>
      </c>
      <c r="MR54" s="278">
        <f ca="1">$A54 - TST!Ireland100dt + 1</f>
        <v>-6</v>
      </c>
      <c r="MS54" s="20">
        <f ca="1">INDEX(OFFSET(TST!HeadRow,ROW()-ROW(TST!HeadRow),0,1,COLUMNS(TST!HeadRow)),1,MATCH(MS$5,TST!HeadRow,0))/MS$8</f>
        <v>36.734693877551024</v>
      </c>
      <c r="MT54" s="278">
        <f ca="1">$A54 - TST!Italy100dt + 1</f>
        <v>9</v>
      </c>
      <c r="MU54" s="20">
        <f ca="1">INDEX(OFFSET(TST!HeadRow,ROW()-ROW(TST!HeadRow),0,1,COLUMNS(TST!HeadRow)),1,MATCH(MU$5,TST!HeadRow,0))/MU$8</f>
        <v>766.47102587418374</v>
      </c>
      <c r="MV54" s="278">
        <f ca="1">$A54 - TST!US100dt + 1</f>
        <v>-8</v>
      </c>
      <c r="MW54" s="20">
        <f ca="1">INDEX(OFFSET(TST!HeadRow,ROW()-ROW(TST!HeadRow),0,1,COLUMNS(TST!HeadRow)),1,MATCH(MW$5,TST!HeadRow,0))/MW$8</f>
        <v>7.9580170013981757</v>
      </c>
      <c r="MX54" s="278">
        <f ca="1">$A54 - TST!AustraliaSum100dt + 1</f>
        <v>-8</v>
      </c>
      <c r="MY54" s="366">
        <f t="shared" si="8"/>
        <v>23.655574830468382</v>
      </c>
      <c r="MZ54" s="278">
        <f ca="1">$A54 - TST!NewSouthWales100dt + 1</f>
        <v>-6</v>
      </c>
      <c r="NA54" s="366">
        <f ca="1">INDEX(OFFSET(TST!HeadRow,ROW()-ROW(TST!HeadRow),0,1,COLUMNS(TST!HeadRow)),1,MATCH(NA$5,TST!HeadRow,0))/NA$8</f>
        <v>32.178217821782177</v>
      </c>
      <c r="NB54" s="278">
        <f ca="1">$A54 - TST!Taiwan100dt + 1</f>
        <v>-19</v>
      </c>
      <c r="NC54" s="366">
        <f ca="1">INDEX(OFFSET(TST!HeadRow,ROW()-ROW(TST!HeadRow),0,1,COLUMNS(TST!HeadRow)),1,MATCH(NC$5,TST!HeadRow,0))/NC$8</f>
        <v>18.901779715970935</v>
      </c>
      <c r="ND54" s="20">
        <f ca="1">$A54 - TST!Hubei100dt + 1</f>
        <v>42</v>
      </c>
      <c r="NE54" s="20">
        <f ca="1">INDEX(OFFSET(TST!HeadRow,ROW()-ROW(TST!HeadRow),0,1,COLUMNS(TST!HeadRow)),1,MATCH(NE$5,TST!HeadRow,0))/NE$8</f>
        <v>11554.188034188035</v>
      </c>
      <c r="NF54" s="20">
        <f ca="1">$A54 - TST!HongKong100dt + 1</f>
        <v>12</v>
      </c>
      <c r="NG54" s="20">
        <f ca="1">INDEX(OFFSET(TST!HeadRow,ROW()-ROW(TST!HeadRow),0,1,COLUMNS(TST!HeadRow)),1,MATCH(NG$5,TST!HeadRow,0))/NG$8</f>
        <v>143.60488525030198</v>
      </c>
    </row>
    <row r="55" spans="1:371" x14ac:dyDescent="0.25">
      <c r="A55" s="243">
        <v>43897</v>
      </c>
      <c r="B55" s="23">
        <v>1</v>
      </c>
      <c r="C55" s="23">
        <v>0</v>
      </c>
      <c r="D55" s="23">
        <v>17</v>
      </c>
      <c r="E55" s="23">
        <v>1</v>
      </c>
      <c r="F55" s="23">
        <v>0</v>
      </c>
      <c r="G55" s="23">
        <v>0</v>
      </c>
      <c r="H55" s="23">
        <v>8</v>
      </c>
      <c r="I55" s="23">
        <v>1</v>
      </c>
      <c r="J55" s="23">
        <v>0</v>
      </c>
      <c r="K55" s="293">
        <v>28</v>
      </c>
      <c r="L55" s="23">
        <v>0</v>
      </c>
      <c r="M55" s="290">
        <v>13</v>
      </c>
      <c r="N55" s="23">
        <v>7</v>
      </c>
      <c r="O55" s="384">
        <v>1</v>
      </c>
      <c r="P55" s="287">
        <v>11</v>
      </c>
      <c r="Q55" s="23">
        <v>3</v>
      </c>
      <c r="R55" s="23">
        <v>79</v>
      </c>
      <c r="S55" s="23">
        <v>9</v>
      </c>
      <c r="T55" s="23">
        <v>0</v>
      </c>
      <c r="U55" s="23">
        <v>85</v>
      </c>
      <c r="V55" s="23">
        <v>0</v>
      </c>
      <c r="W55" s="23">
        <v>0</v>
      </c>
      <c r="X55" s="23">
        <v>6</v>
      </c>
      <c r="Y55" s="23">
        <v>169</v>
      </c>
      <c r="Z55" s="23">
        <v>0</v>
      </c>
      <c r="AA55" s="23">
        <v>1</v>
      </c>
      <c r="AB55" s="23">
        <v>0</v>
      </c>
      <c r="AC55" s="23">
        <v>3</v>
      </c>
      <c r="AD55" s="23">
        <v>13</v>
      </c>
      <c r="AE55" s="23">
        <v>0</v>
      </c>
      <c r="AF55" s="23">
        <v>0</v>
      </c>
      <c r="AG55" s="23">
        <v>0</v>
      </c>
      <c r="AH55" s="23">
        <v>0</v>
      </c>
      <c r="AI55" s="23">
        <v>1</v>
      </c>
      <c r="AJ55" s="23">
        <v>1</v>
      </c>
      <c r="AK55" s="23">
        <v>2</v>
      </c>
      <c r="AL55" s="23">
        <v>21</v>
      </c>
      <c r="AM55" s="23">
        <v>0</v>
      </c>
      <c r="AN55" s="23">
        <v>0</v>
      </c>
      <c r="AO55" s="23">
        <v>0</v>
      </c>
      <c r="AP55" s="23">
        <v>0</v>
      </c>
      <c r="AQ55" s="23">
        <v>0</v>
      </c>
      <c r="AR55" s="23">
        <v>28</v>
      </c>
      <c r="AS55" s="23">
        <v>0</v>
      </c>
      <c r="AT55" s="23">
        <v>3</v>
      </c>
      <c r="AU55" s="23">
        <v>0</v>
      </c>
      <c r="AV55" s="23">
        <v>0</v>
      </c>
      <c r="AW55" s="23">
        <v>0</v>
      </c>
      <c r="AX55" s="23">
        <v>4</v>
      </c>
      <c r="AY55" s="23">
        <v>990</v>
      </c>
      <c r="AZ55" s="23">
        <v>426</v>
      </c>
      <c r="BA55" s="23">
        <v>576</v>
      </c>
      <c r="BB55" s="23">
        <v>296</v>
      </c>
      <c r="BC55" s="23">
        <v>120</v>
      </c>
      <c r="BD55" s="23">
        <v>1352</v>
      </c>
      <c r="BE55" s="23">
        <v>252</v>
      </c>
      <c r="BF55" s="23">
        <v>146</v>
      </c>
      <c r="BG55" s="23">
        <v>168</v>
      </c>
      <c r="BH55" s="23">
        <v>318</v>
      </c>
      <c r="BI55" s="23">
        <v>481</v>
      </c>
      <c r="BJ55" s="23">
        <v>1272</v>
      </c>
      <c r="BK55" s="23">
        <v>108</v>
      </c>
      <c r="BL55" s="23">
        <v>67666</v>
      </c>
      <c r="BM55" s="23">
        <v>1018</v>
      </c>
      <c r="BN55" s="23">
        <v>75</v>
      </c>
      <c r="BO55" s="23">
        <v>631</v>
      </c>
      <c r="BP55" s="23">
        <v>935</v>
      </c>
      <c r="BQ55" s="23">
        <v>93</v>
      </c>
      <c r="BR55" s="23">
        <v>125</v>
      </c>
      <c r="BS55" s="23">
        <v>10</v>
      </c>
      <c r="BT55" s="23">
        <v>75</v>
      </c>
      <c r="BU55" s="23">
        <v>18</v>
      </c>
      <c r="BV55" s="23">
        <v>245</v>
      </c>
      <c r="BW55" s="23">
        <v>758</v>
      </c>
      <c r="BX55" s="23">
        <v>342</v>
      </c>
      <c r="BY55" s="23">
        <v>133</v>
      </c>
      <c r="BZ55" s="23">
        <v>539</v>
      </c>
      <c r="CA55" s="23">
        <v>136</v>
      </c>
      <c r="CB55" s="23">
        <v>1</v>
      </c>
      <c r="CC55" s="23">
        <v>76</v>
      </c>
      <c r="CD55" s="23">
        <v>174</v>
      </c>
      <c r="CE55" s="23">
        <v>1215</v>
      </c>
      <c r="CF55" s="23">
        <v>1</v>
      </c>
      <c r="CG55" s="23">
        <v>0</v>
      </c>
      <c r="CH55" s="23">
        <v>0</v>
      </c>
      <c r="CI55" s="23">
        <v>1</v>
      </c>
      <c r="CJ55" s="23">
        <v>0</v>
      </c>
      <c r="CK55" s="23">
        <v>12</v>
      </c>
      <c r="CL55" s="23">
        <v>706</v>
      </c>
      <c r="CM55" s="23">
        <v>0</v>
      </c>
      <c r="CN55" s="23">
        <v>0</v>
      </c>
      <c r="CO55" s="23">
        <v>19</v>
      </c>
      <c r="CP55" s="23">
        <v>1</v>
      </c>
      <c r="CQ55" s="23">
        <v>0</v>
      </c>
      <c r="CR55" s="23">
        <v>23</v>
      </c>
      <c r="CS55" s="23">
        <v>0</v>
      </c>
      <c r="CT55" s="23">
        <v>2</v>
      </c>
      <c r="CU55" s="23">
        <v>13</v>
      </c>
      <c r="CV55" s="23">
        <v>15</v>
      </c>
      <c r="CW55" s="23">
        <v>0</v>
      </c>
      <c r="CX55" s="23">
        <v>0</v>
      </c>
      <c r="CY55" s="23">
        <v>0</v>
      </c>
      <c r="CZ55" s="23">
        <v>10</v>
      </c>
      <c r="DA55" s="23">
        <v>0</v>
      </c>
      <c r="DB55" s="23">
        <v>0</v>
      </c>
      <c r="DC55" s="23">
        <v>0</v>
      </c>
      <c r="DD55" s="23">
        <v>15</v>
      </c>
      <c r="DE55" s="23">
        <v>5</v>
      </c>
      <c r="DF55" s="23">
        <v>0</v>
      </c>
      <c r="DG55" s="23">
        <v>0</v>
      </c>
      <c r="DH55" s="23">
        <v>0</v>
      </c>
      <c r="DI55" s="23">
        <v>0</v>
      </c>
      <c r="DJ55" s="23">
        <v>0</v>
      </c>
      <c r="DK55" s="23">
        <v>3</v>
      </c>
      <c r="DL55" s="23">
        <v>0</v>
      </c>
      <c r="DM55" s="23">
        <v>2</v>
      </c>
      <c r="DN55" s="23">
        <v>949</v>
      </c>
      <c r="DO55" s="23">
        <v>0</v>
      </c>
      <c r="DP55" s="23">
        <v>0</v>
      </c>
      <c r="DQ55" s="23">
        <v>4</v>
      </c>
      <c r="DR55" s="23">
        <v>799</v>
      </c>
      <c r="DS55" s="23">
        <v>0</v>
      </c>
      <c r="DT55" s="23">
        <v>46</v>
      </c>
      <c r="DU55" s="23">
        <v>0</v>
      </c>
      <c r="DV55" s="23">
        <v>0</v>
      </c>
      <c r="DW55" s="23">
        <v>0</v>
      </c>
      <c r="DX55" s="23">
        <v>0</v>
      </c>
      <c r="DY55" s="23">
        <v>1</v>
      </c>
      <c r="DZ55" s="23">
        <v>0</v>
      </c>
      <c r="EA55" s="23">
        <v>4</v>
      </c>
      <c r="EB55" s="23">
        <v>50</v>
      </c>
      <c r="EC55" s="23">
        <v>34</v>
      </c>
      <c r="ED55" s="23">
        <v>4</v>
      </c>
      <c r="EE55" s="23">
        <v>5823</v>
      </c>
      <c r="EF55" s="23">
        <v>54</v>
      </c>
      <c r="EG55" s="23">
        <v>18</v>
      </c>
      <c r="EH55" s="23">
        <v>43</v>
      </c>
      <c r="EI55" s="23">
        <v>5883</v>
      </c>
      <c r="EJ55" s="23">
        <v>0</v>
      </c>
      <c r="EK55" s="23">
        <v>461</v>
      </c>
      <c r="EL55" s="23">
        <v>1</v>
      </c>
      <c r="EM55" s="23">
        <v>0</v>
      </c>
      <c r="EN55" s="23">
        <v>0</v>
      </c>
      <c r="EO55" s="23">
        <v>7041</v>
      </c>
      <c r="EP55" s="23">
        <v>61</v>
      </c>
      <c r="EQ55" s="23">
        <v>0</v>
      </c>
      <c r="ER55" s="23">
        <v>1</v>
      </c>
      <c r="ES55" s="23">
        <v>22</v>
      </c>
      <c r="ET55" s="23">
        <v>0</v>
      </c>
      <c r="EU55" s="23">
        <v>1</v>
      </c>
      <c r="EV55" s="23">
        <v>1</v>
      </c>
      <c r="EW55" s="23">
        <v>2</v>
      </c>
      <c r="EX55" s="23">
        <v>0</v>
      </c>
      <c r="EY55" s="23">
        <v>93</v>
      </c>
      <c r="EZ55" s="23">
        <v>0</v>
      </c>
      <c r="FA55" s="23">
        <v>3</v>
      </c>
      <c r="FB55" s="23">
        <v>0</v>
      </c>
      <c r="FC55" s="23">
        <v>0</v>
      </c>
      <c r="FD55" s="23">
        <v>6</v>
      </c>
      <c r="FE55" s="23">
        <v>0</v>
      </c>
      <c r="FF55" s="23">
        <v>1</v>
      </c>
      <c r="FG55" s="23">
        <v>0</v>
      </c>
      <c r="FH55" s="23">
        <v>0</v>
      </c>
      <c r="FI55" s="23">
        <v>2</v>
      </c>
      <c r="FJ55" s="23">
        <v>0</v>
      </c>
      <c r="FK55" s="23">
        <v>1</v>
      </c>
      <c r="FL55" s="23">
        <v>0</v>
      </c>
      <c r="FM55" s="23">
        <v>0</v>
      </c>
      <c r="FN55" s="23">
        <v>0</v>
      </c>
      <c r="FO55" s="23">
        <v>188</v>
      </c>
      <c r="FP55" s="23">
        <v>5</v>
      </c>
      <c r="FQ55" s="23">
        <v>0</v>
      </c>
      <c r="FR55" s="23">
        <v>0</v>
      </c>
      <c r="FS55" s="23">
        <v>1</v>
      </c>
      <c r="FT55" s="23">
        <v>3</v>
      </c>
      <c r="FU55" s="23">
        <v>147</v>
      </c>
      <c r="FV55" s="23">
        <v>16</v>
      </c>
      <c r="FW55" s="23">
        <v>6</v>
      </c>
      <c r="FX55" s="23">
        <v>0</v>
      </c>
      <c r="FY55" s="23">
        <v>0</v>
      </c>
      <c r="FZ55" s="23">
        <v>0</v>
      </c>
      <c r="GA55" s="23">
        <v>1</v>
      </c>
      <c r="GB55" s="23">
        <v>6</v>
      </c>
      <c r="GC55" s="23">
        <v>5</v>
      </c>
      <c r="GD55" s="23">
        <v>20</v>
      </c>
      <c r="GE55" s="23">
        <v>8</v>
      </c>
      <c r="GF55" s="23">
        <v>9</v>
      </c>
      <c r="GG55" s="23">
        <v>13</v>
      </c>
      <c r="GH55" s="23">
        <v>0</v>
      </c>
      <c r="GI55" s="23">
        <v>0</v>
      </c>
      <c r="GJ55" s="23">
        <v>0</v>
      </c>
      <c r="GK55" s="23">
        <v>23</v>
      </c>
      <c r="GL55" s="23">
        <v>5</v>
      </c>
      <c r="GM55" s="23">
        <v>4</v>
      </c>
      <c r="GN55" s="23">
        <v>1</v>
      </c>
      <c r="GO55" s="23">
        <v>0</v>
      </c>
      <c r="GP55" s="23">
        <v>138</v>
      </c>
      <c r="GQ55" s="23">
        <v>1</v>
      </c>
      <c r="GR55" s="23">
        <v>7</v>
      </c>
      <c r="GS55" s="23">
        <v>0</v>
      </c>
      <c r="GT55" s="23">
        <v>1</v>
      </c>
      <c r="GU55" s="23">
        <v>500</v>
      </c>
      <c r="GV55" s="23">
        <v>1</v>
      </c>
      <c r="GW55" s="23">
        <v>0</v>
      </c>
      <c r="GX55" s="23">
        <v>0</v>
      </c>
      <c r="GY55" s="23">
        <v>161</v>
      </c>
      <c r="GZ55" s="23">
        <v>268</v>
      </c>
      <c r="HA55" s="23">
        <v>45</v>
      </c>
      <c r="HB55" s="23">
        <v>0</v>
      </c>
      <c r="HC55" s="23">
        <v>50</v>
      </c>
      <c r="HD55" s="23">
        <v>1</v>
      </c>
      <c r="HE55" s="23">
        <v>0</v>
      </c>
      <c r="HF55" s="23">
        <v>1</v>
      </c>
      <c r="HG55" s="23">
        <v>0</v>
      </c>
      <c r="HH55" s="23">
        <v>0</v>
      </c>
      <c r="HI55" s="23">
        <v>1</v>
      </c>
      <c r="HJ55" s="23">
        <v>45</v>
      </c>
      <c r="HK55" s="23">
        <v>0</v>
      </c>
      <c r="HL55" s="23">
        <v>0</v>
      </c>
      <c r="HM55" s="23">
        <v>0</v>
      </c>
      <c r="HN55" s="23">
        <v>1</v>
      </c>
      <c r="HO55" s="23">
        <v>0</v>
      </c>
      <c r="HP55" s="23">
        <v>0</v>
      </c>
      <c r="HQ55" s="23">
        <v>206</v>
      </c>
      <c r="HR55" s="23">
        <v>0</v>
      </c>
      <c r="HS55" s="23">
        <v>402</v>
      </c>
      <c r="HT55" s="23">
        <v>0</v>
      </c>
      <c r="HU55" s="23">
        <v>0</v>
      </c>
      <c r="HV55" s="23">
        <v>18</v>
      </c>
      <c r="HW55" s="23">
        <v>0</v>
      </c>
      <c r="HX55" s="23">
        <v>0</v>
      </c>
      <c r="HY55" s="23">
        <v>0</v>
      </c>
      <c r="HZ55" s="23">
        <v>0</v>
      </c>
      <c r="IA55" s="23">
        <v>0</v>
      </c>
      <c r="IB55" s="23">
        <v>0</v>
      </c>
      <c r="IC55" s="23">
        <v>0</v>
      </c>
      <c r="ID55" s="23">
        <v>0</v>
      </c>
      <c r="IE55" s="23">
        <v>0</v>
      </c>
      <c r="IF55" s="23">
        <v>0</v>
      </c>
      <c r="IG55" s="23">
        <v>0</v>
      </c>
      <c r="IH55" s="23">
        <v>0</v>
      </c>
      <c r="II55" s="23">
        <v>16</v>
      </c>
      <c r="IJ55" s="23">
        <v>0</v>
      </c>
      <c r="IK55" s="23">
        <v>0</v>
      </c>
      <c r="IL55" s="23">
        <v>0</v>
      </c>
      <c r="IM55" s="23">
        <v>0</v>
      </c>
      <c r="IN55" s="23">
        <v>0</v>
      </c>
      <c r="IO55" s="23">
        <v>0</v>
      </c>
      <c r="IP55" s="23">
        <v>0</v>
      </c>
      <c r="IQ55" s="23">
        <v>0</v>
      </c>
      <c r="IR55" s="23">
        <v>0</v>
      </c>
      <c r="IS55" s="23">
        <v>0</v>
      </c>
      <c r="IT55" s="23">
        <v>0</v>
      </c>
      <c r="IU55" s="23">
        <v>0</v>
      </c>
      <c r="IV55" s="23">
        <v>0</v>
      </c>
      <c r="IW55" s="23">
        <v>0</v>
      </c>
      <c r="IX55" s="23">
        <v>0</v>
      </c>
      <c r="IY55" s="23">
        <v>0</v>
      </c>
      <c r="IZ55" s="23">
        <v>0</v>
      </c>
      <c r="JA55" s="23">
        <v>0</v>
      </c>
      <c r="JB55" s="23">
        <v>0</v>
      </c>
      <c r="JC55" s="23">
        <v>0</v>
      </c>
      <c r="JD55" s="23">
        <v>0</v>
      </c>
      <c r="JE55" s="23">
        <v>0</v>
      </c>
      <c r="JF55" s="23">
        <v>0</v>
      </c>
      <c r="JG55" s="23">
        <v>0</v>
      </c>
      <c r="JH55" s="23">
        <v>0</v>
      </c>
      <c r="JI55" s="23">
        <v>0</v>
      </c>
      <c r="JJ55" s="23">
        <v>0</v>
      </c>
      <c r="JK55" s="23">
        <v>0</v>
      </c>
      <c r="JL55" s="23">
        <v>0</v>
      </c>
      <c r="JM55" s="23">
        <v>0</v>
      </c>
      <c r="JN55" s="23">
        <v>0</v>
      </c>
      <c r="JO55" s="23">
        <v>4</v>
      </c>
      <c r="JP55" s="23">
        <v>0</v>
      </c>
      <c r="JQ55" s="23">
        <v>81</v>
      </c>
      <c r="JR55" s="23">
        <v>7</v>
      </c>
      <c r="JS55" s="23">
        <v>0</v>
      </c>
      <c r="JT55" s="23">
        <v>0</v>
      </c>
      <c r="JU55" s="23">
        <v>0</v>
      </c>
      <c r="JV55" s="23">
        <v>7</v>
      </c>
      <c r="JW55" s="23">
        <v>5</v>
      </c>
      <c r="JX55" s="23">
        <v>1</v>
      </c>
      <c r="JY55" s="23">
        <v>0</v>
      </c>
      <c r="JZ55" s="23">
        <v>6</v>
      </c>
      <c r="KA55" s="23">
        <v>1</v>
      </c>
      <c r="KB55" s="23">
        <v>0</v>
      </c>
      <c r="KC55" s="23">
        <v>0</v>
      </c>
      <c r="KD55" s="23">
        <v>1</v>
      </c>
      <c r="KE55" s="23">
        <v>0</v>
      </c>
      <c r="KF55" s="23">
        <v>0</v>
      </c>
      <c r="KG55" s="23">
        <v>3</v>
      </c>
      <c r="KH55" s="23">
        <v>6</v>
      </c>
      <c r="KI55" s="23">
        <v>0</v>
      </c>
      <c r="KJ55" s="23">
        <v>1</v>
      </c>
      <c r="KK55" s="23">
        <v>0</v>
      </c>
      <c r="KL55" s="23">
        <v>0</v>
      </c>
      <c r="KM55" s="23">
        <v>0</v>
      </c>
      <c r="KN55" s="23">
        <v>1</v>
      </c>
      <c r="KO55" s="23">
        <v>2</v>
      </c>
      <c r="KP55" s="23">
        <v>2</v>
      </c>
      <c r="KQ55" s="23">
        <v>4</v>
      </c>
      <c r="KR55" s="23">
        <v>0</v>
      </c>
      <c r="KS55" s="23">
        <v>76</v>
      </c>
      <c r="KT55" s="23">
        <v>2</v>
      </c>
      <c r="KU55" s="23">
        <v>0</v>
      </c>
      <c r="KV55" s="23">
        <v>0</v>
      </c>
      <c r="KW55" s="23">
        <v>1</v>
      </c>
      <c r="KX55" s="23">
        <v>6</v>
      </c>
      <c r="KY55" s="23">
        <v>2</v>
      </c>
      <c r="KZ55" s="23">
        <v>3</v>
      </c>
      <c r="LA55" s="23">
        <v>2</v>
      </c>
      <c r="LB55" s="23">
        <v>0</v>
      </c>
      <c r="LC55" s="23">
        <v>1</v>
      </c>
      <c r="LD55" s="23">
        <v>8</v>
      </c>
      <c r="LE55" s="23">
        <v>1</v>
      </c>
      <c r="LF55" s="23">
        <v>0</v>
      </c>
      <c r="LG55" s="23">
        <v>0</v>
      </c>
      <c r="LH55" s="23">
        <v>102</v>
      </c>
      <c r="LI55" s="23">
        <v>0</v>
      </c>
      <c r="LJ55" s="23">
        <v>0</v>
      </c>
      <c r="LK55" s="23">
        <v>0</v>
      </c>
      <c r="LL55" s="23">
        <v>0</v>
      </c>
      <c r="LM55" s="23">
        <v>0</v>
      </c>
      <c r="LN55" s="278">
        <f ca="1">$A55 - TST!Sweden100dt + 1</f>
        <v>1</v>
      </c>
      <c r="LO55" s="20">
        <f ca="1">INDEX(OFFSET(TST!HeadRow,ROW()-ROW(TST!HeadRow),0,1,COLUMNS(TST!HeadRow)),1,MATCH(LO$5,TST!HeadRow,0))/LO$8</f>
        <v>157.38025415444773</v>
      </c>
      <c r="LP55" s="278">
        <f ca="1">$A55 - TST!Spain100dt + 1</f>
        <v>1</v>
      </c>
      <c r="LQ55" s="20">
        <f ca="1">INDEX(OFFSET(TST!HeadRow,ROW()-ROW(TST!HeadRow),0,1,COLUMNS(TST!HeadRow)),1,MATCH(LQ$5,TST!HeadRow,0))/LQ$8</f>
        <v>106.51896037494674</v>
      </c>
      <c r="LR55" s="285">
        <f ca="1">$A55 - TST!Victoria100dt + 1</f>
        <v>-8</v>
      </c>
      <c r="LS55" s="20">
        <f ca="1">INDEX(OFFSET(TST!HeadRow,ROW()-ROW(TST!HeadRow),0,1,COLUMNS(TST!HeadRow)),1,MATCH(LS$5,TST!HeadRow,0))/LS$8</f>
        <v>16.59375471413486</v>
      </c>
      <c r="LT55" s="278">
        <f ca="1">$A55 - TST!Iran100dt + 1</f>
        <v>7</v>
      </c>
      <c r="LU55" s="20">
        <f ca="1">INDEX(OFFSET(TST!HeadRow,ROW()-ROW(TST!HeadRow),0,1,COLUMNS(TST!HeadRow)),1,MATCH(LU$5,TST!HeadRow,0))/LU$8</f>
        <v>695.09269096248192</v>
      </c>
      <c r="LV55" s="278">
        <f ca="1">$A55 - TST!Japan100dt + 1</f>
        <v>-17</v>
      </c>
      <c r="LW55" s="20">
        <f ca="1">INDEX(OFFSET(TST!HeadRow,ROW()-ROW(TST!HeadRow),0,1,COLUMNS(TST!HeadRow)),1,MATCH(LW$5,TST!HeadRow,0))/LW$8</f>
        <v>36.427079391428826</v>
      </c>
      <c r="LX55" s="278">
        <f ca="1">$A55 - TST!Queensland100dt + 1</f>
        <v>-7</v>
      </c>
      <c r="LY55" s="20">
        <f ca="1">INDEX(OFFSET(TST!HeadRow,ROW()-ROW(TST!HeadRow),0,1,COLUMNS(TST!HeadRow)),1,MATCH(LY$5,TST!HeadRow,0))/LY$8</f>
        <v>25.413204036164164</v>
      </c>
      <c r="LZ55" s="278">
        <f ca="1">$A55 - TST!Tasmania100dt + 1</f>
        <v>-7</v>
      </c>
      <c r="MA55" s="20">
        <f ca="1">INDEX(OFFSET(TST!HeadRow,ROW()-ROW(TST!HeadRow),0,1,COLUMNS(TST!HeadRow)),1,MATCH(MA$5,TST!HeadRow,0))/MA$8</f>
        <v>19.417475728155342</v>
      </c>
      <c r="MB55" s="278">
        <f ca="1">$A55 - TST!SouthAustralia100dt + 1</f>
        <v>-6</v>
      </c>
      <c r="MC55" s="20">
        <f ca="1">INDEX(OFFSET(TST!HeadRow,ROW()-ROW(TST!HeadRow),0,1,COLUMNS(TST!HeadRow)),1,MATCH(MC$5,TST!HeadRow,0))/MC$8</f>
        <v>41.91616766467066</v>
      </c>
      <c r="MD55" s="278">
        <f ca="1">$A55 - TST!AustralianCapitalTerritory100dt + 1</f>
        <v>-12</v>
      </c>
      <c r="ME55" s="20">
        <f ca="1">INDEX(OFFSET(TST!HeadRow,ROW()-ROW(TST!HeadRow),0,1,COLUMNS(TST!HeadRow)),1,MATCH(ME$5,TST!HeadRow,0))/ME$8</f>
        <v>0</v>
      </c>
      <c r="MF55" s="278">
        <f ca="1">$A55 - TST!NorthernTerritory100dt + 1</f>
        <v>-12</v>
      </c>
      <c r="MG55" s="20">
        <f ca="1">INDEX(OFFSET(TST!HeadRow,ROW()-ROW(TST!HeadRow),0,1,COLUMNS(TST!HeadRow)),1,MATCH(MG$5,TST!HeadRow,0))/MG$8</f>
        <v>0</v>
      </c>
      <c r="MH55" s="278">
        <f ca="1">$A55 - TST!WesternAustralia100dt + 1</f>
        <v>-8</v>
      </c>
      <c r="MI55" s="20">
        <f ca="1">INDEX(OFFSET(TST!HeadRow,ROW()-ROW(TST!HeadRow),0,1,COLUMNS(TST!HeadRow)),1,MATCH(MI$5,TST!HeadRow,0))/MI$8</f>
        <v>11.587485515643104</v>
      </c>
      <c r="MJ55" s="278">
        <f ca="1">$A55 - TST!Germany100dt + 1</f>
        <v>0</v>
      </c>
      <c r="MK55" s="20">
        <f ca="1">INDEX(OFFSET(TST!HeadRow,ROW()-ROW(TST!HeadRow),0,1,COLUMNS(TST!HeadRow)),1,MATCH(MK$5,TST!HeadRow,0))/MK$8</f>
        <v>96.241869429053239</v>
      </c>
      <c r="ML55" s="278">
        <f ca="1">$A55 - TST!Denmark100dt + 1</f>
        <v>-1</v>
      </c>
      <c r="MM55" s="20">
        <f ca="1">INDEX(OFFSET(TST!HeadRow,ROW()-ROW(TST!HeadRow),0,1,COLUMNS(TST!HeadRow)),1,MATCH(MM$5,TST!HeadRow,0))/MM$8</f>
        <v>39.614192214950052</v>
      </c>
      <c r="MN55" s="278">
        <f ca="1">$A55 - TST!SouthAfrica100dt + 1</f>
        <v>-17</v>
      </c>
      <c r="MO55" s="20">
        <f ca="1">INDEX(OFFSET(TST!HeadRow,ROW()-ROW(TST!HeadRow),0,1,COLUMNS(TST!HeadRow)),1,MATCH(MO$5,TST!HeadRow,0))/MO$8</f>
        <v>0.17307026652821048</v>
      </c>
      <c r="MP55" s="278">
        <f ca="1">$A55 - TST!UnitedKingdom100dt + 1</f>
        <v>-5</v>
      </c>
      <c r="MQ55" s="20">
        <f ca="1">INDEX(OFFSET(TST!HeadRow,ROW()-ROW(TST!HeadRow),0,1,COLUMNS(TST!HeadRow)),1,MATCH(MQ$5,TST!HeadRow,0))/MQ$8</f>
        <v>31.005418422636964</v>
      </c>
      <c r="MR55" s="278">
        <f ca="1">$A55 - TST!Ireland100dt + 1</f>
        <v>-5</v>
      </c>
      <c r="MS55" s="20">
        <f ca="1">INDEX(OFFSET(TST!HeadRow,ROW()-ROW(TST!HeadRow),0,1,COLUMNS(TST!HeadRow)),1,MATCH(MS$5,TST!HeadRow,0))/MS$8</f>
        <v>36.734693877551024</v>
      </c>
      <c r="MT55" s="278">
        <f ca="1">$A55 - TST!Italy100dt + 1</f>
        <v>10</v>
      </c>
      <c r="MU55" s="20">
        <f ca="1">INDEX(OFFSET(TST!HeadRow,ROW()-ROW(TST!HeadRow),0,1,COLUMNS(TST!HeadRow)),1,MATCH(MU$5,TST!HeadRow,0))/MU$8</f>
        <v>972.63784409357697</v>
      </c>
      <c r="MV55" s="278">
        <f ca="1">$A55 - TST!US100dt + 1</f>
        <v>-7</v>
      </c>
      <c r="MW55" s="20">
        <f ca="1">INDEX(OFFSET(TST!HeadRow,ROW()-ROW(TST!HeadRow),0,1,COLUMNS(TST!HeadRow)),1,MATCH(MW$5,TST!HeadRow,0))/MW$8</f>
        <v>12.210392498328499</v>
      </c>
      <c r="MX55" s="278">
        <f ca="1">$A55 - TST!AustraliaSum100dt + 1</f>
        <v>-7</v>
      </c>
      <c r="MY55" s="366">
        <f t="shared" si="8"/>
        <v>24.838353571991799</v>
      </c>
      <c r="MZ55" s="278">
        <f ca="1">$A55 - TST!NewSouthWales100dt + 1</f>
        <v>-5</v>
      </c>
      <c r="NA55" s="366">
        <f ca="1">INDEX(OFFSET(TST!HeadRow,ROW()-ROW(TST!HeadRow),0,1,COLUMNS(TST!HeadRow)),1,MATCH(NA$5,TST!HeadRow,0))/NA$8</f>
        <v>34.653465346534652</v>
      </c>
      <c r="NB55" s="278">
        <f ca="1">$A55 - TST!Taiwan100dt + 1</f>
        <v>-18</v>
      </c>
      <c r="NC55" s="366">
        <f ca="1">INDEX(OFFSET(TST!HeadRow,ROW()-ROW(TST!HeadRow),0,1,COLUMNS(TST!HeadRow)),1,MATCH(NC$5,TST!HeadRow,0))/NC$8</f>
        <v>18.901779715970935</v>
      </c>
      <c r="ND55" s="20">
        <f ca="1">$A55 - TST!Hubei100dt + 1</f>
        <v>43</v>
      </c>
      <c r="NE55" s="20">
        <f ca="1">INDEX(OFFSET(TST!HeadRow,ROW()-ROW(TST!HeadRow),0,1,COLUMNS(TST!HeadRow)),1,MATCH(NE$5,TST!HeadRow,0))/NE$8</f>
        <v>11566.837606837607</v>
      </c>
      <c r="NF55" s="20">
        <f ca="1">$A55 - TST!HongKong100dt + 1</f>
        <v>13</v>
      </c>
      <c r="NG55" s="20">
        <f ca="1">INDEX(OFFSET(TST!HeadRow,ROW()-ROW(TST!HeadRow),0,1,COLUMNS(TST!HeadRow)),1,MATCH(NG$5,TST!HeadRow,0))/NG$8</f>
        <v>144.94698698161321</v>
      </c>
    </row>
    <row r="56" spans="1:371" x14ac:dyDescent="0.25">
      <c r="A56" s="243">
        <v>43898</v>
      </c>
      <c r="B56" s="23">
        <v>4</v>
      </c>
      <c r="C56" s="23">
        <v>0</v>
      </c>
      <c r="D56" s="23">
        <v>19</v>
      </c>
      <c r="E56" s="23">
        <v>1</v>
      </c>
      <c r="F56" s="23">
        <v>0</v>
      </c>
      <c r="G56" s="23">
        <v>0</v>
      </c>
      <c r="H56" s="23">
        <v>12</v>
      </c>
      <c r="I56" s="23">
        <v>1</v>
      </c>
      <c r="J56" s="23">
        <v>0</v>
      </c>
      <c r="K56" s="293">
        <v>38</v>
      </c>
      <c r="L56" s="23">
        <v>0</v>
      </c>
      <c r="M56" s="290">
        <v>15</v>
      </c>
      <c r="N56" s="23">
        <v>7</v>
      </c>
      <c r="O56" s="384">
        <v>2</v>
      </c>
      <c r="P56" s="287">
        <v>11</v>
      </c>
      <c r="Q56" s="23">
        <v>3</v>
      </c>
      <c r="R56" s="23">
        <v>104</v>
      </c>
      <c r="S56" s="23">
        <v>9</v>
      </c>
      <c r="T56" s="23">
        <v>0</v>
      </c>
      <c r="U56" s="23">
        <v>85</v>
      </c>
      <c r="V56" s="23">
        <v>3</v>
      </c>
      <c r="W56" s="23">
        <v>0</v>
      </c>
      <c r="X56" s="23">
        <v>6</v>
      </c>
      <c r="Y56" s="23">
        <v>200</v>
      </c>
      <c r="Z56" s="23">
        <v>0</v>
      </c>
      <c r="AA56" s="23">
        <v>1</v>
      </c>
      <c r="AB56" s="23">
        <v>0</v>
      </c>
      <c r="AC56" s="23">
        <v>3</v>
      </c>
      <c r="AD56" s="23">
        <v>20</v>
      </c>
      <c r="AE56" s="23">
        <v>0</v>
      </c>
      <c r="AF56" s="23">
        <v>4</v>
      </c>
      <c r="AG56" s="23">
        <v>0</v>
      </c>
      <c r="AH56" s="23">
        <v>0</v>
      </c>
      <c r="AI56" s="23">
        <v>2</v>
      </c>
      <c r="AJ56" s="23">
        <v>2</v>
      </c>
      <c r="AK56" s="23">
        <v>4</v>
      </c>
      <c r="AL56" s="23">
        <v>27</v>
      </c>
      <c r="AM56" s="23">
        <v>0</v>
      </c>
      <c r="AN56" s="23">
        <v>0</v>
      </c>
      <c r="AO56" s="23">
        <v>0</v>
      </c>
      <c r="AP56" s="23">
        <v>0</v>
      </c>
      <c r="AQ56" s="23">
        <v>0</v>
      </c>
      <c r="AR56" s="23">
        <v>29</v>
      </c>
      <c r="AS56" s="23">
        <v>0</v>
      </c>
      <c r="AT56" s="23">
        <v>4</v>
      </c>
      <c r="AU56" s="23">
        <v>0</v>
      </c>
      <c r="AV56" s="23">
        <v>0</v>
      </c>
      <c r="AW56" s="23">
        <v>0</v>
      </c>
      <c r="AX56" s="23">
        <v>8</v>
      </c>
      <c r="AY56" s="23">
        <v>990</v>
      </c>
      <c r="AZ56" s="23">
        <v>428</v>
      </c>
      <c r="BA56" s="23">
        <v>576</v>
      </c>
      <c r="BB56" s="23">
        <v>296</v>
      </c>
      <c r="BC56" s="23">
        <v>124</v>
      </c>
      <c r="BD56" s="23">
        <v>1352</v>
      </c>
      <c r="BE56" s="23">
        <v>252</v>
      </c>
      <c r="BF56" s="23">
        <v>146</v>
      </c>
      <c r="BG56" s="23">
        <v>168</v>
      </c>
      <c r="BH56" s="23">
        <v>318</v>
      </c>
      <c r="BI56" s="23">
        <v>481</v>
      </c>
      <c r="BJ56" s="23">
        <v>1272</v>
      </c>
      <c r="BK56" s="23">
        <v>114</v>
      </c>
      <c r="BL56" s="23">
        <v>67707</v>
      </c>
      <c r="BM56" s="23">
        <v>1018</v>
      </c>
      <c r="BN56" s="23">
        <v>75</v>
      </c>
      <c r="BO56" s="23">
        <v>631</v>
      </c>
      <c r="BP56" s="23">
        <v>935</v>
      </c>
      <c r="BQ56" s="23">
        <v>93</v>
      </c>
      <c r="BR56" s="23">
        <v>125</v>
      </c>
      <c r="BS56" s="23">
        <v>10</v>
      </c>
      <c r="BT56" s="23">
        <v>75</v>
      </c>
      <c r="BU56" s="23">
        <v>18</v>
      </c>
      <c r="BV56" s="23">
        <v>245</v>
      </c>
      <c r="BW56" s="23">
        <v>758</v>
      </c>
      <c r="BX56" s="23">
        <v>342</v>
      </c>
      <c r="BY56" s="23">
        <v>133</v>
      </c>
      <c r="BZ56" s="23">
        <v>539</v>
      </c>
      <c r="CA56" s="23">
        <v>136</v>
      </c>
      <c r="CB56" s="23">
        <v>1</v>
      </c>
      <c r="CC56" s="23">
        <v>76</v>
      </c>
      <c r="CD56" s="23">
        <v>174</v>
      </c>
      <c r="CE56" s="23">
        <v>1215</v>
      </c>
      <c r="CF56" s="23">
        <v>1</v>
      </c>
      <c r="CG56" s="23">
        <v>0</v>
      </c>
      <c r="CH56" s="23">
        <v>0</v>
      </c>
      <c r="CI56" s="23">
        <v>5</v>
      </c>
      <c r="CJ56" s="23">
        <v>0</v>
      </c>
      <c r="CK56" s="23">
        <v>12</v>
      </c>
      <c r="CL56" s="23">
        <v>706</v>
      </c>
      <c r="CM56" s="23">
        <v>0</v>
      </c>
      <c r="CN56" s="23">
        <v>0</v>
      </c>
      <c r="CO56" s="23">
        <v>31</v>
      </c>
      <c r="CP56" s="23">
        <v>2</v>
      </c>
      <c r="CQ56" s="23">
        <v>0</v>
      </c>
      <c r="CR56" s="23">
        <v>35</v>
      </c>
      <c r="CS56" s="23">
        <v>0</v>
      </c>
      <c r="CT56" s="23">
        <v>5</v>
      </c>
      <c r="CU56" s="23">
        <v>14</v>
      </c>
      <c r="CV56" s="23">
        <v>49</v>
      </c>
      <c r="CW56" s="23">
        <v>0</v>
      </c>
      <c r="CX56" s="23">
        <v>0</v>
      </c>
      <c r="CY56" s="23">
        <v>0</v>
      </c>
      <c r="CZ56" s="23">
        <v>10</v>
      </c>
      <c r="DA56" s="23">
        <v>0</v>
      </c>
      <c r="DB56" s="23">
        <v>0</v>
      </c>
      <c r="DC56" s="23">
        <v>0</v>
      </c>
      <c r="DD56" s="23">
        <v>23</v>
      </c>
      <c r="DE56" s="23">
        <v>5</v>
      </c>
      <c r="DF56" s="23">
        <v>0</v>
      </c>
      <c r="DG56" s="23">
        <v>0</v>
      </c>
      <c r="DH56" s="23">
        <v>0</v>
      </c>
      <c r="DI56" s="23">
        <v>0</v>
      </c>
      <c r="DJ56" s="23">
        <v>0</v>
      </c>
      <c r="DK56" s="23">
        <v>3</v>
      </c>
      <c r="DL56" s="23">
        <v>0</v>
      </c>
      <c r="DM56" s="23">
        <v>2</v>
      </c>
      <c r="DN56" s="23">
        <v>1126</v>
      </c>
      <c r="DO56" s="23">
        <v>0</v>
      </c>
      <c r="DP56" s="23">
        <v>0</v>
      </c>
      <c r="DQ56" s="23">
        <v>13</v>
      </c>
      <c r="DR56" s="23">
        <v>1040</v>
      </c>
      <c r="DS56" s="23">
        <v>0</v>
      </c>
      <c r="DT56" s="23">
        <v>73</v>
      </c>
      <c r="DU56" s="23">
        <v>0</v>
      </c>
      <c r="DV56" s="23">
        <v>0</v>
      </c>
      <c r="DW56" s="23">
        <v>0</v>
      </c>
      <c r="DX56" s="23">
        <v>0</v>
      </c>
      <c r="DY56" s="23">
        <v>1</v>
      </c>
      <c r="DZ56" s="23">
        <v>0</v>
      </c>
      <c r="EA56" s="23">
        <v>7</v>
      </c>
      <c r="EB56" s="23">
        <v>50</v>
      </c>
      <c r="EC56" s="23">
        <v>39</v>
      </c>
      <c r="ED56" s="23">
        <v>6</v>
      </c>
      <c r="EE56" s="23">
        <v>6566</v>
      </c>
      <c r="EF56" s="23">
        <v>60</v>
      </c>
      <c r="EG56" s="23">
        <v>19</v>
      </c>
      <c r="EH56" s="23">
        <v>61</v>
      </c>
      <c r="EI56" s="23">
        <v>7375</v>
      </c>
      <c r="EJ56" s="23">
        <v>0</v>
      </c>
      <c r="EK56" s="23">
        <v>502</v>
      </c>
      <c r="EL56" s="23">
        <v>1</v>
      </c>
      <c r="EM56" s="23">
        <v>0</v>
      </c>
      <c r="EN56" s="23">
        <v>0</v>
      </c>
      <c r="EO56" s="23">
        <v>7314</v>
      </c>
      <c r="EP56" s="23">
        <v>64</v>
      </c>
      <c r="EQ56" s="23">
        <v>0</v>
      </c>
      <c r="ER56" s="23">
        <v>2</v>
      </c>
      <c r="ES56" s="23">
        <v>32</v>
      </c>
      <c r="ET56" s="23">
        <v>0</v>
      </c>
      <c r="EU56" s="23">
        <v>1</v>
      </c>
      <c r="EV56" s="23">
        <v>1</v>
      </c>
      <c r="EW56" s="23">
        <v>3</v>
      </c>
      <c r="EX56" s="23">
        <v>0</v>
      </c>
      <c r="EY56" s="23">
        <v>99</v>
      </c>
      <c r="EZ56" s="23">
        <v>4</v>
      </c>
      <c r="FA56" s="23">
        <v>3</v>
      </c>
      <c r="FB56" s="23">
        <v>0</v>
      </c>
      <c r="FC56" s="23">
        <v>0</v>
      </c>
      <c r="FD56" s="23">
        <v>7</v>
      </c>
      <c r="FE56" s="23">
        <v>1</v>
      </c>
      <c r="FF56" s="23">
        <v>1</v>
      </c>
      <c r="FG56" s="23">
        <v>0</v>
      </c>
      <c r="FH56" s="23">
        <v>0</v>
      </c>
      <c r="FI56" s="23">
        <v>2</v>
      </c>
      <c r="FJ56" s="23">
        <v>0</v>
      </c>
      <c r="FK56" s="23">
        <v>1</v>
      </c>
      <c r="FL56" s="23">
        <v>0</v>
      </c>
      <c r="FM56" s="23">
        <v>0</v>
      </c>
      <c r="FN56" s="23">
        <v>0</v>
      </c>
      <c r="FO56" s="23">
        <v>265</v>
      </c>
      <c r="FP56" s="23">
        <v>5</v>
      </c>
      <c r="FQ56" s="23">
        <v>0</v>
      </c>
      <c r="FR56" s="23">
        <v>0</v>
      </c>
      <c r="FS56" s="23">
        <v>1</v>
      </c>
      <c r="FT56" s="23">
        <v>3</v>
      </c>
      <c r="FU56" s="23">
        <v>176</v>
      </c>
      <c r="FV56" s="23">
        <v>16</v>
      </c>
      <c r="FW56" s="23">
        <v>6</v>
      </c>
      <c r="FX56" s="23">
        <v>0</v>
      </c>
      <c r="FY56" s="23">
        <v>0</v>
      </c>
      <c r="FZ56" s="23">
        <v>1</v>
      </c>
      <c r="GA56" s="23">
        <v>6</v>
      </c>
      <c r="GB56" s="23">
        <v>10</v>
      </c>
      <c r="GC56" s="23">
        <v>11</v>
      </c>
      <c r="GD56" s="23">
        <v>30</v>
      </c>
      <c r="GE56" s="23">
        <v>15</v>
      </c>
      <c r="GF56" s="23">
        <v>15</v>
      </c>
      <c r="GG56" s="23">
        <v>17</v>
      </c>
      <c r="GH56" s="23">
        <v>0</v>
      </c>
      <c r="GI56" s="23">
        <v>0</v>
      </c>
      <c r="GJ56" s="23">
        <v>0</v>
      </c>
      <c r="GK56" s="23">
        <v>36</v>
      </c>
      <c r="GL56" s="23">
        <v>11</v>
      </c>
      <c r="GM56" s="23">
        <v>4</v>
      </c>
      <c r="GN56" s="23">
        <v>1</v>
      </c>
      <c r="GO56" s="23">
        <v>0</v>
      </c>
      <c r="GP56" s="23">
        <v>150</v>
      </c>
      <c r="GQ56" s="23">
        <v>3</v>
      </c>
      <c r="GR56" s="23">
        <v>16</v>
      </c>
      <c r="GS56" s="23">
        <v>0</v>
      </c>
      <c r="GT56" s="23">
        <v>3</v>
      </c>
      <c r="GU56" s="23">
        <v>673</v>
      </c>
      <c r="GV56" s="23">
        <v>1</v>
      </c>
      <c r="GW56" s="23">
        <v>0</v>
      </c>
      <c r="GX56" s="23">
        <v>0</v>
      </c>
      <c r="GY56" s="23">
        <v>203</v>
      </c>
      <c r="GZ56" s="23">
        <v>337</v>
      </c>
      <c r="HA56" s="23">
        <v>45</v>
      </c>
      <c r="HB56" s="23">
        <v>0</v>
      </c>
      <c r="HC56" s="23">
        <v>50</v>
      </c>
      <c r="HD56" s="23">
        <v>1</v>
      </c>
      <c r="HE56" s="23">
        <v>0</v>
      </c>
      <c r="HF56" s="23">
        <v>2</v>
      </c>
      <c r="HG56" s="23">
        <v>0</v>
      </c>
      <c r="HH56" s="23">
        <v>0</v>
      </c>
      <c r="HI56" s="23">
        <v>1</v>
      </c>
      <c r="HJ56" s="23">
        <v>45</v>
      </c>
      <c r="HK56" s="23">
        <v>0</v>
      </c>
      <c r="HL56" s="23">
        <v>0</v>
      </c>
      <c r="HM56" s="23">
        <v>0</v>
      </c>
      <c r="HN56" s="23">
        <v>1</v>
      </c>
      <c r="HO56" s="23">
        <v>0</v>
      </c>
      <c r="HP56" s="23">
        <v>0</v>
      </c>
      <c r="HQ56" s="23">
        <v>273</v>
      </c>
      <c r="HR56" s="23">
        <v>0</v>
      </c>
      <c r="HS56" s="23">
        <v>518</v>
      </c>
      <c r="HT56" s="23">
        <v>0</v>
      </c>
      <c r="HU56" s="23">
        <v>0</v>
      </c>
      <c r="HV56" s="23">
        <v>30</v>
      </c>
      <c r="HW56" s="23">
        <v>0</v>
      </c>
      <c r="HX56" s="23">
        <v>0</v>
      </c>
      <c r="HY56" s="23">
        <v>0</v>
      </c>
      <c r="HZ56" s="23">
        <v>0</v>
      </c>
      <c r="IA56" s="23">
        <v>0</v>
      </c>
      <c r="IB56" s="23">
        <v>0</v>
      </c>
      <c r="IC56" s="23">
        <v>0</v>
      </c>
      <c r="ID56" s="23">
        <v>0</v>
      </c>
      <c r="IE56" s="23">
        <v>0</v>
      </c>
      <c r="IF56" s="23">
        <v>0</v>
      </c>
      <c r="IG56" s="23">
        <v>0</v>
      </c>
      <c r="IH56" s="23">
        <v>0</v>
      </c>
      <c r="II56" s="23">
        <v>16</v>
      </c>
      <c r="IJ56" s="23">
        <v>0</v>
      </c>
      <c r="IK56" s="23">
        <v>0</v>
      </c>
      <c r="IL56" s="23">
        <v>0</v>
      </c>
      <c r="IM56" s="23">
        <v>0</v>
      </c>
      <c r="IN56" s="23">
        <v>0</v>
      </c>
      <c r="IO56" s="23">
        <v>0</v>
      </c>
      <c r="IP56" s="23">
        <v>0</v>
      </c>
      <c r="IQ56" s="23">
        <v>0</v>
      </c>
      <c r="IR56" s="23">
        <v>0</v>
      </c>
      <c r="IS56" s="23">
        <v>0</v>
      </c>
      <c r="IT56" s="23">
        <v>0</v>
      </c>
      <c r="IU56" s="23">
        <v>0</v>
      </c>
      <c r="IV56" s="23">
        <v>0</v>
      </c>
      <c r="IW56" s="23">
        <v>0</v>
      </c>
      <c r="IX56" s="23">
        <v>0</v>
      </c>
      <c r="IY56" s="23">
        <v>0</v>
      </c>
      <c r="IZ56" s="23">
        <v>0</v>
      </c>
      <c r="JA56" s="23">
        <v>0</v>
      </c>
      <c r="JB56" s="23">
        <v>0</v>
      </c>
      <c r="JC56" s="23">
        <v>0</v>
      </c>
      <c r="JD56" s="23">
        <v>0</v>
      </c>
      <c r="JE56" s="23">
        <v>0</v>
      </c>
      <c r="JF56" s="23">
        <v>0</v>
      </c>
      <c r="JG56" s="23">
        <v>0</v>
      </c>
      <c r="JH56" s="23">
        <v>0</v>
      </c>
      <c r="JI56" s="23">
        <v>0</v>
      </c>
      <c r="JJ56" s="23">
        <v>0</v>
      </c>
      <c r="JK56" s="23">
        <v>0</v>
      </c>
      <c r="JL56" s="23">
        <v>0</v>
      </c>
      <c r="JM56" s="23">
        <v>0</v>
      </c>
      <c r="JN56" s="23">
        <v>0</v>
      </c>
      <c r="JO56" s="23">
        <v>4</v>
      </c>
      <c r="JP56" s="23">
        <v>0</v>
      </c>
      <c r="JQ56" s="23">
        <v>95</v>
      </c>
      <c r="JR56" s="23">
        <v>7</v>
      </c>
      <c r="JS56" s="23">
        <v>0</v>
      </c>
      <c r="JT56" s="23">
        <v>0</v>
      </c>
      <c r="JU56" s="23">
        <v>0</v>
      </c>
      <c r="JV56" s="23">
        <v>10</v>
      </c>
      <c r="JW56" s="23">
        <v>5</v>
      </c>
      <c r="JX56" s="23">
        <v>1</v>
      </c>
      <c r="JY56" s="23">
        <v>0</v>
      </c>
      <c r="JZ56" s="23">
        <v>7</v>
      </c>
      <c r="KA56" s="23">
        <v>2</v>
      </c>
      <c r="KB56" s="23">
        <v>0</v>
      </c>
      <c r="KC56" s="23">
        <v>1</v>
      </c>
      <c r="KD56" s="23">
        <v>1</v>
      </c>
      <c r="KE56" s="23">
        <v>0</v>
      </c>
      <c r="KF56" s="23">
        <v>0</v>
      </c>
      <c r="KG56" s="23">
        <v>5</v>
      </c>
      <c r="KH56" s="23">
        <v>22</v>
      </c>
      <c r="KI56" s="23">
        <v>0</v>
      </c>
      <c r="KJ56" s="23">
        <v>1</v>
      </c>
      <c r="KK56" s="23">
        <v>0</v>
      </c>
      <c r="KL56" s="23">
        <v>1</v>
      </c>
      <c r="KM56" s="23">
        <v>0</v>
      </c>
      <c r="KN56" s="23">
        <v>1</v>
      </c>
      <c r="KO56" s="23">
        <v>4</v>
      </c>
      <c r="KP56" s="23">
        <v>4</v>
      </c>
      <c r="KQ56" s="23">
        <v>5</v>
      </c>
      <c r="KR56" s="23">
        <v>0</v>
      </c>
      <c r="KS56" s="23">
        <v>106</v>
      </c>
      <c r="KT56" s="23">
        <v>2</v>
      </c>
      <c r="KU56" s="23">
        <v>0</v>
      </c>
      <c r="KV56" s="23">
        <v>0</v>
      </c>
      <c r="KW56" s="23">
        <v>1</v>
      </c>
      <c r="KX56" s="23">
        <v>14</v>
      </c>
      <c r="KY56" s="23">
        <v>6</v>
      </c>
      <c r="KZ56" s="23">
        <v>3</v>
      </c>
      <c r="LA56" s="23">
        <v>2</v>
      </c>
      <c r="LB56" s="23">
        <v>0</v>
      </c>
      <c r="LC56" s="23">
        <v>3</v>
      </c>
      <c r="LD56" s="23">
        <v>11</v>
      </c>
      <c r="LE56" s="23">
        <v>1</v>
      </c>
      <c r="LF56" s="23">
        <v>1</v>
      </c>
      <c r="LG56" s="23">
        <v>2</v>
      </c>
      <c r="LH56" s="23">
        <v>122</v>
      </c>
      <c r="LI56" s="23">
        <v>0</v>
      </c>
      <c r="LJ56" s="23">
        <v>0</v>
      </c>
      <c r="LK56" s="23">
        <v>0</v>
      </c>
      <c r="LL56" s="23">
        <v>0</v>
      </c>
      <c r="LM56" s="23">
        <v>0</v>
      </c>
      <c r="LN56" s="278">
        <f ca="1">$A56 - TST!Sweden100dt + 1</f>
        <v>2</v>
      </c>
      <c r="LO56" s="20">
        <f ca="1">INDEX(OFFSET(TST!HeadRow,ROW()-ROW(TST!HeadRow),0,1,COLUMNS(TST!HeadRow)),1,MATCH(LO$5,TST!HeadRow,0))/LO$8</f>
        <v>198.43597262952105</v>
      </c>
      <c r="LP56" s="278">
        <f ca="1">$A56 - TST!Spain100dt + 1</f>
        <v>2</v>
      </c>
      <c r="LQ56" s="20">
        <f ca="1">INDEX(OFFSET(TST!HeadRow,ROW()-ROW(TST!HeadRow),0,1,COLUMNS(TST!HeadRow)),1,MATCH(LQ$5,TST!HeadRow,0))/LQ$8</f>
        <v>143.3745206646783</v>
      </c>
      <c r="LR56" s="285">
        <f ca="1">$A56 - TST!Victoria100dt + 1</f>
        <v>-7</v>
      </c>
      <c r="LS56" s="20">
        <f ca="1">INDEX(OFFSET(TST!HeadRow,ROW()-ROW(TST!HeadRow),0,1,COLUMNS(TST!HeadRow)),1,MATCH(LS$5,TST!HeadRow,0))/LS$8</f>
        <v>16.59375471413486</v>
      </c>
      <c r="LT56" s="278">
        <f ca="1">$A56 - TST!Iran100dt + 1</f>
        <v>8</v>
      </c>
      <c r="LU56" s="20">
        <f ca="1">INDEX(OFFSET(TST!HeadRow,ROW()-ROW(TST!HeadRow),0,1,COLUMNS(TST!HeadRow)),1,MATCH(LU$5,TST!HeadRow,0))/LU$8</f>
        <v>783.78475165029306</v>
      </c>
      <c r="LV56" s="278">
        <f ca="1">$A56 - TST!Japan100dt + 1</f>
        <v>-16</v>
      </c>
      <c r="LW56" s="20">
        <f ca="1">INDEX(OFFSET(TST!HeadRow,ROW()-ROW(TST!HeadRow),0,1,COLUMNS(TST!HeadRow)),1,MATCH(LW$5,TST!HeadRow,0))/LW$8</f>
        <v>39.666797949017941</v>
      </c>
      <c r="LX56" s="278">
        <f ca="1">$A56 - TST!Queensland100dt + 1</f>
        <v>-6</v>
      </c>
      <c r="LY56" s="20">
        <f ca="1">INDEX(OFFSET(TST!HeadRow,ROW()-ROW(TST!HeadRow),0,1,COLUMNS(TST!HeadRow)),1,MATCH(LY$5,TST!HeadRow,0))/LY$8</f>
        <v>29.322927734035574</v>
      </c>
      <c r="LZ56" s="278">
        <f ca="1">$A56 - TST!Tasmania100dt + 1</f>
        <v>-6</v>
      </c>
      <c r="MA56" s="20">
        <f ca="1">INDEX(OFFSET(TST!HeadRow,ROW()-ROW(TST!HeadRow),0,1,COLUMNS(TST!HeadRow)),1,MATCH(MA$5,TST!HeadRow,0))/MA$8</f>
        <v>38.834951456310684</v>
      </c>
      <c r="MB56" s="278">
        <f ca="1">$A56 - TST!SouthAustralia100dt + 1</f>
        <v>-5</v>
      </c>
      <c r="MC56" s="20">
        <f ca="1">INDEX(OFFSET(TST!HeadRow,ROW()-ROW(TST!HeadRow),0,1,COLUMNS(TST!HeadRow)),1,MATCH(MC$5,TST!HeadRow,0))/MC$8</f>
        <v>41.91616766467066</v>
      </c>
      <c r="MD56" s="278">
        <f ca="1">$A56 - TST!AustralianCapitalTerritory100dt + 1</f>
        <v>-11</v>
      </c>
      <c r="ME56" s="20">
        <f ca="1">INDEX(OFFSET(TST!HeadRow,ROW()-ROW(TST!HeadRow),0,1,COLUMNS(TST!HeadRow)),1,MATCH(ME$5,TST!HeadRow,0))/ME$8</f>
        <v>0</v>
      </c>
      <c r="MF56" s="278">
        <f ca="1">$A56 - TST!NorthernTerritory100dt + 1</f>
        <v>-11</v>
      </c>
      <c r="MG56" s="20">
        <f ca="1">INDEX(OFFSET(TST!HeadRow,ROW()-ROW(TST!HeadRow),0,1,COLUMNS(TST!HeadRow)),1,MATCH(MG$5,TST!HeadRow,0))/MG$8</f>
        <v>0</v>
      </c>
      <c r="MH56" s="278">
        <f ca="1">$A56 - TST!WesternAustralia100dt + 1</f>
        <v>-7</v>
      </c>
      <c r="MI56" s="20">
        <f ca="1">INDEX(OFFSET(TST!HeadRow,ROW()-ROW(TST!HeadRow),0,1,COLUMNS(TST!HeadRow)),1,MATCH(MI$5,TST!HeadRow,0))/MI$8</f>
        <v>11.587485515643104</v>
      </c>
      <c r="MJ56" s="278">
        <f ca="1">$A56 - TST!Germany100dt + 1</f>
        <v>1</v>
      </c>
      <c r="MK56" s="20">
        <f ca="1">INDEX(OFFSET(TST!HeadRow,ROW()-ROW(TST!HeadRow),0,1,COLUMNS(TST!HeadRow)),1,MATCH(MK$5,TST!HeadRow,0))/MK$8</f>
        <v>125.27101903155867</v>
      </c>
      <c r="ML56" s="278">
        <f ca="1">$A56 - TST!Denmark100dt + 1</f>
        <v>0</v>
      </c>
      <c r="MM56" s="20">
        <f ca="1">INDEX(OFFSET(TST!HeadRow,ROW()-ROW(TST!HeadRow),0,1,COLUMNS(TST!HeadRow)),1,MATCH(MM$5,TST!HeadRow,0))/MM$8</f>
        <v>60.282466414054426</v>
      </c>
      <c r="MN56" s="278">
        <f ca="1">$A56 - TST!SouthAfrica100dt + 1</f>
        <v>-16</v>
      </c>
      <c r="MO56" s="20">
        <f ca="1">INDEX(OFFSET(TST!HeadRow,ROW()-ROW(TST!HeadRow),0,1,COLUMNS(TST!HeadRow)),1,MATCH(MO$5,TST!HeadRow,0))/MO$8</f>
        <v>0.51921079958463134</v>
      </c>
      <c r="MP56" s="278">
        <f ca="1">$A56 - TST!UnitedKingdom100dt + 1</f>
        <v>-4</v>
      </c>
      <c r="MQ56" s="20">
        <f ca="1">INDEX(OFFSET(TST!HeadRow,ROW()-ROW(TST!HeadRow),0,1,COLUMNS(TST!HeadRow)),1,MATCH(MQ$5,TST!HeadRow,0))/MQ$8</f>
        <v>41.089704996989767</v>
      </c>
      <c r="MR56" s="278">
        <f ca="1">$A56 - TST!Ireland100dt + 1</f>
        <v>-4</v>
      </c>
      <c r="MS56" s="20">
        <f ca="1">INDEX(OFFSET(TST!HeadRow,ROW()-ROW(TST!HeadRow),0,1,COLUMNS(TST!HeadRow)),1,MATCH(MS$5,TST!HeadRow,0))/MS$8</f>
        <v>38.775510204081634</v>
      </c>
      <c r="MT56" s="278">
        <f ca="1">$A56 - TST!Italy100dt + 1</f>
        <v>11</v>
      </c>
      <c r="MU56" s="20">
        <f ca="1">INDEX(OFFSET(TST!HeadRow,ROW()-ROW(TST!HeadRow),0,1,COLUMNS(TST!HeadRow)),1,MATCH(MU$5,TST!HeadRow,0))/MU$8</f>
        <v>1219.3105728693065</v>
      </c>
      <c r="MV56" s="278">
        <f ca="1">$A56 - TST!US100dt + 1</f>
        <v>-6</v>
      </c>
      <c r="MW56" s="20">
        <f ca="1">INDEX(OFFSET(TST!HeadRow,ROW()-ROW(TST!HeadRow),0,1,COLUMNS(TST!HeadRow)),1,MATCH(MW$5,TST!HeadRow,0))/MW$8</f>
        <v>15.733789338642195</v>
      </c>
      <c r="MX56" s="278">
        <f ca="1">$A56 - TST!AustraliaSum100dt + 1</f>
        <v>-6</v>
      </c>
      <c r="MY56" s="366">
        <f t="shared" si="8"/>
        <v>29.963728118593281</v>
      </c>
      <c r="MZ56" s="278">
        <f ca="1">$A56 - TST!NewSouthWales100dt + 1</f>
        <v>-4</v>
      </c>
      <c r="NA56" s="366">
        <f ca="1">INDEX(OFFSET(TST!HeadRow,ROW()-ROW(TST!HeadRow),0,1,COLUMNS(TST!HeadRow)),1,MATCH(NA$5,TST!HeadRow,0))/NA$8</f>
        <v>47.029702970297024</v>
      </c>
      <c r="NB56" s="278">
        <f ca="1">$A56 - TST!Taiwan100dt + 1</f>
        <v>-17</v>
      </c>
      <c r="NC56" s="366">
        <f ca="1">INDEX(OFFSET(TST!HeadRow,ROW()-ROW(TST!HeadRow),0,1,COLUMNS(TST!HeadRow)),1,MATCH(NC$5,TST!HeadRow,0))/NC$8</f>
        <v>18.901779715970935</v>
      </c>
      <c r="ND56" s="20">
        <f ca="1">$A56 - TST!Hubei100dt + 1</f>
        <v>44</v>
      </c>
      <c r="NE56" s="20">
        <f ca="1">INDEX(OFFSET(TST!HeadRow,ROW()-ROW(TST!HeadRow),0,1,COLUMNS(TST!HeadRow)),1,MATCH(NE$5,TST!HeadRow,0))/NE$8</f>
        <v>11573.846153846154</v>
      </c>
      <c r="NF56" s="20">
        <f ca="1">$A56 - TST!HongKong100dt + 1</f>
        <v>14</v>
      </c>
      <c r="NG56" s="20">
        <f ca="1">INDEX(OFFSET(TST!HeadRow,ROW()-ROW(TST!HeadRow),0,1,COLUMNS(TST!HeadRow)),1,MATCH(NG$5,TST!HeadRow,0))/NG$8</f>
        <v>152.9995973694806</v>
      </c>
    </row>
    <row r="57" spans="1:371" x14ac:dyDescent="0.25">
      <c r="A57" s="243">
        <v>43899</v>
      </c>
      <c r="B57" s="23">
        <v>4</v>
      </c>
      <c r="C57" s="23">
        <v>2</v>
      </c>
      <c r="D57" s="23">
        <v>20</v>
      </c>
      <c r="E57" s="23">
        <v>1</v>
      </c>
      <c r="F57" s="23">
        <v>0</v>
      </c>
      <c r="G57" s="23">
        <v>0</v>
      </c>
      <c r="H57" s="23">
        <v>12</v>
      </c>
      <c r="I57" s="23">
        <v>1</v>
      </c>
      <c r="J57" s="23">
        <v>0</v>
      </c>
      <c r="K57" s="293">
        <v>48</v>
      </c>
      <c r="L57" s="23">
        <v>0</v>
      </c>
      <c r="M57" s="290">
        <v>15</v>
      </c>
      <c r="N57" s="23">
        <v>7</v>
      </c>
      <c r="O57" s="384">
        <v>2</v>
      </c>
      <c r="P57" s="287">
        <v>15</v>
      </c>
      <c r="Q57" s="23">
        <v>4</v>
      </c>
      <c r="R57" s="23">
        <v>131</v>
      </c>
      <c r="S57" s="23">
        <v>9</v>
      </c>
      <c r="T57" s="23">
        <v>0</v>
      </c>
      <c r="U57" s="23">
        <v>95</v>
      </c>
      <c r="V57" s="23">
        <v>3</v>
      </c>
      <c r="W57" s="23">
        <v>0</v>
      </c>
      <c r="X57" s="23">
        <v>6</v>
      </c>
      <c r="Y57" s="23">
        <v>239</v>
      </c>
      <c r="Z57" s="23">
        <v>0</v>
      </c>
      <c r="AA57" s="23">
        <v>1</v>
      </c>
      <c r="AB57" s="23">
        <v>0</v>
      </c>
      <c r="AC57" s="23">
        <v>3</v>
      </c>
      <c r="AD57" s="23">
        <v>25</v>
      </c>
      <c r="AE57" s="23">
        <v>1</v>
      </c>
      <c r="AF57" s="23">
        <v>4</v>
      </c>
      <c r="AG57" s="23">
        <v>0</v>
      </c>
      <c r="AH57" s="23">
        <v>0</v>
      </c>
      <c r="AI57" s="23">
        <v>2</v>
      </c>
      <c r="AJ57" s="23">
        <v>2</v>
      </c>
      <c r="AK57" s="23">
        <v>7</v>
      </c>
      <c r="AL57" s="23">
        <v>32</v>
      </c>
      <c r="AM57" s="23">
        <v>0</v>
      </c>
      <c r="AN57" s="23">
        <v>0</v>
      </c>
      <c r="AO57" s="23">
        <v>0</v>
      </c>
      <c r="AP57" s="23">
        <v>0</v>
      </c>
      <c r="AQ57" s="23">
        <v>0</v>
      </c>
      <c r="AR57" s="23">
        <v>34</v>
      </c>
      <c r="AS57" s="23">
        <v>0</v>
      </c>
      <c r="AT57" s="23">
        <v>4</v>
      </c>
      <c r="AU57" s="23">
        <v>0</v>
      </c>
      <c r="AV57" s="23">
        <v>0</v>
      </c>
      <c r="AW57" s="23">
        <v>0</v>
      </c>
      <c r="AX57" s="23">
        <v>8</v>
      </c>
      <c r="AY57" s="23">
        <v>990</v>
      </c>
      <c r="AZ57" s="23">
        <v>428</v>
      </c>
      <c r="BA57" s="23">
        <v>576</v>
      </c>
      <c r="BB57" s="23">
        <v>296</v>
      </c>
      <c r="BC57" s="23">
        <v>124</v>
      </c>
      <c r="BD57" s="23">
        <v>1352</v>
      </c>
      <c r="BE57" s="23">
        <v>252</v>
      </c>
      <c r="BF57" s="23">
        <v>146</v>
      </c>
      <c r="BG57" s="23">
        <v>168</v>
      </c>
      <c r="BH57" s="23">
        <v>318</v>
      </c>
      <c r="BI57" s="23">
        <v>481</v>
      </c>
      <c r="BJ57" s="23">
        <v>1272</v>
      </c>
      <c r="BK57" s="23">
        <v>115</v>
      </c>
      <c r="BL57" s="23">
        <v>67743</v>
      </c>
      <c r="BM57" s="23">
        <v>1018</v>
      </c>
      <c r="BN57" s="23">
        <v>75</v>
      </c>
      <c r="BO57" s="23">
        <v>631</v>
      </c>
      <c r="BP57" s="23">
        <v>935</v>
      </c>
      <c r="BQ57" s="23">
        <v>93</v>
      </c>
      <c r="BR57" s="23">
        <v>125</v>
      </c>
      <c r="BS57" s="23">
        <v>10</v>
      </c>
      <c r="BT57" s="23">
        <v>75</v>
      </c>
      <c r="BU57" s="23">
        <v>18</v>
      </c>
      <c r="BV57" s="23">
        <v>245</v>
      </c>
      <c r="BW57" s="23">
        <v>758</v>
      </c>
      <c r="BX57" s="23">
        <v>342</v>
      </c>
      <c r="BY57" s="23">
        <v>133</v>
      </c>
      <c r="BZ57" s="23">
        <v>539</v>
      </c>
      <c r="CA57" s="23">
        <v>136</v>
      </c>
      <c r="CB57" s="23">
        <v>1</v>
      </c>
      <c r="CC57" s="23">
        <v>76</v>
      </c>
      <c r="CD57" s="23">
        <v>174</v>
      </c>
      <c r="CE57" s="23">
        <v>1215</v>
      </c>
      <c r="CF57" s="23">
        <v>1</v>
      </c>
      <c r="CG57" s="23">
        <v>0</v>
      </c>
      <c r="CH57" s="23">
        <v>0</v>
      </c>
      <c r="CI57" s="23">
        <v>9</v>
      </c>
      <c r="CJ57" s="23">
        <v>0</v>
      </c>
      <c r="CK57" s="23">
        <v>12</v>
      </c>
      <c r="CL57" s="23">
        <v>706</v>
      </c>
      <c r="CM57" s="23">
        <v>0</v>
      </c>
      <c r="CN57" s="23">
        <v>2</v>
      </c>
      <c r="CO57" s="23">
        <v>31</v>
      </c>
      <c r="CP57" s="23">
        <v>2</v>
      </c>
      <c r="CQ57" s="23">
        <v>0</v>
      </c>
      <c r="CR57" s="23">
        <v>90</v>
      </c>
      <c r="CS57" s="23">
        <v>0</v>
      </c>
      <c r="CT57" s="23">
        <v>5</v>
      </c>
      <c r="CU57" s="23">
        <v>15</v>
      </c>
      <c r="CV57" s="23">
        <v>55</v>
      </c>
      <c r="CW57" s="23">
        <v>0</v>
      </c>
      <c r="CX57" s="23">
        <v>0</v>
      </c>
      <c r="CY57" s="23">
        <v>0</v>
      </c>
      <c r="CZ57" s="23">
        <v>10</v>
      </c>
      <c r="DA57" s="23">
        <v>0</v>
      </c>
      <c r="DB57" s="23">
        <v>0</v>
      </c>
      <c r="DC57" s="23">
        <v>0</v>
      </c>
      <c r="DD57" s="23">
        <v>30</v>
      </c>
      <c r="DE57" s="23">
        <v>5</v>
      </c>
      <c r="DF57" s="23">
        <v>0</v>
      </c>
      <c r="DG57" s="23">
        <v>0</v>
      </c>
      <c r="DH57" s="23">
        <v>0</v>
      </c>
      <c r="DI57" s="23">
        <v>0</v>
      </c>
      <c r="DJ57" s="23">
        <v>0</v>
      </c>
      <c r="DK57" s="23">
        <v>1</v>
      </c>
      <c r="DL57" s="23">
        <v>2</v>
      </c>
      <c r="DM57" s="23">
        <v>2</v>
      </c>
      <c r="DN57" s="23">
        <v>1209</v>
      </c>
      <c r="DO57" s="23">
        <v>0</v>
      </c>
      <c r="DP57" s="23">
        <v>0</v>
      </c>
      <c r="DQ57" s="23">
        <v>15</v>
      </c>
      <c r="DR57" s="23">
        <v>1176</v>
      </c>
      <c r="DS57" s="23">
        <v>0</v>
      </c>
      <c r="DT57" s="23">
        <v>73</v>
      </c>
      <c r="DU57" s="23">
        <v>0</v>
      </c>
      <c r="DV57" s="23">
        <v>0</v>
      </c>
      <c r="DW57" s="23">
        <v>0</v>
      </c>
      <c r="DX57" s="23">
        <v>0</v>
      </c>
      <c r="DY57" s="23">
        <v>1</v>
      </c>
      <c r="DZ57" s="23">
        <v>0</v>
      </c>
      <c r="EA57" s="23">
        <v>9</v>
      </c>
      <c r="EB57" s="23">
        <v>58</v>
      </c>
      <c r="EC57" s="23">
        <v>43</v>
      </c>
      <c r="ED57" s="23">
        <v>19</v>
      </c>
      <c r="EE57" s="23">
        <v>7161</v>
      </c>
      <c r="EF57" s="23">
        <v>60</v>
      </c>
      <c r="EG57" s="23">
        <v>21</v>
      </c>
      <c r="EH57" s="23">
        <v>61</v>
      </c>
      <c r="EI57" s="23">
        <v>9172</v>
      </c>
      <c r="EJ57" s="23">
        <v>0</v>
      </c>
      <c r="EK57" s="23">
        <v>511</v>
      </c>
      <c r="EL57" s="23">
        <v>1</v>
      </c>
      <c r="EM57" s="23">
        <v>0</v>
      </c>
      <c r="EN57" s="23">
        <v>0</v>
      </c>
      <c r="EO57" s="23">
        <v>7478</v>
      </c>
      <c r="EP57" s="23">
        <v>64</v>
      </c>
      <c r="EQ57" s="23">
        <v>0</v>
      </c>
      <c r="ER57" s="23">
        <v>6</v>
      </c>
      <c r="ES57" s="23">
        <v>32</v>
      </c>
      <c r="ET57" s="23">
        <v>0</v>
      </c>
      <c r="EU57" s="23">
        <v>1</v>
      </c>
      <c r="EV57" s="23">
        <v>1</v>
      </c>
      <c r="EW57" s="23">
        <v>3</v>
      </c>
      <c r="EX57" s="23">
        <v>0</v>
      </c>
      <c r="EY57" s="23">
        <v>117</v>
      </c>
      <c r="EZ57" s="23">
        <v>4</v>
      </c>
      <c r="FA57" s="23">
        <v>3</v>
      </c>
      <c r="FB57" s="23">
        <v>0</v>
      </c>
      <c r="FC57" s="23">
        <v>0</v>
      </c>
      <c r="FD57" s="23">
        <v>7</v>
      </c>
      <c r="FE57" s="23">
        <v>1</v>
      </c>
      <c r="FF57" s="23">
        <v>1</v>
      </c>
      <c r="FG57" s="23">
        <v>0</v>
      </c>
      <c r="FH57" s="23">
        <v>0</v>
      </c>
      <c r="FI57" s="23">
        <v>2</v>
      </c>
      <c r="FJ57" s="23">
        <v>0</v>
      </c>
      <c r="FK57" s="23">
        <v>1</v>
      </c>
      <c r="FL57" s="23">
        <v>0</v>
      </c>
      <c r="FM57" s="23">
        <v>0</v>
      </c>
      <c r="FN57" s="23">
        <v>0</v>
      </c>
      <c r="FO57" s="23">
        <v>321</v>
      </c>
      <c r="FP57" s="23">
        <v>5</v>
      </c>
      <c r="FQ57" s="23">
        <v>0</v>
      </c>
      <c r="FR57" s="23">
        <v>0</v>
      </c>
      <c r="FS57" s="23">
        <v>2</v>
      </c>
      <c r="FT57" s="23">
        <v>3</v>
      </c>
      <c r="FU57" s="23">
        <v>205</v>
      </c>
      <c r="FV57" s="23">
        <v>16</v>
      </c>
      <c r="FW57" s="23">
        <v>6</v>
      </c>
      <c r="FX57" s="23">
        <v>0</v>
      </c>
      <c r="FY57" s="23">
        <v>0</v>
      </c>
      <c r="FZ57" s="23">
        <v>1</v>
      </c>
      <c r="GA57" s="23">
        <v>7</v>
      </c>
      <c r="GB57" s="23">
        <v>20</v>
      </c>
      <c r="GC57" s="23">
        <v>16</v>
      </c>
      <c r="GD57" s="23">
        <v>30</v>
      </c>
      <c r="GE57" s="23">
        <v>18</v>
      </c>
      <c r="GF57" s="23">
        <v>15</v>
      </c>
      <c r="GG57" s="23">
        <v>17</v>
      </c>
      <c r="GH57" s="23">
        <v>0</v>
      </c>
      <c r="GI57" s="23">
        <v>0</v>
      </c>
      <c r="GJ57" s="23">
        <v>0</v>
      </c>
      <c r="GK57" s="23">
        <v>36</v>
      </c>
      <c r="GL57" s="23">
        <v>15</v>
      </c>
      <c r="GM57" s="23">
        <v>4</v>
      </c>
      <c r="GN57" s="23">
        <v>1</v>
      </c>
      <c r="GO57" s="23">
        <v>0</v>
      </c>
      <c r="GP57" s="23">
        <v>150</v>
      </c>
      <c r="GQ57" s="23">
        <v>3</v>
      </c>
      <c r="GR57" s="23">
        <v>16</v>
      </c>
      <c r="GS57" s="23">
        <v>0</v>
      </c>
      <c r="GT57" s="23">
        <v>3</v>
      </c>
      <c r="GU57" s="23">
        <v>1073</v>
      </c>
      <c r="GV57" s="23">
        <v>1</v>
      </c>
      <c r="GW57" s="23">
        <v>0</v>
      </c>
      <c r="GX57" s="23">
        <v>0</v>
      </c>
      <c r="GY57" s="23">
        <v>248</v>
      </c>
      <c r="GZ57" s="23">
        <v>374</v>
      </c>
      <c r="HA57" s="23">
        <v>45</v>
      </c>
      <c r="HB57" s="23">
        <v>0</v>
      </c>
      <c r="HC57" s="23">
        <v>50</v>
      </c>
      <c r="HD57" s="23">
        <v>1</v>
      </c>
      <c r="HE57" s="23">
        <v>0</v>
      </c>
      <c r="HF57" s="23">
        <v>2</v>
      </c>
      <c r="HG57" s="23">
        <v>0</v>
      </c>
      <c r="HH57" s="23">
        <v>0</v>
      </c>
      <c r="HI57" s="23">
        <v>1</v>
      </c>
      <c r="HJ57" s="23">
        <v>45</v>
      </c>
      <c r="HK57" s="23">
        <v>0</v>
      </c>
      <c r="HL57" s="23">
        <v>0</v>
      </c>
      <c r="HM57" s="23">
        <v>0</v>
      </c>
      <c r="HN57" s="23">
        <v>1</v>
      </c>
      <c r="HO57" s="23">
        <v>0</v>
      </c>
      <c r="HP57" s="23">
        <v>0</v>
      </c>
      <c r="HQ57" s="23">
        <v>321</v>
      </c>
      <c r="HR57" s="23">
        <v>0</v>
      </c>
      <c r="HS57" s="23">
        <v>583</v>
      </c>
      <c r="HT57" s="23">
        <v>0</v>
      </c>
      <c r="HU57" s="23">
        <v>0</v>
      </c>
      <c r="HV57" s="23">
        <v>30</v>
      </c>
      <c r="HW57" s="23">
        <v>0</v>
      </c>
      <c r="HX57" s="23">
        <v>0</v>
      </c>
      <c r="HY57" s="23">
        <v>0</v>
      </c>
      <c r="HZ57" s="23">
        <v>0</v>
      </c>
      <c r="IA57" s="23">
        <v>0</v>
      </c>
      <c r="IB57" s="23">
        <v>0</v>
      </c>
      <c r="IC57" s="23">
        <v>0</v>
      </c>
      <c r="ID57" s="23">
        <v>0</v>
      </c>
      <c r="IE57" s="23">
        <v>0</v>
      </c>
      <c r="IF57" s="23">
        <v>0</v>
      </c>
      <c r="IG57" s="23">
        <v>0</v>
      </c>
      <c r="IH57" s="23">
        <v>0</v>
      </c>
      <c r="II57" s="23">
        <v>19</v>
      </c>
      <c r="IJ57" s="23">
        <v>0</v>
      </c>
      <c r="IK57" s="23">
        <v>0</v>
      </c>
      <c r="IL57" s="23">
        <v>0</v>
      </c>
      <c r="IM57" s="23">
        <v>0</v>
      </c>
      <c r="IN57" s="23">
        <v>0</v>
      </c>
      <c r="IO57" s="23">
        <v>0</v>
      </c>
      <c r="IP57" s="23">
        <v>0</v>
      </c>
      <c r="IQ57" s="23">
        <v>0</v>
      </c>
      <c r="IR57" s="23">
        <v>0</v>
      </c>
      <c r="IS57" s="23">
        <v>0</v>
      </c>
      <c r="IT57" s="23">
        <v>0</v>
      </c>
      <c r="IU57" s="23">
        <v>0</v>
      </c>
      <c r="IV57" s="23">
        <v>0</v>
      </c>
      <c r="IW57" s="23">
        <v>0</v>
      </c>
      <c r="IX57" s="23">
        <v>0</v>
      </c>
      <c r="IY57" s="23">
        <v>0</v>
      </c>
      <c r="IZ57" s="23">
        <v>0</v>
      </c>
      <c r="JA57" s="23">
        <v>0</v>
      </c>
      <c r="JB57" s="23">
        <v>0</v>
      </c>
      <c r="JC57" s="23">
        <v>0</v>
      </c>
      <c r="JD57" s="23">
        <v>0</v>
      </c>
      <c r="JE57" s="23">
        <v>0</v>
      </c>
      <c r="JF57" s="23">
        <v>0</v>
      </c>
      <c r="JG57" s="23">
        <v>0</v>
      </c>
      <c r="JH57" s="23">
        <v>0</v>
      </c>
      <c r="JI57" s="23">
        <v>0</v>
      </c>
      <c r="JJ57" s="23">
        <v>0</v>
      </c>
      <c r="JK57" s="23">
        <v>0</v>
      </c>
      <c r="JL57" s="23">
        <v>0</v>
      </c>
      <c r="JM57" s="23">
        <v>0</v>
      </c>
      <c r="JN57" s="23">
        <v>0</v>
      </c>
      <c r="JO57" s="23">
        <v>4</v>
      </c>
      <c r="JP57" s="23">
        <v>0</v>
      </c>
      <c r="JQ57" s="23">
        <v>101</v>
      </c>
      <c r="JR57" s="23">
        <v>7</v>
      </c>
      <c r="JS57" s="23">
        <v>0</v>
      </c>
      <c r="JT57" s="23">
        <v>0</v>
      </c>
      <c r="JU57" s="23">
        <v>0</v>
      </c>
      <c r="JV57" s="23">
        <v>13</v>
      </c>
      <c r="JW57" s="23">
        <v>10</v>
      </c>
      <c r="JX57" s="23">
        <v>1</v>
      </c>
      <c r="JY57" s="23">
        <v>0</v>
      </c>
      <c r="JZ57" s="23">
        <v>7</v>
      </c>
      <c r="KA57" s="23">
        <v>3</v>
      </c>
      <c r="KB57" s="23">
        <v>3</v>
      </c>
      <c r="KC57" s="23">
        <v>1</v>
      </c>
      <c r="KD57" s="23">
        <v>4</v>
      </c>
      <c r="KE57" s="23">
        <v>0</v>
      </c>
      <c r="KF57" s="23">
        <v>0</v>
      </c>
      <c r="KG57" s="23">
        <v>5</v>
      </c>
      <c r="KH57" s="23">
        <v>22</v>
      </c>
      <c r="KI57" s="23">
        <v>0</v>
      </c>
      <c r="KJ57" s="23">
        <v>2</v>
      </c>
      <c r="KK57" s="23">
        <v>0</v>
      </c>
      <c r="KL57" s="23">
        <v>1</v>
      </c>
      <c r="KM57" s="23">
        <v>0</v>
      </c>
      <c r="KN57" s="23">
        <v>3</v>
      </c>
      <c r="KO57" s="23">
        <v>4</v>
      </c>
      <c r="KP57" s="23">
        <v>4</v>
      </c>
      <c r="KQ57" s="23">
        <v>5</v>
      </c>
      <c r="KR57" s="23">
        <v>0</v>
      </c>
      <c r="KS57" s="23">
        <v>142</v>
      </c>
      <c r="KT57" s="23">
        <v>2</v>
      </c>
      <c r="KU57" s="23">
        <v>0</v>
      </c>
      <c r="KV57" s="23">
        <v>0</v>
      </c>
      <c r="KW57" s="23">
        <v>1</v>
      </c>
      <c r="KX57" s="23">
        <v>14</v>
      </c>
      <c r="KY57" s="23">
        <v>7</v>
      </c>
      <c r="KZ57" s="23">
        <v>3</v>
      </c>
      <c r="LA57" s="23">
        <v>3</v>
      </c>
      <c r="LB57" s="23">
        <v>0</v>
      </c>
      <c r="LC57" s="23">
        <v>3</v>
      </c>
      <c r="LD57" s="23">
        <v>13</v>
      </c>
      <c r="LE57" s="23">
        <v>1</v>
      </c>
      <c r="LF57" s="23">
        <v>1</v>
      </c>
      <c r="LG57" s="23">
        <v>2</v>
      </c>
      <c r="LH57" s="23">
        <v>122</v>
      </c>
      <c r="LI57" s="23">
        <v>0</v>
      </c>
      <c r="LJ57" s="23">
        <v>0</v>
      </c>
      <c r="LK57" s="23">
        <v>0</v>
      </c>
      <c r="LL57" s="23">
        <v>0</v>
      </c>
      <c r="LM57" s="23">
        <v>0</v>
      </c>
      <c r="LN57" s="278">
        <f ca="1">$A57 - TST!Sweden100dt + 1</f>
        <v>3</v>
      </c>
      <c r="LO57" s="20">
        <f ca="1">INDEX(OFFSET(TST!HeadRow,ROW()-ROW(TST!HeadRow),0,1,COLUMNS(TST!HeadRow)),1,MATCH(LO$5,TST!HeadRow,0))/LO$8</f>
        <v>242.42424242424244</v>
      </c>
      <c r="LP57" s="278">
        <f ca="1">$A57 - TST!Spain100dt + 1</f>
        <v>3</v>
      </c>
      <c r="LQ57" s="20">
        <f ca="1">INDEX(OFFSET(TST!HeadRow,ROW()-ROW(TST!HeadRow),0,1,COLUMNS(TST!HeadRow)),1,MATCH(LQ$5,TST!HeadRow,0))/LQ$8</f>
        <v>228.58968896463571</v>
      </c>
      <c r="LR57" s="285">
        <f ca="1">$A57 - TST!Victoria100dt + 1</f>
        <v>-6</v>
      </c>
      <c r="LS57" s="20">
        <f ca="1">INDEX(OFFSET(TST!HeadRow,ROW()-ROW(TST!HeadRow),0,1,COLUMNS(TST!HeadRow)),1,MATCH(LS$5,TST!HeadRow,0))/LS$8</f>
        <v>22.627847337456629</v>
      </c>
      <c r="LT57" s="278">
        <f ca="1">$A57 - TST!Iran100dt + 1</f>
        <v>9</v>
      </c>
      <c r="LU57" s="20">
        <f ca="1">INDEX(OFFSET(TST!HeadRow,ROW()-ROW(TST!HeadRow),0,1,COLUMNS(TST!HeadRow)),1,MATCH(LU$5,TST!HeadRow,0))/LU$8</f>
        <v>854.81002232222795</v>
      </c>
      <c r="LV57" s="278">
        <f ca="1">$A57 - TST!Japan100dt + 1</f>
        <v>-15</v>
      </c>
      <c r="LW57" s="20">
        <f ca="1">INDEX(OFFSET(TST!HeadRow,ROW()-ROW(TST!HeadRow),0,1,COLUMNS(TST!HeadRow)),1,MATCH(LW$5,TST!HeadRow,0))/LW$8</f>
        <v>40.377955681171649</v>
      </c>
      <c r="LX57" s="278">
        <f ca="1">$A57 - TST!Queensland100dt + 1</f>
        <v>-5</v>
      </c>
      <c r="LY57" s="20">
        <f ca="1">INDEX(OFFSET(TST!HeadRow,ROW()-ROW(TST!HeadRow),0,1,COLUMNS(TST!HeadRow)),1,MATCH(LY$5,TST!HeadRow,0))/LY$8</f>
        <v>29.322927734035574</v>
      </c>
      <c r="LZ57" s="278">
        <f ca="1">$A57 - TST!Tasmania100dt + 1</f>
        <v>-5</v>
      </c>
      <c r="MA57" s="20">
        <f ca="1">INDEX(OFFSET(TST!HeadRow,ROW()-ROW(TST!HeadRow),0,1,COLUMNS(TST!HeadRow)),1,MATCH(MA$5,TST!HeadRow,0))/MA$8</f>
        <v>38.834951456310684</v>
      </c>
      <c r="MB57" s="278">
        <f ca="1">$A57 - TST!SouthAustralia100dt + 1</f>
        <v>-4</v>
      </c>
      <c r="MC57" s="20">
        <f ca="1">INDEX(OFFSET(TST!HeadRow,ROW()-ROW(TST!HeadRow),0,1,COLUMNS(TST!HeadRow)),1,MATCH(MC$5,TST!HeadRow,0))/MC$8</f>
        <v>41.91616766467066</v>
      </c>
      <c r="MD57" s="278">
        <f ca="1">$A57 - TST!AustralianCapitalTerritory100dt + 1</f>
        <v>-10</v>
      </c>
      <c r="ME57" s="20">
        <f ca="1">INDEX(OFFSET(TST!HeadRow,ROW()-ROW(TST!HeadRow),0,1,COLUMNS(TST!HeadRow)),1,MATCH(ME$5,TST!HeadRow,0))/ME$8</f>
        <v>0</v>
      </c>
      <c r="MF57" s="278">
        <f ca="1">$A57 - TST!NorthernTerritory100dt + 1</f>
        <v>-10</v>
      </c>
      <c r="MG57" s="20">
        <f ca="1">INDEX(OFFSET(TST!HeadRow,ROW()-ROW(TST!HeadRow),0,1,COLUMNS(TST!HeadRow)),1,MATCH(MG$5,TST!HeadRow,0))/MG$8</f>
        <v>0</v>
      </c>
      <c r="MH57" s="278">
        <f ca="1">$A57 - TST!WesternAustralia100dt + 1</f>
        <v>-6</v>
      </c>
      <c r="MI57" s="20">
        <f ca="1">INDEX(OFFSET(TST!HeadRow,ROW()-ROW(TST!HeadRow),0,1,COLUMNS(TST!HeadRow)),1,MATCH(MI$5,TST!HeadRow,0))/MI$8</f>
        <v>15.449980687524139</v>
      </c>
      <c r="MJ57" s="278">
        <f ca="1">$A57 - TST!Germany100dt + 1</f>
        <v>2</v>
      </c>
      <c r="MK57" s="20">
        <f ca="1">INDEX(OFFSET(TST!HeadRow,ROW()-ROW(TST!HeadRow),0,1,COLUMNS(TST!HeadRow)),1,MATCH(MK$5,TST!HeadRow,0))/MK$8</f>
        <v>141.65261382799326</v>
      </c>
      <c r="ML57" s="278">
        <f ca="1">$A57 - TST!Denmark100dt + 1</f>
        <v>1</v>
      </c>
      <c r="MM57" s="20">
        <f ca="1">INDEX(OFFSET(TST!HeadRow,ROW()-ROW(TST!HeadRow),0,1,COLUMNS(TST!HeadRow)),1,MATCH(MM$5,TST!HeadRow,0))/MM$8</f>
        <v>155.01205649328281</v>
      </c>
      <c r="MN57" s="278">
        <f ca="1">$A57 - TST!SouthAfrica100dt + 1</f>
        <v>-15</v>
      </c>
      <c r="MO57" s="20">
        <f ca="1">INDEX(OFFSET(TST!HeadRow,ROW()-ROW(TST!HeadRow),0,1,COLUMNS(TST!HeadRow)),1,MATCH(MO$5,TST!HeadRow,0))/MO$8</f>
        <v>0.51921079958463134</v>
      </c>
      <c r="MP57" s="278">
        <f ca="1">$A57 - TST!UnitedKingdom100dt + 1</f>
        <v>-3</v>
      </c>
      <c r="MQ57" s="20">
        <f ca="1">INDEX(OFFSET(TST!HeadRow,ROW()-ROW(TST!HeadRow),0,1,COLUMNS(TST!HeadRow)),1,MATCH(MQ$5,TST!HeadRow,0))/MQ$8</f>
        <v>48.314268512944011</v>
      </c>
      <c r="MR57" s="278">
        <f ca="1">$A57 - TST!Ireland100dt + 1</f>
        <v>-3</v>
      </c>
      <c r="MS57" s="20">
        <f ca="1">INDEX(OFFSET(TST!HeadRow,ROW()-ROW(TST!HeadRow),0,1,COLUMNS(TST!HeadRow)),1,MATCH(MS$5,TST!HeadRow,0))/MS$8</f>
        <v>42.857142857142861</v>
      </c>
      <c r="MT57" s="278">
        <f ca="1">$A57 - TST!Italy100dt + 1</f>
        <v>12</v>
      </c>
      <c r="MU57" s="20">
        <f ca="1">INDEX(OFFSET(TST!HeadRow,ROW()-ROW(TST!HeadRow),0,1,COLUMNS(TST!HeadRow)),1,MATCH(MU$5,TST!HeadRow,0))/MU$8</f>
        <v>1516.4090270314955</v>
      </c>
      <c r="MV57" s="278">
        <f ca="1">$A57 - TST!US100dt + 1</f>
        <v>-5</v>
      </c>
      <c r="MW57" s="20">
        <f ca="1">INDEX(OFFSET(TST!HeadRow,ROW()-ROW(TST!HeadRow),0,1,COLUMNS(TST!HeadRow)),1,MATCH(MW$5,TST!HeadRow,0))/MW$8</f>
        <v>17.708106533645559</v>
      </c>
      <c r="MX57" s="278">
        <f ca="1">$A57 - TST!AustraliaSum100dt + 1</f>
        <v>-5</v>
      </c>
      <c r="MY57" s="366">
        <f t="shared" si="8"/>
        <v>35.87762182621038</v>
      </c>
      <c r="MZ57" s="278">
        <f ca="1">$A57 - TST!NewSouthWales100dt + 1</f>
        <v>-3</v>
      </c>
      <c r="NA57" s="366">
        <f ca="1">INDEX(OFFSET(TST!HeadRow,ROW()-ROW(TST!HeadRow),0,1,COLUMNS(TST!HeadRow)),1,MATCH(NA$5,TST!HeadRow,0))/NA$8</f>
        <v>59.405940594059402</v>
      </c>
      <c r="NB57" s="278">
        <f ca="1">$A57 - TST!Taiwan100dt + 1</f>
        <v>-16</v>
      </c>
      <c r="NC57" s="366">
        <f ca="1">INDEX(OFFSET(TST!HeadRow,ROW()-ROW(TST!HeadRow),0,1,COLUMNS(TST!HeadRow)),1,MATCH(NC$5,TST!HeadRow,0))/NC$8</f>
        <v>18.901779715970935</v>
      </c>
      <c r="ND57" s="20">
        <f ca="1">$A57 - TST!Hubei100dt + 1</f>
        <v>45</v>
      </c>
      <c r="NE57" s="20">
        <f ca="1">INDEX(OFFSET(TST!HeadRow,ROW()-ROW(TST!HeadRow),0,1,COLUMNS(TST!HeadRow)),1,MATCH(NE$5,TST!HeadRow,0))/NE$8</f>
        <v>11580</v>
      </c>
      <c r="NF57" s="20">
        <f ca="1">$A57 - TST!HongKong100dt + 1</f>
        <v>15</v>
      </c>
      <c r="NG57" s="20">
        <f ca="1">INDEX(OFFSET(TST!HeadRow,ROW()-ROW(TST!HeadRow),0,1,COLUMNS(TST!HeadRow)),1,MATCH(NG$5,TST!HeadRow,0))/NG$8</f>
        <v>154.34169910079186</v>
      </c>
    </row>
    <row r="58" spans="1:371" x14ac:dyDescent="0.25">
      <c r="A58" s="243">
        <v>43900</v>
      </c>
      <c r="B58" s="23">
        <v>5</v>
      </c>
      <c r="C58" s="23">
        <v>10</v>
      </c>
      <c r="D58" s="23">
        <v>20</v>
      </c>
      <c r="E58" s="23">
        <v>1</v>
      </c>
      <c r="F58" s="23">
        <v>0</v>
      </c>
      <c r="G58" s="23">
        <v>0</v>
      </c>
      <c r="H58" s="23">
        <v>17</v>
      </c>
      <c r="I58" s="23">
        <v>1</v>
      </c>
      <c r="J58" s="23">
        <v>0</v>
      </c>
      <c r="K58" s="293">
        <v>55</v>
      </c>
      <c r="L58" s="23">
        <v>1</v>
      </c>
      <c r="M58" s="290">
        <v>18</v>
      </c>
      <c r="N58" s="23">
        <v>7</v>
      </c>
      <c r="O58" s="384">
        <v>2</v>
      </c>
      <c r="P58" s="287">
        <v>18</v>
      </c>
      <c r="Q58" s="23">
        <v>6</v>
      </c>
      <c r="R58" s="23">
        <v>182</v>
      </c>
      <c r="S58" s="23">
        <v>11</v>
      </c>
      <c r="T58" s="23">
        <v>0</v>
      </c>
      <c r="U58" s="23">
        <v>110</v>
      </c>
      <c r="V58" s="23">
        <v>3</v>
      </c>
      <c r="W58" s="23">
        <v>0</v>
      </c>
      <c r="X58" s="23">
        <v>9</v>
      </c>
      <c r="Y58" s="23">
        <v>267</v>
      </c>
      <c r="Z58" s="23">
        <v>0</v>
      </c>
      <c r="AA58" s="23">
        <v>1</v>
      </c>
      <c r="AB58" s="23">
        <v>0</v>
      </c>
      <c r="AC58" s="23">
        <v>5</v>
      </c>
      <c r="AD58" s="23">
        <v>31</v>
      </c>
      <c r="AE58" s="23">
        <v>1</v>
      </c>
      <c r="AF58" s="23">
        <v>4</v>
      </c>
      <c r="AG58" s="23">
        <v>1</v>
      </c>
      <c r="AH58" s="23">
        <v>0</v>
      </c>
      <c r="AI58" s="23">
        <v>2</v>
      </c>
      <c r="AJ58" s="23">
        <v>2</v>
      </c>
      <c r="AK58" s="23">
        <v>7</v>
      </c>
      <c r="AL58" s="23">
        <v>32</v>
      </c>
      <c r="AM58" s="23">
        <v>0</v>
      </c>
      <c r="AN58" s="23">
        <v>0</v>
      </c>
      <c r="AO58" s="23">
        <v>0</v>
      </c>
      <c r="AP58" s="23">
        <v>0</v>
      </c>
      <c r="AQ58" s="23">
        <v>0</v>
      </c>
      <c r="AR58" s="23">
        <v>36</v>
      </c>
      <c r="AS58" s="23">
        <v>0</v>
      </c>
      <c r="AT58" s="23">
        <v>4</v>
      </c>
      <c r="AU58" s="23">
        <v>0</v>
      </c>
      <c r="AV58" s="23">
        <v>0</v>
      </c>
      <c r="AW58" s="23">
        <v>0</v>
      </c>
      <c r="AX58" s="23">
        <v>13</v>
      </c>
      <c r="AY58" s="23">
        <v>990</v>
      </c>
      <c r="AZ58" s="23">
        <v>429</v>
      </c>
      <c r="BA58" s="23">
        <v>576</v>
      </c>
      <c r="BB58" s="23">
        <v>296</v>
      </c>
      <c r="BC58" s="23">
        <v>125</v>
      </c>
      <c r="BD58" s="23">
        <v>1353</v>
      </c>
      <c r="BE58" s="23">
        <v>252</v>
      </c>
      <c r="BF58" s="23">
        <v>146</v>
      </c>
      <c r="BG58" s="23">
        <v>168</v>
      </c>
      <c r="BH58" s="23">
        <v>318</v>
      </c>
      <c r="BI58" s="23">
        <v>481</v>
      </c>
      <c r="BJ58" s="23">
        <v>1272</v>
      </c>
      <c r="BK58" s="23">
        <v>120</v>
      </c>
      <c r="BL58" s="23">
        <v>67760</v>
      </c>
      <c r="BM58" s="23">
        <v>1018</v>
      </c>
      <c r="BN58" s="23">
        <v>75</v>
      </c>
      <c r="BO58" s="23">
        <v>631</v>
      </c>
      <c r="BP58" s="23">
        <v>935</v>
      </c>
      <c r="BQ58" s="23">
        <v>93</v>
      </c>
      <c r="BR58" s="23">
        <v>125</v>
      </c>
      <c r="BS58" s="23">
        <v>10</v>
      </c>
      <c r="BT58" s="23">
        <v>75</v>
      </c>
      <c r="BU58" s="23">
        <v>18</v>
      </c>
      <c r="BV58" s="23">
        <v>245</v>
      </c>
      <c r="BW58" s="23">
        <v>758</v>
      </c>
      <c r="BX58" s="23">
        <v>344</v>
      </c>
      <c r="BY58" s="23">
        <v>133</v>
      </c>
      <c r="BZ58" s="23">
        <v>539</v>
      </c>
      <c r="CA58" s="23">
        <v>136</v>
      </c>
      <c r="CB58" s="23">
        <v>1</v>
      </c>
      <c r="CC58" s="23">
        <v>76</v>
      </c>
      <c r="CD58" s="23">
        <v>174</v>
      </c>
      <c r="CE58" s="23">
        <v>1215</v>
      </c>
      <c r="CF58" s="23">
        <v>3</v>
      </c>
      <c r="CG58" s="23">
        <v>0</v>
      </c>
      <c r="CH58" s="23">
        <v>0</v>
      </c>
      <c r="CI58" s="23">
        <v>9</v>
      </c>
      <c r="CJ58" s="23">
        <v>0</v>
      </c>
      <c r="CK58" s="23">
        <v>14</v>
      </c>
      <c r="CL58" s="23">
        <v>706</v>
      </c>
      <c r="CM58" s="23">
        <v>0</v>
      </c>
      <c r="CN58" s="23">
        <v>3</v>
      </c>
      <c r="CO58" s="23">
        <v>41</v>
      </c>
      <c r="CP58" s="23">
        <v>2</v>
      </c>
      <c r="CQ58" s="23">
        <v>0</v>
      </c>
      <c r="CR58" s="23">
        <v>262</v>
      </c>
      <c r="CS58" s="23">
        <v>0</v>
      </c>
      <c r="CT58" s="23">
        <v>5</v>
      </c>
      <c r="CU58" s="23">
        <v>15</v>
      </c>
      <c r="CV58" s="23">
        <v>59</v>
      </c>
      <c r="CW58" s="23">
        <v>0</v>
      </c>
      <c r="CX58" s="23">
        <v>0</v>
      </c>
      <c r="CY58" s="23">
        <v>0</v>
      </c>
      <c r="CZ58" s="23">
        <v>12</v>
      </c>
      <c r="DA58" s="23">
        <v>0</v>
      </c>
      <c r="DB58" s="23">
        <v>0</v>
      </c>
      <c r="DC58" s="23">
        <v>0</v>
      </c>
      <c r="DD58" s="23">
        <v>40</v>
      </c>
      <c r="DE58" s="23">
        <v>5</v>
      </c>
      <c r="DF58" s="23">
        <v>0</v>
      </c>
      <c r="DG58" s="23">
        <v>0</v>
      </c>
      <c r="DH58" s="23">
        <v>0</v>
      </c>
      <c r="DI58" s="23">
        <v>0</v>
      </c>
      <c r="DJ58" s="23">
        <v>0</v>
      </c>
      <c r="DK58" s="23">
        <v>1</v>
      </c>
      <c r="DL58" s="23">
        <v>2</v>
      </c>
      <c r="DM58" s="23">
        <v>2</v>
      </c>
      <c r="DN58" s="23">
        <v>1784</v>
      </c>
      <c r="DO58" s="23">
        <v>0</v>
      </c>
      <c r="DP58" s="23">
        <v>0</v>
      </c>
      <c r="DQ58" s="23">
        <v>15</v>
      </c>
      <c r="DR58" s="23">
        <v>1457</v>
      </c>
      <c r="DS58" s="23">
        <v>0</v>
      </c>
      <c r="DT58" s="23">
        <v>89</v>
      </c>
      <c r="DU58" s="23">
        <v>0</v>
      </c>
      <c r="DV58" s="23">
        <v>0</v>
      </c>
      <c r="DW58" s="23">
        <v>0</v>
      </c>
      <c r="DX58" s="23">
        <v>0</v>
      </c>
      <c r="DY58" s="23">
        <v>1</v>
      </c>
      <c r="DZ58" s="23">
        <v>0</v>
      </c>
      <c r="EA58" s="23">
        <v>9</v>
      </c>
      <c r="EB58" s="23">
        <v>69</v>
      </c>
      <c r="EC58" s="23">
        <v>56</v>
      </c>
      <c r="ED58" s="23">
        <v>27</v>
      </c>
      <c r="EE58" s="23">
        <v>8042</v>
      </c>
      <c r="EF58" s="23">
        <v>71</v>
      </c>
      <c r="EG58" s="23">
        <v>34</v>
      </c>
      <c r="EH58" s="23">
        <v>75</v>
      </c>
      <c r="EI58" s="23">
        <v>10149</v>
      </c>
      <c r="EJ58" s="23">
        <v>0</v>
      </c>
      <c r="EK58" s="23">
        <v>581</v>
      </c>
      <c r="EL58" s="23">
        <v>1</v>
      </c>
      <c r="EM58" s="23">
        <v>0</v>
      </c>
      <c r="EN58" s="23">
        <v>0</v>
      </c>
      <c r="EO58" s="23">
        <v>7513</v>
      </c>
      <c r="EP58" s="23">
        <v>69</v>
      </c>
      <c r="EQ58" s="23">
        <v>0</v>
      </c>
      <c r="ER58" s="23">
        <v>8</v>
      </c>
      <c r="ES58" s="23">
        <v>41</v>
      </c>
      <c r="ET58" s="23">
        <v>0</v>
      </c>
      <c r="EU58" s="23">
        <v>1</v>
      </c>
      <c r="EV58" s="23">
        <v>1</v>
      </c>
      <c r="EW58" s="23">
        <v>5</v>
      </c>
      <c r="EX58" s="23">
        <v>0</v>
      </c>
      <c r="EY58" s="23">
        <v>129</v>
      </c>
      <c r="EZ58" s="23">
        <v>6</v>
      </c>
      <c r="FA58" s="23">
        <v>5</v>
      </c>
      <c r="FB58" s="23">
        <v>0</v>
      </c>
      <c r="FC58" s="23">
        <v>0</v>
      </c>
      <c r="FD58" s="23">
        <v>7</v>
      </c>
      <c r="FE58" s="23">
        <v>3</v>
      </c>
      <c r="FF58" s="23">
        <v>1</v>
      </c>
      <c r="FG58" s="23">
        <v>1</v>
      </c>
      <c r="FH58" s="23">
        <v>0</v>
      </c>
      <c r="FI58" s="23">
        <v>3</v>
      </c>
      <c r="FJ58" s="23">
        <v>0</v>
      </c>
      <c r="FK58" s="23">
        <v>1</v>
      </c>
      <c r="FL58" s="23">
        <v>0</v>
      </c>
      <c r="FM58" s="23">
        <v>0</v>
      </c>
      <c r="FN58" s="23">
        <v>0</v>
      </c>
      <c r="FO58" s="23">
        <v>382</v>
      </c>
      <c r="FP58" s="23">
        <v>5</v>
      </c>
      <c r="FQ58" s="23">
        <v>0</v>
      </c>
      <c r="FR58" s="23">
        <v>0</v>
      </c>
      <c r="FS58" s="23">
        <v>2</v>
      </c>
      <c r="FT58" s="23">
        <v>7</v>
      </c>
      <c r="FU58" s="23">
        <v>400</v>
      </c>
      <c r="FV58" s="23">
        <v>18</v>
      </c>
      <c r="FW58" s="23">
        <v>16</v>
      </c>
      <c r="FX58" s="23">
        <v>1</v>
      </c>
      <c r="FY58" s="23">
        <v>0</v>
      </c>
      <c r="FZ58" s="23">
        <v>1</v>
      </c>
      <c r="GA58" s="23">
        <v>11</v>
      </c>
      <c r="GB58" s="23">
        <v>33</v>
      </c>
      <c r="GC58" s="23">
        <v>22</v>
      </c>
      <c r="GD58" s="23">
        <v>41</v>
      </c>
      <c r="GE58" s="23">
        <v>24</v>
      </c>
      <c r="GF58" s="23">
        <v>25</v>
      </c>
      <c r="GG58" s="23">
        <v>20</v>
      </c>
      <c r="GH58" s="23">
        <v>0</v>
      </c>
      <c r="GI58" s="23">
        <v>0</v>
      </c>
      <c r="GJ58" s="23">
        <v>0</v>
      </c>
      <c r="GK58" s="23">
        <v>51</v>
      </c>
      <c r="GL58" s="23">
        <v>20</v>
      </c>
      <c r="GM58" s="23">
        <v>4</v>
      </c>
      <c r="GN58" s="23">
        <v>5</v>
      </c>
      <c r="GO58" s="23">
        <v>0</v>
      </c>
      <c r="GP58" s="23">
        <v>160</v>
      </c>
      <c r="GQ58" s="23">
        <v>7</v>
      </c>
      <c r="GR58" s="23">
        <v>31</v>
      </c>
      <c r="GS58" s="23">
        <v>0</v>
      </c>
      <c r="GT58" s="23">
        <v>7</v>
      </c>
      <c r="GU58" s="23">
        <v>1695</v>
      </c>
      <c r="GV58" s="23">
        <v>1</v>
      </c>
      <c r="GW58" s="23">
        <v>0</v>
      </c>
      <c r="GX58" s="23">
        <v>0</v>
      </c>
      <c r="GY58" s="23">
        <v>355</v>
      </c>
      <c r="GZ58" s="23">
        <v>491</v>
      </c>
      <c r="HA58" s="23">
        <v>47</v>
      </c>
      <c r="HB58" s="23">
        <v>0</v>
      </c>
      <c r="HC58" s="23">
        <v>53</v>
      </c>
      <c r="HD58" s="23">
        <v>1</v>
      </c>
      <c r="HE58" s="23">
        <v>0</v>
      </c>
      <c r="HF58" s="23">
        <v>5</v>
      </c>
      <c r="HG58" s="23">
        <v>0</v>
      </c>
      <c r="HH58" s="23">
        <v>0</v>
      </c>
      <c r="HI58" s="23">
        <v>1</v>
      </c>
      <c r="HJ58" s="23">
        <v>74</v>
      </c>
      <c r="HK58" s="23">
        <v>0</v>
      </c>
      <c r="HL58" s="23">
        <v>0</v>
      </c>
      <c r="HM58" s="23">
        <v>1</v>
      </c>
      <c r="HN58" s="23">
        <v>1</v>
      </c>
      <c r="HO58" s="23">
        <v>0</v>
      </c>
      <c r="HP58" s="23">
        <v>0</v>
      </c>
      <c r="HQ58" s="23">
        <v>382</v>
      </c>
      <c r="HR58" s="23">
        <v>0</v>
      </c>
      <c r="HS58" s="23">
        <v>959</v>
      </c>
      <c r="HT58" s="23">
        <v>0</v>
      </c>
      <c r="HU58" s="23">
        <v>0</v>
      </c>
      <c r="HV58" s="23">
        <v>31</v>
      </c>
      <c r="HW58" s="23">
        <v>0</v>
      </c>
      <c r="HX58" s="23">
        <v>0</v>
      </c>
      <c r="HY58" s="23">
        <v>0</v>
      </c>
      <c r="HZ58" s="23">
        <v>0</v>
      </c>
      <c r="IA58" s="23">
        <v>0</v>
      </c>
      <c r="IB58" s="23">
        <v>0</v>
      </c>
      <c r="IC58" s="23">
        <v>0</v>
      </c>
      <c r="ID58" s="23">
        <v>0</v>
      </c>
      <c r="IE58" s="23">
        <v>0</v>
      </c>
      <c r="IF58" s="23">
        <v>0</v>
      </c>
      <c r="IG58" s="23">
        <v>0</v>
      </c>
      <c r="IH58" s="23">
        <v>0</v>
      </c>
      <c r="II58" s="23">
        <v>26</v>
      </c>
      <c r="IJ58" s="23">
        <v>0</v>
      </c>
      <c r="IK58" s="23">
        <v>0</v>
      </c>
      <c r="IL58" s="23">
        <v>0</v>
      </c>
      <c r="IM58" s="23">
        <v>0</v>
      </c>
      <c r="IN58" s="23">
        <v>0</v>
      </c>
      <c r="IO58" s="23">
        <v>0</v>
      </c>
      <c r="IP58" s="23">
        <v>0</v>
      </c>
      <c r="IQ58" s="23">
        <v>0</v>
      </c>
      <c r="IR58" s="23">
        <v>0</v>
      </c>
      <c r="IS58" s="23">
        <v>0</v>
      </c>
      <c r="IT58" s="23">
        <v>0</v>
      </c>
      <c r="IU58" s="23">
        <v>0</v>
      </c>
      <c r="IV58" s="23">
        <v>0</v>
      </c>
      <c r="IW58" s="23">
        <v>0</v>
      </c>
      <c r="IX58" s="23">
        <v>0</v>
      </c>
      <c r="IY58" s="23">
        <v>0</v>
      </c>
      <c r="IZ58" s="23">
        <v>0</v>
      </c>
      <c r="JA58" s="23">
        <v>0</v>
      </c>
      <c r="JB58" s="23">
        <v>0</v>
      </c>
      <c r="JC58" s="23">
        <v>0</v>
      </c>
      <c r="JD58" s="23">
        <v>0</v>
      </c>
      <c r="JE58" s="23">
        <v>0</v>
      </c>
      <c r="JF58" s="23">
        <v>0</v>
      </c>
      <c r="JG58" s="23">
        <v>0</v>
      </c>
      <c r="JH58" s="23">
        <v>0</v>
      </c>
      <c r="JI58" s="23">
        <v>0</v>
      </c>
      <c r="JJ58" s="23">
        <v>0</v>
      </c>
      <c r="JK58" s="23">
        <v>0</v>
      </c>
      <c r="JL58" s="23">
        <v>0</v>
      </c>
      <c r="JM58" s="23">
        <v>0</v>
      </c>
      <c r="JN58" s="23">
        <v>0</v>
      </c>
      <c r="JO58" s="23">
        <v>6</v>
      </c>
      <c r="JP58" s="23">
        <v>0</v>
      </c>
      <c r="JQ58" s="23">
        <v>144</v>
      </c>
      <c r="JR58" s="23">
        <v>14</v>
      </c>
      <c r="JS58" s="23">
        <v>1</v>
      </c>
      <c r="JT58" s="23">
        <v>0</v>
      </c>
      <c r="JU58" s="23">
        <v>0</v>
      </c>
      <c r="JV58" s="23">
        <v>15</v>
      </c>
      <c r="JW58" s="23">
        <v>17</v>
      </c>
      <c r="JX58" s="23">
        <v>3</v>
      </c>
      <c r="JY58" s="23">
        <v>0</v>
      </c>
      <c r="JZ58" s="23">
        <v>12</v>
      </c>
      <c r="KA58" s="23">
        <v>6</v>
      </c>
      <c r="KB58" s="23">
        <v>8</v>
      </c>
      <c r="KC58" s="23">
        <v>1</v>
      </c>
      <c r="KD58" s="23">
        <v>5</v>
      </c>
      <c r="KE58" s="23">
        <v>0</v>
      </c>
      <c r="KF58" s="23">
        <v>0</v>
      </c>
      <c r="KG58" s="23">
        <v>8</v>
      </c>
      <c r="KH58" s="23">
        <v>41</v>
      </c>
      <c r="KI58" s="23">
        <v>0</v>
      </c>
      <c r="KJ58" s="23">
        <v>2</v>
      </c>
      <c r="KK58" s="23">
        <v>0</v>
      </c>
      <c r="KL58" s="23">
        <v>1</v>
      </c>
      <c r="KM58" s="23">
        <v>0</v>
      </c>
      <c r="KN58" s="23">
        <v>3</v>
      </c>
      <c r="KO58" s="23">
        <v>4</v>
      </c>
      <c r="KP58" s="23">
        <v>4</v>
      </c>
      <c r="KQ58" s="23">
        <v>15</v>
      </c>
      <c r="KR58" s="23">
        <v>0</v>
      </c>
      <c r="KS58" s="23">
        <v>150</v>
      </c>
      <c r="KT58" s="23">
        <v>7</v>
      </c>
      <c r="KU58" s="23">
        <v>0</v>
      </c>
      <c r="KV58" s="23">
        <v>3</v>
      </c>
      <c r="KW58" s="23">
        <v>2</v>
      </c>
      <c r="KX58" s="23">
        <v>14</v>
      </c>
      <c r="KY58" s="23">
        <v>12</v>
      </c>
      <c r="KZ58" s="23">
        <v>3</v>
      </c>
      <c r="LA58" s="23">
        <v>7</v>
      </c>
      <c r="LB58" s="23">
        <v>0</v>
      </c>
      <c r="LC58" s="23">
        <v>3</v>
      </c>
      <c r="LD58" s="23">
        <v>16</v>
      </c>
      <c r="LE58" s="23">
        <v>2</v>
      </c>
      <c r="LF58" s="23">
        <v>1</v>
      </c>
      <c r="LG58" s="23">
        <v>8</v>
      </c>
      <c r="LH58" s="23">
        <v>167</v>
      </c>
      <c r="LI58" s="23">
        <v>0</v>
      </c>
      <c r="LJ58" s="23">
        <v>3</v>
      </c>
      <c r="LK58" s="23">
        <v>0</v>
      </c>
      <c r="LL58" s="23">
        <v>0</v>
      </c>
      <c r="LM58" s="23">
        <v>0</v>
      </c>
      <c r="LN58" s="278">
        <f ca="1">$A58 - TST!Sweden100dt + 1</f>
        <v>4</v>
      </c>
      <c r="LO58" s="20">
        <f ca="1">INDEX(OFFSET(TST!HeadRow,ROW()-ROW(TST!HeadRow),0,1,COLUMNS(TST!HeadRow)),1,MATCH(LO$5,TST!HeadRow,0))/LO$8</f>
        <v>347.01857282502448</v>
      </c>
      <c r="LP58" s="278">
        <f ca="1">$A58 - TST!Spain100dt + 1</f>
        <v>4</v>
      </c>
      <c r="LQ58" s="20">
        <f ca="1">INDEX(OFFSET(TST!HeadRow,ROW()-ROW(TST!HeadRow),0,1,COLUMNS(TST!HeadRow)),1,MATCH(LQ$5,TST!HeadRow,0))/LQ$8</f>
        <v>361.09927567106945</v>
      </c>
      <c r="LR58" s="285">
        <f ca="1">$A58 - TST!Victoria100dt + 1</f>
        <v>-5</v>
      </c>
      <c r="LS58" s="20">
        <f ca="1">INDEX(OFFSET(TST!HeadRow,ROW()-ROW(TST!HeadRow),0,1,COLUMNS(TST!HeadRow)),1,MATCH(LS$5,TST!HeadRow,0))/LS$8</f>
        <v>27.153416804947955</v>
      </c>
      <c r="LT58" s="278">
        <f ca="1">$A58 - TST!Iran100dt + 1</f>
        <v>10</v>
      </c>
      <c r="LU58" s="20">
        <f ca="1">INDEX(OFFSET(TST!HeadRow,ROW()-ROW(TST!HeadRow),0,1,COLUMNS(TST!HeadRow)),1,MATCH(LU$5,TST!HeadRow,0))/LU$8</f>
        <v>959.97517099781555</v>
      </c>
      <c r="LV58" s="278">
        <f ca="1">$A58 - TST!Japan100dt + 1</f>
        <v>-14</v>
      </c>
      <c r="LW58" s="20">
        <f ca="1">INDEX(OFFSET(TST!HeadRow,ROW()-ROW(TST!HeadRow),0,1,COLUMNS(TST!HeadRow)),1,MATCH(LW$5,TST!HeadRow,0))/LW$8</f>
        <v>45.909182486811602</v>
      </c>
      <c r="LX58" s="278">
        <f ca="1">$A58 - TST!Queensland100dt + 1</f>
        <v>-4</v>
      </c>
      <c r="LY58" s="20">
        <f ca="1">INDEX(OFFSET(TST!HeadRow,ROW()-ROW(TST!HeadRow),0,1,COLUMNS(TST!HeadRow)),1,MATCH(LY$5,TST!HeadRow,0))/LY$8</f>
        <v>35.187513280842687</v>
      </c>
      <c r="LZ58" s="278">
        <f ca="1">$A58 - TST!Tasmania100dt + 1</f>
        <v>-4</v>
      </c>
      <c r="MA58" s="20">
        <f ca="1">INDEX(OFFSET(TST!HeadRow,ROW()-ROW(TST!HeadRow),0,1,COLUMNS(TST!HeadRow)),1,MATCH(MA$5,TST!HeadRow,0))/MA$8</f>
        <v>38.834951456310684</v>
      </c>
      <c r="MB58" s="278">
        <f ca="1">$A58 - TST!SouthAustralia100dt + 1</f>
        <v>-3</v>
      </c>
      <c r="MC58" s="20">
        <f ca="1">INDEX(OFFSET(TST!HeadRow,ROW()-ROW(TST!HeadRow),0,1,COLUMNS(TST!HeadRow)),1,MATCH(MC$5,TST!HeadRow,0))/MC$8</f>
        <v>41.91616766467066</v>
      </c>
      <c r="MD58" s="278">
        <f ca="1">$A58 - TST!AustralianCapitalTerritory100dt + 1</f>
        <v>-9</v>
      </c>
      <c r="ME58" s="20">
        <f ca="1">INDEX(OFFSET(TST!HeadRow,ROW()-ROW(TST!HeadRow),0,1,COLUMNS(TST!HeadRow)),1,MATCH(ME$5,TST!HeadRow,0))/ME$8</f>
        <v>0</v>
      </c>
      <c r="MF58" s="278">
        <f ca="1">$A58 - TST!NorthernTerritory100dt + 1</f>
        <v>-9</v>
      </c>
      <c r="MG58" s="20">
        <f ca="1">INDEX(OFFSET(TST!HeadRow,ROW()-ROW(TST!HeadRow),0,1,COLUMNS(TST!HeadRow)),1,MATCH(MG$5,TST!HeadRow,0))/MG$8</f>
        <v>47.182051947439192</v>
      </c>
      <c r="MH58" s="278">
        <f ca="1">$A58 - TST!WesternAustralia100dt + 1</f>
        <v>-5</v>
      </c>
      <c r="MI58" s="20">
        <f ca="1">INDEX(OFFSET(TST!HeadRow,ROW()-ROW(TST!HeadRow),0,1,COLUMNS(TST!HeadRow)),1,MATCH(MI$5,TST!HeadRow,0))/MI$8</f>
        <v>23.174971031286209</v>
      </c>
      <c r="MJ58" s="278">
        <f ca="1">$A58 - TST!Germany100dt + 1</f>
        <v>3</v>
      </c>
      <c r="MK58" s="20">
        <f ca="1">INDEX(OFFSET(TST!HeadRow,ROW()-ROW(TST!HeadRow),0,1,COLUMNS(TST!HeadRow)),1,MATCH(MK$5,TST!HeadRow,0))/MK$8</f>
        <v>175.49987954709709</v>
      </c>
      <c r="ML58" s="278">
        <f ca="1">$A58 - TST!Denmark100dt + 1</f>
        <v>2</v>
      </c>
      <c r="MM58" s="20">
        <f ca="1">INDEX(OFFSET(TST!HeadRow,ROW()-ROW(TST!HeadRow),0,1,COLUMNS(TST!HeadRow)),1,MATCH(MM$5,TST!HeadRow,0))/MM$8</f>
        <v>451.25732001377884</v>
      </c>
      <c r="MN58" s="278">
        <f ca="1">$A58 - TST!SouthAfrica100dt + 1</f>
        <v>-14</v>
      </c>
      <c r="MO58" s="20">
        <f ca="1">INDEX(OFFSET(TST!HeadRow,ROW()-ROW(TST!HeadRow),0,1,COLUMNS(TST!HeadRow)),1,MATCH(MO$5,TST!HeadRow,0))/MO$8</f>
        <v>1.2114918656974734</v>
      </c>
      <c r="MP58" s="278">
        <f ca="1">$A58 - TST!UnitedKingdom100dt + 1</f>
        <v>-2</v>
      </c>
      <c r="MQ58" s="20">
        <f ca="1">INDEX(OFFSET(TST!HeadRow,ROW()-ROW(TST!HeadRow),0,1,COLUMNS(TST!HeadRow)),1,MATCH(MQ$5,TST!HeadRow,0))/MQ$8</f>
        <v>57.495484647802527</v>
      </c>
      <c r="MR58" s="278">
        <f ca="1">$A58 - TST!Ireland100dt + 1</f>
        <v>-2</v>
      </c>
      <c r="MS58" s="20">
        <f ca="1">INDEX(OFFSET(TST!HeadRow,ROW()-ROW(TST!HeadRow),0,1,COLUMNS(TST!HeadRow)),1,MATCH(MS$5,TST!HeadRow,0))/MS$8</f>
        <v>69.387755102040813</v>
      </c>
      <c r="MT58" s="278">
        <f ca="1">$A58 - TST!Italy100dt + 1</f>
        <v>13</v>
      </c>
      <c r="MU58" s="20">
        <f ca="1">INDEX(OFFSET(TST!HeadRow,ROW()-ROW(TST!HeadRow),0,1,COLUMNS(TST!HeadRow)),1,MATCH(MU$5,TST!HeadRow,0))/MU$8</f>
        <v>1677.9366785153345</v>
      </c>
      <c r="MV58" s="278">
        <f ca="1">$A58 - TST!US100dt + 1</f>
        <v>-4</v>
      </c>
      <c r="MW58" s="20">
        <f ca="1">INDEX(OFFSET(TST!HeadRow,ROW()-ROW(TST!HeadRow),0,1,COLUMNS(TST!HeadRow)),1,MATCH(MW$5,TST!HeadRow,0))/MW$8</f>
        <v>29.128772153972712</v>
      </c>
      <c r="MX58" s="278">
        <f ca="1">$A58 - TST!AustraliaSum100dt + 1</f>
        <v>-4</v>
      </c>
      <c r="MY58" s="366">
        <f t="shared" si="8"/>
        <v>42.185775114335279</v>
      </c>
      <c r="MZ58" s="278">
        <f ca="1">$A58 - TST!NewSouthWales100dt + 1</f>
        <v>-2</v>
      </c>
      <c r="NA58" s="366">
        <f ca="1">INDEX(OFFSET(TST!HeadRow,ROW()-ROW(TST!HeadRow),0,1,COLUMNS(TST!HeadRow)),1,MATCH(NA$5,TST!HeadRow,0))/NA$8</f>
        <v>68.06930693069306</v>
      </c>
      <c r="NB58" s="278">
        <f ca="1">$A58 - TST!Taiwan100dt + 1</f>
        <v>-15</v>
      </c>
      <c r="NC58" s="366">
        <f ca="1">INDEX(OFFSET(TST!HeadRow,ROW()-ROW(TST!HeadRow),0,1,COLUMNS(TST!HeadRow)),1,MATCH(NC$5,TST!HeadRow,0))/NC$8</f>
        <v>19.741858814458535</v>
      </c>
      <c r="ND58" s="20">
        <f ca="1">$A58 - TST!Hubei100dt + 1</f>
        <v>46</v>
      </c>
      <c r="NE58" s="20">
        <f ca="1">INDEX(OFFSET(TST!HeadRow,ROW()-ROW(TST!HeadRow),0,1,COLUMNS(TST!HeadRow)),1,MATCH(NE$5,TST!HeadRow,0))/NE$8</f>
        <v>11582.905982905984</v>
      </c>
      <c r="NF58" s="20">
        <f ca="1">$A58 - TST!HongKong100dt + 1</f>
        <v>16</v>
      </c>
      <c r="NG58" s="20">
        <f ca="1">INDEX(OFFSET(TST!HeadRow,ROW()-ROW(TST!HeadRow),0,1,COLUMNS(TST!HeadRow)),1,MATCH(NG$5,TST!HeadRow,0))/NG$8</f>
        <v>161.05220775734801</v>
      </c>
    </row>
    <row r="59" spans="1:371" x14ac:dyDescent="0.25">
      <c r="A59" s="243">
        <v>43901</v>
      </c>
      <c r="B59" s="23">
        <v>7</v>
      </c>
      <c r="C59" s="23">
        <v>12</v>
      </c>
      <c r="D59" s="23">
        <v>20</v>
      </c>
      <c r="E59" s="23">
        <v>1</v>
      </c>
      <c r="F59" s="23">
        <v>0</v>
      </c>
      <c r="G59" s="23">
        <v>0</v>
      </c>
      <c r="H59" s="23">
        <v>19</v>
      </c>
      <c r="I59" s="23">
        <v>1</v>
      </c>
      <c r="J59" s="23">
        <v>0</v>
      </c>
      <c r="K59" s="293">
        <v>65</v>
      </c>
      <c r="L59" s="23">
        <v>1</v>
      </c>
      <c r="M59" s="290">
        <v>20</v>
      </c>
      <c r="N59" s="23">
        <v>9</v>
      </c>
      <c r="O59" s="384">
        <v>3</v>
      </c>
      <c r="P59" s="287">
        <v>21</v>
      </c>
      <c r="Q59" s="23">
        <v>9</v>
      </c>
      <c r="R59" s="23">
        <v>246</v>
      </c>
      <c r="S59" s="23">
        <v>11</v>
      </c>
      <c r="T59" s="23">
        <v>0</v>
      </c>
      <c r="U59" s="23">
        <v>195</v>
      </c>
      <c r="V59" s="23">
        <v>3</v>
      </c>
      <c r="W59" s="23">
        <v>0</v>
      </c>
      <c r="X59" s="23">
        <v>9</v>
      </c>
      <c r="Y59" s="23">
        <v>314</v>
      </c>
      <c r="Z59" s="23">
        <v>0</v>
      </c>
      <c r="AA59" s="23">
        <v>1</v>
      </c>
      <c r="AB59" s="23">
        <v>2</v>
      </c>
      <c r="AC59" s="23">
        <v>7</v>
      </c>
      <c r="AD59" s="23">
        <v>38</v>
      </c>
      <c r="AE59" s="23">
        <v>11</v>
      </c>
      <c r="AF59" s="23">
        <v>7</v>
      </c>
      <c r="AG59" s="23">
        <v>2</v>
      </c>
      <c r="AH59" s="23">
        <v>0</v>
      </c>
      <c r="AI59" s="23">
        <v>3</v>
      </c>
      <c r="AJ59" s="23">
        <v>2</v>
      </c>
      <c r="AK59" s="23">
        <v>19</v>
      </c>
      <c r="AL59" s="23">
        <v>39</v>
      </c>
      <c r="AM59" s="23">
        <v>0</v>
      </c>
      <c r="AN59" s="23">
        <v>0</v>
      </c>
      <c r="AO59" s="23">
        <v>1</v>
      </c>
      <c r="AP59" s="23">
        <v>0</v>
      </c>
      <c r="AQ59" s="23">
        <v>0</v>
      </c>
      <c r="AR59" s="23">
        <v>41</v>
      </c>
      <c r="AS59" s="23">
        <v>0</v>
      </c>
      <c r="AT59" s="23">
        <v>8</v>
      </c>
      <c r="AU59" s="23">
        <v>0</v>
      </c>
      <c r="AV59" s="23">
        <v>0</v>
      </c>
      <c r="AW59" s="23">
        <v>0</v>
      </c>
      <c r="AX59" s="23">
        <v>23</v>
      </c>
      <c r="AY59" s="23">
        <v>990</v>
      </c>
      <c r="AZ59" s="23">
        <v>435</v>
      </c>
      <c r="BA59" s="23">
        <v>576</v>
      </c>
      <c r="BB59" s="23">
        <v>296</v>
      </c>
      <c r="BC59" s="23">
        <v>127</v>
      </c>
      <c r="BD59" s="23">
        <v>1356</v>
      </c>
      <c r="BE59" s="23">
        <v>252</v>
      </c>
      <c r="BF59" s="23">
        <v>146</v>
      </c>
      <c r="BG59" s="23">
        <v>168</v>
      </c>
      <c r="BH59" s="23">
        <v>318</v>
      </c>
      <c r="BI59" s="23">
        <v>482</v>
      </c>
      <c r="BJ59" s="23">
        <v>1273</v>
      </c>
      <c r="BK59" s="23">
        <v>126</v>
      </c>
      <c r="BL59" s="23">
        <v>67773</v>
      </c>
      <c r="BM59" s="23">
        <v>1018</v>
      </c>
      <c r="BN59" s="23">
        <v>75</v>
      </c>
      <c r="BO59" s="23">
        <v>631</v>
      </c>
      <c r="BP59" s="23">
        <v>935</v>
      </c>
      <c r="BQ59" s="23">
        <v>93</v>
      </c>
      <c r="BR59" s="23">
        <v>125</v>
      </c>
      <c r="BS59" s="23">
        <v>10</v>
      </c>
      <c r="BT59" s="23">
        <v>75</v>
      </c>
      <c r="BU59" s="23">
        <v>18</v>
      </c>
      <c r="BV59" s="23">
        <v>245</v>
      </c>
      <c r="BW59" s="23">
        <v>760</v>
      </c>
      <c r="BX59" s="23">
        <v>344</v>
      </c>
      <c r="BY59" s="23">
        <v>133</v>
      </c>
      <c r="BZ59" s="23">
        <v>539</v>
      </c>
      <c r="CA59" s="23">
        <v>136</v>
      </c>
      <c r="CB59" s="23">
        <v>1</v>
      </c>
      <c r="CC59" s="23">
        <v>76</v>
      </c>
      <c r="CD59" s="23">
        <v>174</v>
      </c>
      <c r="CE59" s="23">
        <v>1215</v>
      </c>
      <c r="CF59" s="23">
        <v>9</v>
      </c>
      <c r="CG59" s="23">
        <v>0</v>
      </c>
      <c r="CH59" s="23">
        <v>1</v>
      </c>
      <c r="CI59" s="23">
        <v>13</v>
      </c>
      <c r="CJ59" s="23">
        <v>1</v>
      </c>
      <c r="CK59" s="23">
        <v>19</v>
      </c>
      <c r="CL59" s="23">
        <v>706</v>
      </c>
      <c r="CM59" s="23">
        <v>0</v>
      </c>
      <c r="CN59" s="23">
        <v>6</v>
      </c>
      <c r="CO59" s="23">
        <v>91</v>
      </c>
      <c r="CP59" s="23">
        <v>2</v>
      </c>
      <c r="CQ59" s="23">
        <v>0</v>
      </c>
      <c r="CR59" s="23">
        <v>442</v>
      </c>
      <c r="CS59" s="23">
        <v>0</v>
      </c>
      <c r="CT59" s="23">
        <v>5</v>
      </c>
      <c r="CU59" s="23">
        <v>17</v>
      </c>
      <c r="CV59" s="23">
        <v>60</v>
      </c>
      <c r="CW59" s="23">
        <v>0</v>
      </c>
      <c r="CX59" s="23">
        <v>0</v>
      </c>
      <c r="CY59" s="23">
        <v>0</v>
      </c>
      <c r="CZ59" s="23">
        <v>16</v>
      </c>
      <c r="DA59" s="23">
        <v>0</v>
      </c>
      <c r="DB59" s="23">
        <v>0</v>
      </c>
      <c r="DC59" s="23">
        <v>0</v>
      </c>
      <c r="DD59" s="23">
        <v>59</v>
      </c>
      <c r="DE59" s="23">
        <v>5</v>
      </c>
      <c r="DF59" s="23">
        <v>0</v>
      </c>
      <c r="DG59" s="23">
        <v>0</v>
      </c>
      <c r="DH59" s="23">
        <v>0</v>
      </c>
      <c r="DI59" s="23">
        <v>0</v>
      </c>
      <c r="DJ59" s="23">
        <v>1</v>
      </c>
      <c r="DK59" s="23">
        <v>1</v>
      </c>
      <c r="DL59" s="23">
        <v>2</v>
      </c>
      <c r="DM59" s="23">
        <v>3</v>
      </c>
      <c r="DN59" s="23">
        <v>2281</v>
      </c>
      <c r="DO59" s="23">
        <v>0</v>
      </c>
      <c r="DP59" s="23">
        <v>0</v>
      </c>
      <c r="DQ59" s="23">
        <v>24</v>
      </c>
      <c r="DR59" s="23">
        <v>1908</v>
      </c>
      <c r="DS59" s="23">
        <v>0</v>
      </c>
      <c r="DT59" s="23">
        <v>99</v>
      </c>
      <c r="DU59" s="23">
        <v>0</v>
      </c>
      <c r="DV59" s="23">
        <v>0</v>
      </c>
      <c r="DW59" s="23">
        <v>0</v>
      </c>
      <c r="DX59" s="23">
        <v>0</v>
      </c>
      <c r="DY59" s="23">
        <v>1</v>
      </c>
      <c r="DZ59" s="23">
        <v>2</v>
      </c>
      <c r="EA59" s="23">
        <v>13</v>
      </c>
      <c r="EB59" s="23">
        <v>85</v>
      </c>
      <c r="EC59" s="23">
        <v>62</v>
      </c>
      <c r="ED59" s="23">
        <v>34</v>
      </c>
      <c r="EE59" s="23">
        <v>9000</v>
      </c>
      <c r="EF59" s="23">
        <v>71</v>
      </c>
      <c r="EG59" s="23">
        <v>43</v>
      </c>
      <c r="EH59" s="23">
        <v>79</v>
      </c>
      <c r="EI59" s="23">
        <v>12462</v>
      </c>
      <c r="EJ59" s="23">
        <v>1</v>
      </c>
      <c r="EK59" s="23">
        <v>639</v>
      </c>
      <c r="EL59" s="23">
        <v>1</v>
      </c>
      <c r="EM59" s="23">
        <v>0</v>
      </c>
      <c r="EN59" s="23">
        <v>0</v>
      </c>
      <c r="EO59" s="23">
        <v>7755</v>
      </c>
      <c r="EP59" s="23">
        <v>72</v>
      </c>
      <c r="EQ59" s="23">
        <v>0</v>
      </c>
      <c r="ER59" s="23">
        <v>10</v>
      </c>
      <c r="ES59" s="23">
        <v>61</v>
      </c>
      <c r="ET59" s="23">
        <v>0</v>
      </c>
      <c r="EU59" s="23">
        <v>1</v>
      </c>
      <c r="EV59" s="23">
        <v>3</v>
      </c>
      <c r="EW59" s="23">
        <v>7</v>
      </c>
      <c r="EX59" s="23">
        <v>0</v>
      </c>
      <c r="EY59" s="23">
        <v>149</v>
      </c>
      <c r="EZ59" s="23">
        <v>8</v>
      </c>
      <c r="FA59" s="23">
        <v>6</v>
      </c>
      <c r="FB59" s="23">
        <v>0</v>
      </c>
      <c r="FC59" s="23">
        <v>0</v>
      </c>
      <c r="FD59" s="23">
        <v>8</v>
      </c>
      <c r="FE59" s="23">
        <v>3</v>
      </c>
      <c r="FF59" s="23">
        <v>1</v>
      </c>
      <c r="FG59" s="23">
        <v>1</v>
      </c>
      <c r="FH59" s="23">
        <v>0</v>
      </c>
      <c r="FI59" s="23">
        <v>5</v>
      </c>
      <c r="FJ59" s="23">
        <v>0</v>
      </c>
      <c r="FK59" s="23">
        <v>1</v>
      </c>
      <c r="FL59" s="23">
        <v>0</v>
      </c>
      <c r="FM59" s="23">
        <v>0</v>
      </c>
      <c r="FN59" s="23">
        <v>0</v>
      </c>
      <c r="FO59" s="23">
        <v>503</v>
      </c>
      <c r="FP59" s="23">
        <v>5</v>
      </c>
      <c r="FQ59" s="23">
        <v>0</v>
      </c>
      <c r="FR59" s="23">
        <v>0</v>
      </c>
      <c r="FS59" s="23">
        <v>2</v>
      </c>
      <c r="FT59" s="23">
        <v>7</v>
      </c>
      <c r="FU59" s="23">
        <v>598</v>
      </c>
      <c r="FV59" s="23">
        <v>18</v>
      </c>
      <c r="FW59" s="23">
        <v>19</v>
      </c>
      <c r="FX59" s="23">
        <v>8</v>
      </c>
      <c r="FY59" s="23">
        <v>0</v>
      </c>
      <c r="FZ59" s="23">
        <v>5</v>
      </c>
      <c r="GA59" s="23">
        <v>11</v>
      </c>
      <c r="GB59" s="23">
        <v>49</v>
      </c>
      <c r="GC59" s="23">
        <v>31</v>
      </c>
      <c r="GD59" s="23">
        <v>59</v>
      </c>
      <c r="GE59" s="23">
        <v>262</v>
      </c>
      <c r="GF59" s="23">
        <v>45</v>
      </c>
      <c r="GG59" s="23">
        <v>20</v>
      </c>
      <c r="GH59" s="23">
        <v>0</v>
      </c>
      <c r="GI59" s="23">
        <v>0</v>
      </c>
      <c r="GJ59" s="23">
        <v>0</v>
      </c>
      <c r="GK59" s="23">
        <v>62</v>
      </c>
      <c r="GL59" s="23">
        <v>21</v>
      </c>
      <c r="GM59" s="23">
        <v>4</v>
      </c>
      <c r="GN59" s="23">
        <v>12</v>
      </c>
      <c r="GO59" s="23">
        <v>0</v>
      </c>
      <c r="GP59" s="23">
        <v>178</v>
      </c>
      <c r="GQ59" s="23">
        <v>10</v>
      </c>
      <c r="GR59" s="23">
        <v>57</v>
      </c>
      <c r="GS59" s="23">
        <v>0</v>
      </c>
      <c r="GT59" s="23">
        <v>13</v>
      </c>
      <c r="GU59" s="23">
        <v>2277</v>
      </c>
      <c r="GV59" s="23">
        <v>2</v>
      </c>
      <c r="GW59" s="23">
        <v>0</v>
      </c>
      <c r="GX59" s="23">
        <v>0</v>
      </c>
      <c r="GY59" s="23">
        <v>500</v>
      </c>
      <c r="GZ59" s="23">
        <v>652</v>
      </c>
      <c r="HA59" s="23">
        <v>48</v>
      </c>
      <c r="HB59" s="23">
        <v>0</v>
      </c>
      <c r="HC59" s="23">
        <v>59</v>
      </c>
      <c r="HD59" s="23">
        <v>1</v>
      </c>
      <c r="HE59" s="23">
        <v>0</v>
      </c>
      <c r="HF59" s="23">
        <v>7</v>
      </c>
      <c r="HG59" s="23">
        <v>1</v>
      </c>
      <c r="HH59" s="23">
        <v>0</v>
      </c>
      <c r="HI59" s="23">
        <v>1</v>
      </c>
      <c r="HJ59" s="23">
        <v>74</v>
      </c>
      <c r="HK59" s="23">
        <v>0</v>
      </c>
      <c r="HL59" s="23">
        <v>0</v>
      </c>
      <c r="HM59" s="23">
        <v>2</v>
      </c>
      <c r="HN59" s="23">
        <v>1</v>
      </c>
      <c r="HO59" s="23">
        <v>0</v>
      </c>
      <c r="HP59" s="23">
        <v>0</v>
      </c>
      <c r="HQ59" s="23">
        <v>456</v>
      </c>
      <c r="HR59" s="23">
        <v>0</v>
      </c>
      <c r="HS59" s="23">
        <v>1281</v>
      </c>
      <c r="HT59" s="23">
        <v>0</v>
      </c>
      <c r="HU59" s="23">
        <v>0</v>
      </c>
      <c r="HV59" s="23">
        <v>38</v>
      </c>
      <c r="HW59" s="23">
        <v>0</v>
      </c>
      <c r="HX59" s="23">
        <v>0</v>
      </c>
      <c r="HY59" s="23">
        <v>0</v>
      </c>
      <c r="HZ59" s="23">
        <v>0</v>
      </c>
      <c r="IA59" s="23">
        <v>0</v>
      </c>
      <c r="IB59" s="23">
        <v>0</v>
      </c>
      <c r="IC59" s="23">
        <v>0</v>
      </c>
      <c r="ID59" s="23">
        <v>0</v>
      </c>
      <c r="IE59" s="23">
        <v>0</v>
      </c>
      <c r="IF59" s="23">
        <v>0</v>
      </c>
      <c r="IG59" s="23">
        <v>0</v>
      </c>
      <c r="IH59" s="23">
        <v>0</v>
      </c>
      <c r="II59" s="23">
        <v>30</v>
      </c>
      <c r="IJ59" s="23">
        <v>0</v>
      </c>
      <c r="IK59" s="23">
        <v>0</v>
      </c>
      <c r="IL59" s="23">
        <v>0</v>
      </c>
      <c r="IM59" s="23">
        <v>0</v>
      </c>
      <c r="IN59" s="23">
        <v>0</v>
      </c>
      <c r="IO59" s="23">
        <v>0</v>
      </c>
      <c r="IP59" s="23">
        <v>0</v>
      </c>
      <c r="IQ59" s="23">
        <v>0</v>
      </c>
      <c r="IR59" s="23">
        <v>0</v>
      </c>
      <c r="IS59" s="23">
        <v>0</v>
      </c>
      <c r="IT59" s="23">
        <v>0</v>
      </c>
      <c r="IU59" s="23">
        <v>0</v>
      </c>
      <c r="IV59" s="23">
        <v>0</v>
      </c>
      <c r="IW59" s="23">
        <v>0</v>
      </c>
      <c r="IX59" s="23">
        <v>0</v>
      </c>
      <c r="IY59" s="23">
        <v>0</v>
      </c>
      <c r="IZ59" s="23">
        <v>0</v>
      </c>
      <c r="JA59" s="23">
        <v>0</v>
      </c>
      <c r="JB59" s="23">
        <v>0</v>
      </c>
      <c r="JC59" s="23">
        <v>0</v>
      </c>
      <c r="JD59" s="23">
        <v>0</v>
      </c>
      <c r="JE59" s="23">
        <v>0</v>
      </c>
      <c r="JF59" s="23">
        <v>0</v>
      </c>
      <c r="JG59" s="23">
        <v>0</v>
      </c>
      <c r="JH59" s="23">
        <v>0</v>
      </c>
      <c r="JI59" s="23">
        <v>0</v>
      </c>
      <c r="JJ59" s="23">
        <v>0</v>
      </c>
      <c r="JK59" s="23">
        <v>0</v>
      </c>
      <c r="JL59" s="23">
        <v>0</v>
      </c>
      <c r="JM59" s="23">
        <v>0</v>
      </c>
      <c r="JN59" s="23">
        <v>0</v>
      </c>
      <c r="JO59" s="23">
        <v>9</v>
      </c>
      <c r="JP59" s="23">
        <v>0</v>
      </c>
      <c r="JQ59" s="23">
        <v>178</v>
      </c>
      <c r="JR59" s="23">
        <v>30</v>
      </c>
      <c r="JS59" s="23">
        <v>3</v>
      </c>
      <c r="JT59" s="23">
        <v>1</v>
      </c>
      <c r="JU59" s="23">
        <v>0</v>
      </c>
      <c r="JV59" s="23">
        <v>24</v>
      </c>
      <c r="JW59" s="23">
        <v>23</v>
      </c>
      <c r="JX59" s="23">
        <v>2</v>
      </c>
      <c r="JY59" s="23">
        <v>0</v>
      </c>
      <c r="JZ59" s="23">
        <v>25</v>
      </c>
      <c r="KA59" s="23">
        <v>11</v>
      </c>
      <c r="KB59" s="23">
        <v>13</v>
      </c>
      <c r="KC59" s="23">
        <v>1</v>
      </c>
      <c r="KD59" s="23">
        <v>8</v>
      </c>
      <c r="KE59" s="23">
        <v>5</v>
      </c>
      <c r="KF59" s="23">
        <v>0</v>
      </c>
      <c r="KG59" s="23">
        <v>9</v>
      </c>
      <c r="KH59" s="23">
        <v>92</v>
      </c>
      <c r="KI59" s="23">
        <v>2</v>
      </c>
      <c r="KJ59" s="23">
        <v>5</v>
      </c>
      <c r="KK59" s="23">
        <v>0</v>
      </c>
      <c r="KL59" s="23">
        <v>1</v>
      </c>
      <c r="KM59" s="23">
        <v>0</v>
      </c>
      <c r="KN59" s="23">
        <v>5</v>
      </c>
      <c r="KO59" s="23">
        <v>7</v>
      </c>
      <c r="KP59" s="23">
        <v>5</v>
      </c>
      <c r="KQ59" s="23">
        <v>23</v>
      </c>
      <c r="KR59" s="23">
        <v>3</v>
      </c>
      <c r="KS59" s="23">
        <v>220</v>
      </c>
      <c r="KT59" s="23">
        <v>7</v>
      </c>
      <c r="KU59" s="23">
        <v>0</v>
      </c>
      <c r="KV59" s="23">
        <v>4</v>
      </c>
      <c r="KW59" s="23">
        <v>2</v>
      </c>
      <c r="KX59" s="23">
        <v>19</v>
      </c>
      <c r="KY59" s="23">
        <v>16</v>
      </c>
      <c r="KZ59" s="23">
        <v>5</v>
      </c>
      <c r="LA59" s="23">
        <v>10</v>
      </c>
      <c r="LB59" s="23">
        <v>8</v>
      </c>
      <c r="LC59" s="23">
        <v>9</v>
      </c>
      <c r="LD59" s="23">
        <v>21</v>
      </c>
      <c r="LE59" s="23">
        <v>3</v>
      </c>
      <c r="LF59" s="23">
        <v>1</v>
      </c>
      <c r="LG59" s="23">
        <v>9</v>
      </c>
      <c r="LH59" s="23">
        <v>282</v>
      </c>
      <c r="LI59" s="23">
        <v>0</v>
      </c>
      <c r="LJ59" s="23">
        <v>4</v>
      </c>
      <c r="LK59" s="23">
        <v>0</v>
      </c>
      <c r="LL59" s="23">
        <v>0</v>
      </c>
      <c r="LM59" s="23">
        <v>0</v>
      </c>
      <c r="LN59" s="278">
        <f ca="1">$A59 - TST!Sweden100dt + 1</f>
        <v>5</v>
      </c>
      <c r="LO59" s="20">
        <f ca="1">INDEX(OFFSET(TST!HeadRow,ROW()-ROW(TST!HeadRow),0,1,COLUMNS(TST!HeadRow)),1,MATCH(LO$5,TST!HeadRow,0))/LO$8</f>
        <v>488.75855327468236</v>
      </c>
      <c r="LP59" s="278">
        <f ca="1">$A59 - TST!Spain100dt + 1</f>
        <v>5</v>
      </c>
      <c r="LQ59" s="20">
        <f ca="1">INDEX(OFFSET(TST!HeadRow,ROW()-ROW(TST!HeadRow),0,1,COLUMNS(TST!HeadRow)),1,MATCH(LQ$5,TST!HeadRow,0))/LQ$8</f>
        <v>485.08734554750748</v>
      </c>
      <c r="LR59" s="285">
        <f ca="1">$A59 - TST!Victoria100dt + 1</f>
        <v>-4</v>
      </c>
      <c r="LS59" s="20">
        <f ca="1">INDEX(OFFSET(TST!HeadRow,ROW()-ROW(TST!HeadRow),0,1,COLUMNS(TST!HeadRow)),1,MATCH(LS$5,TST!HeadRow,0))/LS$8</f>
        <v>31.678986272439278</v>
      </c>
      <c r="LT59" s="278">
        <f ca="1">$A59 - TST!Iran100dt + 1</f>
        <v>11</v>
      </c>
      <c r="LU59" s="20">
        <f ca="1">INDEX(OFFSET(TST!HeadRow,ROW()-ROW(TST!HeadRow),0,1,COLUMNS(TST!HeadRow)),1,MATCH(LU$5,TST!HeadRow,0))/LU$8</f>
        <v>1074.3318252897711</v>
      </c>
      <c r="LV59" s="278">
        <f ca="1">$A59 - TST!Japan100dt + 1</f>
        <v>-13</v>
      </c>
      <c r="LW59" s="20">
        <f ca="1">INDEX(OFFSET(TST!HeadRow,ROW()-ROW(TST!HeadRow),0,1,COLUMNS(TST!HeadRow)),1,MATCH(LW$5,TST!HeadRow,0))/LW$8</f>
        <v>50.49219898291328</v>
      </c>
      <c r="LX59" s="278">
        <f ca="1">$A59 - TST!Queensland100dt + 1</f>
        <v>-3</v>
      </c>
      <c r="LY59" s="20">
        <f ca="1">INDEX(OFFSET(TST!HeadRow,ROW()-ROW(TST!HeadRow),0,1,COLUMNS(TST!HeadRow)),1,MATCH(LY$5,TST!HeadRow,0))/LY$8</f>
        <v>39.097236978714101</v>
      </c>
      <c r="LZ59" s="278">
        <f ca="1">$A59 - TST!Tasmania100dt + 1</f>
        <v>-3</v>
      </c>
      <c r="MA59" s="20">
        <f ca="1">INDEX(OFFSET(TST!HeadRow,ROW()-ROW(TST!HeadRow),0,1,COLUMNS(TST!HeadRow)),1,MATCH(MA$5,TST!HeadRow,0))/MA$8</f>
        <v>58.252427184466022</v>
      </c>
      <c r="MB59" s="278">
        <f ca="1">$A59 - TST!SouthAustralia100dt + 1</f>
        <v>-2</v>
      </c>
      <c r="MC59" s="20">
        <f ca="1">INDEX(OFFSET(TST!HeadRow,ROW()-ROW(TST!HeadRow),0,1,COLUMNS(TST!HeadRow)),1,MATCH(MC$5,TST!HeadRow,0))/MC$8</f>
        <v>53.892215568862269</v>
      </c>
      <c r="MD59" s="278">
        <f ca="1">$A59 - TST!AustralianCapitalTerritory100dt + 1</f>
        <v>-8</v>
      </c>
      <c r="ME59" s="20">
        <f ca="1">INDEX(OFFSET(TST!HeadRow,ROW()-ROW(TST!HeadRow),0,1,COLUMNS(TST!HeadRow)),1,MATCH(ME$5,TST!HeadRow,0))/ME$8</f>
        <v>0</v>
      </c>
      <c r="MF59" s="278">
        <f ca="1">$A59 - TST!NorthernTerritory100dt + 1</f>
        <v>-8</v>
      </c>
      <c r="MG59" s="20">
        <f ca="1">INDEX(OFFSET(TST!HeadRow,ROW()-ROW(TST!HeadRow),0,1,COLUMNS(TST!HeadRow)),1,MATCH(MG$5,TST!HeadRow,0))/MG$8</f>
        <v>47.182051947439192</v>
      </c>
      <c r="MH59" s="278">
        <f ca="1">$A59 - TST!WesternAustralia100dt + 1</f>
        <v>-4</v>
      </c>
      <c r="MI59" s="20">
        <f ca="1">INDEX(OFFSET(TST!HeadRow,ROW()-ROW(TST!HeadRow),0,1,COLUMNS(TST!HeadRow)),1,MATCH(MI$5,TST!HeadRow,0))/MI$8</f>
        <v>34.762456546929315</v>
      </c>
      <c r="MJ59" s="278">
        <f ca="1">$A59 - TST!Germany100dt + 1</f>
        <v>4</v>
      </c>
      <c r="MK59" s="20">
        <f ca="1">INDEX(OFFSET(TST!HeadRow,ROW()-ROW(TST!HeadRow),0,1,COLUMNS(TST!HeadRow)),1,MATCH(MK$5,TST!HeadRow,0))/MK$8</f>
        <v>229.82413876174417</v>
      </c>
      <c r="ML59" s="278">
        <f ca="1">$A59 - TST!Denmark100dt + 1</f>
        <v>3</v>
      </c>
      <c r="MM59" s="20">
        <f ca="1">INDEX(OFFSET(TST!HeadRow,ROW()-ROW(TST!HeadRow),0,1,COLUMNS(TST!HeadRow)),1,MATCH(MM$5,TST!HeadRow,0))/MM$8</f>
        <v>761.28143300034446</v>
      </c>
      <c r="MN59" s="278">
        <f ca="1">$A59 - TST!SouthAfrica100dt + 1</f>
        <v>-13</v>
      </c>
      <c r="MO59" s="20">
        <f ca="1">INDEX(OFFSET(TST!HeadRow,ROW()-ROW(TST!HeadRow),0,1,COLUMNS(TST!HeadRow)),1,MATCH(MO$5,TST!HeadRow,0))/MO$8</f>
        <v>2.249913464866736</v>
      </c>
      <c r="MP59" s="278">
        <f ca="1">$A59 - TST!UnitedKingdom100dt + 1</f>
        <v>-1</v>
      </c>
      <c r="MQ59" s="20">
        <f ca="1">INDEX(OFFSET(TST!HeadRow,ROW()-ROW(TST!HeadRow),0,1,COLUMNS(TST!HeadRow)),1,MATCH(MQ$5,TST!HeadRow,0))/MQ$8</f>
        <v>68.633353401565316</v>
      </c>
      <c r="MR59" s="278">
        <f ca="1">$A59 - TST!Ireland100dt + 1</f>
        <v>-1</v>
      </c>
      <c r="MS59" s="20">
        <f ca="1">INDEX(OFFSET(TST!HeadRow,ROW()-ROW(TST!HeadRow),0,1,COLUMNS(TST!HeadRow)),1,MATCH(MS$5,TST!HeadRow,0))/MS$8</f>
        <v>87.755102040816325</v>
      </c>
      <c r="MT59" s="278">
        <f ca="1">$A59 - TST!Italy100dt + 1</f>
        <v>14</v>
      </c>
      <c r="MU59" s="20">
        <f ca="1">INDEX(OFFSET(TST!HeadRow,ROW()-ROW(TST!HeadRow),0,1,COLUMNS(TST!HeadRow)),1,MATCH(MU$5,TST!HeadRow,0))/MU$8</f>
        <v>2060.3455402165828</v>
      </c>
      <c r="MV59" s="278">
        <f ca="1">$A59 - TST!US100dt + 1</f>
        <v>-3</v>
      </c>
      <c r="MW59" s="20">
        <f ca="1">INDEX(OFFSET(TST!HeadRow,ROW()-ROW(TST!HeadRow),0,1,COLUMNS(TST!HeadRow)),1,MATCH(MW$5,TST!HeadRow,0))/MW$8</f>
        <v>38.909235796912455</v>
      </c>
      <c r="MX59" s="278">
        <f ca="1">$A59 - TST!AustraliaSum100dt + 1</f>
        <v>-3</v>
      </c>
      <c r="MY59" s="366">
        <f t="shared" si="8"/>
        <v>50.465226304999213</v>
      </c>
      <c r="MZ59" s="278">
        <f ca="1">$A59 - TST!NewSouthWales100dt + 1</f>
        <v>-1</v>
      </c>
      <c r="NA59" s="366">
        <f ca="1">INDEX(OFFSET(TST!HeadRow,ROW()-ROW(TST!HeadRow),0,1,COLUMNS(TST!HeadRow)),1,MATCH(NA$5,TST!HeadRow,0))/NA$8</f>
        <v>80.445544554455438</v>
      </c>
      <c r="NB59" s="278">
        <f ca="1">$A59 - TST!Taiwan100dt + 1</f>
        <v>-14</v>
      </c>
      <c r="NC59" s="366">
        <f ca="1">INDEX(OFFSET(TST!HeadRow,ROW()-ROW(TST!HeadRow),0,1,COLUMNS(TST!HeadRow)),1,MATCH(NC$5,TST!HeadRow,0))/NC$8</f>
        <v>20.161898363702331</v>
      </c>
      <c r="ND59" s="20">
        <f ca="1">$A59 - TST!Hubei100dt + 1</f>
        <v>47</v>
      </c>
      <c r="NE59" s="20">
        <f ca="1">INDEX(OFFSET(TST!HeadRow,ROW()-ROW(TST!HeadRow),0,1,COLUMNS(TST!HeadRow)),1,MATCH(NE$5,TST!HeadRow,0))/NE$8</f>
        <v>11585.128205128205</v>
      </c>
      <c r="NF59" s="20">
        <f ca="1">$A59 - TST!HongKong100dt + 1</f>
        <v>17</v>
      </c>
      <c r="NG59" s="20">
        <f ca="1">INDEX(OFFSET(TST!HeadRow,ROW()-ROW(TST!HeadRow),0,1,COLUMNS(TST!HeadRow)),1,MATCH(NG$5,TST!HeadRow,0))/NG$8</f>
        <v>169.1048181452154</v>
      </c>
    </row>
    <row r="60" spans="1:371" x14ac:dyDescent="0.25">
      <c r="A60" s="243">
        <v>43902</v>
      </c>
      <c r="B60" s="23">
        <v>7</v>
      </c>
      <c r="C60" s="23">
        <v>23</v>
      </c>
      <c r="D60" s="23">
        <v>24</v>
      </c>
      <c r="E60" s="23">
        <v>1</v>
      </c>
      <c r="F60" s="23">
        <v>0</v>
      </c>
      <c r="G60" s="23">
        <v>0</v>
      </c>
      <c r="H60" s="23">
        <v>19</v>
      </c>
      <c r="I60" s="23">
        <v>4</v>
      </c>
      <c r="J60" s="23">
        <v>0</v>
      </c>
      <c r="K60" s="293">
        <v>65</v>
      </c>
      <c r="L60" s="23">
        <v>1</v>
      </c>
      <c r="M60" s="290">
        <v>20</v>
      </c>
      <c r="N60" s="23">
        <v>9</v>
      </c>
      <c r="O60" s="384">
        <v>3</v>
      </c>
      <c r="P60" s="287">
        <v>21</v>
      </c>
      <c r="Q60" s="23">
        <v>9</v>
      </c>
      <c r="R60" s="23">
        <v>302</v>
      </c>
      <c r="S60" s="23">
        <v>11</v>
      </c>
      <c r="T60" s="23">
        <v>0</v>
      </c>
      <c r="U60" s="23">
        <v>195</v>
      </c>
      <c r="V60" s="23">
        <v>3</v>
      </c>
      <c r="W60" s="23">
        <v>0</v>
      </c>
      <c r="X60" s="23">
        <v>12</v>
      </c>
      <c r="Y60" s="23">
        <v>314</v>
      </c>
      <c r="Z60" s="23">
        <v>0</v>
      </c>
      <c r="AA60" s="23">
        <v>1</v>
      </c>
      <c r="AB60" s="23">
        <v>2</v>
      </c>
      <c r="AC60" s="23">
        <v>11</v>
      </c>
      <c r="AD60" s="23">
        <v>52</v>
      </c>
      <c r="AE60" s="23">
        <v>11</v>
      </c>
      <c r="AF60" s="23">
        <v>7</v>
      </c>
      <c r="AG60" s="23">
        <v>2</v>
      </c>
      <c r="AH60" s="23">
        <v>0</v>
      </c>
      <c r="AI60" s="23">
        <v>3</v>
      </c>
      <c r="AJ60" s="23">
        <v>2</v>
      </c>
      <c r="AK60" s="23">
        <v>19</v>
      </c>
      <c r="AL60" s="23">
        <v>46</v>
      </c>
      <c r="AM60" s="23">
        <v>0</v>
      </c>
      <c r="AN60" s="23">
        <v>0</v>
      </c>
      <c r="AO60" s="23">
        <v>1</v>
      </c>
      <c r="AP60" s="23">
        <v>0</v>
      </c>
      <c r="AQ60" s="23">
        <v>0</v>
      </c>
      <c r="AR60" s="23">
        <v>42</v>
      </c>
      <c r="AS60" s="23">
        <v>0</v>
      </c>
      <c r="AT60" s="23">
        <v>9</v>
      </c>
      <c r="AU60" s="23">
        <v>0</v>
      </c>
      <c r="AV60" s="23">
        <v>0</v>
      </c>
      <c r="AW60" s="23">
        <v>0</v>
      </c>
      <c r="AX60" s="23">
        <v>23</v>
      </c>
      <c r="AY60" s="23">
        <v>990</v>
      </c>
      <c r="AZ60" s="23">
        <v>435</v>
      </c>
      <c r="BA60" s="23">
        <v>576</v>
      </c>
      <c r="BB60" s="23">
        <v>296</v>
      </c>
      <c r="BC60" s="23">
        <v>127</v>
      </c>
      <c r="BD60" s="23">
        <v>1356</v>
      </c>
      <c r="BE60" s="23">
        <v>252</v>
      </c>
      <c r="BF60" s="23">
        <v>146</v>
      </c>
      <c r="BG60" s="23">
        <v>168</v>
      </c>
      <c r="BH60" s="23">
        <v>318</v>
      </c>
      <c r="BI60" s="23">
        <v>482</v>
      </c>
      <c r="BJ60" s="23">
        <v>1273</v>
      </c>
      <c r="BK60" s="23">
        <v>129</v>
      </c>
      <c r="BL60" s="23">
        <v>67781</v>
      </c>
      <c r="BM60" s="23">
        <v>1018</v>
      </c>
      <c r="BN60" s="23">
        <v>75</v>
      </c>
      <c r="BO60" s="23">
        <v>631</v>
      </c>
      <c r="BP60" s="23">
        <v>935</v>
      </c>
      <c r="BQ60" s="23">
        <v>93</v>
      </c>
      <c r="BR60" s="23">
        <v>125</v>
      </c>
      <c r="BS60" s="23">
        <v>10</v>
      </c>
      <c r="BT60" s="23">
        <v>75</v>
      </c>
      <c r="BU60" s="23">
        <v>18</v>
      </c>
      <c r="BV60" s="23">
        <v>245</v>
      </c>
      <c r="BW60" s="23">
        <v>760</v>
      </c>
      <c r="BX60" s="23">
        <v>344</v>
      </c>
      <c r="BY60" s="23">
        <v>133</v>
      </c>
      <c r="BZ60" s="23">
        <v>539</v>
      </c>
      <c r="CA60" s="23">
        <v>136</v>
      </c>
      <c r="CB60" s="23">
        <v>1</v>
      </c>
      <c r="CC60" s="23">
        <v>76</v>
      </c>
      <c r="CD60" s="23">
        <v>174</v>
      </c>
      <c r="CE60" s="23">
        <v>1215</v>
      </c>
      <c r="CF60" s="23">
        <v>9</v>
      </c>
      <c r="CG60" s="23">
        <v>0</v>
      </c>
      <c r="CH60" s="23">
        <v>1</v>
      </c>
      <c r="CI60" s="23">
        <v>22</v>
      </c>
      <c r="CJ60" s="23">
        <v>1</v>
      </c>
      <c r="CK60" s="23">
        <v>19</v>
      </c>
      <c r="CL60" s="23">
        <v>706</v>
      </c>
      <c r="CM60" s="23">
        <v>3</v>
      </c>
      <c r="CN60" s="23">
        <v>6</v>
      </c>
      <c r="CO60" s="23">
        <v>94</v>
      </c>
      <c r="CP60" s="23">
        <v>2</v>
      </c>
      <c r="CQ60" s="23">
        <v>0</v>
      </c>
      <c r="CR60" s="23">
        <v>615</v>
      </c>
      <c r="CS60" s="23">
        <v>0</v>
      </c>
      <c r="CT60" s="23">
        <v>5</v>
      </c>
      <c r="CU60" s="23">
        <v>17</v>
      </c>
      <c r="CV60" s="23">
        <v>67</v>
      </c>
      <c r="CW60" s="23">
        <v>0</v>
      </c>
      <c r="CX60" s="23">
        <v>0</v>
      </c>
      <c r="CY60" s="23">
        <v>0</v>
      </c>
      <c r="CZ60" s="23">
        <v>16</v>
      </c>
      <c r="DA60" s="23">
        <v>0</v>
      </c>
      <c r="DB60" s="23">
        <v>0</v>
      </c>
      <c r="DC60" s="23">
        <v>0</v>
      </c>
      <c r="DD60" s="23">
        <v>59</v>
      </c>
      <c r="DE60" s="23">
        <v>5</v>
      </c>
      <c r="DF60" s="23">
        <v>0</v>
      </c>
      <c r="DG60" s="23">
        <v>0</v>
      </c>
      <c r="DH60" s="23">
        <v>0</v>
      </c>
      <c r="DI60" s="23">
        <v>0</v>
      </c>
      <c r="DJ60" s="23">
        <v>1</v>
      </c>
      <c r="DK60" s="23">
        <v>1</v>
      </c>
      <c r="DL60" s="23">
        <v>2</v>
      </c>
      <c r="DM60" s="23">
        <v>3</v>
      </c>
      <c r="DN60" s="23">
        <v>2281</v>
      </c>
      <c r="DO60" s="23">
        <v>0</v>
      </c>
      <c r="DP60" s="23">
        <v>0</v>
      </c>
      <c r="DQ60" s="23">
        <v>24</v>
      </c>
      <c r="DR60" s="23">
        <v>2078</v>
      </c>
      <c r="DS60" s="23">
        <v>0</v>
      </c>
      <c r="DT60" s="23">
        <v>99</v>
      </c>
      <c r="DU60" s="23">
        <v>0</v>
      </c>
      <c r="DV60" s="23">
        <v>0</v>
      </c>
      <c r="DW60" s="23">
        <v>1</v>
      </c>
      <c r="DX60" s="23">
        <v>0</v>
      </c>
      <c r="DY60" s="23">
        <v>1</v>
      </c>
      <c r="DZ60" s="23">
        <v>2</v>
      </c>
      <c r="EA60" s="23">
        <v>13</v>
      </c>
      <c r="EB60" s="23">
        <v>103</v>
      </c>
      <c r="EC60" s="23">
        <v>73</v>
      </c>
      <c r="ED60" s="23">
        <v>34</v>
      </c>
      <c r="EE60" s="23">
        <v>10075</v>
      </c>
      <c r="EF60" s="23">
        <v>71</v>
      </c>
      <c r="EG60" s="23">
        <v>43</v>
      </c>
      <c r="EH60" s="23">
        <v>100</v>
      </c>
      <c r="EI60" s="23">
        <v>12462</v>
      </c>
      <c r="EJ60" s="23">
        <v>2</v>
      </c>
      <c r="EK60" s="23">
        <v>639</v>
      </c>
      <c r="EL60" s="23">
        <v>1</v>
      </c>
      <c r="EM60" s="23">
        <v>0</v>
      </c>
      <c r="EN60" s="23">
        <v>0</v>
      </c>
      <c r="EO60" s="23">
        <v>7869</v>
      </c>
      <c r="EP60" s="23">
        <v>80</v>
      </c>
      <c r="EQ60" s="23">
        <v>0</v>
      </c>
      <c r="ER60" s="23">
        <v>10</v>
      </c>
      <c r="ES60" s="23">
        <v>61</v>
      </c>
      <c r="ET60" s="23">
        <v>0</v>
      </c>
      <c r="EU60" s="23">
        <v>1</v>
      </c>
      <c r="EV60" s="23">
        <v>3</v>
      </c>
      <c r="EW60" s="23">
        <v>19</v>
      </c>
      <c r="EX60" s="23">
        <v>0</v>
      </c>
      <c r="EY60" s="23">
        <v>149</v>
      </c>
      <c r="EZ60" s="23">
        <v>8</v>
      </c>
      <c r="FA60" s="23">
        <v>6</v>
      </c>
      <c r="FB60" s="23">
        <v>0</v>
      </c>
      <c r="FC60" s="23">
        <v>0</v>
      </c>
      <c r="FD60" s="23">
        <v>12</v>
      </c>
      <c r="FE60" s="23">
        <v>3</v>
      </c>
      <c r="FF60" s="23">
        <v>2</v>
      </c>
      <c r="FG60" s="23">
        <v>1</v>
      </c>
      <c r="FH60" s="23">
        <v>0</v>
      </c>
      <c r="FI60" s="23">
        <v>6</v>
      </c>
      <c r="FJ60" s="23">
        <v>0</v>
      </c>
      <c r="FK60" s="23">
        <v>1</v>
      </c>
      <c r="FL60" s="23">
        <v>0</v>
      </c>
      <c r="FM60" s="23">
        <v>0</v>
      </c>
      <c r="FN60" s="23">
        <v>0</v>
      </c>
      <c r="FO60" s="23">
        <v>503</v>
      </c>
      <c r="FP60" s="23">
        <v>5</v>
      </c>
      <c r="FQ60" s="23">
        <v>0</v>
      </c>
      <c r="FR60" s="23">
        <v>0</v>
      </c>
      <c r="FS60" s="23">
        <v>2</v>
      </c>
      <c r="FT60" s="23">
        <v>7</v>
      </c>
      <c r="FU60" s="23">
        <v>702</v>
      </c>
      <c r="FV60" s="23">
        <v>18</v>
      </c>
      <c r="FW60" s="23">
        <v>20</v>
      </c>
      <c r="FX60" s="23">
        <v>11</v>
      </c>
      <c r="FY60" s="23">
        <v>0</v>
      </c>
      <c r="FZ60" s="23">
        <v>5</v>
      </c>
      <c r="GA60" s="23">
        <v>15</v>
      </c>
      <c r="GB60" s="23">
        <v>52</v>
      </c>
      <c r="GC60" s="23">
        <v>49</v>
      </c>
      <c r="GD60" s="23">
        <v>59</v>
      </c>
      <c r="GE60" s="23">
        <v>262</v>
      </c>
      <c r="GF60" s="23">
        <v>49</v>
      </c>
      <c r="GG60" s="23">
        <v>28</v>
      </c>
      <c r="GH60" s="23">
        <v>0</v>
      </c>
      <c r="GI60" s="23">
        <v>0</v>
      </c>
      <c r="GJ60" s="23">
        <v>0</v>
      </c>
      <c r="GK60" s="23">
        <v>69</v>
      </c>
      <c r="GL60" s="23">
        <v>45</v>
      </c>
      <c r="GM60" s="23">
        <v>4</v>
      </c>
      <c r="GN60" s="23">
        <v>19</v>
      </c>
      <c r="GO60" s="23">
        <v>0</v>
      </c>
      <c r="GP60" s="23">
        <v>178</v>
      </c>
      <c r="GQ60" s="23">
        <v>16</v>
      </c>
      <c r="GR60" s="23">
        <v>89</v>
      </c>
      <c r="GS60" s="23">
        <v>0</v>
      </c>
      <c r="GT60" s="23">
        <v>17</v>
      </c>
      <c r="GU60" s="23">
        <v>2277</v>
      </c>
      <c r="GV60" s="23">
        <v>2</v>
      </c>
      <c r="GW60" s="23">
        <v>0</v>
      </c>
      <c r="GX60" s="23">
        <v>0</v>
      </c>
      <c r="GY60" s="23">
        <v>599</v>
      </c>
      <c r="GZ60" s="23">
        <v>652</v>
      </c>
      <c r="HA60" s="23">
        <v>49</v>
      </c>
      <c r="HB60" s="23">
        <v>0</v>
      </c>
      <c r="HC60" s="23">
        <v>70</v>
      </c>
      <c r="HD60" s="23">
        <v>1</v>
      </c>
      <c r="HE60" s="23">
        <v>0</v>
      </c>
      <c r="HF60" s="23">
        <v>7</v>
      </c>
      <c r="HG60" s="23">
        <v>1</v>
      </c>
      <c r="HH60" s="23">
        <v>0</v>
      </c>
      <c r="HI60" s="23">
        <v>1</v>
      </c>
      <c r="HJ60" s="23">
        <v>85</v>
      </c>
      <c r="HK60" s="23">
        <v>0</v>
      </c>
      <c r="HL60" s="23">
        <v>0</v>
      </c>
      <c r="HM60" s="23">
        <v>2</v>
      </c>
      <c r="HN60" s="23">
        <v>1</v>
      </c>
      <c r="HO60" s="23">
        <v>0</v>
      </c>
      <c r="HP60" s="23">
        <v>0</v>
      </c>
      <c r="HQ60" s="23">
        <v>456</v>
      </c>
      <c r="HR60" s="23">
        <v>0</v>
      </c>
      <c r="HS60" s="23">
        <v>1663</v>
      </c>
      <c r="HT60" s="23">
        <v>0</v>
      </c>
      <c r="HU60" s="23">
        <v>0</v>
      </c>
      <c r="HV60" s="23">
        <v>39</v>
      </c>
      <c r="HW60" s="23">
        <v>0</v>
      </c>
      <c r="HX60" s="23">
        <v>0</v>
      </c>
      <c r="HY60" s="23">
        <v>0</v>
      </c>
      <c r="HZ60" s="23">
        <v>0</v>
      </c>
      <c r="IA60" s="23">
        <v>0</v>
      </c>
      <c r="IB60" s="23">
        <v>0</v>
      </c>
      <c r="IC60" s="23">
        <v>0</v>
      </c>
      <c r="ID60" s="23">
        <v>0</v>
      </c>
      <c r="IE60" s="23">
        <v>0</v>
      </c>
      <c r="IF60" s="23">
        <v>0</v>
      </c>
      <c r="IG60" s="23">
        <v>0</v>
      </c>
      <c r="IH60" s="23">
        <v>0</v>
      </c>
      <c r="II60" s="23">
        <v>30</v>
      </c>
      <c r="IJ60" s="23">
        <v>0</v>
      </c>
      <c r="IK60" s="23">
        <v>0</v>
      </c>
      <c r="IL60" s="23">
        <v>0</v>
      </c>
      <c r="IM60" s="23">
        <v>0</v>
      </c>
      <c r="IN60" s="23">
        <v>0</v>
      </c>
      <c r="IO60" s="23">
        <v>0</v>
      </c>
      <c r="IP60" s="23">
        <v>0</v>
      </c>
      <c r="IQ60" s="23">
        <v>0</v>
      </c>
      <c r="IR60" s="23">
        <v>0</v>
      </c>
      <c r="IS60" s="23">
        <v>0</v>
      </c>
      <c r="IT60" s="23">
        <v>0</v>
      </c>
      <c r="IU60" s="23">
        <v>0</v>
      </c>
      <c r="IV60" s="23">
        <v>0</v>
      </c>
      <c r="IW60" s="23">
        <v>0</v>
      </c>
      <c r="IX60" s="23">
        <v>0</v>
      </c>
      <c r="IY60" s="23">
        <v>0</v>
      </c>
      <c r="IZ60" s="23">
        <v>0</v>
      </c>
      <c r="JA60" s="23">
        <v>0</v>
      </c>
      <c r="JB60" s="23">
        <v>0</v>
      </c>
      <c r="JC60" s="23">
        <v>0</v>
      </c>
      <c r="JD60" s="23">
        <v>0</v>
      </c>
      <c r="JE60" s="23">
        <v>0</v>
      </c>
      <c r="JF60" s="23">
        <v>0</v>
      </c>
      <c r="JG60" s="23">
        <v>0</v>
      </c>
      <c r="JH60" s="23">
        <v>0</v>
      </c>
      <c r="JI60" s="23">
        <v>0</v>
      </c>
      <c r="JJ60" s="23">
        <v>0</v>
      </c>
      <c r="JK60" s="23">
        <v>0</v>
      </c>
      <c r="JL60" s="23">
        <v>0</v>
      </c>
      <c r="JM60" s="23">
        <v>0</v>
      </c>
      <c r="JN60" s="23">
        <v>0</v>
      </c>
      <c r="JO60" s="23">
        <v>9</v>
      </c>
      <c r="JP60" s="23">
        <v>0</v>
      </c>
      <c r="JQ60" s="23">
        <v>221</v>
      </c>
      <c r="JR60" s="23">
        <v>45</v>
      </c>
      <c r="JS60" s="23">
        <v>5</v>
      </c>
      <c r="JT60" s="23">
        <v>1</v>
      </c>
      <c r="JU60" s="23">
        <v>0</v>
      </c>
      <c r="JV60" s="23">
        <v>30</v>
      </c>
      <c r="JW60" s="23">
        <v>31</v>
      </c>
      <c r="JX60" s="23">
        <v>2</v>
      </c>
      <c r="JY60" s="23">
        <v>0</v>
      </c>
      <c r="JZ60" s="23">
        <v>32</v>
      </c>
      <c r="KA60" s="23">
        <v>13</v>
      </c>
      <c r="KB60" s="23">
        <v>14</v>
      </c>
      <c r="KC60" s="23">
        <v>4</v>
      </c>
      <c r="KD60" s="23">
        <v>10</v>
      </c>
      <c r="KE60" s="23">
        <v>19</v>
      </c>
      <c r="KF60" s="23">
        <v>1</v>
      </c>
      <c r="KG60" s="23">
        <v>12</v>
      </c>
      <c r="KH60" s="23">
        <v>107</v>
      </c>
      <c r="KI60" s="23">
        <v>2</v>
      </c>
      <c r="KJ60" s="23">
        <v>9</v>
      </c>
      <c r="KK60" s="23">
        <v>1</v>
      </c>
      <c r="KL60" s="23">
        <v>2</v>
      </c>
      <c r="KM60" s="23">
        <v>0</v>
      </c>
      <c r="KN60" s="23">
        <v>10</v>
      </c>
      <c r="KO60" s="23">
        <v>10</v>
      </c>
      <c r="KP60" s="23">
        <v>6</v>
      </c>
      <c r="KQ60" s="23">
        <v>29</v>
      </c>
      <c r="KR60" s="23">
        <v>5</v>
      </c>
      <c r="KS60" s="23">
        <v>327</v>
      </c>
      <c r="KT60" s="23">
        <v>15</v>
      </c>
      <c r="KU60" s="23">
        <v>1</v>
      </c>
      <c r="KV60" s="23">
        <v>5</v>
      </c>
      <c r="KW60" s="23">
        <v>3</v>
      </c>
      <c r="KX60" s="23">
        <v>24</v>
      </c>
      <c r="KY60" s="23">
        <v>22</v>
      </c>
      <c r="KZ60" s="23">
        <v>3</v>
      </c>
      <c r="LA60" s="23">
        <v>7</v>
      </c>
      <c r="LB60" s="23">
        <v>7</v>
      </c>
      <c r="LC60" s="23">
        <v>18</v>
      </c>
      <c r="LD60" s="23">
        <v>27</v>
      </c>
      <c r="LE60" s="23">
        <v>3</v>
      </c>
      <c r="LF60" s="23">
        <v>2</v>
      </c>
      <c r="LG60" s="23">
        <v>12</v>
      </c>
      <c r="LH60" s="23">
        <v>442</v>
      </c>
      <c r="LI60" s="23">
        <v>0</v>
      </c>
      <c r="LJ60" s="23">
        <v>8</v>
      </c>
      <c r="LK60" s="23">
        <v>1</v>
      </c>
      <c r="LL60" s="23">
        <v>0</v>
      </c>
      <c r="LM60" s="23">
        <v>0</v>
      </c>
      <c r="LN60" s="278">
        <f ca="1">$A60 - TST!Sweden100dt + 1</f>
        <v>6</v>
      </c>
      <c r="LO60" s="20">
        <f ca="1">INDEX(OFFSET(TST!HeadRow,ROW()-ROW(TST!HeadRow),0,1,COLUMNS(TST!HeadRow)),1,MATCH(LO$5,TST!HeadRow,0))/LO$8</f>
        <v>585.53274682306949</v>
      </c>
      <c r="LP60" s="278">
        <f ca="1">$A60 - TST!Spain100dt + 1</f>
        <v>6</v>
      </c>
      <c r="LQ60" s="20">
        <f ca="1">INDEX(OFFSET(TST!HeadRow,ROW()-ROW(TST!HeadRow),0,1,COLUMNS(TST!HeadRow)),1,MATCH(LQ$5,TST!HeadRow,0))/LQ$8</f>
        <v>485.08734554750748</v>
      </c>
      <c r="LR60" s="285">
        <f ca="1">$A60 - TST!Victoria100dt + 1</f>
        <v>-3</v>
      </c>
      <c r="LS60" s="20">
        <f ca="1">INDEX(OFFSET(TST!HeadRow,ROW()-ROW(TST!HeadRow),0,1,COLUMNS(TST!HeadRow)),1,MATCH(LS$5,TST!HeadRow,0))/LS$8</f>
        <v>31.678986272439278</v>
      </c>
      <c r="LT60" s="278">
        <f ca="1">$A60 - TST!Iran100dt + 1</f>
        <v>12</v>
      </c>
      <c r="LU60" s="20">
        <f ca="1">INDEX(OFFSET(TST!HeadRow,ROW()-ROW(TST!HeadRow),0,1,COLUMNS(TST!HeadRow)),1,MATCH(LU$5,TST!HeadRow,0))/LU$8</f>
        <v>1202.6547933104939</v>
      </c>
      <c r="LV60" s="278">
        <f ca="1">$A60 - TST!Japan100dt + 1</f>
        <v>-12</v>
      </c>
      <c r="LW60" s="20">
        <f ca="1">INDEX(OFFSET(TST!HeadRow,ROW()-ROW(TST!HeadRow),0,1,COLUMNS(TST!HeadRow)),1,MATCH(LW$5,TST!HeadRow,0))/LW$8</f>
        <v>50.49219898291328</v>
      </c>
      <c r="LX60" s="278">
        <f ca="1">$A60 - TST!Queensland100dt + 1</f>
        <v>-2</v>
      </c>
      <c r="LY60" s="20">
        <f ca="1">INDEX(OFFSET(TST!HeadRow,ROW()-ROW(TST!HeadRow),0,1,COLUMNS(TST!HeadRow)),1,MATCH(LY$5,TST!HeadRow,0))/LY$8</f>
        <v>39.097236978714101</v>
      </c>
      <c r="LZ60" s="278">
        <f ca="1">$A60 - TST!Tasmania100dt + 1</f>
        <v>-2</v>
      </c>
      <c r="MA60" s="20">
        <f ca="1">INDEX(OFFSET(TST!HeadRow,ROW()-ROW(TST!HeadRow),0,1,COLUMNS(TST!HeadRow)),1,MATCH(MA$5,TST!HeadRow,0))/MA$8</f>
        <v>58.252427184466022</v>
      </c>
      <c r="MB60" s="278">
        <f ca="1">$A60 - TST!SouthAustralia100dt + 1</f>
        <v>-1</v>
      </c>
      <c r="MC60" s="20">
        <f ca="1">INDEX(OFFSET(TST!HeadRow,ROW()-ROW(TST!HeadRow),0,1,COLUMNS(TST!HeadRow)),1,MATCH(MC$5,TST!HeadRow,0))/MC$8</f>
        <v>53.892215568862269</v>
      </c>
      <c r="MD60" s="278">
        <f ca="1">$A60 - TST!AustralianCapitalTerritory100dt + 1</f>
        <v>-7</v>
      </c>
      <c r="ME60" s="20">
        <f ca="1">INDEX(OFFSET(TST!HeadRow,ROW()-ROW(TST!HeadRow),0,1,COLUMNS(TST!HeadRow)),1,MATCH(ME$5,TST!HeadRow,0))/ME$8</f>
        <v>0</v>
      </c>
      <c r="MF60" s="278">
        <f ca="1">$A60 - TST!NorthernTerritory100dt + 1</f>
        <v>-7</v>
      </c>
      <c r="MG60" s="20">
        <f ca="1">INDEX(OFFSET(TST!HeadRow,ROW()-ROW(TST!HeadRow),0,1,COLUMNS(TST!HeadRow)),1,MATCH(MG$5,TST!HeadRow,0))/MG$8</f>
        <v>47.182051947439192</v>
      </c>
      <c r="MH60" s="278">
        <f ca="1">$A60 - TST!WesternAustralia100dt + 1</f>
        <v>-3</v>
      </c>
      <c r="MI60" s="20">
        <f ca="1">INDEX(OFFSET(TST!HeadRow,ROW()-ROW(TST!HeadRow),0,1,COLUMNS(TST!HeadRow)),1,MATCH(MI$5,TST!HeadRow,0))/MI$8</f>
        <v>34.762456546929315</v>
      </c>
      <c r="MJ60" s="278">
        <f ca="1">$A60 - TST!Germany100dt + 1</f>
        <v>5</v>
      </c>
      <c r="MK60" s="20">
        <f ca="1">INDEX(OFFSET(TST!HeadRow,ROW()-ROW(TST!HeadRow),0,1,COLUMNS(TST!HeadRow)),1,MATCH(MK$5,TST!HeadRow,0))/MK$8</f>
        <v>250.30113225728741</v>
      </c>
      <c r="ML60" s="278">
        <f ca="1">$A60 - TST!Denmark100dt + 1</f>
        <v>4</v>
      </c>
      <c r="MM60" s="20">
        <f ca="1">INDEX(OFFSET(TST!HeadRow,ROW()-ROW(TST!HeadRow),0,1,COLUMNS(TST!HeadRow)),1,MATCH(MM$5,TST!HeadRow,0))/MM$8</f>
        <v>1059.2490527040991</v>
      </c>
      <c r="MN60" s="278">
        <f ca="1">$A60 - TST!SouthAfrica100dt + 1</f>
        <v>-12</v>
      </c>
      <c r="MO60" s="20">
        <f ca="1">INDEX(OFFSET(TST!HeadRow,ROW()-ROW(TST!HeadRow),0,1,COLUMNS(TST!HeadRow)),1,MATCH(MO$5,TST!HeadRow,0))/MO$8</f>
        <v>2.9421945309795778</v>
      </c>
      <c r="MP60" s="278">
        <f ca="1">$A60 - TST!UnitedKingdom100dt + 1</f>
        <v>0</v>
      </c>
      <c r="MQ60" s="20">
        <f ca="1">INDEX(OFFSET(TST!HeadRow,ROW()-ROW(TST!HeadRow),0,1,COLUMNS(TST!HeadRow)),1,MATCH(MQ$5,TST!HeadRow,0))/MQ$8</f>
        <v>68.633353401565316</v>
      </c>
      <c r="MR60" s="278">
        <f ca="1">$A60 - TST!Ireland100dt + 1</f>
        <v>0</v>
      </c>
      <c r="MS60" s="20">
        <f ca="1">INDEX(OFFSET(TST!HeadRow,ROW()-ROW(TST!HeadRow),0,1,COLUMNS(TST!HeadRow)),1,MATCH(MS$5,TST!HeadRow,0))/MS$8</f>
        <v>87.755102040816325</v>
      </c>
      <c r="MT60" s="278">
        <f ca="1">$A60 - TST!Italy100dt + 1</f>
        <v>15</v>
      </c>
      <c r="MU60" s="20">
        <f ca="1">INDEX(OFFSET(TST!HeadRow,ROW()-ROW(TST!HeadRow),0,1,COLUMNS(TST!HeadRow)),1,MATCH(MU$5,TST!HeadRow,0))/MU$8</f>
        <v>2060.3455402165828</v>
      </c>
      <c r="MV60" s="278">
        <f ca="1">$A60 - TST!US100dt + 1</f>
        <v>-2</v>
      </c>
      <c r="MW60" s="20">
        <f ca="1">INDEX(OFFSET(TST!HeadRow,ROW()-ROW(TST!HeadRow),0,1,COLUMNS(TST!HeadRow)),1,MATCH(MW$5,TST!HeadRow,0))/MW$8</f>
        <v>50.512146081393766</v>
      </c>
      <c r="MX60" s="278">
        <f ca="1">$A60 - TST!AustraliaSum100dt + 1</f>
        <v>-2</v>
      </c>
      <c r="MY60" s="366">
        <f t="shared" si="8"/>
        <v>50.465226304999213</v>
      </c>
      <c r="MZ60" s="278">
        <f ca="1">$A60 - TST!NewSouthWales100dt + 1</f>
        <v>0</v>
      </c>
      <c r="NA60" s="366">
        <f ca="1">INDEX(OFFSET(TST!HeadRow,ROW()-ROW(TST!HeadRow),0,1,COLUMNS(TST!HeadRow)),1,MATCH(NA$5,TST!HeadRow,0))/NA$8</f>
        <v>80.445544554455438</v>
      </c>
      <c r="NB60" s="278">
        <f ca="1">$A60 - TST!Taiwan100dt + 1</f>
        <v>-13</v>
      </c>
      <c r="NC60" s="366">
        <f ca="1">INDEX(OFFSET(TST!HeadRow,ROW()-ROW(TST!HeadRow),0,1,COLUMNS(TST!HeadRow)),1,MATCH(NC$5,TST!HeadRow,0))/NC$8</f>
        <v>20.581937912946131</v>
      </c>
      <c r="ND60" s="20">
        <f ca="1">$A60 - TST!Hubei100dt + 1</f>
        <v>48</v>
      </c>
      <c r="NE60" s="20">
        <f ca="1">INDEX(OFFSET(TST!HeadRow,ROW()-ROW(TST!HeadRow),0,1,COLUMNS(TST!HeadRow)),1,MATCH(NE$5,TST!HeadRow,0))/NE$8</f>
        <v>11586.495726495727</v>
      </c>
      <c r="NF60" s="20">
        <f ca="1">$A60 - TST!HongKong100dt + 1</f>
        <v>18</v>
      </c>
      <c r="NG60" s="20">
        <f ca="1">INDEX(OFFSET(TST!HeadRow,ROW()-ROW(TST!HeadRow),0,1,COLUMNS(TST!HeadRow)),1,MATCH(NG$5,TST!HeadRow,0))/NG$8</f>
        <v>173.1311233391491</v>
      </c>
    </row>
    <row r="61" spans="1:371" x14ac:dyDescent="0.25">
      <c r="A61" s="243">
        <v>43903</v>
      </c>
      <c r="B61" s="23">
        <v>7</v>
      </c>
      <c r="C61" s="23">
        <v>33</v>
      </c>
      <c r="D61" s="23">
        <v>26</v>
      </c>
      <c r="E61" s="23">
        <v>1</v>
      </c>
      <c r="F61" s="23">
        <v>0</v>
      </c>
      <c r="G61" s="23">
        <v>1</v>
      </c>
      <c r="H61" s="23">
        <v>31</v>
      </c>
      <c r="I61" s="23">
        <v>8</v>
      </c>
      <c r="J61" s="23">
        <v>1</v>
      </c>
      <c r="K61" s="293">
        <v>92</v>
      </c>
      <c r="L61" s="23">
        <v>1</v>
      </c>
      <c r="M61" s="290">
        <v>35</v>
      </c>
      <c r="N61" s="23">
        <v>16</v>
      </c>
      <c r="O61" s="384">
        <v>5</v>
      </c>
      <c r="P61" s="287">
        <v>36</v>
      </c>
      <c r="Q61" s="23">
        <v>14</v>
      </c>
      <c r="R61" s="23">
        <v>504</v>
      </c>
      <c r="S61" s="23">
        <v>15</v>
      </c>
      <c r="T61" s="23">
        <v>0</v>
      </c>
      <c r="U61" s="23">
        <v>195</v>
      </c>
      <c r="V61" s="23">
        <v>3</v>
      </c>
      <c r="W61" s="23">
        <v>0</v>
      </c>
      <c r="X61" s="23">
        <v>27</v>
      </c>
      <c r="Y61" s="23">
        <v>559</v>
      </c>
      <c r="Z61" s="23">
        <v>0</v>
      </c>
      <c r="AA61" s="23">
        <v>1</v>
      </c>
      <c r="AB61" s="23">
        <v>3</v>
      </c>
      <c r="AC61" s="23">
        <v>13</v>
      </c>
      <c r="AD61" s="23">
        <v>151</v>
      </c>
      <c r="AE61" s="23">
        <v>37</v>
      </c>
      <c r="AF61" s="23">
        <v>23</v>
      </c>
      <c r="AG61" s="23">
        <v>2</v>
      </c>
      <c r="AH61" s="23">
        <v>0</v>
      </c>
      <c r="AI61" s="23">
        <v>5</v>
      </c>
      <c r="AJ61" s="23">
        <v>2</v>
      </c>
      <c r="AK61" s="23">
        <v>29</v>
      </c>
      <c r="AL61" s="23">
        <v>64</v>
      </c>
      <c r="AM61" s="23">
        <v>2</v>
      </c>
      <c r="AN61" s="23">
        <v>4</v>
      </c>
      <c r="AO61" s="23">
        <v>1</v>
      </c>
      <c r="AP61" s="23">
        <v>0</v>
      </c>
      <c r="AQ61" s="23">
        <v>0</v>
      </c>
      <c r="AR61" s="23">
        <v>74</v>
      </c>
      <c r="AS61" s="23">
        <v>0</v>
      </c>
      <c r="AT61" s="23">
        <v>17</v>
      </c>
      <c r="AU61" s="23">
        <v>2</v>
      </c>
      <c r="AV61" s="23">
        <v>0</v>
      </c>
      <c r="AW61" s="23">
        <v>0</v>
      </c>
      <c r="AX61" s="23">
        <v>43</v>
      </c>
      <c r="AY61" s="23">
        <v>990</v>
      </c>
      <c r="AZ61" s="23">
        <v>436</v>
      </c>
      <c r="BA61" s="23">
        <v>576</v>
      </c>
      <c r="BB61" s="23">
        <v>296</v>
      </c>
      <c r="BC61" s="23">
        <v>127</v>
      </c>
      <c r="BD61" s="23">
        <v>1356</v>
      </c>
      <c r="BE61" s="23">
        <v>252</v>
      </c>
      <c r="BF61" s="23">
        <v>146</v>
      </c>
      <c r="BG61" s="23">
        <v>168</v>
      </c>
      <c r="BH61" s="23">
        <v>318</v>
      </c>
      <c r="BI61" s="23">
        <v>482</v>
      </c>
      <c r="BJ61" s="23">
        <v>1273</v>
      </c>
      <c r="BK61" s="23">
        <v>134</v>
      </c>
      <c r="BL61" s="23">
        <v>67786</v>
      </c>
      <c r="BM61" s="23">
        <v>1018</v>
      </c>
      <c r="BN61" s="23">
        <v>75</v>
      </c>
      <c r="BO61" s="23">
        <v>631</v>
      </c>
      <c r="BP61" s="23">
        <v>935</v>
      </c>
      <c r="BQ61" s="23">
        <v>93</v>
      </c>
      <c r="BR61" s="23">
        <v>125</v>
      </c>
      <c r="BS61" s="23">
        <v>10</v>
      </c>
      <c r="BT61" s="23">
        <v>75</v>
      </c>
      <c r="BU61" s="23">
        <v>18</v>
      </c>
      <c r="BV61" s="23">
        <v>245</v>
      </c>
      <c r="BW61" s="23">
        <v>760</v>
      </c>
      <c r="BX61" s="23">
        <v>346</v>
      </c>
      <c r="BY61" s="23">
        <v>133</v>
      </c>
      <c r="BZ61" s="23">
        <v>539</v>
      </c>
      <c r="CA61" s="23">
        <v>136</v>
      </c>
      <c r="CB61" s="23">
        <v>1</v>
      </c>
      <c r="CC61" s="23">
        <v>76</v>
      </c>
      <c r="CD61" s="23">
        <v>174</v>
      </c>
      <c r="CE61" s="23">
        <v>1215</v>
      </c>
      <c r="CF61" s="23">
        <v>13</v>
      </c>
      <c r="CG61" s="23">
        <v>0</v>
      </c>
      <c r="CH61" s="23">
        <v>2</v>
      </c>
      <c r="CI61" s="23">
        <v>23</v>
      </c>
      <c r="CJ61" s="23">
        <v>1</v>
      </c>
      <c r="CK61" s="23">
        <v>32</v>
      </c>
      <c r="CL61" s="23">
        <v>706</v>
      </c>
      <c r="CM61" s="23">
        <v>4</v>
      </c>
      <c r="CN61" s="23">
        <v>14</v>
      </c>
      <c r="CO61" s="23">
        <v>141</v>
      </c>
      <c r="CP61" s="23">
        <v>3</v>
      </c>
      <c r="CQ61" s="23">
        <v>0</v>
      </c>
      <c r="CR61" s="23">
        <v>801</v>
      </c>
      <c r="CS61" s="23">
        <v>0</v>
      </c>
      <c r="CT61" s="23">
        <v>5</v>
      </c>
      <c r="CU61" s="23">
        <v>17</v>
      </c>
      <c r="CV61" s="23">
        <v>80</v>
      </c>
      <c r="CW61" s="23">
        <v>0</v>
      </c>
      <c r="CX61" s="23">
        <v>0</v>
      </c>
      <c r="CY61" s="23">
        <v>0</v>
      </c>
      <c r="CZ61" s="23">
        <v>79</v>
      </c>
      <c r="DA61" s="23">
        <v>0</v>
      </c>
      <c r="DB61" s="23">
        <v>1</v>
      </c>
      <c r="DC61" s="23">
        <v>0</v>
      </c>
      <c r="DD61" s="23">
        <v>155</v>
      </c>
      <c r="DE61" s="23">
        <v>5</v>
      </c>
      <c r="DF61" s="23">
        <v>3</v>
      </c>
      <c r="DG61" s="23">
        <v>1</v>
      </c>
      <c r="DH61" s="23">
        <v>0</v>
      </c>
      <c r="DI61" s="23">
        <v>0</v>
      </c>
      <c r="DJ61" s="23">
        <v>5</v>
      </c>
      <c r="DK61" s="23">
        <v>1</v>
      </c>
      <c r="DL61" s="23">
        <v>2</v>
      </c>
      <c r="DM61" s="23">
        <v>3</v>
      </c>
      <c r="DN61" s="23">
        <v>3661</v>
      </c>
      <c r="DO61" s="23">
        <v>0</v>
      </c>
      <c r="DP61" s="23">
        <v>0</v>
      </c>
      <c r="DQ61" s="23">
        <v>25</v>
      </c>
      <c r="DR61" s="23">
        <v>3675</v>
      </c>
      <c r="DS61" s="23">
        <v>0</v>
      </c>
      <c r="DT61" s="23">
        <v>190</v>
      </c>
      <c r="DU61" s="23">
        <v>0</v>
      </c>
      <c r="DV61" s="23">
        <v>1</v>
      </c>
      <c r="DW61" s="23">
        <v>1</v>
      </c>
      <c r="DX61" s="23">
        <v>0</v>
      </c>
      <c r="DY61" s="23">
        <v>1</v>
      </c>
      <c r="DZ61" s="23">
        <v>2</v>
      </c>
      <c r="EA61" s="23">
        <v>19</v>
      </c>
      <c r="EB61" s="23">
        <v>134</v>
      </c>
      <c r="EC61" s="23">
        <v>82</v>
      </c>
      <c r="ED61" s="23">
        <v>69</v>
      </c>
      <c r="EE61" s="23">
        <v>11364</v>
      </c>
      <c r="EF61" s="23">
        <v>101</v>
      </c>
      <c r="EG61" s="23">
        <v>90</v>
      </c>
      <c r="EH61" s="23">
        <v>126</v>
      </c>
      <c r="EI61" s="23">
        <v>17660</v>
      </c>
      <c r="EJ61" s="23">
        <v>8</v>
      </c>
      <c r="EK61" s="23">
        <v>701</v>
      </c>
      <c r="EL61" s="23">
        <v>1</v>
      </c>
      <c r="EM61" s="23">
        <v>4</v>
      </c>
      <c r="EN61" s="23">
        <v>1</v>
      </c>
      <c r="EO61" s="23">
        <v>7979</v>
      </c>
      <c r="EP61" s="23">
        <v>80</v>
      </c>
      <c r="EQ61" s="23">
        <v>0</v>
      </c>
      <c r="ER61" s="23">
        <v>17</v>
      </c>
      <c r="ES61" s="23">
        <v>77</v>
      </c>
      <c r="ET61" s="23">
        <v>0</v>
      </c>
      <c r="EU61" s="23">
        <v>1</v>
      </c>
      <c r="EV61" s="23">
        <v>6</v>
      </c>
      <c r="EW61" s="23">
        <v>34</v>
      </c>
      <c r="EX61" s="23">
        <v>0</v>
      </c>
      <c r="EY61" s="23">
        <v>197</v>
      </c>
      <c r="EZ61" s="23">
        <v>9</v>
      </c>
      <c r="FA61" s="23">
        <v>12</v>
      </c>
      <c r="FB61" s="23">
        <v>0</v>
      </c>
      <c r="FC61" s="23">
        <v>0</v>
      </c>
      <c r="FD61" s="23">
        <v>26</v>
      </c>
      <c r="FE61" s="23">
        <v>6</v>
      </c>
      <c r="FF61" s="23">
        <v>2</v>
      </c>
      <c r="FG61" s="23">
        <v>1</v>
      </c>
      <c r="FH61" s="23">
        <v>0</v>
      </c>
      <c r="FI61" s="23">
        <v>7</v>
      </c>
      <c r="FJ61" s="23">
        <v>0</v>
      </c>
      <c r="FK61" s="23">
        <v>1</v>
      </c>
      <c r="FL61" s="23">
        <v>2</v>
      </c>
      <c r="FM61" s="23">
        <v>0</v>
      </c>
      <c r="FN61" s="23">
        <v>0</v>
      </c>
      <c r="FO61" s="23">
        <v>804</v>
      </c>
      <c r="FP61" s="23">
        <v>5</v>
      </c>
      <c r="FQ61" s="23">
        <v>0</v>
      </c>
      <c r="FR61" s="23">
        <v>0</v>
      </c>
      <c r="FS61" s="23">
        <v>2</v>
      </c>
      <c r="FT61" s="23">
        <v>14</v>
      </c>
      <c r="FU61" s="23">
        <v>996</v>
      </c>
      <c r="FV61" s="23">
        <v>19</v>
      </c>
      <c r="FW61" s="23">
        <v>28</v>
      </c>
      <c r="FX61" s="23">
        <v>27</v>
      </c>
      <c r="FY61" s="23">
        <v>0</v>
      </c>
      <c r="FZ61" s="23">
        <v>6</v>
      </c>
      <c r="GA61" s="23">
        <v>28</v>
      </c>
      <c r="GB61" s="23">
        <v>64</v>
      </c>
      <c r="GC61" s="23">
        <v>68</v>
      </c>
      <c r="GD61" s="23">
        <v>112</v>
      </c>
      <c r="GE61" s="23">
        <v>320</v>
      </c>
      <c r="GF61" s="23">
        <v>89</v>
      </c>
      <c r="GG61" s="23">
        <v>45</v>
      </c>
      <c r="GH61" s="23">
        <v>0</v>
      </c>
      <c r="GI61" s="23">
        <v>0</v>
      </c>
      <c r="GJ61" s="23">
        <v>0</v>
      </c>
      <c r="GK61" s="23">
        <v>80</v>
      </c>
      <c r="GL61" s="23">
        <v>86</v>
      </c>
      <c r="GM61" s="23">
        <v>10</v>
      </c>
      <c r="GN61" s="23">
        <v>35</v>
      </c>
      <c r="GO61" s="23">
        <v>0</v>
      </c>
      <c r="GP61" s="23">
        <v>200</v>
      </c>
      <c r="GQ61" s="23">
        <v>32</v>
      </c>
      <c r="GR61" s="23">
        <v>141</v>
      </c>
      <c r="GS61" s="23">
        <v>0</v>
      </c>
      <c r="GT61" s="23">
        <v>24</v>
      </c>
      <c r="GU61" s="23">
        <v>5232</v>
      </c>
      <c r="GV61" s="23">
        <v>6</v>
      </c>
      <c r="GW61" s="23">
        <v>1</v>
      </c>
      <c r="GX61" s="23">
        <v>0</v>
      </c>
      <c r="GY61" s="23">
        <v>814</v>
      </c>
      <c r="GZ61" s="23">
        <v>1139</v>
      </c>
      <c r="HA61" s="23">
        <v>50</v>
      </c>
      <c r="HB61" s="23">
        <v>0</v>
      </c>
      <c r="HC61" s="23">
        <v>75</v>
      </c>
      <c r="HD61" s="23">
        <v>1</v>
      </c>
      <c r="HE61" s="23">
        <v>0</v>
      </c>
      <c r="HF61" s="23">
        <v>16</v>
      </c>
      <c r="HG61" s="23">
        <v>5</v>
      </c>
      <c r="HH61" s="23">
        <v>0</v>
      </c>
      <c r="HI61" s="23">
        <v>3</v>
      </c>
      <c r="HJ61" s="23">
        <v>85</v>
      </c>
      <c r="HK61" s="23">
        <v>0</v>
      </c>
      <c r="HL61" s="23">
        <v>1</v>
      </c>
      <c r="HM61" s="23">
        <v>2</v>
      </c>
      <c r="HN61" s="23">
        <v>1</v>
      </c>
      <c r="HO61" s="23">
        <v>0</v>
      </c>
      <c r="HP61" s="23">
        <v>0</v>
      </c>
      <c r="HQ61" s="23">
        <v>798</v>
      </c>
      <c r="HR61" s="23">
        <v>0</v>
      </c>
      <c r="HS61" s="23">
        <v>2179</v>
      </c>
      <c r="HT61" s="23">
        <v>0</v>
      </c>
      <c r="HU61" s="23">
        <v>0</v>
      </c>
      <c r="HV61" s="23">
        <v>47</v>
      </c>
      <c r="HW61" s="23">
        <v>0</v>
      </c>
      <c r="HX61" s="23">
        <v>0</v>
      </c>
      <c r="HY61" s="23">
        <v>0</v>
      </c>
      <c r="HZ61" s="23">
        <v>0</v>
      </c>
      <c r="IA61" s="23">
        <v>0</v>
      </c>
      <c r="IB61" s="23">
        <v>0</v>
      </c>
      <c r="IC61" s="23">
        <v>0</v>
      </c>
      <c r="ID61" s="23">
        <v>0</v>
      </c>
      <c r="IE61" s="23">
        <v>0</v>
      </c>
      <c r="IF61" s="23">
        <v>0</v>
      </c>
      <c r="IG61" s="23">
        <v>0</v>
      </c>
      <c r="IH61" s="23">
        <v>0</v>
      </c>
      <c r="II61" s="23">
        <v>31</v>
      </c>
      <c r="IJ61" s="23">
        <v>0</v>
      </c>
      <c r="IK61" s="23">
        <v>0</v>
      </c>
      <c r="IL61" s="23">
        <v>0</v>
      </c>
      <c r="IM61" s="23">
        <v>0</v>
      </c>
      <c r="IN61" s="23">
        <v>0</v>
      </c>
      <c r="IO61" s="23">
        <v>0</v>
      </c>
      <c r="IP61" s="23">
        <v>0</v>
      </c>
      <c r="IQ61" s="23">
        <v>0</v>
      </c>
      <c r="IR61" s="23">
        <v>0</v>
      </c>
      <c r="IS61" s="23">
        <v>0</v>
      </c>
      <c r="IT61" s="23">
        <v>0</v>
      </c>
      <c r="IU61" s="23">
        <v>0</v>
      </c>
      <c r="IV61" s="23">
        <v>0</v>
      </c>
      <c r="IW61" s="23">
        <v>0</v>
      </c>
      <c r="IX61" s="23">
        <v>0</v>
      </c>
      <c r="IY61" s="23">
        <v>0</v>
      </c>
      <c r="IZ61" s="23">
        <v>0</v>
      </c>
      <c r="JA61" s="23">
        <v>0</v>
      </c>
      <c r="JB61" s="23">
        <v>0</v>
      </c>
      <c r="JC61" s="23">
        <v>0</v>
      </c>
      <c r="JD61" s="23">
        <v>0</v>
      </c>
      <c r="JE61" s="23">
        <v>0</v>
      </c>
      <c r="JF61" s="23">
        <v>0</v>
      </c>
      <c r="JG61" s="23">
        <v>0</v>
      </c>
      <c r="JH61" s="23">
        <v>0</v>
      </c>
      <c r="JI61" s="23">
        <v>0</v>
      </c>
      <c r="JJ61" s="23">
        <v>0</v>
      </c>
      <c r="JK61" s="23">
        <v>0</v>
      </c>
      <c r="JL61" s="23">
        <v>0</v>
      </c>
      <c r="JM61" s="23">
        <v>5</v>
      </c>
      <c r="JN61" s="23">
        <v>1</v>
      </c>
      <c r="JO61" s="23">
        <v>9</v>
      </c>
      <c r="JP61" s="23">
        <v>9</v>
      </c>
      <c r="JQ61" s="23">
        <v>281</v>
      </c>
      <c r="JR61" s="23">
        <v>76</v>
      </c>
      <c r="JS61" s="23">
        <v>11</v>
      </c>
      <c r="JT61" s="23">
        <v>4</v>
      </c>
      <c r="JU61" s="23">
        <v>0</v>
      </c>
      <c r="JV61" s="23">
        <v>50</v>
      </c>
      <c r="JW61" s="23">
        <v>42</v>
      </c>
      <c r="JX61" s="23">
        <v>2</v>
      </c>
      <c r="JY61" s="23">
        <v>1</v>
      </c>
      <c r="JZ61" s="23">
        <v>46</v>
      </c>
      <c r="KA61" s="23">
        <v>13</v>
      </c>
      <c r="KB61" s="23">
        <v>17</v>
      </c>
      <c r="KC61" s="23">
        <v>6</v>
      </c>
      <c r="KD61" s="23">
        <v>14</v>
      </c>
      <c r="KE61" s="23">
        <v>29</v>
      </c>
      <c r="KF61" s="23">
        <v>3</v>
      </c>
      <c r="KG61" s="23">
        <v>18</v>
      </c>
      <c r="KH61" s="23">
        <v>123</v>
      </c>
      <c r="KI61" s="23">
        <v>16</v>
      </c>
      <c r="KJ61" s="23">
        <v>14</v>
      </c>
      <c r="KK61" s="23">
        <v>6</v>
      </c>
      <c r="KL61" s="23">
        <v>4</v>
      </c>
      <c r="KM61" s="23">
        <v>1</v>
      </c>
      <c r="KN61" s="23">
        <v>14</v>
      </c>
      <c r="KO61" s="23">
        <v>18</v>
      </c>
      <c r="KP61" s="23">
        <v>6</v>
      </c>
      <c r="KQ61" s="23">
        <v>49</v>
      </c>
      <c r="KR61" s="23">
        <v>10</v>
      </c>
      <c r="KS61" s="23">
        <v>421</v>
      </c>
      <c r="KT61" s="23">
        <v>17</v>
      </c>
      <c r="KU61" s="23">
        <v>1</v>
      </c>
      <c r="KV61" s="23">
        <v>12</v>
      </c>
      <c r="KW61" s="23">
        <v>3</v>
      </c>
      <c r="KX61" s="23">
        <v>30</v>
      </c>
      <c r="KY61" s="23">
        <v>41</v>
      </c>
      <c r="KZ61" s="23">
        <v>12</v>
      </c>
      <c r="LA61" s="23">
        <v>8</v>
      </c>
      <c r="LB61" s="23">
        <v>8</v>
      </c>
      <c r="LC61" s="23">
        <v>26</v>
      </c>
      <c r="LD61" s="23">
        <v>44</v>
      </c>
      <c r="LE61" s="23">
        <v>9</v>
      </c>
      <c r="LF61" s="23">
        <v>2</v>
      </c>
      <c r="LG61" s="23">
        <v>27</v>
      </c>
      <c r="LH61" s="23">
        <v>568</v>
      </c>
      <c r="LI61" s="23">
        <v>0</v>
      </c>
      <c r="LJ61" s="23">
        <v>19</v>
      </c>
      <c r="LK61" s="23">
        <v>1</v>
      </c>
      <c r="LL61" s="23">
        <v>0</v>
      </c>
      <c r="LM61" s="23">
        <v>0</v>
      </c>
      <c r="LN61" s="278">
        <f ca="1">$A61 - TST!Sweden100dt + 1</f>
        <v>7</v>
      </c>
      <c r="LO61" s="20">
        <f ca="1">INDEX(OFFSET(TST!HeadRow,ROW()-ROW(TST!HeadRow),0,1,COLUMNS(TST!HeadRow)),1,MATCH(LO$5,TST!HeadRow,0))/LO$8</f>
        <v>795.69892473118284</v>
      </c>
      <c r="LP61" s="278">
        <f ca="1">$A61 - TST!Spain100dt + 1</f>
        <v>7</v>
      </c>
      <c r="LQ61" s="20">
        <f ca="1">INDEX(OFFSET(TST!HeadRow,ROW()-ROW(TST!HeadRow),0,1,COLUMNS(TST!HeadRow)),1,MATCH(LQ$5,TST!HeadRow,0))/LQ$8</f>
        <v>1114.6144013634428</v>
      </c>
      <c r="LR61" s="285">
        <f ca="1">$A61 - TST!Victoria100dt + 1</f>
        <v>-2</v>
      </c>
      <c r="LS61" s="20">
        <f ca="1">INDEX(OFFSET(TST!HeadRow,ROW()-ROW(TST!HeadRow),0,1,COLUMNS(TST!HeadRow)),1,MATCH(LS$5,TST!HeadRow,0))/LS$8</f>
        <v>54.306833609895911</v>
      </c>
      <c r="LT61" s="278">
        <f ca="1">$A61 - TST!Iran100dt + 1</f>
        <v>13</v>
      </c>
      <c r="LU61" s="20">
        <f ca="1">INDEX(OFFSET(TST!HeadRow,ROW()-ROW(TST!HeadRow),0,1,COLUMNS(TST!HeadRow)),1,MATCH(LU$5,TST!HeadRow,0))/LU$8</f>
        <v>1356.5229847325511</v>
      </c>
      <c r="LV61" s="278">
        <f ca="1">$A61 - TST!Japan100dt + 1</f>
        <v>-11</v>
      </c>
      <c r="LW61" s="20">
        <f ca="1">INDEX(OFFSET(TST!HeadRow,ROW()-ROW(TST!HeadRow),0,1,COLUMNS(TST!HeadRow)),1,MATCH(LW$5,TST!HeadRow,0))/LW$8</f>
        <v>55.391285582194378</v>
      </c>
      <c r="LX61" s="278">
        <f ca="1">$A61 - TST!Queensland100dt + 1</f>
        <v>-1</v>
      </c>
      <c r="LY61" s="20">
        <f ca="1">INDEX(OFFSET(TST!HeadRow,ROW()-ROW(TST!HeadRow),0,1,COLUMNS(TST!HeadRow)),1,MATCH(LY$5,TST!HeadRow,0))/LY$8</f>
        <v>68.420164712749667</v>
      </c>
      <c r="LZ61" s="278">
        <f ca="1">$A61 - TST!Tasmania100dt + 1</f>
        <v>-1</v>
      </c>
      <c r="MA61" s="20">
        <f ca="1">INDEX(OFFSET(TST!HeadRow,ROW()-ROW(TST!HeadRow),0,1,COLUMNS(TST!HeadRow)),1,MATCH(MA$5,TST!HeadRow,0))/MA$8</f>
        <v>97.087378640776706</v>
      </c>
      <c r="MB61" s="278">
        <f ca="1">$A61 - TST!SouthAustralia100dt + 1</f>
        <v>0</v>
      </c>
      <c r="MC61" s="20">
        <f ca="1">INDEX(OFFSET(TST!HeadRow,ROW()-ROW(TST!HeadRow),0,1,COLUMNS(TST!HeadRow)),1,MATCH(MC$5,TST!HeadRow,0))/MC$8</f>
        <v>95.808383233532922</v>
      </c>
      <c r="MD61" s="278">
        <f ca="1">$A61 - TST!AustralianCapitalTerritory100dt + 1</f>
        <v>-6</v>
      </c>
      <c r="ME61" s="20">
        <f ca="1">INDEX(OFFSET(TST!HeadRow,ROW()-ROW(TST!HeadRow),0,1,COLUMNS(TST!HeadRow)),1,MATCH(ME$5,TST!HeadRow,0))/ME$8</f>
        <v>23.361211045180585</v>
      </c>
      <c r="MF61" s="278">
        <f ca="1">$A61 - TST!NorthernTerritory100dt + 1</f>
        <v>-6</v>
      </c>
      <c r="MG61" s="20">
        <f ca="1">INDEX(OFFSET(TST!HeadRow,ROW()-ROW(TST!HeadRow),0,1,COLUMNS(TST!HeadRow)),1,MATCH(MG$5,TST!HeadRow,0))/MG$8</f>
        <v>47.182051947439192</v>
      </c>
      <c r="MH61" s="278">
        <f ca="1">$A61 - TST!WesternAustralia100dt + 1</f>
        <v>-2</v>
      </c>
      <c r="MI61" s="20">
        <f ca="1">INDEX(OFFSET(TST!HeadRow,ROW()-ROW(TST!HeadRow),0,1,COLUMNS(TST!HeadRow)),1,MATCH(MI$5,TST!HeadRow,0))/MI$8</f>
        <v>54.07493240633449</v>
      </c>
      <c r="MJ61" s="278">
        <f ca="1">$A61 - TST!Germany100dt + 1</f>
        <v>6</v>
      </c>
      <c r="MK61" s="20">
        <f ca="1">INDEX(OFFSET(TST!HeadRow,ROW()-ROW(TST!HeadRow),0,1,COLUMNS(TST!HeadRow)),1,MATCH(MK$5,TST!HeadRow,0))/MK$8</f>
        <v>442.66441821247895</v>
      </c>
      <c r="ML61" s="278">
        <f ca="1">$A61 - TST!Denmark100dt + 1</f>
        <v>5</v>
      </c>
      <c r="MM61" s="20">
        <f ca="1">INDEX(OFFSET(TST!HeadRow,ROW()-ROW(TST!HeadRow),0,1,COLUMNS(TST!HeadRow)),1,MATCH(MM$5,TST!HeadRow,0))/MM$8</f>
        <v>1379.6073027902171</v>
      </c>
      <c r="MN61" s="278">
        <f ca="1">$A61 - TST!SouthAfrica100dt + 1</f>
        <v>-11</v>
      </c>
      <c r="MO61" s="20">
        <f ca="1">INDEX(OFFSET(TST!HeadRow,ROW()-ROW(TST!HeadRow),0,1,COLUMNS(TST!HeadRow)),1,MATCH(MO$5,TST!HeadRow,0))/MO$8</f>
        <v>4.1536863966770508</v>
      </c>
      <c r="MP61" s="278">
        <f ca="1">$A61 - TST!UnitedKingdom100dt + 1</f>
        <v>1</v>
      </c>
      <c r="MQ61" s="20">
        <f ca="1">INDEX(OFFSET(TST!HeadRow,ROW()-ROW(TST!HeadRow),0,1,COLUMNS(TST!HeadRow)),1,MATCH(MQ$5,TST!HeadRow,0))/MQ$8</f>
        <v>120.10836845273931</v>
      </c>
      <c r="MR61" s="278">
        <f ca="1">$A61 - TST!Ireland100dt + 1</f>
        <v>1</v>
      </c>
      <c r="MS61" s="20">
        <f ca="1">INDEX(OFFSET(TST!HeadRow,ROW()-ROW(TST!HeadRow),0,1,COLUMNS(TST!HeadRow)),1,MATCH(MS$5,TST!HeadRow,0))/MS$8</f>
        <v>183.67346938775512</v>
      </c>
      <c r="MT61" s="278">
        <f ca="1">$A61 - TST!Italy100dt + 1</f>
        <v>16</v>
      </c>
      <c r="MU61" s="20">
        <f ca="1">INDEX(OFFSET(TST!HeadRow,ROW()-ROW(TST!HeadRow),0,1,COLUMNS(TST!HeadRow)),1,MATCH(MU$5,TST!HeadRow,0))/MU$8</f>
        <v>2919.732164999587</v>
      </c>
      <c r="MV61" s="278">
        <f ca="1">$A61 - TST!US100dt + 1</f>
        <v>-1</v>
      </c>
      <c r="MW61" s="20">
        <f ca="1">INDEX(OFFSET(TST!HeadRow,ROW()-ROW(TST!HeadRow),0,1,COLUMNS(TST!HeadRow)),1,MATCH(MW$5,TST!HeadRow,0))/MW$8</f>
        <v>66.185187198651235</v>
      </c>
      <c r="MX61" s="278">
        <f ca="1">$A61 - TST!AustraliaSum100dt + 1</f>
        <v>-1</v>
      </c>
      <c r="MY61" s="366">
        <f t="shared" si="8"/>
        <v>78.851916101561272</v>
      </c>
      <c r="MZ61" s="278">
        <f ca="1">$A61 - TST!NewSouthWales100dt + 1</f>
        <v>1</v>
      </c>
      <c r="NA61" s="366">
        <f ca="1">INDEX(OFFSET(TST!HeadRow,ROW()-ROW(TST!HeadRow),0,1,COLUMNS(TST!HeadRow)),1,MATCH(NA$5,TST!HeadRow,0))/NA$8</f>
        <v>113.86138613861385</v>
      </c>
      <c r="NB61" s="278">
        <f ca="1">$A61 - TST!Taiwan100dt + 1</f>
        <v>-12</v>
      </c>
      <c r="NC61" s="366">
        <f ca="1">INDEX(OFFSET(TST!HeadRow,ROW()-ROW(TST!HeadRow),0,1,COLUMNS(TST!HeadRow)),1,MATCH(NC$5,TST!HeadRow,0))/NC$8</f>
        <v>21.001977462189931</v>
      </c>
      <c r="ND61" s="20">
        <f ca="1">$A61 - TST!Hubei100dt + 1</f>
        <v>49</v>
      </c>
      <c r="NE61" s="20">
        <f ca="1">INDEX(OFFSET(TST!HeadRow,ROW()-ROW(TST!HeadRow),0,1,COLUMNS(TST!HeadRow)),1,MATCH(NE$5,TST!HeadRow,0))/NE$8</f>
        <v>11587.350427350428</v>
      </c>
      <c r="NF61" s="20">
        <f ca="1">$A61 - TST!HongKong100dt + 1</f>
        <v>19</v>
      </c>
      <c r="NG61" s="20">
        <f ca="1">INDEX(OFFSET(TST!HeadRow,ROW()-ROW(TST!HeadRow),0,1,COLUMNS(TST!HeadRow)),1,MATCH(NG$5,TST!HeadRow,0))/NG$8</f>
        <v>179.84163199570528</v>
      </c>
    </row>
    <row r="62" spans="1:371" x14ac:dyDescent="0.25">
      <c r="A62" s="243">
        <v>43904</v>
      </c>
      <c r="B62" s="23">
        <v>11</v>
      </c>
      <c r="C62" s="23">
        <v>38</v>
      </c>
      <c r="D62" s="23">
        <v>37</v>
      </c>
      <c r="E62" s="23">
        <v>1</v>
      </c>
      <c r="F62" s="23">
        <v>0</v>
      </c>
      <c r="G62" s="23">
        <v>1</v>
      </c>
      <c r="H62" s="23">
        <v>34</v>
      </c>
      <c r="I62" s="23">
        <v>18</v>
      </c>
      <c r="J62" s="23">
        <v>1</v>
      </c>
      <c r="K62" s="293">
        <v>112</v>
      </c>
      <c r="L62" s="23">
        <v>1</v>
      </c>
      <c r="M62" s="290">
        <v>46</v>
      </c>
      <c r="N62" s="23">
        <v>19</v>
      </c>
      <c r="O62" s="384">
        <v>5</v>
      </c>
      <c r="P62" s="287">
        <v>49</v>
      </c>
      <c r="Q62" s="23">
        <v>17</v>
      </c>
      <c r="R62" s="23">
        <v>655</v>
      </c>
      <c r="S62" s="23">
        <v>15</v>
      </c>
      <c r="T62" s="23">
        <v>0</v>
      </c>
      <c r="U62" s="23">
        <v>210</v>
      </c>
      <c r="V62" s="23">
        <v>3</v>
      </c>
      <c r="W62" s="23">
        <v>0</v>
      </c>
      <c r="X62" s="23">
        <v>27</v>
      </c>
      <c r="Y62" s="23">
        <v>689</v>
      </c>
      <c r="Z62" s="23">
        <v>0</v>
      </c>
      <c r="AA62" s="23">
        <v>1</v>
      </c>
      <c r="AB62" s="23">
        <v>10</v>
      </c>
      <c r="AC62" s="23">
        <v>18</v>
      </c>
      <c r="AD62" s="23">
        <v>151</v>
      </c>
      <c r="AE62" s="23">
        <v>40</v>
      </c>
      <c r="AF62" s="23">
        <v>41</v>
      </c>
      <c r="AG62" s="23">
        <v>2</v>
      </c>
      <c r="AH62" s="23">
        <v>0</v>
      </c>
      <c r="AI62" s="23">
        <v>7</v>
      </c>
      <c r="AJ62" s="23">
        <v>2</v>
      </c>
      <c r="AK62" s="23">
        <v>29</v>
      </c>
      <c r="AL62" s="23">
        <v>64</v>
      </c>
      <c r="AM62" s="23">
        <v>2</v>
      </c>
      <c r="AN62" s="23">
        <v>4</v>
      </c>
      <c r="AO62" s="23">
        <v>1</v>
      </c>
      <c r="AP62" s="23">
        <v>0</v>
      </c>
      <c r="AQ62" s="23">
        <v>0</v>
      </c>
      <c r="AR62" s="23">
        <v>79</v>
      </c>
      <c r="AS62" s="23">
        <v>0</v>
      </c>
      <c r="AT62" s="23">
        <v>17</v>
      </c>
      <c r="AU62" s="23">
        <v>2</v>
      </c>
      <c r="AV62" s="23">
        <v>0</v>
      </c>
      <c r="AW62" s="23">
        <v>0</v>
      </c>
      <c r="AX62" s="23">
        <v>61</v>
      </c>
      <c r="AY62" s="23">
        <v>990</v>
      </c>
      <c r="AZ62" s="23">
        <v>437</v>
      </c>
      <c r="BA62" s="23">
        <v>576</v>
      </c>
      <c r="BB62" s="23">
        <v>296</v>
      </c>
      <c r="BC62" s="23">
        <v>129</v>
      </c>
      <c r="BD62" s="23">
        <v>1356</v>
      </c>
      <c r="BE62" s="23">
        <v>252</v>
      </c>
      <c r="BF62" s="23">
        <v>146</v>
      </c>
      <c r="BG62" s="23">
        <v>168</v>
      </c>
      <c r="BH62" s="23">
        <v>318</v>
      </c>
      <c r="BI62" s="23">
        <v>482</v>
      </c>
      <c r="BJ62" s="23">
        <v>1273</v>
      </c>
      <c r="BK62" s="23">
        <v>140</v>
      </c>
      <c r="BL62" s="23">
        <v>67790</v>
      </c>
      <c r="BM62" s="23">
        <v>1018</v>
      </c>
      <c r="BN62" s="23">
        <v>75</v>
      </c>
      <c r="BO62" s="23">
        <v>631</v>
      </c>
      <c r="BP62" s="23">
        <v>935</v>
      </c>
      <c r="BQ62" s="23">
        <v>93</v>
      </c>
      <c r="BR62" s="23">
        <v>125</v>
      </c>
      <c r="BS62" s="23">
        <v>10</v>
      </c>
      <c r="BT62" s="23">
        <v>75</v>
      </c>
      <c r="BU62" s="23">
        <v>18</v>
      </c>
      <c r="BV62" s="23">
        <v>245</v>
      </c>
      <c r="BW62" s="23">
        <v>760</v>
      </c>
      <c r="BX62" s="23">
        <v>353</v>
      </c>
      <c r="BY62" s="23">
        <v>133</v>
      </c>
      <c r="BZ62" s="23">
        <v>539</v>
      </c>
      <c r="CA62" s="23">
        <v>136</v>
      </c>
      <c r="CB62" s="23">
        <v>1</v>
      </c>
      <c r="CC62" s="23">
        <v>76</v>
      </c>
      <c r="CD62" s="23">
        <v>174</v>
      </c>
      <c r="CE62" s="23">
        <v>1227</v>
      </c>
      <c r="CF62" s="23">
        <v>22</v>
      </c>
      <c r="CG62" s="23">
        <v>0</v>
      </c>
      <c r="CH62" s="23">
        <v>2</v>
      </c>
      <c r="CI62" s="23">
        <v>26</v>
      </c>
      <c r="CJ62" s="23">
        <v>1</v>
      </c>
      <c r="CK62" s="23">
        <v>38</v>
      </c>
      <c r="CL62" s="23">
        <v>706</v>
      </c>
      <c r="CM62" s="23">
        <v>4</v>
      </c>
      <c r="CN62" s="23">
        <v>26</v>
      </c>
      <c r="CO62" s="23">
        <v>189</v>
      </c>
      <c r="CP62" s="23">
        <v>9</v>
      </c>
      <c r="CQ62" s="23">
        <v>0</v>
      </c>
      <c r="CR62" s="23">
        <v>827</v>
      </c>
      <c r="CS62" s="23">
        <v>0</v>
      </c>
      <c r="CT62" s="23">
        <v>11</v>
      </c>
      <c r="CU62" s="23">
        <v>28</v>
      </c>
      <c r="CV62" s="23">
        <v>109</v>
      </c>
      <c r="CW62" s="23">
        <v>0</v>
      </c>
      <c r="CX62" s="23">
        <v>0</v>
      </c>
      <c r="CY62" s="23">
        <v>0</v>
      </c>
      <c r="CZ62" s="23">
        <v>115</v>
      </c>
      <c r="DA62" s="23">
        <v>1</v>
      </c>
      <c r="DB62" s="23">
        <v>1</v>
      </c>
      <c r="DC62" s="23">
        <v>0</v>
      </c>
      <c r="DD62" s="23">
        <v>225</v>
      </c>
      <c r="DE62" s="23">
        <v>5</v>
      </c>
      <c r="DF62" s="23">
        <v>3</v>
      </c>
      <c r="DG62" s="23">
        <v>1</v>
      </c>
      <c r="DH62" s="23">
        <v>0</v>
      </c>
      <c r="DI62" s="23">
        <v>0</v>
      </c>
      <c r="DJ62" s="23">
        <v>6</v>
      </c>
      <c r="DK62" s="23">
        <v>1</v>
      </c>
      <c r="DL62" s="23">
        <v>2</v>
      </c>
      <c r="DM62" s="23">
        <v>9</v>
      </c>
      <c r="DN62" s="23">
        <v>4469</v>
      </c>
      <c r="DO62" s="23">
        <v>1</v>
      </c>
      <c r="DP62" s="23">
        <v>0</v>
      </c>
      <c r="DQ62" s="23">
        <v>30</v>
      </c>
      <c r="DR62" s="23">
        <v>4585</v>
      </c>
      <c r="DS62" s="23">
        <v>3</v>
      </c>
      <c r="DT62" s="23">
        <v>228</v>
      </c>
      <c r="DU62" s="23">
        <v>1</v>
      </c>
      <c r="DV62" s="23">
        <v>1</v>
      </c>
      <c r="DW62" s="23">
        <v>1</v>
      </c>
      <c r="DX62" s="23">
        <v>0</v>
      </c>
      <c r="DY62" s="23">
        <v>1</v>
      </c>
      <c r="DZ62" s="23">
        <v>2</v>
      </c>
      <c r="EA62" s="23">
        <v>30</v>
      </c>
      <c r="EB62" s="23">
        <v>156</v>
      </c>
      <c r="EC62" s="23">
        <v>102</v>
      </c>
      <c r="ED62" s="23">
        <v>96</v>
      </c>
      <c r="EE62" s="23">
        <v>12729</v>
      </c>
      <c r="EF62" s="23">
        <v>110</v>
      </c>
      <c r="EG62" s="23">
        <v>129</v>
      </c>
      <c r="EH62" s="23">
        <v>155</v>
      </c>
      <c r="EI62" s="23">
        <v>21157</v>
      </c>
      <c r="EJ62" s="23">
        <v>8</v>
      </c>
      <c r="EK62" s="23">
        <v>773</v>
      </c>
      <c r="EL62" s="23">
        <v>1</v>
      </c>
      <c r="EM62" s="23">
        <v>6</v>
      </c>
      <c r="EN62" s="23">
        <v>1</v>
      </c>
      <c r="EO62" s="23">
        <v>8086</v>
      </c>
      <c r="EP62" s="23">
        <v>104</v>
      </c>
      <c r="EQ62" s="23">
        <v>0</v>
      </c>
      <c r="ER62" s="23">
        <v>26</v>
      </c>
      <c r="ES62" s="23">
        <v>93</v>
      </c>
      <c r="ET62" s="23">
        <v>0</v>
      </c>
      <c r="EU62" s="23">
        <v>4</v>
      </c>
      <c r="EV62" s="23">
        <v>8</v>
      </c>
      <c r="EW62" s="23">
        <v>51</v>
      </c>
      <c r="EX62" s="23">
        <v>0</v>
      </c>
      <c r="EY62" s="23">
        <v>238</v>
      </c>
      <c r="EZ62" s="23">
        <v>10</v>
      </c>
      <c r="FA62" s="23">
        <v>18</v>
      </c>
      <c r="FB62" s="23">
        <v>1</v>
      </c>
      <c r="FC62" s="23">
        <v>0</v>
      </c>
      <c r="FD62" s="23">
        <v>41</v>
      </c>
      <c r="FE62" s="23">
        <v>12</v>
      </c>
      <c r="FF62" s="23">
        <v>2</v>
      </c>
      <c r="FG62" s="23">
        <v>1</v>
      </c>
      <c r="FH62" s="23">
        <v>0</v>
      </c>
      <c r="FI62" s="23">
        <v>17</v>
      </c>
      <c r="FJ62" s="23">
        <v>2</v>
      </c>
      <c r="FK62" s="23">
        <v>1</v>
      </c>
      <c r="FL62" s="23">
        <v>2</v>
      </c>
      <c r="FM62" s="23">
        <v>1</v>
      </c>
      <c r="FN62" s="23">
        <v>0</v>
      </c>
      <c r="FO62" s="23">
        <v>959</v>
      </c>
      <c r="FP62" s="23">
        <v>6</v>
      </c>
      <c r="FQ62" s="23">
        <v>0</v>
      </c>
      <c r="FR62" s="23">
        <v>0</v>
      </c>
      <c r="FS62" s="23">
        <v>2</v>
      </c>
      <c r="FT62" s="23">
        <v>14</v>
      </c>
      <c r="FU62" s="23">
        <v>1090</v>
      </c>
      <c r="FV62" s="23">
        <v>19</v>
      </c>
      <c r="FW62" s="23">
        <v>31</v>
      </c>
      <c r="FX62" s="23">
        <v>36</v>
      </c>
      <c r="FY62" s="23">
        <v>0</v>
      </c>
      <c r="FZ62" s="23">
        <v>6</v>
      </c>
      <c r="GA62" s="23">
        <v>38</v>
      </c>
      <c r="GB62" s="23">
        <v>111</v>
      </c>
      <c r="GC62" s="23">
        <v>103</v>
      </c>
      <c r="GD62" s="23">
        <v>169</v>
      </c>
      <c r="GE62" s="23">
        <v>337</v>
      </c>
      <c r="GF62" s="23">
        <v>123</v>
      </c>
      <c r="GG62" s="23">
        <v>59</v>
      </c>
      <c r="GH62" s="23">
        <v>1</v>
      </c>
      <c r="GI62" s="23">
        <v>1</v>
      </c>
      <c r="GJ62" s="23">
        <v>1</v>
      </c>
      <c r="GK62" s="23">
        <v>80</v>
      </c>
      <c r="GL62" s="23">
        <v>103</v>
      </c>
      <c r="GM62" s="23">
        <v>10</v>
      </c>
      <c r="GN62" s="23">
        <v>46</v>
      </c>
      <c r="GO62" s="23">
        <v>2</v>
      </c>
      <c r="GP62" s="23">
        <v>212</v>
      </c>
      <c r="GQ62" s="23">
        <v>44</v>
      </c>
      <c r="GR62" s="23">
        <v>181</v>
      </c>
      <c r="GS62" s="23">
        <v>0</v>
      </c>
      <c r="GT62" s="23">
        <v>38</v>
      </c>
      <c r="GU62" s="23">
        <v>6391</v>
      </c>
      <c r="GV62" s="23">
        <v>10</v>
      </c>
      <c r="GW62" s="23">
        <v>1</v>
      </c>
      <c r="GX62" s="23">
        <v>1</v>
      </c>
      <c r="GY62" s="23">
        <v>961</v>
      </c>
      <c r="GZ62" s="23">
        <v>1359</v>
      </c>
      <c r="HA62" s="23">
        <v>53</v>
      </c>
      <c r="HB62" s="23">
        <v>0</v>
      </c>
      <c r="HC62" s="23">
        <v>82</v>
      </c>
      <c r="HD62" s="23">
        <v>1</v>
      </c>
      <c r="HE62" s="23">
        <v>2</v>
      </c>
      <c r="HF62" s="23">
        <v>18</v>
      </c>
      <c r="HG62" s="23">
        <v>5</v>
      </c>
      <c r="HH62" s="23">
        <v>0</v>
      </c>
      <c r="HI62" s="23">
        <v>3</v>
      </c>
      <c r="HJ62" s="23">
        <v>85</v>
      </c>
      <c r="HK62" s="23">
        <v>0</v>
      </c>
      <c r="HL62" s="23">
        <v>1</v>
      </c>
      <c r="HM62" s="23">
        <v>2</v>
      </c>
      <c r="HN62" s="23">
        <v>1</v>
      </c>
      <c r="HO62" s="23">
        <v>0</v>
      </c>
      <c r="HP62" s="23">
        <v>0</v>
      </c>
      <c r="HQ62" s="23">
        <v>1140</v>
      </c>
      <c r="HR62" s="23">
        <v>4</v>
      </c>
      <c r="HS62" s="23">
        <v>2727</v>
      </c>
      <c r="HT62" s="23">
        <v>0</v>
      </c>
      <c r="HU62" s="23">
        <v>2</v>
      </c>
      <c r="HV62" s="23">
        <v>53</v>
      </c>
      <c r="HW62" s="23">
        <v>0</v>
      </c>
      <c r="HX62" s="23">
        <v>0</v>
      </c>
      <c r="HY62" s="23">
        <v>0</v>
      </c>
      <c r="HZ62" s="23">
        <v>0</v>
      </c>
      <c r="IA62" s="23">
        <v>0</v>
      </c>
      <c r="IB62" s="23">
        <v>0</v>
      </c>
      <c r="IC62" s="23">
        <v>0</v>
      </c>
      <c r="ID62" s="23">
        <v>0</v>
      </c>
      <c r="IE62" s="23">
        <v>0</v>
      </c>
      <c r="IF62" s="23">
        <v>0</v>
      </c>
      <c r="IG62" s="23">
        <v>0</v>
      </c>
      <c r="IH62" s="23">
        <v>0</v>
      </c>
      <c r="II62" s="23">
        <v>35</v>
      </c>
      <c r="IJ62" s="23">
        <v>0</v>
      </c>
      <c r="IK62" s="23">
        <v>0</v>
      </c>
      <c r="IL62" s="23">
        <v>0</v>
      </c>
      <c r="IM62" s="23">
        <v>0</v>
      </c>
      <c r="IN62" s="23">
        <v>0</v>
      </c>
      <c r="IO62" s="23">
        <v>0</v>
      </c>
      <c r="IP62" s="23">
        <v>0</v>
      </c>
      <c r="IQ62" s="23">
        <v>0</v>
      </c>
      <c r="IR62" s="23">
        <v>0</v>
      </c>
      <c r="IS62" s="23">
        <v>0</v>
      </c>
      <c r="IT62" s="23">
        <v>0</v>
      </c>
      <c r="IU62" s="23">
        <v>0</v>
      </c>
      <c r="IV62" s="23">
        <v>0</v>
      </c>
      <c r="IW62" s="23">
        <v>0</v>
      </c>
      <c r="IX62" s="23">
        <v>0</v>
      </c>
      <c r="IY62" s="23">
        <v>0</v>
      </c>
      <c r="IZ62" s="23">
        <v>0</v>
      </c>
      <c r="JA62" s="23">
        <v>0</v>
      </c>
      <c r="JB62" s="23">
        <v>0</v>
      </c>
      <c r="JC62" s="23">
        <v>0</v>
      </c>
      <c r="JD62" s="23">
        <v>0</v>
      </c>
      <c r="JE62" s="23">
        <v>0</v>
      </c>
      <c r="JF62" s="23">
        <v>0</v>
      </c>
      <c r="JG62" s="23">
        <v>0</v>
      </c>
      <c r="JH62" s="23">
        <v>0</v>
      </c>
      <c r="JI62" s="23">
        <v>0</v>
      </c>
      <c r="JJ62" s="23">
        <v>0</v>
      </c>
      <c r="JK62" s="23">
        <v>0</v>
      </c>
      <c r="JL62" s="23">
        <v>0</v>
      </c>
      <c r="JM62" s="23">
        <v>7</v>
      </c>
      <c r="JN62" s="23">
        <v>1</v>
      </c>
      <c r="JO62" s="23">
        <v>12</v>
      </c>
      <c r="JP62" s="23">
        <v>12</v>
      </c>
      <c r="JQ62" s="23">
        <v>372</v>
      </c>
      <c r="JR62" s="23">
        <v>101</v>
      </c>
      <c r="JS62" s="23">
        <v>23</v>
      </c>
      <c r="JT62" s="23">
        <v>6</v>
      </c>
      <c r="JU62" s="23">
        <v>0</v>
      </c>
      <c r="JV62" s="23">
        <v>76</v>
      </c>
      <c r="JW62" s="23">
        <v>73</v>
      </c>
      <c r="JX62" s="23">
        <v>4</v>
      </c>
      <c r="JY62" s="23">
        <v>2</v>
      </c>
      <c r="JZ62" s="23">
        <v>64</v>
      </c>
      <c r="KA62" s="23">
        <v>16</v>
      </c>
      <c r="KB62" s="23">
        <v>17</v>
      </c>
      <c r="KC62" s="23">
        <v>8</v>
      </c>
      <c r="KD62" s="23">
        <v>16</v>
      </c>
      <c r="KE62" s="23">
        <v>77</v>
      </c>
      <c r="KF62" s="23">
        <v>3</v>
      </c>
      <c r="KG62" s="23">
        <v>27</v>
      </c>
      <c r="KH62" s="23">
        <v>138</v>
      </c>
      <c r="KI62" s="23">
        <v>25</v>
      </c>
      <c r="KJ62" s="23">
        <v>21</v>
      </c>
      <c r="KK62" s="23">
        <v>6</v>
      </c>
      <c r="KL62" s="23">
        <v>4</v>
      </c>
      <c r="KM62" s="23">
        <v>5</v>
      </c>
      <c r="KN62" s="23">
        <v>18</v>
      </c>
      <c r="KO62" s="23">
        <v>20</v>
      </c>
      <c r="KP62" s="23">
        <v>7</v>
      </c>
      <c r="KQ62" s="23">
        <v>69</v>
      </c>
      <c r="KR62" s="23">
        <v>13</v>
      </c>
      <c r="KS62" s="23">
        <v>613</v>
      </c>
      <c r="KT62" s="23">
        <v>25</v>
      </c>
      <c r="KU62" s="23">
        <v>1</v>
      </c>
      <c r="KV62" s="23">
        <v>26</v>
      </c>
      <c r="KW62" s="23">
        <v>4</v>
      </c>
      <c r="KX62" s="23">
        <v>36</v>
      </c>
      <c r="KY62" s="23">
        <v>47</v>
      </c>
      <c r="KZ62" s="23">
        <v>20</v>
      </c>
      <c r="LA62" s="23">
        <v>19</v>
      </c>
      <c r="LB62" s="23">
        <v>8</v>
      </c>
      <c r="LC62" s="23">
        <v>32</v>
      </c>
      <c r="LD62" s="23">
        <v>60</v>
      </c>
      <c r="LE62" s="23">
        <v>10</v>
      </c>
      <c r="LF62" s="23">
        <v>5</v>
      </c>
      <c r="LG62" s="23">
        <v>37</v>
      </c>
      <c r="LH62" s="23">
        <v>642</v>
      </c>
      <c r="LI62" s="23">
        <v>0</v>
      </c>
      <c r="LJ62" s="23">
        <v>27</v>
      </c>
      <c r="LK62" s="23">
        <v>2</v>
      </c>
      <c r="LL62" s="23">
        <v>0</v>
      </c>
      <c r="LM62" s="23">
        <v>0</v>
      </c>
      <c r="LN62" s="278">
        <f ca="1">$A62 - TST!Sweden100dt + 1</f>
        <v>8</v>
      </c>
      <c r="LO62" s="20">
        <f ca="1">INDEX(OFFSET(TST!HeadRow,ROW()-ROW(TST!HeadRow),0,1,COLUMNS(TST!HeadRow)),1,MATCH(LO$5,TST!HeadRow,0))/LO$8</f>
        <v>939.39393939393949</v>
      </c>
      <c r="LP62" s="278">
        <f ca="1">$A62 - TST!Spain100dt + 1</f>
        <v>8</v>
      </c>
      <c r="LQ62" s="20">
        <f ca="1">INDEX(OFFSET(TST!HeadRow,ROW()-ROW(TST!HeadRow),0,1,COLUMNS(TST!HeadRow)),1,MATCH(LQ$5,TST!HeadRow,0))/LQ$8</f>
        <v>1361.5253515125692</v>
      </c>
      <c r="LR62" s="285">
        <f ca="1">$A62 - TST!Victoria100dt + 1</f>
        <v>-1</v>
      </c>
      <c r="LS62" s="20">
        <f ca="1">INDEX(OFFSET(TST!HeadRow,ROW()-ROW(TST!HeadRow),0,1,COLUMNS(TST!HeadRow)),1,MATCH(LS$5,TST!HeadRow,0))/LS$8</f>
        <v>73.917634635691655</v>
      </c>
      <c r="LT62" s="278">
        <f ca="1">$A62 - TST!Iran100dt + 1</f>
        <v>14</v>
      </c>
      <c r="LU62" s="20">
        <f ca="1">INDEX(OFFSET(TST!HeadRow,ROW()-ROW(TST!HeadRow),0,1,COLUMNS(TST!HeadRow)),1,MATCH(LU$5,TST!HeadRow,0))/LU$8</f>
        <v>1519.4633115681663</v>
      </c>
      <c r="LV62" s="278">
        <f ca="1">$A62 - TST!Japan100dt + 1</f>
        <v>-10</v>
      </c>
      <c r="LW62" s="20">
        <f ca="1">INDEX(OFFSET(TST!HeadRow,ROW()-ROW(TST!HeadRow),0,1,COLUMNS(TST!HeadRow)),1,MATCH(LW$5,TST!HeadRow,0))/LW$8</f>
        <v>61.080547439424045</v>
      </c>
      <c r="LX62" s="278">
        <f ca="1">$A62 - TST!Queensland100dt + 1</f>
        <v>0</v>
      </c>
      <c r="LY62" s="20">
        <f ca="1">INDEX(OFFSET(TST!HeadRow,ROW()-ROW(TST!HeadRow),0,1,COLUMNS(TST!HeadRow)),1,MATCH(LY$5,TST!HeadRow,0))/LY$8</f>
        <v>89.923645051042428</v>
      </c>
      <c r="LZ62" s="278">
        <f ca="1">$A62 - TST!Tasmania100dt + 1</f>
        <v>0</v>
      </c>
      <c r="MA62" s="20">
        <f ca="1">INDEX(OFFSET(TST!HeadRow,ROW()-ROW(TST!HeadRow),0,1,COLUMNS(TST!HeadRow)),1,MATCH(MA$5,TST!HeadRow,0))/MA$8</f>
        <v>97.087378640776706</v>
      </c>
      <c r="MB62" s="278">
        <f ca="1">$A62 - TST!SouthAustralia100dt + 1</f>
        <v>1</v>
      </c>
      <c r="MC62" s="20">
        <f ca="1">INDEX(OFFSET(TST!HeadRow,ROW()-ROW(TST!HeadRow),0,1,COLUMNS(TST!HeadRow)),1,MATCH(MC$5,TST!HeadRow,0))/MC$8</f>
        <v>113.77245508982035</v>
      </c>
      <c r="MD62" s="278">
        <f ca="1">$A62 - TST!AustralianCapitalTerritory100dt + 1</f>
        <v>-5</v>
      </c>
      <c r="ME62" s="20">
        <f ca="1">INDEX(OFFSET(TST!HeadRow,ROW()-ROW(TST!HeadRow),0,1,COLUMNS(TST!HeadRow)),1,MATCH(ME$5,TST!HeadRow,0))/ME$8</f>
        <v>23.361211045180585</v>
      </c>
      <c r="MF62" s="278">
        <f ca="1">$A62 - TST!NorthernTerritory100dt + 1</f>
        <v>-5</v>
      </c>
      <c r="MG62" s="20">
        <f ca="1">INDEX(OFFSET(TST!HeadRow,ROW()-ROW(TST!HeadRow),0,1,COLUMNS(TST!HeadRow)),1,MATCH(MG$5,TST!HeadRow,0))/MG$8</f>
        <v>47.182051947439192</v>
      </c>
      <c r="MH62" s="278">
        <f ca="1">$A62 - TST!WesternAustralia100dt + 1</f>
        <v>-1</v>
      </c>
      <c r="MI62" s="20">
        <f ca="1">INDEX(OFFSET(TST!HeadRow,ROW()-ROW(TST!HeadRow),0,1,COLUMNS(TST!HeadRow)),1,MATCH(MI$5,TST!HeadRow,0))/MI$8</f>
        <v>65.662417921977593</v>
      </c>
      <c r="MJ62" s="278">
        <f ca="1">$A62 - TST!Germany100dt + 1</f>
        <v>7</v>
      </c>
      <c r="MK62" s="20">
        <f ca="1">INDEX(OFFSET(TST!HeadRow,ROW()-ROW(TST!HeadRow),0,1,COLUMNS(TST!HeadRow)),1,MATCH(MK$5,TST!HeadRow,0))/MK$8</f>
        <v>552.27655986509274</v>
      </c>
      <c r="ML62" s="278">
        <f ca="1">$A62 - TST!Denmark100dt + 1</f>
        <v>6</v>
      </c>
      <c r="MM62" s="20">
        <f ca="1">INDEX(OFFSET(TST!HeadRow,ROW()-ROW(TST!HeadRow),0,1,COLUMNS(TST!HeadRow)),1,MATCH(MM$5,TST!HeadRow,0))/MM$8</f>
        <v>1424.3885635549432</v>
      </c>
      <c r="MN62" s="278">
        <f ca="1">$A62 - TST!SouthAfrica100dt + 1</f>
        <v>-10</v>
      </c>
      <c r="MO62" s="20">
        <f ca="1">INDEX(OFFSET(TST!HeadRow,ROW()-ROW(TST!HeadRow),0,1,COLUMNS(TST!HeadRow)),1,MATCH(MO$5,TST!HeadRow,0))/MO$8</f>
        <v>6.5766701280719975</v>
      </c>
      <c r="MP62" s="278">
        <f ca="1">$A62 - TST!UnitedKingdom100dt + 1</f>
        <v>2</v>
      </c>
      <c r="MQ62" s="20">
        <f ca="1">INDEX(OFFSET(TST!HeadRow,ROW()-ROW(TST!HeadRow),0,1,COLUMNS(TST!HeadRow)),1,MATCH(MQ$5,TST!HeadRow,0))/MQ$8</f>
        <v>171.5833835039133</v>
      </c>
      <c r="MR62" s="278">
        <f ca="1">$A62 - TST!Ireland100dt + 1</f>
        <v>2</v>
      </c>
      <c r="MS62" s="20">
        <f ca="1">INDEX(OFFSET(TST!HeadRow,ROW()-ROW(TST!HeadRow),0,1,COLUMNS(TST!HeadRow)),1,MATCH(MS$5,TST!HeadRow,0))/MS$8</f>
        <v>263.26530612244898</v>
      </c>
      <c r="MT62" s="278">
        <f ca="1">$A62 - TST!Italy100dt + 1</f>
        <v>17</v>
      </c>
      <c r="MU62" s="20">
        <f ca="1">INDEX(OFFSET(TST!HeadRow,ROW()-ROW(TST!HeadRow),0,1,COLUMNS(TST!HeadRow)),1,MATCH(MU$5,TST!HeadRow,0))/MU$8</f>
        <v>3497.8920393485992</v>
      </c>
      <c r="MV62" s="278">
        <f ca="1">$A62 - TST!US100dt + 1</f>
        <v>0</v>
      </c>
      <c r="MW62" s="20">
        <f ca="1">INDEX(OFFSET(TST!HeadRow,ROW()-ROW(TST!HeadRow),0,1,COLUMNS(TST!HeadRow)),1,MATCH(MW$5,TST!HeadRow,0))/MW$8</f>
        <v>82.830199858064219</v>
      </c>
      <c r="MX62" s="278">
        <f ca="1">$A62 - TST!AustraliaSum100dt + 1</f>
        <v>0</v>
      </c>
      <c r="MY62" s="366">
        <f t="shared" si="8"/>
        <v>98.564895126951583</v>
      </c>
      <c r="MZ62" s="278">
        <f ca="1">$A62 - TST!NewSouthWales100dt + 1</f>
        <v>2</v>
      </c>
      <c r="NA62" s="366">
        <f ca="1">INDEX(OFFSET(TST!HeadRow,ROW()-ROW(TST!HeadRow),0,1,COLUMNS(TST!HeadRow)),1,MATCH(NA$5,TST!HeadRow,0))/NA$8</f>
        <v>138.61386138613861</v>
      </c>
      <c r="NB62" s="278">
        <f ca="1">$A62 - TST!Taiwan100dt + 1</f>
        <v>-11</v>
      </c>
      <c r="NC62" s="366">
        <f ca="1">INDEX(OFFSET(TST!HeadRow,ROW()-ROW(TST!HeadRow),0,1,COLUMNS(TST!HeadRow)),1,MATCH(NC$5,TST!HeadRow,0))/NC$8</f>
        <v>22.262096109921327</v>
      </c>
      <c r="ND62" s="20">
        <f ca="1">$A62 - TST!Hubei100dt + 1</f>
        <v>50</v>
      </c>
      <c r="NE62" s="20">
        <f ca="1">INDEX(OFFSET(TST!HeadRow,ROW()-ROW(TST!HeadRow),0,1,COLUMNS(TST!HeadRow)),1,MATCH(NE$5,TST!HeadRow,0))/NE$8</f>
        <v>11588.034188034189</v>
      </c>
      <c r="NF62" s="20">
        <f ca="1">$A62 - TST!HongKong100dt + 1</f>
        <v>20</v>
      </c>
      <c r="NG62" s="20">
        <f ca="1">INDEX(OFFSET(TST!HeadRow,ROW()-ROW(TST!HeadRow),0,1,COLUMNS(TST!HeadRow)),1,MATCH(NG$5,TST!HeadRow,0))/NG$8</f>
        <v>187.89424238357267</v>
      </c>
    </row>
    <row r="63" spans="1:371" x14ac:dyDescent="0.25">
      <c r="A63" s="243">
        <v>43905</v>
      </c>
      <c r="B63" s="23">
        <v>16</v>
      </c>
      <c r="C63" s="23">
        <v>42</v>
      </c>
      <c r="D63" s="23">
        <v>48</v>
      </c>
      <c r="E63" s="23">
        <v>1</v>
      </c>
      <c r="F63" s="23">
        <v>0</v>
      </c>
      <c r="G63" s="23">
        <v>1</v>
      </c>
      <c r="H63" s="23">
        <v>45</v>
      </c>
      <c r="I63" s="23">
        <v>26</v>
      </c>
      <c r="J63" s="23">
        <v>1</v>
      </c>
      <c r="K63" s="293">
        <v>134</v>
      </c>
      <c r="L63" s="23">
        <v>1</v>
      </c>
      <c r="M63" s="290">
        <v>61</v>
      </c>
      <c r="N63" s="23">
        <v>20</v>
      </c>
      <c r="O63" s="384">
        <v>6</v>
      </c>
      <c r="P63" s="287">
        <v>57</v>
      </c>
      <c r="Q63" s="23">
        <v>17</v>
      </c>
      <c r="R63" s="23">
        <v>860</v>
      </c>
      <c r="S63" s="23">
        <v>23</v>
      </c>
      <c r="T63" s="23">
        <v>0</v>
      </c>
      <c r="U63" s="23">
        <v>214</v>
      </c>
      <c r="V63" s="23">
        <v>5</v>
      </c>
      <c r="W63" s="23">
        <v>0</v>
      </c>
      <c r="X63" s="23">
        <v>27</v>
      </c>
      <c r="Y63" s="23">
        <v>886</v>
      </c>
      <c r="Z63" s="23">
        <v>0</v>
      </c>
      <c r="AA63" s="23">
        <v>1</v>
      </c>
      <c r="AB63" s="23">
        <v>10</v>
      </c>
      <c r="AC63" s="23">
        <v>24</v>
      </c>
      <c r="AD63" s="23">
        <v>162</v>
      </c>
      <c r="AE63" s="23">
        <v>50</v>
      </c>
      <c r="AF63" s="23">
        <v>51</v>
      </c>
      <c r="AG63" s="23">
        <v>3</v>
      </c>
      <c r="AH63" s="23">
        <v>0</v>
      </c>
      <c r="AI63" s="23">
        <v>7</v>
      </c>
      <c r="AJ63" s="23">
        <v>2</v>
      </c>
      <c r="AK63" s="23">
        <v>39</v>
      </c>
      <c r="AL63" s="23">
        <v>73</v>
      </c>
      <c r="AM63" s="23">
        <v>2</v>
      </c>
      <c r="AN63" s="23">
        <v>4</v>
      </c>
      <c r="AO63" s="23">
        <v>2</v>
      </c>
      <c r="AP63" s="23">
        <v>1</v>
      </c>
      <c r="AQ63" s="23">
        <v>0</v>
      </c>
      <c r="AR63" s="23">
        <v>104</v>
      </c>
      <c r="AS63" s="23">
        <v>1</v>
      </c>
      <c r="AT63" s="23">
        <v>24</v>
      </c>
      <c r="AU63" s="23">
        <v>2</v>
      </c>
      <c r="AV63" s="23">
        <v>1</v>
      </c>
      <c r="AW63" s="23">
        <v>0</v>
      </c>
      <c r="AX63" s="23">
        <v>74</v>
      </c>
      <c r="AY63" s="23">
        <v>990</v>
      </c>
      <c r="AZ63" s="23">
        <v>442</v>
      </c>
      <c r="BA63" s="23">
        <v>576</v>
      </c>
      <c r="BB63" s="23">
        <v>296</v>
      </c>
      <c r="BC63" s="23">
        <v>133</v>
      </c>
      <c r="BD63" s="23">
        <v>1360</v>
      </c>
      <c r="BE63" s="23">
        <v>252</v>
      </c>
      <c r="BF63" s="23">
        <v>146</v>
      </c>
      <c r="BG63" s="23">
        <v>168</v>
      </c>
      <c r="BH63" s="23">
        <v>318</v>
      </c>
      <c r="BI63" s="23">
        <v>482</v>
      </c>
      <c r="BJ63" s="23">
        <v>1273</v>
      </c>
      <c r="BK63" s="23">
        <v>145</v>
      </c>
      <c r="BL63" s="23">
        <v>67794</v>
      </c>
      <c r="BM63" s="23">
        <v>1018</v>
      </c>
      <c r="BN63" s="23">
        <v>75</v>
      </c>
      <c r="BO63" s="23">
        <v>631</v>
      </c>
      <c r="BP63" s="23">
        <v>935</v>
      </c>
      <c r="BQ63" s="23">
        <v>93</v>
      </c>
      <c r="BR63" s="23">
        <v>125</v>
      </c>
      <c r="BS63" s="23">
        <v>10</v>
      </c>
      <c r="BT63" s="23">
        <v>75</v>
      </c>
      <c r="BU63" s="23">
        <v>18</v>
      </c>
      <c r="BV63" s="23">
        <v>245</v>
      </c>
      <c r="BW63" s="23">
        <v>760</v>
      </c>
      <c r="BX63" s="23">
        <v>353</v>
      </c>
      <c r="BY63" s="23">
        <v>133</v>
      </c>
      <c r="BZ63" s="23">
        <v>539</v>
      </c>
      <c r="CA63" s="23">
        <v>136</v>
      </c>
      <c r="CB63" s="23">
        <v>1</v>
      </c>
      <c r="CC63" s="23">
        <v>76</v>
      </c>
      <c r="CD63" s="23">
        <v>174</v>
      </c>
      <c r="CE63" s="23">
        <v>1231</v>
      </c>
      <c r="CF63" s="23">
        <v>34</v>
      </c>
      <c r="CG63" s="23">
        <v>1</v>
      </c>
      <c r="CH63" s="23">
        <v>2</v>
      </c>
      <c r="CI63" s="23">
        <v>27</v>
      </c>
      <c r="CJ63" s="23">
        <v>1</v>
      </c>
      <c r="CK63" s="23">
        <v>49</v>
      </c>
      <c r="CL63" s="23">
        <v>706</v>
      </c>
      <c r="CM63" s="23">
        <v>4</v>
      </c>
      <c r="CN63" s="23">
        <v>26</v>
      </c>
      <c r="CO63" s="23">
        <v>253</v>
      </c>
      <c r="CP63" s="23">
        <v>11</v>
      </c>
      <c r="CQ63" s="23">
        <v>0</v>
      </c>
      <c r="CR63" s="23">
        <v>864</v>
      </c>
      <c r="CS63" s="23">
        <v>0</v>
      </c>
      <c r="CT63" s="23">
        <v>11</v>
      </c>
      <c r="CU63" s="23">
        <v>28</v>
      </c>
      <c r="CV63" s="23">
        <v>110</v>
      </c>
      <c r="CW63" s="23">
        <v>0</v>
      </c>
      <c r="CX63" s="23">
        <v>1</v>
      </c>
      <c r="CY63" s="23">
        <v>0</v>
      </c>
      <c r="CZ63" s="23">
        <v>171</v>
      </c>
      <c r="DA63" s="23">
        <v>1</v>
      </c>
      <c r="DB63" s="23">
        <v>1</v>
      </c>
      <c r="DC63" s="23">
        <v>0</v>
      </c>
      <c r="DD63" s="23">
        <v>244</v>
      </c>
      <c r="DE63" s="23">
        <v>7</v>
      </c>
      <c r="DF63" s="23">
        <v>3</v>
      </c>
      <c r="DG63" s="23">
        <v>3</v>
      </c>
      <c r="DH63" s="23">
        <v>1</v>
      </c>
      <c r="DI63" s="23">
        <v>0</v>
      </c>
      <c r="DJ63" s="23">
        <v>7</v>
      </c>
      <c r="DK63" s="23">
        <v>1</v>
      </c>
      <c r="DL63" s="23">
        <v>2</v>
      </c>
      <c r="DM63" s="23">
        <v>9</v>
      </c>
      <c r="DN63" s="23">
        <v>4499</v>
      </c>
      <c r="DO63" s="23">
        <v>1</v>
      </c>
      <c r="DP63" s="23">
        <v>0</v>
      </c>
      <c r="DQ63" s="23">
        <v>33</v>
      </c>
      <c r="DR63" s="23">
        <v>5795</v>
      </c>
      <c r="DS63" s="23">
        <v>6</v>
      </c>
      <c r="DT63" s="23">
        <v>331</v>
      </c>
      <c r="DU63" s="23">
        <v>1</v>
      </c>
      <c r="DV63" s="23">
        <v>1</v>
      </c>
      <c r="DW63" s="23">
        <v>4</v>
      </c>
      <c r="DX63" s="23">
        <v>0</v>
      </c>
      <c r="DY63" s="23">
        <v>1</v>
      </c>
      <c r="DZ63" s="23">
        <v>3</v>
      </c>
      <c r="EA63" s="23">
        <v>32</v>
      </c>
      <c r="EB63" s="23">
        <v>171</v>
      </c>
      <c r="EC63" s="23">
        <v>113</v>
      </c>
      <c r="ED63" s="23">
        <v>117</v>
      </c>
      <c r="EE63" s="23">
        <v>13938</v>
      </c>
      <c r="EF63" s="23">
        <v>116</v>
      </c>
      <c r="EG63" s="23">
        <v>129</v>
      </c>
      <c r="EH63" s="23">
        <v>213</v>
      </c>
      <c r="EI63" s="23">
        <v>24747</v>
      </c>
      <c r="EJ63" s="23">
        <v>10</v>
      </c>
      <c r="EK63" s="23">
        <v>839</v>
      </c>
      <c r="EL63" s="23">
        <v>8</v>
      </c>
      <c r="EM63" s="23">
        <v>9</v>
      </c>
      <c r="EN63" s="23">
        <v>3</v>
      </c>
      <c r="EO63" s="23">
        <v>8162</v>
      </c>
      <c r="EP63" s="23">
        <v>112</v>
      </c>
      <c r="EQ63" s="23">
        <v>0</v>
      </c>
      <c r="ER63" s="23">
        <v>30</v>
      </c>
      <c r="ES63" s="23">
        <v>110</v>
      </c>
      <c r="ET63" s="23">
        <v>0</v>
      </c>
      <c r="EU63" s="23">
        <v>4</v>
      </c>
      <c r="EV63" s="23">
        <v>12</v>
      </c>
      <c r="EW63" s="23">
        <v>59</v>
      </c>
      <c r="EX63" s="23">
        <v>0</v>
      </c>
      <c r="EY63" s="23">
        <v>428</v>
      </c>
      <c r="EZ63" s="23">
        <v>13</v>
      </c>
      <c r="FA63" s="23">
        <v>21</v>
      </c>
      <c r="FB63" s="23">
        <v>1</v>
      </c>
      <c r="FC63" s="23">
        <v>0</v>
      </c>
      <c r="FD63" s="23">
        <v>53</v>
      </c>
      <c r="FE63" s="23">
        <v>23</v>
      </c>
      <c r="FF63" s="23">
        <v>2</v>
      </c>
      <c r="FG63" s="23">
        <v>1</v>
      </c>
      <c r="FH63" s="23">
        <v>0</v>
      </c>
      <c r="FI63" s="23">
        <v>28</v>
      </c>
      <c r="FJ63" s="23">
        <v>2</v>
      </c>
      <c r="FK63" s="23">
        <v>1</v>
      </c>
      <c r="FL63" s="23">
        <v>2</v>
      </c>
      <c r="FM63" s="23">
        <v>1</v>
      </c>
      <c r="FN63" s="23">
        <v>0</v>
      </c>
      <c r="FO63" s="23">
        <v>1135</v>
      </c>
      <c r="FP63" s="23">
        <v>8</v>
      </c>
      <c r="FQ63" s="23">
        <v>0</v>
      </c>
      <c r="FR63" s="23">
        <v>0</v>
      </c>
      <c r="FS63" s="23">
        <v>2</v>
      </c>
      <c r="FT63" s="23">
        <v>14</v>
      </c>
      <c r="FU63" s="23">
        <v>1221</v>
      </c>
      <c r="FV63" s="23">
        <v>22</v>
      </c>
      <c r="FW63" s="23">
        <v>53</v>
      </c>
      <c r="FX63" s="23">
        <v>43</v>
      </c>
      <c r="FY63" s="23">
        <v>0</v>
      </c>
      <c r="FZ63" s="23">
        <v>6</v>
      </c>
      <c r="GA63" s="23">
        <v>43</v>
      </c>
      <c r="GB63" s="23">
        <v>140</v>
      </c>
      <c r="GC63" s="23">
        <v>119</v>
      </c>
      <c r="GD63" s="23">
        <v>245</v>
      </c>
      <c r="GE63" s="23">
        <v>401</v>
      </c>
      <c r="GF63" s="23">
        <v>131</v>
      </c>
      <c r="GG63" s="23">
        <v>63</v>
      </c>
      <c r="GH63" s="23">
        <v>1</v>
      </c>
      <c r="GI63" s="23">
        <v>2</v>
      </c>
      <c r="GJ63" s="23">
        <v>1</v>
      </c>
      <c r="GK63" s="23">
        <v>101</v>
      </c>
      <c r="GL63" s="23">
        <v>103</v>
      </c>
      <c r="GM63" s="23">
        <v>24</v>
      </c>
      <c r="GN63" s="23">
        <v>48</v>
      </c>
      <c r="GO63" s="23">
        <v>2</v>
      </c>
      <c r="GP63" s="23">
        <v>226</v>
      </c>
      <c r="GQ63" s="23">
        <v>54</v>
      </c>
      <c r="GR63" s="23">
        <v>219</v>
      </c>
      <c r="GS63" s="23">
        <v>0</v>
      </c>
      <c r="GT63" s="23">
        <v>51</v>
      </c>
      <c r="GU63" s="23">
        <v>7798</v>
      </c>
      <c r="GV63" s="23">
        <v>18</v>
      </c>
      <c r="GW63" s="23">
        <v>1</v>
      </c>
      <c r="GX63" s="23">
        <v>1</v>
      </c>
      <c r="GY63" s="23">
        <v>1022</v>
      </c>
      <c r="GZ63" s="23">
        <v>2200</v>
      </c>
      <c r="HA63" s="23">
        <v>59</v>
      </c>
      <c r="HB63" s="23">
        <v>0</v>
      </c>
      <c r="HC63" s="23">
        <v>114</v>
      </c>
      <c r="HD63" s="23">
        <v>1</v>
      </c>
      <c r="HE63" s="23">
        <v>2</v>
      </c>
      <c r="HF63" s="23">
        <v>18</v>
      </c>
      <c r="HG63" s="23">
        <v>6</v>
      </c>
      <c r="HH63" s="23">
        <v>0</v>
      </c>
      <c r="HI63" s="23">
        <v>3</v>
      </c>
      <c r="HJ63" s="23">
        <v>98</v>
      </c>
      <c r="HK63" s="23">
        <v>0</v>
      </c>
      <c r="HL63" s="23">
        <v>1</v>
      </c>
      <c r="HM63" s="23">
        <v>3</v>
      </c>
      <c r="HN63" s="23">
        <v>1</v>
      </c>
      <c r="HO63" s="23">
        <v>0</v>
      </c>
      <c r="HP63" s="23">
        <v>0</v>
      </c>
      <c r="HQ63" s="23">
        <v>1140</v>
      </c>
      <c r="HR63" s="23">
        <v>4</v>
      </c>
      <c r="HS63" s="23">
        <v>3499</v>
      </c>
      <c r="HT63" s="23">
        <v>1</v>
      </c>
      <c r="HU63" s="23">
        <v>10</v>
      </c>
      <c r="HV63" s="23">
        <v>56</v>
      </c>
      <c r="HW63" s="23">
        <v>0</v>
      </c>
      <c r="HX63" s="23">
        <v>0</v>
      </c>
      <c r="HY63" s="23">
        <v>0</v>
      </c>
      <c r="HZ63" s="23">
        <v>0</v>
      </c>
      <c r="IA63" s="23">
        <v>0</v>
      </c>
      <c r="IB63" s="23">
        <v>0</v>
      </c>
      <c r="IC63" s="23">
        <v>0</v>
      </c>
      <c r="ID63" s="23">
        <v>0</v>
      </c>
      <c r="IE63" s="23">
        <v>0</v>
      </c>
      <c r="IF63" s="23">
        <v>0</v>
      </c>
      <c r="IG63" s="23">
        <v>0</v>
      </c>
      <c r="IH63" s="23">
        <v>0</v>
      </c>
      <c r="II63" s="23">
        <v>38</v>
      </c>
      <c r="IJ63" s="23">
        <v>0</v>
      </c>
      <c r="IK63" s="23">
        <v>0</v>
      </c>
      <c r="IL63" s="23">
        <v>0</v>
      </c>
      <c r="IM63" s="23">
        <v>0</v>
      </c>
      <c r="IN63" s="23">
        <v>0</v>
      </c>
      <c r="IO63" s="23">
        <v>0</v>
      </c>
      <c r="IP63" s="23">
        <v>0</v>
      </c>
      <c r="IQ63" s="23">
        <v>0</v>
      </c>
      <c r="IR63" s="23">
        <v>0</v>
      </c>
      <c r="IS63" s="23">
        <v>0</v>
      </c>
      <c r="IT63" s="23">
        <v>0</v>
      </c>
      <c r="IU63" s="23">
        <v>0</v>
      </c>
      <c r="IV63" s="23">
        <v>0</v>
      </c>
      <c r="IW63" s="23">
        <v>0</v>
      </c>
      <c r="IX63" s="23">
        <v>0</v>
      </c>
      <c r="IY63" s="23">
        <v>0</v>
      </c>
      <c r="IZ63" s="23">
        <v>0</v>
      </c>
      <c r="JA63" s="23">
        <v>0</v>
      </c>
      <c r="JB63" s="23">
        <v>0</v>
      </c>
      <c r="JC63" s="23">
        <v>0</v>
      </c>
      <c r="JD63" s="23">
        <v>0</v>
      </c>
      <c r="JE63" s="23">
        <v>0</v>
      </c>
      <c r="JF63" s="23">
        <v>0</v>
      </c>
      <c r="JG63" s="23">
        <v>0</v>
      </c>
      <c r="JH63" s="23">
        <v>0</v>
      </c>
      <c r="JI63" s="23">
        <v>0</v>
      </c>
      <c r="JJ63" s="23">
        <v>0</v>
      </c>
      <c r="JK63" s="23">
        <v>0</v>
      </c>
      <c r="JL63" s="23">
        <v>0</v>
      </c>
      <c r="JM63" s="23">
        <v>11</v>
      </c>
      <c r="JN63" s="23">
        <v>1</v>
      </c>
      <c r="JO63" s="23">
        <v>12</v>
      </c>
      <c r="JP63" s="23">
        <v>3</v>
      </c>
      <c r="JQ63" s="23">
        <v>373</v>
      </c>
      <c r="JR63" s="23">
        <v>99</v>
      </c>
      <c r="JS63" s="23">
        <v>24</v>
      </c>
      <c r="JT63" s="23">
        <v>6</v>
      </c>
      <c r="JU63" s="23">
        <v>0</v>
      </c>
      <c r="JV63" s="23">
        <v>100</v>
      </c>
      <c r="JW63" s="23">
        <v>99</v>
      </c>
      <c r="JX63" s="23">
        <v>6</v>
      </c>
      <c r="JY63" s="23">
        <v>4</v>
      </c>
      <c r="JZ63" s="23">
        <v>66</v>
      </c>
      <c r="KA63" s="23">
        <v>20</v>
      </c>
      <c r="KB63" s="23">
        <v>18</v>
      </c>
      <c r="KC63" s="23">
        <v>8</v>
      </c>
      <c r="KD63" s="23">
        <v>18</v>
      </c>
      <c r="KE63" s="23">
        <v>87</v>
      </c>
      <c r="KF63" s="23">
        <v>2</v>
      </c>
      <c r="KG63" s="23">
        <v>24</v>
      </c>
      <c r="KH63" s="23">
        <v>138</v>
      </c>
      <c r="KI63" s="23">
        <v>32</v>
      </c>
      <c r="KJ63" s="23">
        <v>21</v>
      </c>
      <c r="KK63" s="23">
        <v>6</v>
      </c>
      <c r="KL63" s="23">
        <v>5</v>
      </c>
      <c r="KM63" s="23">
        <v>6</v>
      </c>
      <c r="KN63" s="23">
        <v>17</v>
      </c>
      <c r="KO63" s="23">
        <v>20</v>
      </c>
      <c r="KP63" s="23">
        <v>7</v>
      </c>
      <c r="KQ63" s="23">
        <v>72</v>
      </c>
      <c r="KR63" s="23">
        <v>13</v>
      </c>
      <c r="KS63" s="23">
        <v>615</v>
      </c>
      <c r="KT63" s="23">
        <v>32</v>
      </c>
      <c r="KU63" s="23">
        <v>1</v>
      </c>
      <c r="KV63" s="23">
        <v>30</v>
      </c>
      <c r="KW63" s="23">
        <v>4</v>
      </c>
      <c r="KX63" s="23">
        <v>36</v>
      </c>
      <c r="KY63" s="23">
        <v>47</v>
      </c>
      <c r="KZ63" s="23">
        <v>20</v>
      </c>
      <c r="LA63" s="23">
        <v>19</v>
      </c>
      <c r="LB63" s="23">
        <v>8</v>
      </c>
      <c r="LC63" s="23">
        <v>32</v>
      </c>
      <c r="LD63" s="23">
        <v>63</v>
      </c>
      <c r="LE63" s="23">
        <v>18</v>
      </c>
      <c r="LF63" s="23">
        <v>5</v>
      </c>
      <c r="LG63" s="23">
        <v>37</v>
      </c>
      <c r="LH63" s="23">
        <v>603</v>
      </c>
      <c r="LI63" s="23">
        <v>0</v>
      </c>
      <c r="LJ63" s="23">
        <v>28</v>
      </c>
      <c r="LK63" s="23">
        <v>2</v>
      </c>
      <c r="LL63" s="23">
        <v>0</v>
      </c>
      <c r="LM63" s="23">
        <v>0</v>
      </c>
      <c r="LN63" s="278">
        <f ca="1">$A63 - TST!Sweden100dt + 1</f>
        <v>9</v>
      </c>
      <c r="LO63" s="20">
        <f ca="1">INDEX(OFFSET(TST!HeadRow,ROW()-ROW(TST!HeadRow),0,1,COLUMNS(TST!HeadRow)),1,MATCH(LO$5,TST!HeadRow,0))/LO$8</f>
        <v>999.02248289345073</v>
      </c>
      <c r="LP63" s="278">
        <f ca="1">$A63 - TST!Spain100dt + 1</f>
        <v>9</v>
      </c>
      <c r="LQ63" s="20">
        <f ca="1">INDEX(OFFSET(TST!HeadRow,ROW()-ROW(TST!HeadRow),0,1,COLUMNS(TST!HeadRow)),1,MATCH(LQ$5,TST!HeadRow,0))/LQ$8</f>
        <v>1661.2697060076694</v>
      </c>
      <c r="LR63" s="285">
        <f ca="1">$A63 - TST!Victoria100dt + 1</f>
        <v>0</v>
      </c>
      <c r="LS63" s="20">
        <f ca="1">INDEX(OFFSET(TST!HeadRow,ROW()-ROW(TST!HeadRow),0,1,COLUMNS(TST!HeadRow)),1,MATCH(LS$5,TST!HeadRow,0))/LS$8</f>
        <v>85.985819882335193</v>
      </c>
      <c r="LT63" s="278">
        <f ca="1">$A63 - TST!Iran100dt + 1</f>
        <v>15</v>
      </c>
      <c r="LU63" s="20">
        <f ca="1">INDEX(OFFSET(TST!HeadRow,ROW()-ROW(TST!HeadRow),0,1,COLUMNS(TST!HeadRow)),1,MATCH(LU$5,TST!HeadRow,0))/LU$8</f>
        <v>1663.7818867654257</v>
      </c>
      <c r="LV63" s="278">
        <f ca="1">$A63 - TST!Japan100dt + 1</f>
        <v>-9</v>
      </c>
      <c r="LW63" s="20">
        <f ca="1">INDEX(OFFSET(TST!HeadRow,ROW()-ROW(TST!HeadRow),0,1,COLUMNS(TST!HeadRow)),1,MATCH(LW$5,TST!HeadRow,0))/LW$8</f>
        <v>66.295704141884571</v>
      </c>
      <c r="LX63" s="278">
        <f ca="1">$A63 - TST!Queensland100dt + 1</f>
        <v>1</v>
      </c>
      <c r="LY63" s="20">
        <f ca="1">INDEX(OFFSET(TST!HeadRow,ROW()-ROW(TST!HeadRow),0,1,COLUMNS(TST!HeadRow)),1,MATCH(LY$5,TST!HeadRow,0))/LY$8</f>
        <v>119.246572785078</v>
      </c>
      <c r="LZ63" s="278">
        <f ca="1">$A63 - TST!Tasmania100dt + 1</f>
        <v>1</v>
      </c>
      <c r="MA63" s="20">
        <f ca="1">INDEX(OFFSET(TST!HeadRow,ROW()-ROW(TST!HeadRow),0,1,COLUMNS(TST!HeadRow)),1,MATCH(MA$5,TST!HeadRow,0))/MA$8</f>
        <v>116.50485436893204</v>
      </c>
      <c r="MB63" s="278">
        <f ca="1">$A63 - TST!SouthAustralia100dt + 1</f>
        <v>2</v>
      </c>
      <c r="MC63" s="20">
        <f ca="1">INDEX(OFFSET(TST!HeadRow,ROW()-ROW(TST!HeadRow),0,1,COLUMNS(TST!HeadRow)),1,MATCH(MC$5,TST!HeadRow,0))/MC$8</f>
        <v>119.76047904191616</v>
      </c>
      <c r="MD63" s="278">
        <f ca="1">$A63 - TST!AustralianCapitalTerritory100dt + 1</f>
        <v>-4</v>
      </c>
      <c r="ME63" s="20">
        <f ca="1">INDEX(OFFSET(TST!HeadRow,ROW()-ROW(TST!HeadRow),0,1,COLUMNS(TST!HeadRow)),1,MATCH(ME$5,TST!HeadRow,0))/ME$8</f>
        <v>23.361211045180585</v>
      </c>
      <c r="MF63" s="278">
        <f ca="1">$A63 - TST!NorthernTerritory100dt + 1</f>
        <v>-4</v>
      </c>
      <c r="MG63" s="20">
        <f ca="1">INDEX(OFFSET(TST!HeadRow,ROW()-ROW(TST!HeadRow),0,1,COLUMNS(TST!HeadRow)),1,MATCH(MG$5,TST!HeadRow,0))/MG$8</f>
        <v>47.182051947439192</v>
      </c>
      <c r="MH63" s="278">
        <f ca="1">$A63 - TST!WesternAustralia100dt + 1</f>
        <v>0</v>
      </c>
      <c r="MI63" s="20">
        <f ca="1">INDEX(OFFSET(TST!HeadRow,ROW()-ROW(TST!HeadRow),0,1,COLUMNS(TST!HeadRow)),1,MATCH(MI$5,TST!HeadRow,0))/MI$8</f>
        <v>65.662417921977593</v>
      </c>
      <c r="MJ63" s="278">
        <f ca="1">$A63 - TST!Germany100dt + 1</f>
        <v>8</v>
      </c>
      <c r="MK63" s="20">
        <f ca="1">INDEX(OFFSET(TST!HeadRow,ROW()-ROW(TST!HeadRow),0,1,COLUMNS(TST!HeadRow)),1,MATCH(MK$5,TST!HeadRow,0))/MK$8</f>
        <v>698.02457239219473</v>
      </c>
      <c r="ML63" s="278">
        <f ca="1">$A63 - TST!Denmark100dt + 1</f>
        <v>7</v>
      </c>
      <c r="MM63" s="20">
        <f ca="1">INDEX(OFFSET(TST!HeadRow,ROW()-ROW(TST!HeadRow),0,1,COLUMNS(TST!HeadRow)),1,MATCH(MM$5,TST!HeadRow,0))/MM$8</f>
        <v>1488.1157423355151</v>
      </c>
      <c r="MN63" s="278">
        <f ca="1">$A63 - TST!SouthAfrica100dt + 1</f>
        <v>-9</v>
      </c>
      <c r="MO63" s="20">
        <f ca="1">INDEX(OFFSET(TST!HeadRow,ROW()-ROW(TST!HeadRow),0,1,COLUMNS(TST!HeadRow)),1,MATCH(MO$5,TST!HeadRow,0))/MO$8</f>
        <v>8.826583592938734</v>
      </c>
      <c r="MP63" s="278">
        <f ca="1">$A63 - TST!UnitedKingdom100dt + 1</f>
        <v>3</v>
      </c>
      <c r="MQ63" s="20">
        <f ca="1">INDEX(OFFSET(TST!HeadRow,ROW()-ROW(TST!HeadRow),0,1,COLUMNS(TST!HeadRow)),1,MATCH(MQ$5,TST!HeadRow,0))/MQ$8</f>
        <v>171.5833835039133</v>
      </c>
      <c r="MR63" s="278">
        <f ca="1">$A63 - TST!Ireland100dt + 1</f>
        <v>3</v>
      </c>
      <c r="MS63" s="20">
        <f ca="1">INDEX(OFFSET(TST!HeadRow,ROW()-ROW(TST!HeadRow),0,1,COLUMNS(TST!HeadRow)),1,MATCH(MS$5,TST!HeadRow,0))/MS$8</f>
        <v>263.26530612244898</v>
      </c>
      <c r="MT63" s="278">
        <f ca="1">$A63 - TST!Italy100dt + 1</f>
        <v>18</v>
      </c>
      <c r="MU63" s="20">
        <f ca="1">INDEX(OFFSET(TST!HeadRow,ROW()-ROW(TST!HeadRow),0,1,COLUMNS(TST!HeadRow)),1,MATCH(MU$5,TST!HeadRow,0))/MU$8</f>
        <v>4091.4276266843021</v>
      </c>
      <c r="MV63" s="278">
        <f ca="1">$A63 - TST!US100dt + 1</f>
        <v>1</v>
      </c>
      <c r="MW63" s="20">
        <f ca="1">INDEX(OFFSET(TST!HeadRow,ROW()-ROW(TST!HeadRow),0,1,COLUMNS(TST!HeadRow)),1,MATCH(MW$5,TST!HeadRow,0))/MW$8</f>
        <v>106.27901331256571</v>
      </c>
      <c r="MX63" s="278">
        <f ca="1">$A63 - TST!AustraliaSum100dt + 1</f>
        <v>1</v>
      </c>
      <c r="MY63" s="366">
        <f t="shared" si="8"/>
        <v>117.09509541081849</v>
      </c>
      <c r="MZ63" s="278">
        <f ca="1">$A63 - TST!NewSouthWales100dt + 1</f>
        <v>3</v>
      </c>
      <c r="NA63" s="366">
        <f ca="1">INDEX(OFFSET(TST!HeadRow,ROW()-ROW(TST!HeadRow),0,1,COLUMNS(TST!HeadRow)),1,MATCH(NA$5,TST!HeadRow,0))/NA$8</f>
        <v>165.84158415841583</v>
      </c>
      <c r="NB63" s="278">
        <f ca="1">$A63 - TST!Taiwan100dt + 1</f>
        <v>-10</v>
      </c>
      <c r="NC63" s="366">
        <f ca="1">INDEX(OFFSET(TST!HeadRow,ROW()-ROW(TST!HeadRow),0,1,COLUMNS(TST!HeadRow)),1,MATCH(NC$5,TST!HeadRow,0))/NC$8</f>
        <v>24.782333405384115</v>
      </c>
      <c r="ND63" s="20">
        <f ca="1">$A63 - TST!Hubei100dt + 1</f>
        <v>51</v>
      </c>
      <c r="NE63" s="20">
        <f ca="1">INDEX(OFFSET(TST!HeadRow,ROW()-ROW(TST!HeadRow),0,1,COLUMNS(TST!HeadRow)),1,MATCH(NE$5,TST!HeadRow,0))/NE$8</f>
        <v>11588.717948717949</v>
      </c>
      <c r="NF63" s="20">
        <f ca="1">$A63 - TST!HongKong100dt + 1</f>
        <v>21</v>
      </c>
      <c r="NG63" s="20">
        <f ca="1">INDEX(OFFSET(TST!HeadRow,ROW()-ROW(TST!HeadRow),0,1,COLUMNS(TST!HeadRow)),1,MATCH(NG$5,TST!HeadRow,0))/NG$8</f>
        <v>194.60475104012883</v>
      </c>
    </row>
    <row r="64" spans="1:371" x14ac:dyDescent="0.25">
      <c r="A64" s="243">
        <v>43906</v>
      </c>
      <c r="B64" s="23">
        <v>21</v>
      </c>
      <c r="C64" s="23">
        <v>51</v>
      </c>
      <c r="D64" s="23">
        <v>54</v>
      </c>
      <c r="E64" s="23">
        <v>2</v>
      </c>
      <c r="F64" s="23">
        <v>0</v>
      </c>
      <c r="G64" s="23">
        <v>1</v>
      </c>
      <c r="H64" s="23">
        <v>56</v>
      </c>
      <c r="I64" s="23">
        <v>52</v>
      </c>
      <c r="J64" s="23">
        <v>2</v>
      </c>
      <c r="K64" s="293">
        <v>171</v>
      </c>
      <c r="L64" s="23">
        <v>1</v>
      </c>
      <c r="M64" s="290">
        <v>68</v>
      </c>
      <c r="N64" s="23">
        <v>29</v>
      </c>
      <c r="O64" s="384">
        <v>7</v>
      </c>
      <c r="P64" s="287">
        <v>71</v>
      </c>
      <c r="Q64" s="23">
        <v>28</v>
      </c>
      <c r="R64" s="23">
        <v>1018</v>
      </c>
      <c r="S64" s="23">
        <v>28</v>
      </c>
      <c r="T64" s="23">
        <v>1</v>
      </c>
      <c r="U64" s="23">
        <v>214</v>
      </c>
      <c r="V64" s="23">
        <v>8</v>
      </c>
      <c r="W64" s="23">
        <v>0</v>
      </c>
      <c r="X64" s="23">
        <v>36</v>
      </c>
      <c r="Y64" s="23">
        <v>1058</v>
      </c>
      <c r="Z64" s="23">
        <v>1</v>
      </c>
      <c r="AA64" s="23">
        <v>1</v>
      </c>
      <c r="AB64" s="23">
        <v>11</v>
      </c>
      <c r="AC64" s="23">
        <v>25</v>
      </c>
      <c r="AD64" s="23">
        <v>200</v>
      </c>
      <c r="AE64" s="23">
        <v>54</v>
      </c>
      <c r="AF64" s="23">
        <v>52</v>
      </c>
      <c r="AG64" s="23">
        <v>15</v>
      </c>
      <c r="AH64" s="23">
        <v>0</v>
      </c>
      <c r="AI64" s="23">
        <v>7</v>
      </c>
      <c r="AJ64" s="23">
        <v>4</v>
      </c>
      <c r="AK64" s="23">
        <v>56</v>
      </c>
      <c r="AL64" s="23">
        <v>103</v>
      </c>
      <c r="AM64" s="23">
        <v>2</v>
      </c>
      <c r="AN64" s="23">
        <v>7</v>
      </c>
      <c r="AO64" s="23">
        <v>6</v>
      </c>
      <c r="AP64" s="23">
        <v>1</v>
      </c>
      <c r="AQ64" s="23">
        <v>5</v>
      </c>
      <c r="AR64" s="23">
        <v>177</v>
      </c>
      <c r="AS64" s="23">
        <v>1</v>
      </c>
      <c r="AT64" s="23">
        <v>50</v>
      </c>
      <c r="AU64" s="23">
        <v>7</v>
      </c>
      <c r="AV64" s="23">
        <v>1</v>
      </c>
      <c r="AW64" s="23">
        <v>0</v>
      </c>
      <c r="AX64" s="23">
        <v>155</v>
      </c>
      <c r="AY64" s="23">
        <v>990</v>
      </c>
      <c r="AZ64" s="23">
        <v>452</v>
      </c>
      <c r="BA64" s="23">
        <v>576</v>
      </c>
      <c r="BB64" s="23">
        <v>296</v>
      </c>
      <c r="BC64" s="23">
        <v>133</v>
      </c>
      <c r="BD64" s="23">
        <v>1361</v>
      </c>
      <c r="BE64" s="23">
        <v>252</v>
      </c>
      <c r="BF64" s="23">
        <v>146</v>
      </c>
      <c r="BG64" s="23">
        <v>168</v>
      </c>
      <c r="BH64" s="23">
        <v>318</v>
      </c>
      <c r="BI64" s="23">
        <v>482</v>
      </c>
      <c r="BJ64" s="23">
        <v>1273</v>
      </c>
      <c r="BK64" s="23">
        <v>155</v>
      </c>
      <c r="BL64" s="23">
        <v>67798</v>
      </c>
      <c r="BM64" s="23">
        <v>1018</v>
      </c>
      <c r="BN64" s="23">
        <v>75</v>
      </c>
      <c r="BO64" s="23">
        <v>631</v>
      </c>
      <c r="BP64" s="23">
        <v>935</v>
      </c>
      <c r="BQ64" s="23">
        <v>93</v>
      </c>
      <c r="BR64" s="23">
        <v>125</v>
      </c>
      <c r="BS64" s="23">
        <v>11</v>
      </c>
      <c r="BT64" s="23">
        <v>75</v>
      </c>
      <c r="BU64" s="23">
        <v>18</v>
      </c>
      <c r="BV64" s="23">
        <v>245</v>
      </c>
      <c r="BW64" s="23">
        <v>760</v>
      </c>
      <c r="BX64" s="23">
        <v>355</v>
      </c>
      <c r="BY64" s="23">
        <v>133</v>
      </c>
      <c r="BZ64" s="23">
        <v>539</v>
      </c>
      <c r="CA64" s="23">
        <v>136</v>
      </c>
      <c r="CB64" s="23">
        <v>1</v>
      </c>
      <c r="CC64" s="23">
        <v>76</v>
      </c>
      <c r="CD64" s="23">
        <v>176</v>
      </c>
      <c r="CE64" s="23">
        <v>1231</v>
      </c>
      <c r="CF64" s="23">
        <v>54</v>
      </c>
      <c r="CG64" s="23">
        <v>1</v>
      </c>
      <c r="CH64" s="23">
        <v>2</v>
      </c>
      <c r="CI64" s="23">
        <v>35</v>
      </c>
      <c r="CJ64" s="23">
        <v>1</v>
      </c>
      <c r="CK64" s="23">
        <v>57</v>
      </c>
      <c r="CL64" s="23">
        <v>706</v>
      </c>
      <c r="CM64" s="23">
        <v>4</v>
      </c>
      <c r="CN64" s="23">
        <v>33</v>
      </c>
      <c r="CO64" s="23">
        <v>298</v>
      </c>
      <c r="CP64" s="23">
        <v>18</v>
      </c>
      <c r="CQ64" s="23">
        <v>1</v>
      </c>
      <c r="CR64" s="23">
        <v>914</v>
      </c>
      <c r="CS64" s="23">
        <v>0</v>
      </c>
      <c r="CT64" s="23">
        <v>11</v>
      </c>
      <c r="CU64" s="23">
        <v>37</v>
      </c>
      <c r="CV64" s="23">
        <v>150</v>
      </c>
      <c r="CW64" s="23">
        <v>0</v>
      </c>
      <c r="CX64" s="23">
        <v>1</v>
      </c>
      <c r="CY64" s="23">
        <v>0</v>
      </c>
      <c r="CZ64" s="23">
        <v>205</v>
      </c>
      <c r="DA64" s="23">
        <v>1</v>
      </c>
      <c r="DB64" s="23">
        <v>5</v>
      </c>
      <c r="DC64" s="23">
        <v>0</v>
      </c>
      <c r="DD64" s="23">
        <v>277</v>
      </c>
      <c r="DE64" s="23">
        <v>11</v>
      </c>
      <c r="DF64" s="23">
        <v>3</v>
      </c>
      <c r="DG64" s="23">
        <v>6</v>
      </c>
      <c r="DH64" s="23">
        <v>1</v>
      </c>
      <c r="DI64" s="23">
        <v>0</v>
      </c>
      <c r="DJ64" s="23">
        <v>9</v>
      </c>
      <c r="DK64" s="23">
        <v>3</v>
      </c>
      <c r="DL64" s="23">
        <v>2</v>
      </c>
      <c r="DM64" s="23">
        <v>15</v>
      </c>
      <c r="DN64" s="23">
        <v>6633</v>
      </c>
      <c r="DO64" s="23">
        <v>1</v>
      </c>
      <c r="DP64" s="23">
        <v>0</v>
      </c>
      <c r="DQ64" s="23">
        <v>33</v>
      </c>
      <c r="DR64" s="23">
        <v>7272</v>
      </c>
      <c r="DS64" s="23">
        <v>6</v>
      </c>
      <c r="DT64" s="23">
        <v>331</v>
      </c>
      <c r="DU64" s="23">
        <v>2</v>
      </c>
      <c r="DV64" s="23">
        <v>1</v>
      </c>
      <c r="DW64" s="23">
        <v>4</v>
      </c>
      <c r="DX64" s="23">
        <v>0</v>
      </c>
      <c r="DY64" s="23">
        <v>1</v>
      </c>
      <c r="DZ64" s="23">
        <v>6</v>
      </c>
      <c r="EA64" s="23">
        <v>39</v>
      </c>
      <c r="EB64" s="23">
        <v>180</v>
      </c>
      <c r="EC64" s="23">
        <v>119</v>
      </c>
      <c r="ED64" s="23">
        <v>134</v>
      </c>
      <c r="EE64" s="23">
        <v>14991</v>
      </c>
      <c r="EF64" s="23">
        <v>124</v>
      </c>
      <c r="EG64" s="23">
        <v>169</v>
      </c>
      <c r="EH64" s="23">
        <v>218</v>
      </c>
      <c r="EI64" s="23">
        <v>27980</v>
      </c>
      <c r="EJ64" s="23">
        <v>10</v>
      </c>
      <c r="EK64" s="23">
        <v>839</v>
      </c>
      <c r="EL64" s="23">
        <v>17</v>
      </c>
      <c r="EM64" s="23">
        <v>10</v>
      </c>
      <c r="EN64" s="23">
        <v>3</v>
      </c>
      <c r="EO64" s="23">
        <v>8236</v>
      </c>
      <c r="EP64" s="23">
        <v>123</v>
      </c>
      <c r="EQ64" s="23">
        <v>0</v>
      </c>
      <c r="ER64" s="23">
        <v>34</v>
      </c>
      <c r="ES64" s="23">
        <v>110</v>
      </c>
      <c r="ET64" s="23">
        <v>1</v>
      </c>
      <c r="EU64" s="23">
        <v>4</v>
      </c>
      <c r="EV64" s="23">
        <v>17</v>
      </c>
      <c r="EW64" s="23">
        <v>77</v>
      </c>
      <c r="EX64" s="23">
        <v>0</v>
      </c>
      <c r="EY64" s="23">
        <v>566</v>
      </c>
      <c r="EZ64" s="23">
        <v>13</v>
      </c>
      <c r="FA64" s="23">
        <v>30</v>
      </c>
      <c r="FB64" s="23">
        <v>1</v>
      </c>
      <c r="FC64" s="23">
        <v>0</v>
      </c>
      <c r="FD64" s="23">
        <v>82</v>
      </c>
      <c r="FE64" s="23">
        <v>23</v>
      </c>
      <c r="FF64" s="23">
        <v>7</v>
      </c>
      <c r="FG64" s="23">
        <v>1</v>
      </c>
      <c r="FH64" s="23">
        <v>0</v>
      </c>
      <c r="FI64" s="23">
        <v>29</v>
      </c>
      <c r="FJ64" s="23">
        <v>2</v>
      </c>
      <c r="FK64" s="23">
        <v>1</v>
      </c>
      <c r="FL64" s="23">
        <v>2</v>
      </c>
      <c r="FM64" s="23">
        <v>1</v>
      </c>
      <c r="FN64" s="23">
        <v>0</v>
      </c>
      <c r="FO64" s="23">
        <v>1413</v>
      </c>
      <c r="FP64" s="23">
        <v>8</v>
      </c>
      <c r="FQ64" s="23">
        <v>0</v>
      </c>
      <c r="FR64" s="23">
        <v>0</v>
      </c>
      <c r="FS64" s="23">
        <v>2</v>
      </c>
      <c r="FT64" s="23">
        <v>18</v>
      </c>
      <c r="FU64" s="23">
        <v>1333</v>
      </c>
      <c r="FV64" s="23">
        <v>22</v>
      </c>
      <c r="FW64" s="23">
        <v>136</v>
      </c>
      <c r="FX64" s="23">
        <v>55</v>
      </c>
      <c r="FY64" s="23">
        <v>0</v>
      </c>
      <c r="FZ64" s="23">
        <v>8</v>
      </c>
      <c r="GA64" s="23">
        <v>86</v>
      </c>
      <c r="GB64" s="23">
        <v>142</v>
      </c>
      <c r="GC64" s="23">
        <v>177</v>
      </c>
      <c r="GD64" s="23">
        <v>331</v>
      </c>
      <c r="GE64" s="23">
        <v>439</v>
      </c>
      <c r="GF64" s="23">
        <v>158</v>
      </c>
      <c r="GG64" s="23">
        <v>90</v>
      </c>
      <c r="GH64" s="23">
        <v>5</v>
      </c>
      <c r="GI64" s="23">
        <v>2</v>
      </c>
      <c r="GJ64" s="23">
        <v>1</v>
      </c>
      <c r="GK64" s="23">
        <v>109</v>
      </c>
      <c r="GL64" s="23">
        <v>118</v>
      </c>
      <c r="GM64" s="23">
        <v>24</v>
      </c>
      <c r="GN64" s="23">
        <v>55</v>
      </c>
      <c r="GO64" s="23">
        <v>3</v>
      </c>
      <c r="GP64" s="23">
        <v>243</v>
      </c>
      <c r="GQ64" s="23">
        <v>63</v>
      </c>
      <c r="GR64" s="23">
        <v>253</v>
      </c>
      <c r="GS64" s="23">
        <v>1</v>
      </c>
      <c r="GT64" s="23">
        <v>62</v>
      </c>
      <c r="GU64" s="23">
        <v>9942</v>
      </c>
      <c r="GV64" s="23">
        <v>28</v>
      </c>
      <c r="GW64" s="23">
        <v>1</v>
      </c>
      <c r="GX64" s="23">
        <v>1</v>
      </c>
      <c r="GY64" s="23">
        <v>1103</v>
      </c>
      <c r="GZ64" s="23">
        <v>2200</v>
      </c>
      <c r="HA64" s="23">
        <v>67</v>
      </c>
      <c r="HB64" s="23">
        <v>1</v>
      </c>
      <c r="HC64" s="23">
        <v>147</v>
      </c>
      <c r="HD64" s="23">
        <v>1</v>
      </c>
      <c r="HE64" s="23">
        <v>4</v>
      </c>
      <c r="HF64" s="23">
        <v>20</v>
      </c>
      <c r="HG64" s="23">
        <v>18</v>
      </c>
      <c r="HH64" s="23">
        <v>0</v>
      </c>
      <c r="HI64" s="23">
        <v>7</v>
      </c>
      <c r="HJ64" s="23">
        <v>98</v>
      </c>
      <c r="HK64" s="23">
        <v>0</v>
      </c>
      <c r="HL64" s="23">
        <v>1</v>
      </c>
      <c r="HM64" s="23">
        <v>6</v>
      </c>
      <c r="HN64" s="23">
        <v>1</v>
      </c>
      <c r="HO64" s="23">
        <v>0</v>
      </c>
      <c r="HP64" s="23">
        <v>0</v>
      </c>
      <c r="HQ64" s="23">
        <v>1543</v>
      </c>
      <c r="HR64" s="23">
        <v>8</v>
      </c>
      <c r="HS64" s="23">
        <v>4632</v>
      </c>
      <c r="HT64" s="23">
        <v>6</v>
      </c>
      <c r="HU64" s="23">
        <v>17</v>
      </c>
      <c r="HV64" s="23">
        <v>61</v>
      </c>
      <c r="HW64" s="23">
        <v>0</v>
      </c>
      <c r="HX64" s="23">
        <v>0</v>
      </c>
      <c r="HY64" s="23">
        <v>0</v>
      </c>
      <c r="HZ64" s="23">
        <v>0</v>
      </c>
      <c r="IA64" s="23">
        <v>0</v>
      </c>
      <c r="IB64" s="23">
        <v>0</v>
      </c>
      <c r="IC64" s="23">
        <v>0</v>
      </c>
      <c r="ID64" s="23">
        <v>0</v>
      </c>
      <c r="IE64" s="23">
        <v>0</v>
      </c>
      <c r="IF64" s="23">
        <v>0</v>
      </c>
      <c r="IG64" s="23">
        <v>0</v>
      </c>
      <c r="IH64" s="23">
        <v>0</v>
      </c>
      <c r="II64" s="23">
        <v>38</v>
      </c>
      <c r="IJ64" s="23">
        <v>0</v>
      </c>
      <c r="IK64" s="23">
        <v>0</v>
      </c>
      <c r="IL64" s="23">
        <v>0</v>
      </c>
      <c r="IM64" s="23">
        <v>0</v>
      </c>
      <c r="IN64" s="23">
        <v>0</v>
      </c>
      <c r="IO64" s="23">
        <v>0</v>
      </c>
      <c r="IP64" s="23">
        <v>0</v>
      </c>
      <c r="IQ64" s="23">
        <v>0</v>
      </c>
      <c r="IR64" s="23">
        <v>0</v>
      </c>
      <c r="IS64" s="23">
        <v>0</v>
      </c>
      <c r="IT64" s="23">
        <v>0</v>
      </c>
      <c r="IU64" s="23">
        <v>0</v>
      </c>
      <c r="IV64" s="23">
        <v>0</v>
      </c>
      <c r="IW64" s="23">
        <v>0</v>
      </c>
      <c r="IX64" s="23">
        <v>0</v>
      </c>
      <c r="IY64" s="23">
        <v>0</v>
      </c>
      <c r="IZ64" s="23">
        <v>0</v>
      </c>
      <c r="JA64" s="23">
        <v>0</v>
      </c>
      <c r="JB64" s="23">
        <v>0</v>
      </c>
      <c r="JC64" s="23">
        <v>0</v>
      </c>
      <c r="JD64" s="23">
        <v>0</v>
      </c>
      <c r="JE64" s="23">
        <v>0</v>
      </c>
      <c r="JF64" s="23">
        <v>0</v>
      </c>
      <c r="JG64" s="23">
        <v>0</v>
      </c>
      <c r="JH64" s="23">
        <v>0</v>
      </c>
      <c r="JI64" s="23">
        <v>3</v>
      </c>
      <c r="JJ64" s="23">
        <v>0</v>
      </c>
      <c r="JK64" s="23">
        <v>5</v>
      </c>
      <c r="JL64" s="23">
        <v>1</v>
      </c>
      <c r="JM64" s="23">
        <v>29</v>
      </c>
      <c r="JN64" s="23">
        <v>1</v>
      </c>
      <c r="JO64" s="23">
        <v>18</v>
      </c>
      <c r="JP64" s="23">
        <v>3</v>
      </c>
      <c r="JQ64" s="23">
        <v>557</v>
      </c>
      <c r="JR64" s="23">
        <v>132</v>
      </c>
      <c r="JS64" s="23">
        <v>41</v>
      </c>
      <c r="JT64" s="23">
        <v>8</v>
      </c>
      <c r="JU64" s="23">
        <v>22</v>
      </c>
      <c r="JV64" s="23">
        <v>101</v>
      </c>
      <c r="JW64" s="23">
        <v>121</v>
      </c>
      <c r="JX64" s="23">
        <v>8</v>
      </c>
      <c r="JY64" s="23">
        <v>4</v>
      </c>
      <c r="JZ64" s="23">
        <v>83</v>
      </c>
      <c r="KA64" s="23">
        <v>25</v>
      </c>
      <c r="KB64" s="23">
        <v>23</v>
      </c>
      <c r="KC64" s="23">
        <v>11</v>
      </c>
      <c r="KD64" s="23">
        <v>21</v>
      </c>
      <c r="KE64" s="23">
        <v>115</v>
      </c>
      <c r="KF64" s="23">
        <v>17</v>
      </c>
      <c r="KG64" s="23">
        <v>42</v>
      </c>
      <c r="KH64" s="23">
        <v>187</v>
      </c>
      <c r="KI64" s="23">
        <v>54</v>
      </c>
      <c r="KJ64" s="23">
        <v>53</v>
      </c>
      <c r="KK64" s="23">
        <v>12</v>
      </c>
      <c r="KL64" s="23">
        <v>6</v>
      </c>
      <c r="KM64" s="23">
        <v>6</v>
      </c>
      <c r="KN64" s="23">
        <v>18</v>
      </c>
      <c r="KO64" s="23">
        <v>45</v>
      </c>
      <c r="KP64" s="23">
        <v>17</v>
      </c>
      <c r="KQ64" s="23">
        <v>176</v>
      </c>
      <c r="KR64" s="23">
        <v>21</v>
      </c>
      <c r="KS64" s="23">
        <v>967</v>
      </c>
      <c r="KT64" s="23">
        <v>39</v>
      </c>
      <c r="KU64" s="23">
        <v>1</v>
      </c>
      <c r="KV64" s="23">
        <v>50</v>
      </c>
      <c r="KW64" s="23">
        <v>10</v>
      </c>
      <c r="KX64" s="23">
        <v>39</v>
      </c>
      <c r="KY64" s="23">
        <v>79</v>
      </c>
      <c r="KZ64" s="23">
        <v>21</v>
      </c>
      <c r="LA64" s="23">
        <v>30</v>
      </c>
      <c r="LB64" s="23">
        <v>10</v>
      </c>
      <c r="LC64" s="23">
        <v>52</v>
      </c>
      <c r="LD64" s="23">
        <v>85</v>
      </c>
      <c r="LE64" s="23">
        <v>28</v>
      </c>
      <c r="LF64" s="23">
        <v>12</v>
      </c>
      <c r="LG64" s="23">
        <v>49</v>
      </c>
      <c r="LH64" s="23">
        <v>779</v>
      </c>
      <c r="LI64" s="23">
        <v>0</v>
      </c>
      <c r="LJ64" s="23">
        <v>48</v>
      </c>
      <c r="LK64" s="23">
        <v>2</v>
      </c>
      <c r="LL64" s="23">
        <v>0</v>
      </c>
      <c r="LM64" s="23">
        <v>20</v>
      </c>
      <c r="LN64" s="278">
        <f ca="1">$A64 - TST!Sweden100dt + 1</f>
        <v>10</v>
      </c>
      <c r="LO64" s="20">
        <f ca="1">INDEX(OFFSET(TST!HeadRow,ROW()-ROW(TST!HeadRow),0,1,COLUMNS(TST!HeadRow)),1,MATCH(LO$5,TST!HeadRow,0))/LO$8</f>
        <v>1078.2013685239492</v>
      </c>
      <c r="LP64" s="278">
        <f ca="1">$A64 - TST!Spain100dt + 1</f>
        <v>10</v>
      </c>
      <c r="LQ64" s="20">
        <f ca="1">INDEX(OFFSET(TST!HeadRow,ROW()-ROW(TST!HeadRow),0,1,COLUMNS(TST!HeadRow)),1,MATCH(LQ$5,TST!HeadRow,0))/LQ$8</f>
        <v>2118.0230080954411</v>
      </c>
      <c r="LR64" s="285">
        <f ca="1">$A64 - TST!Victoria100dt + 1</f>
        <v>1</v>
      </c>
      <c r="LS64" s="20">
        <f ca="1">INDEX(OFFSET(TST!HeadRow,ROW()-ROW(TST!HeadRow),0,1,COLUMNS(TST!HeadRow)),1,MATCH(LS$5,TST!HeadRow,0))/LS$8</f>
        <v>107.10514406396138</v>
      </c>
      <c r="LT64" s="278">
        <f ca="1">$A64 - TST!Iran100dt + 1</f>
        <v>16</v>
      </c>
      <c r="LU64" s="20">
        <f ca="1">INDEX(OFFSET(TST!HeadRow,ROW()-ROW(TST!HeadRow),0,1,COLUMNS(TST!HeadRow)),1,MATCH(LU$5,TST!HeadRow,0))/LU$8</f>
        <v>1789.4787103243289</v>
      </c>
      <c r="LV64" s="278">
        <f ca="1">$A64 - TST!Japan100dt + 1</f>
        <v>-8</v>
      </c>
      <c r="LW64" s="20">
        <f ca="1">INDEX(OFFSET(TST!HeadRow,ROW()-ROW(TST!HeadRow),0,1,COLUMNS(TST!HeadRow)),1,MATCH(LW$5,TST!HeadRow,0))/LW$8</f>
        <v>66.295704141884571</v>
      </c>
      <c r="LX64" s="278">
        <f ca="1">$A64 - TST!Queensland100dt + 1</f>
        <v>2</v>
      </c>
      <c r="LY64" s="20">
        <f ca="1">INDEX(OFFSET(TST!HeadRow,ROW()-ROW(TST!HeadRow),0,1,COLUMNS(TST!HeadRow)),1,MATCH(LY$5,TST!HeadRow,0))/LY$8</f>
        <v>132.93060572762792</v>
      </c>
      <c r="LZ64" s="278">
        <f ca="1">$A64 - TST!Tasmania100dt + 1</f>
        <v>2</v>
      </c>
      <c r="MA64" s="20">
        <f ca="1">INDEX(OFFSET(TST!HeadRow,ROW()-ROW(TST!HeadRow),0,1,COLUMNS(TST!HeadRow)),1,MATCH(MA$5,TST!HeadRow,0))/MA$8</f>
        <v>135.92233009708738</v>
      </c>
      <c r="MB64" s="278">
        <f ca="1">$A64 - TST!SouthAustralia100dt + 1</f>
        <v>3</v>
      </c>
      <c r="MC64" s="20">
        <f ca="1">INDEX(OFFSET(TST!HeadRow,ROW()-ROW(TST!HeadRow),0,1,COLUMNS(TST!HeadRow)),1,MATCH(MC$5,TST!HeadRow,0))/MC$8</f>
        <v>173.65269461077844</v>
      </c>
      <c r="MD64" s="278">
        <f ca="1">$A64 - TST!AustralianCapitalTerritory100dt + 1</f>
        <v>-3</v>
      </c>
      <c r="ME64" s="20">
        <f ca="1">INDEX(OFFSET(TST!HeadRow,ROW()-ROW(TST!HeadRow),0,1,COLUMNS(TST!HeadRow)),1,MATCH(ME$5,TST!HeadRow,0))/ME$8</f>
        <v>46.722422090361171</v>
      </c>
      <c r="MF64" s="278">
        <f ca="1">$A64 - TST!NorthernTerritory100dt + 1</f>
        <v>-3</v>
      </c>
      <c r="MG64" s="20">
        <f ca="1">INDEX(OFFSET(TST!HeadRow,ROW()-ROW(TST!HeadRow),0,1,COLUMNS(TST!HeadRow)),1,MATCH(MG$5,TST!HeadRow,0))/MG$8</f>
        <v>47.182051947439192</v>
      </c>
      <c r="MH64" s="278">
        <f ca="1">$A64 - TST!WesternAustralia100dt + 1</f>
        <v>1</v>
      </c>
      <c r="MI64" s="20">
        <f ca="1">INDEX(OFFSET(TST!HeadRow,ROW()-ROW(TST!HeadRow),0,1,COLUMNS(TST!HeadRow)),1,MATCH(MI$5,TST!HeadRow,0))/MI$8</f>
        <v>108.14986481266898</v>
      </c>
      <c r="MJ64" s="278">
        <f ca="1">$A64 - TST!Germany100dt + 1</f>
        <v>9</v>
      </c>
      <c r="MK64" s="20">
        <f ca="1">INDEX(OFFSET(TST!HeadRow,ROW()-ROW(TST!HeadRow),0,1,COLUMNS(TST!HeadRow)),1,MATCH(MK$5,TST!HeadRow,0))/MK$8</f>
        <v>875.93350999759093</v>
      </c>
      <c r="ML64" s="278">
        <f ca="1">$A64 - TST!Denmark100dt + 1</f>
        <v>8</v>
      </c>
      <c r="MM64" s="20">
        <f ca="1">INDEX(OFFSET(TST!HeadRow,ROW()-ROW(TST!HeadRow),0,1,COLUMNS(TST!HeadRow)),1,MATCH(MM$5,TST!HeadRow,0))/MM$8</f>
        <v>1574.23355149845</v>
      </c>
      <c r="MN64" s="278">
        <f ca="1">$A64 - TST!SouthAfrica100dt + 1</f>
        <v>-8</v>
      </c>
      <c r="MO64" s="20">
        <f ca="1">INDEX(OFFSET(TST!HeadRow,ROW()-ROW(TST!HeadRow),0,1,COLUMNS(TST!HeadRow)),1,MATCH(MO$5,TST!HeadRow,0))/MO$8</f>
        <v>10.730356524749048</v>
      </c>
      <c r="MP64" s="278">
        <f ca="1">$A64 - TST!UnitedKingdom100dt + 1</f>
        <v>4</v>
      </c>
      <c r="MQ64" s="20">
        <f ca="1">INDEX(OFFSET(TST!HeadRow,ROW()-ROW(TST!HeadRow),0,1,COLUMNS(TST!HeadRow)),1,MATCH(MQ$5,TST!HeadRow,0))/MQ$8</f>
        <v>232.23961468994582</v>
      </c>
      <c r="MR64" s="278">
        <f ca="1">$A64 - TST!Ireland100dt + 1</f>
        <v>4</v>
      </c>
      <c r="MS64" s="20">
        <f ca="1">INDEX(OFFSET(TST!HeadRow,ROW()-ROW(TST!HeadRow),0,1,COLUMNS(TST!HeadRow)),1,MATCH(MS$5,TST!HeadRow,0))/MS$8</f>
        <v>344.89795918367349</v>
      </c>
      <c r="MT64" s="278">
        <f ca="1">$A64 - TST!Italy100dt + 1</f>
        <v>19</v>
      </c>
      <c r="MU64" s="20">
        <f ca="1">INDEX(OFFSET(TST!HeadRow,ROW()-ROW(TST!HeadRow),0,1,COLUMNS(TST!HeadRow)),1,MATCH(MU$5,TST!HeadRow,0))/MU$8</f>
        <v>4625.9403157807719</v>
      </c>
      <c r="MV64" s="278">
        <f ca="1">$A64 - TST!US100dt + 1</f>
        <v>2</v>
      </c>
      <c r="MW64" s="20">
        <f ca="1">INDEX(OFFSET(TST!HeadRow,ROW()-ROW(TST!HeadRow),0,1,COLUMNS(TST!HeadRow)),1,MATCH(MW$5,TST!HeadRow,0))/MW$8</f>
        <v>140.69288072700897</v>
      </c>
      <c r="MX64" s="278">
        <f ca="1">$A64 - TST!AustraliaSum100dt + 1</f>
        <v>2</v>
      </c>
      <c r="MY64" s="366">
        <f t="shared" si="8"/>
        <v>148.635861851443</v>
      </c>
      <c r="MZ64" s="278">
        <f ca="1">$A64 - TST!NewSouthWales100dt + 1</f>
        <v>4</v>
      </c>
      <c r="NA64" s="366">
        <f ca="1">INDEX(OFFSET(TST!HeadRow,ROW()-ROW(TST!HeadRow),0,1,COLUMNS(TST!HeadRow)),1,MATCH(NA$5,TST!HeadRow,0))/NA$8</f>
        <v>211.63366336633663</v>
      </c>
      <c r="NB64" s="278">
        <f ca="1">$A64 - TST!Taiwan100dt + 1</f>
        <v>-9</v>
      </c>
      <c r="NC64" s="366">
        <f ca="1">INDEX(OFFSET(TST!HeadRow,ROW()-ROW(TST!HeadRow),0,1,COLUMNS(TST!HeadRow)),1,MATCH(NC$5,TST!HeadRow,0))/NC$8</f>
        <v>28.142649799334507</v>
      </c>
      <c r="ND64" s="20">
        <f ca="1">$A64 - TST!Hubei100dt + 1</f>
        <v>52</v>
      </c>
      <c r="NE64" s="20">
        <f ca="1">INDEX(OFFSET(TST!HeadRow,ROW()-ROW(TST!HeadRow),0,1,COLUMNS(TST!HeadRow)),1,MATCH(NE$5,TST!HeadRow,0))/NE$8</f>
        <v>11589.401709401711</v>
      </c>
      <c r="NF64" s="20">
        <f ca="1">$A64 - TST!HongKong100dt + 1</f>
        <v>22</v>
      </c>
      <c r="NG64" s="20">
        <f ca="1">INDEX(OFFSET(TST!HeadRow,ROW()-ROW(TST!HeadRow),0,1,COLUMNS(TST!HeadRow)),1,MATCH(NG$5,TST!HeadRow,0))/NG$8</f>
        <v>208.02576835324118</v>
      </c>
    </row>
    <row r="65" spans="1:371" x14ac:dyDescent="0.25">
      <c r="A65" s="243">
        <v>43907</v>
      </c>
      <c r="B65" s="23">
        <v>22</v>
      </c>
      <c r="C65" s="23">
        <v>55</v>
      </c>
      <c r="D65" s="23">
        <v>60</v>
      </c>
      <c r="E65" s="23">
        <v>39</v>
      </c>
      <c r="F65" s="23">
        <v>0</v>
      </c>
      <c r="G65" s="23">
        <v>1</v>
      </c>
      <c r="H65" s="23">
        <v>68</v>
      </c>
      <c r="I65" s="23">
        <v>78</v>
      </c>
      <c r="J65" s="23">
        <v>2</v>
      </c>
      <c r="K65" s="293">
        <v>210</v>
      </c>
      <c r="L65" s="23">
        <v>1</v>
      </c>
      <c r="M65" s="290">
        <v>78</v>
      </c>
      <c r="N65" s="23">
        <v>29</v>
      </c>
      <c r="O65" s="384">
        <v>7</v>
      </c>
      <c r="P65" s="287">
        <v>94</v>
      </c>
      <c r="Q65" s="23">
        <v>31</v>
      </c>
      <c r="R65" s="23">
        <v>1332</v>
      </c>
      <c r="S65" s="23">
        <v>28</v>
      </c>
      <c r="T65" s="23">
        <v>1</v>
      </c>
      <c r="U65" s="23">
        <v>228</v>
      </c>
      <c r="V65" s="23">
        <v>10</v>
      </c>
      <c r="W65" s="23">
        <v>2</v>
      </c>
      <c r="X65" s="23">
        <v>36</v>
      </c>
      <c r="Y65" s="23">
        <v>1243</v>
      </c>
      <c r="Z65" s="23">
        <v>1</v>
      </c>
      <c r="AA65" s="23">
        <v>1</v>
      </c>
      <c r="AB65" s="23">
        <v>11</v>
      </c>
      <c r="AC65" s="23">
        <v>26</v>
      </c>
      <c r="AD65" s="23">
        <v>321</v>
      </c>
      <c r="AE65" s="23">
        <v>56</v>
      </c>
      <c r="AF65" s="23">
        <v>67</v>
      </c>
      <c r="AG65" s="23">
        <v>15</v>
      </c>
      <c r="AH65" s="23">
        <v>0</v>
      </c>
      <c r="AI65" s="23">
        <v>33</v>
      </c>
      <c r="AJ65" s="23">
        <v>10</v>
      </c>
      <c r="AK65" s="23">
        <v>74</v>
      </c>
      <c r="AL65" s="23">
        <v>103</v>
      </c>
      <c r="AM65" s="23">
        <v>8</v>
      </c>
      <c r="AN65" s="23">
        <v>8</v>
      </c>
      <c r="AO65" s="23">
        <v>8</v>
      </c>
      <c r="AP65" s="23">
        <v>3</v>
      </c>
      <c r="AQ65" s="23">
        <v>7</v>
      </c>
      <c r="AR65" s="23">
        <v>185</v>
      </c>
      <c r="AS65" s="23">
        <v>1</v>
      </c>
      <c r="AT65" s="23">
        <v>74</v>
      </c>
      <c r="AU65" s="23">
        <v>7</v>
      </c>
      <c r="AV65" s="23">
        <v>1</v>
      </c>
      <c r="AW65" s="23">
        <v>0</v>
      </c>
      <c r="AX65" s="23">
        <v>201</v>
      </c>
      <c r="AY65" s="23">
        <v>990</v>
      </c>
      <c r="AZ65" s="23">
        <v>456</v>
      </c>
      <c r="BA65" s="23">
        <v>576</v>
      </c>
      <c r="BB65" s="23">
        <v>296</v>
      </c>
      <c r="BC65" s="23">
        <v>133</v>
      </c>
      <c r="BD65" s="23">
        <v>1364</v>
      </c>
      <c r="BE65" s="23">
        <v>253</v>
      </c>
      <c r="BF65" s="23">
        <v>147</v>
      </c>
      <c r="BG65" s="23">
        <v>168</v>
      </c>
      <c r="BH65" s="23">
        <v>318</v>
      </c>
      <c r="BI65" s="23">
        <v>482</v>
      </c>
      <c r="BJ65" s="23">
        <v>1273</v>
      </c>
      <c r="BK65" s="23">
        <v>162</v>
      </c>
      <c r="BL65" s="23">
        <v>67799</v>
      </c>
      <c r="BM65" s="23">
        <v>1018</v>
      </c>
      <c r="BN65" s="23">
        <v>75</v>
      </c>
      <c r="BO65" s="23">
        <v>631</v>
      </c>
      <c r="BP65" s="23">
        <v>935</v>
      </c>
      <c r="BQ65" s="23">
        <v>93</v>
      </c>
      <c r="BR65" s="23">
        <v>125</v>
      </c>
      <c r="BS65" s="23">
        <v>12</v>
      </c>
      <c r="BT65" s="23">
        <v>75</v>
      </c>
      <c r="BU65" s="23">
        <v>18</v>
      </c>
      <c r="BV65" s="23">
        <v>246</v>
      </c>
      <c r="BW65" s="23">
        <v>761</v>
      </c>
      <c r="BX65" s="23">
        <v>358</v>
      </c>
      <c r="BY65" s="23">
        <v>133</v>
      </c>
      <c r="BZ65" s="23">
        <v>540</v>
      </c>
      <c r="CA65" s="23">
        <v>136</v>
      </c>
      <c r="CB65" s="23">
        <v>1</v>
      </c>
      <c r="CC65" s="23">
        <v>76</v>
      </c>
      <c r="CD65" s="23">
        <v>176</v>
      </c>
      <c r="CE65" s="23">
        <v>1232</v>
      </c>
      <c r="CF65" s="23">
        <v>65</v>
      </c>
      <c r="CG65" s="23">
        <v>1</v>
      </c>
      <c r="CH65" s="23">
        <v>3</v>
      </c>
      <c r="CI65" s="23">
        <v>41</v>
      </c>
      <c r="CJ65" s="23">
        <v>5</v>
      </c>
      <c r="CK65" s="23">
        <v>65</v>
      </c>
      <c r="CL65" s="23">
        <v>706</v>
      </c>
      <c r="CM65" s="23">
        <v>5</v>
      </c>
      <c r="CN65" s="23">
        <v>46</v>
      </c>
      <c r="CO65" s="23">
        <v>396</v>
      </c>
      <c r="CP65" s="23">
        <v>47</v>
      </c>
      <c r="CQ65" s="23">
        <v>1</v>
      </c>
      <c r="CR65" s="23">
        <v>977</v>
      </c>
      <c r="CS65" s="23">
        <v>0</v>
      </c>
      <c r="CT65" s="23">
        <v>21</v>
      </c>
      <c r="CU65" s="23">
        <v>58</v>
      </c>
      <c r="CV65" s="23">
        <v>196</v>
      </c>
      <c r="CW65" s="23">
        <v>0</v>
      </c>
      <c r="CX65" s="23">
        <v>1</v>
      </c>
      <c r="CY65" s="23">
        <v>0</v>
      </c>
      <c r="CZ65" s="23">
        <v>225</v>
      </c>
      <c r="DA65" s="23">
        <v>1</v>
      </c>
      <c r="DB65" s="23">
        <v>5</v>
      </c>
      <c r="DC65" s="23">
        <v>0</v>
      </c>
      <c r="DD65" s="23">
        <v>321</v>
      </c>
      <c r="DE65" s="23">
        <v>11</v>
      </c>
      <c r="DF65" s="23">
        <v>3</v>
      </c>
      <c r="DG65" s="23">
        <v>18</v>
      </c>
      <c r="DH65" s="23">
        <v>1</v>
      </c>
      <c r="DI65" s="23">
        <v>0</v>
      </c>
      <c r="DJ65" s="23">
        <v>9</v>
      </c>
      <c r="DK65" s="23">
        <v>3</v>
      </c>
      <c r="DL65" s="23">
        <v>2</v>
      </c>
      <c r="DM65" s="23">
        <v>16</v>
      </c>
      <c r="DN65" s="23">
        <v>7652</v>
      </c>
      <c r="DO65" s="23">
        <v>1</v>
      </c>
      <c r="DP65" s="23">
        <v>1</v>
      </c>
      <c r="DQ65" s="23">
        <v>34</v>
      </c>
      <c r="DR65" s="23">
        <v>9257</v>
      </c>
      <c r="DS65" s="23">
        <v>7</v>
      </c>
      <c r="DT65" s="23">
        <v>387</v>
      </c>
      <c r="DU65" s="23">
        <v>6</v>
      </c>
      <c r="DV65" s="23">
        <v>1</v>
      </c>
      <c r="DW65" s="23">
        <v>7</v>
      </c>
      <c r="DX65" s="23">
        <v>0</v>
      </c>
      <c r="DY65" s="23">
        <v>1</v>
      </c>
      <c r="DZ65" s="23">
        <v>8</v>
      </c>
      <c r="EA65" s="23">
        <v>50</v>
      </c>
      <c r="EB65" s="23">
        <v>220</v>
      </c>
      <c r="EC65" s="23">
        <v>142</v>
      </c>
      <c r="ED65" s="23">
        <v>172</v>
      </c>
      <c r="EE65" s="23">
        <v>16169</v>
      </c>
      <c r="EF65" s="23">
        <v>154</v>
      </c>
      <c r="EG65" s="23">
        <v>223</v>
      </c>
      <c r="EH65" s="23">
        <v>250</v>
      </c>
      <c r="EI65" s="23">
        <v>31506</v>
      </c>
      <c r="EJ65" s="23">
        <v>12</v>
      </c>
      <c r="EK65" s="23">
        <v>878</v>
      </c>
      <c r="EL65" s="23">
        <v>34</v>
      </c>
      <c r="EM65" s="23">
        <v>33</v>
      </c>
      <c r="EN65" s="23">
        <v>3</v>
      </c>
      <c r="EO65" s="23">
        <v>8320</v>
      </c>
      <c r="EP65" s="23">
        <v>130</v>
      </c>
      <c r="EQ65" s="23">
        <v>0</v>
      </c>
      <c r="ER65" s="23">
        <v>49</v>
      </c>
      <c r="ES65" s="23">
        <v>120</v>
      </c>
      <c r="ET65" s="23">
        <v>1</v>
      </c>
      <c r="EU65" s="23">
        <v>7</v>
      </c>
      <c r="EV65" s="23">
        <v>25</v>
      </c>
      <c r="EW65" s="23">
        <v>140</v>
      </c>
      <c r="EX65" s="23">
        <v>0</v>
      </c>
      <c r="EY65" s="23">
        <v>673</v>
      </c>
      <c r="EZ65" s="23">
        <v>13</v>
      </c>
      <c r="FA65" s="23">
        <v>38</v>
      </c>
      <c r="FB65" s="23">
        <v>1</v>
      </c>
      <c r="FC65" s="23">
        <v>0</v>
      </c>
      <c r="FD65" s="23">
        <v>93</v>
      </c>
      <c r="FE65" s="23">
        <v>30</v>
      </c>
      <c r="FF65" s="23">
        <v>7</v>
      </c>
      <c r="FG65" s="23">
        <v>5</v>
      </c>
      <c r="FH65" s="23">
        <v>2</v>
      </c>
      <c r="FI65" s="23">
        <v>38</v>
      </c>
      <c r="FJ65" s="23">
        <v>2</v>
      </c>
      <c r="FK65" s="23">
        <v>1</v>
      </c>
      <c r="FL65" s="23">
        <v>3</v>
      </c>
      <c r="FM65" s="23">
        <v>3</v>
      </c>
      <c r="FN65" s="23">
        <v>0</v>
      </c>
      <c r="FO65" s="23">
        <v>1705</v>
      </c>
      <c r="FP65" s="23">
        <v>12</v>
      </c>
      <c r="FQ65" s="23">
        <v>0</v>
      </c>
      <c r="FR65" s="23">
        <v>0</v>
      </c>
      <c r="FS65" s="23">
        <v>3</v>
      </c>
      <c r="FT65" s="23">
        <v>26</v>
      </c>
      <c r="FU65" s="23">
        <v>1463</v>
      </c>
      <c r="FV65" s="23">
        <v>24</v>
      </c>
      <c r="FW65" s="23">
        <v>236</v>
      </c>
      <c r="FX65" s="23">
        <v>69</v>
      </c>
      <c r="FY65" s="23">
        <v>0</v>
      </c>
      <c r="FZ65" s="23">
        <v>9</v>
      </c>
      <c r="GA65" s="23">
        <v>117</v>
      </c>
      <c r="GB65" s="23">
        <v>187</v>
      </c>
      <c r="GC65" s="23">
        <v>238</v>
      </c>
      <c r="GD65" s="23">
        <v>448</v>
      </c>
      <c r="GE65" s="23">
        <v>439</v>
      </c>
      <c r="GF65" s="23">
        <v>184</v>
      </c>
      <c r="GG65" s="23">
        <v>114</v>
      </c>
      <c r="GH65" s="23">
        <v>7</v>
      </c>
      <c r="GI65" s="23">
        <v>2</v>
      </c>
      <c r="GJ65" s="23">
        <v>1</v>
      </c>
      <c r="GK65" s="23">
        <v>109</v>
      </c>
      <c r="GL65" s="23">
        <v>171</v>
      </c>
      <c r="GM65" s="23">
        <v>26</v>
      </c>
      <c r="GN65" s="23">
        <v>65</v>
      </c>
      <c r="GO65" s="23">
        <v>4</v>
      </c>
      <c r="GP65" s="23">
        <v>266</v>
      </c>
      <c r="GQ65" s="23">
        <v>72</v>
      </c>
      <c r="GR65" s="23">
        <v>275</v>
      </c>
      <c r="GS65" s="23">
        <v>1</v>
      </c>
      <c r="GT65" s="23">
        <v>62</v>
      </c>
      <c r="GU65" s="23">
        <v>11748</v>
      </c>
      <c r="GV65" s="23">
        <v>44</v>
      </c>
      <c r="GW65" s="23">
        <v>1</v>
      </c>
      <c r="GX65" s="23">
        <v>1</v>
      </c>
      <c r="GY65" s="23">
        <v>1190</v>
      </c>
      <c r="GZ65" s="23">
        <v>2700</v>
      </c>
      <c r="HA65" s="23">
        <v>77</v>
      </c>
      <c r="HB65" s="23">
        <v>1</v>
      </c>
      <c r="HC65" s="23">
        <v>177</v>
      </c>
      <c r="HD65" s="23">
        <v>1</v>
      </c>
      <c r="HE65" s="23">
        <v>5</v>
      </c>
      <c r="HF65" s="23">
        <v>24</v>
      </c>
      <c r="HG65" s="23">
        <v>47</v>
      </c>
      <c r="HH65" s="23">
        <v>0</v>
      </c>
      <c r="HI65" s="23">
        <v>14</v>
      </c>
      <c r="HJ65" s="23">
        <v>98</v>
      </c>
      <c r="HK65" s="23">
        <v>0</v>
      </c>
      <c r="HL65" s="23">
        <v>1</v>
      </c>
      <c r="HM65" s="23">
        <v>6</v>
      </c>
      <c r="HN65" s="23">
        <v>3</v>
      </c>
      <c r="HO65" s="23">
        <v>0</v>
      </c>
      <c r="HP65" s="23">
        <v>0</v>
      </c>
      <c r="HQ65" s="23">
        <v>1950</v>
      </c>
      <c r="HR65" s="23">
        <v>29</v>
      </c>
      <c r="HS65" s="23">
        <v>6421</v>
      </c>
      <c r="HT65" s="23">
        <v>10</v>
      </c>
      <c r="HU65" s="23">
        <v>33</v>
      </c>
      <c r="HV65" s="23">
        <v>66</v>
      </c>
      <c r="HW65" s="23">
        <v>0</v>
      </c>
      <c r="HX65" s="23">
        <v>0</v>
      </c>
      <c r="HY65" s="23">
        <v>0</v>
      </c>
      <c r="HZ65" s="23">
        <v>0</v>
      </c>
      <c r="IA65" s="23">
        <v>0</v>
      </c>
      <c r="IB65" s="23">
        <v>0</v>
      </c>
      <c r="IC65" s="23">
        <v>0</v>
      </c>
      <c r="ID65" s="23">
        <v>0</v>
      </c>
      <c r="IE65" s="23">
        <v>0</v>
      </c>
      <c r="IF65" s="23">
        <v>0</v>
      </c>
      <c r="IG65" s="23">
        <v>0</v>
      </c>
      <c r="IH65" s="23">
        <v>0</v>
      </c>
      <c r="II65" s="23">
        <v>39</v>
      </c>
      <c r="IJ65" s="23">
        <v>0</v>
      </c>
      <c r="IK65" s="23">
        <v>0</v>
      </c>
      <c r="IL65" s="23">
        <v>0</v>
      </c>
      <c r="IM65" s="23">
        <v>0</v>
      </c>
      <c r="IN65" s="23">
        <v>0</v>
      </c>
      <c r="IO65" s="23">
        <v>0</v>
      </c>
      <c r="IP65" s="23">
        <v>0</v>
      </c>
      <c r="IQ65" s="23">
        <v>0</v>
      </c>
      <c r="IR65" s="23">
        <v>0</v>
      </c>
      <c r="IS65" s="23">
        <v>0</v>
      </c>
      <c r="IT65" s="23">
        <v>0</v>
      </c>
      <c r="IU65" s="23">
        <v>0</v>
      </c>
      <c r="IV65" s="23">
        <v>0</v>
      </c>
      <c r="IW65" s="23">
        <v>0</v>
      </c>
      <c r="IX65" s="23">
        <v>0</v>
      </c>
      <c r="IY65" s="23">
        <v>0</v>
      </c>
      <c r="IZ65" s="23">
        <v>0</v>
      </c>
      <c r="JA65" s="23">
        <v>0</v>
      </c>
      <c r="JB65" s="23">
        <v>0</v>
      </c>
      <c r="JC65" s="23">
        <v>0</v>
      </c>
      <c r="JD65" s="23">
        <v>0</v>
      </c>
      <c r="JE65" s="23">
        <v>0</v>
      </c>
      <c r="JF65" s="23">
        <v>0</v>
      </c>
      <c r="JG65" s="23">
        <v>0</v>
      </c>
      <c r="JH65" s="23">
        <v>0</v>
      </c>
      <c r="JI65" s="23">
        <v>3</v>
      </c>
      <c r="JJ65" s="23">
        <v>0</v>
      </c>
      <c r="JK65" s="23">
        <v>5</v>
      </c>
      <c r="JL65" s="23">
        <v>2</v>
      </c>
      <c r="JM65" s="23">
        <v>39</v>
      </c>
      <c r="JN65" s="23">
        <v>3</v>
      </c>
      <c r="JO65" s="23">
        <v>20</v>
      </c>
      <c r="JP65" s="23">
        <v>3</v>
      </c>
      <c r="JQ65" s="23">
        <v>700</v>
      </c>
      <c r="JR65" s="23">
        <v>167</v>
      </c>
      <c r="JS65" s="23">
        <v>68</v>
      </c>
      <c r="JT65" s="23">
        <v>16</v>
      </c>
      <c r="JU65" s="23">
        <v>22</v>
      </c>
      <c r="JV65" s="23">
        <v>190</v>
      </c>
      <c r="JW65" s="23">
        <v>146</v>
      </c>
      <c r="JX65" s="23">
        <v>10</v>
      </c>
      <c r="JY65" s="23">
        <v>8</v>
      </c>
      <c r="JZ65" s="23">
        <v>161</v>
      </c>
      <c r="KA65" s="23">
        <v>30</v>
      </c>
      <c r="KB65" s="23">
        <v>23</v>
      </c>
      <c r="KC65" s="23">
        <v>18</v>
      </c>
      <c r="KD65" s="23">
        <v>26</v>
      </c>
      <c r="KE65" s="23">
        <v>196</v>
      </c>
      <c r="KF65" s="23">
        <v>26</v>
      </c>
      <c r="KG65" s="23">
        <v>60</v>
      </c>
      <c r="KH65" s="23">
        <v>217</v>
      </c>
      <c r="KI65" s="23">
        <v>63</v>
      </c>
      <c r="KJ65" s="23">
        <v>59</v>
      </c>
      <c r="KK65" s="23">
        <v>21</v>
      </c>
      <c r="KL65" s="23">
        <v>12</v>
      </c>
      <c r="KM65" s="23">
        <v>8</v>
      </c>
      <c r="KN65" s="23">
        <v>23</v>
      </c>
      <c r="KO65" s="23">
        <v>55</v>
      </c>
      <c r="KP65" s="23">
        <v>26</v>
      </c>
      <c r="KQ65" s="23">
        <v>250</v>
      </c>
      <c r="KR65" s="23">
        <v>23</v>
      </c>
      <c r="KS65" s="23">
        <v>1578</v>
      </c>
      <c r="KT65" s="23">
        <v>64</v>
      </c>
      <c r="KU65" s="23">
        <v>3</v>
      </c>
      <c r="KV65" s="23">
        <v>67</v>
      </c>
      <c r="KW65" s="23">
        <v>17</v>
      </c>
      <c r="KX65" s="23">
        <v>66</v>
      </c>
      <c r="KY65" s="23">
        <v>112</v>
      </c>
      <c r="KZ65" s="23">
        <v>23</v>
      </c>
      <c r="LA65" s="23">
        <v>47</v>
      </c>
      <c r="LB65" s="23">
        <v>11</v>
      </c>
      <c r="LC65" s="23">
        <v>74</v>
      </c>
      <c r="LD65" s="23">
        <v>110</v>
      </c>
      <c r="LE65" s="23">
        <v>39</v>
      </c>
      <c r="LF65" s="23">
        <v>12</v>
      </c>
      <c r="LG65" s="23">
        <v>67</v>
      </c>
      <c r="LH65" s="23">
        <v>955</v>
      </c>
      <c r="LI65" s="23">
        <v>0</v>
      </c>
      <c r="LJ65" s="23">
        <v>73</v>
      </c>
      <c r="LK65" s="23">
        <v>11</v>
      </c>
      <c r="LL65" s="23">
        <v>47</v>
      </c>
      <c r="LM65" s="23">
        <v>21</v>
      </c>
      <c r="LN65" s="278">
        <f ca="1">$A65 - TST!Sweden100dt + 1</f>
        <v>11</v>
      </c>
      <c r="LO65" s="20">
        <f ca="1">INDEX(OFFSET(TST!HeadRow,ROW()-ROW(TST!HeadRow),0,1,COLUMNS(TST!HeadRow)),1,MATCH(LO$5,TST!HeadRow,0))/LO$8</f>
        <v>1163.2453567937439</v>
      </c>
      <c r="LP65" s="278">
        <f ca="1">$A65 - TST!Spain100dt + 1</f>
        <v>11</v>
      </c>
      <c r="LQ65" s="20">
        <f ca="1">INDEX(OFFSET(TST!HeadRow,ROW()-ROW(TST!HeadRow),0,1,COLUMNS(TST!HeadRow)),1,MATCH(LQ$5,TST!HeadRow,0))/LQ$8</f>
        <v>2502.7694929697486</v>
      </c>
      <c r="LR65" s="285">
        <f ca="1">$A65 - TST!Victoria100dt + 1</f>
        <v>2</v>
      </c>
      <c r="LS65" s="20">
        <f ca="1">INDEX(OFFSET(TST!HeadRow,ROW()-ROW(TST!HeadRow),0,1,COLUMNS(TST!HeadRow)),1,MATCH(LS$5,TST!HeadRow,0))/LS$8</f>
        <v>141.80117664806153</v>
      </c>
      <c r="LT65" s="278">
        <f ca="1">$A65 - TST!Iran100dt + 1</f>
        <v>17</v>
      </c>
      <c r="LU65" s="20">
        <f ca="1">INDEX(OFFSET(TST!HeadRow,ROW()-ROW(TST!HeadRow),0,1,COLUMNS(TST!HeadRow)),1,MATCH(LU$5,TST!HeadRow,0))/LU$8</f>
        <v>1930.096809234479</v>
      </c>
      <c r="LV65" s="278">
        <f ca="1">$A65 - TST!Japan100dt + 1</f>
        <v>-7</v>
      </c>
      <c r="LW65" s="20">
        <f ca="1">INDEX(OFFSET(TST!HeadRow,ROW()-ROW(TST!HeadRow),0,1,COLUMNS(TST!HeadRow)),1,MATCH(LW$5,TST!HeadRow,0))/LW$8</f>
        <v>69.377387647883964</v>
      </c>
      <c r="LX65" s="278">
        <f ca="1">$A65 - TST!Queensland100dt + 1</f>
        <v>3</v>
      </c>
      <c r="LY65" s="20">
        <f ca="1">INDEX(OFFSET(TST!HeadRow,ROW()-ROW(TST!HeadRow),0,1,COLUMNS(TST!HeadRow)),1,MATCH(LY$5,TST!HeadRow,0))/LY$8</f>
        <v>152.47922421698499</v>
      </c>
      <c r="LZ65" s="278">
        <f ca="1">$A65 - TST!Tasmania100dt + 1</f>
        <v>3</v>
      </c>
      <c r="MA65" s="20">
        <f ca="1">INDEX(OFFSET(TST!HeadRow,ROW()-ROW(TST!HeadRow),0,1,COLUMNS(TST!HeadRow)),1,MATCH(MA$5,TST!HeadRow,0))/MA$8</f>
        <v>135.92233009708738</v>
      </c>
      <c r="MB65" s="278">
        <f ca="1">$A65 - TST!SouthAustralia100dt + 1</f>
        <v>4</v>
      </c>
      <c r="MC65" s="20">
        <f ca="1">INDEX(OFFSET(TST!HeadRow,ROW()-ROW(TST!HeadRow),0,1,COLUMNS(TST!HeadRow)),1,MATCH(MC$5,TST!HeadRow,0))/MC$8</f>
        <v>173.65269461077844</v>
      </c>
      <c r="MD65" s="278">
        <f ca="1">$A65 - TST!AustralianCapitalTerritory100dt + 1</f>
        <v>-2</v>
      </c>
      <c r="ME65" s="20">
        <f ca="1">INDEX(OFFSET(TST!HeadRow,ROW()-ROW(TST!HeadRow),0,1,COLUMNS(TST!HeadRow)),1,MATCH(ME$5,TST!HeadRow,0))/ME$8</f>
        <v>46.722422090361171</v>
      </c>
      <c r="MF65" s="278">
        <f ca="1">$A65 - TST!NorthernTerritory100dt + 1</f>
        <v>-2</v>
      </c>
      <c r="MG65" s="20">
        <f ca="1">INDEX(OFFSET(TST!HeadRow,ROW()-ROW(TST!HeadRow),0,1,COLUMNS(TST!HeadRow)),1,MATCH(MG$5,TST!HeadRow,0))/MG$8</f>
        <v>47.182051947439192</v>
      </c>
      <c r="MH65" s="278">
        <f ca="1">$A65 - TST!WesternAustralia100dt + 1</f>
        <v>2</v>
      </c>
      <c r="MI65" s="20">
        <f ca="1">INDEX(OFFSET(TST!HeadRow,ROW()-ROW(TST!HeadRow),0,1,COLUMNS(TST!HeadRow)),1,MATCH(MI$5,TST!HeadRow,0))/MI$8</f>
        <v>119.73735032831208</v>
      </c>
      <c r="MJ65" s="278">
        <f ca="1">$A65 - TST!Germany100dt + 1</f>
        <v>10</v>
      </c>
      <c r="MK65" s="20">
        <f ca="1">INDEX(OFFSET(TST!HeadRow,ROW()-ROW(TST!HeadRow),0,1,COLUMNS(TST!HeadRow)),1,MATCH(MK$5,TST!HeadRow,0))/MK$8</f>
        <v>1115.0325222837871</v>
      </c>
      <c r="ML65" s="278">
        <f ca="1">$A65 - TST!Denmark100dt + 1</f>
        <v>9</v>
      </c>
      <c r="MM65" s="20">
        <f ca="1">INDEX(OFFSET(TST!HeadRow,ROW()-ROW(TST!HeadRow),0,1,COLUMNS(TST!HeadRow)),1,MATCH(MM$5,TST!HeadRow,0))/MM$8</f>
        <v>1682.7419910437479</v>
      </c>
      <c r="MN65" s="278">
        <f ca="1">$A65 - TST!SouthAfrica100dt + 1</f>
        <v>-7</v>
      </c>
      <c r="MO65" s="20">
        <f ca="1">INDEX(OFFSET(TST!HeadRow,ROW()-ROW(TST!HeadRow),0,1,COLUMNS(TST!HeadRow)),1,MATCH(MO$5,TST!HeadRow,0))/MO$8</f>
        <v>10.730356524749048</v>
      </c>
      <c r="MP65" s="278">
        <f ca="1">$A65 - TST!UnitedKingdom100dt + 1</f>
        <v>5</v>
      </c>
      <c r="MQ65" s="20">
        <f ca="1">INDEX(OFFSET(TST!HeadRow,ROW()-ROW(TST!HeadRow),0,1,COLUMNS(TST!HeadRow)),1,MATCH(MQ$5,TST!HeadRow,0))/MQ$8</f>
        <v>293.49789283564115</v>
      </c>
      <c r="MR65" s="278">
        <f ca="1">$A65 - TST!Ireland100dt + 1</f>
        <v>5</v>
      </c>
      <c r="MS65" s="20">
        <f ca="1">INDEX(OFFSET(TST!HeadRow,ROW()-ROW(TST!HeadRow),0,1,COLUMNS(TST!HeadRow)),1,MATCH(MS$5,TST!HeadRow,0))/MS$8</f>
        <v>455.10204081632656</v>
      </c>
      <c r="MT65" s="278">
        <f ca="1">$A65 - TST!Italy100dt + 1</f>
        <v>20</v>
      </c>
      <c r="MU65" s="20">
        <f ca="1">INDEX(OFFSET(TST!HeadRow,ROW()-ROW(TST!HeadRow),0,1,COLUMNS(TST!HeadRow)),1,MATCH(MU$5,TST!HeadRow,0))/MU$8</f>
        <v>5208.8947672976774</v>
      </c>
      <c r="MV65" s="278">
        <f ca="1">$A65 - TST!US100dt + 1</f>
        <v>3</v>
      </c>
      <c r="MW65" s="20">
        <f ca="1">INDEX(OFFSET(TST!HeadRow,ROW()-ROW(TST!HeadRow),0,1,COLUMNS(TST!HeadRow)),1,MATCH(MW$5,TST!HeadRow,0))/MW$8</f>
        <v>195.03216475564003</v>
      </c>
      <c r="MX65" s="278">
        <f ca="1">$A65 - TST!AustraliaSum100dt + 1</f>
        <v>3</v>
      </c>
      <c r="MY65" s="366">
        <f t="shared" si="8"/>
        <v>178.20533038952846</v>
      </c>
      <c r="MZ65" s="278">
        <f ca="1">$A65 - TST!NewSouthWales100dt + 1</f>
        <v>5</v>
      </c>
      <c r="NA65" s="366">
        <f ca="1">INDEX(OFFSET(TST!HeadRow,ROW()-ROW(TST!HeadRow),0,1,COLUMNS(TST!HeadRow)),1,MATCH(NA$5,TST!HeadRow,0))/NA$8</f>
        <v>259.9009900990099</v>
      </c>
      <c r="NB65" s="278">
        <f ca="1">$A65 - TST!Taiwan100dt + 1</f>
        <v>-8</v>
      </c>
      <c r="NC65" s="366">
        <f ca="1">INDEX(OFFSET(TST!HeadRow,ROW()-ROW(TST!HeadRow),0,1,COLUMNS(TST!HeadRow)),1,MATCH(NC$5,TST!HeadRow,0))/NC$8</f>
        <v>32.343045291772491</v>
      </c>
      <c r="ND65" s="20">
        <f ca="1">$A65 - TST!Hubei100dt + 1</f>
        <v>53</v>
      </c>
      <c r="NE65" s="20">
        <f ca="1">INDEX(OFFSET(TST!HeadRow,ROW()-ROW(TST!HeadRow),0,1,COLUMNS(TST!HeadRow)),1,MATCH(NE$5,TST!HeadRow,0))/NE$8</f>
        <v>11589.57264957265</v>
      </c>
      <c r="NF65" s="20">
        <f ca="1">$A65 - TST!HongKong100dt + 1</f>
        <v>23</v>
      </c>
      <c r="NG65" s="20">
        <f ca="1">INDEX(OFFSET(TST!HeadRow,ROW()-ROW(TST!HeadRow),0,1,COLUMNS(TST!HeadRow)),1,MATCH(NG$5,TST!HeadRow,0))/NG$8</f>
        <v>217.42048047241983</v>
      </c>
    </row>
    <row r="66" spans="1:371" x14ac:dyDescent="0.25">
      <c r="A66" s="243">
        <v>43908</v>
      </c>
      <c r="B66" s="23">
        <v>22</v>
      </c>
      <c r="C66" s="23">
        <v>59</v>
      </c>
      <c r="D66" s="23">
        <v>74</v>
      </c>
      <c r="E66" s="23">
        <v>39</v>
      </c>
      <c r="F66" s="23">
        <v>0</v>
      </c>
      <c r="G66" s="23">
        <v>1</v>
      </c>
      <c r="H66" s="23">
        <v>79</v>
      </c>
      <c r="I66" s="23">
        <v>84</v>
      </c>
      <c r="J66" s="23">
        <v>3</v>
      </c>
      <c r="K66" s="293">
        <v>267</v>
      </c>
      <c r="L66" s="23">
        <v>1</v>
      </c>
      <c r="M66" s="290">
        <v>94</v>
      </c>
      <c r="N66" s="23">
        <v>37</v>
      </c>
      <c r="O66" s="384">
        <v>10</v>
      </c>
      <c r="P66" s="287">
        <v>121</v>
      </c>
      <c r="Q66" s="23">
        <v>35</v>
      </c>
      <c r="R66" s="23">
        <v>1646</v>
      </c>
      <c r="S66" s="23">
        <v>28</v>
      </c>
      <c r="T66" s="23">
        <v>1</v>
      </c>
      <c r="U66" s="23">
        <v>256</v>
      </c>
      <c r="V66" s="23">
        <v>14</v>
      </c>
      <c r="W66" s="23">
        <v>2</v>
      </c>
      <c r="X66" s="23">
        <v>51</v>
      </c>
      <c r="Y66" s="23">
        <v>1486</v>
      </c>
      <c r="Z66" s="23">
        <v>2</v>
      </c>
      <c r="AA66" s="23">
        <v>1</v>
      </c>
      <c r="AB66" s="23">
        <v>12</v>
      </c>
      <c r="AC66" s="23">
        <v>38</v>
      </c>
      <c r="AD66" s="23">
        <v>372</v>
      </c>
      <c r="AE66" s="23">
        <v>68</v>
      </c>
      <c r="AF66" s="23">
        <v>92</v>
      </c>
      <c r="AG66" s="23">
        <v>20</v>
      </c>
      <c r="AH66" s="23">
        <v>0</v>
      </c>
      <c r="AI66" s="23">
        <v>35</v>
      </c>
      <c r="AJ66" s="23">
        <v>10</v>
      </c>
      <c r="AK66" s="23">
        <v>97</v>
      </c>
      <c r="AL66" s="23">
        <v>186</v>
      </c>
      <c r="AM66" s="23">
        <v>9</v>
      </c>
      <c r="AN66" s="23">
        <v>15</v>
      </c>
      <c r="AO66" s="23">
        <v>11</v>
      </c>
      <c r="AP66" s="23">
        <v>3</v>
      </c>
      <c r="AQ66" s="23">
        <v>12</v>
      </c>
      <c r="AR66" s="23">
        <v>221</v>
      </c>
      <c r="AS66" s="23">
        <v>1</v>
      </c>
      <c r="AT66" s="23">
        <v>94</v>
      </c>
      <c r="AU66" s="23">
        <v>8</v>
      </c>
      <c r="AV66" s="23">
        <v>1</v>
      </c>
      <c r="AW66" s="23">
        <v>0</v>
      </c>
      <c r="AX66" s="23">
        <v>238</v>
      </c>
      <c r="AY66" s="23">
        <v>990</v>
      </c>
      <c r="AZ66" s="23">
        <v>469</v>
      </c>
      <c r="BA66" s="23">
        <v>576</v>
      </c>
      <c r="BB66" s="23">
        <v>296</v>
      </c>
      <c r="BC66" s="23">
        <v>133</v>
      </c>
      <c r="BD66" s="23">
        <v>1370</v>
      </c>
      <c r="BE66" s="23">
        <v>253</v>
      </c>
      <c r="BF66" s="23">
        <v>146</v>
      </c>
      <c r="BG66" s="23">
        <v>168</v>
      </c>
      <c r="BH66" s="23">
        <v>318</v>
      </c>
      <c r="BI66" s="23">
        <v>482</v>
      </c>
      <c r="BJ66" s="23">
        <v>1273</v>
      </c>
      <c r="BK66" s="23">
        <v>181</v>
      </c>
      <c r="BL66" s="23">
        <v>67800</v>
      </c>
      <c r="BM66" s="23">
        <v>1018</v>
      </c>
      <c r="BN66" s="23">
        <v>75</v>
      </c>
      <c r="BO66" s="23">
        <v>631</v>
      </c>
      <c r="BP66" s="23">
        <v>935</v>
      </c>
      <c r="BQ66" s="23">
        <v>93</v>
      </c>
      <c r="BR66" s="23">
        <v>125</v>
      </c>
      <c r="BS66" s="23">
        <v>15</v>
      </c>
      <c r="BT66" s="23">
        <v>75</v>
      </c>
      <c r="BU66" s="23">
        <v>18</v>
      </c>
      <c r="BV66" s="23">
        <v>246</v>
      </c>
      <c r="BW66" s="23">
        <v>761</v>
      </c>
      <c r="BX66" s="23">
        <v>361</v>
      </c>
      <c r="BY66" s="23">
        <v>133</v>
      </c>
      <c r="BZ66" s="23">
        <v>540</v>
      </c>
      <c r="CA66" s="23">
        <v>136</v>
      </c>
      <c r="CB66" s="23">
        <v>1</v>
      </c>
      <c r="CC66" s="23">
        <v>76</v>
      </c>
      <c r="CD66" s="23">
        <v>176</v>
      </c>
      <c r="CE66" s="23">
        <v>1232</v>
      </c>
      <c r="CF66" s="23">
        <v>93</v>
      </c>
      <c r="CG66" s="23">
        <v>1</v>
      </c>
      <c r="CH66" s="23">
        <v>4</v>
      </c>
      <c r="CI66" s="23">
        <v>50</v>
      </c>
      <c r="CJ66" s="23">
        <v>6</v>
      </c>
      <c r="CK66" s="23">
        <v>81</v>
      </c>
      <c r="CL66" s="23">
        <v>712</v>
      </c>
      <c r="CM66" s="23">
        <v>7</v>
      </c>
      <c r="CN66" s="23">
        <v>49</v>
      </c>
      <c r="CO66" s="23">
        <v>464</v>
      </c>
      <c r="CP66" s="23">
        <v>58</v>
      </c>
      <c r="CQ66" s="23">
        <v>1</v>
      </c>
      <c r="CR66" s="23">
        <v>1057</v>
      </c>
      <c r="CS66" s="23">
        <v>1</v>
      </c>
      <c r="CT66" s="23">
        <v>21</v>
      </c>
      <c r="CU66" s="23">
        <v>111</v>
      </c>
      <c r="CV66" s="23">
        <v>196</v>
      </c>
      <c r="CW66" s="23">
        <v>0</v>
      </c>
      <c r="CX66" s="23">
        <v>4</v>
      </c>
      <c r="CY66" s="23">
        <v>0</v>
      </c>
      <c r="CZ66" s="23">
        <v>258</v>
      </c>
      <c r="DA66" s="23">
        <v>1</v>
      </c>
      <c r="DB66" s="23">
        <v>6</v>
      </c>
      <c r="DC66" s="23">
        <v>0</v>
      </c>
      <c r="DD66" s="23">
        <v>336</v>
      </c>
      <c r="DE66" s="23">
        <v>11</v>
      </c>
      <c r="DF66" s="23">
        <v>3</v>
      </c>
      <c r="DG66" s="23">
        <v>27</v>
      </c>
      <c r="DH66" s="23">
        <v>3</v>
      </c>
      <c r="DI66" s="23">
        <v>0</v>
      </c>
      <c r="DJ66" s="23">
        <v>12</v>
      </c>
      <c r="DK66" s="23">
        <v>3</v>
      </c>
      <c r="DL66" s="23">
        <v>3</v>
      </c>
      <c r="DM66" s="23">
        <v>19</v>
      </c>
      <c r="DN66" s="23">
        <v>9043</v>
      </c>
      <c r="DO66" s="23">
        <v>1</v>
      </c>
      <c r="DP66" s="23">
        <v>1</v>
      </c>
      <c r="DQ66" s="23">
        <v>38</v>
      </c>
      <c r="DR66" s="23">
        <v>12327</v>
      </c>
      <c r="DS66" s="23">
        <v>7</v>
      </c>
      <c r="DT66" s="23">
        <v>418</v>
      </c>
      <c r="DU66" s="23">
        <v>6</v>
      </c>
      <c r="DV66" s="23">
        <v>1</v>
      </c>
      <c r="DW66" s="23">
        <v>7</v>
      </c>
      <c r="DX66" s="23">
        <v>0</v>
      </c>
      <c r="DY66" s="23">
        <v>1</v>
      </c>
      <c r="DZ66" s="23">
        <v>9</v>
      </c>
      <c r="EA66" s="23">
        <v>58</v>
      </c>
      <c r="EB66" s="23">
        <v>250</v>
      </c>
      <c r="EC66" s="23">
        <v>156</v>
      </c>
      <c r="ED66" s="23">
        <v>227</v>
      </c>
      <c r="EE66" s="23">
        <v>17361</v>
      </c>
      <c r="EF66" s="23">
        <v>164</v>
      </c>
      <c r="EG66" s="23">
        <v>292</v>
      </c>
      <c r="EH66" s="23">
        <v>304</v>
      </c>
      <c r="EI66" s="23">
        <v>35713</v>
      </c>
      <c r="EJ66" s="23">
        <v>13</v>
      </c>
      <c r="EK66" s="23">
        <v>889</v>
      </c>
      <c r="EL66" s="23">
        <v>52</v>
      </c>
      <c r="EM66" s="23">
        <v>35</v>
      </c>
      <c r="EN66" s="23">
        <v>3</v>
      </c>
      <c r="EO66" s="23">
        <v>8413</v>
      </c>
      <c r="EP66" s="23">
        <v>142</v>
      </c>
      <c r="EQ66" s="23">
        <v>3</v>
      </c>
      <c r="ER66" s="23">
        <v>71</v>
      </c>
      <c r="ES66" s="23">
        <v>133</v>
      </c>
      <c r="ET66" s="23">
        <v>2</v>
      </c>
      <c r="EU66" s="23">
        <v>28</v>
      </c>
      <c r="EV66" s="23">
        <v>27</v>
      </c>
      <c r="EW66" s="23">
        <v>203</v>
      </c>
      <c r="EX66" s="23">
        <v>0</v>
      </c>
      <c r="EY66" s="23">
        <v>790</v>
      </c>
      <c r="EZ66" s="23">
        <v>13</v>
      </c>
      <c r="FA66" s="23">
        <v>38</v>
      </c>
      <c r="FB66" s="23">
        <v>1</v>
      </c>
      <c r="FC66" s="23">
        <v>3</v>
      </c>
      <c r="FD66" s="23">
        <v>118</v>
      </c>
      <c r="FE66" s="23">
        <v>30</v>
      </c>
      <c r="FF66" s="23">
        <v>7</v>
      </c>
      <c r="FG66" s="23">
        <v>6</v>
      </c>
      <c r="FH66" s="23">
        <v>2</v>
      </c>
      <c r="FI66" s="23">
        <v>49</v>
      </c>
      <c r="FJ66" s="23">
        <v>2</v>
      </c>
      <c r="FK66" s="23">
        <v>1</v>
      </c>
      <c r="FL66" s="23">
        <v>4</v>
      </c>
      <c r="FM66" s="23">
        <v>3</v>
      </c>
      <c r="FN66" s="23">
        <v>0</v>
      </c>
      <c r="FO66" s="23">
        <v>2051</v>
      </c>
      <c r="FP66" s="23">
        <v>20</v>
      </c>
      <c r="FQ66" s="23">
        <v>0</v>
      </c>
      <c r="FR66" s="23">
        <v>0</v>
      </c>
      <c r="FS66" s="23">
        <v>8</v>
      </c>
      <c r="FT66" s="23">
        <v>35</v>
      </c>
      <c r="FU66" s="23">
        <v>1550</v>
      </c>
      <c r="FV66" s="23">
        <v>39</v>
      </c>
      <c r="FW66" s="23">
        <v>299</v>
      </c>
      <c r="FX66" s="23">
        <v>86</v>
      </c>
      <c r="FY66" s="23">
        <v>0</v>
      </c>
      <c r="FZ66" s="23">
        <v>11</v>
      </c>
      <c r="GA66" s="23">
        <v>145</v>
      </c>
      <c r="GB66" s="23">
        <v>202</v>
      </c>
      <c r="GC66" s="23">
        <v>251</v>
      </c>
      <c r="GD66" s="23">
        <v>448</v>
      </c>
      <c r="GE66" s="23">
        <v>452</v>
      </c>
      <c r="GF66" s="23">
        <v>260</v>
      </c>
      <c r="GG66" s="23">
        <v>147</v>
      </c>
      <c r="GH66" s="23">
        <v>8</v>
      </c>
      <c r="GI66" s="23">
        <v>2</v>
      </c>
      <c r="GJ66" s="23">
        <v>1</v>
      </c>
      <c r="GK66" s="23">
        <v>119</v>
      </c>
      <c r="GL66" s="23">
        <v>171</v>
      </c>
      <c r="GM66" s="23">
        <v>31</v>
      </c>
      <c r="GN66" s="23">
        <v>83</v>
      </c>
      <c r="GO66" s="23">
        <v>4</v>
      </c>
      <c r="GP66" s="23">
        <v>313</v>
      </c>
      <c r="GQ66" s="23">
        <v>105</v>
      </c>
      <c r="GR66" s="23">
        <v>275</v>
      </c>
      <c r="GS66" s="23">
        <v>1</v>
      </c>
      <c r="GT66" s="23">
        <v>116</v>
      </c>
      <c r="GU66" s="23">
        <v>13910</v>
      </c>
      <c r="GV66" s="23">
        <v>51</v>
      </c>
      <c r="GW66" s="23">
        <v>2</v>
      </c>
      <c r="GX66" s="23">
        <v>1</v>
      </c>
      <c r="GY66" s="23">
        <v>1279</v>
      </c>
      <c r="GZ66" s="23">
        <v>3028</v>
      </c>
      <c r="HA66" s="23">
        <v>100</v>
      </c>
      <c r="HB66" s="23">
        <v>3</v>
      </c>
      <c r="HC66" s="23">
        <v>212</v>
      </c>
      <c r="HD66" s="23">
        <v>1</v>
      </c>
      <c r="HE66" s="23">
        <v>7</v>
      </c>
      <c r="HF66" s="23">
        <v>29</v>
      </c>
      <c r="HG66" s="23">
        <v>98</v>
      </c>
      <c r="HH66" s="23">
        <v>0</v>
      </c>
      <c r="HI66" s="23">
        <v>14</v>
      </c>
      <c r="HJ66" s="23">
        <v>113</v>
      </c>
      <c r="HK66" s="23">
        <v>0</v>
      </c>
      <c r="HL66" s="23">
        <v>1</v>
      </c>
      <c r="HM66" s="23">
        <v>6</v>
      </c>
      <c r="HN66" s="23">
        <v>8</v>
      </c>
      <c r="HO66" s="23">
        <v>0</v>
      </c>
      <c r="HP66" s="23">
        <v>1</v>
      </c>
      <c r="HQ66" s="23">
        <v>2626</v>
      </c>
      <c r="HR66" s="23">
        <v>50</v>
      </c>
      <c r="HS66" s="23">
        <v>7783</v>
      </c>
      <c r="HT66" s="23">
        <v>15</v>
      </c>
      <c r="HU66" s="23">
        <v>36</v>
      </c>
      <c r="HV66" s="23">
        <v>75</v>
      </c>
      <c r="HW66" s="23">
        <v>2</v>
      </c>
      <c r="HX66" s="23">
        <v>0</v>
      </c>
      <c r="HY66" s="23">
        <v>0</v>
      </c>
      <c r="HZ66" s="23">
        <v>0</v>
      </c>
      <c r="IA66" s="23">
        <v>0</v>
      </c>
      <c r="IB66" s="23">
        <v>0</v>
      </c>
      <c r="IC66" s="23">
        <v>0</v>
      </c>
      <c r="ID66" s="23">
        <v>0</v>
      </c>
      <c r="IE66" s="23">
        <v>0</v>
      </c>
      <c r="IF66" s="23">
        <v>0</v>
      </c>
      <c r="IG66" s="23">
        <v>0</v>
      </c>
      <c r="IH66" s="23">
        <v>0</v>
      </c>
      <c r="II66" s="23">
        <v>41</v>
      </c>
      <c r="IJ66" s="23">
        <v>0</v>
      </c>
      <c r="IK66" s="23">
        <v>0</v>
      </c>
      <c r="IL66" s="23">
        <v>0</v>
      </c>
      <c r="IM66" s="23">
        <v>0</v>
      </c>
      <c r="IN66" s="23">
        <v>0</v>
      </c>
      <c r="IO66" s="23">
        <v>0</v>
      </c>
      <c r="IP66" s="23">
        <v>0</v>
      </c>
      <c r="IQ66" s="23">
        <v>0</v>
      </c>
      <c r="IR66" s="23">
        <v>0</v>
      </c>
      <c r="IS66" s="23">
        <v>0</v>
      </c>
      <c r="IT66" s="23">
        <v>0</v>
      </c>
      <c r="IU66" s="23">
        <v>0</v>
      </c>
      <c r="IV66" s="23">
        <v>0</v>
      </c>
      <c r="IW66" s="23">
        <v>0</v>
      </c>
      <c r="IX66" s="23">
        <v>0</v>
      </c>
      <c r="IY66" s="23">
        <v>0</v>
      </c>
      <c r="IZ66" s="23">
        <v>0</v>
      </c>
      <c r="JA66" s="23">
        <v>0</v>
      </c>
      <c r="JB66" s="23">
        <v>0</v>
      </c>
      <c r="JC66" s="23">
        <v>0</v>
      </c>
      <c r="JD66" s="23">
        <v>0</v>
      </c>
      <c r="JE66" s="23">
        <v>0</v>
      </c>
      <c r="JF66" s="23">
        <v>0</v>
      </c>
      <c r="JG66" s="23">
        <v>0</v>
      </c>
      <c r="JH66" s="23">
        <v>0</v>
      </c>
      <c r="JI66" s="23">
        <v>5</v>
      </c>
      <c r="JJ66" s="23">
        <v>0</v>
      </c>
      <c r="JK66" s="23">
        <v>5</v>
      </c>
      <c r="JL66" s="23">
        <v>2</v>
      </c>
      <c r="JM66" s="23">
        <v>51</v>
      </c>
      <c r="JN66" s="23">
        <v>5</v>
      </c>
      <c r="JO66" s="23">
        <v>27</v>
      </c>
      <c r="JP66" s="23">
        <v>4</v>
      </c>
      <c r="JQ66" s="23">
        <v>828</v>
      </c>
      <c r="JR66" s="23">
        <v>218</v>
      </c>
      <c r="JS66" s="23">
        <v>96</v>
      </c>
      <c r="JT66" s="23">
        <v>19</v>
      </c>
      <c r="JU66" s="23">
        <v>31</v>
      </c>
      <c r="JV66" s="23">
        <v>306</v>
      </c>
      <c r="JW66" s="23">
        <v>197</v>
      </c>
      <c r="JX66" s="23">
        <v>15</v>
      </c>
      <c r="JY66" s="23">
        <v>9</v>
      </c>
      <c r="JZ66" s="23">
        <v>272</v>
      </c>
      <c r="KA66" s="23">
        <v>38</v>
      </c>
      <c r="KB66" s="23">
        <v>38</v>
      </c>
      <c r="KC66" s="23">
        <v>22</v>
      </c>
      <c r="KD66" s="23">
        <v>28</v>
      </c>
      <c r="KE66" s="23">
        <v>257</v>
      </c>
      <c r="KF66" s="23">
        <v>35</v>
      </c>
      <c r="KG66" s="23">
        <v>85</v>
      </c>
      <c r="KH66" s="23">
        <v>252</v>
      </c>
      <c r="KI66" s="23">
        <v>119</v>
      </c>
      <c r="KJ66" s="23">
        <v>77</v>
      </c>
      <c r="KK66" s="23">
        <v>34</v>
      </c>
      <c r="KL66" s="23">
        <v>18</v>
      </c>
      <c r="KM66" s="23">
        <v>10</v>
      </c>
      <c r="KN66" s="23">
        <v>24</v>
      </c>
      <c r="KO66" s="23">
        <v>55</v>
      </c>
      <c r="KP66" s="23">
        <v>37</v>
      </c>
      <c r="KQ66" s="23">
        <v>397</v>
      </c>
      <c r="KR66" s="23">
        <v>28</v>
      </c>
      <c r="KS66" s="23">
        <v>3038</v>
      </c>
      <c r="KT66" s="23">
        <v>92</v>
      </c>
      <c r="KU66" s="23">
        <v>6</v>
      </c>
      <c r="KV66" s="23">
        <v>89</v>
      </c>
      <c r="KW66" s="23">
        <v>17</v>
      </c>
      <c r="KX66" s="23">
        <v>75</v>
      </c>
      <c r="KY66" s="23">
        <v>155</v>
      </c>
      <c r="KZ66" s="23">
        <v>33</v>
      </c>
      <c r="LA66" s="23">
        <v>60</v>
      </c>
      <c r="LB66" s="23">
        <v>11</v>
      </c>
      <c r="LC66" s="23">
        <v>100</v>
      </c>
      <c r="LD66" s="23">
        <v>196</v>
      </c>
      <c r="LE66" s="23">
        <v>47</v>
      </c>
      <c r="LF66" s="23">
        <v>13</v>
      </c>
      <c r="LG66" s="23">
        <v>79</v>
      </c>
      <c r="LH66" s="23">
        <v>1022</v>
      </c>
      <c r="LI66" s="23">
        <v>1</v>
      </c>
      <c r="LJ66" s="23">
        <v>111</v>
      </c>
      <c r="LK66" s="23">
        <v>16</v>
      </c>
      <c r="LL66" s="23">
        <v>47</v>
      </c>
      <c r="LM66" s="23">
        <v>21</v>
      </c>
      <c r="LN66" s="278">
        <f ca="1">$A66 - TST!Sweden100dt + 1</f>
        <v>12</v>
      </c>
      <c r="LO66" s="20">
        <f ca="1">INDEX(OFFSET(TST!HeadRow,ROW()-ROW(TST!HeadRow),0,1,COLUMNS(TST!HeadRow)),1,MATCH(LO$5,TST!HeadRow,0))/LO$8</f>
        <v>1250.2443792766373</v>
      </c>
      <c r="LP66" s="278">
        <f ca="1">$A66 - TST!Spain100dt + 1</f>
        <v>12</v>
      </c>
      <c r="LQ66" s="20">
        <f ca="1">INDEX(OFFSET(TST!HeadRow,ROW()-ROW(TST!HeadRow),0,1,COLUMNS(TST!HeadRow)),1,MATCH(LQ$5,TST!HeadRow,0))/LQ$8</f>
        <v>2963.3574776310184</v>
      </c>
      <c r="LR66" s="285">
        <f ca="1">$A66 - TST!Victoria100dt + 1</f>
        <v>3</v>
      </c>
      <c r="LS66" s="20">
        <f ca="1">INDEX(OFFSET(TST!HeadRow,ROW()-ROW(TST!HeadRow),0,1,COLUMNS(TST!HeadRow)),1,MATCH(LS$5,TST!HeadRow,0))/LS$8</f>
        <v>182.53130185548346</v>
      </c>
      <c r="LT66" s="278">
        <f ca="1">$A66 - TST!Iran100dt + 1</f>
        <v>18</v>
      </c>
      <c r="LU66" s="20">
        <f ca="1">INDEX(OFFSET(TST!HeadRow,ROW()-ROW(TST!HeadRow),0,1,COLUMNS(TST!HeadRow)),1,MATCH(LU$5,TST!HeadRow,0))/LU$8</f>
        <v>2072.3860909839686</v>
      </c>
      <c r="LV66" s="278">
        <f ca="1">$A66 - TST!Japan100dt + 1</f>
        <v>-6</v>
      </c>
      <c r="LW66" s="20">
        <f ca="1">INDEX(OFFSET(TST!HeadRow,ROW()-ROW(TST!HeadRow),0,1,COLUMNS(TST!HeadRow)),1,MATCH(LW$5,TST!HeadRow,0))/LW$8</f>
        <v>70.246580431627393</v>
      </c>
      <c r="LX66" s="278">
        <f ca="1">$A66 - TST!Queensland100dt + 1</f>
        <v>4</v>
      </c>
      <c r="LY66" s="20">
        <f ca="1">INDEX(OFFSET(TST!HeadRow,ROW()-ROW(TST!HeadRow),0,1,COLUMNS(TST!HeadRow)),1,MATCH(LY$5,TST!HeadRow,0))/LY$8</f>
        <v>183.75701379995627</v>
      </c>
      <c r="LZ66" s="278">
        <f ca="1">$A66 - TST!Tasmania100dt + 1</f>
        <v>4</v>
      </c>
      <c r="MA66" s="20">
        <f ca="1">INDEX(OFFSET(TST!HeadRow,ROW()-ROW(TST!HeadRow),0,1,COLUMNS(TST!HeadRow)),1,MATCH(MA$5,TST!HeadRow,0))/MA$8</f>
        <v>194.17475728155341</v>
      </c>
      <c r="MB66" s="278">
        <f ca="1">$A66 - TST!SouthAustralia100dt + 1</f>
        <v>5</v>
      </c>
      <c r="MC66" s="20">
        <f ca="1">INDEX(OFFSET(TST!HeadRow,ROW()-ROW(TST!HeadRow),0,1,COLUMNS(TST!HeadRow)),1,MATCH(MC$5,TST!HeadRow,0))/MC$8</f>
        <v>221.55688622754491</v>
      </c>
      <c r="MD66" s="278">
        <f ca="1">$A66 - TST!AustralianCapitalTerritory100dt + 1</f>
        <v>-1</v>
      </c>
      <c r="ME66" s="20">
        <f ca="1">INDEX(OFFSET(TST!HeadRow,ROW()-ROW(TST!HeadRow),0,1,COLUMNS(TST!HeadRow)),1,MATCH(ME$5,TST!HeadRow,0))/ME$8</f>
        <v>70.083633135541746</v>
      </c>
      <c r="MF66" s="278">
        <f ca="1">$A66 - TST!NorthernTerritory100dt + 1</f>
        <v>-1</v>
      </c>
      <c r="MG66" s="20">
        <f ca="1">INDEX(OFFSET(TST!HeadRow,ROW()-ROW(TST!HeadRow),0,1,COLUMNS(TST!HeadRow)),1,MATCH(MG$5,TST!HeadRow,0))/MG$8</f>
        <v>47.182051947439192</v>
      </c>
      <c r="MH66" s="278">
        <f ca="1">$A66 - TST!WesternAustralia100dt + 1</f>
        <v>3</v>
      </c>
      <c r="MI66" s="20">
        <f ca="1">INDEX(OFFSET(TST!HeadRow,ROW()-ROW(TST!HeadRow),0,1,COLUMNS(TST!HeadRow)),1,MATCH(MI$5,TST!HeadRow,0))/MI$8</f>
        <v>135.18733101583621</v>
      </c>
      <c r="MJ66" s="278">
        <f ca="1">$A66 - TST!Germany100dt + 1</f>
        <v>11</v>
      </c>
      <c r="MK66" s="20">
        <f ca="1">INDEX(OFFSET(TST!HeadRow,ROW()-ROW(TST!HeadRow),0,1,COLUMNS(TST!HeadRow)),1,MATCH(MK$5,TST!HeadRow,0))/MK$8</f>
        <v>1484.8229342327152</v>
      </c>
      <c r="ML66" s="278">
        <f ca="1">$A66 - TST!Denmark100dt + 1</f>
        <v>10</v>
      </c>
      <c r="MM66" s="20">
        <f ca="1">INDEX(OFFSET(TST!HeadRow,ROW()-ROW(TST!HeadRow),0,1,COLUMNS(TST!HeadRow)),1,MATCH(MM$5,TST!HeadRow,0))/MM$8</f>
        <v>1820.5304857044437</v>
      </c>
      <c r="MN66" s="278">
        <f ca="1">$A66 - TST!SouthAfrica100dt + 1</f>
        <v>-6</v>
      </c>
      <c r="MO66" s="20">
        <f ca="1">INDEX(OFFSET(TST!HeadRow,ROW()-ROW(TST!HeadRow),0,1,COLUMNS(TST!HeadRow)),1,MATCH(MO$5,TST!HeadRow,0))/MO$8</f>
        <v>20.076150917272415</v>
      </c>
      <c r="MP66" s="278">
        <f ca="1">$A66 - TST!UnitedKingdom100dt + 1</f>
        <v>6</v>
      </c>
      <c r="MQ66" s="20">
        <f ca="1">INDEX(OFFSET(TST!HeadRow,ROW()-ROW(TST!HeadRow),0,1,COLUMNS(TST!HeadRow)),1,MATCH(MQ$5,TST!HeadRow,0))/MQ$8</f>
        <v>395.24382901866346</v>
      </c>
      <c r="MR66" s="278">
        <f ca="1">$A66 - TST!Ireland100dt + 1</f>
        <v>6</v>
      </c>
      <c r="MS66" s="20">
        <f ca="1">INDEX(OFFSET(TST!HeadRow,ROW()-ROW(TST!HeadRow),0,1,COLUMNS(TST!HeadRow)),1,MATCH(MS$5,TST!HeadRow,0))/MS$8</f>
        <v>595.91836734693879</v>
      </c>
      <c r="MT66" s="278">
        <f ca="1">$A66 - TST!Italy100dt + 1</f>
        <v>21</v>
      </c>
      <c r="MU66" s="20">
        <f ca="1">INDEX(OFFSET(TST!HeadRow,ROW()-ROW(TST!HeadRow),0,1,COLUMNS(TST!HeadRow)),1,MATCH(MU$5,TST!HeadRow,0))/MU$8</f>
        <v>5904.4391171364805</v>
      </c>
      <c r="MV66" s="278">
        <f ca="1">$A66 - TST!US100dt + 1</f>
        <v>4</v>
      </c>
      <c r="MW66" s="20">
        <f ca="1">INDEX(OFFSET(TST!HeadRow,ROW()-ROW(TST!HeadRow),0,1,COLUMNS(TST!HeadRow)),1,MATCH(MW$5,TST!HeadRow,0))/MW$8</f>
        <v>236.40170351863358</v>
      </c>
      <c r="MX66" s="278">
        <f ca="1">$A66 - TST!AustraliaSum100dt + 1</f>
        <v>4</v>
      </c>
      <c r="MY66" s="366">
        <f t="shared" si="8"/>
        <v>223.93944172843399</v>
      </c>
      <c r="MZ66" s="278">
        <f ca="1">$A66 - TST!NewSouthWales100dt + 1</f>
        <v>6</v>
      </c>
      <c r="NA66" s="366">
        <f ca="1">INDEX(OFFSET(TST!HeadRow,ROW()-ROW(TST!HeadRow),0,1,COLUMNS(TST!HeadRow)),1,MATCH(NA$5,TST!HeadRow,0))/NA$8</f>
        <v>330.44554455445541</v>
      </c>
      <c r="NB66" s="278">
        <f ca="1">$A66 - TST!Taiwan100dt + 1</f>
        <v>-7</v>
      </c>
      <c r="NC66" s="366">
        <f ca="1">INDEX(OFFSET(TST!HeadRow,ROW()-ROW(TST!HeadRow),0,1,COLUMNS(TST!HeadRow)),1,MATCH(NC$5,TST!HeadRow,0))/NC$8</f>
        <v>42.003954924379862</v>
      </c>
      <c r="ND66" s="20">
        <f ca="1">$A66 - TST!Hubei100dt + 1</f>
        <v>54</v>
      </c>
      <c r="NE66" s="20">
        <f ca="1">INDEX(OFFSET(TST!HeadRow,ROW()-ROW(TST!HeadRow),0,1,COLUMNS(TST!HeadRow)),1,MATCH(NE$5,TST!HeadRow,0))/NE$8</f>
        <v>11589.74358974359</v>
      </c>
      <c r="NF66" s="20">
        <f ca="1">$A66 - TST!HongKong100dt + 1</f>
        <v>24</v>
      </c>
      <c r="NG66" s="20">
        <f ca="1">INDEX(OFFSET(TST!HeadRow,ROW()-ROW(TST!HeadRow),0,1,COLUMNS(TST!HeadRow)),1,MATCH(NG$5,TST!HeadRow,0))/NG$8</f>
        <v>242.92041336733325</v>
      </c>
    </row>
    <row r="67" spans="1:371" x14ac:dyDescent="0.25">
      <c r="A67" s="243">
        <v>43909</v>
      </c>
      <c r="B67" s="23">
        <v>22</v>
      </c>
      <c r="C67" s="23">
        <v>64</v>
      </c>
      <c r="D67" s="23">
        <v>87</v>
      </c>
      <c r="E67" s="23">
        <v>53</v>
      </c>
      <c r="F67" s="23">
        <v>0</v>
      </c>
      <c r="G67" s="23">
        <v>1</v>
      </c>
      <c r="H67" s="23">
        <v>97</v>
      </c>
      <c r="I67" s="23">
        <v>115</v>
      </c>
      <c r="J67" s="23">
        <v>4</v>
      </c>
      <c r="K67" s="293">
        <v>307</v>
      </c>
      <c r="L67" s="23">
        <v>1</v>
      </c>
      <c r="M67" s="290">
        <v>144</v>
      </c>
      <c r="N67" s="23">
        <v>42</v>
      </c>
      <c r="O67" s="384">
        <v>10</v>
      </c>
      <c r="P67" s="287">
        <v>121</v>
      </c>
      <c r="Q67" s="23">
        <v>52</v>
      </c>
      <c r="R67" s="23">
        <v>2013</v>
      </c>
      <c r="S67" s="23">
        <v>44</v>
      </c>
      <c r="T67" s="23">
        <v>3</v>
      </c>
      <c r="U67" s="23">
        <v>278</v>
      </c>
      <c r="V67" s="23">
        <v>17</v>
      </c>
      <c r="W67" s="23">
        <v>5</v>
      </c>
      <c r="X67" s="23">
        <v>51</v>
      </c>
      <c r="Y67" s="23">
        <v>1795</v>
      </c>
      <c r="Z67" s="23">
        <v>2</v>
      </c>
      <c r="AA67" s="23">
        <v>1</v>
      </c>
      <c r="AB67" s="23">
        <v>12</v>
      </c>
      <c r="AC67" s="23">
        <v>63</v>
      </c>
      <c r="AD67" s="23">
        <v>621</v>
      </c>
      <c r="AE67" s="23">
        <v>75</v>
      </c>
      <c r="AF67" s="23">
        <v>94</v>
      </c>
      <c r="AG67" s="23">
        <v>33</v>
      </c>
      <c r="AH67" s="23">
        <v>0</v>
      </c>
      <c r="AI67" s="23">
        <v>37</v>
      </c>
      <c r="AJ67" s="23">
        <v>13</v>
      </c>
      <c r="AK67" s="23">
        <v>119</v>
      </c>
      <c r="AL67" s="23">
        <v>231</v>
      </c>
      <c r="AM67" s="23">
        <v>9</v>
      </c>
      <c r="AN67" s="23">
        <v>17</v>
      </c>
      <c r="AO67" s="23">
        <v>11</v>
      </c>
      <c r="AP67" s="23">
        <v>3</v>
      </c>
      <c r="AQ67" s="23">
        <v>14</v>
      </c>
      <c r="AR67" s="23">
        <v>257</v>
      </c>
      <c r="AS67" s="23">
        <v>2</v>
      </c>
      <c r="AT67" s="23">
        <v>121</v>
      </c>
      <c r="AU67" s="23">
        <v>16</v>
      </c>
      <c r="AV67" s="23">
        <v>1</v>
      </c>
      <c r="AW67" s="23">
        <v>1</v>
      </c>
      <c r="AX67" s="23">
        <v>238</v>
      </c>
      <c r="AY67" s="23">
        <v>990</v>
      </c>
      <c r="AZ67" s="23">
        <v>480</v>
      </c>
      <c r="BA67" s="23">
        <v>576</v>
      </c>
      <c r="BB67" s="23">
        <v>296</v>
      </c>
      <c r="BC67" s="23">
        <v>134</v>
      </c>
      <c r="BD67" s="23">
        <v>1378</v>
      </c>
      <c r="BE67" s="23">
        <v>253</v>
      </c>
      <c r="BF67" s="23">
        <v>146</v>
      </c>
      <c r="BG67" s="23">
        <v>168</v>
      </c>
      <c r="BH67" s="23">
        <v>318</v>
      </c>
      <c r="BI67" s="23">
        <v>483</v>
      </c>
      <c r="BJ67" s="23">
        <v>1273</v>
      </c>
      <c r="BK67" s="23">
        <v>208</v>
      </c>
      <c r="BL67" s="23">
        <v>67800</v>
      </c>
      <c r="BM67" s="23">
        <v>1018</v>
      </c>
      <c r="BN67" s="23">
        <v>75</v>
      </c>
      <c r="BO67" s="23">
        <v>631</v>
      </c>
      <c r="BP67" s="23">
        <v>935</v>
      </c>
      <c r="BQ67" s="23">
        <v>93</v>
      </c>
      <c r="BR67" s="23">
        <v>125</v>
      </c>
      <c r="BS67" s="23">
        <v>17</v>
      </c>
      <c r="BT67" s="23">
        <v>75</v>
      </c>
      <c r="BU67" s="23">
        <v>18</v>
      </c>
      <c r="BV67" s="23">
        <v>246</v>
      </c>
      <c r="BW67" s="23">
        <v>761</v>
      </c>
      <c r="BX67" s="23">
        <v>363</v>
      </c>
      <c r="BY67" s="23">
        <v>133</v>
      </c>
      <c r="BZ67" s="23">
        <v>540</v>
      </c>
      <c r="CA67" s="23">
        <v>137</v>
      </c>
      <c r="CB67" s="23">
        <v>1</v>
      </c>
      <c r="CC67" s="23">
        <v>76</v>
      </c>
      <c r="CD67" s="23">
        <v>176</v>
      </c>
      <c r="CE67" s="23">
        <v>1233</v>
      </c>
      <c r="CF67" s="23">
        <v>102</v>
      </c>
      <c r="CG67" s="23">
        <v>3</v>
      </c>
      <c r="CH67" s="23">
        <v>14</v>
      </c>
      <c r="CI67" s="23">
        <v>69</v>
      </c>
      <c r="CJ67" s="23">
        <v>9</v>
      </c>
      <c r="CK67" s="23">
        <v>105</v>
      </c>
      <c r="CL67" s="23">
        <v>712</v>
      </c>
      <c r="CM67" s="23">
        <v>11</v>
      </c>
      <c r="CN67" s="23">
        <v>67</v>
      </c>
      <c r="CO67" s="23">
        <v>694</v>
      </c>
      <c r="CP67" s="23">
        <v>72</v>
      </c>
      <c r="CQ67" s="23">
        <v>2</v>
      </c>
      <c r="CR67" s="23">
        <v>1151</v>
      </c>
      <c r="CS67" s="23">
        <v>1</v>
      </c>
      <c r="CT67" s="23">
        <v>34</v>
      </c>
      <c r="CU67" s="23">
        <v>199</v>
      </c>
      <c r="CV67" s="23">
        <v>256</v>
      </c>
      <c r="CW67" s="23">
        <v>1</v>
      </c>
      <c r="CX67" s="23">
        <v>6</v>
      </c>
      <c r="CY67" s="23">
        <v>0</v>
      </c>
      <c r="CZ67" s="23">
        <v>267</v>
      </c>
      <c r="DA67" s="23">
        <v>1</v>
      </c>
      <c r="DB67" s="23">
        <v>6</v>
      </c>
      <c r="DC67" s="23">
        <v>1</v>
      </c>
      <c r="DD67" s="23">
        <v>400</v>
      </c>
      <c r="DE67" s="23">
        <v>11</v>
      </c>
      <c r="DF67" s="23">
        <v>6</v>
      </c>
      <c r="DG67" s="23">
        <v>33</v>
      </c>
      <c r="DH67" s="23">
        <v>3</v>
      </c>
      <c r="DI67" s="23">
        <v>2</v>
      </c>
      <c r="DJ67" s="23">
        <v>14</v>
      </c>
      <c r="DK67" s="23">
        <v>3</v>
      </c>
      <c r="DL67" s="23">
        <v>4</v>
      </c>
      <c r="DM67" s="23">
        <v>23</v>
      </c>
      <c r="DN67" s="23">
        <v>10871</v>
      </c>
      <c r="DO67" s="23">
        <v>1</v>
      </c>
      <c r="DP67" s="23">
        <v>1</v>
      </c>
      <c r="DQ67" s="23">
        <v>40</v>
      </c>
      <c r="DR67" s="23">
        <v>15320</v>
      </c>
      <c r="DS67" s="23">
        <v>11</v>
      </c>
      <c r="DT67" s="23">
        <v>418</v>
      </c>
      <c r="DU67" s="23">
        <v>9</v>
      </c>
      <c r="DV67" s="23">
        <v>1</v>
      </c>
      <c r="DW67" s="23">
        <v>7</v>
      </c>
      <c r="DX67" s="23">
        <v>0</v>
      </c>
      <c r="DY67" s="23">
        <v>1</v>
      </c>
      <c r="DZ67" s="23">
        <v>12</v>
      </c>
      <c r="EA67" s="23">
        <v>73</v>
      </c>
      <c r="EB67" s="23">
        <v>330</v>
      </c>
      <c r="EC67" s="23">
        <v>194</v>
      </c>
      <c r="ED67" s="23">
        <v>311</v>
      </c>
      <c r="EE67" s="23">
        <v>18407</v>
      </c>
      <c r="EF67" s="23">
        <v>192</v>
      </c>
      <c r="EG67" s="23">
        <v>557</v>
      </c>
      <c r="EH67" s="23">
        <v>427</v>
      </c>
      <c r="EI67" s="23">
        <v>41035</v>
      </c>
      <c r="EJ67" s="23">
        <v>15</v>
      </c>
      <c r="EK67" s="23">
        <v>924</v>
      </c>
      <c r="EL67" s="23">
        <v>69</v>
      </c>
      <c r="EM67" s="23">
        <v>44</v>
      </c>
      <c r="EN67" s="23">
        <v>7</v>
      </c>
      <c r="EO67" s="23">
        <v>8565</v>
      </c>
      <c r="EP67" s="23">
        <v>148</v>
      </c>
      <c r="EQ67" s="23">
        <v>3</v>
      </c>
      <c r="ER67" s="23">
        <v>86</v>
      </c>
      <c r="ES67" s="23">
        <v>157</v>
      </c>
      <c r="ET67" s="23">
        <v>2</v>
      </c>
      <c r="EU67" s="23">
        <v>28</v>
      </c>
      <c r="EV67" s="23">
        <v>36</v>
      </c>
      <c r="EW67" s="23">
        <v>335</v>
      </c>
      <c r="EX67" s="23">
        <v>0</v>
      </c>
      <c r="EY67" s="23">
        <v>900</v>
      </c>
      <c r="EZ67" s="23">
        <v>13</v>
      </c>
      <c r="FA67" s="23">
        <v>53</v>
      </c>
      <c r="FB67" s="23">
        <v>2</v>
      </c>
      <c r="FC67" s="23">
        <v>3</v>
      </c>
      <c r="FD67" s="23">
        <v>164</v>
      </c>
      <c r="FE67" s="23">
        <v>49</v>
      </c>
      <c r="FF67" s="23">
        <v>7</v>
      </c>
      <c r="FG67" s="23">
        <v>6</v>
      </c>
      <c r="FH67" s="23">
        <v>3</v>
      </c>
      <c r="FI67" s="23">
        <v>63</v>
      </c>
      <c r="FJ67" s="23">
        <v>3</v>
      </c>
      <c r="FK67" s="23">
        <v>1</v>
      </c>
      <c r="FL67" s="23">
        <v>4</v>
      </c>
      <c r="FM67" s="23">
        <v>3</v>
      </c>
      <c r="FN67" s="23">
        <v>0</v>
      </c>
      <c r="FO67" s="23">
        <v>2460</v>
      </c>
      <c r="FP67" s="23">
        <v>28</v>
      </c>
      <c r="FQ67" s="23">
        <v>1</v>
      </c>
      <c r="FR67" s="23">
        <v>0</v>
      </c>
      <c r="FS67" s="23">
        <v>8</v>
      </c>
      <c r="FT67" s="23">
        <v>48</v>
      </c>
      <c r="FU67" s="23">
        <v>1746</v>
      </c>
      <c r="FV67" s="23">
        <v>48</v>
      </c>
      <c r="FW67" s="23">
        <v>454</v>
      </c>
      <c r="FX67" s="23">
        <v>109</v>
      </c>
      <c r="FY67" s="23">
        <v>0</v>
      </c>
      <c r="FZ67" s="23">
        <v>11</v>
      </c>
      <c r="GA67" s="23">
        <v>234</v>
      </c>
      <c r="GB67" s="23">
        <v>217</v>
      </c>
      <c r="GC67" s="23">
        <v>355</v>
      </c>
      <c r="GD67" s="23">
        <v>785</v>
      </c>
      <c r="GE67" s="23">
        <v>460</v>
      </c>
      <c r="GF67" s="23">
        <v>277</v>
      </c>
      <c r="GG67" s="23">
        <v>199</v>
      </c>
      <c r="GH67" s="23">
        <v>8</v>
      </c>
      <c r="GI67" s="23">
        <v>2</v>
      </c>
      <c r="GJ67" s="23">
        <v>1</v>
      </c>
      <c r="GK67" s="23">
        <v>119</v>
      </c>
      <c r="GL67" s="23">
        <v>274</v>
      </c>
      <c r="GM67" s="23">
        <v>31</v>
      </c>
      <c r="GN67" s="23">
        <v>103</v>
      </c>
      <c r="GO67" s="23">
        <v>6</v>
      </c>
      <c r="GP67" s="23">
        <v>345</v>
      </c>
      <c r="GQ67" s="23">
        <v>123</v>
      </c>
      <c r="GR67" s="23">
        <v>286</v>
      </c>
      <c r="GS67" s="23">
        <v>1</v>
      </c>
      <c r="GT67" s="23">
        <v>150</v>
      </c>
      <c r="GU67" s="23">
        <v>17963</v>
      </c>
      <c r="GV67" s="23">
        <v>60</v>
      </c>
      <c r="GW67" s="23">
        <v>2</v>
      </c>
      <c r="GX67" s="23">
        <v>1</v>
      </c>
      <c r="GY67" s="23">
        <v>1439</v>
      </c>
      <c r="GZ67" s="23">
        <v>4075</v>
      </c>
      <c r="HA67" s="23">
        <v>108</v>
      </c>
      <c r="HB67" s="23">
        <v>6</v>
      </c>
      <c r="HC67" s="23">
        <v>272</v>
      </c>
      <c r="HD67" s="23">
        <v>1</v>
      </c>
      <c r="HE67" s="23">
        <v>9</v>
      </c>
      <c r="HF67" s="23">
        <v>39</v>
      </c>
      <c r="HG67" s="23">
        <v>192</v>
      </c>
      <c r="HH67" s="23">
        <v>0</v>
      </c>
      <c r="HI67" s="23">
        <v>16</v>
      </c>
      <c r="HJ67" s="23">
        <v>140</v>
      </c>
      <c r="HK67" s="23">
        <v>2</v>
      </c>
      <c r="HL67" s="23">
        <v>3</v>
      </c>
      <c r="HM67" s="23">
        <v>11</v>
      </c>
      <c r="HN67" s="23">
        <v>10</v>
      </c>
      <c r="HO67" s="23">
        <v>0</v>
      </c>
      <c r="HP67" s="23">
        <v>1</v>
      </c>
      <c r="HQ67" s="23">
        <v>2689</v>
      </c>
      <c r="HR67" s="23">
        <v>79</v>
      </c>
      <c r="HS67" s="23">
        <v>13747</v>
      </c>
      <c r="HT67" s="23">
        <v>23</v>
      </c>
      <c r="HU67" s="23">
        <v>42</v>
      </c>
      <c r="HV67" s="23">
        <v>85</v>
      </c>
      <c r="HW67" s="23">
        <v>2</v>
      </c>
      <c r="HX67" s="23">
        <v>0</v>
      </c>
      <c r="HY67" s="23">
        <v>0</v>
      </c>
      <c r="HZ67" s="23">
        <v>0</v>
      </c>
      <c r="IA67" s="23">
        <v>0</v>
      </c>
      <c r="IB67" s="23">
        <v>0</v>
      </c>
      <c r="IC67" s="23">
        <v>0</v>
      </c>
      <c r="ID67" s="23">
        <v>0</v>
      </c>
      <c r="IE67" s="23">
        <v>0</v>
      </c>
      <c r="IF67" s="23">
        <v>0</v>
      </c>
      <c r="IG67" s="23">
        <v>0</v>
      </c>
      <c r="IH67" s="23">
        <v>0</v>
      </c>
      <c r="II67" s="23">
        <v>44</v>
      </c>
      <c r="IJ67" s="23">
        <v>0</v>
      </c>
      <c r="IK67" s="23">
        <v>0</v>
      </c>
      <c r="IL67" s="23">
        <v>0</v>
      </c>
      <c r="IM67" s="23">
        <v>0</v>
      </c>
      <c r="IN67" s="23">
        <v>0</v>
      </c>
      <c r="IO67" s="23">
        <v>0</v>
      </c>
      <c r="IP67" s="23">
        <v>0</v>
      </c>
      <c r="IQ67" s="23">
        <v>0</v>
      </c>
      <c r="IR67" s="23">
        <v>0</v>
      </c>
      <c r="IS67" s="23">
        <v>0</v>
      </c>
      <c r="IT67" s="23">
        <v>0</v>
      </c>
      <c r="IU67" s="23">
        <v>0</v>
      </c>
      <c r="IV67" s="23">
        <v>0</v>
      </c>
      <c r="IW67" s="23">
        <v>0</v>
      </c>
      <c r="IX67" s="23">
        <v>0</v>
      </c>
      <c r="IY67" s="23">
        <v>0</v>
      </c>
      <c r="IZ67" s="23">
        <v>0</v>
      </c>
      <c r="JA67" s="23">
        <v>0</v>
      </c>
      <c r="JB67" s="23">
        <v>0</v>
      </c>
      <c r="JC67" s="23">
        <v>0</v>
      </c>
      <c r="JD67" s="23">
        <v>0</v>
      </c>
      <c r="JE67" s="23">
        <v>0</v>
      </c>
      <c r="JF67" s="23">
        <v>0</v>
      </c>
      <c r="JG67" s="23">
        <v>0</v>
      </c>
      <c r="JH67" s="23">
        <v>0</v>
      </c>
      <c r="JI67" s="23">
        <v>12</v>
      </c>
      <c r="JJ67" s="23">
        <v>0</v>
      </c>
      <c r="JK67" s="23">
        <v>5</v>
      </c>
      <c r="JL67" s="23">
        <v>3</v>
      </c>
      <c r="JM67" s="23">
        <v>78</v>
      </c>
      <c r="JN67" s="23">
        <v>8</v>
      </c>
      <c r="JO67" s="23">
        <v>45</v>
      </c>
      <c r="JP67" s="23">
        <v>62</v>
      </c>
      <c r="JQ67" s="23">
        <v>1005</v>
      </c>
      <c r="JR67" s="23">
        <v>277</v>
      </c>
      <c r="JS67" s="23">
        <v>159</v>
      </c>
      <c r="JT67" s="23">
        <v>30</v>
      </c>
      <c r="JU67" s="23">
        <v>40</v>
      </c>
      <c r="JV67" s="23">
        <v>432</v>
      </c>
      <c r="JW67" s="23">
        <v>287</v>
      </c>
      <c r="JX67" s="23">
        <v>25</v>
      </c>
      <c r="JY67" s="23">
        <v>23</v>
      </c>
      <c r="JZ67" s="23">
        <v>422</v>
      </c>
      <c r="KA67" s="23">
        <v>60</v>
      </c>
      <c r="KB67" s="23">
        <v>44</v>
      </c>
      <c r="KC67" s="23">
        <v>35</v>
      </c>
      <c r="KD67" s="23">
        <v>50</v>
      </c>
      <c r="KE67" s="23">
        <v>392</v>
      </c>
      <c r="KF67" s="23">
        <v>52</v>
      </c>
      <c r="KG67" s="23">
        <v>107</v>
      </c>
      <c r="KH67" s="23">
        <v>328</v>
      </c>
      <c r="KI67" s="23">
        <v>259</v>
      </c>
      <c r="KJ67" s="23">
        <v>89</v>
      </c>
      <c r="KK67" s="23">
        <v>50</v>
      </c>
      <c r="KL67" s="23">
        <v>39</v>
      </c>
      <c r="KM67" s="23">
        <v>11</v>
      </c>
      <c r="KN67" s="23">
        <v>29</v>
      </c>
      <c r="KO67" s="23">
        <v>95</v>
      </c>
      <c r="KP67" s="23">
        <v>42</v>
      </c>
      <c r="KQ67" s="23">
        <v>741</v>
      </c>
      <c r="KR67" s="23">
        <v>35</v>
      </c>
      <c r="KS67" s="23">
        <v>5704</v>
      </c>
      <c r="KT67" s="23">
        <v>136</v>
      </c>
      <c r="KU67" s="23">
        <v>19</v>
      </c>
      <c r="KV67" s="23">
        <v>119</v>
      </c>
      <c r="KW67" s="23">
        <v>44</v>
      </c>
      <c r="KX67" s="23">
        <v>88</v>
      </c>
      <c r="KY67" s="23">
        <v>206</v>
      </c>
      <c r="KZ67" s="23">
        <v>44</v>
      </c>
      <c r="LA67" s="23">
        <v>80</v>
      </c>
      <c r="LB67" s="23">
        <v>14</v>
      </c>
      <c r="LC67" s="23">
        <v>154</v>
      </c>
      <c r="LD67" s="23">
        <v>306</v>
      </c>
      <c r="LE67" s="23">
        <v>62</v>
      </c>
      <c r="LF67" s="23">
        <v>22</v>
      </c>
      <c r="LG67" s="23">
        <v>103</v>
      </c>
      <c r="LH67" s="23">
        <v>1374</v>
      </c>
      <c r="LI67" s="23">
        <v>2</v>
      </c>
      <c r="LJ67" s="23">
        <v>159</v>
      </c>
      <c r="LK67" s="23">
        <v>18</v>
      </c>
      <c r="LL67" s="23">
        <v>47</v>
      </c>
      <c r="LM67" s="23">
        <v>22</v>
      </c>
      <c r="LN67" s="278">
        <f ca="1">$A67 - TST!Sweden100dt + 1</f>
        <v>13</v>
      </c>
      <c r="LO67" s="20">
        <f ca="1">INDEX(OFFSET(TST!HeadRow,ROW()-ROW(TST!HeadRow),0,1,COLUMNS(TST!HeadRow)),1,MATCH(LO$5,TST!HeadRow,0))/LO$8</f>
        <v>1406.6471163245358</v>
      </c>
      <c r="LP67" s="278">
        <f ca="1">$A67 - TST!Spain100dt + 1</f>
        <v>13</v>
      </c>
      <c r="LQ67" s="20">
        <f ca="1">INDEX(OFFSET(TST!HeadRow,ROW()-ROW(TST!HeadRow),0,1,COLUMNS(TST!HeadRow)),1,MATCH(LQ$5,TST!HeadRow,0))/LQ$8</f>
        <v>3826.8001704303365</v>
      </c>
      <c r="LR67" s="285">
        <f ca="1">$A67 - TST!Victoria100dt + 1</f>
        <v>4</v>
      </c>
      <c r="LS67" s="20">
        <f ca="1">INDEX(OFFSET(TST!HeadRow,ROW()-ROW(TST!HeadRow),0,1,COLUMNS(TST!HeadRow)),1,MATCH(LS$5,TST!HeadRow,0))/LS$8</f>
        <v>182.53130185548346</v>
      </c>
      <c r="LT67" s="278">
        <f ca="1">$A67 - TST!Iran100dt + 1</f>
        <v>19</v>
      </c>
      <c r="LU67" s="20">
        <f ca="1">INDEX(OFFSET(TST!HeadRow,ROW()-ROW(TST!HeadRow),0,1,COLUMNS(TST!HeadRow)),1,MATCH(LU$5,TST!HeadRow,0))/LU$8</f>
        <v>2197.247323123202</v>
      </c>
      <c r="LV67" s="278">
        <f ca="1">$A67 - TST!Japan100dt + 1</f>
        <v>-5</v>
      </c>
      <c r="LW67" s="20">
        <f ca="1">INDEX(OFFSET(TST!HeadRow,ROW()-ROW(TST!HeadRow),0,1,COLUMNS(TST!HeadRow)),1,MATCH(LW$5,TST!HeadRow,0))/LW$8</f>
        <v>73.012193834447373</v>
      </c>
      <c r="LX67" s="278">
        <f ca="1">$A67 - TST!Queensland100dt + 1</f>
        <v>5</v>
      </c>
      <c r="LY67" s="20">
        <f ca="1">INDEX(OFFSET(TST!HeadRow,ROW()-ROW(TST!HeadRow),0,1,COLUMNS(TST!HeadRow)),1,MATCH(LY$5,TST!HeadRow,0))/LY$8</f>
        <v>281.5001062467415</v>
      </c>
      <c r="LZ67" s="278">
        <f ca="1">$A67 - TST!Tasmania100dt + 1</f>
        <v>5</v>
      </c>
      <c r="MA67" s="20">
        <f ca="1">INDEX(OFFSET(TST!HeadRow,ROW()-ROW(TST!HeadRow),0,1,COLUMNS(TST!HeadRow)),1,MATCH(MA$5,TST!HeadRow,0))/MA$8</f>
        <v>194.17475728155341</v>
      </c>
      <c r="MB67" s="278">
        <f ca="1">$A67 - TST!SouthAustralia100dt + 1</f>
        <v>6</v>
      </c>
      <c r="MC67" s="20">
        <f ca="1">INDEX(OFFSET(TST!HeadRow,ROW()-ROW(TST!HeadRow),0,1,COLUMNS(TST!HeadRow)),1,MATCH(MC$5,TST!HeadRow,0))/MC$8</f>
        <v>251.49700598802394</v>
      </c>
      <c r="MD67" s="278">
        <f ca="1">$A67 - TST!AustralianCapitalTerritory100dt + 1</f>
        <v>0</v>
      </c>
      <c r="ME67" s="20">
        <f ca="1">INDEX(OFFSET(TST!HeadRow,ROW()-ROW(TST!HeadRow),0,1,COLUMNS(TST!HeadRow)),1,MATCH(ME$5,TST!HeadRow,0))/ME$8</f>
        <v>93.444844180722342</v>
      </c>
      <c r="MF67" s="278">
        <f ca="1">$A67 - TST!NorthernTerritory100dt + 1</f>
        <v>0</v>
      </c>
      <c r="MG67" s="20">
        <f ca="1">INDEX(OFFSET(TST!HeadRow,ROW()-ROW(TST!HeadRow),0,1,COLUMNS(TST!HeadRow)),1,MATCH(MG$5,TST!HeadRow,0))/MG$8</f>
        <v>47.182051947439192</v>
      </c>
      <c r="MH67" s="278">
        <f ca="1">$A67 - TST!WesternAustralia100dt + 1</f>
        <v>4</v>
      </c>
      <c r="MI67" s="20">
        <f ca="1">INDEX(OFFSET(TST!HeadRow,ROW()-ROW(TST!HeadRow),0,1,COLUMNS(TST!HeadRow)),1,MATCH(MI$5,TST!HeadRow,0))/MI$8</f>
        <v>200.84974893781381</v>
      </c>
      <c r="MJ67" s="278">
        <f ca="1">$A67 - TST!Germany100dt + 1</f>
        <v>12</v>
      </c>
      <c r="MK67" s="20">
        <f ca="1">INDEX(OFFSET(TST!HeadRow,ROW()-ROW(TST!HeadRow),0,1,COLUMNS(TST!HeadRow)),1,MATCH(MK$5,TST!HeadRow,0))/MK$8</f>
        <v>1845.3384726571912</v>
      </c>
      <c r="ML67" s="278">
        <f ca="1">$A67 - TST!Denmark100dt + 1</f>
        <v>11</v>
      </c>
      <c r="MM67" s="20">
        <f ca="1">INDEX(OFFSET(TST!HeadRow,ROW()-ROW(TST!HeadRow),0,1,COLUMNS(TST!HeadRow)),1,MATCH(MM$5,TST!HeadRow,0))/MM$8</f>
        <v>1982.4319669307613</v>
      </c>
      <c r="MN67" s="278">
        <f ca="1">$A67 - TST!SouthAfrica100dt + 1</f>
        <v>-5</v>
      </c>
      <c r="MO67" s="20">
        <f ca="1">INDEX(OFFSET(TST!HeadRow,ROW()-ROW(TST!HeadRow),0,1,COLUMNS(TST!HeadRow)),1,MATCH(MO$5,TST!HeadRow,0))/MO$8</f>
        <v>25.960539979231569</v>
      </c>
      <c r="MP67" s="278">
        <f ca="1">$A67 - TST!UnitedKingdom100dt + 1</f>
        <v>7</v>
      </c>
      <c r="MQ67" s="20">
        <f ca="1">INDEX(OFFSET(TST!HeadRow,ROW()-ROW(TST!HeadRow),0,1,COLUMNS(TST!HeadRow)),1,MATCH(MQ$5,TST!HeadRow,0))/MQ$8</f>
        <v>404.72606863335341</v>
      </c>
      <c r="MR67" s="278">
        <f ca="1">$A67 - TST!Ireland100dt + 1</f>
        <v>7</v>
      </c>
      <c r="MS67" s="20">
        <f ca="1">INDEX(OFFSET(TST!HeadRow,ROW()-ROW(TST!HeadRow),0,1,COLUMNS(TST!HeadRow)),1,MATCH(MS$5,TST!HeadRow,0))/MS$8</f>
        <v>1136.7346938775511</v>
      </c>
      <c r="MT67" s="278">
        <f ca="1">$A67 - TST!Italy100dt + 1</f>
        <v>22</v>
      </c>
      <c r="MU67" s="20">
        <f ca="1">INDEX(OFFSET(TST!HeadRow,ROW()-ROW(TST!HeadRow),0,1,COLUMNS(TST!HeadRow)),1,MATCH(MU$5,TST!HeadRow,0))/MU$8</f>
        <v>6784.3266925684056</v>
      </c>
      <c r="MV67" s="278">
        <f ca="1">$A67 - TST!US100dt + 1</f>
        <v>5</v>
      </c>
      <c r="MW67" s="20">
        <f ca="1">INDEX(OFFSET(TST!HeadRow,ROW()-ROW(TST!HeadRow),0,1,COLUMNS(TST!HeadRow)),1,MATCH(MW$5,TST!HeadRow,0))/MW$8</f>
        <v>417.55289968786536</v>
      </c>
      <c r="MX67" s="278">
        <f ca="1">$A67 - TST!AustraliaSum100dt + 1</f>
        <v>5</v>
      </c>
      <c r="MY67" s="366">
        <f t="shared" si="8"/>
        <v>268.49077432581612</v>
      </c>
      <c r="MZ67" s="278">
        <f ca="1">$A67 - TST!NewSouthWales100dt + 1</f>
        <v>7</v>
      </c>
      <c r="NA67" s="366">
        <f ca="1">INDEX(OFFSET(TST!HeadRow,ROW()-ROW(TST!HeadRow),0,1,COLUMNS(TST!HeadRow)),1,MATCH(NA$5,TST!HeadRow,0))/NA$8</f>
        <v>379.95049504950492</v>
      </c>
      <c r="NB67" s="278">
        <f ca="1">$A67 - TST!Taiwan100dt + 1</f>
        <v>-6</v>
      </c>
      <c r="NC67" s="366">
        <f ca="1">INDEX(OFFSET(TST!HeadRow,ROW()-ROW(TST!HeadRow),0,1,COLUMNS(TST!HeadRow)),1,MATCH(NC$5,TST!HeadRow,0))/NC$8</f>
        <v>45.364271318330246</v>
      </c>
      <c r="ND67" s="20">
        <f ca="1">$A67 - TST!Hubei100dt + 1</f>
        <v>55</v>
      </c>
      <c r="NE67" s="20">
        <f ca="1">INDEX(OFFSET(TST!HeadRow,ROW()-ROW(TST!HeadRow),0,1,COLUMNS(TST!HeadRow)),1,MATCH(NE$5,TST!HeadRow,0))/NE$8</f>
        <v>11589.74358974359</v>
      </c>
      <c r="NF67" s="20">
        <f ca="1">$A67 - TST!HongKong100dt + 1</f>
        <v>25</v>
      </c>
      <c r="NG67" s="20">
        <f ca="1">INDEX(OFFSET(TST!HeadRow,ROW()-ROW(TST!HeadRow),0,1,COLUMNS(TST!HeadRow)),1,MATCH(NG$5,TST!HeadRow,0))/NG$8</f>
        <v>279.15716011273656</v>
      </c>
    </row>
    <row r="68" spans="1:371" x14ac:dyDescent="0.25">
      <c r="A68" s="243">
        <v>43910</v>
      </c>
      <c r="B68" s="23">
        <v>24</v>
      </c>
      <c r="C68" s="23">
        <v>70</v>
      </c>
      <c r="D68" s="23">
        <v>90</v>
      </c>
      <c r="E68" s="23">
        <v>75</v>
      </c>
      <c r="F68" s="23">
        <v>1</v>
      </c>
      <c r="G68" s="23">
        <v>1</v>
      </c>
      <c r="H68" s="23">
        <v>128</v>
      </c>
      <c r="I68" s="23">
        <v>136</v>
      </c>
      <c r="J68" s="23">
        <v>6</v>
      </c>
      <c r="K68" s="293">
        <v>353</v>
      </c>
      <c r="L68" s="23">
        <v>3</v>
      </c>
      <c r="M68" s="290">
        <v>184</v>
      </c>
      <c r="N68" s="23">
        <v>50</v>
      </c>
      <c r="O68" s="384">
        <v>10</v>
      </c>
      <c r="P68" s="287">
        <v>121</v>
      </c>
      <c r="Q68" s="23">
        <v>64</v>
      </c>
      <c r="R68" s="23">
        <v>2388</v>
      </c>
      <c r="S68" s="23">
        <v>44</v>
      </c>
      <c r="T68" s="23">
        <v>3</v>
      </c>
      <c r="U68" s="23">
        <v>285</v>
      </c>
      <c r="V68" s="23">
        <v>20</v>
      </c>
      <c r="W68" s="23">
        <v>5</v>
      </c>
      <c r="X68" s="23">
        <v>69</v>
      </c>
      <c r="Y68" s="23">
        <v>2257</v>
      </c>
      <c r="Z68" s="23">
        <v>2</v>
      </c>
      <c r="AA68" s="23">
        <v>2</v>
      </c>
      <c r="AB68" s="23">
        <v>15</v>
      </c>
      <c r="AC68" s="23">
        <v>89</v>
      </c>
      <c r="AD68" s="23">
        <v>793</v>
      </c>
      <c r="AE68" s="23">
        <v>78</v>
      </c>
      <c r="AF68" s="23">
        <v>127</v>
      </c>
      <c r="AG68" s="23">
        <v>40</v>
      </c>
      <c r="AH68" s="23">
        <v>1</v>
      </c>
      <c r="AI68" s="23">
        <v>51</v>
      </c>
      <c r="AJ68" s="23">
        <v>20</v>
      </c>
      <c r="AK68" s="23">
        <v>146</v>
      </c>
      <c r="AL68" s="23">
        <v>271</v>
      </c>
      <c r="AM68" s="23">
        <v>10</v>
      </c>
      <c r="AN68" s="23">
        <v>17</v>
      </c>
      <c r="AO68" s="23">
        <v>11</v>
      </c>
      <c r="AP68" s="23">
        <v>4</v>
      </c>
      <c r="AQ68" s="23">
        <v>15</v>
      </c>
      <c r="AR68" s="23">
        <v>308</v>
      </c>
      <c r="AS68" s="23">
        <v>2</v>
      </c>
      <c r="AT68" s="23">
        <v>139</v>
      </c>
      <c r="AU68" s="23">
        <v>20</v>
      </c>
      <c r="AV68" s="23">
        <v>3</v>
      </c>
      <c r="AW68" s="23">
        <v>1</v>
      </c>
      <c r="AX68" s="23">
        <v>434</v>
      </c>
      <c r="AY68" s="23">
        <v>990</v>
      </c>
      <c r="AZ68" s="23">
        <v>491</v>
      </c>
      <c r="BA68" s="23">
        <v>576</v>
      </c>
      <c r="BB68" s="23">
        <v>299</v>
      </c>
      <c r="BC68" s="23">
        <v>134</v>
      </c>
      <c r="BD68" s="23">
        <v>1395</v>
      </c>
      <c r="BE68" s="23">
        <v>254</v>
      </c>
      <c r="BF68" s="23">
        <v>146</v>
      </c>
      <c r="BG68" s="23">
        <v>168</v>
      </c>
      <c r="BH68" s="23">
        <v>318</v>
      </c>
      <c r="BI68" s="23">
        <v>484</v>
      </c>
      <c r="BJ68" s="23">
        <v>1273</v>
      </c>
      <c r="BK68" s="23">
        <v>256</v>
      </c>
      <c r="BL68" s="23">
        <v>67800</v>
      </c>
      <c r="BM68" s="23">
        <v>1018</v>
      </c>
      <c r="BN68" s="23">
        <v>75</v>
      </c>
      <c r="BO68" s="23">
        <v>631</v>
      </c>
      <c r="BP68" s="23">
        <v>935</v>
      </c>
      <c r="BQ68" s="23">
        <v>93</v>
      </c>
      <c r="BR68" s="23">
        <v>126</v>
      </c>
      <c r="BS68" s="23">
        <v>17</v>
      </c>
      <c r="BT68" s="23">
        <v>75</v>
      </c>
      <c r="BU68" s="23">
        <v>18</v>
      </c>
      <c r="BV68" s="23">
        <v>247</v>
      </c>
      <c r="BW68" s="23">
        <v>762</v>
      </c>
      <c r="BX68" s="23">
        <v>371</v>
      </c>
      <c r="BY68" s="23">
        <v>133</v>
      </c>
      <c r="BZ68" s="23">
        <v>541</v>
      </c>
      <c r="CA68" s="23">
        <v>137</v>
      </c>
      <c r="CB68" s="23">
        <v>1</v>
      </c>
      <c r="CC68" s="23">
        <v>76</v>
      </c>
      <c r="CD68" s="23">
        <v>176</v>
      </c>
      <c r="CE68" s="23">
        <v>1234</v>
      </c>
      <c r="CF68" s="23">
        <v>128</v>
      </c>
      <c r="CG68" s="23">
        <v>3</v>
      </c>
      <c r="CH68" s="23">
        <v>18</v>
      </c>
      <c r="CI68" s="23">
        <v>89</v>
      </c>
      <c r="CJ68" s="23">
        <v>9</v>
      </c>
      <c r="CK68" s="23">
        <v>128</v>
      </c>
      <c r="CL68" s="23">
        <v>712</v>
      </c>
      <c r="CM68" s="23">
        <v>16</v>
      </c>
      <c r="CN68" s="23">
        <v>67</v>
      </c>
      <c r="CO68" s="23">
        <v>833</v>
      </c>
      <c r="CP68" s="23">
        <v>80</v>
      </c>
      <c r="CQ68" s="23">
        <v>2</v>
      </c>
      <c r="CR68" s="23">
        <v>1255</v>
      </c>
      <c r="CS68" s="23">
        <v>1</v>
      </c>
      <c r="CT68" s="23">
        <v>72</v>
      </c>
      <c r="CU68" s="23">
        <v>367</v>
      </c>
      <c r="CV68" s="23">
        <v>285</v>
      </c>
      <c r="CW68" s="23">
        <v>1</v>
      </c>
      <c r="CX68" s="23">
        <v>6</v>
      </c>
      <c r="CY68" s="23">
        <v>0</v>
      </c>
      <c r="CZ68" s="23">
        <v>283</v>
      </c>
      <c r="DA68" s="23">
        <v>1</v>
      </c>
      <c r="DB68" s="23">
        <v>9</v>
      </c>
      <c r="DC68" s="23">
        <v>1</v>
      </c>
      <c r="DD68" s="23">
        <v>450</v>
      </c>
      <c r="DE68" s="23">
        <v>15</v>
      </c>
      <c r="DF68" s="23">
        <v>11</v>
      </c>
      <c r="DG68" s="23">
        <v>45</v>
      </c>
      <c r="DH68" s="23">
        <v>6</v>
      </c>
      <c r="DI68" s="23">
        <v>2</v>
      </c>
      <c r="DJ68" s="23">
        <v>28</v>
      </c>
      <c r="DK68" s="23">
        <v>3</v>
      </c>
      <c r="DL68" s="23">
        <v>4</v>
      </c>
      <c r="DM68" s="23">
        <v>32</v>
      </c>
      <c r="DN68" s="23">
        <v>12612</v>
      </c>
      <c r="DO68" s="23">
        <v>3</v>
      </c>
      <c r="DP68" s="23">
        <v>1</v>
      </c>
      <c r="DQ68" s="23">
        <v>43</v>
      </c>
      <c r="DR68" s="23">
        <v>19848</v>
      </c>
      <c r="DS68" s="23">
        <v>16</v>
      </c>
      <c r="DT68" s="23">
        <v>495</v>
      </c>
      <c r="DU68" s="23">
        <v>12</v>
      </c>
      <c r="DV68" s="23">
        <v>1</v>
      </c>
      <c r="DW68" s="23">
        <v>7</v>
      </c>
      <c r="DX68" s="23">
        <v>2</v>
      </c>
      <c r="DY68" s="23">
        <v>1</v>
      </c>
      <c r="DZ68" s="23">
        <v>24</v>
      </c>
      <c r="EA68" s="23">
        <v>85</v>
      </c>
      <c r="EB68" s="23">
        <v>409</v>
      </c>
      <c r="EC68" s="23">
        <v>244</v>
      </c>
      <c r="ED68" s="23">
        <v>369</v>
      </c>
      <c r="EE68" s="23">
        <v>19644</v>
      </c>
      <c r="EF68" s="23">
        <v>208</v>
      </c>
      <c r="EG68" s="23">
        <v>683</v>
      </c>
      <c r="EH68" s="23">
        <v>529</v>
      </c>
      <c r="EI68" s="23">
        <v>47021</v>
      </c>
      <c r="EJ68" s="23">
        <v>16</v>
      </c>
      <c r="EK68" s="23">
        <v>963</v>
      </c>
      <c r="EL68" s="23">
        <v>85</v>
      </c>
      <c r="EM68" s="23">
        <v>49</v>
      </c>
      <c r="EN68" s="23">
        <v>7</v>
      </c>
      <c r="EO68" s="23">
        <v>8652</v>
      </c>
      <c r="EP68" s="23">
        <v>159</v>
      </c>
      <c r="EQ68" s="23">
        <v>6</v>
      </c>
      <c r="ER68" s="23">
        <v>111</v>
      </c>
      <c r="ES68" s="23">
        <v>163</v>
      </c>
      <c r="ET68" s="23">
        <v>2</v>
      </c>
      <c r="EU68" s="23">
        <v>28</v>
      </c>
      <c r="EV68" s="23">
        <v>49</v>
      </c>
      <c r="EW68" s="23">
        <v>484</v>
      </c>
      <c r="EX68" s="23">
        <v>3</v>
      </c>
      <c r="EY68" s="23">
        <v>1030</v>
      </c>
      <c r="EZ68" s="23">
        <v>13</v>
      </c>
      <c r="FA68" s="23">
        <v>64</v>
      </c>
      <c r="FB68" s="23">
        <v>2</v>
      </c>
      <c r="FC68" s="23">
        <v>12</v>
      </c>
      <c r="FD68" s="23">
        <v>203</v>
      </c>
      <c r="FE68" s="23">
        <v>66</v>
      </c>
      <c r="FF68" s="23">
        <v>11</v>
      </c>
      <c r="FG68" s="23">
        <v>6</v>
      </c>
      <c r="FH68" s="23">
        <v>14</v>
      </c>
      <c r="FI68" s="23">
        <v>77</v>
      </c>
      <c r="FJ68" s="23">
        <v>3</v>
      </c>
      <c r="FK68" s="23">
        <v>1</v>
      </c>
      <c r="FL68" s="23">
        <v>5</v>
      </c>
      <c r="FM68" s="23">
        <v>3</v>
      </c>
      <c r="FN68" s="23">
        <v>1</v>
      </c>
      <c r="FO68" s="23">
        <v>2994</v>
      </c>
      <c r="FP68" s="23">
        <v>39</v>
      </c>
      <c r="FQ68" s="23">
        <v>1</v>
      </c>
      <c r="FR68" s="23">
        <v>1</v>
      </c>
      <c r="FS68" s="23">
        <v>12</v>
      </c>
      <c r="FT68" s="23">
        <v>67</v>
      </c>
      <c r="FU68" s="23">
        <v>1914</v>
      </c>
      <c r="FV68" s="23">
        <v>48</v>
      </c>
      <c r="FW68" s="23">
        <v>501</v>
      </c>
      <c r="FX68" s="23">
        <v>137</v>
      </c>
      <c r="FY68" s="23">
        <v>1</v>
      </c>
      <c r="FZ68" s="23">
        <v>13</v>
      </c>
      <c r="GA68" s="23">
        <v>234</v>
      </c>
      <c r="GB68" s="23">
        <v>230</v>
      </c>
      <c r="GC68" s="23">
        <v>425</v>
      </c>
      <c r="GD68" s="23">
        <v>1020</v>
      </c>
      <c r="GE68" s="23">
        <v>470</v>
      </c>
      <c r="GF68" s="23">
        <v>308</v>
      </c>
      <c r="GG68" s="23">
        <v>253</v>
      </c>
      <c r="GH68" s="23">
        <v>17</v>
      </c>
      <c r="GI68" s="23">
        <v>2</v>
      </c>
      <c r="GJ68" s="23">
        <v>1</v>
      </c>
      <c r="GK68" s="23">
        <v>144</v>
      </c>
      <c r="GL68" s="23">
        <v>344</v>
      </c>
      <c r="GM68" s="23">
        <v>38</v>
      </c>
      <c r="GN68" s="23">
        <v>135</v>
      </c>
      <c r="GO68" s="23">
        <v>7</v>
      </c>
      <c r="GP68" s="23">
        <v>385</v>
      </c>
      <c r="GQ68" s="23">
        <v>137</v>
      </c>
      <c r="GR68" s="23">
        <v>341</v>
      </c>
      <c r="GS68" s="23">
        <v>1</v>
      </c>
      <c r="GT68" s="23">
        <v>202</v>
      </c>
      <c r="GU68" s="23">
        <v>20410</v>
      </c>
      <c r="GV68" s="23">
        <v>73</v>
      </c>
      <c r="GW68" s="23">
        <v>2</v>
      </c>
      <c r="GX68" s="23">
        <v>4</v>
      </c>
      <c r="GY68" s="23">
        <v>1639</v>
      </c>
      <c r="GZ68" s="23">
        <v>5294</v>
      </c>
      <c r="HA68" s="23">
        <v>135</v>
      </c>
      <c r="HB68" s="23">
        <v>6</v>
      </c>
      <c r="HC68" s="23">
        <v>322</v>
      </c>
      <c r="HD68" s="23">
        <v>9</v>
      </c>
      <c r="HE68" s="23">
        <v>9</v>
      </c>
      <c r="HF68" s="23">
        <v>54</v>
      </c>
      <c r="HG68" s="23">
        <v>359</v>
      </c>
      <c r="HH68" s="23">
        <v>0</v>
      </c>
      <c r="HI68" s="23">
        <v>29</v>
      </c>
      <c r="HJ68" s="23">
        <v>140</v>
      </c>
      <c r="HK68" s="23">
        <v>2</v>
      </c>
      <c r="HL68" s="23">
        <v>3</v>
      </c>
      <c r="HM68" s="23">
        <v>14</v>
      </c>
      <c r="HN68" s="23">
        <v>10</v>
      </c>
      <c r="HO68" s="23">
        <v>1</v>
      </c>
      <c r="HP68" s="23">
        <v>1</v>
      </c>
      <c r="HQ68" s="23">
        <v>3983</v>
      </c>
      <c r="HR68" s="23">
        <v>94</v>
      </c>
      <c r="HS68" s="23">
        <v>19273</v>
      </c>
      <c r="HT68" s="23">
        <v>33</v>
      </c>
      <c r="HU68" s="23">
        <v>42</v>
      </c>
      <c r="HV68" s="23">
        <v>91</v>
      </c>
      <c r="HW68" s="23">
        <v>2</v>
      </c>
      <c r="HX68" s="23">
        <v>1</v>
      </c>
      <c r="HY68" s="23">
        <v>0</v>
      </c>
      <c r="HZ68" s="23">
        <v>0</v>
      </c>
      <c r="IA68" s="23">
        <v>0</v>
      </c>
      <c r="IB68" s="23">
        <v>0</v>
      </c>
      <c r="IC68" s="23">
        <v>0</v>
      </c>
      <c r="ID68" s="23">
        <v>0</v>
      </c>
      <c r="IE68" s="23">
        <v>0</v>
      </c>
      <c r="IF68" s="23">
        <v>0</v>
      </c>
      <c r="IG68" s="23">
        <v>0</v>
      </c>
      <c r="IH68" s="23">
        <v>0</v>
      </c>
      <c r="II68" s="23">
        <v>47</v>
      </c>
      <c r="IJ68" s="23">
        <v>0</v>
      </c>
      <c r="IK68" s="23">
        <v>0</v>
      </c>
      <c r="IL68" s="23">
        <v>0</v>
      </c>
      <c r="IM68" s="23">
        <v>0</v>
      </c>
      <c r="IN68" s="23">
        <v>0</v>
      </c>
      <c r="IO68" s="23">
        <v>0</v>
      </c>
      <c r="IP68" s="23">
        <v>0</v>
      </c>
      <c r="IQ68" s="23">
        <v>0</v>
      </c>
      <c r="IR68" s="23">
        <v>0</v>
      </c>
      <c r="IS68" s="23">
        <v>0</v>
      </c>
      <c r="IT68" s="23">
        <v>0</v>
      </c>
      <c r="IU68" s="23">
        <v>0</v>
      </c>
      <c r="IV68" s="23">
        <v>0</v>
      </c>
      <c r="IW68" s="23">
        <v>0</v>
      </c>
      <c r="IX68" s="23">
        <v>0</v>
      </c>
      <c r="IY68" s="23">
        <v>0</v>
      </c>
      <c r="IZ68" s="23">
        <v>0</v>
      </c>
      <c r="JA68" s="23">
        <v>0</v>
      </c>
      <c r="JB68" s="23">
        <v>0</v>
      </c>
      <c r="JC68" s="23">
        <v>0</v>
      </c>
      <c r="JD68" s="23">
        <v>0</v>
      </c>
      <c r="JE68" s="23">
        <v>0</v>
      </c>
      <c r="JF68" s="23">
        <v>0</v>
      </c>
      <c r="JG68" s="23">
        <v>0</v>
      </c>
      <c r="JH68" s="23">
        <v>0</v>
      </c>
      <c r="JI68" s="23">
        <v>14</v>
      </c>
      <c r="JJ68" s="23">
        <v>0</v>
      </c>
      <c r="JK68" s="23">
        <v>14</v>
      </c>
      <c r="JL68" s="23">
        <v>3</v>
      </c>
      <c r="JM68" s="23">
        <v>106</v>
      </c>
      <c r="JN68" s="23">
        <v>11</v>
      </c>
      <c r="JO68" s="23">
        <v>68</v>
      </c>
      <c r="JP68" s="23">
        <v>100</v>
      </c>
      <c r="JQ68" s="23">
        <v>1243</v>
      </c>
      <c r="JR68" s="23">
        <v>363</v>
      </c>
      <c r="JS68" s="23">
        <v>194</v>
      </c>
      <c r="JT68" s="23">
        <v>39</v>
      </c>
      <c r="JU68" s="23">
        <v>71</v>
      </c>
      <c r="JV68" s="23">
        <v>564</v>
      </c>
      <c r="JW68" s="23">
        <v>485</v>
      </c>
      <c r="JX68" s="23">
        <v>36</v>
      </c>
      <c r="JY68" s="23">
        <v>36</v>
      </c>
      <c r="JZ68" s="23">
        <v>585</v>
      </c>
      <c r="KA68" s="23">
        <v>86</v>
      </c>
      <c r="KB68" s="23">
        <v>45</v>
      </c>
      <c r="KC68" s="23">
        <v>48</v>
      </c>
      <c r="KD68" s="23">
        <v>64</v>
      </c>
      <c r="KE68" s="23">
        <v>537</v>
      </c>
      <c r="KF68" s="23">
        <v>56</v>
      </c>
      <c r="KG68" s="23">
        <v>149</v>
      </c>
      <c r="KH68" s="23">
        <v>413</v>
      </c>
      <c r="KI68" s="23">
        <v>402</v>
      </c>
      <c r="KJ68" s="23">
        <v>113</v>
      </c>
      <c r="KK68" s="23">
        <v>80</v>
      </c>
      <c r="KL68" s="23">
        <v>73</v>
      </c>
      <c r="KM68" s="23">
        <v>20</v>
      </c>
      <c r="KN68" s="23">
        <v>37</v>
      </c>
      <c r="KO68" s="23">
        <v>161</v>
      </c>
      <c r="KP68" s="23">
        <v>53</v>
      </c>
      <c r="KQ68" s="23">
        <v>890</v>
      </c>
      <c r="KR68" s="23">
        <v>42</v>
      </c>
      <c r="KS68" s="23">
        <v>8403</v>
      </c>
      <c r="KT68" s="23">
        <v>189</v>
      </c>
      <c r="KU68" s="23">
        <v>26</v>
      </c>
      <c r="KV68" s="23">
        <v>173</v>
      </c>
      <c r="KW68" s="23">
        <v>49</v>
      </c>
      <c r="KX68" s="23">
        <v>114</v>
      </c>
      <c r="KY68" s="23">
        <v>311</v>
      </c>
      <c r="KZ68" s="23">
        <v>54</v>
      </c>
      <c r="LA68" s="23">
        <v>126</v>
      </c>
      <c r="LB68" s="23">
        <v>14</v>
      </c>
      <c r="LC68" s="23">
        <v>223</v>
      </c>
      <c r="LD68" s="23">
        <v>429</v>
      </c>
      <c r="LE68" s="23">
        <v>95</v>
      </c>
      <c r="LF68" s="23">
        <v>29</v>
      </c>
      <c r="LG68" s="23">
        <v>123</v>
      </c>
      <c r="LH68" s="23">
        <v>1524</v>
      </c>
      <c r="LI68" s="23">
        <v>8</v>
      </c>
      <c r="LJ68" s="23">
        <v>219</v>
      </c>
      <c r="LK68" s="23">
        <v>21</v>
      </c>
      <c r="LL68" s="23">
        <v>49</v>
      </c>
      <c r="LM68" s="23">
        <v>23</v>
      </c>
      <c r="LN68" s="278">
        <f ca="1">$A68 - TST!Sweden100dt + 1</f>
        <v>14</v>
      </c>
      <c r="LO68" s="20">
        <f ca="1">INDEX(OFFSET(TST!HeadRow,ROW()-ROW(TST!HeadRow),0,1,COLUMNS(TST!HeadRow)),1,MATCH(LO$5,TST!HeadRow,0))/LO$8</f>
        <v>1602.1505376344087</v>
      </c>
      <c r="LP68" s="278">
        <f ca="1">$A68 - TST!Spain100dt + 1</f>
        <v>14</v>
      </c>
      <c r="LQ68" s="20">
        <f ca="1">INDEX(OFFSET(TST!HeadRow,ROW()-ROW(TST!HeadRow),0,1,COLUMNS(TST!HeadRow)),1,MATCH(LQ$5,TST!HeadRow,0))/LQ$8</f>
        <v>4348.1039625053263</v>
      </c>
      <c r="LR68" s="285">
        <f ca="1">$A68 - TST!Victoria100dt + 1</f>
        <v>5</v>
      </c>
      <c r="LS68" s="20">
        <f ca="1">INDEX(OFFSET(TST!HeadRow,ROW()-ROW(TST!HeadRow),0,1,COLUMNS(TST!HeadRow)),1,MATCH(LS$5,TST!HeadRow,0))/LS$8</f>
        <v>182.53130185548346</v>
      </c>
      <c r="LT68" s="278">
        <f ca="1">$A68 - TST!Iran100dt + 1</f>
        <v>20</v>
      </c>
      <c r="LU68" s="20">
        <f ca="1">INDEX(OFFSET(TST!HeadRow,ROW()-ROW(TST!HeadRow),0,1,COLUMNS(TST!HeadRow)),1,MATCH(LU$5,TST!HeadRow,0))/LU$8</f>
        <v>2344.9082639991407</v>
      </c>
      <c r="LV68" s="278">
        <f ca="1">$A68 - TST!Japan100dt + 1</f>
        <v>-4</v>
      </c>
      <c r="LW68" s="20">
        <f ca="1">INDEX(OFFSET(TST!HeadRow,ROW()-ROW(TST!HeadRow),0,1,COLUMNS(TST!HeadRow)),1,MATCH(LW$5,TST!HeadRow,0))/LW$8</f>
        <v>76.093877340446767</v>
      </c>
      <c r="LX68" s="278">
        <f ca="1">$A68 - TST!Queensland100dt + 1</f>
        <v>6</v>
      </c>
      <c r="LY68" s="20">
        <f ca="1">INDEX(OFFSET(TST!HeadRow,ROW()-ROW(TST!HeadRow),0,1,COLUMNS(TST!HeadRow)),1,MATCH(LY$5,TST!HeadRow,0))/LY$8</f>
        <v>359.69458020416971</v>
      </c>
      <c r="LZ68" s="278">
        <f ca="1">$A68 - TST!Tasmania100dt + 1</f>
        <v>6</v>
      </c>
      <c r="MA68" s="20">
        <f ca="1">INDEX(OFFSET(TST!HeadRow,ROW()-ROW(TST!HeadRow),0,1,COLUMNS(TST!HeadRow)),1,MATCH(MA$5,TST!HeadRow,0))/MA$8</f>
        <v>194.17475728155341</v>
      </c>
      <c r="MB68" s="278">
        <f ca="1">$A68 - TST!SouthAustralia100dt + 1</f>
        <v>7</v>
      </c>
      <c r="MC68" s="20">
        <f ca="1">INDEX(OFFSET(TST!HeadRow,ROW()-ROW(TST!HeadRow),0,1,COLUMNS(TST!HeadRow)),1,MATCH(MC$5,TST!HeadRow,0))/MC$8</f>
        <v>299.40119760479041</v>
      </c>
      <c r="MD68" s="278">
        <f ca="1">$A68 - TST!AustralianCapitalTerritory100dt + 1</f>
        <v>1</v>
      </c>
      <c r="ME68" s="20">
        <f ca="1">INDEX(OFFSET(TST!HeadRow,ROW()-ROW(TST!HeadRow),0,1,COLUMNS(TST!HeadRow)),1,MATCH(ME$5,TST!HeadRow,0))/ME$8</f>
        <v>140.16726627108349</v>
      </c>
      <c r="MF68" s="278">
        <f ca="1">$A68 - TST!NorthernTerritory100dt + 1</f>
        <v>1</v>
      </c>
      <c r="MG68" s="20">
        <f ca="1">INDEX(OFFSET(TST!HeadRow,ROW()-ROW(TST!HeadRow),0,1,COLUMNS(TST!HeadRow)),1,MATCH(MG$5,TST!HeadRow,0))/MG$8</f>
        <v>141.54615584231757</v>
      </c>
      <c r="MH68" s="278">
        <f ca="1">$A68 - TST!WesternAustralia100dt + 1</f>
        <v>5</v>
      </c>
      <c r="MI68" s="20">
        <f ca="1">INDEX(OFFSET(TST!HeadRow,ROW()-ROW(TST!HeadRow),0,1,COLUMNS(TST!HeadRow)),1,MATCH(MI$5,TST!HeadRow,0))/MI$8</f>
        <v>247.19969100038622</v>
      </c>
      <c r="MJ68" s="278">
        <f ca="1">$A68 - TST!Germany100dt + 1</f>
        <v>13</v>
      </c>
      <c r="MK68" s="20">
        <f ca="1">INDEX(OFFSET(TST!HeadRow,ROW()-ROW(TST!HeadRow),0,1,COLUMNS(TST!HeadRow)),1,MATCH(MK$5,TST!HeadRow,0))/MK$8</f>
        <v>2390.7492170561313</v>
      </c>
      <c r="ML68" s="278">
        <f ca="1">$A68 - TST!Denmark100dt + 1</f>
        <v>12</v>
      </c>
      <c r="MM68" s="20">
        <f ca="1">INDEX(OFFSET(TST!HeadRow,ROW()-ROW(TST!HeadRow),0,1,COLUMNS(TST!HeadRow)),1,MATCH(MM$5,TST!HeadRow,0))/MM$8</f>
        <v>2161.5570099896659</v>
      </c>
      <c r="MN68" s="278">
        <f ca="1">$A68 - TST!SouthAfrica100dt + 1</f>
        <v>-4</v>
      </c>
      <c r="MO68" s="20">
        <f ca="1">INDEX(OFFSET(TST!HeadRow,ROW()-ROW(TST!HeadRow),0,1,COLUMNS(TST!HeadRow)),1,MATCH(MO$5,TST!HeadRow,0))/MO$8</f>
        <v>34.960193838698515</v>
      </c>
      <c r="MP68" s="278">
        <f ca="1">$A68 - TST!UnitedKingdom100dt + 1</f>
        <v>8</v>
      </c>
      <c r="MQ68" s="20">
        <f ca="1">INDEX(OFFSET(TST!HeadRow,ROW()-ROW(TST!HeadRow),0,1,COLUMNS(TST!HeadRow)),1,MATCH(MQ$5,TST!HeadRow,0))/MQ$8</f>
        <v>599.48826008428659</v>
      </c>
      <c r="MR68" s="278">
        <f ca="1">$A68 - TST!Ireland100dt + 1</f>
        <v>8</v>
      </c>
      <c r="MS68" s="20">
        <f ca="1">INDEX(OFFSET(TST!HeadRow,ROW()-ROW(TST!HeadRow),0,1,COLUMNS(TST!HeadRow)),1,MATCH(MS$5,TST!HeadRow,0))/MS$8</f>
        <v>1393.8775510204082</v>
      </c>
      <c r="MT68" s="278">
        <f ca="1">$A68 - TST!Italy100dt + 1</f>
        <v>23</v>
      </c>
      <c r="MU68" s="20">
        <f ca="1">INDEX(OFFSET(TST!HeadRow,ROW()-ROW(TST!HeadRow),0,1,COLUMNS(TST!HeadRow)),1,MATCH(MU$5,TST!HeadRow,0))/MU$8</f>
        <v>7773.9935521203606</v>
      </c>
      <c r="MV68" s="278">
        <f ca="1">$A68 - TST!US100dt + 1</f>
        <v>6</v>
      </c>
      <c r="MW68" s="20">
        <f ca="1">INDEX(OFFSET(TST!HeadRow,ROW()-ROW(TST!HeadRow),0,1,COLUMNS(TST!HeadRow)),1,MATCH(MW$5,TST!HeadRow,0))/MW$8</f>
        <v>585.40023537384366</v>
      </c>
      <c r="MX68" s="278">
        <f ca="1">$A68 - TST!AustraliaSum100dt + 1</f>
        <v>6</v>
      </c>
      <c r="MY68" s="366">
        <f t="shared" si="8"/>
        <v>311.85932818167481</v>
      </c>
      <c r="MZ68" s="278">
        <f ca="1">$A68 - TST!NewSouthWales100dt + 1</f>
        <v>8</v>
      </c>
      <c r="NA68" s="366">
        <f ca="1">INDEX(OFFSET(TST!HeadRow,ROW()-ROW(TST!HeadRow),0,1,COLUMNS(TST!HeadRow)),1,MATCH(NA$5,TST!HeadRow,0))/NA$8</f>
        <v>436.88118811881185</v>
      </c>
      <c r="NB68" s="278">
        <f ca="1">$A68 - TST!Taiwan100dt + 1</f>
        <v>-5</v>
      </c>
      <c r="NC68" s="366">
        <f ca="1">INDEX(OFFSET(TST!HeadRow,ROW()-ROW(TST!HeadRow),0,1,COLUMNS(TST!HeadRow)),1,MATCH(NC$5,TST!HeadRow,0))/NC$8</f>
        <v>56.705339147912809</v>
      </c>
      <c r="ND68" s="20">
        <f ca="1">$A68 - TST!Hubei100dt + 1</f>
        <v>56</v>
      </c>
      <c r="NE68" s="20">
        <f ca="1">INDEX(OFFSET(TST!HeadRow,ROW()-ROW(TST!HeadRow),0,1,COLUMNS(TST!HeadRow)),1,MATCH(NE$5,TST!HeadRow,0))/NE$8</f>
        <v>11589.74358974359</v>
      </c>
      <c r="NF68" s="20">
        <f ca="1">$A68 - TST!HongKong100dt + 1</f>
        <v>26</v>
      </c>
      <c r="NG68" s="20">
        <f ca="1">INDEX(OFFSET(TST!HeadRow,ROW()-ROW(TST!HeadRow),0,1,COLUMNS(TST!HeadRow)),1,MATCH(NG$5,TST!HeadRow,0))/NG$8</f>
        <v>343.57804321567573</v>
      </c>
    </row>
    <row r="69" spans="1:371" x14ac:dyDescent="0.25">
      <c r="A69" s="243">
        <v>43911</v>
      </c>
      <c r="B69" s="23">
        <v>24</v>
      </c>
      <c r="C69" s="23">
        <v>76</v>
      </c>
      <c r="D69" s="23">
        <v>139</v>
      </c>
      <c r="E69" s="23">
        <v>88</v>
      </c>
      <c r="F69" s="23">
        <v>2</v>
      </c>
      <c r="G69" s="23">
        <v>1</v>
      </c>
      <c r="H69" s="23">
        <v>158</v>
      </c>
      <c r="I69" s="23">
        <v>160</v>
      </c>
      <c r="J69" s="23">
        <v>9</v>
      </c>
      <c r="K69" s="293">
        <v>436</v>
      </c>
      <c r="L69" s="23">
        <v>3</v>
      </c>
      <c r="M69" s="290">
        <v>221</v>
      </c>
      <c r="N69" s="23">
        <v>67</v>
      </c>
      <c r="O69" s="384">
        <v>16</v>
      </c>
      <c r="P69" s="287">
        <v>229</v>
      </c>
      <c r="Q69" s="23">
        <v>90</v>
      </c>
      <c r="R69" s="23">
        <v>2814</v>
      </c>
      <c r="S69" s="23">
        <v>53</v>
      </c>
      <c r="T69" s="23">
        <v>4</v>
      </c>
      <c r="U69" s="23">
        <v>305</v>
      </c>
      <c r="V69" s="23">
        <v>25</v>
      </c>
      <c r="W69" s="23">
        <v>6</v>
      </c>
      <c r="X69" s="23">
        <v>76</v>
      </c>
      <c r="Y69" s="23">
        <v>2815</v>
      </c>
      <c r="Z69" s="23">
        <v>2</v>
      </c>
      <c r="AA69" s="23">
        <v>2</v>
      </c>
      <c r="AB69" s="23">
        <v>19</v>
      </c>
      <c r="AC69" s="23">
        <v>93</v>
      </c>
      <c r="AD69" s="23">
        <v>1021</v>
      </c>
      <c r="AE69" s="23">
        <v>83</v>
      </c>
      <c r="AF69" s="23">
        <v>163</v>
      </c>
      <c r="AG69" s="23">
        <v>64</v>
      </c>
      <c r="AH69" s="23">
        <v>3</v>
      </c>
      <c r="AI69" s="23">
        <v>53</v>
      </c>
      <c r="AJ69" s="23">
        <v>27</v>
      </c>
      <c r="AK69" s="23">
        <v>195</v>
      </c>
      <c r="AL69" s="23">
        <v>424</v>
      </c>
      <c r="AM69" s="23">
        <v>10</v>
      </c>
      <c r="AN69" s="23">
        <v>18</v>
      </c>
      <c r="AO69" s="23">
        <v>17</v>
      </c>
      <c r="AP69" s="23">
        <v>6</v>
      </c>
      <c r="AQ69" s="23">
        <v>21</v>
      </c>
      <c r="AR69" s="23">
        <v>377</v>
      </c>
      <c r="AS69" s="23">
        <v>2</v>
      </c>
      <c r="AT69" s="23">
        <v>181</v>
      </c>
      <c r="AU69" s="23">
        <v>26</v>
      </c>
      <c r="AV69" s="23">
        <v>3</v>
      </c>
      <c r="AW69" s="23">
        <v>1</v>
      </c>
      <c r="AX69" s="23">
        <v>537</v>
      </c>
      <c r="AY69" s="23">
        <v>990</v>
      </c>
      <c r="AZ69" s="23">
        <v>504</v>
      </c>
      <c r="BA69" s="23">
        <v>576</v>
      </c>
      <c r="BB69" s="23">
        <v>303</v>
      </c>
      <c r="BC69" s="23">
        <v>134</v>
      </c>
      <c r="BD69" s="23">
        <v>1400</v>
      </c>
      <c r="BE69" s="23">
        <v>254</v>
      </c>
      <c r="BF69" s="23">
        <v>146</v>
      </c>
      <c r="BG69" s="23">
        <v>168</v>
      </c>
      <c r="BH69" s="23">
        <v>318</v>
      </c>
      <c r="BI69" s="23">
        <v>484</v>
      </c>
      <c r="BJ69" s="23">
        <v>1273</v>
      </c>
      <c r="BK69" s="23">
        <v>273</v>
      </c>
      <c r="BL69" s="23">
        <v>67800</v>
      </c>
      <c r="BM69" s="23">
        <v>1018</v>
      </c>
      <c r="BN69" s="23">
        <v>75</v>
      </c>
      <c r="BO69" s="23">
        <v>631</v>
      </c>
      <c r="BP69" s="23">
        <v>935</v>
      </c>
      <c r="BQ69" s="23">
        <v>93</v>
      </c>
      <c r="BR69" s="23">
        <v>126</v>
      </c>
      <c r="BS69" s="23">
        <v>18</v>
      </c>
      <c r="BT69" s="23">
        <v>75</v>
      </c>
      <c r="BU69" s="23">
        <v>18</v>
      </c>
      <c r="BV69" s="23">
        <v>248</v>
      </c>
      <c r="BW69" s="23">
        <v>764</v>
      </c>
      <c r="BX69" s="23">
        <v>380</v>
      </c>
      <c r="BY69" s="23">
        <v>133</v>
      </c>
      <c r="BZ69" s="23">
        <v>542</v>
      </c>
      <c r="CA69" s="23">
        <v>137</v>
      </c>
      <c r="CB69" s="23">
        <v>1</v>
      </c>
      <c r="CC69" s="23">
        <v>76</v>
      </c>
      <c r="CD69" s="23">
        <v>176</v>
      </c>
      <c r="CE69" s="23">
        <v>1236</v>
      </c>
      <c r="CF69" s="23">
        <v>196</v>
      </c>
      <c r="CG69" s="23">
        <v>3</v>
      </c>
      <c r="CH69" s="23">
        <v>23</v>
      </c>
      <c r="CI69" s="23">
        <v>117</v>
      </c>
      <c r="CJ69" s="23">
        <v>14</v>
      </c>
      <c r="CK69" s="23">
        <v>206</v>
      </c>
      <c r="CL69" s="23">
        <v>712</v>
      </c>
      <c r="CM69" s="23">
        <v>21</v>
      </c>
      <c r="CN69" s="23">
        <v>84</v>
      </c>
      <c r="CO69" s="23">
        <v>995</v>
      </c>
      <c r="CP69" s="23">
        <v>92</v>
      </c>
      <c r="CQ69" s="23">
        <v>2</v>
      </c>
      <c r="CR69" s="23">
        <v>1326</v>
      </c>
      <c r="CS69" s="23">
        <v>1</v>
      </c>
      <c r="CT69" s="23">
        <v>112</v>
      </c>
      <c r="CU69" s="23">
        <v>506</v>
      </c>
      <c r="CV69" s="23">
        <v>294</v>
      </c>
      <c r="CW69" s="23">
        <v>3</v>
      </c>
      <c r="CX69" s="23">
        <v>6</v>
      </c>
      <c r="CY69" s="23">
        <v>1</v>
      </c>
      <c r="CZ69" s="23">
        <v>306</v>
      </c>
      <c r="DA69" s="23">
        <v>1</v>
      </c>
      <c r="DB69" s="23">
        <v>9</v>
      </c>
      <c r="DC69" s="23">
        <v>1</v>
      </c>
      <c r="DD69" s="23">
        <v>523</v>
      </c>
      <c r="DE69" s="23">
        <v>18</v>
      </c>
      <c r="DF69" s="23">
        <v>15</v>
      </c>
      <c r="DG69" s="23">
        <v>53</v>
      </c>
      <c r="DH69" s="23">
        <v>7</v>
      </c>
      <c r="DI69" s="23">
        <v>4</v>
      </c>
      <c r="DJ69" s="23">
        <v>45</v>
      </c>
      <c r="DK69" s="23">
        <v>3</v>
      </c>
      <c r="DL69" s="23">
        <v>4</v>
      </c>
      <c r="DM69" s="23">
        <v>32</v>
      </c>
      <c r="DN69" s="23">
        <v>14282</v>
      </c>
      <c r="DO69" s="23">
        <v>4</v>
      </c>
      <c r="DP69" s="23">
        <v>1</v>
      </c>
      <c r="DQ69" s="23">
        <v>49</v>
      </c>
      <c r="DR69" s="23">
        <v>22213</v>
      </c>
      <c r="DS69" s="23">
        <v>19</v>
      </c>
      <c r="DT69" s="23">
        <v>530</v>
      </c>
      <c r="DU69" s="23">
        <v>17</v>
      </c>
      <c r="DV69" s="23">
        <v>2</v>
      </c>
      <c r="DW69" s="23">
        <v>7</v>
      </c>
      <c r="DX69" s="23">
        <v>2</v>
      </c>
      <c r="DY69" s="23">
        <v>1</v>
      </c>
      <c r="DZ69" s="23">
        <v>24</v>
      </c>
      <c r="EA69" s="23">
        <v>103</v>
      </c>
      <c r="EB69" s="23">
        <v>473</v>
      </c>
      <c r="EC69" s="23">
        <v>330</v>
      </c>
      <c r="ED69" s="23">
        <v>450</v>
      </c>
      <c r="EE69" s="23">
        <v>20610</v>
      </c>
      <c r="EF69" s="23">
        <v>214</v>
      </c>
      <c r="EG69" s="23">
        <v>785</v>
      </c>
      <c r="EH69" s="23">
        <v>712</v>
      </c>
      <c r="EI69" s="23">
        <v>53578</v>
      </c>
      <c r="EJ69" s="23">
        <v>16</v>
      </c>
      <c r="EK69" s="23">
        <v>1007</v>
      </c>
      <c r="EL69" s="23">
        <v>85</v>
      </c>
      <c r="EM69" s="23">
        <v>53</v>
      </c>
      <c r="EN69" s="23">
        <v>7</v>
      </c>
      <c r="EO69" s="23">
        <v>8799</v>
      </c>
      <c r="EP69" s="23">
        <v>176</v>
      </c>
      <c r="EQ69" s="23">
        <v>14</v>
      </c>
      <c r="ER69" s="23">
        <v>124</v>
      </c>
      <c r="ES69" s="23">
        <v>187</v>
      </c>
      <c r="ET69" s="23">
        <v>3</v>
      </c>
      <c r="EU69" s="23">
        <v>37</v>
      </c>
      <c r="EV69" s="23">
        <v>83</v>
      </c>
      <c r="EW69" s="23">
        <v>670</v>
      </c>
      <c r="EX69" s="23">
        <v>3</v>
      </c>
      <c r="EY69" s="23">
        <v>1183</v>
      </c>
      <c r="EZ69" s="23">
        <v>13</v>
      </c>
      <c r="FA69" s="23">
        <v>73</v>
      </c>
      <c r="FB69" s="23">
        <v>2</v>
      </c>
      <c r="FC69" s="23">
        <v>14</v>
      </c>
      <c r="FD69" s="23">
        <v>251</v>
      </c>
      <c r="FE69" s="23">
        <v>80</v>
      </c>
      <c r="FF69" s="23">
        <v>11</v>
      </c>
      <c r="FG69" s="23">
        <v>10</v>
      </c>
      <c r="FH69" s="23">
        <v>14</v>
      </c>
      <c r="FI69" s="23">
        <v>96</v>
      </c>
      <c r="FJ69" s="23">
        <v>3</v>
      </c>
      <c r="FK69" s="23">
        <v>1</v>
      </c>
      <c r="FL69" s="23">
        <v>5</v>
      </c>
      <c r="FM69" s="23">
        <v>3</v>
      </c>
      <c r="FN69" s="23">
        <v>1</v>
      </c>
      <c r="FO69" s="23">
        <v>3631</v>
      </c>
      <c r="FP69" s="23">
        <v>52</v>
      </c>
      <c r="FQ69" s="23">
        <v>2</v>
      </c>
      <c r="FR69" s="23">
        <v>1</v>
      </c>
      <c r="FS69" s="23">
        <v>22</v>
      </c>
      <c r="FT69" s="23">
        <v>85</v>
      </c>
      <c r="FU69" s="23">
        <v>2118</v>
      </c>
      <c r="FV69" s="23">
        <v>52</v>
      </c>
      <c r="FW69" s="23">
        <v>730</v>
      </c>
      <c r="FX69" s="23">
        <v>200</v>
      </c>
      <c r="FY69" s="23">
        <v>1</v>
      </c>
      <c r="FZ69" s="23">
        <v>18</v>
      </c>
      <c r="GA69" s="23">
        <v>318</v>
      </c>
      <c r="GB69" s="23">
        <v>307</v>
      </c>
      <c r="GC69" s="23">
        <v>536</v>
      </c>
      <c r="GD69" s="23">
        <v>1280</v>
      </c>
      <c r="GE69" s="23">
        <v>481</v>
      </c>
      <c r="GF69" s="23">
        <v>367</v>
      </c>
      <c r="GG69" s="23">
        <v>306</v>
      </c>
      <c r="GH69" s="23">
        <v>17</v>
      </c>
      <c r="GI69" s="23">
        <v>2</v>
      </c>
      <c r="GJ69" s="23">
        <v>1</v>
      </c>
      <c r="GK69" s="23">
        <v>144</v>
      </c>
      <c r="GL69" s="23">
        <v>392</v>
      </c>
      <c r="GM69" s="23">
        <v>47</v>
      </c>
      <c r="GN69" s="23">
        <v>171</v>
      </c>
      <c r="GO69" s="23">
        <v>7</v>
      </c>
      <c r="GP69" s="23">
        <v>432</v>
      </c>
      <c r="GQ69" s="23">
        <v>178</v>
      </c>
      <c r="GR69" s="23">
        <v>383</v>
      </c>
      <c r="GS69" s="23">
        <v>1</v>
      </c>
      <c r="GT69" s="23">
        <v>240</v>
      </c>
      <c r="GU69" s="23">
        <v>25374</v>
      </c>
      <c r="GV69" s="23">
        <v>77</v>
      </c>
      <c r="GW69" s="23">
        <v>2</v>
      </c>
      <c r="GX69" s="23">
        <v>4</v>
      </c>
      <c r="GY69" s="23">
        <v>1763</v>
      </c>
      <c r="GZ69" s="23">
        <v>6575</v>
      </c>
      <c r="HA69" s="23">
        <v>153</v>
      </c>
      <c r="HB69" s="23">
        <v>6</v>
      </c>
      <c r="HC69" s="23">
        <v>411</v>
      </c>
      <c r="HD69" s="23">
        <v>16</v>
      </c>
      <c r="HE69" s="23">
        <v>49</v>
      </c>
      <c r="HF69" s="23">
        <v>60</v>
      </c>
      <c r="HG69" s="23">
        <v>670</v>
      </c>
      <c r="HH69" s="23">
        <v>1</v>
      </c>
      <c r="HI69" s="23">
        <v>47</v>
      </c>
      <c r="HJ69" s="23">
        <v>153</v>
      </c>
      <c r="HK69" s="23">
        <v>2</v>
      </c>
      <c r="HL69" s="23">
        <v>3</v>
      </c>
      <c r="HM69" s="23">
        <v>32</v>
      </c>
      <c r="HN69" s="23">
        <v>10</v>
      </c>
      <c r="HO69" s="23">
        <v>1</v>
      </c>
      <c r="HP69" s="23">
        <v>1</v>
      </c>
      <c r="HQ69" s="23">
        <v>5018</v>
      </c>
      <c r="HR69" s="23">
        <v>110</v>
      </c>
      <c r="HS69" s="23">
        <v>25600</v>
      </c>
      <c r="HT69" s="23">
        <v>43</v>
      </c>
      <c r="HU69" s="23">
        <v>70</v>
      </c>
      <c r="HV69" s="23">
        <v>94</v>
      </c>
      <c r="HW69" s="23">
        <v>2</v>
      </c>
      <c r="HX69" s="23">
        <v>3</v>
      </c>
      <c r="HY69" s="23">
        <v>0</v>
      </c>
      <c r="HZ69" s="23">
        <v>0</v>
      </c>
      <c r="IA69" s="23">
        <v>0</v>
      </c>
      <c r="IB69" s="23">
        <v>0</v>
      </c>
      <c r="IC69" s="23">
        <v>0</v>
      </c>
      <c r="ID69" s="23">
        <v>0</v>
      </c>
      <c r="IE69" s="23">
        <v>0</v>
      </c>
      <c r="IF69" s="23">
        <v>0</v>
      </c>
      <c r="IG69" s="23">
        <v>0</v>
      </c>
      <c r="IH69" s="23">
        <v>0</v>
      </c>
      <c r="II69" s="23">
        <v>48</v>
      </c>
      <c r="IJ69" s="23">
        <v>0</v>
      </c>
      <c r="IK69" s="23">
        <v>0</v>
      </c>
      <c r="IL69" s="23">
        <v>0</v>
      </c>
      <c r="IM69" s="23">
        <v>0</v>
      </c>
      <c r="IN69" s="23">
        <v>0</v>
      </c>
      <c r="IO69" s="23">
        <v>0</v>
      </c>
      <c r="IP69" s="23">
        <v>0</v>
      </c>
      <c r="IQ69" s="23">
        <v>0</v>
      </c>
      <c r="IR69" s="23">
        <v>0</v>
      </c>
      <c r="IS69" s="23">
        <v>0</v>
      </c>
      <c r="IT69" s="23">
        <v>0</v>
      </c>
      <c r="IU69" s="23">
        <v>0</v>
      </c>
      <c r="IV69" s="23">
        <v>0</v>
      </c>
      <c r="IW69" s="23">
        <v>0</v>
      </c>
      <c r="IX69" s="23">
        <v>0</v>
      </c>
      <c r="IY69" s="23">
        <v>0</v>
      </c>
      <c r="IZ69" s="23">
        <v>0</v>
      </c>
      <c r="JA69" s="23">
        <v>0</v>
      </c>
      <c r="JB69" s="23">
        <v>0</v>
      </c>
      <c r="JC69" s="23">
        <v>0</v>
      </c>
      <c r="JD69" s="23">
        <v>0</v>
      </c>
      <c r="JE69" s="23">
        <v>0</v>
      </c>
      <c r="JF69" s="23">
        <v>0</v>
      </c>
      <c r="JG69" s="23">
        <v>0</v>
      </c>
      <c r="JH69" s="23">
        <v>0</v>
      </c>
      <c r="JI69" s="23">
        <v>15</v>
      </c>
      <c r="JJ69" s="23">
        <v>0</v>
      </c>
      <c r="JK69" s="23">
        <v>21</v>
      </c>
      <c r="JL69" s="23">
        <v>6</v>
      </c>
      <c r="JM69" s="23">
        <v>131</v>
      </c>
      <c r="JN69" s="23">
        <v>13</v>
      </c>
      <c r="JO69" s="23">
        <v>104</v>
      </c>
      <c r="JP69" s="23">
        <v>122</v>
      </c>
      <c r="JQ69" s="23">
        <v>1405</v>
      </c>
      <c r="JR69" s="23">
        <v>475</v>
      </c>
      <c r="JS69" s="23">
        <v>194</v>
      </c>
      <c r="JT69" s="23">
        <v>45</v>
      </c>
      <c r="JU69" s="23">
        <v>98</v>
      </c>
      <c r="JV69" s="23">
        <v>763</v>
      </c>
      <c r="JW69" s="23">
        <v>555</v>
      </c>
      <c r="JX69" s="23">
        <v>36</v>
      </c>
      <c r="JY69" s="23">
        <v>42</v>
      </c>
      <c r="JZ69" s="23">
        <v>753</v>
      </c>
      <c r="KA69" s="23">
        <v>128</v>
      </c>
      <c r="KB69" s="23">
        <v>69</v>
      </c>
      <c r="KC69" s="23">
        <v>57</v>
      </c>
      <c r="KD69" s="23">
        <v>87</v>
      </c>
      <c r="KE69" s="23">
        <v>763</v>
      </c>
      <c r="KF69" s="23">
        <v>70</v>
      </c>
      <c r="KG69" s="23">
        <v>193</v>
      </c>
      <c r="KH69" s="23">
        <v>523</v>
      </c>
      <c r="KI69" s="23">
        <v>540</v>
      </c>
      <c r="KJ69" s="23">
        <v>134</v>
      </c>
      <c r="KK69" s="23">
        <v>140</v>
      </c>
      <c r="KL69" s="23">
        <v>81</v>
      </c>
      <c r="KM69" s="23">
        <v>27</v>
      </c>
      <c r="KN69" s="23">
        <v>38</v>
      </c>
      <c r="KO69" s="23">
        <v>161</v>
      </c>
      <c r="KP69" s="23">
        <v>61</v>
      </c>
      <c r="KQ69" s="23">
        <v>1327</v>
      </c>
      <c r="KR69" s="23">
        <v>55</v>
      </c>
      <c r="KS69" s="23">
        <v>11727</v>
      </c>
      <c r="KT69" s="23">
        <v>256</v>
      </c>
      <c r="KU69" s="23">
        <v>28</v>
      </c>
      <c r="KV69" s="23">
        <v>247</v>
      </c>
      <c r="KW69" s="23">
        <v>53</v>
      </c>
      <c r="KX69" s="23">
        <v>137</v>
      </c>
      <c r="KY69" s="23">
        <v>399</v>
      </c>
      <c r="KZ69" s="23">
        <v>66</v>
      </c>
      <c r="LA69" s="23">
        <v>174</v>
      </c>
      <c r="LB69" s="23">
        <v>14</v>
      </c>
      <c r="LC69" s="23">
        <v>304</v>
      </c>
      <c r="LD69" s="23">
        <v>582</v>
      </c>
      <c r="LE69" s="23">
        <v>118</v>
      </c>
      <c r="LF69" s="23">
        <v>49</v>
      </c>
      <c r="LG69" s="23">
        <v>157</v>
      </c>
      <c r="LH69" s="23">
        <v>1793</v>
      </c>
      <c r="LI69" s="23">
        <v>12</v>
      </c>
      <c r="LJ69" s="23">
        <v>282</v>
      </c>
      <c r="LK69" s="23">
        <v>23</v>
      </c>
      <c r="LL69" s="23">
        <v>49</v>
      </c>
      <c r="LM69" s="23">
        <v>23</v>
      </c>
      <c r="LN69" s="278">
        <f ca="1">$A69 - TST!Sweden100dt + 1</f>
        <v>15</v>
      </c>
      <c r="LO69" s="20">
        <f ca="1">INDEX(OFFSET(TST!HeadRow,ROW()-ROW(TST!HeadRow),0,1,COLUMNS(TST!HeadRow)),1,MATCH(LO$5,TST!HeadRow,0))/LO$8</f>
        <v>1723.3626588465299</v>
      </c>
      <c r="LP69" s="278">
        <f ca="1">$A69 - TST!Spain100dt + 1</f>
        <v>15</v>
      </c>
      <c r="LQ69" s="20">
        <f ca="1">INDEX(OFFSET(TST!HeadRow,ROW()-ROW(TST!HeadRow),0,1,COLUMNS(TST!HeadRow)),1,MATCH(LQ$5,TST!HeadRow,0))/LQ$8</f>
        <v>5405.6242011077975</v>
      </c>
      <c r="LR69" s="285">
        <f ca="1">$A69 - TST!Victoria100dt + 1</f>
        <v>6</v>
      </c>
      <c r="LS69" s="20">
        <f ca="1">INDEX(OFFSET(TST!HeadRow,ROW()-ROW(TST!HeadRow),0,1,COLUMNS(TST!HeadRow)),1,MATCH(LS$5,TST!HeadRow,0))/LS$8</f>
        <v>345.45180268517117</v>
      </c>
      <c r="LT69" s="278">
        <f ca="1">$A69 - TST!Iran100dt + 1</f>
        <v>21</v>
      </c>
      <c r="LU69" s="20">
        <f ca="1">INDEX(OFFSET(TST!HeadRow,ROW()-ROW(TST!HeadRow),0,1,COLUMNS(TST!HeadRow)),1,MATCH(LU$5,TST!HeadRow,0))/LU$8</f>
        <v>2460.2198799135758</v>
      </c>
      <c r="LV69" s="278">
        <f ca="1">$A69 - TST!Japan100dt + 1</f>
        <v>-3</v>
      </c>
      <c r="LW69" s="20">
        <f ca="1">INDEX(OFFSET(TST!HeadRow,ROW()-ROW(TST!HeadRow),0,1,COLUMNS(TST!HeadRow)),1,MATCH(LW$5,TST!HeadRow,0))/LW$8</f>
        <v>79.570648475420455</v>
      </c>
      <c r="LX69" s="278">
        <f ca="1">$A69 - TST!Queensland100dt + 1</f>
        <v>7</v>
      </c>
      <c r="LY69" s="20">
        <f ca="1">INDEX(OFFSET(TST!HeadRow,ROW()-ROW(TST!HeadRow),0,1,COLUMNS(TST!HeadRow)),1,MATCH(LY$5,TST!HeadRow,0))/LY$8</f>
        <v>432.02446861479081</v>
      </c>
      <c r="LZ69" s="278">
        <f ca="1">$A69 - TST!Tasmania100dt + 1</f>
        <v>7</v>
      </c>
      <c r="MA69" s="20">
        <f ca="1">INDEX(OFFSET(TST!HeadRow,ROW()-ROW(TST!HeadRow),0,1,COLUMNS(TST!HeadRow)),1,MATCH(MA$5,TST!HeadRow,0))/MA$8</f>
        <v>310.67961165048547</v>
      </c>
      <c r="MB69" s="278">
        <f ca="1">$A69 - TST!SouthAustralia100dt + 1</f>
        <v>8</v>
      </c>
      <c r="MC69" s="20">
        <f ca="1">INDEX(OFFSET(TST!HeadRow,ROW()-ROW(TST!HeadRow),0,1,COLUMNS(TST!HeadRow)),1,MATCH(MC$5,TST!HeadRow,0))/MC$8</f>
        <v>401.19760479041912</v>
      </c>
      <c r="MD69" s="278">
        <f ca="1">$A69 - TST!AustralianCapitalTerritory100dt + 1</f>
        <v>2</v>
      </c>
      <c r="ME69" s="20">
        <f ca="1">INDEX(OFFSET(TST!HeadRow,ROW()-ROW(TST!HeadRow),0,1,COLUMNS(TST!HeadRow)),1,MATCH(ME$5,TST!HeadRow,0))/ME$8</f>
        <v>210.25089940662525</v>
      </c>
      <c r="MF69" s="278">
        <f ca="1">$A69 - TST!NorthernTerritory100dt + 1</f>
        <v>2</v>
      </c>
      <c r="MG69" s="20">
        <f ca="1">INDEX(OFFSET(TST!HeadRow,ROW()-ROW(TST!HeadRow),0,1,COLUMNS(TST!HeadRow)),1,MATCH(MG$5,TST!HeadRow,0))/MG$8</f>
        <v>141.54615584231757</v>
      </c>
      <c r="MH69" s="278">
        <f ca="1">$A69 - TST!WesternAustralia100dt + 1</f>
        <v>6</v>
      </c>
      <c r="MI69" s="20">
        <f ca="1">INDEX(OFFSET(TST!HeadRow,ROW()-ROW(TST!HeadRow),0,1,COLUMNS(TST!HeadRow)),1,MATCH(MI$5,TST!HeadRow,0))/MI$8</f>
        <v>347.62456546929315</v>
      </c>
      <c r="MJ69" s="278">
        <f ca="1">$A69 - TST!Germany100dt + 1</f>
        <v>14</v>
      </c>
      <c r="MK69" s="20">
        <f ca="1">INDEX(OFFSET(TST!HeadRow,ROW()-ROW(TST!HeadRow),0,1,COLUMNS(TST!HeadRow)),1,MATCH(MK$5,TST!HeadRow,0))/MK$8</f>
        <v>2675.620332450012</v>
      </c>
      <c r="ML69" s="278">
        <f ca="1">$A69 - TST!Denmark100dt + 1</f>
        <v>13</v>
      </c>
      <c r="MM69" s="20">
        <f ca="1">INDEX(OFFSET(TST!HeadRow,ROW()-ROW(TST!HeadRow),0,1,COLUMNS(TST!HeadRow)),1,MATCH(MM$5,TST!HeadRow,0))/MM$8</f>
        <v>2283.8442990010335</v>
      </c>
      <c r="MN69" s="278">
        <f ca="1">$A69 - TST!SouthAfrica100dt + 1</f>
        <v>-3</v>
      </c>
      <c r="MO69" s="20">
        <f ca="1">INDEX(OFFSET(TST!HeadRow,ROW()-ROW(TST!HeadRow),0,1,COLUMNS(TST!HeadRow)),1,MATCH(MO$5,TST!HeadRow,0))/MO$8</f>
        <v>41.536863966770511</v>
      </c>
      <c r="MP69" s="278">
        <f ca="1">$A69 - TST!UnitedKingdom100dt + 1</f>
        <v>9</v>
      </c>
      <c r="MQ69" s="20">
        <f ca="1">INDEX(OFFSET(TST!HeadRow,ROW()-ROW(TST!HeadRow),0,1,COLUMNS(TST!HeadRow)),1,MATCH(MQ$5,TST!HeadRow,0))/MQ$8</f>
        <v>755.26791089705</v>
      </c>
      <c r="MR69" s="278">
        <f ca="1">$A69 - TST!Ireland100dt + 1</f>
        <v>9</v>
      </c>
      <c r="MS69" s="20">
        <f ca="1">INDEX(OFFSET(TST!HeadRow,ROW()-ROW(TST!HeadRow),0,1,COLUMNS(TST!HeadRow)),1,MATCH(MS$5,TST!HeadRow,0))/MS$8</f>
        <v>1602.0408163265306</v>
      </c>
      <c r="MT69" s="278">
        <f ca="1">$A69 - TST!Italy100dt + 1</f>
        <v>24</v>
      </c>
      <c r="MU69" s="20">
        <f ca="1">INDEX(OFFSET(TST!HeadRow,ROW()-ROW(TST!HeadRow),0,1,COLUMNS(TST!HeadRow)),1,MATCH(MU$5,TST!HeadRow,0))/MU$8</f>
        <v>8858.0639828056555</v>
      </c>
      <c r="MV69" s="278">
        <f ca="1">$A69 - TST!US100dt + 1</f>
        <v>7</v>
      </c>
      <c r="MW69" s="20">
        <f ca="1">INDEX(OFFSET(TST!HeadRow,ROW()-ROW(TST!HeadRow),0,1,COLUMNS(TST!HeadRow)),1,MATCH(MW$5,TST!HeadRow,0))/MW$8</f>
        <v>777.57723372440194</v>
      </c>
      <c r="MX69" s="278">
        <f ca="1">$A69 - TST!AustraliaSum100dt + 1</f>
        <v>7</v>
      </c>
      <c r="MY69" s="366">
        <f t="shared" si="8"/>
        <v>422.25201072386056</v>
      </c>
      <c r="MZ69" s="278">
        <f ca="1">$A69 - TST!NewSouthWales100dt + 1</f>
        <v>9</v>
      </c>
      <c r="NA69" s="366">
        <f ca="1">INDEX(OFFSET(TST!HeadRow,ROW()-ROW(TST!HeadRow),0,1,COLUMNS(TST!HeadRow)),1,MATCH(NA$5,TST!HeadRow,0))/NA$8</f>
        <v>539.60396039603961</v>
      </c>
      <c r="NB69" s="278">
        <f ca="1">$A69 - TST!Taiwan100dt + 1</f>
        <v>-4</v>
      </c>
      <c r="NC69" s="366">
        <f ca="1">INDEX(OFFSET(TST!HeadRow,ROW()-ROW(TST!HeadRow),0,1,COLUMNS(TST!HeadRow)),1,MATCH(NC$5,TST!HeadRow,0))/NC$8</f>
        <v>64.266051034301185</v>
      </c>
      <c r="ND69" s="20">
        <f ca="1">$A69 - TST!Hubei100dt + 1</f>
        <v>57</v>
      </c>
      <c r="NE69" s="20">
        <f ca="1">INDEX(OFFSET(TST!HeadRow,ROW()-ROW(TST!HeadRow),0,1,COLUMNS(TST!HeadRow)),1,MATCH(NE$5,TST!HeadRow,0))/NE$8</f>
        <v>11589.74358974359</v>
      </c>
      <c r="NF69" s="20">
        <f ca="1">$A69 - TST!HongKong100dt + 1</f>
        <v>27</v>
      </c>
      <c r="NG69" s="20">
        <f ca="1">INDEX(OFFSET(TST!HeadRow,ROW()-ROW(TST!HeadRow),0,1,COLUMNS(TST!HeadRow)),1,MATCH(NG$5,TST!HeadRow,0))/NG$8</f>
        <v>366.39377264796673</v>
      </c>
    </row>
    <row r="70" spans="1:371" x14ac:dyDescent="0.25">
      <c r="A70" s="243">
        <v>43912</v>
      </c>
      <c r="B70" s="23">
        <v>40</v>
      </c>
      <c r="C70" s="23">
        <v>89</v>
      </c>
      <c r="D70" s="23">
        <v>201</v>
      </c>
      <c r="E70" s="23">
        <v>113</v>
      </c>
      <c r="F70" s="23">
        <v>2</v>
      </c>
      <c r="G70" s="23">
        <v>1</v>
      </c>
      <c r="H70" s="23">
        <v>266</v>
      </c>
      <c r="I70" s="23">
        <v>194</v>
      </c>
      <c r="J70" s="23">
        <v>19</v>
      </c>
      <c r="K70" s="293">
        <v>669</v>
      </c>
      <c r="L70" s="23">
        <v>5</v>
      </c>
      <c r="M70" s="290">
        <v>259</v>
      </c>
      <c r="N70" s="23">
        <v>100</v>
      </c>
      <c r="O70" s="384">
        <v>22</v>
      </c>
      <c r="P70" s="287">
        <v>355</v>
      </c>
      <c r="Q70" s="23">
        <v>120</v>
      </c>
      <c r="R70" s="23">
        <v>3582</v>
      </c>
      <c r="S70" s="23">
        <v>65</v>
      </c>
      <c r="T70" s="23">
        <v>4</v>
      </c>
      <c r="U70" s="23">
        <v>334</v>
      </c>
      <c r="V70" s="23">
        <v>27</v>
      </c>
      <c r="W70" s="23">
        <v>14</v>
      </c>
      <c r="X70" s="23">
        <v>76</v>
      </c>
      <c r="Y70" s="23">
        <v>3401</v>
      </c>
      <c r="Z70" s="23">
        <v>2</v>
      </c>
      <c r="AA70" s="23">
        <v>2</v>
      </c>
      <c r="AB70" s="23">
        <v>24</v>
      </c>
      <c r="AC70" s="23">
        <v>126</v>
      </c>
      <c r="AD70" s="23">
        <v>1546</v>
      </c>
      <c r="AE70" s="23">
        <v>88</v>
      </c>
      <c r="AF70" s="23">
        <v>187</v>
      </c>
      <c r="AG70" s="23">
        <v>75</v>
      </c>
      <c r="AH70" s="23">
        <v>3</v>
      </c>
      <c r="AI70" s="23">
        <v>84</v>
      </c>
      <c r="AJ70" s="23">
        <v>40</v>
      </c>
      <c r="AK70" s="23">
        <v>259</v>
      </c>
      <c r="AL70" s="23">
        <v>424</v>
      </c>
      <c r="AM70" s="23">
        <v>13</v>
      </c>
      <c r="AN70" s="23">
        <v>20</v>
      </c>
      <c r="AO70" s="23">
        <v>17</v>
      </c>
      <c r="AP70" s="23">
        <v>9</v>
      </c>
      <c r="AQ70" s="23">
        <v>28</v>
      </c>
      <c r="AR70" s="23">
        <v>425</v>
      </c>
      <c r="AS70" s="23">
        <v>3</v>
      </c>
      <c r="AT70" s="23">
        <v>219</v>
      </c>
      <c r="AU70" s="23">
        <v>52</v>
      </c>
      <c r="AV70" s="23">
        <v>3</v>
      </c>
      <c r="AW70" s="23">
        <v>1</v>
      </c>
      <c r="AX70" s="23">
        <v>632</v>
      </c>
      <c r="AY70" s="23">
        <v>990</v>
      </c>
      <c r="AZ70" s="23">
        <v>522</v>
      </c>
      <c r="BA70" s="23">
        <v>577</v>
      </c>
      <c r="BB70" s="23">
        <v>313</v>
      </c>
      <c r="BC70" s="23">
        <v>136</v>
      </c>
      <c r="BD70" s="23">
        <v>1413</v>
      </c>
      <c r="BE70" s="23">
        <v>254</v>
      </c>
      <c r="BF70" s="23">
        <v>146</v>
      </c>
      <c r="BG70" s="23">
        <v>168</v>
      </c>
      <c r="BH70" s="23">
        <v>319</v>
      </c>
      <c r="BI70" s="23">
        <v>484</v>
      </c>
      <c r="BJ70" s="23">
        <v>1274</v>
      </c>
      <c r="BK70" s="23">
        <v>317</v>
      </c>
      <c r="BL70" s="23">
        <v>67800</v>
      </c>
      <c r="BM70" s="23">
        <v>1018</v>
      </c>
      <c r="BN70" s="23">
        <v>75</v>
      </c>
      <c r="BO70" s="23">
        <v>633</v>
      </c>
      <c r="BP70" s="23">
        <v>936</v>
      </c>
      <c r="BQ70" s="23">
        <v>93</v>
      </c>
      <c r="BR70" s="23">
        <v>127</v>
      </c>
      <c r="BS70" s="23">
        <v>24</v>
      </c>
      <c r="BT70" s="23">
        <v>75</v>
      </c>
      <c r="BU70" s="23">
        <v>18</v>
      </c>
      <c r="BV70" s="23">
        <v>248</v>
      </c>
      <c r="BW70" s="23">
        <v>767</v>
      </c>
      <c r="BX70" s="23">
        <v>404</v>
      </c>
      <c r="BY70" s="23">
        <v>133</v>
      </c>
      <c r="BZ70" s="23">
        <v>543</v>
      </c>
      <c r="CA70" s="23">
        <v>137</v>
      </c>
      <c r="CB70" s="23">
        <v>1</v>
      </c>
      <c r="CC70" s="23">
        <v>76</v>
      </c>
      <c r="CD70" s="23">
        <v>176</v>
      </c>
      <c r="CE70" s="23">
        <v>1238</v>
      </c>
      <c r="CF70" s="23">
        <v>231</v>
      </c>
      <c r="CG70" s="23">
        <v>3</v>
      </c>
      <c r="CH70" s="23">
        <v>30</v>
      </c>
      <c r="CI70" s="23">
        <v>134</v>
      </c>
      <c r="CJ70" s="23">
        <v>14</v>
      </c>
      <c r="CK70" s="23">
        <v>254</v>
      </c>
      <c r="CL70" s="23">
        <v>712</v>
      </c>
      <c r="CM70" s="23">
        <v>35</v>
      </c>
      <c r="CN70" s="23">
        <v>95</v>
      </c>
      <c r="CO70" s="23">
        <v>1120</v>
      </c>
      <c r="CP70" s="23">
        <v>115</v>
      </c>
      <c r="CQ70" s="23">
        <v>4</v>
      </c>
      <c r="CR70" s="23">
        <v>1395</v>
      </c>
      <c r="CS70" s="23">
        <v>1</v>
      </c>
      <c r="CT70" s="23">
        <v>202</v>
      </c>
      <c r="CU70" s="23">
        <v>789</v>
      </c>
      <c r="CV70" s="23">
        <v>327</v>
      </c>
      <c r="CW70" s="23">
        <v>3</v>
      </c>
      <c r="CX70" s="23">
        <v>6</v>
      </c>
      <c r="CY70" s="23">
        <v>1</v>
      </c>
      <c r="CZ70" s="23">
        <v>326</v>
      </c>
      <c r="DA70" s="23">
        <v>4</v>
      </c>
      <c r="DB70" s="23">
        <v>11</v>
      </c>
      <c r="DC70" s="23">
        <v>2</v>
      </c>
      <c r="DD70" s="23">
        <v>626</v>
      </c>
      <c r="DE70" s="23">
        <v>18</v>
      </c>
      <c r="DF70" s="23">
        <v>18</v>
      </c>
      <c r="DG70" s="23">
        <v>58</v>
      </c>
      <c r="DH70" s="23">
        <v>11</v>
      </c>
      <c r="DI70" s="23">
        <v>4</v>
      </c>
      <c r="DJ70" s="23">
        <v>64</v>
      </c>
      <c r="DK70" s="23">
        <v>3</v>
      </c>
      <c r="DL70" s="23">
        <v>5</v>
      </c>
      <c r="DM70" s="23">
        <v>44</v>
      </c>
      <c r="DN70" s="23">
        <v>16018</v>
      </c>
      <c r="DO70" s="23">
        <v>5</v>
      </c>
      <c r="DP70" s="23">
        <v>1</v>
      </c>
      <c r="DQ70" s="23">
        <v>54</v>
      </c>
      <c r="DR70" s="23">
        <v>24873</v>
      </c>
      <c r="DS70" s="23">
        <v>23</v>
      </c>
      <c r="DT70" s="23">
        <v>624</v>
      </c>
      <c r="DU70" s="23">
        <v>19</v>
      </c>
      <c r="DV70" s="23">
        <v>2</v>
      </c>
      <c r="DW70" s="23">
        <v>19</v>
      </c>
      <c r="DX70" s="23">
        <v>2</v>
      </c>
      <c r="DY70" s="23">
        <v>1</v>
      </c>
      <c r="DZ70" s="23">
        <v>26</v>
      </c>
      <c r="EA70" s="23">
        <v>131</v>
      </c>
      <c r="EB70" s="23">
        <v>568</v>
      </c>
      <c r="EC70" s="23">
        <v>396</v>
      </c>
      <c r="ED70" s="23">
        <v>514</v>
      </c>
      <c r="EE70" s="23">
        <v>21638</v>
      </c>
      <c r="EF70" s="23">
        <v>233</v>
      </c>
      <c r="EG70" s="23">
        <v>906</v>
      </c>
      <c r="EH70" s="23">
        <v>883</v>
      </c>
      <c r="EI70" s="23">
        <v>59138</v>
      </c>
      <c r="EJ70" s="23">
        <v>19</v>
      </c>
      <c r="EK70" s="23">
        <v>1101</v>
      </c>
      <c r="EL70" s="23">
        <v>112</v>
      </c>
      <c r="EM70" s="23">
        <v>60</v>
      </c>
      <c r="EN70" s="23">
        <v>15</v>
      </c>
      <c r="EO70" s="23">
        <v>8961</v>
      </c>
      <c r="EP70" s="23">
        <v>188</v>
      </c>
      <c r="EQ70" s="23">
        <v>14</v>
      </c>
      <c r="ER70" s="23">
        <v>139</v>
      </c>
      <c r="ES70" s="23">
        <v>248</v>
      </c>
      <c r="ET70" s="23">
        <v>3</v>
      </c>
      <c r="EU70" s="23">
        <v>37</v>
      </c>
      <c r="EV70" s="23">
        <v>143</v>
      </c>
      <c r="EW70" s="23">
        <v>798</v>
      </c>
      <c r="EX70" s="23">
        <v>3</v>
      </c>
      <c r="EY70" s="23">
        <v>1306</v>
      </c>
      <c r="EZ70" s="23">
        <v>13</v>
      </c>
      <c r="FA70" s="23">
        <v>90</v>
      </c>
      <c r="FB70" s="23">
        <v>2</v>
      </c>
      <c r="FC70" s="23">
        <v>28</v>
      </c>
      <c r="FD70" s="23">
        <v>316</v>
      </c>
      <c r="FE70" s="23">
        <v>94</v>
      </c>
      <c r="FF70" s="23">
        <v>23</v>
      </c>
      <c r="FG70" s="23">
        <v>10</v>
      </c>
      <c r="FH70" s="23">
        <v>21</v>
      </c>
      <c r="FI70" s="23">
        <v>115</v>
      </c>
      <c r="FJ70" s="23">
        <v>3</v>
      </c>
      <c r="FK70" s="23">
        <v>1</v>
      </c>
      <c r="FL70" s="23">
        <v>9</v>
      </c>
      <c r="FM70" s="23">
        <v>3</v>
      </c>
      <c r="FN70" s="23">
        <v>1</v>
      </c>
      <c r="FO70" s="23">
        <v>4204</v>
      </c>
      <c r="FP70" s="23">
        <v>102</v>
      </c>
      <c r="FQ70" s="23">
        <v>2</v>
      </c>
      <c r="FR70" s="23">
        <v>2</v>
      </c>
      <c r="FS70" s="23">
        <v>30</v>
      </c>
      <c r="FT70" s="23">
        <v>115</v>
      </c>
      <c r="FU70" s="23">
        <v>2385</v>
      </c>
      <c r="FV70" s="23">
        <v>55</v>
      </c>
      <c r="FW70" s="23">
        <v>776</v>
      </c>
      <c r="FX70" s="23">
        <v>313</v>
      </c>
      <c r="FY70" s="23">
        <v>1</v>
      </c>
      <c r="FZ70" s="23">
        <v>22</v>
      </c>
      <c r="GA70" s="23">
        <v>363</v>
      </c>
      <c r="GB70" s="23">
        <v>380</v>
      </c>
      <c r="GC70" s="23">
        <v>634</v>
      </c>
      <c r="GD70" s="23">
        <v>1600</v>
      </c>
      <c r="GE70" s="23">
        <v>494</v>
      </c>
      <c r="GF70" s="23">
        <v>433</v>
      </c>
      <c r="GG70" s="23">
        <v>367</v>
      </c>
      <c r="GH70" s="23">
        <v>19</v>
      </c>
      <c r="GI70" s="23">
        <v>2</v>
      </c>
      <c r="GJ70" s="23">
        <v>1</v>
      </c>
      <c r="GK70" s="23">
        <v>175</v>
      </c>
      <c r="GL70" s="23">
        <v>511</v>
      </c>
      <c r="GM70" s="23">
        <v>67</v>
      </c>
      <c r="GN70" s="23">
        <v>222</v>
      </c>
      <c r="GO70" s="23">
        <v>7</v>
      </c>
      <c r="GP70" s="23">
        <v>455</v>
      </c>
      <c r="GQ70" s="23">
        <v>185</v>
      </c>
      <c r="GR70" s="23">
        <v>414</v>
      </c>
      <c r="GS70" s="23">
        <v>1</v>
      </c>
      <c r="GT70" s="23">
        <v>274</v>
      </c>
      <c r="GU70" s="23">
        <v>28768</v>
      </c>
      <c r="GV70" s="23">
        <v>82</v>
      </c>
      <c r="GW70" s="23">
        <v>2</v>
      </c>
      <c r="GX70" s="23">
        <v>5</v>
      </c>
      <c r="GY70" s="23">
        <v>1934</v>
      </c>
      <c r="GZ70" s="23">
        <v>7474</v>
      </c>
      <c r="HA70" s="23">
        <v>169</v>
      </c>
      <c r="HB70" s="23">
        <v>12</v>
      </c>
      <c r="HC70" s="23">
        <v>599</v>
      </c>
      <c r="HD70" s="23">
        <v>16</v>
      </c>
      <c r="HE70" s="23">
        <v>50</v>
      </c>
      <c r="HF70" s="23">
        <v>75</v>
      </c>
      <c r="HG70" s="23">
        <v>1236</v>
      </c>
      <c r="HH70" s="23">
        <v>1</v>
      </c>
      <c r="HI70" s="23">
        <v>73</v>
      </c>
      <c r="HJ70" s="23">
        <v>153</v>
      </c>
      <c r="HK70" s="23">
        <v>6</v>
      </c>
      <c r="HL70" s="23">
        <v>3</v>
      </c>
      <c r="HM70" s="23">
        <v>32</v>
      </c>
      <c r="HN70" s="23">
        <v>15</v>
      </c>
      <c r="HO70" s="23">
        <v>5</v>
      </c>
      <c r="HP70" s="23">
        <v>1</v>
      </c>
      <c r="HQ70" s="23">
        <v>5683</v>
      </c>
      <c r="HR70" s="23">
        <v>158</v>
      </c>
      <c r="HS70" s="23">
        <v>33276</v>
      </c>
      <c r="HT70" s="23">
        <v>43</v>
      </c>
      <c r="HU70" s="23">
        <v>70</v>
      </c>
      <c r="HV70" s="23">
        <v>113</v>
      </c>
      <c r="HW70" s="23">
        <v>3</v>
      </c>
      <c r="HX70" s="23">
        <v>3</v>
      </c>
      <c r="HY70" s="23">
        <v>0</v>
      </c>
      <c r="HZ70" s="23">
        <v>1</v>
      </c>
      <c r="IA70" s="23">
        <v>1</v>
      </c>
      <c r="IB70" s="23">
        <v>1</v>
      </c>
      <c r="IC70" s="23">
        <v>1</v>
      </c>
      <c r="ID70" s="23">
        <v>1</v>
      </c>
      <c r="IE70" s="23">
        <v>0</v>
      </c>
      <c r="IF70" s="23">
        <v>0</v>
      </c>
      <c r="IG70" s="23">
        <v>0</v>
      </c>
      <c r="IH70" s="23">
        <v>0</v>
      </c>
      <c r="II70" s="23">
        <v>52</v>
      </c>
      <c r="IJ70" s="23">
        <v>0</v>
      </c>
      <c r="IK70" s="23">
        <v>0</v>
      </c>
      <c r="IL70" s="23">
        <v>0</v>
      </c>
      <c r="IM70" s="23">
        <v>0</v>
      </c>
      <c r="IN70" s="23">
        <v>0</v>
      </c>
      <c r="IO70" s="23">
        <v>0</v>
      </c>
      <c r="IP70" s="23">
        <v>0</v>
      </c>
      <c r="IQ70" s="23">
        <v>0</v>
      </c>
      <c r="IR70" s="23">
        <v>0</v>
      </c>
      <c r="IS70" s="23">
        <v>0</v>
      </c>
      <c r="IT70" s="23">
        <v>0</v>
      </c>
      <c r="IU70" s="23">
        <v>0</v>
      </c>
      <c r="IV70" s="23">
        <v>0</v>
      </c>
      <c r="IW70" s="23">
        <v>0</v>
      </c>
      <c r="IX70" s="23">
        <v>0</v>
      </c>
      <c r="IY70" s="23">
        <v>0</v>
      </c>
      <c r="IZ70" s="23">
        <v>0</v>
      </c>
      <c r="JA70" s="23">
        <v>0</v>
      </c>
      <c r="JB70" s="23">
        <v>0</v>
      </c>
      <c r="JC70" s="23">
        <v>0</v>
      </c>
      <c r="JD70" s="23">
        <v>0</v>
      </c>
      <c r="JE70" s="23">
        <v>0</v>
      </c>
      <c r="JF70" s="23">
        <v>0</v>
      </c>
      <c r="JG70" s="23">
        <v>0</v>
      </c>
      <c r="JH70" s="23">
        <v>0</v>
      </c>
      <c r="JI70" s="23">
        <v>27</v>
      </c>
      <c r="JJ70" s="23">
        <v>0</v>
      </c>
      <c r="JK70" s="23">
        <v>23</v>
      </c>
      <c r="JL70" s="23">
        <v>6</v>
      </c>
      <c r="JM70" s="23">
        <v>157</v>
      </c>
      <c r="JN70" s="23">
        <v>18</v>
      </c>
      <c r="JO70" s="23">
        <v>152</v>
      </c>
      <c r="JP70" s="23">
        <v>165</v>
      </c>
      <c r="JQ70" s="23">
        <v>1646</v>
      </c>
      <c r="JR70" s="23">
        <v>591</v>
      </c>
      <c r="JS70" s="23">
        <v>327</v>
      </c>
      <c r="JT70" s="23">
        <v>56</v>
      </c>
      <c r="JU70" s="23">
        <v>102</v>
      </c>
      <c r="JV70" s="23">
        <v>1004</v>
      </c>
      <c r="JW70" s="23">
        <v>621</v>
      </c>
      <c r="JX70" s="23">
        <v>53</v>
      </c>
      <c r="JY70" s="23">
        <v>42</v>
      </c>
      <c r="JZ70" s="23">
        <v>1049</v>
      </c>
      <c r="KA70" s="23">
        <v>204</v>
      </c>
      <c r="KB70" s="23">
        <v>90</v>
      </c>
      <c r="KC70" s="23">
        <v>65</v>
      </c>
      <c r="KD70" s="23">
        <v>103</v>
      </c>
      <c r="KE70" s="23">
        <v>837</v>
      </c>
      <c r="KF70" s="23">
        <v>89</v>
      </c>
      <c r="KG70" s="23">
        <v>244</v>
      </c>
      <c r="KH70" s="23">
        <v>640</v>
      </c>
      <c r="KI70" s="23">
        <v>1035</v>
      </c>
      <c r="KJ70" s="23">
        <v>167</v>
      </c>
      <c r="KK70" s="23">
        <v>207</v>
      </c>
      <c r="KL70" s="23">
        <v>100</v>
      </c>
      <c r="KM70" s="23">
        <v>34</v>
      </c>
      <c r="KN70" s="23">
        <v>51</v>
      </c>
      <c r="KO70" s="23">
        <v>190</v>
      </c>
      <c r="KP70" s="23">
        <v>73</v>
      </c>
      <c r="KQ70" s="23">
        <v>1914</v>
      </c>
      <c r="KR70" s="23">
        <v>57</v>
      </c>
      <c r="KS70" s="23">
        <v>15800</v>
      </c>
      <c r="KT70" s="23">
        <v>305</v>
      </c>
      <c r="KU70" s="23">
        <v>28</v>
      </c>
      <c r="KV70" s="23">
        <v>356</v>
      </c>
      <c r="KW70" s="23">
        <v>67</v>
      </c>
      <c r="KX70" s="23">
        <v>161</v>
      </c>
      <c r="KY70" s="23">
        <v>509</v>
      </c>
      <c r="KZ70" s="23">
        <v>83</v>
      </c>
      <c r="LA70" s="23">
        <v>196</v>
      </c>
      <c r="LB70" s="23">
        <v>21</v>
      </c>
      <c r="LC70" s="23">
        <v>393</v>
      </c>
      <c r="LD70" s="23">
        <v>643</v>
      </c>
      <c r="LE70" s="23">
        <v>162</v>
      </c>
      <c r="LF70" s="23">
        <v>52</v>
      </c>
      <c r="LG70" s="23">
        <v>220</v>
      </c>
      <c r="LH70" s="23">
        <v>1997</v>
      </c>
      <c r="LI70" s="23">
        <v>16</v>
      </c>
      <c r="LJ70" s="23">
        <v>381</v>
      </c>
      <c r="LK70" s="23">
        <v>26</v>
      </c>
      <c r="LL70" s="23">
        <v>49</v>
      </c>
      <c r="LM70" s="23">
        <v>30</v>
      </c>
      <c r="LN70" s="278">
        <f ca="1">$A70 - TST!Sweden100dt + 1</f>
        <v>16</v>
      </c>
      <c r="LO70" s="20">
        <f ca="1">INDEX(OFFSET(TST!HeadRow,ROW()-ROW(TST!HeadRow),0,1,COLUMNS(TST!HeadRow)),1,MATCH(LO$5,TST!HeadRow,0))/LO$8</f>
        <v>1890.5180840664714</v>
      </c>
      <c r="LP70" s="278">
        <f ca="1">$A70 - TST!Spain100dt + 1</f>
        <v>16</v>
      </c>
      <c r="LQ70" s="20">
        <f ca="1">INDEX(OFFSET(TST!HeadRow,ROW()-ROW(TST!HeadRow),0,1,COLUMNS(TST!HeadRow)),1,MATCH(LQ$5,TST!HeadRow,0))/LQ$8</f>
        <v>6128.6749041329358</v>
      </c>
      <c r="LR70" s="285">
        <f ca="1">$A70 - TST!Victoria100dt + 1</f>
        <v>7</v>
      </c>
      <c r="LS70" s="20">
        <f ca="1">INDEX(OFFSET(TST!HeadRow,ROW()-ROW(TST!HeadRow),0,1,COLUMNS(TST!HeadRow)),1,MATCH(LS$5,TST!HeadRow,0))/LS$8</f>
        <v>535.52572031980685</v>
      </c>
      <c r="LT70" s="278">
        <f ca="1">$A70 - TST!Iran100dt + 1</f>
        <v>22</v>
      </c>
      <c r="LU70" s="20">
        <f ca="1">INDEX(OFFSET(TST!HeadRow,ROW()-ROW(TST!HeadRow),0,1,COLUMNS(TST!HeadRow)),1,MATCH(LU$5,TST!HeadRow,0))/LU$8</f>
        <v>2582.93244840223</v>
      </c>
      <c r="LV70" s="278">
        <f ca="1">$A70 - TST!Japan100dt + 1</f>
        <v>-2</v>
      </c>
      <c r="LW70" s="20">
        <f ca="1">INDEX(OFFSET(TST!HeadRow,ROW()-ROW(TST!HeadRow),0,1,COLUMNS(TST!HeadRow)),1,MATCH(LW$5,TST!HeadRow,0))/LW$8</f>
        <v>86.998295900136966</v>
      </c>
      <c r="LX70" s="278">
        <f ca="1">$A70 - TST!Queensland100dt + 1</f>
        <v>8</v>
      </c>
      <c r="LY70" s="20">
        <f ca="1">INDEX(OFFSET(TST!HeadRow,ROW()-ROW(TST!HeadRow),0,1,COLUMNS(TST!HeadRow)),1,MATCH(LY$5,TST!HeadRow,0))/LY$8</f>
        <v>506.30921887434755</v>
      </c>
      <c r="LZ70" s="278">
        <f ca="1">$A70 - TST!Tasmania100dt + 1</f>
        <v>8</v>
      </c>
      <c r="MA70" s="20">
        <f ca="1">INDEX(OFFSET(TST!HeadRow,ROW()-ROW(TST!HeadRow),0,1,COLUMNS(TST!HeadRow)),1,MATCH(MA$5,TST!HeadRow,0))/MA$8</f>
        <v>427.18446601941753</v>
      </c>
      <c r="MB70" s="278">
        <f ca="1">$A70 - TST!SouthAustralia100dt + 1</f>
        <v>9</v>
      </c>
      <c r="MC70" s="20">
        <f ca="1">INDEX(OFFSET(TST!HeadRow,ROW()-ROW(TST!HeadRow),0,1,COLUMNS(TST!HeadRow)),1,MATCH(MC$5,TST!HeadRow,0))/MC$8</f>
        <v>598.80239520958082</v>
      </c>
      <c r="MD70" s="278">
        <f ca="1">$A70 - TST!AustralianCapitalTerritory100dt + 1</f>
        <v>3</v>
      </c>
      <c r="ME70" s="20">
        <f ca="1">INDEX(OFFSET(TST!HeadRow,ROW()-ROW(TST!HeadRow),0,1,COLUMNS(TST!HeadRow)),1,MATCH(ME$5,TST!HeadRow,0))/ME$8</f>
        <v>443.8630098584311</v>
      </c>
      <c r="MF70" s="278">
        <f ca="1">$A70 - TST!NorthernTerritory100dt + 1</f>
        <v>3</v>
      </c>
      <c r="MG70" s="20">
        <f ca="1">INDEX(OFFSET(TST!HeadRow,ROW()-ROW(TST!HeadRow),0,1,COLUMNS(TST!HeadRow)),1,MATCH(MG$5,TST!HeadRow,0))/MG$8</f>
        <v>235.91025973719596</v>
      </c>
      <c r="MH70" s="278">
        <f ca="1">$A70 - TST!WesternAustralia100dt + 1</f>
        <v>7</v>
      </c>
      <c r="MI70" s="20">
        <f ca="1">INDEX(OFFSET(TST!HeadRow,ROW()-ROW(TST!HeadRow),0,1,COLUMNS(TST!HeadRow)),1,MATCH(MI$5,TST!HeadRow,0))/MI$8</f>
        <v>463.49942062572416</v>
      </c>
      <c r="MJ70" s="278">
        <f ca="1">$A70 - TST!Germany100dt + 1</f>
        <v>15</v>
      </c>
      <c r="MK70" s="20">
        <f ca="1">INDEX(OFFSET(TST!HeadRow,ROW()-ROW(TST!HeadRow),0,1,COLUMNS(TST!HeadRow)),1,MATCH(MK$5,TST!HeadRow,0))/MK$8</f>
        <v>2996.0250542038066</v>
      </c>
      <c r="ML70" s="278">
        <f ca="1">$A70 - TST!Denmark100dt + 1</f>
        <v>14</v>
      </c>
      <c r="MM70" s="20">
        <f ca="1">INDEX(OFFSET(TST!HeadRow,ROW()-ROW(TST!HeadRow),0,1,COLUMNS(TST!HeadRow)),1,MATCH(MM$5,TST!HeadRow,0))/MM$8</f>
        <v>2402.6868756458834</v>
      </c>
      <c r="MN70" s="278">
        <f ca="1">$A70 - TST!SouthAfrica100dt + 1</f>
        <v>-2</v>
      </c>
      <c r="MO70" s="20">
        <f ca="1">INDEX(OFFSET(TST!HeadRow,ROW()-ROW(TST!HeadRow),0,1,COLUMNS(TST!HeadRow)),1,MATCH(MO$5,TST!HeadRow,0))/MO$8</f>
        <v>47.421253028729666</v>
      </c>
      <c r="MP70" s="278">
        <f ca="1">$A70 - TST!UnitedKingdom100dt + 1</f>
        <v>10</v>
      </c>
      <c r="MQ70" s="20">
        <f ca="1">INDEX(OFFSET(TST!HeadRow,ROW()-ROW(TST!HeadRow),0,1,COLUMNS(TST!HeadRow)),1,MATCH(MQ$5,TST!HeadRow,0))/MQ$8</f>
        <v>855.35821794099934</v>
      </c>
      <c r="MR70" s="278">
        <f ca="1">$A70 - TST!Ireland100dt + 1</f>
        <v>10</v>
      </c>
      <c r="MS70" s="20">
        <f ca="1">INDEX(OFFSET(TST!HeadRow,ROW()-ROW(TST!HeadRow),0,1,COLUMNS(TST!HeadRow)),1,MATCH(MS$5,TST!HeadRow,0))/MS$8</f>
        <v>1848.9795918367347</v>
      </c>
      <c r="MT70" s="278">
        <f ca="1">$A70 - TST!Italy100dt + 1</f>
        <v>25</v>
      </c>
      <c r="MU70" s="20">
        <f ca="1">INDEX(OFFSET(TST!HeadRow,ROW()-ROW(TST!HeadRow),0,1,COLUMNS(TST!HeadRow)),1,MATCH(MU$5,TST!HeadRow,0))/MU$8</f>
        <v>9777.3001570637352</v>
      </c>
      <c r="MV70" s="278">
        <f ca="1">$A70 - TST!US100dt + 1</f>
        <v>8</v>
      </c>
      <c r="MW70" s="20">
        <f ca="1">INDEX(OFFSET(TST!HeadRow,ROW()-ROW(TST!HeadRow),0,1,COLUMNS(TST!HeadRow)),1,MATCH(MW$5,TST!HeadRow,0))/MW$8</f>
        <v>1010.7289073989531</v>
      </c>
      <c r="MX70" s="278">
        <f ca="1">$A70 - TST!AustraliaSum100dt + 1</f>
        <v>8</v>
      </c>
      <c r="MY70" s="366">
        <f t="shared" si="8"/>
        <v>610.70809020659203</v>
      </c>
      <c r="MZ70" s="278">
        <f ca="1">$A70 - TST!NewSouthWales100dt + 1</f>
        <v>10</v>
      </c>
      <c r="NA70" s="366">
        <f ca="1">INDEX(OFFSET(TST!HeadRow,ROW()-ROW(TST!HeadRow),0,1,COLUMNS(TST!HeadRow)),1,MATCH(NA$5,TST!HeadRow,0))/NA$8</f>
        <v>827.97029702970292</v>
      </c>
      <c r="NB70" s="278">
        <f ca="1">$A70 - TST!Taiwan100dt + 1</f>
        <v>-3</v>
      </c>
      <c r="NC70" s="366">
        <f ca="1">INDEX(OFFSET(TST!HeadRow,ROW()-ROW(TST!HeadRow),0,1,COLUMNS(TST!HeadRow)),1,MATCH(NC$5,TST!HeadRow,0))/NC$8</f>
        <v>70.986683822201968</v>
      </c>
      <c r="ND70" s="20">
        <f ca="1">$A70 - TST!Hubei100dt + 1</f>
        <v>58</v>
      </c>
      <c r="NE70" s="20">
        <f ca="1">INDEX(OFFSET(TST!HeadRow,ROW()-ROW(TST!HeadRow),0,1,COLUMNS(TST!HeadRow)),1,MATCH(NE$5,TST!HeadRow,0))/NE$8</f>
        <v>11589.74358974359</v>
      </c>
      <c r="NF70" s="20">
        <f ca="1">$A70 - TST!HongKong100dt + 1</f>
        <v>28</v>
      </c>
      <c r="NG70" s="20">
        <f ca="1">INDEX(OFFSET(TST!HeadRow,ROW()-ROW(TST!HeadRow),0,1,COLUMNS(TST!HeadRow)),1,MATCH(NG$5,TST!HeadRow,0))/NG$8</f>
        <v>425.44624882566097</v>
      </c>
    </row>
    <row r="71" spans="1:371" x14ac:dyDescent="0.25">
      <c r="A71" s="243">
        <v>43913</v>
      </c>
      <c r="B71" s="23">
        <v>40</v>
      </c>
      <c r="C71" s="23">
        <v>104</v>
      </c>
      <c r="D71" s="23">
        <v>230</v>
      </c>
      <c r="E71" s="23">
        <v>133</v>
      </c>
      <c r="F71" s="23">
        <v>3</v>
      </c>
      <c r="G71" s="23">
        <v>3</v>
      </c>
      <c r="H71" s="23">
        <v>301</v>
      </c>
      <c r="I71" s="23">
        <v>235</v>
      </c>
      <c r="J71" s="23">
        <v>32</v>
      </c>
      <c r="K71" s="293">
        <v>669</v>
      </c>
      <c r="L71" s="23">
        <v>5</v>
      </c>
      <c r="M71" s="290">
        <v>319</v>
      </c>
      <c r="N71" s="23">
        <v>134</v>
      </c>
      <c r="O71" s="384">
        <v>28</v>
      </c>
      <c r="P71" s="287">
        <v>355</v>
      </c>
      <c r="Q71" s="23">
        <v>140</v>
      </c>
      <c r="R71" s="23">
        <v>4474</v>
      </c>
      <c r="S71" s="23">
        <v>72</v>
      </c>
      <c r="T71" s="23">
        <v>4</v>
      </c>
      <c r="U71" s="23">
        <v>377</v>
      </c>
      <c r="V71" s="23">
        <v>33</v>
      </c>
      <c r="W71" s="23">
        <v>17</v>
      </c>
      <c r="X71" s="23">
        <v>81</v>
      </c>
      <c r="Y71" s="23">
        <v>3743</v>
      </c>
      <c r="Z71" s="23">
        <v>5</v>
      </c>
      <c r="AA71" s="23">
        <v>2</v>
      </c>
      <c r="AB71" s="23">
        <v>27</v>
      </c>
      <c r="AC71" s="23">
        <v>136</v>
      </c>
      <c r="AD71" s="23">
        <v>1924</v>
      </c>
      <c r="AE71" s="23">
        <v>91</v>
      </c>
      <c r="AF71" s="23">
        <v>201</v>
      </c>
      <c r="AG71" s="23">
        <v>99</v>
      </c>
      <c r="AH71" s="23">
        <v>3</v>
      </c>
      <c r="AI71" s="23">
        <v>87</v>
      </c>
      <c r="AJ71" s="23">
        <v>56</v>
      </c>
      <c r="AK71" s="23">
        <v>301</v>
      </c>
      <c r="AL71" s="23">
        <v>472</v>
      </c>
      <c r="AM71" s="23">
        <v>13</v>
      </c>
      <c r="AN71" s="23">
        <v>20</v>
      </c>
      <c r="AO71" s="23">
        <v>17</v>
      </c>
      <c r="AP71" s="23">
        <v>24</v>
      </c>
      <c r="AQ71" s="23">
        <v>41</v>
      </c>
      <c r="AR71" s="23">
        <v>503</v>
      </c>
      <c r="AS71" s="23">
        <v>3</v>
      </c>
      <c r="AT71" s="23">
        <v>628</v>
      </c>
      <c r="AU71" s="23">
        <v>66</v>
      </c>
      <c r="AV71" s="23">
        <v>3</v>
      </c>
      <c r="AW71" s="23">
        <v>1</v>
      </c>
      <c r="AX71" s="23">
        <v>746</v>
      </c>
      <c r="AY71" s="23">
        <v>990</v>
      </c>
      <c r="AZ71" s="23">
        <v>537</v>
      </c>
      <c r="BA71" s="23">
        <v>578</v>
      </c>
      <c r="BB71" s="23">
        <v>313</v>
      </c>
      <c r="BC71" s="23">
        <v>136</v>
      </c>
      <c r="BD71" s="23">
        <v>1415</v>
      </c>
      <c r="BE71" s="23">
        <v>254</v>
      </c>
      <c r="BF71" s="23">
        <v>146</v>
      </c>
      <c r="BG71" s="23">
        <v>168</v>
      </c>
      <c r="BH71" s="23">
        <v>319</v>
      </c>
      <c r="BI71" s="23">
        <v>484</v>
      </c>
      <c r="BJ71" s="23">
        <v>1274</v>
      </c>
      <c r="BK71" s="23">
        <v>356</v>
      </c>
      <c r="BL71" s="23">
        <v>67800</v>
      </c>
      <c r="BM71" s="23">
        <v>1018</v>
      </c>
      <c r="BN71" s="23">
        <v>75</v>
      </c>
      <c r="BO71" s="23">
        <v>633</v>
      </c>
      <c r="BP71" s="23">
        <v>936</v>
      </c>
      <c r="BQ71" s="23">
        <v>93</v>
      </c>
      <c r="BR71" s="23">
        <v>127</v>
      </c>
      <c r="BS71" s="23">
        <v>24</v>
      </c>
      <c r="BT71" s="23">
        <v>75</v>
      </c>
      <c r="BU71" s="23">
        <v>18</v>
      </c>
      <c r="BV71" s="23">
        <v>248</v>
      </c>
      <c r="BW71" s="23">
        <v>768</v>
      </c>
      <c r="BX71" s="23">
        <v>404</v>
      </c>
      <c r="BY71" s="23">
        <v>134</v>
      </c>
      <c r="BZ71" s="23">
        <v>543</v>
      </c>
      <c r="CA71" s="23">
        <v>141</v>
      </c>
      <c r="CB71" s="23">
        <v>1</v>
      </c>
      <c r="CC71" s="23">
        <v>76</v>
      </c>
      <c r="CD71" s="23">
        <v>176</v>
      </c>
      <c r="CE71" s="23">
        <v>1238</v>
      </c>
      <c r="CF71" s="23">
        <v>277</v>
      </c>
      <c r="CG71" s="23">
        <v>4</v>
      </c>
      <c r="CH71" s="23">
        <v>36</v>
      </c>
      <c r="CI71" s="23">
        <v>158</v>
      </c>
      <c r="CJ71" s="23">
        <v>25</v>
      </c>
      <c r="CK71" s="23">
        <v>315</v>
      </c>
      <c r="CL71" s="23">
        <v>712</v>
      </c>
      <c r="CM71" s="23">
        <v>40</v>
      </c>
      <c r="CN71" s="23">
        <v>116</v>
      </c>
      <c r="CO71" s="23">
        <v>1236</v>
      </c>
      <c r="CP71" s="23">
        <v>118</v>
      </c>
      <c r="CQ71" s="23">
        <v>4</v>
      </c>
      <c r="CR71" s="23">
        <v>1450</v>
      </c>
      <c r="CS71" s="23">
        <v>3</v>
      </c>
      <c r="CT71" s="23">
        <v>245</v>
      </c>
      <c r="CU71" s="23">
        <v>981</v>
      </c>
      <c r="CV71" s="23">
        <v>366</v>
      </c>
      <c r="CW71" s="23">
        <v>3</v>
      </c>
      <c r="CX71" s="23">
        <v>9</v>
      </c>
      <c r="CY71" s="23">
        <v>1</v>
      </c>
      <c r="CZ71" s="23">
        <v>352</v>
      </c>
      <c r="DA71" s="23">
        <v>4</v>
      </c>
      <c r="DB71" s="23">
        <v>11</v>
      </c>
      <c r="DC71" s="23">
        <v>3</v>
      </c>
      <c r="DD71" s="23">
        <v>700</v>
      </c>
      <c r="DE71" s="23">
        <v>20</v>
      </c>
      <c r="DF71" s="23">
        <v>18</v>
      </c>
      <c r="DG71" s="23">
        <v>62</v>
      </c>
      <c r="DH71" s="23">
        <v>24</v>
      </c>
      <c r="DI71" s="23">
        <v>8</v>
      </c>
      <c r="DJ71" s="23">
        <v>71</v>
      </c>
      <c r="DK71" s="23">
        <v>3</v>
      </c>
      <c r="DL71" s="23">
        <v>8</v>
      </c>
      <c r="DM71" s="23">
        <v>53</v>
      </c>
      <c r="DN71" s="23">
        <v>19856</v>
      </c>
      <c r="DO71" s="23">
        <v>5</v>
      </c>
      <c r="DP71" s="23">
        <v>2</v>
      </c>
      <c r="DQ71" s="23">
        <v>61</v>
      </c>
      <c r="DR71" s="23">
        <v>29056</v>
      </c>
      <c r="DS71" s="23">
        <v>27</v>
      </c>
      <c r="DT71" s="23">
        <v>695</v>
      </c>
      <c r="DU71" s="23">
        <v>20</v>
      </c>
      <c r="DV71" s="23">
        <v>4</v>
      </c>
      <c r="DW71" s="23">
        <v>20</v>
      </c>
      <c r="DX71" s="23">
        <v>6</v>
      </c>
      <c r="DY71" s="23">
        <v>1</v>
      </c>
      <c r="DZ71" s="23">
        <v>30</v>
      </c>
      <c r="EA71" s="23">
        <v>167</v>
      </c>
      <c r="EB71" s="23">
        <v>588</v>
      </c>
      <c r="EC71" s="23">
        <v>499</v>
      </c>
      <c r="ED71" s="23">
        <v>579</v>
      </c>
      <c r="EE71" s="23">
        <v>23049</v>
      </c>
      <c r="EF71" s="23">
        <v>266</v>
      </c>
      <c r="EG71" s="23">
        <v>1125</v>
      </c>
      <c r="EH71" s="23">
        <v>1071</v>
      </c>
      <c r="EI71" s="23">
        <v>63927</v>
      </c>
      <c r="EJ71" s="23">
        <v>19</v>
      </c>
      <c r="EK71" s="23">
        <v>1128</v>
      </c>
      <c r="EL71" s="23">
        <v>127</v>
      </c>
      <c r="EM71" s="23">
        <v>62</v>
      </c>
      <c r="EN71" s="23">
        <v>16</v>
      </c>
      <c r="EO71" s="23">
        <v>8961</v>
      </c>
      <c r="EP71" s="23">
        <v>189</v>
      </c>
      <c r="EQ71" s="23">
        <v>16</v>
      </c>
      <c r="ER71" s="23">
        <v>180</v>
      </c>
      <c r="ES71" s="23">
        <v>267</v>
      </c>
      <c r="ET71" s="23">
        <v>3</v>
      </c>
      <c r="EU71" s="23">
        <v>51</v>
      </c>
      <c r="EV71" s="23">
        <v>179</v>
      </c>
      <c r="EW71" s="23">
        <v>875</v>
      </c>
      <c r="EX71" s="23">
        <v>12</v>
      </c>
      <c r="EY71" s="23">
        <v>1518</v>
      </c>
      <c r="EZ71" s="23">
        <v>13</v>
      </c>
      <c r="FA71" s="23">
        <v>107</v>
      </c>
      <c r="FB71" s="23">
        <v>2</v>
      </c>
      <c r="FC71" s="23">
        <v>36</v>
      </c>
      <c r="FD71" s="23">
        <v>367</v>
      </c>
      <c r="FE71" s="23">
        <v>109</v>
      </c>
      <c r="FF71" s="23">
        <v>23</v>
      </c>
      <c r="FG71" s="23">
        <v>10</v>
      </c>
      <c r="FH71" s="23">
        <v>27</v>
      </c>
      <c r="FI71" s="23">
        <v>143</v>
      </c>
      <c r="FJ71" s="23">
        <v>4</v>
      </c>
      <c r="FK71" s="23">
        <v>2</v>
      </c>
      <c r="FL71" s="23">
        <v>9</v>
      </c>
      <c r="FM71" s="23">
        <v>4</v>
      </c>
      <c r="FN71" s="23">
        <v>2</v>
      </c>
      <c r="FO71" s="23">
        <v>4749</v>
      </c>
      <c r="FP71" s="23">
        <v>102</v>
      </c>
      <c r="FQ71" s="23">
        <v>2</v>
      </c>
      <c r="FR71" s="23">
        <v>3</v>
      </c>
      <c r="FS71" s="23">
        <v>40</v>
      </c>
      <c r="FT71" s="23">
        <v>136</v>
      </c>
      <c r="FU71" s="23">
        <v>2621</v>
      </c>
      <c r="FV71" s="23">
        <v>66</v>
      </c>
      <c r="FW71" s="23">
        <v>875</v>
      </c>
      <c r="FX71" s="23">
        <v>345</v>
      </c>
      <c r="FY71" s="23">
        <v>1</v>
      </c>
      <c r="FZ71" s="23">
        <v>22</v>
      </c>
      <c r="GA71" s="23">
        <v>395</v>
      </c>
      <c r="GB71" s="23">
        <v>462</v>
      </c>
      <c r="GC71" s="23">
        <v>749</v>
      </c>
      <c r="GD71" s="23">
        <v>2060</v>
      </c>
      <c r="GE71" s="23">
        <v>501</v>
      </c>
      <c r="GF71" s="23">
        <v>576</v>
      </c>
      <c r="GG71" s="23">
        <v>438</v>
      </c>
      <c r="GH71" s="23">
        <v>36</v>
      </c>
      <c r="GI71" s="23">
        <v>3</v>
      </c>
      <c r="GJ71" s="23">
        <v>1</v>
      </c>
      <c r="GK71" s="23">
        <v>187</v>
      </c>
      <c r="GL71" s="23">
        <v>562</v>
      </c>
      <c r="GM71" s="23">
        <v>79</v>
      </c>
      <c r="GN71" s="23">
        <v>249</v>
      </c>
      <c r="GO71" s="23">
        <v>7</v>
      </c>
      <c r="GP71" s="23">
        <v>509</v>
      </c>
      <c r="GQ71" s="23">
        <v>186</v>
      </c>
      <c r="GR71" s="23">
        <v>442</v>
      </c>
      <c r="GS71" s="23">
        <v>1</v>
      </c>
      <c r="GT71" s="23">
        <v>402</v>
      </c>
      <c r="GU71" s="23">
        <v>35136</v>
      </c>
      <c r="GV71" s="23">
        <v>97</v>
      </c>
      <c r="GW71" s="23">
        <v>2</v>
      </c>
      <c r="GX71" s="23">
        <v>5</v>
      </c>
      <c r="GY71" s="23">
        <v>2046</v>
      </c>
      <c r="GZ71" s="23">
        <v>8795</v>
      </c>
      <c r="HA71" s="23">
        <v>195</v>
      </c>
      <c r="HB71" s="23">
        <v>12</v>
      </c>
      <c r="HC71" s="23">
        <v>721</v>
      </c>
      <c r="HD71" s="23">
        <v>18</v>
      </c>
      <c r="HE71" s="23">
        <v>51</v>
      </c>
      <c r="HF71" s="23">
        <v>89</v>
      </c>
      <c r="HG71" s="23">
        <v>1529</v>
      </c>
      <c r="HH71" s="23">
        <v>9</v>
      </c>
      <c r="HI71" s="23">
        <v>73</v>
      </c>
      <c r="HJ71" s="23">
        <v>198</v>
      </c>
      <c r="HK71" s="23">
        <v>6</v>
      </c>
      <c r="HL71" s="23">
        <v>5</v>
      </c>
      <c r="HM71" s="23">
        <v>36</v>
      </c>
      <c r="HN71" s="23">
        <v>15</v>
      </c>
      <c r="HO71" s="23">
        <v>13</v>
      </c>
      <c r="HP71" s="23">
        <v>1</v>
      </c>
      <c r="HQ71" s="23">
        <v>6650</v>
      </c>
      <c r="HR71" s="23">
        <v>162</v>
      </c>
      <c r="HS71" s="23">
        <v>43843</v>
      </c>
      <c r="HT71" s="23">
        <v>46</v>
      </c>
      <c r="HU71" s="23">
        <v>77</v>
      </c>
      <c r="HV71" s="23">
        <v>123</v>
      </c>
      <c r="HW71" s="23">
        <v>3</v>
      </c>
      <c r="HX71" s="23">
        <v>3</v>
      </c>
      <c r="HY71" s="23">
        <v>0</v>
      </c>
      <c r="HZ71" s="23">
        <v>2</v>
      </c>
      <c r="IA71" s="23">
        <v>1</v>
      </c>
      <c r="IB71" s="23">
        <v>1</v>
      </c>
      <c r="IC71" s="23">
        <v>1</v>
      </c>
      <c r="ID71" s="23">
        <v>1</v>
      </c>
      <c r="IE71" s="23">
        <v>1</v>
      </c>
      <c r="IF71" s="23">
        <v>0</v>
      </c>
      <c r="IG71" s="23">
        <v>0</v>
      </c>
      <c r="IH71" s="23">
        <v>0</v>
      </c>
      <c r="II71" s="23">
        <v>59</v>
      </c>
      <c r="IJ71" s="23">
        <v>0</v>
      </c>
      <c r="IK71" s="23">
        <v>0</v>
      </c>
      <c r="IL71" s="23">
        <v>0</v>
      </c>
      <c r="IM71" s="23">
        <v>0</v>
      </c>
      <c r="IN71" s="23">
        <v>0</v>
      </c>
      <c r="IO71" s="23">
        <v>0</v>
      </c>
      <c r="IP71" s="23">
        <v>0</v>
      </c>
      <c r="IQ71" s="23">
        <v>0</v>
      </c>
      <c r="IR71" s="23">
        <v>0</v>
      </c>
      <c r="IS71" s="23">
        <v>0</v>
      </c>
      <c r="IT71" s="23">
        <v>0</v>
      </c>
      <c r="IU71" s="23">
        <v>0</v>
      </c>
      <c r="IV71" s="23">
        <v>0</v>
      </c>
      <c r="IW71" s="23">
        <v>0</v>
      </c>
      <c r="IX71" s="23">
        <v>0</v>
      </c>
      <c r="IY71" s="23">
        <v>0</v>
      </c>
      <c r="IZ71" s="23">
        <v>0</v>
      </c>
      <c r="JA71" s="23">
        <v>0</v>
      </c>
      <c r="JB71" s="23">
        <v>0</v>
      </c>
      <c r="JC71" s="23">
        <v>0</v>
      </c>
      <c r="JD71" s="23">
        <v>0</v>
      </c>
      <c r="JE71" s="23">
        <v>0</v>
      </c>
      <c r="JF71" s="23">
        <v>0</v>
      </c>
      <c r="JG71" s="23">
        <v>0</v>
      </c>
      <c r="JH71" s="23">
        <v>0</v>
      </c>
      <c r="JI71" s="23">
        <v>29</v>
      </c>
      <c r="JJ71" s="23">
        <v>0</v>
      </c>
      <c r="JK71" s="23">
        <v>31</v>
      </c>
      <c r="JL71" s="23">
        <v>7</v>
      </c>
      <c r="JM71" s="23">
        <v>196</v>
      </c>
      <c r="JN71" s="23">
        <v>30</v>
      </c>
      <c r="JO71" s="23">
        <v>235</v>
      </c>
      <c r="JP71" s="23">
        <v>192</v>
      </c>
      <c r="JQ71" s="23">
        <v>2108</v>
      </c>
      <c r="JR71" s="23">
        <v>704</v>
      </c>
      <c r="JS71" s="23">
        <v>415</v>
      </c>
      <c r="JT71" s="23">
        <v>68</v>
      </c>
      <c r="JU71" s="23">
        <v>120</v>
      </c>
      <c r="JV71" s="23">
        <v>1227</v>
      </c>
      <c r="JW71" s="23">
        <v>772</v>
      </c>
      <c r="JX71" s="23">
        <v>56</v>
      </c>
      <c r="JY71" s="23">
        <v>68</v>
      </c>
      <c r="JZ71" s="23">
        <v>1285</v>
      </c>
      <c r="KA71" s="23">
        <v>270</v>
      </c>
      <c r="KB71" s="23">
        <v>105</v>
      </c>
      <c r="KC71" s="23">
        <v>84</v>
      </c>
      <c r="KD71" s="23">
        <v>123</v>
      </c>
      <c r="KE71" s="23">
        <v>1172</v>
      </c>
      <c r="KF71" s="23">
        <v>107</v>
      </c>
      <c r="KG71" s="23">
        <v>290</v>
      </c>
      <c r="KH71" s="23">
        <v>777</v>
      </c>
      <c r="KI71" s="23">
        <v>1329</v>
      </c>
      <c r="KJ71" s="23">
        <v>234</v>
      </c>
      <c r="KK71" s="23">
        <v>249</v>
      </c>
      <c r="KL71" s="23">
        <v>187</v>
      </c>
      <c r="KM71" s="23">
        <v>34</v>
      </c>
      <c r="KN71" s="23">
        <v>51</v>
      </c>
      <c r="KO71" s="23">
        <v>245</v>
      </c>
      <c r="KP71" s="23">
        <v>101</v>
      </c>
      <c r="KQ71" s="23">
        <v>2844</v>
      </c>
      <c r="KR71" s="23">
        <v>83</v>
      </c>
      <c r="KS71" s="23">
        <v>20884</v>
      </c>
      <c r="KT71" s="23">
        <v>353</v>
      </c>
      <c r="KU71" s="23">
        <v>30</v>
      </c>
      <c r="KV71" s="23">
        <v>443</v>
      </c>
      <c r="KW71" s="23">
        <v>81</v>
      </c>
      <c r="KX71" s="23">
        <v>191</v>
      </c>
      <c r="KY71" s="23">
        <v>698</v>
      </c>
      <c r="KZ71" s="23">
        <v>106</v>
      </c>
      <c r="LA71" s="23">
        <v>298</v>
      </c>
      <c r="LB71" s="23">
        <v>28</v>
      </c>
      <c r="LC71" s="23">
        <v>614</v>
      </c>
      <c r="LD71" s="23">
        <v>758</v>
      </c>
      <c r="LE71" s="23">
        <v>257</v>
      </c>
      <c r="LF71" s="23">
        <v>75</v>
      </c>
      <c r="LG71" s="23">
        <v>254</v>
      </c>
      <c r="LH71" s="23">
        <v>2221</v>
      </c>
      <c r="LI71" s="23">
        <v>16</v>
      </c>
      <c r="LJ71" s="23">
        <v>425</v>
      </c>
      <c r="LK71" s="23">
        <v>26</v>
      </c>
      <c r="LL71" s="23">
        <v>49</v>
      </c>
      <c r="LM71" s="23">
        <v>28</v>
      </c>
      <c r="LN71" s="278">
        <f ca="1">$A71 - TST!Sweden100dt + 1</f>
        <v>17</v>
      </c>
      <c r="LO71" s="20">
        <f ca="1">INDEX(OFFSET(TST!HeadRow,ROW()-ROW(TST!HeadRow),0,1,COLUMNS(TST!HeadRow)),1,MATCH(LO$5,TST!HeadRow,0))/LO$8</f>
        <v>2000.0000000000002</v>
      </c>
      <c r="LP71" s="278">
        <f ca="1">$A71 - TST!Spain100dt + 1</f>
        <v>17</v>
      </c>
      <c r="LQ71" s="20">
        <f ca="1">INDEX(OFFSET(TST!HeadRow,ROW()-ROW(TST!HeadRow),0,1,COLUMNS(TST!HeadRow)),1,MATCH(LQ$5,TST!HeadRow,0))/LQ$8</f>
        <v>7485.3003834682577</v>
      </c>
      <c r="LR71" s="285">
        <f ca="1">$A71 - TST!Victoria100dt + 1</f>
        <v>8</v>
      </c>
      <c r="LS71" s="20">
        <f ca="1">INDEX(OFFSET(TST!HeadRow,ROW()-ROW(TST!HeadRow),0,1,COLUMNS(TST!HeadRow)),1,MATCH(LS$5,TST!HeadRow,0))/LS$8</f>
        <v>535.52572031980685</v>
      </c>
      <c r="LT71" s="278">
        <f ca="1">$A71 - TST!Iran100dt + 1</f>
        <v>23</v>
      </c>
      <c r="LU71" s="20">
        <f ca="1">INDEX(OFFSET(TST!HeadRow,ROW()-ROW(TST!HeadRow),0,1,COLUMNS(TST!HeadRow)),1,MATCH(LU$5,TST!HeadRow,0))/LU$8</f>
        <v>2751.3638045671041</v>
      </c>
      <c r="LV71" s="278">
        <f ca="1">$A71 - TST!Japan100dt + 1</f>
        <v>-1</v>
      </c>
      <c r="LW71" s="20">
        <f ca="1">INDEX(OFFSET(TST!HeadRow,ROW()-ROW(TST!HeadRow),0,1,COLUMNS(TST!HeadRow)),1,MATCH(LW$5,TST!HeadRow,0))/LW$8</f>
        <v>89.131769096598077</v>
      </c>
      <c r="LX71" s="278">
        <f ca="1">$A71 - TST!Queensland100dt + 1</f>
        <v>9</v>
      </c>
      <c r="LY71" s="20">
        <f ca="1">INDEX(OFFSET(TST!HeadRow,ROW()-ROW(TST!HeadRow),0,1,COLUMNS(TST!HeadRow)),1,MATCH(LY$5,TST!HeadRow,0))/LY$8</f>
        <v>623.6009298104899</v>
      </c>
      <c r="LZ71" s="278">
        <f ca="1">$A71 - TST!Tasmania100dt + 1</f>
        <v>9</v>
      </c>
      <c r="MA71" s="20">
        <f ca="1">INDEX(OFFSET(TST!HeadRow,ROW()-ROW(TST!HeadRow),0,1,COLUMNS(TST!HeadRow)),1,MATCH(MA$5,TST!HeadRow,0))/MA$8</f>
        <v>543.68932038834953</v>
      </c>
      <c r="MB71" s="278">
        <f ca="1">$A71 - TST!SouthAustralia100dt + 1</f>
        <v>10</v>
      </c>
      <c r="MC71" s="20">
        <f ca="1">INDEX(OFFSET(TST!HeadRow,ROW()-ROW(TST!HeadRow),0,1,COLUMNS(TST!HeadRow)),1,MATCH(MC$5,TST!HeadRow,0))/MC$8</f>
        <v>802.39520958083824</v>
      </c>
      <c r="MD71" s="278">
        <f ca="1">$A71 - TST!AustralianCapitalTerritory100dt + 1</f>
        <v>4</v>
      </c>
      <c r="ME71" s="20">
        <f ca="1">INDEX(OFFSET(TST!HeadRow,ROW()-ROW(TST!HeadRow),0,1,COLUMNS(TST!HeadRow)),1,MATCH(ME$5,TST!HeadRow,0))/ME$8</f>
        <v>747.55875344577873</v>
      </c>
      <c r="MF71" s="278">
        <f ca="1">$A71 - TST!NorthernTerritory100dt + 1</f>
        <v>4</v>
      </c>
      <c r="MG71" s="20">
        <f ca="1">INDEX(OFFSET(TST!HeadRow,ROW()-ROW(TST!HeadRow),0,1,COLUMNS(TST!HeadRow)),1,MATCH(MG$5,TST!HeadRow,0))/MG$8</f>
        <v>235.91025973719596</v>
      </c>
      <c r="MH71" s="278">
        <f ca="1">$A71 - TST!WesternAustralia100dt + 1</f>
        <v>8</v>
      </c>
      <c r="MI71" s="20">
        <f ca="1">INDEX(OFFSET(TST!HeadRow,ROW()-ROW(TST!HeadRow),0,1,COLUMNS(TST!HeadRow)),1,MATCH(MI$5,TST!HeadRow,0))/MI$8</f>
        <v>540.74932406334483</v>
      </c>
      <c r="MJ71" s="278">
        <f ca="1">$A71 - TST!Germany100dt + 1</f>
        <v>16</v>
      </c>
      <c r="MK71" s="20">
        <f ca="1">INDEX(OFFSET(TST!HeadRow,ROW()-ROW(TST!HeadRow),0,1,COLUMNS(TST!HeadRow)),1,MATCH(MK$5,TST!HeadRow,0))/MK$8</f>
        <v>3499.8795470970854</v>
      </c>
      <c r="ML71" s="278">
        <f ca="1">$A71 - TST!Denmark100dt + 1</f>
        <v>15</v>
      </c>
      <c r="MM71" s="20">
        <f ca="1">INDEX(OFFSET(TST!HeadRow,ROW()-ROW(TST!HeadRow),0,1,COLUMNS(TST!HeadRow)),1,MATCH(MM$5,TST!HeadRow,0))/MM$8</f>
        <v>2497.4164657251117</v>
      </c>
      <c r="MN71" s="278">
        <f ca="1">$A71 - TST!SouthAfrica100dt + 1</f>
        <v>-1</v>
      </c>
      <c r="MO71" s="20">
        <f ca="1">INDEX(OFFSET(TST!HeadRow,ROW()-ROW(TST!HeadRow),0,1,COLUMNS(TST!HeadRow)),1,MATCH(MO$5,TST!HeadRow,0))/MO$8</f>
        <v>69.574247144340603</v>
      </c>
      <c r="MP71" s="278">
        <f ca="1">$A71 - TST!UnitedKingdom100dt + 1</f>
        <v>11</v>
      </c>
      <c r="MQ71" s="20">
        <f ca="1">INDEX(OFFSET(TST!HeadRow,ROW()-ROW(TST!HeadRow),0,1,COLUMNS(TST!HeadRow)),1,MATCH(MQ$5,TST!HeadRow,0))/MQ$8</f>
        <v>1000.9030704394943</v>
      </c>
      <c r="MR71" s="278">
        <f ca="1">$A71 - TST!Ireland100dt + 1</f>
        <v>11</v>
      </c>
      <c r="MS71" s="20">
        <f ca="1">INDEX(OFFSET(TST!HeadRow,ROW()-ROW(TST!HeadRow),0,1,COLUMNS(TST!HeadRow)),1,MATCH(MS$5,TST!HeadRow,0))/MS$8</f>
        <v>2295.9183673469388</v>
      </c>
      <c r="MT71" s="278">
        <f ca="1">$A71 - TST!Italy100dt + 1</f>
        <v>26</v>
      </c>
      <c r="MU71" s="20">
        <f ca="1">INDEX(OFFSET(TST!HeadRow,ROW()-ROW(TST!HeadRow),0,1,COLUMNS(TST!HeadRow)),1,MATCH(MU$5,TST!HeadRow,0))/MU$8</f>
        <v>10569.066710754732</v>
      </c>
      <c r="MV71" s="278">
        <f ca="1">$A71 - TST!US100dt + 1</f>
        <v>9</v>
      </c>
      <c r="MW71" s="20">
        <f ca="1">INDEX(OFFSET(TST!HeadRow,ROW()-ROW(TST!HeadRow),0,1,COLUMNS(TST!HeadRow)),1,MATCH(MW$5,TST!HeadRow,0))/MW$8</f>
        <v>1331.6921350851153</v>
      </c>
      <c r="MX71" s="278">
        <f ca="1">$A71 - TST!AustraliaSum100dt + 1</f>
        <v>9</v>
      </c>
      <c r="MY71" s="366">
        <f t="shared" si="8"/>
        <v>663.14461441413027</v>
      </c>
      <c r="MZ71" s="278">
        <f ca="1">$A71 - TST!NewSouthWales100dt + 1</f>
        <v>11</v>
      </c>
      <c r="NA71" s="366">
        <f ca="1">INDEX(OFFSET(TST!HeadRow,ROW()-ROW(TST!HeadRow),0,1,COLUMNS(TST!HeadRow)),1,MATCH(NA$5,TST!HeadRow,0))/NA$8</f>
        <v>827.97029702970292</v>
      </c>
      <c r="NB71" s="278">
        <f ca="1">$A71 - TST!Taiwan100dt + 1</f>
        <v>-2</v>
      </c>
      <c r="NC71" s="366">
        <f ca="1">INDEX(OFFSET(TST!HeadRow,ROW()-ROW(TST!HeadRow),0,1,COLUMNS(TST!HeadRow)),1,MATCH(NC$5,TST!HeadRow,0))/NC$8</f>
        <v>81.907712102540728</v>
      </c>
      <c r="ND71" s="20">
        <f ca="1">$A71 - TST!Hubei100dt + 1</f>
        <v>59</v>
      </c>
      <c r="NE71" s="20">
        <f ca="1">INDEX(OFFSET(TST!HeadRow,ROW()-ROW(TST!HeadRow),0,1,COLUMNS(TST!HeadRow)),1,MATCH(NE$5,TST!HeadRow,0))/NE$8</f>
        <v>11589.74358974359</v>
      </c>
      <c r="NF71" s="20">
        <f ca="1">$A71 - TST!HongKong100dt + 1</f>
        <v>29</v>
      </c>
      <c r="NG71" s="20">
        <f ca="1">INDEX(OFFSET(TST!HeadRow,ROW()-ROW(TST!HeadRow),0,1,COLUMNS(TST!HeadRow)),1,MATCH(NG$5,TST!HeadRow,0))/NG$8</f>
        <v>477.78821634679912</v>
      </c>
    </row>
    <row r="72" spans="1:371" x14ac:dyDescent="0.25">
      <c r="A72" s="243">
        <v>43914</v>
      </c>
      <c r="B72" s="23">
        <v>74</v>
      </c>
      <c r="C72" s="23">
        <v>123</v>
      </c>
      <c r="D72" s="23">
        <v>264</v>
      </c>
      <c r="E72" s="23">
        <v>164</v>
      </c>
      <c r="F72" s="23">
        <v>3</v>
      </c>
      <c r="G72" s="23">
        <v>3</v>
      </c>
      <c r="H72" s="23">
        <v>387</v>
      </c>
      <c r="I72" s="23">
        <v>249</v>
      </c>
      <c r="J72" s="23">
        <v>39</v>
      </c>
      <c r="K72" s="293">
        <v>818</v>
      </c>
      <c r="L72" s="23">
        <v>6</v>
      </c>
      <c r="M72" s="290">
        <v>397</v>
      </c>
      <c r="N72" s="23">
        <v>170</v>
      </c>
      <c r="O72" s="384">
        <v>28</v>
      </c>
      <c r="P72" s="287">
        <v>411</v>
      </c>
      <c r="Q72" s="23">
        <v>175</v>
      </c>
      <c r="R72" s="23">
        <v>5283</v>
      </c>
      <c r="S72" s="23">
        <v>87</v>
      </c>
      <c r="T72" s="23">
        <v>5</v>
      </c>
      <c r="U72" s="23">
        <v>392</v>
      </c>
      <c r="V72" s="23">
        <v>39</v>
      </c>
      <c r="W72" s="23">
        <v>18</v>
      </c>
      <c r="X72" s="23">
        <v>81</v>
      </c>
      <c r="Y72" s="23">
        <v>4269</v>
      </c>
      <c r="Z72" s="23">
        <v>6</v>
      </c>
      <c r="AA72" s="23">
        <v>2</v>
      </c>
      <c r="AB72" s="23">
        <v>29</v>
      </c>
      <c r="AC72" s="23">
        <v>166</v>
      </c>
      <c r="AD72" s="23">
        <v>2247</v>
      </c>
      <c r="AE72" s="23">
        <v>104</v>
      </c>
      <c r="AF72" s="23">
        <v>218</v>
      </c>
      <c r="AG72" s="23">
        <v>114</v>
      </c>
      <c r="AH72" s="23">
        <v>3</v>
      </c>
      <c r="AI72" s="23">
        <v>91</v>
      </c>
      <c r="AJ72" s="23">
        <v>66</v>
      </c>
      <c r="AK72" s="23">
        <v>359</v>
      </c>
      <c r="AL72" s="23">
        <v>617</v>
      </c>
      <c r="AM72" s="23">
        <v>13</v>
      </c>
      <c r="AN72" s="23">
        <v>21</v>
      </c>
      <c r="AO72" s="23">
        <v>18</v>
      </c>
      <c r="AP72" s="23">
        <v>35</v>
      </c>
      <c r="AQ72" s="23">
        <v>51</v>
      </c>
      <c r="AR72" s="23">
        <v>588</v>
      </c>
      <c r="AS72" s="23">
        <v>3</v>
      </c>
      <c r="AT72" s="23">
        <v>1013</v>
      </c>
      <c r="AU72" s="23">
        <v>72</v>
      </c>
      <c r="AV72" s="23">
        <v>3</v>
      </c>
      <c r="AW72" s="23">
        <v>3</v>
      </c>
      <c r="AX72" s="23">
        <v>922</v>
      </c>
      <c r="AY72" s="23">
        <v>990</v>
      </c>
      <c r="AZ72" s="23">
        <v>558</v>
      </c>
      <c r="BA72" s="23">
        <v>578</v>
      </c>
      <c r="BB72" s="23">
        <v>318</v>
      </c>
      <c r="BC72" s="23">
        <v>136</v>
      </c>
      <c r="BD72" s="23">
        <v>1428</v>
      </c>
      <c r="BE72" s="23">
        <v>254</v>
      </c>
      <c r="BF72" s="23">
        <v>146</v>
      </c>
      <c r="BG72" s="23">
        <v>168</v>
      </c>
      <c r="BH72" s="23">
        <v>319</v>
      </c>
      <c r="BI72" s="23">
        <v>484</v>
      </c>
      <c r="BJ72" s="23">
        <v>1274</v>
      </c>
      <c r="BK72" s="23">
        <v>386</v>
      </c>
      <c r="BL72" s="23">
        <v>67801</v>
      </c>
      <c r="BM72" s="23">
        <v>1018</v>
      </c>
      <c r="BN72" s="23">
        <v>75</v>
      </c>
      <c r="BO72" s="23">
        <v>636</v>
      </c>
      <c r="BP72" s="23">
        <v>936</v>
      </c>
      <c r="BQ72" s="23">
        <v>93</v>
      </c>
      <c r="BR72" s="23">
        <v>127</v>
      </c>
      <c r="BS72" s="23">
        <v>25</v>
      </c>
      <c r="BT72" s="23">
        <v>75</v>
      </c>
      <c r="BU72" s="23">
        <v>18</v>
      </c>
      <c r="BV72" s="23">
        <v>249</v>
      </c>
      <c r="BW72" s="23">
        <v>768</v>
      </c>
      <c r="BX72" s="23">
        <v>414</v>
      </c>
      <c r="BY72" s="23">
        <v>134</v>
      </c>
      <c r="BZ72" s="23">
        <v>545</v>
      </c>
      <c r="CA72" s="23">
        <v>145</v>
      </c>
      <c r="CB72" s="23">
        <v>1</v>
      </c>
      <c r="CC72" s="23">
        <v>76</v>
      </c>
      <c r="CD72" s="23">
        <v>176</v>
      </c>
      <c r="CE72" s="23">
        <v>1240</v>
      </c>
      <c r="CF72" s="23">
        <v>378</v>
      </c>
      <c r="CG72" s="23">
        <v>4</v>
      </c>
      <c r="CH72" s="23">
        <v>45</v>
      </c>
      <c r="CI72" s="23">
        <v>177</v>
      </c>
      <c r="CJ72" s="23">
        <v>73</v>
      </c>
      <c r="CK72" s="23">
        <v>382</v>
      </c>
      <c r="CL72" s="23">
        <v>712</v>
      </c>
      <c r="CM72" s="23">
        <v>48</v>
      </c>
      <c r="CN72" s="23">
        <v>124</v>
      </c>
      <c r="CO72" s="23">
        <v>1394</v>
      </c>
      <c r="CP72" s="23">
        <v>122</v>
      </c>
      <c r="CQ72" s="23">
        <v>5</v>
      </c>
      <c r="CR72" s="23">
        <v>1591</v>
      </c>
      <c r="CS72" s="23">
        <v>3</v>
      </c>
      <c r="CT72" s="23">
        <v>312</v>
      </c>
      <c r="CU72" s="23">
        <v>1082</v>
      </c>
      <c r="CV72" s="23">
        <v>402</v>
      </c>
      <c r="CW72" s="23">
        <v>5</v>
      </c>
      <c r="CX72" s="23">
        <v>9</v>
      </c>
      <c r="CY72" s="23">
        <v>1</v>
      </c>
      <c r="CZ72" s="23">
        <v>369</v>
      </c>
      <c r="DA72" s="23">
        <v>4</v>
      </c>
      <c r="DB72" s="23">
        <v>12</v>
      </c>
      <c r="DC72" s="23">
        <v>4</v>
      </c>
      <c r="DD72" s="23">
        <v>792</v>
      </c>
      <c r="DE72" s="23">
        <v>23</v>
      </c>
      <c r="DF72" s="23">
        <v>25</v>
      </c>
      <c r="DG72" s="23">
        <v>62</v>
      </c>
      <c r="DH72" s="23">
        <v>36</v>
      </c>
      <c r="DI72" s="23">
        <v>10</v>
      </c>
      <c r="DJ72" s="23">
        <v>94</v>
      </c>
      <c r="DK72" s="23">
        <v>3</v>
      </c>
      <c r="DL72" s="23">
        <v>8</v>
      </c>
      <c r="DM72" s="23">
        <v>57</v>
      </c>
      <c r="DN72" s="23">
        <v>22304</v>
      </c>
      <c r="DO72" s="23">
        <v>6</v>
      </c>
      <c r="DP72" s="23">
        <v>3</v>
      </c>
      <c r="DQ72" s="23">
        <v>70</v>
      </c>
      <c r="DR72" s="23">
        <v>32986</v>
      </c>
      <c r="DS72" s="23">
        <v>53</v>
      </c>
      <c r="DT72" s="23">
        <v>743</v>
      </c>
      <c r="DU72" s="23">
        <v>21</v>
      </c>
      <c r="DV72" s="23">
        <v>4</v>
      </c>
      <c r="DW72" s="23">
        <v>5</v>
      </c>
      <c r="DX72" s="23">
        <v>7</v>
      </c>
      <c r="DY72" s="23">
        <v>4</v>
      </c>
      <c r="DZ72" s="23">
        <v>30</v>
      </c>
      <c r="EA72" s="23">
        <v>187</v>
      </c>
      <c r="EB72" s="23">
        <v>648</v>
      </c>
      <c r="EC72" s="23">
        <v>536</v>
      </c>
      <c r="ED72" s="23">
        <v>686</v>
      </c>
      <c r="EE72" s="23">
        <v>24811</v>
      </c>
      <c r="EF72" s="23">
        <v>316</v>
      </c>
      <c r="EG72" s="23">
        <v>1329</v>
      </c>
      <c r="EH72" s="23">
        <v>1238</v>
      </c>
      <c r="EI72" s="23">
        <v>69176</v>
      </c>
      <c r="EJ72" s="23">
        <v>21</v>
      </c>
      <c r="EK72" s="23">
        <v>1193</v>
      </c>
      <c r="EL72" s="23">
        <v>154</v>
      </c>
      <c r="EM72" s="23">
        <v>72</v>
      </c>
      <c r="EN72" s="23">
        <v>25</v>
      </c>
      <c r="EO72" s="23">
        <v>9037</v>
      </c>
      <c r="EP72" s="23">
        <v>191</v>
      </c>
      <c r="EQ72" s="23">
        <v>42</v>
      </c>
      <c r="ER72" s="23">
        <v>197</v>
      </c>
      <c r="ES72" s="23">
        <v>318</v>
      </c>
      <c r="ET72" s="23">
        <v>3</v>
      </c>
      <c r="EU72" s="23">
        <v>51</v>
      </c>
      <c r="EV72" s="23">
        <v>209</v>
      </c>
      <c r="EW72" s="23">
        <v>1099</v>
      </c>
      <c r="EX72" s="23">
        <v>17</v>
      </c>
      <c r="EY72" s="23">
        <v>1624</v>
      </c>
      <c r="EZ72" s="23">
        <v>13</v>
      </c>
      <c r="FA72" s="23">
        <v>110</v>
      </c>
      <c r="FB72" s="23">
        <v>2</v>
      </c>
      <c r="FC72" s="23">
        <v>42</v>
      </c>
      <c r="FD72" s="23">
        <v>405</v>
      </c>
      <c r="FE72" s="23">
        <v>125</v>
      </c>
      <c r="FF72" s="23">
        <v>23</v>
      </c>
      <c r="FG72" s="23">
        <v>10</v>
      </c>
      <c r="FH72" s="23">
        <v>47</v>
      </c>
      <c r="FI72" s="23">
        <v>170</v>
      </c>
      <c r="FJ72" s="23">
        <v>7</v>
      </c>
      <c r="FK72" s="23">
        <v>2</v>
      </c>
      <c r="FL72" s="23">
        <v>12</v>
      </c>
      <c r="FM72" s="23">
        <v>6</v>
      </c>
      <c r="FN72" s="23">
        <v>2</v>
      </c>
      <c r="FO72" s="23">
        <v>5560</v>
      </c>
      <c r="FP72" s="23">
        <v>155</v>
      </c>
      <c r="FQ72" s="23">
        <v>2</v>
      </c>
      <c r="FR72" s="23">
        <v>3</v>
      </c>
      <c r="FS72" s="23">
        <v>44</v>
      </c>
      <c r="FT72" s="23">
        <v>148</v>
      </c>
      <c r="FU72" s="23">
        <v>2863</v>
      </c>
      <c r="FV72" s="23">
        <v>84</v>
      </c>
      <c r="FW72" s="23">
        <v>972</v>
      </c>
      <c r="FX72" s="23">
        <v>345</v>
      </c>
      <c r="FY72" s="23">
        <v>1</v>
      </c>
      <c r="FZ72" s="23">
        <v>27</v>
      </c>
      <c r="GA72" s="23">
        <v>416</v>
      </c>
      <c r="GB72" s="23">
        <v>552</v>
      </c>
      <c r="GC72" s="23">
        <v>901</v>
      </c>
      <c r="GD72" s="23">
        <v>2362</v>
      </c>
      <c r="GE72" s="23">
        <v>526</v>
      </c>
      <c r="GF72" s="23">
        <v>794</v>
      </c>
      <c r="GG72" s="23">
        <v>495</v>
      </c>
      <c r="GH72" s="23">
        <v>40</v>
      </c>
      <c r="GI72" s="23">
        <v>3</v>
      </c>
      <c r="GJ72" s="23">
        <v>1</v>
      </c>
      <c r="GK72" s="23">
        <v>187</v>
      </c>
      <c r="GL72" s="23">
        <v>767</v>
      </c>
      <c r="GM72" s="23">
        <v>86</v>
      </c>
      <c r="GN72" s="23">
        <v>303</v>
      </c>
      <c r="GO72" s="23">
        <v>7</v>
      </c>
      <c r="GP72" s="23">
        <v>558</v>
      </c>
      <c r="GQ72" s="23">
        <v>204</v>
      </c>
      <c r="GR72" s="23">
        <v>480</v>
      </c>
      <c r="GS72" s="23">
        <v>1</v>
      </c>
      <c r="GT72" s="23">
        <v>554</v>
      </c>
      <c r="GU72" s="23">
        <v>39885</v>
      </c>
      <c r="GV72" s="23">
        <v>102</v>
      </c>
      <c r="GW72" s="23">
        <v>3</v>
      </c>
      <c r="GX72" s="23">
        <v>7</v>
      </c>
      <c r="GY72" s="23">
        <v>2286</v>
      </c>
      <c r="GZ72" s="23">
        <v>9877</v>
      </c>
      <c r="HA72" s="23">
        <v>215</v>
      </c>
      <c r="HB72" s="23">
        <v>12</v>
      </c>
      <c r="HC72" s="23">
        <v>827</v>
      </c>
      <c r="HD72" s="23">
        <v>20</v>
      </c>
      <c r="HE72" s="23">
        <v>57</v>
      </c>
      <c r="HF72" s="23">
        <v>114</v>
      </c>
      <c r="HG72" s="23">
        <v>1872</v>
      </c>
      <c r="HH72" s="23">
        <v>9</v>
      </c>
      <c r="HI72" s="23">
        <v>97</v>
      </c>
      <c r="HJ72" s="23">
        <v>248</v>
      </c>
      <c r="HK72" s="23">
        <v>6</v>
      </c>
      <c r="HL72" s="23">
        <v>6</v>
      </c>
      <c r="HM72" s="23">
        <v>36</v>
      </c>
      <c r="HN72" s="23">
        <v>15</v>
      </c>
      <c r="HO72" s="23">
        <v>23</v>
      </c>
      <c r="HP72" s="23">
        <v>1</v>
      </c>
      <c r="HQ72" s="23">
        <v>8077</v>
      </c>
      <c r="HR72" s="23">
        <v>162</v>
      </c>
      <c r="HS72" s="23">
        <v>53736</v>
      </c>
      <c r="HT72" s="23">
        <v>50</v>
      </c>
      <c r="HU72" s="23">
        <v>84</v>
      </c>
      <c r="HV72" s="23">
        <v>134</v>
      </c>
      <c r="HW72" s="23">
        <v>3</v>
      </c>
      <c r="HX72" s="23">
        <v>3</v>
      </c>
      <c r="HY72" s="23">
        <v>0</v>
      </c>
      <c r="HZ72" s="23">
        <v>2</v>
      </c>
      <c r="IA72" s="23">
        <v>1</v>
      </c>
      <c r="IB72" s="23">
        <v>3</v>
      </c>
      <c r="IC72" s="23">
        <v>1</v>
      </c>
      <c r="ID72" s="23">
        <v>1</v>
      </c>
      <c r="IE72" s="23">
        <v>1</v>
      </c>
      <c r="IF72" s="23">
        <v>0</v>
      </c>
      <c r="IG72" s="23">
        <v>2</v>
      </c>
      <c r="IH72" s="23">
        <v>1</v>
      </c>
      <c r="II72" s="23">
        <v>59</v>
      </c>
      <c r="IJ72" s="23">
        <v>0</v>
      </c>
      <c r="IK72" s="23">
        <v>0</v>
      </c>
      <c r="IL72" s="23">
        <v>0</v>
      </c>
      <c r="IM72" s="23">
        <v>0</v>
      </c>
      <c r="IN72" s="23">
        <v>0</v>
      </c>
      <c r="IO72" s="23">
        <v>0</v>
      </c>
      <c r="IP72" s="23">
        <v>0</v>
      </c>
      <c r="IQ72" s="23">
        <v>0</v>
      </c>
      <c r="IR72" s="23">
        <v>0</v>
      </c>
      <c r="IS72" s="23">
        <v>0</v>
      </c>
      <c r="IT72" s="23">
        <v>0</v>
      </c>
      <c r="IU72" s="23">
        <v>0</v>
      </c>
      <c r="IV72" s="23">
        <v>0</v>
      </c>
      <c r="IW72" s="23">
        <v>0</v>
      </c>
      <c r="IX72" s="23">
        <v>0</v>
      </c>
      <c r="IY72" s="23">
        <v>0</v>
      </c>
      <c r="IZ72" s="23">
        <v>0</v>
      </c>
      <c r="JA72" s="23">
        <v>0</v>
      </c>
      <c r="JB72" s="23">
        <v>0</v>
      </c>
      <c r="JC72" s="23">
        <v>0</v>
      </c>
      <c r="JD72" s="23">
        <v>0</v>
      </c>
      <c r="JE72" s="23">
        <v>0</v>
      </c>
      <c r="JF72" s="23">
        <v>0</v>
      </c>
      <c r="JG72" s="23">
        <v>0</v>
      </c>
      <c r="JH72" s="23">
        <v>0</v>
      </c>
      <c r="JI72" s="23">
        <v>32</v>
      </c>
      <c r="JJ72" s="23">
        <v>0</v>
      </c>
      <c r="JK72" s="23">
        <v>39</v>
      </c>
      <c r="JL72" s="23">
        <v>17</v>
      </c>
      <c r="JM72" s="23">
        <v>242</v>
      </c>
      <c r="JN72" s="23">
        <v>34</v>
      </c>
      <c r="JO72" s="23">
        <v>326</v>
      </c>
      <c r="JP72" s="23">
        <v>219</v>
      </c>
      <c r="JQ72" s="23">
        <v>2538</v>
      </c>
      <c r="JR72" s="23">
        <v>723</v>
      </c>
      <c r="JS72" s="23">
        <v>618</v>
      </c>
      <c r="JT72" s="23">
        <v>104</v>
      </c>
      <c r="JU72" s="23">
        <v>141</v>
      </c>
      <c r="JV72" s="23">
        <v>1412</v>
      </c>
      <c r="JW72" s="23">
        <v>1026</v>
      </c>
      <c r="JX72" s="23">
        <v>90</v>
      </c>
      <c r="JY72" s="23">
        <v>81</v>
      </c>
      <c r="JZ72" s="23">
        <v>1537</v>
      </c>
      <c r="KA72" s="23">
        <v>368</v>
      </c>
      <c r="KB72" s="23">
        <v>124</v>
      </c>
      <c r="KC72" s="23">
        <v>100</v>
      </c>
      <c r="KD72" s="23">
        <v>162</v>
      </c>
      <c r="KE72" s="23">
        <v>1388</v>
      </c>
      <c r="KF72" s="23">
        <v>118</v>
      </c>
      <c r="KG72" s="23">
        <v>349</v>
      </c>
      <c r="KH72" s="23">
        <v>1159</v>
      </c>
      <c r="KI72" s="23">
        <v>1793</v>
      </c>
      <c r="KJ72" s="23">
        <v>261</v>
      </c>
      <c r="KK72" s="23">
        <v>320</v>
      </c>
      <c r="KL72" s="23">
        <v>257</v>
      </c>
      <c r="KM72" s="23">
        <v>51</v>
      </c>
      <c r="KN72" s="23">
        <v>66</v>
      </c>
      <c r="KO72" s="23">
        <v>278</v>
      </c>
      <c r="KP72" s="23">
        <v>101</v>
      </c>
      <c r="KQ72" s="23">
        <v>3675</v>
      </c>
      <c r="KR72" s="23">
        <v>100</v>
      </c>
      <c r="KS72" s="23">
        <v>25681</v>
      </c>
      <c r="KT72" s="23">
        <v>495</v>
      </c>
      <c r="KU72" s="23">
        <v>36</v>
      </c>
      <c r="KV72" s="23">
        <v>567</v>
      </c>
      <c r="KW72" s="23">
        <v>106</v>
      </c>
      <c r="KX72" s="23">
        <v>210</v>
      </c>
      <c r="KY72" s="23">
        <v>946</v>
      </c>
      <c r="KZ72" s="23">
        <v>124</v>
      </c>
      <c r="LA72" s="23">
        <v>342</v>
      </c>
      <c r="LB72" s="23">
        <v>30</v>
      </c>
      <c r="LC72" s="23">
        <v>772</v>
      </c>
      <c r="LD72" s="23">
        <v>955</v>
      </c>
      <c r="LE72" s="23">
        <v>298</v>
      </c>
      <c r="LF72" s="23">
        <v>95</v>
      </c>
      <c r="LG72" s="23">
        <v>293</v>
      </c>
      <c r="LH72" s="23">
        <v>2328</v>
      </c>
      <c r="LI72" s="23">
        <v>22</v>
      </c>
      <c r="LJ72" s="23">
        <v>481</v>
      </c>
      <c r="LK72" s="23">
        <v>29</v>
      </c>
      <c r="LL72" s="23">
        <v>49</v>
      </c>
      <c r="LM72" s="23">
        <v>28</v>
      </c>
      <c r="LN72" s="278">
        <f ca="1">$A72 - TST!Sweden100dt + 1</f>
        <v>18</v>
      </c>
      <c r="LO72" s="20">
        <f ca="1">INDEX(OFFSET(TST!HeadRow,ROW()-ROW(TST!HeadRow),0,1,COLUMNS(TST!HeadRow)),1,MATCH(LO$5,TST!HeadRow,0))/LO$8</f>
        <v>2234.6041055718479</v>
      </c>
      <c r="LP72" s="278">
        <f ca="1">$A72 - TST!Spain100dt + 1</f>
        <v>18</v>
      </c>
      <c r="LQ72" s="20">
        <f ca="1">INDEX(OFFSET(TST!HeadRow,ROW()-ROW(TST!HeadRow),0,1,COLUMNS(TST!HeadRow)),1,MATCH(LQ$5,TST!HeadRow,0))/LQ$8</f>
        <v>8497.0174691095017</v>
      </c>
      <c r="LR72" s="285">
        <f ca="1">$A72 - TST!Victoria100dt + 1</f>
        <v>9</v>
      </c>
      <c r="LS72" s="20">
        <f ca="1">INDEX(OFFSET(TST!HeadRow,ROW()-ROW(TST!HeadRow),0,1,COLUMNS(TST!HeadRow)),1,MATCH(LS$5,TST!HeadRow,0))/LS$8</f>
        <v>620.00301704631158</v>
      </c>
      <c r="LT72" s="278">
        <f ca="1">$A72 - TST!Iran100dt + 1</f>
        <v>24</v>
      </c>
      <c r="LU72" s="20">
        <f ca="1">INDEX(OFFSET(TST!HeadRow,ROW()-ROW(TST!HeadRow),0,1,COLUMNS(TST!HeadRow)),1,MATCH(LU$5,TST!HeadRow,0))/LU$8</f>
        <v>2961.6941019182791</v>
      </c>
      <c r="LV72" s="278">
        <f ca="1">$A72 - TST!Japan100dt + 1</f>
        <v>0</v>
      </c>
      <c r="LW72" s="20">
        <f ca="1">INDEX(OFFSET(TST!HeadRow,ROW()-ROW(TST!HeadRow),0,1,COLUMNS(TST!HeadRow)),1,MATCH(LW$5,TST!HeadRow,0))/LW$8</f>
        <v>94.267908273263757</v>
      </c>
      <c r="LX72" s="278">
        <f ca="1">$A72 - TST!Queensland100dt + 1</f>
        <v>10</v>
      </c>
      <c r="LY72" s="20">
        <f ca="1">INDEX(OFFSET(TST!HeadRow,ROW()-ROW(TST!HeadRow),0,1,COLUMNS(TST!HeadRow)),1,MATCH(LY$5,TST!HeadRow,0))/LY$8</f>
        <v>776.0801540274748</v>
      </c>
      <c r="LZ72" s="278">
        <f ca="1">$A72 - TST!Tasmania100dt + 1</f>
        <v>10</v>
      </c>
      <c r="MA72" s="20">
        <f ca="1">INDEX(OFFSET(TST!HeadRow,ROW()-ROW(TST!HeadRow),0,1,COLUMNS(TST!HeadRow)),1,MATCH(MA$5,TST!HeadRow,0))/MA$8</f>
        <v>543.68932038834953</v>
      </c>
      <c r="MB72" s="278">
        <f ca="1">$A72 - TST!SouthAustralia100dt + 1</f>
        <v>11</v>
      </c>
      <c r="MC72" s="20">
        <f ca="1">INDEX(OFFSET(TST!HeadRow,ROW()-ROW(TST!HeadRow),0,1,COLUMNS(TST!HeadRow)),1,MATCH(MC$5,TST!HeadRow,0))/MC$8</f>
        <v>1017.9640718562873</v>
      </c>
      <c r="MD72" s="278">
        <f ca="1">$A72 - TST!AustralianCapitalTerritory100dt + 1</f>
        <v>5</v>
      </c>
      <c r="ME72" s="20">
        <f ca="1">INDEX(OFFSET(TST!HeadRow,ROW()-ROW(TST!HeadRow),0,1,COLUMNS(TST!HeadRow)),1,MATCH(ME$5,TST!HeadRow,0))/ME$8</f>
        <v>911.08723076204274</v>
      </c>
      <c r="MF72" s="278">
        <f ca="1">$A72 - TST!NorthernTerritory100dt + 1</f>
        <v>5</v>
      </c>
      <c r="MG72" s="20">
        <f ca="1">INDEX(OFFSET(TST!HeadRow,ROW()-ROW(TST!HeadRow),0,1,COLUMNS(TST!HeadRow)),1,MATCH(MG$5,TST!HeadRow,0))/MG$8</f>
        <v>283.09231168463515</v>
      </c>
      <c r="MH72" s="278">
        <f ca="1">$A72 - TST!WesternAustralia100dt + 1</f>
        <v>9</v>
      </c>
      <c r="MI72" s="20">
        <f ca="1">INDEX(OFFSET(TST!HeadRow,ROW()-ROW(TST!HeadRow),0,1,COLUMNS(TST!HeadRow)),1,MATCH(MI$5,TST!HeadRow,0))/MI$8</f>
        <v>675.93665507918115</v>
      </c>
      <c r="MJ72" s="278">
        <f ca="1">$A72 - TST!Germany100dt + 1</f>
        <v>17</v>
      </c>
      <c r="MK72" s="20">
        <f ca="1">INDEX(OFFSET(TST!HeadRow,ROW()-ROW(TST!HeadRow),0,1,COLUMNS(TST!HeadRow)),1,MATCH(MK$5,TST!HeadRow,0))/MK$8</f>
        <v>3973.259455552879</v>
      </c>
      <c r="ML72" s="278">
        <f ca="1">$A72 - TST!Denmark100dt + 1</f>
        <v>16</v>
      </c>
      <c r="MM72" s="20">
        <f ca="1">INDEX(OFFSET(TST!HeadRow,ROW()-ROW(TST!HeadRow),0,1,COLUMNS(TST!HeadRow)),1,MATCH(MM$5,TST!HeadRow,0))/MM$8</f>
        <v>2740.2686875645882</v>
      </c>
      <c r="MN72" s="278">
        <f ca="1">$A72 - TST!SouthAfrica100dt + 1</f>
        <v>0</v>
      </c>
      <c r="MO72" s="20">
        <f ca="1">INDEX(OFFSET(TST!HeadRow,ROW()-ROW(TST!HeadRow),0,1,COLUMNS(TST!HeadRow)),1,MATCH(MO$5,TST!HeadRow,0))/MO$8</f>
        <v>95.8809276566286</v>
      </c>
      <c r="MP72" s="278">
        <f ca="1">$A72 - TST!UnitedKingdom100dt + 1</f>
        <v>12</v>
      </c>
      <c r="MQ72" s="20">
        <f ca="1">INDEX(OFFSET(TST!HeadRow,ROW()-ROW(TST!HeadRow),0,1,COLUMNS(TST!HeadRow)),1,MATCH(MQ$5,TST!HeadRow,0))/MQ$8</f>
        <v>1215.6833232992174</v>
      </c>
      <c r="MR72" s="278">
        <f ca="1">$A72 - TST!Ireland100dt + 1</f>
        <v>12</v>
      </c>
      <c r="MS72" s="20">
        <f ca="1">INDEX(OFFSET(TST!HeadRow,ROW()-ROW(TST!HeadRow),0,1,COLUMNS(TST!HeadRow)),1,MATCH(MS$5,TST!HeadRow,0))/MS$8</f>
        <v>2712.2448979591836</v>
      </c>
      <c r="MT72" s="278">
        <f ca="1">$A72 - TST!Italy100dt + 1</f>
        <v>27</v>
      </c>
      <c r="MU72" s="20">
        <f ca="1">INDEX(OFFSET(TST!HeadRow,ROW()-ROW(TST!HeadRow),0,1,COLUMNS(TST!HeadRow)),1,MATCH(MU$5,TST!HeadRow,0))/MU$8</f>
        <v>11436.885178143342</v>
      </c>
      <c r="MV72" s="278">
        <f ca="1">$A72 - TST!US100dt + 1</f>
        <v>10</v>
      </c>
      <c r="MW72" s="20">
        <f ca="1">INDEX(OFFSET(TST!HeadRow,ROW()-ROW(TST!HeadRow),0,1,COLUMNS(TST!HeadRow)),1,MATCH(MW$5,TST!HeadRow,0))/MW$8</f>
        <v>1632.1832121646273</v>
      </c>
      <c r="MX72" s="278">
        <f ca="1">$A72 - TST!AustraliaSum100dt + 1</f>
        <v>10</v>
      </c>
      <c r="MY72" s="366">
        <f t="shared" si="8"/>
        <v>805.86658255795612</v>
      </c>
      <c r="MZ72" s="278">
        <f ca="1">$A72 - TST!NewSouthWales100dt + 1</f>
        <v>12</v>
      </c>
      <c r="NA72" s="366">
        <f ca="1">INDEX(OFFSET(TST!HeadRow,ROW()-ROW(TST!HeadRow),0,1,COLUMNS(TST!HeadRow)),1,MATCH(NA$5,TST!HeadRow,0))/NA$8</f>
        <v>1012.3762376237623</v>
      </c>
      <c r="NB72" s="278">
        <f ca="1">$A72 - TST!Taiwan100dt + 1</f>
        <v>-1</v>
      </c>
      <c r="NC72" s="366">
        <f ca="1">INDEX(OFFSET(TST!HeadRow,ROW()-ROW(TST!HeadRow),0,1,COLUMNS(TST!HeadRow)),1,MATCH(NC$5,TST!HeadRow,0))/NC$8</f>
        <v>90.308503087416696</v>
      </c>
      <c r="ND72" s="20">
        <f ca="1">$A72 - TST!Hubei100dt + 1</f>
        <v>60</v>
      </c>
      <c r="NE72" s="20">
        <f ca="1">INDEX(OFFSET(TST!HeadRow,ROW()-ROW(TST!HeadRow),0,1,COLUMNS(TST!HeadRow)),1,MATCH(NE$5,TST!HeadRow,0))/NE$8</f>
        <v>11589.914529914531</v>
      </c>
      <c r="NF72" s="20">
        <f ca="1">$A72 - TST!HongKong100dt + 1</f>
        <v>30</v>
      </c>
      <c r="NG72" s="20">
        <f ca="1">INDEX(OFFSET(TST!HeadRow,ROW()-ROW(TST!HeadRow),0,1,COLUMNS(TST!HeadRow)),1,MATCH(NG$5,TST!HeadRow,0))/NG$8</f>
        <v>518.05126828613606</v>
      </c>
    </row>
    <row r="73" spans="1:371" x14ac:dyDescent="0.25">
      <c r="A73" s="243">
        <v>43915</v>
      </c>
      <c r="B73" s="23">
        <v>84</v>
      </c>
      <c r="C73" s="23">
        <v>146</v>
      </c>
      <c r="D73" s="23">
        <v>302</v>
      </c>
      <c r="E73" s="23">
        <v>188</v>
      </c>
      <c r="F73" s="23">
        <v>3</v>
      </c>
      <c r="G73" s="23">
        <v>3</v>
      </c>
      <c r="H73" s="23">
        <v>387</v>
      </c>
      <c r="I73" s="23">
        <v>265</v>
      </c>
      <c r="J73" s="23">
        <v>39</v>
      </c>
      <c r="K73" s="293">
        <v>1029</v>
      </c>
      <c r="L73" s="23">
        <v>6</v>
      </c>
      <c r="M73" s="290">
        <v>443</v>
      </c>
      <c r="N73" s="23">
        <v>170</v>
      </c>
      <c r="O73" s="384">
        <v>36</v>
      </c>
      <c r="P73" s="287">
        <v>466</v>
      </c>
      <c r="Q73" s="23">
        <v>175</v>
      </c>
      <c r="R73" s="23">
        <v>5588</v>
      </c>
      <c r="S73" s="23">
        <v>93</v>
      </c>
      <c r="T73" s="23">
        <v>5</v>
      </c>
      <c r="U73" s="23">
        <v>419</v>
      </c>
      <c r="V73" s="23">
        <v>39</v>
      </c>
      <c r="W73" s="23">
        <v>18</v>
      </c>
      <c r="X73" s="23">
        <v>86</v>
      </c>
      <c r="Y73" s="23">
        <v>4937</v>
      </c>
      <c r="Z73" s="23">
        <v>6</v>
      </c>
      <c r="AA73" s="23">
        <v>2</v>
      </c>
      <c r="AB73" s="23">
        <v>32</v>
      </c>
      <c r="AC73" s="23">
        <v>176</v>
      </c>
      <c r="AD73" s="23">
        <v>2554</v>
      </c>
      <c r="AE73" s="23">
        <v>109</v>
      </c>
      <c r="AF73" s="23">
        <v>242</v>
      </c>
      <c r="AG73" s="23">
        <v>146</v>
      </c>
      <c r="AH73" s="23">
        <v>4</v>
      </c>
      <c r="AI73" s="23">
        <v>96</v>
      </c>
      <c r="AJ73" s="23">
        <v>75</v>
      </c>
      <c r="AK73" s="23">
        <v>358</v>
      </c>
      <c r="AL73" s="23">
        <v>617</v>
      </c>
      <c r="AM73" s="23">
        <v>13</v>
      </c>
      <c r="AN73" s="23">
        <v>35</v>
      </c>
      <c r="AO73" s="23">
        <v>18</v>
      </c>
      <c r="AP73" s="23">
        <v>35</v>
      </c>
      <c r="AQ73" s="23">
        <v>68</v>
      </c>
      <c r="AR73" s="23">
        <v>688</v>
      </c>
      <c r="AS73" s="23">
        <v>5</v>
      </c>
      <c r="AT73" s="23">
        <v>1342</v>
      </c>
      <c r="AU73" s="23">
        <v>72</v>
      </c>
      <c r="AV73" s="23">
        <v>3</v>
      </c>
      <c r="AW73" s="23">
        <v>3</v>
      </c>
      <c r="AX73" s="23">
        <v>1142</v>
      </c>
      <c r="AY73" s="23">
        <v>990</v>
      </c>
      <c r="AZ73" s="23">
        <v>561</v>
      </c>
      <c r="BA73" s="23">
        <v>578</v>
      </c>
      <c r="BB73" s="23">
        <v>322</v>
      </c>
      <c r="BC73" s="23">
        <v>136</v>
      </c>
      <c r="BD73" s="23">
        <v>1433</v>
      </c>
      <c r="BE73" s="23">
        <v>254</v>
      </c>
      <c r="BF73" s="23">
        <v>146</v>
      </c>
      <c r="BG73" s="23">
        <v>168</v>
      </c>
      <c r="BH73" s="23">
        <v>319</v>
      </c>
      <c r="BI73" s="23">
        <v>484</v>
      </c>
      <c r="BJ73" s="23">
        <v>1274</v>
      </c>
      <c r="BK73" s="23">
        <v>410</v>
      </c>
      <c r="BL73" s="23">
        <v>67801</v>
      </c>
      <c r="BM73" s="23">
        <v>1018</v>
      </c>
      <c r="BN73" s="23">
        <v>77</v>
      </c>
      <c r="BO73" s="23">
        <v>638</v>
      </c>
      <c r="BP73" s="23">
        <v>936</v>
      </c>
      <c r="BQ73" s="23">
        <v>94</v>
      </c>
      <c r="BR73" s="23">
        <v>127</v>
      </c>
      <c r="BS73" s="23">
        <v>30</v>
      </c>
      <c r="BT73" s="23">
        <v>75</v>
      </c>
      <c r="BU73" s="23">
        <v>18</v>
      </c>
      <c r="BV73" s="23">
        <v>250</v>
      </c>
      <c r="BW73" s="23">
        <v>769</v>
      </c>
      <c r="BX73" s="23">
        <v>433</v>
      </c>
      <c r="BY73" s="23">
        <v>134</v>
      </c>
      <c r="BZ73" s="23">
        <v>547</v>
      </c>
      <c r="CA73" s="23">
        <v>145</v>
      </c>
      <c r="CB73" s="23">
        <v>1</v>
      </c>
      <c r="CC73" s="23">
        <v>76</v>
      </c>
      <c r="CD73" s="23">
        <v>176</v>
      </c>
      <c r="CE73" s="23">
        <v>1241</v>
      </c>
      <c r="CF73" s="23">
        <v>470</v>
      </c>
      <c r="CG73" s="23">
        <v>4</v>
      </c>
      <c r="CH73" s="23">
        <v>48</v>
      </c>
      <c r="CI73" s="23">
        <v>201</v>
      </c>
      <c r="CJ73" s="23">
        <v>80</v>
      </c>
      <c r="CK73" s="23">
        <v>442</v>
      </c>
      <c r="CL73" s="23">
        <v>712</v>
      </c>
      <c r="CM73" s="23">
        <v>57</v>
      </c>
      <c r="CN73" s="23">
        <v>132</v>
      </c>
      <c r="CO73" s="23">
        <v>1654</v>
      </c>
      <c r="CP73" s="23">
        <v>132</v>
      </c>
      <c r="CQ73" s="23">
        <v>6</v>
      </c>
      <c r="CR73" s="23">
        <v>1724</v>
      </c>
      <c r="CS73" s="23">
        <v>11</v>
      </c>
      <c r="CT73" s="23">
        <v>392</v>
      </c>
      <c r="CU73" s="23">
        <v>1173</v>
      </c>
      <c r="CV73" s="23">
        <v>456</v>
      </c>
      <c r="CW73" s="23">
        <v>9</v>
      </c>
      <c r="CX73" s="23">
        <v>9</v>
      </c>
      <c r="CY73" s="23">
        <v>4</v>
      </c>
      <c r="CZ73" s="23">
        <v>404</v>
      </c>
      <c r="DA73" s="23">
        <v>4</v>
      </c>
      <c r="DB73" s="23">
        <v>12</v>
      </c>
      <c r="DC73" s="23">
        <v>5</v>
      </c>
      <c r="DD73" s="23">
        <v>880</v>
      </c>
      <c r="DE73" s="23">
        <v>28</v>
      </c>
      <c r="DF73" s="23">
        <v>25</v>
      </c>
      <c r="DG73" s="23">
        <v>73</v>
      </c>
      <c r="DH73" s="23">
        <v>36</v>
      </c>
      <c r="DI73" s="23">
        <v>14</v>
      </c>
      <c r="DJ73" s="23">
        <v>111</v>
      </c>
      <c r="DK73" s="23">
        <v>3</v>
      </c>
      <c r="DL73" s="23">
        <v>11</v>
      </c>
      <c r="DM73" s="23">
        <v>66</v>
      </c>
      <c r="DN73" s="23">
        <v>25233</v>
      </c>
      <c r="DO73" s="23">
        <v>6</v>
      </c>
      <c r="DP73" s="23">
        <v>3</v>
      </c>
      <c r="DQ73" s="23">
        <v>75</v>
      </c>
      <c r="DR73" s="23">
        <v>37323</v>
      </c>
      <c r="DS73" s="23">
        <v>93</v>
      </c>
      <c r="DT73" s="23">
        <v>821</v>
      </c>
      <c r="DU73" s="23">
        <v>24</v>
      </c>
      <c r="DV73" s="23">
        <v>4</v>
      </c>
      <c r="DW73" s="23">
        <v>5</v>
      </c>
      <c r="DX73" s="23">
        <v>8</v>
      </c>
      <c r="DY73" s="23">
        <v>4</v>
      </c>
      <c r="DZ73" s="23">
        <v>36</v>
      </c>
      <c r="EA73" s="23">
        <v>226</v>
      </c>
      <c r="EB73" s="23">
        <v>737</v>
      </c>
      <c r="EC73" s="23">
        <v>657</v>
      </c>
      <c r="ED73" s="23">
        <v>790</v>
      </c>
      <c r="EE73" s="23">
        <v>27017</v>
      </c>
      <c r="EF73" s="23">
        <v>346</v>
      </c>
      <c r="EG73" s="23">
        <v>1564</v>
      </c>
      <c r="EH73" s="23">
        <v>2369</v>
      </c>
      <c r="EI73" s="23">
        <v>74386</v>
      </c>
      <c r="EJ73" s="23">
        <v>26</v>
      </c>
      <c r="EK73" s="23">
        <v>1307</v>
      </c>
      <c r="EL73" s="23">
        <v>172</v>
      </c>
      <c r="EM73" s="23">
        <v>81</v>
      </c>
      <c r="EN73" s="23">
        <v>28</v>
      </c>
      <c r="EO73" s="23">
        <v>9137</v>
      </c>
      <c r="EP73" s="23">
        <v>195</v>
      </c>
      <c r="EQ73" s="23">
        <v>44</v>
      </c>
      <c r="ER73" s="23">
        <v>221</v>
      </c>
      <c r="ES73" s="23">
        <v>333</v>
      </c>
      <c r="ET73" s="23">
        <v>3</v>
      </c>
      <c r="EU73" s="23">
        <v>51</v>
      </c>
      <c r="EV73" s="23">
        <v>274</v>
      </c>
      <c r="EW73" s="23">
        <v>1333</v>
      </c>
      <c r="EX73" s="23">
        <v>19</v>
      </c>
      <c r="EY73" s="23">
        <v>1796</v>
      </c>
      <c r="EZ73" s="23">
        <v>13</v>
      </c>
      <c r="FA73" s="23">
        <v>129</v>
      </c>
      <c r="FB73" s="23">
        <v>2</v>
      </c>
      <c r="FC73" s="23">
        <v>48</v>
      </c>
      <c r="FD73" s="23">
        <v>475</v>
      </c>
      <c r="FE73" s="23">
        <v>149</v>
      </c>
      <c r="FF73" s="23">
        <v>31</v>
      </c>
      <c r="FG73" s="23">
        <v>10</v>
      </c>
      <c r="FH73" s="23">
        <v>52</v>
      </c>
      <c r="FI73" s="23">
        <v>225</v>
      </c>
      <c r="FJ73" s="23">
        <v>7</v>
      </c>
      <c r="FK73" s="23">
        <v>3</v>
      </c>
      <c r="FL73" s="23">
        <v>17</v>
      </c>
      <c r="FM73" s="23">
        <v>6</v>
      </c>
      <c r="FN73" s="23">
        <v>3</v>
      </c>
      <c r="FO73" s="23">
        <v>6412</v>
      </c>
      <c r="FP73" s="23">
        <v>205</v>
      </c>
      <c r="FQ73" s="23">
        <v>2</v>
      </c>
      <c r="FR73" s="23">
        <v>7</v>
      </c>
      <c r="FS73" s="23">
        <v>51</v>
      </c>
      <c r="FT73" s="23">
        <v>177</v>
      </c>
      <c r="FU73" s="23">
        <v>3084</v>
      </c>
      <c r="FV73" s="23">
        <v>99</v>
      </c>
      <c r="FW73" s="23">
        <v>1063</v>
      </c>
      <c r="FX73" s="23">
        <v>443</v>
      </c>
      <c r="FY73" s="23">
        <v>1</v>
      </c>
      <c r="FZ73" s="23">
        <v>37</v>
      </c>
      <c r="GA73" s="23">
        <v>480</v>
      </c>
      <c r="GB73" s="23">
        <v>636</v>
      </c>
      <c r="GC73" s="23">
        <v>1051</v>
      </c>
      <c r="GD73" s="23">
        <v>2995</v>
      </c>
      <c r="GE73" s="23">
        <v>537</v>
      </c>
      <c r="GF73" s="23">
        <v>906</v>
      </c>
      <c r="GG73" s="23">
        <v>658</v>
      </c>
      <c r="GH73" s="23">
        <v>41</v>
      </c>
      <c r="GI73" s="23">
        <v>3</v>
      </c>
      <c r="GJ73" s="23">
        <v>1</v>
      </c>
      <c r="GK73" s="23">
        <v>208</v>
      </c>
      <c r="GL73" s="23">
        <v>900</v>
      </c>
      <c r="GM73" s="23">
        <v>99</v>
      </c>
      <c r="GN73" s="23">
        <v>384</v>
      </c>
      <c r="GO73" s="23">
        <v>7</v>
      </c>
      <c r="GP73" s="23">
        <v>631</v>
      </c>
      <c r="GQ73" s="23">
        <v>216</v>
      </c>
      <c r="GR73" s="23">
        <v>528</v>
      </c>
      <c r="GS73" s="23">
        <v>1</v>
      </c>
      <c r="GT73" s="23">
        <v>709</v>
      </c>
      <c r="GU73" s="23">
        <v>49515</v>
      </c>
      <c r="GV73" s="23">
        <v>102</v>
      </c>
      <c r="GW73" s="23">
        <v>3</v>
      </c>
      <c r="GX73" s="23">
        <v>8</v>
      </c>
      <c r="GY73" s="23">
        <v>2526</v>
      </c>
      <c r="GZ73" s="23">
        <v>10897</v>
      </c>
      <c r="HA73" s="23">
        <v>235</v>
      </c>
      <c r="HB73" s="23">
        <v>12</v>
      </c>
      <c r="HC73" s="23">
        <v>934</v>
      </c>
      <c r="HD73" s="23">
        <v>23</v>
      </c>
      <c r="HE73" s="23">
        <v>60</v>
      </c>
      <c r="HF73" s="23">
        <v>173</v>
      </c>
      <c r="HG73" s="23">
        <v>2433</v>
      </c>
      <c r="HH73" s="23">
        <v>14</v>
      </c>
      <c r="HI73" s="23">
        <v>145</v>
      </c>
      <c r="HJ73" s="23">
        <v>333</v>
      </c>
      <c r="HK73" s="23">
        <v>7</v>
      </c>
      <c r="HL73" s="23">
        <v>8</v>
      </c>
      <c r="HM73" s="23">
        <v>46</v>
      </c>
      <c r="HN73" s="23">
        <v>26</v>
      </c>
      <c r="HO73" s="23">
        <v>23</v>
      </c>
      <c r="HP73" s="23">
        <v>1</v>
      </c>
      <c r="HQ73" s="23">
        <v>9529</v>
      </c>
      <c r="HR73" s="23">
        <v>189</v>
      </c>
      <c r="HS73" s="23">
        <v>65778</v>
      </c>
      <c r="HT73" s="23">
        <v>60</v>
      </c>
      <c r="HU73" s="23">
        <v>91</v>
      </c>
      <c r="HV73" s="23">
        <v>141</v>
      </c>
      <c r="HW73" s="23">
        <v>12</v>
      </c>
      <c r="HX73" s="23">
        <v>3</v>
      </c>
      <c r="HY73" s="23">
        <v>0</v>
      </c>
      <c r="HZ73" s="23">
        <v>7</v>
      </c>
      <c r="IA73" s="23">
        <v>1</v>
      </c>
      <c r="IB73" s="23">
        <v>5</v>
      </c>
      <c r="IC73" s="23">
        <v>5</v>
      </c>
      <c r="ID73" s="23">
        <v>1</v>
      </c>
      <c r="IE73" s="23">
        <v>2</v>
      </c>
      <c r="IF73" s="23">
        <v>0</v>
      </c>
      <c r="IG73" s="23">
        <v>3</v>
      </c>
      <c r="IH73" s="23">
        <v>1</v>
      </c>
      <c r="II73" s="23">
        <v>59</v>
      </c>
      <c r="IJ73" s="23">
        <v>2</v>
      </c>
      <c r="IK73" s="23">
        <v>2</v>
      </c>
      <c r="IL73" s="23">
        <v>2</v>
      </c>
      <c r="IM73" s="23">
        <v>0</v>
      </c>
      <c r="IN73" s="23">
        <v>0</v>
      </c>
      <c r="IO73" s="23">
        <v>0</v>
      </c>
      <c r="IP73" s="23">
        <v>0</v>
      </c>
      <c r="IQ73" s="23">
        <v>0</v>
      </c>
      <c r="IR73" s="23">
        <v>0</v>
      </c>
      <c r="IS73" s="23">
        <v>0</v>
      </c>
      <c r="IT73" s="23">
        <v>0</v>
      </c>
      <c r="IU73" s="23">
        <v>0</v>
      </c>
      <c r="IV73" s="23">
        <v>0</v>
      </c>
      <c r="IW73" s="23">
        <v>0</v>
      </c>
      <c r="IX73" s="23">
        <v>0</v>
      </c>
      <c r="IY73" s="23">
        <v>0</v>
      </c>
      <c r="IZ73" s="23">
        <v>0</v>
      </c>
      <c r="JA73" s="23">
        <v>0</v>
      </c>
      <c r="JB73" s="23">
        <v>0</v>
      </c>
      <c r="JC73" s="23">
        <v>0</v>
      </c>
      <c r="JD73" s="23">
        <v>0</v>
      </c>
      <c r="JE73" s="23">
        <v>0</v>
      </c>
      <c r="JF73" s="23">
        <v>0</v>
      </c>
      <c r="JG73" s="23">
        <v>0</v>
      </c>
      <c r="JH73" s="23">
        <v>0</v>
      </c>
      <c r="JI73" s="23">
        <v>37</v>
      </c>
      <c r="JJ73" s="23">
        <v>0</v>
      </c>
      <c r="JK73" s="23">
        <v>51</v>
      </c>
      <c r="JL73" s="23">
        <v>17</v>
      </c>
      <c r="JM73" s="23">
        <v>381</v>
      </c>
      <c r="JN73" s="23">
        <v>41</v>
      </c>
      <c r="JO73" s="23">
        <v>401</v>
      </c>
      <c r="JP73" s="23">
        <v>280</v>
      </c>
      <c r="JQ73" s="23">
        <v>2998</v>
      </c>
      <c r="JR73" s="23">
        <v>1021</v>
      </c>
      <c r="JS73" s="23">
        <v>875</v>
      </c>
      <c r="JT73" s="23">
        <v>119</v>
      </c>
      <c r="JU73" s="23">
        <v>187</v>
      </c>
      <c r="JV73" s="23">
        <v>1682</v>
      </c>
      <c r="JW73" s="23">
        <v>1247</v>
      </c>
      <c r="JX73" s="23">
        <v>91</v>
      </c>
      <c r="JY73" s="23">
        <v>91</v>
      </c>
      <c r="JZ73" s="23">
        <v>1865</v>
      </c>
      <c r="KA73" s="23">
        <v>477</v>
      </c>
      <c r="KB73" s="23">
        <v>146</v>
      </c>
      <c r="KC73" s="23">
        <v>134</v>
      </c>
      <c r="KD73" s="23">
        <v>197</v>
      </c>
      <c r="KE73" s="23">
        <v>1795</v>
      </c>
      <c r="KF73" s="23">
        <v>142</v>
      </c>
      <c r="KG73" s="23">
        <v>425</v>
      </c>
      <c r="KH73" s="23">
        <v>1838</v>
      </c>
      <c r="KI73" s="23">
        <v>2296</v>
      </c>
      <c r="KJ73" s="23">
        <v>286</v>
      </c>
      <c r="KK73" s="23">
        <v>377</v>
      </c>
      <c r="KL73" s="23">
        <v>354</v>
      </c>
      <c r="KM73" s="23">
        <v>65</v>
      </c>
      <c r="KN73" s="23">
        <v>71</v>
      </c>
      <c r="KO73" s="23">
        <v>323</v>
      </c>
      <c r="KP73" s="23">
        <v>108</v>
      </c>
      <c r="KQ73" s="23">
        <v>4402</v>
      </c>
      <c r="KR73" s="23">
        <v>113</v>
      </c>
      <c r="KS73" s="23">
        <v>30841</v>
      </c>
      <c r="KT73" s="23">
        <v>590</v>
      </c>
      <c r="KU73" s="23">
        <v>45</v>
      </c>
      <c r="KV73" s="23">
        <v>704</v>
      </c>
      <c r="KW73" s="23">
        <v>164</v>
      </c>
      <c r="KX73" s="23">
        <v>266</v>
      </c>
      <c r="KY73" s="23">
        <v>1260</v>
      </c>
      <c r="KZ73" s="23">
        <v>132</v>
      </c>
      <c r="LA73" s="23">
        <v>424</v>
      </c>
      <c r="LB73" s="23">
        <v>41</v>
      </c>
      <c r="LC73" s="23">
        <v>916</v>
      </c>
      <c r="LD73" s="23">
        <v>1229</v>
      </c>
      <c r="LE73" s="23">
        <v>340</v>
      </c>
      <c r="LF73" s="23">
        <v>125</v>
      </c>
      <c r="LG73" s="23">
        <v>396</v>
      </c>
      <c r="LH73" s="23">
        <v>2591</v>
      </c>
      <c r="LI73" s="23">
        <v>39</v>
      </c>
      <c r="LJ73" s="23">
        <v>621</v>
      </c>
      <c r="LK73" s="23">
        <v>44</v>
      </c>
      <c r="LL73" s="23">
        <v>49</v>
      </c>
      <c r="LM73" s="23">
        <v>28</v>
      </c>
      <c r="LN73" s="278">
        <f ca="1">$A73 - TST!Sweden100dt + 1</f>
        <v>19</v>
      </c>
      <c r="LO73" s="20">
        <f ca="1">INDEX(OFFSET(TST!HeadRow,ROW()-ROW(TST!HeadRow),0,1,COLUMNS(TST!HeadRow)),1,MATCH(LO$5,TST!HeadRow,0))/LO$8</f>
        <v>2469.2082111436953</v>
      </c>
      <c r="LP73" s="278">
        <f ca="1">$A73 - TST!Spain100dt + 1</f>
        <v>19</v>
      </c>
      <c r="LQ73" s="20">
        <f ca="1">INDEX(OFFSET(TST!HeadRow,ROW()-ROW(TST!HeadRow),0,1,COLUMNS(TST!HeadRow)),1,MATCH(LQ$5,TST!HeadRow,0))/LQ$8</f>
        <v>10548.572645930975</v>
      </c>
      <c r="LR73" s="285">
        <f ca="1">$A73 - TST!Victoria100dt + 1</f>
        <v>10</v>
      </c>
      <c r="LS73" s="20">
        <f ca="1">INDEX(OFFSET(TST!HeadRow,ROW()-ROW(TST!HeadRow),0,1,COLUMNS(TST!HeadRow)),1,MATCH(LS$5,TST!HeadRow,0))/LS$8</f>
        <v>702.97179061698591</v>
      </c>
      <c r="LT73" s="278">
        <f ca="1">$A73 - TST!Iran100dt + 1</f>
        <v>25</v>
      </c>
      <c r="LU73" s="20">
        <f ca="1">INDEX(OFFSET(TST!HeadRow,ROW()-ROW(TST!HeadRow),0,1,COLUMNS(TST!HeadRow)),1,MATCH(LU$5,TST!HeadRow,0))/LU$8</f>
        <v>3225.0247693170832</v>
      </c>
      <c r="LV73" s="278">
        <f ca="1">$A73 - TST!Japan100dt + 1</f>
        <v>1</v>
      </c>
      <c r="LW73" s="20">
        <f ca="1">INDEX(OFFSET(TST!HeadRow,ROW()-ROW(TST!HeadRow),0,1,COLUMNS(TST!HeadRow)),1,MATCH(LW$5,TST!HeadRow,0))/LW$8</f>
        <v>103.27590621387739</v>
      </c>
      <c r="LX73" s="278">
        <f ca="1">$A73 - TST!Queensland100dt + 1</f>
        <v>11</v>
      </c>
      <c r="LY73" s="20">
        <f ca="1">INDEX(OFFSET(TST!HeadRow,ROW()-ROW(TST!HeadRow),0,1,COLUMNS(TST!HeadRow)),1,MATCH(LY$5,TST!HeadRow,0))/LY$8</f>
        <v>866.00379907851732</v>
      </c>
      <c r="LZ73" s="278">
        <f ca="1">$A73 - TST!Tasmania100dt + 1</f>
        <v>11</v>
      </c>
      <c r="MA73" s="20">
        <f ca="1">INDEX(OFFSET(TST!HeadRow,ROW()-ROW(TST!HeadRow),0,1,COLUMNS(TST!HeadRow)),1,MATCH(MA$5,TST!HeadRow,0))/MA$8</f>
        <v>699.02912621359224</v>
      </c>
      <c r="MB73" s="278">
        <f ca="1">$A73 - TST!SouthAustralia100dt + 1</f>
        <v>12</v>
      </c>
      <c r="MC73" s="20">
        <f ca="1">INDEX(OFFSET(TST!HeadRow,ROW()-ROW(TST!HeadRow),0,1,COLUMNS(TST!HeadRow)),1,MATCH(MC$5,TST!HeadRow,0))/MC$8</f>
        <v>1017.9640718562873</v>
      </c>
      <c r="MD73" s="278">
        <f ca="1">$A73 - TST!AustralianCapitalTerritory100dt + 1</f>
        <v>6</v>
      </c>
      <c r="ME73" s="20">
        <f ca="1">INDEX(OFFSET(TST!HeadRow,ROW()-ROW(TST!HeadRow),0,1,COLUMNS(TST!HeadRow)),1,MATCH(ME$5,TST!HeadRow,0))/ME$8</f>
        <v>911.08723076204274</v>
      </c>
      <c r="MF73" s="278">
        <f ca="1">$A73 - TST!NorthernTerritory100dt + 1</f>
        <v>6</v>
      </c>
      <c r="MG73" s="20">
        <f ca="1">INDEX(OFFSET(TST!HeadRow,ROW()-ROW(TST!HeadRow),0,1,COLUMNS(TST!HeadRow)),1,MATCH(MG$5,TST!HeadRow,0))/MG$8</f>
        <v>283.09231168463515</v>
      </c>
      <c r="MH73" s="278">
        <f ca="1">$A73 - TST!WesternAustralia100dt + 1</f>
        <v>10</v>
      </c>
      <c r="MI73" s="20">
        <f ca="1">INDEX(OFFSET(TST!HeadRow,ROW()-ROW(TST!HeadRow),0,1,COLUMNS(TST!HeadRow)),1,MATCH(MI$5,TST!HeadRow,0))/MI$8</f>
        <v>675.93665507918115</v>
      </c>
      <c r="MJ73" s="278">
        <f ca="1">$A73 - TST!Germany100dt + 1</f>
        <v>18</v>
      </c>
      <c r="MK73" s="20">
        <f ca="1">INDEX(OFFSET(TST!HeadRow,ROW()-ROW(TST!HeadRow),0,1,COLUMNS(TST!HeadRow)),1,MATCH(MK$5,TST!HeadRow,0))/MK$8</f>
        <v>4495.6636954950618</v>
      </c>
      <c r="ML73" s="278">
        <f ca="1">$A73 - TST!Denmark100dt + 1</f>
        <v>17</v>
      </c>
      <c r="MM73" s="20">
        <f ca="1">INDEX(OFFSET(TST!HeadRow,ROW()-ROW(TST!HeadRow),0,1,COLUMNS(TST!HeadRow)),1,MATCH(MM$5,TST!HeadRow,0))/MM$8</f>
        <v>2969.3420599379951</v>
      </c>
      <c r="MN73" s="278">
        <f ca="1">$A73 - TST!SouthAfrica100dt + 1</f>
        <v>1</v>
      </c>
      <c r="MO73" s="20">
        <f ca="1">INDEX(OFFSET(TST!HeadRow,ROW()-ROW(TST!HeadRow),0,1,COLUMNS(TST!HeadRow)),1,MATCH(MO$5,TST!HeadRow,0))/MO$8</f>
        <v>122.70681896850122</v>
      </c>
      <c r="MP73" s="278">
        <f ca="1">$A73 - TST!UnitedKingdom100dt + 1</f>
        <v>13</v>
      </c>
      <c r="MQ73" s="20">
        <f ca="1">INDEX(OFFSET(TST!HeadRow,ROW()-ROW(TST!HeadRow),0,1,COLUMNS(TST!HeadRow)),1,MATCH(MQ$5,TST!HeadRow,0))/MQ$8</f>
        <v>1434.2263696568332</v>
      </c>
      <c r="MR73" s="278">
        <f ca="1">$A73 - TST!Ireland100dt + 1</f>
        <v>13</v>
      </c>
      <c r="MS73" s="20">
        <f ca="1">INDEX(OFFSET(TST!HeadRow,ROW()-ROW(TST!HeadRow),0,1,COLUMNS(TST!HeadRow)),1,MATCH(MS$5,TST!HeadRow,0))/MS$8</f>
        <v>3191.8367346938776</v>
      </c>
      <c r="MT73" s="278">
        <f ca="1">$A73 - TST!Italy100dt + 1</f>
        <v>28</v>
      </c>
      <c r="MU73" s="20">
        <f ca="1">INDEX(OFFSET(TST!HeadRow,ROW()-ROW(TST!HeadRow),0,1,COLUMNS(TST!HeadRow)),1,MATCH(MU$5,TST!HeadRow,0))/MU$8</f>
        <v>12298.255765892371</v>
      </c>
      <c r="MV73" s="278">
        <f ca="1">$A73 - TST!US100dt + 1</f>
        <v>11</v>
      </c>
      <c r="MW73" s="20">
        <f ca="1">INDEX(OFFSET(TST!HeadRow,ROW()-ROW(TST!HeadRow),0,1,COLUMNS(TST!HeadRow)),1,MATCH(MW$5,TST!HeadRow,0))/MW$8</f>
        <v>1997.9482531220199</v>
      </c>
      <c r="MX73" s="278">
        <f ca="1">$A73 - TST!AustraliaSum100dt + 1</f>
        <v>11</v>
      </c>
      <c r="MY73" s="366">
        <f t="shared" si="8"/>
        <v>932.02964832045416</v>
      </c>
      <c r="MZ73" s="278">
        <f ca="1">$A73 - TST!NewSouthWales100dt + 1</f>
        <v>13</v>
      </c>
      <c r="NA73" s="366">
        <f ca="1">INDEX(OFFSET(TST!HeadRow,ROW()-ROW(TST!HeadRow),0,1,COLUMNS(TST!HeadRow)),1,MATCH(NA$5,TST!HeadRow,0))/NA$8</f>
        <v>1273.5148514851485</v>
      </c>
      <c r="NB73" s="278">
        <f ca="1">$A73 - TST!Taiwan100dt + 1</f>
        <v>0</v>
      </c>
      <c r="NC73" s="366">
        <f ca="1">INDEX(OFFSET(TST!HeadRow,ROW()-ROW(TST!HeadRow),0,1,COLUMNS(TST!HeadRow)),1,MATCH(NC$5,TST!HeadRow,0))/NC$8</f>
        <v>98.709294072292664</v>
      </c>
      <c r="ND73" s="20">
        <f ca="1">$A73 - TST!Hubei100dt + 1</f>
        <v>61</v>
      </c>
      <c r="NE73" s="20">
        <f ca="1">INDEX(OFFSET(TST!HeadRow,ROW()-ROW(TST!HeadRow),0,1,COLUMNS(TST!HeadRow)),1,MATCH(NE$5,TST!HeadRow,0))/NE$8</f>
        <v>11589.914529914531</v>
      </c>
      <c r="NF73" s="20">
        <f ca="1">$A73 - TST!HongKong100dt + 1</f>
        <v>31</v>
      </c>
      <c r="NG73" s="20">
        <f ca="1">INDEX(OFFSET(TST!HeadRow,ROW()-ROW(TST!HeadRow),0,1,COLUMNS(TST!HeadRow)),1,MATCH(NG$5,TST!HeadRow,0))/NG$8</f>
        <v>550.26170983760574</v>
      </c>
    </row>
    <row r="74" spans="1:371" x14ac:dyDescent="0.25">
      <c r="A74" s="243">
        <v>43916</v>
      </c>
      <c r="B74" s="23">
        <v>94</v>
      </c>
      <c r="C74" s="23">
        <v>174</v>
      </c>
      <c r="D74" s="23">
        <v>367</v>
      </c>
      <c r="E74" s="23">
        <v>224</v>
      </c>
      <c r="F74" s="23">
        <v>4</v>
      </c>
      <c r="G74" s="23">
        <v>7</v>
      </c>
      <c r="H74" s="23">
        <v>502</v>
      </c>
      <c r="I74" s="23">
        <v>290</v>
      </c>
      <c r="J74" s="23">
        <v>53</v>
      </c>
      <c r="K74" s="293">
        <v>1219</v>
      </c>
      <c r="L74" s="23">
        <v>12</v>
      </c>
      <c r="M74" s="290">
        <v>493</v>
      </c>
      <c r="N74" s="23">
        <v>235</v>
      </c>
      <c r="O74" s="384">
        <v>47</v>
      </c>
      <c r="P74" s="287">
        <v>520</v>
      </c>
      <c r="Q74" s="23">
        <v>231</v>
      </c>
      <c r="R74" s="23">
        <v>6909</v>
      </c>
      <c r="S74" s="23">
        <v>122</v>
      </c>
      <c r="T74" s="23">
        <v>9</v>
      </c>
      <c r="U74" s="23">
        <v>458</v>
      </c>
      <c r="V74" s="23">
        <v>44</v>
      </c>
      <c r="W74" s="23">
        <v>18</v>
      </c>
      <c r="X74" s="23">
        <v>86</v>
      </c>
      <c r="Y74" s="23">
        <v>6235</v>
      </c>
      <c r="Z74" s="23">
        <v>6</v>
      </c>
      <c r="AA74" s="23">
        <v>2</v>
      </c>
      <c r="AB74" s="23">
        <v>43</v>
      </c>
      <c r="AC74" s="23">
        <v>191</v>
      </c>
      <c r="AD74" s="23">
        <v>2985</v>
      </c>
      <c r="AE74" s="23">
        <v>114</v>
      </c>
      <c r="AF74" s="23">
        <v>264</v>
      </c>
      <c r="AG74" s="23">
        <v>152</v>
      </c>
      <c r="AH74" s="23">
        <v>4</v>
      </c>
      <c r="AI74" s="23">
        <v>96</v>
      </c>
      <c r="AJ74" s="23">
        <v>75</v>
      </c>
      <c r="AK74" s="23">
        <v>486</v>
      </c>
      <c r="AL74" s="23">
        <v>725</v>
      </c>
      <c r="AM74" s="23">
        <v>13</v>
      </c>
      <c r="AN74" s="23">
        <v>36</v>
      </c>
      <c r="AO74" s="23">
        <v>33</v>
      </c>
      <c r="AP74" s="23">
        <v>82</v>
      </c>
      <c r="AQ74" s="23">
        <v>73</v>
      </c>
      <c r="AR74" s="23">
        <v>858</v>
      </c>
      <c r="AS74" s="23">
        <v>5</v>
      </c>
      <c r="AT74" s="23">
        <v>1632</v>
      </c>
      <c r="AU74" s="23">
        <v>95</v>
      </c>
      <c r="AV74" s="23">
        <v>3</v>
      </c>
      <c r="AW74" s="23">
        <v>3</v>
      </c>
      <c r="AX74" s="23">
        <v>1306</v>
      </c>
      <c r="AY74" s="23">
        <v>990</v>
      </c>
      <c r="AZ74" s="23">
        <v>566</v>
      </c>
      <c r="BA74" s="23">
        <v>578</v>
      </c>
      <c r="BB74" s="23">
        <v>328</v>
      </c>
      <c r="BC74" s="23">
        <v>136</v>
      </c>
      <c r="BD74" s="23">
        <v>1448</v>
      </c>
      <c r="BE74" s="23">
        <v>254</v>
      </c>
      <c r="BF74" s="23">
        <v>146</v>
      </c>
      <c r="BG74" s="23">
        <v>168</v>
      </c>
      <c r="BH74" s="23">
        <v>319</v>
      </c>
      <c r="BI74" s="23">
        <v>484</v>
      </c>
      <c r="BJ74" s="23">
        <v>1275</v>
      </c>
      <c r="BK74" s="23">
        <v>453</v>
      </c>
      <c r="BL74" s="23">
        <v>67801</v>
      </c>
      <c r="BM74" s="23">
        <v>1018</v>
      </c>
      <c r="BN74" s="23">
        <v>89</v>
      </c>
      <c r="BO74" s="23">
        <v>640</v>
      </c>
      <c r="BP74" s="23">
        <v>936</v>
      </c>
      <c r="BQ74" s="23">
        <v>95</v>
      </c>
      <c r="BR74" s="23">
        <v>128</v>
      </c>
      <c r="BS74" s="23">
        <v>31</v>
      </c>
      <c r="BT74" s="23">
        <v>75</v>
      </c>
      <c r="BU74" s="23">
        <v>18</v>
      </c>
      <c r="BV74" s="23">
        <v>253</v>
      </c>
      <c r="BW74" s="23">
        <v>771</v>
      </c>
      <c r="BX74" s="23">
        <v>451</v>
      </c>
      <c r="BY74" s="23">
        <v>135</v>
      </c>
      <c r="BZ74" s="23">
        <v>547</v>
      </c>
      <c r="CA74" s="23">
        <v>151</v>
      </c>
      <c r="CB74" s="23">
        <v>1</v>
      </c>
      <c r="CC74" s="23">
        <v>76</v>
      </c>
      <c r="CD74" s="23">
        <v>178</v>
      </c>
      <c r="CE74" s="23">
        <v>1243</v>
      </c>
      <c r="CF74" s="23">
        <v>491</v>
      </c>
      <c r="CG74" s="23">
        <v>4</v>
      </c>
      <c r="CH74" s="23">
        <v>51</v>
      </c>
      <c r="CI74" s="23">
        <v>231</v>
      </c>
      <c r="CJ74" s="23">
        <v>96</v>
      </c>
      <c r="CK74" s="23">
        <v>495</v>
      </c>
      <c r="CL74" s="23">
        <v>712</v>
      </c>
      <c r="CM74" s="23">
        <v>67</v>
      </c>
      <c r="CN74" s="23">
        <v>146</v>
      </c>
      <c r="CO74" s="23">
        <v>1925</v>
      </c>
      <c r="CP74" s="23">
        <v>140</v>
      </c>
      <c r="CQ74" s="23">
        <v>6</v>
      </c>
      <c r="CR74" s="23">
        <v>1877</v>
      </c>
      <c r="CS74" s="23">
        <v>11</v>
      </c>
      <c r="CT74" s="23">
        <v>488</v>
      </c>
      <c r="CU74" s="23">
        <v>1403</v>
      </c>
      <c r="CV74" s="23">
        <v>495</v>
      </c>
      <c r="CW74" s="23">
        <v>13</v>
      </c>
      <c r="CX74" s="23">
        <v>12</v>
      </c>
      <c r="CY74" s="23">
        <v>6</v>
      </c>
      <c r="CZ74" s="23">
        <v>538</v>
      </c>
      <c r="DA74" s="23">
        <v>6</v>
      </c>
      <c r="DB74" s="23">
        <v>12</v>
      </c>
      <c r="DC74" s="23">
        <v>5</v>
      </c>
      <c r="DD74" s="23">
        <v>958</v>
      </c>
      <c r="DE74" s="23">
        <v>28</v>
      </c>
      <c r="DF74" s="23">
        <v>30</v>
      </c>
      <c r="DG74" s="23">
        <v>73</v>
      </c>
      <c r="DH74" s="23">
        <v>36</v>
      </c>
      <c r="DI74" s="23">
        <v>14</v>
      </c>
      <c r="DJ74" s="23">
        <v>135</v>
      </c>
      <c r="DK74" s="23">
        <v>3</v>
      </c>
      <c r="DL74" s="23">
        <v>11</v>
      </c>
      <c r="DM74" s="23">
        <v>66</v>
      </c>
      <c r="DN74" s="23">
        <v>29155</v>
      </c>
      <c r="DO74" s="23">
        <v>7</v>
      </c>
      <c r="DP74" s="23">
        <v>3</v>
      </c>
      <c r="DQ74" s="23">
        <v>79</v>
      </c>
      <c r="DR74" s="23">
        <v>43938</v>
      </c>
      <c r="DS74" s="23">
        <v>132</v>
      </c>
      <c r="DT74" s="23">
        <v>892</v>
      </c>
      <c r="DU74" s="23">
        <v>25</v>
      </c>
      <c r="DV74" s="23">
        <v>4</v>
      </c>
      <c r="DW74" s="23">
        <v>5</v>
      </c>
      <c r="DX74" s="23">
        <v>8</v>
      </c>
      <c r="DY74" s="23">
        <v>4</v>
      </c>
      <c r="DZ74" s="23">
        <v>52</v>
      </c>
      <c r="EA74" s="23">
        <v>261</v>
      </c>
      <c r="EB74" s="23">
        <v>802</v>
      </c>
      <c r="EC74" s="23">
        <v>727</v>
      </c>
      <c r="ED74" s="23">
        <v>893</v>
      </c>
      <c r="EE74" s="23">
        <v>29406</v>
      </c>
      <c r="EF74" s="23">
        <v>382</v>
      </c>
      <c r="EG74" s="23">
        <v>1819</v>
      </c>
      <c r="EH74" s="23">
        <v>2693</v>
      </c>
      <c r="EI74" s="23">
        <v>80589</v>
      </c>
      <c r="EJ74" s="23">
        <v>26</v>
      </c>
      <c r="EK74" s="23">
        <v>1387</v>
      </c>
      <c r="EL74" s="23">
        <v>212</v>
      </c>
      <c r="EM74" s="23">
        <v>111</v>
      </c>
      <c r="EN74" s="23">
        <v>31</v>
      </c>
      <c r="EO74" s="23">
        <v>9241</v>
      </c>
      <c r="EP74" s="23">
        <v>208</v>
      </c>
      <c r="EQ74" s="23">
        <v>44</v>
      </c>
      <c r="ER74" s="23">
        <v>244</v>
      </c>
      <c r="ES74" s="23">
        <v>368</v>
      </c>
      <c r="ET74" s="23">
        <v>3</v>
      </c>
      <c r="EU74" s="23">
        <v>56</v>
      </c>
      <c r="EV74" s="23">
        <v>299</v>
      </c>
      <c r="EW74" s="23">
        <v>1453</v>
      </c>
      <c r="EX74" s="23">
        <v>23</v>
      </c>
      <c r="EY74" s="23">
        <v>2031</v>
      </c>
      <c r="EZ74" s="23">
        <v>13</v>
      </c>
      <c r="FA74" s="23">
        <v>134</v>
      </c>
      <c r="FB74" s="23">
        <v>3</v>
      </c>
      <c r="FC74" s="23">
        <v>81</v>
      </c>
      <c r="FD74" s="23">
        <v>585</v>
      </c>
      <c r="FE74" s="23">
        <v>177</v>
      </c>
      <c r="FF74" s="23">
        <v>33</v>
      </c>
      <c r="FG74" s="23">
        <v>11</v>
      </c>
      <c r="FH74" s="23">
        <v>69</v>
      </c>
      <c r="FI74" s="23">
        <v>275</v>
      </c>
      <c r="FJ74" s="23">
        <v>8</v>
      </c>
      <c r="FK74" s="23">
        <v>3</v>
      </c>
      <c r="FL74" s="23">
        <v>28</v>
      </c>
      <c r="FM74" s="23">
        <v>6</v>
      </c>
      <c r="FN74" s="23">
        <v>3</v>
      </c>
      <c r="FO74" s="23">
        <v>7431</v>
      </c>
      <c r="FP74" s="23">
        <v>283</v>
      </c>
      <c r="FQ74" s="23">
        <v>2</v>
      </c>
      <c r="FR74" s="23">
        <v>10</v>
      </c>
      <c r="FS74" s="23">
        <v>65</v>
      </c>
      <c r="FT74" s="23">
        <v>201</v>
      </c>
      <c r="FU74" s="23">
        <v>3369</v>
      </c>
      <c r="FV74" s="23">
        <v>109</v>
      </c>
      <c r="FW74" s="23">
        <v>1201</v>
      </c>
      <c r="FX74" s="23">
        <v>558</v>
      </c>
      <c r="FY74" s="23">
        <v>1</v>
      </c>
      <c r="FZ74" s="23">
        <v>41</v>
      </c>
      <c r="GA74" s="23">
        <v>580</v>
      </c>
      <c r="GB74" s="23">
        <v>707</v>
      </c>
      <c r="GC74" s="23">
        <v>1221</v>
      </c>
      <c r="GD74" s="23">
        <v>3544</v>
      </c>
      <c r="GE74" s="23">
        <v>549</v>
      </c>
      <c r="GF74" s="23">
        <v>1029</v>
      </c>
      <c r="GG74" s="23">
        <v>840</v>
      </c>
      <c r="GH74" s="23">
        <v>50</v>
      </c>
      <c r="GI74" s="23">
        <v>3</v>
      </c>
      <c r="GJ74" s="23">
        <v>1</v>
      </c>
      <c r="GK74" s="23">
        <v>208</v>
      </c>
      <c r="GL74" s="23">
        <v>1012</v>
      </c>
      <c r="GM74" s="23">
        <v>105</v>
      </c>
      <c r="GN74" s="23">
        <v>384</v>
      </c>
      <c r="GO74" s="23">
        <v>7</v>
      </c>
      <c r="GP74" s="23">
        <v>683</v>
      </c>
      <c r="GQ74" s="23">
        <v>226</v>
      </c>
      <c r="GR74" s="23">
        <v>562</v>
      </c>
      <c r="GS74" s="23">
        <v>2</v>
      </c>
      <c r="GT74" s="23">
        <v>927</v>
      </c>
      <c r="GU74" s="23">
        <v>57786</v>
      </c>
      <c r="GV74" s="23">
        <v>106</v>
      </c>
      <c r="GW74" s="23">
        <v>3</v>
      </c>
      <c r="GX74" s="23">
        <v>8</v>
      </c>
      <c r="GY74" s="23">
        <v>2840</v>
      </c>
      <c r="GZ74" s="23">
        <v>11811</v>
      </c>
      <c r="HA74" s="23">
        <v>252</v>
      </c>
      <c r="HB74" s="23">
        <v>13</v>
      </c>
      <c r="HC74" s="23">
        <v>1045</v>
      </c>
      <c r="HD74" s="23">
        <v>23</v>
      </c>
      <c r="HE74" s="23">
        <v>65</v>
      </c>
      <c r="HF74" s="23">
        <v>197</v>
      </c>
      <c r="HG74" s="23">
        <v>3629</v>
      </c>
      <c r="HH74" s="23">
        <v>14</v>
      </c>
      <c r="HI74" s="23">
        <v>196</v>
      </c>
      <c r="HJ74" s="23">
        <v>333</v>
      </c>
      <c r="HK74" s="23">
        <v>15</v>
      </c>
      <c r="HL74" s="23">
        <v>8</v>
      </c>
      <c r="HM74" s="23">
        <v>66</v>
      </c>
      <c r="HN74" s="23">
        <v>35</v>
      </c>
      <c r="HO74" s="23">
        <v>25</v>
      </c>
      <c r="HP74" s="23">
        <v>5</v>
      </c>
      <c r="HQ74" s="23">
        <v>11658</v>
      </c>
      <c r="HR74" s="23">
        <v>217</v>
      </c>
      <c r="HS74" s="23">
        <v>83836</v>
      </c>
      <c r="HT74" s="23">
        <v>75</v>
      </c>
      <c r="HU74" s="23">
        <v>107</v>
      </c>
      <c r="HV74" s="23">
        <v>153</v>
      </c>
      <c r="HW74" s="23">
        <v>16</v>
      </c>
      <c r="HX74" s="23">
        <v>3</v>
      </c>
      <c r="HY74" s="23">
        <v>0</v>
      </c>
      <c r="HZ74" s="23">
        <v>11</v>
      </c>
      <c r="IA74" s="23">
        <v>7</v>
      </c>
      <c r="IB74" s="23">
        <v>7</v>
      </c>
      <c r="IC74" s="23">
        <v>5</v>
      </c>
      <c r="ID74" s="23">
        <v>1</v>
      </c>
      <c r="IE74" s="23">
        <v>2</v>
      </c>
      <c r="IF74" s="23">
        <v>0</v>
      </c>
      <c r="IG74" s="23">
        <v>6</v>
      </c>
      <c r="IH74" s="23">
        <v>1</v>
      </c>
      <c r="II74" s="23">
        <v>84</v>
      </c>
      <c r="IJ74" s="23">
        <v>2</v>
      </c>
      <c r="IK74" s="23">
        <v>4</v>
      </c>
      <c r="IL74" s="23">
        <v>2</v>
      </c>
      <c r="IM74" s="23">
        <v>1</v>
      </c>
      <c r="IN74" s="23">
        <v>3</v>
      </c>
      <c r="IO74" s="23">
        <v>71</v>
      </c>
      <c r="IP74" s="23">
        <v>0</v>
      </c>
      <c r="IQ74" s="23">
        <v>0</v>
      </c>
      <c r="IR74" s="23">
        <v>0</v>
      </c>
      <c r="IS74" s="23">
        <v>0</v>
      </c>
      <c r="IT74" s="23">
        <v>0</v>
      </c>
      <c r="IU74" s="23">
        <v>0</v>
      </c>
      <c r="IV74" s="23">
        <v>0</v>
      </c>
      <c r="IW74" s="23">
        <v>0</v>
      </c>
      <c r="IX74" s="23">
        <v>0</v>
      </c>
      <c r="IY74" s="23">
        <v>0</v>
      </c>
      <c r="IZ74" s="23">
        <v>0</v>
      </c>
      <c r="JA74" s="23">
        <v>0</v>
      </c>
      <c r="JB74" s="23">
        <v>0</v>
      </c>
      <c r="JC74" s="23">
        <v>0</v>
      </c>
      <c r="JD74" s="23">
        <v>0</v>
      </c>
      <c r="JE74" s="23">
        <v>0</v>
      </c>
      <c r="JF74" s="23">
        <v>0</v>
      </c>
      <c r="JG74" s="23">
        <v>0</v>
      </c>
      <c r="JH74" s="23">
        <v>0</v>
      </c>
      <c r="JI74" s="23">
        <v>45</v>
      </c>
      <c r="JJ74" s="23">
        <v>0</v>
      </c>
      <c r="JK74" s="23">
        <v>64</v>
      </c>
      <c r="JL74" s="23">
        <v>17</v>
      </c>
      <c r="JM74" s="23">
        <v>517</v>
      </c>
      <c r="JN74" s="23">
        <v>56</v>
      </c>
      <c r="JO74" s="23">
        <v>508</v>
      </c>
      <c r="JP74" s="23">
        <v>335</v>
      </c>
      <c r="JQ74" s="23">
        <v>3899</v>
      </c>
      <c r="JR74" s="23">
        <v>1430</v>
      </c>
      <c r="JS74" s="23">
        <v>1012</v>
      </c>
      <c r="JT74" s="23">
        <v>130</v>
      </c>
      <c r="JU74" s="23">
        <v>231</v>
      </c>
      <c r="JV74" s="23">
        <v>2357</v>
      </c>
      <c r="JW74" s="23">
        <v>1525</v>
      </c>
      <c r="JX74" s="23">
        <v>95</v>
      </c>
      <c r="JY74" s="23">
        <v>146</v>
      </c>
      <c r="JZ74" s="23">
        <v>2538</v>
      </c>
      <c r="KA74" s="23">
        <v>645</v>
      </c>
      <c r="KB74" s="23">
        <v>179</v>
      </c>
      <c r="KC74" s="23">
        <v>172</v>
      </c>
      <c r="KD74" s="23">
        <v>247</v>
      </c>
      <c r="KE74" s="23">
        <v>2304</v>
      </c>
      <c r="KF74" s="23">
        <v>155</v>
      </c>
      <c r="KG74" s="23">
        <v>583</v>
      </c>
      <c r="KH74" s="23">
        <v>2417</v>
      </c>
      <c r="KI74" s="23">
        <v>2845</v>
      </c>
      <c r="KJ74" s="23">
        <v>344</v>
      </c>
      <c r="KK74" s="23">
        <v>485</v>
      </c>
      <c r="KL74" s="23">
        <v>520</v>
      </c>
      <c r="KM74" s="23">
        <v>90</v>
      </c>
      <c r="KN74" s="23">
        <v>74</v>
      </c>
      <c r="KO74" s="23">
        <v>420</v>
      </c>
      <c r="KP74" s="23">
        <v>137</v>
      </c>
      <c r="KQ74" s="23">
        <v>6876</v>
      </c>
      <c r="KR74" s="23">
        <v>113</v>
      </c>
      <c r="KS74" s="23">
        <v>37877</v>
      </c>
      <c r="KT74" s="23">
        <v>738</v>
      </c>
      <c r="KU74" s="23">
        <v>51</v>
      </c>
      <c r="KV74" s="23">
        <v>868</v>
      </c>
      <c r="KW74" s="23">
        <v>248</v>
      </c>
      <c r="KX74" s="23">
        <v>316</v>
      </c>
      <c r="KY74" s="23">
        <v>1795</v>
      </c>
      <c r="KZ74" s="23">
        <v>165</v>
      </c>
      <c r="LA74" s="23">
        <v>424</v>
      </c>
      <c r="LB74" s="23">
        <v>46</v>
      </c>
      <c r="LC74" s="23">
        <v>1097</v>
      </c>
      <c r="LD74" s="23">
        <v>1563</v>
      </c>
      <c r="LE74" s="23">
        <v>396</v>
      </c>
      <c r="LF74" s="23">
        <v>158</v>
      </c>
      <c r="LG74" s="23">
        <v>466</v>
      </c>
      <c r="LH74" s="23">
        <v>3207</v>
      </c>
      <c r="LI74" s="23">
        <v>52</v>
      </c>
      <c r="LJ74" s="23">
        <v>728</v>
      </c>
      <c r="LK74" s="23">
        <v>53</v>
      </c>
      <c r="LL74" s="23">
        <v>49</v>
      </c>
      <c r="LM74" s="23">
        <v>28</v>
      </c>
      <c r="LN74" s="278">
        <f ca="1">$A74 - TST!Sweden100dt + 1</f>
        <v>20</v>
      </c>
      <c r="LO74" s="20">
        <f ca="1">INDEX(OFFSET(TST!HeadRow,ROW()-ROW(TST!HeadRow),0,1,COLUMNS(TST!HeadRow)),1,MATCH(LO$5,TST!HeadRow,0))/LO$8</f>
        <v>2776.1485826001958</v>
      </c>
      <c r="LP74" s="278">
        <f ca="1">$A74 - TST!Spain100dt + 1</f>
        <v>20</v>
      </c>
      <c r="LQ74" s="20">
        <f ca="1">INDEX(OFFSET(TST!HeadRow,ROW()-ROW(TST!HeadRow),0,1,COLUMNS(TST!HeadRow)),1,MATCH(LQ$5,TST!HeadRow,0))/LQ$8</f>
        <v>12310.609288453345</v>
      </c>
      <c r="LR74" s="285">
        <f ca="1">$A74 - TST!Victoria100dt + 1</f>
        <v>11</v>
      </c>
      <c r="LS74" s="20">
        <f ca="1">INDEX(OFFSET(TST!HeadRow,ROW()-ROW(TST!HeadRow),0,1,COLUMNS(TST!HeadRow)),1,MATCH(LS$5,TST!HeadRow,0))/LS$8</f>
        <v>784.43204103182984</v>
      </c>
      <c r="LT74" s="278">
        <f ca="1">$A74 - TST!Iran100dt + 1</f>
        <v>26</v>
      </c>
      <c r="LU74" s="20">
        <f ca="1">INDEX(OFFSET(TST!HeadRow,ROW()-ROW(TST!HeadRow),0,1,COLUMNS(TST!HeadRow)),1,MATCH(LU$5,TST!HeadRow,0))/LU$8</f>
        <v>3510.2001838301126</v>
      </c>
      <c r="LV74" s="278">
        <f ca="1">$A74 - TST!Japan100dt + 1</f>
        <v>2</v>
      </c>
      <c r="LW74" s="20">
        <f ca="1">INDEX(OFFSET(TST!HeadRow,ROW()-ROW(TST!HeadRow),0,1,COLUMNS(TST!HeadRow)),1,MATCH(LW$5,TST!HeadRow,0))/LW$8</f>
        <v>109.59730827746591</v>
      </c>
      <c r="LX74" s="278">
        <f ca="1">$A74 - TST!Queensland100dt + 1</f>
        <v>12</v>
      </c>
      <c r="LY74" s="20">
        <f ca="1">INDEX(OFFSET(TST!HeadRow,ROW()-ROW(TST!HeadRow),0,1,COLUMNS(TST!HeadRow)),1,MATCH(LY$5,TST!HeadRow,0))/LY$8</f>
        <v>963.74689152530254</v>
      </c>
      <c r="LZ74" s="278">
        <f ca="1">$A74 - TST!Tasmania100dt + 1</f>
        <v>12</v>
      </c>
      <c r="MA74" s="20">
        <f ca="1">INDEX(OFFSET(TST!HeadRow,ROW()-ROW(TST!HeadRow),0,1,COLUMNS(TST!HeadRow)),1,MATCH(MA$5,TST!HeadRow,0))/MA$8</f>
        <v>912.62135922330106</v>
      </c>
      <c r="MB74" s="278">
        <f ca="1">$A74 - TST!SouthAustralia100dt + 1</f>
        <v>13</v>
      </c>
      <c r="MC74" s="20">
        <f ca="1">INDEX(OFFSET(TST!HeadRow,ROW()-ROW(TST!HeadRow),0,1,COLUMNS(TST!HeadRow)),1,MATCH(MC$5,TST!HeadRow,0))/MC$8</f>
        <v>1407.1856287425148</v>
      </c>
      <c r="MD74" s="278">
        <f ca="1">$A74 - TST!AustralianCapitalTerritory100dt + 1</f>
        <v>7</v>
      </c>
      <c r="ME74" s="20">
        <f ca="1">INDEX(OFFSET(TST!HeadRow,ROW()-ROW(TST!HeadRow),0,1,COLUMNS(TST!HeadRow)),1,MATCH(ME$5,TST!HeadRow,0))/ME$8</f>
        <v>1238.144185394571</v>
      </c>
      <c r="MF74" s="278">
        <f ca="1">$A74 - TST!NorthernTerritory100dt + 1</f>
        <v>7</v>
      </c>
      <c r="MG74" s="20">
        <f ca="1">INDEX(OFFSET(TST!HeadRow,ROW()-ROW(TST!HeadRow),0,1,COLUMNS(TST!HeadRow)),1,MATCH(MG$5,TST!HeadRow,0))/MG$8</f>
        <v>566.1846233692703</v>
      </c>
      <c r="MH74" s="278">
        <f ca="1">$A74 - TST!WesternAustralia100dt + 1</f>
        <v>11</v>
      </c>
      <c r="MI74" s="20">
        <f ca="1">INDEX(OFFSET(TST!HeadRow,ROW()-ROW(TST!HeadRow),0,1,COLUMNS(TST!HeadRow)),1,MATCH(MI$5,TST!HeadRow,0))/MI$8</f>
        <v>892.23638470451908</v>
      </c>
      <c r="MJ74" s="278">
        <f ca="1">$A74 - TST!Germany100dt + 1</f>
        <v>19</v>
      </c>
      <c r="MK74" s="20">
        <f ca="1">INDEX(OFFSET(TST!HeadRow,ROW()-ROW(TST!HeadRow),0,1,COLUMNS(TST!HeadRow)),1,MATCH(MK$5,TST!HeadRow,0))/MK$8</f>
        <v>5292.4596482775241</v>
      </c>
      <c r="ML74" s="278">
        <f ca="1">$A74 - TST!Denmark100dt + 1</f>
        <v>18</v>
      </c>
      <c r="MM74" s="20">
        <f ca="1">INDEX(OFFSET(TST!HeadRow,ROW()-ROW(TST!HeadRow),0,1,COLUMNS(TST!HeadRow)),1,MATCH(MM$5,TST!HeadRow,0))/MM$8</f>
        <v>3232.862555976576</v>
      </c>
      <c r="MN74" s="278">
        <f ca="1">$A74 - TST!SouthAfrica100dt + 1</f>
        <v>2</v>
      </c>
      <c r="MO74" s="20">
        <f ca="1">INDEX(OFFSET(TST!HeadRow,ROW()-ROW(TST!HeadRow),0,1,COLUMNS(TST!HeadRow)),1,MATCH(MO$5,TST!HeadRow,0))/MO$8</f>
        <v>160.4361370716511</v>
      </c>
      <c r="MP74" s="278">
        <f ca="1">$A74 - TST!UnitedKingdom100dt + 1</f>
        <v>14</v>
      </c>
      <c r="MQ74" s="20">
        <f ca="1">INDEX(OFFSET(TST!HeadRow,ROW()-ROW(TST!HeadRow),0,1,COLUMNS(TST!HeadRow)),1,MATCH(MQ$5,TST!HeadRow,0))/MQ$8</f>
        <v>1754.665863937387</v>
      </c>
      <c r="MR74" s="278">
        <f ca="1">$A74 - TST!Ireland100dt + 1</f>
        <v>14</v>
      </c>
      <c r="MS74" s="20">
        <f ca="1">INDEX(OFFSET(TST!HeadRow,ROW()-ROW(TST!HeadRow),0,1,COLUMNS(TST!HeadRow)),1,MATCH(MS$5,TST!HeadRow,0))/MS$8</f>
        <v>3712.2448979591836</v>
      </c>
      <c r="MT74" s="278">
        <f ca="1">$A74 - TST!Italy100dt + 1</f>
        <v>29</v>
      </c>
      <c r="MU74" s="20">
        <f ca="1">INDEX(OFFSET(TST!HeadRow,ROW()-ROW(TST!HeadRow),0,1,COLUMNS(TST!HeadRow)),1,MATCH(MU$5,TST!HeadRow,0))/MU$8</f>
        <v>13323.799289079938</v>
      </c>
      <c r="MV74" s="278">
        <f ca="1">$A74 - TST!US100dt + 1</f>
        <v>12</v>
      </c>
      <c r="MW74" s="20">
        <f ca="1">INDEX(OFFSET(TST!HeadRow,ROW()-ROW(TST!HeadRow),0,1,COLUMNS(TST!HeadRow)),1,MATCH(MW$5,TST!HeadRow,0))/MW$8</f>
        <v>2546.4439440046467</v>
      </c>
      <c r="MX74" s="278">
        <f ca="1">$A74 - TST!AustraliaSum100dt + 1</f>
        <v>12</v>
      </c>
      <c r="MY74" s="366">
        <f t="shared" ref="MY74:MY107" si="9">SUM($J74:$Q74)/$MY$8</f>
        <v>1107.8694212269359</v>
      </c>
      <c r="MZ74" s="278">
        <f ca="1">$A74 - TST!NewSouthWales100dt + 1</f>
        <v>14</v>
      </c>
      <c r="NA74" s="366">
        <f ca="1">INDEX(OFFSET(TST!HeadRow,ROW()-ROW(TST!HeadRow),0,1,COLUMNS(TST!HeadRow)),1,MATCH(NA$5,TST!HeadRow,0))/NA$8</f>
        <v>1508.6633663366335</v>
      </c>
      <c r="NB74" s="278">
        <f ca="1">$A74 - TST!Taiwan100dt + 1</f>
        <v>1</v>
      </c>
      <c r="NC74" s="366">
        <f ca="1">INDEX(OFFSET(TST!HeadRow,ROW()-ROW(TST!HeadRow),0,1,COLUMNS(TST!HeadRow)),1,MATCH(NC$5,TST!HeadRow,0))/NC$8</f>
        <v>105.84996640943724</v>
      </c>
      <c r="ND74" s="20">
        <f ca="1">$A74 - TST!Hubei100dt + 1</f>
        <v>62</v>
      </c>
      <c r="NE74" s="20">
        <f ca="1">INDEX(OFFSET(TST!HeadRow,ROW()-ROW(TST!HeadRow),0,1,COLUMNS(TST!HeadRow)),1,MATCH(NE$5,TST!HeadRow,0))/NE$8</f>
        <v>11589.914529914531</v>
      </c>
      <c r="NF74" s="20">
        <f ca="1">$A74 - TST!HongKong100dt + 1</f>
        <v>32</v>
      </c>
      <c r="NG74" s="20">
        <f ca="1">INDEX(OFFSET(TST!HeadRow,ROW()-ROW(TST!HeadRow),0,1,COLUMNS(TST!HeadRow)),1,MATCH(NG$5,TST!HeadRow,0))/NG$8</f>
        <v>607.97208428398869</v>
      </c>
    </row>
    <row r="75" spans="1:371" x14ac:dyDescent="0.25">
      <c r="A75" s="243">
        <v>43917</v>
      </c>
      <c r="B75" s="23">
        <v>110</v>
      </c>
      <c r="C75" s="23">
        <v>186</v>
      </c>
      <c r="D75" s="23">
        <v>409</v>
      </c>
      <c r="E75" s="23">
        <v>267</v>
      </c>
      <c r="F75" s="23">
        <v>4</v>
      </c>
      <c r="G75" s="23">
        <v>7</v>
      </c>
      <c r="H75" s="23">
        <v>589</v>
      </c>
      <c r="I75" s="23">
        <v>329</v>
      </c>
      <c r="J75" s="23">
        <v>62</v>
      </c>
      <c r="K75" s="293">
        <v>1405</v>
      </c>
      <c r="L75" s="23">
        <v>12</v>
      </c>
      <c r="M75" s="290">
        <v>555</v>
      </c>
      <c r="N75" s="23">
        <v>257</v>
      </c>
      <c r="O75" s="384">
        <v>47</v>
      </c>
      <c r="P75" s="287">
        <v>574</v>
      </c>
      <c r="Q75" s="23">
        <v>231</v>
      </c>
      <c r="R75" s="23">
        <v>7657</v>
      </c>
      <c r="S75" s="23">
        <v>165</v>
      </c>
      <c r="T75" s="23">
        <v>10</v>
      </c>
      <c r="U75" s="23">
        <v>466</v>
      </c>
      <c r="V75" s="23">
        <v>48</v>
      </c>
      <c r="W75" s="23">
        <v>24</v>
      </c>
      <c r="X75" s="23">
        <v>94</v>
      </c>
      <c r="Y75" s="23">
        <v>7284</v>
      </c>
      <c r="Z75" s="23">
        <v>6</v>
      </c>
      <c r="AA75" s="23">
        <v>3</v>
      </c>
      <c r="AB75" s="23">
        <v>61</v>
      </c>
      <c r="AC75" s="23">
        <v>237</v>
      </c>
      <c r="AD75" s="23">
        <v>3417</v>
      </c>
      <c r="AE75" s="23">
        <v>115</v>
      </c>
      <c r="AF75" s="23">
        <v>293</v>
      </c>
      <c r="AG75" s="23">
        <v>180</v>
      </c>
      <c r="AH75" s="23">
        <v>5</v>
      </c>
      <c r="AI75" s="23">
        <v>99</v>
      </c>
      <c r="AJ75" s="23">
        <v>91</v>
      </c>
      <c r="AK75" s="23">
        <v>542</v>
      </c>
      <c r="AL75" s="23">
        <v>725</v>
      </c>
      <c r="AM75" s="23">
        <v>13</v>
      </c>
      <c r="AN75" s="23">
        <v>39</v>
      </c>
      <c r="AO75" s="23">
        <v>45</v>
      </c>
      <c r="AP75" s="23">
        <v>102</v>
      </c>
      <c r="AQ75" s="23">
        <v>90</v>
      </c>
      <c r="AR75" s="23">
        <v>994</v>
      </c>
      <c r="AS75" s="23">
        <v>9</v>
      </c>
      <c r="AT75" s="23">
        <v>2024</v>
      </c>
      <c r="AU75" s="23">
        <v>95</v>
      </c>
      <c r="AV75" s="23">
        <v>3</v>
      </c>
      <c r="AW75" s="23">
        <v>3</v>
      </c>
      <c r="AX75" s="23">
        <v>1610</v>
      </c>
      <c r="AY75" s="23">
        <v>990</v>
      </c>
      <c r="AZ75" s="23">
        <v>569</v>
      </c>
      <c r="BA75" s="23">
        <v>578</v>
      </c>
      <c r="BB75" s="23">
        <v>331</v>
      </c>
      <c r="BC75" s="23">
        <v>136</v>
      </c>
      <c r="BD75" s="23">
        <v>1456</v>
      </c>
      <c r="BE75" s="23">
        <v>254</v>
      </c>
      <c r="BF75" s="23">
        <v>146</v>
      </c>
      <c r="BG75" s="23">
        <v>168</v>
      </c>
      <c r="BH75" s="23">
        <v>319</v>
      </c>
      <c r="BI75" s="23">
        <v>484</v>
      </c>
      <c r="BJ75" s="23">
        <v>1275</v>
      </c>
      <c r="BK75" s="23">
        <v>519</v>
      </c>
      <c r="BL75" s="23">
        <v>67801</v>
      </c>
      <c r="BM75" s="23">
        <v>1018</v>
      </c>
      <c r="BN75" s="23">
        <v>92</v>
      </c>
      <c r="BO75" s="23">
        <v>641</v>
      </c>
      <c r="BP75" s="23">
        <v>936</v>
      </c>
      <c r="BQ75" s="23">
        <v>95</v>
      </c>
      <c r="BR75" s="23">
        <v>128</v>
      </c>
      <c r="BS75" s="23">
        <v>33</v>
      </c>
      <c r="BT75" s="23">
        <v>75</v>
      </c>
      <c r="BU75" s="23">
        <v>18</v>
      </c>
      <c r="BV75" s="23">
        <v>253</v>
      </c>
      <c r="BW75" s="23">
        <v>772</v>
      </c>
      <c r="BX75" s="23">
        <v>468</v>
      </c>
      <c r="BY75" s="23">
        <v>135</v>
      </c>
      <c r="BZ75" s="23">
        <v>548</v>
      </c>
      <c r="CA75" s="23">
        <v>155</v>
      </c>
      <c r="CB75" s="23">
        <v>1</v>
      </c>
      <c r="CC75" s="23">
        <v>76</v>
      </c>
      <c r="CD75" s="23">
        <v>180</v>
      </c>
      <c r="CE75" s="23">
        <v>1247</v>
      </c>
      <c r="CF75" s="23">
        <v>539</v>
      </c>
      <c r="CG75" s="23">
        <v>4</v>
      </c>
      <c r="CH75" s="23">
        <v>51</v>
      </c>
      <c r="CI75" s="23">
        <v>263</v>
      </c>
      <c r="CJ75" s="23">
        <v>101</v>
      </c>
      <c r="CK75" s="23">
        <v>586</v>
      </c>
      <c r="CL75" s="23">
        <v>712</v>
      </c>
      <c r="CM75" s="23">
        <v>80</v>
      </c>
      <c r="CN75" s="23">
        <v>162</v>
      </c>
      <c r="CO75" s="23">
        <v>2279</v>
      </c>
      <c r="CP75" s="23">
        <v>144</v>
      </c>
      <c r="CQ75" s="23">
        <v>10</v>
      </c>
      <c r="CR75" s="23">
        <v>2046</v>
      </c>
      <c r="CS75" s="23">
        <v>12</v>
      </c>
      <c r="CT75" s="23">
        <v>581</v>
      </c>
      <c r="CU75" s="23">
        <v>1595</v>
      </c>
      <c r="CV75" s="23">
        <v>536</v>
      </c>
      <c r="CW75" s="23">
        <v>13</v>
      </c>
      <c r="CX75" s="23">
        <v>12</v>
      </c>
      <c r="CY75" s="23">
        <v>6</v>
      </c>
      <c r="CZ75" s="23">
        <v>575</v>
      </c>
      <c r="DA75" s="23">
        <v>9</v>
      </c>
      <c r="DB75" s="23">
        <v>16</v>
      </c>
      <c r="DC75" s="23">
        <v>5</v>
      </c>
      <c r="DD75" s="23">
        <v>1041</v>
      </c>
      <c r="DE75" s="23">
        <v>28</v>
      </c>
      <c r="DF75" s="23">
        <v>30</v>
      </c>
      <c r="DG75" s="23">
        <v>73</v>
      </c>
      <c r="DH75" s="23">
        <v>50</v>
      </c>
      <c r="DI75" s="23">
        <v>15</v>
      </c>
      <c r="DJ75" s="23">
        <v>145</v>
      </c>
      <c r="DK75" s="23">
        <v>5</v>
      </c>
      <c r="DL75" s="23">
        <v>11</v>
      </c>
      <c r="DM75" s="23">
        <v>81</v>
      </c>
      <c r="DN75" s="23">
        <v>32964</v>
      </c>
      <c r="DO75" s="23">
        <v>7</v>
      </c>
      <c r="DP75" s="23">
        <v>3</v>
      </c>
      <c r="DQ75" s="23">
        <v>83</v>
      </c>
      <c r="DR75" s="23">
        <v>50871</v>
      </c>
      <c r="DS75" s="23">
        <v>137</v>
      </c>
      <c r="DT75" s="23">
        <v>966</v>
      </c>
      <c r="DU75" s="23">
        <v>28</v>
      </c>
      <c r="DV75" s="23">
        <v>8</v>
      </c>
      <c r="DW75" s="23">
        <v>5</v>
      </c>
      <c r="DX75" s="23">
        <v>8</v>
      </c>
      <c r="DY75" s="23">
        <v>4</v>
      </c>
      <c r="DZ75" s="23">
        <v>68</v>
      </c>
      <c r="EA75" s="23">
        <v>300</v>
      </c>
      <c r="EB75" s="23">
        <v>890</v>
      </c>
      <c r="EC75" s="23">
        <v>887</v>
      </c>
      <c r="ED75" s="23">
        <v>1046</v>
      </c>
      <c r="EE75" s="23">
        <v>32332</v>
      </c>
      <c r="EF75" s="23">
        <v>458</v>
      </c>
      <c r="EG75" s="23">
        <v>2121</v>
      </c>
      <c r="EH75" s="23">
        <v>3035</v>
      </c>
      <c r="EI75" s="23">
        <v>86498</v>
      </c>
      <c r="EJ75" s="23">
        <v>26</v>
      </c>
      <c r="EK75" s="23">
        <v>1468</v>
      </c>
      <c r="EL75" s="23">
        <v>235</v>
      </c>
      <c r="EM75" s="23">
        <v>150</v>
      </c>
      <c r="EN75" s="23">
        <v>31</v>
      </c>
      <c r="EO75" s="23">
        <v>9332</v>
      </c>
      <c r="EP75" s="23">
        <v>225</v>
      </c>
      <c r="EQ75" s="23">
        <v>58</v>
      </c>
      <c r="ER75" s="23">
        <v>280</v>
      </c>
      <c r="ES75" s="23">
        <v>391</v>
      </c>
      <c r="ET75" s="23">
        <v>3</v>
      </c>
      <c r="EU75" s="23">
        <v>56</v>
      </c>
      <c r="EV75" s="23">
        <v>358</v>
      </c>
      <c r="EW75" s="23">
        <v>1605</v>
      </c>
      <c r="EX75" s="23">
        <v>26</v>
      </c>
      <c r="EY75" s="23">
        <v>2161</v>
      </c>
      <c r="EZ75" s="23">
        <v>16</v>
      </c>
      <c r="FA75" s="23">
        <v>139</v>
      </c>
      <c r="FB75" s="23">
        <v>3</v>
      </c>
      <c r="FC75" s="23">
        <v>94</v>
      </c>
      <c r="FD75" s="23">
        <v>717</v>
      </c>
      <c r="FE75" s="23">
        <v>199</v>
      </c>
      <c r="FF75" s="23">
        <v>42</v>
      </c>
      <c r="FG75" s="23">
        <v>11</v>
      </c>
      <c r="FH75" s="23">
        <v>82</v>
      </c>
      <c r="FI75" s="23">
        <v>345</v>
      </c>
      <c r="FJ75" s="23">
        <v>8</v>
      </c>
      <c r="FK75" s="23">
        <v>4</v>
      </c>
      <c r="FL75" s="23">
        <v>33</v>
      </c>
      <c r="FM75" s="23">
        <v>8</v>
      </c>
      <c r="FN75" s="23">
        <v>3</v>
      </c>
      <c r="FO75" s="23">
        <v>8603</v>
      </c>
      <c r="FP75" s="23">
        <v>368</v>
      </c>
      <c r="FQ75" s="23">
        <v>2</v>
      </c>
      <c r="FR75" s="23">
        <v>10</v>
      </c>
      <c r="FS75" s="23">
        <v>70</v>
      </c>
      <c r="FT75" s="23">
        <v>219</v>
      </c>
      <c r="FU75" s="23">
        <v>3755</v>
      </c>
      <c r="FV75" s="23">
        <v>131</v>
      </c>
      <c r="FW75" s="23">
        <v>1373</v>
      </c>
      <c r="FX75" s="23">
        <v>674</v>
      </c>
      <c r="FY75" s="23">
        <v>1</v>
      </c>
      <c r="FZ75" s="23">
        <v>52</v>
      </c>
      <c r="GA75" s="23">
        <v>635</v>
      </c>
      <c r="GB75" s="23">
        <v>803</v>
      </c>
      <c r="GC75" s="23">
        <v>1389</v>
      </c>
      <c r="GD75" s="23">
        <v>4268</v>
      </c>
      <c r="GE75" s="23">
        <v>562</v>
      </c>
      <c r="GF75" s="23">
        <v>1292</v>
      </c>
      <c r="GG75" s="23">
        <v>1036</v>
      </c>
      <c r="GH75" s="23">
        <v>54</v>
      </c>
      <c r="GI75" s="23">
        <v>3</v>
      </c>
      <c r="GJ75" s="23">
        <v>1</v>
      </c>
      <c r="GK75" s="23">
        <v>223</v>
      </c>
      <c r="GL75" s="23">
        <v>1104</v>
      </c>
      <c r="GM75" s="23">
        <v>119</v>
      </c>
      <c r="GN75" s="23">
        <v>457</v>
      </c>
      <c r="GO75" s="23">
        <v>7</v>
      </c>
      <c r="GP75" s="23">
        <v>732</v>
      </c>
      <c r="GQ75" s="23">
        <v>269</v>
      </c>
      <c r="GR75" s="23">
        <v>632</v>
      </c>
      <c r="GS75" s="23">
        <v>3</v>
      </c>
      <c r="GT75" s="23">
        <v>1170</v>
      </c>
      <c r="GU75" s="23">
        <v>65719</v>
      </c>
      <c r="GV75" s="23">
        <v>106</v>
      </c>
      <c r="GW75" s="23">
        <v>3</v>
      </c>
      <c r="GX75" s="23">
        <v>8</v>
      </c>
      <c r="GY75" s="23">
        <v>3069</v>
      </c>
      <c r="GZ75" s="23">
        <v>12928</v>
      </c>
      <c r="HA75" s="23">
        <v>267</v>
      </c>
      <c r="HB75" s="23">
        <v>13</v>
      </c>
      <c r="HC75" s="23">
        <v>1136</v>
      </c>
      <c r="HD75" s="23">
        <v>25</v>
      </c>
      <c r="HE75" s="23">
        <v>66</v>
      </c>
      <c r="HF75" s="23">
        <v>227</v>
      </c>
      <c r="HG75" s="23">
        <v>5698</v>
      </c>
      <c r="HH75" s="23">
        <v>23</v>
      </c>
      <c r="HI75" s="23">
        <v>310</v>
      </c>
      <c r="HJ75" s="23">
        <v>405</v>
      </c>
      <c r="HK75" s="23">
        <v>17</v>
      </c>
      <c r="HL75" s="23">
        <v>8</v>
      </c>
      <c r="HM75" s="23">
        <v>88</v>
      </c>
      <c r="HN75" s="23">
        <v>55</v>
      </c>
      <c r="HO75" s="23">
        <v>29</v>
      </c>
      <c r="HP75" s="23">
        <v>5</v>
      </c>
      <c r="HQ75" s="23">
        <v>14543</v>
      </c>
      <c r="HR75" s="23">
        <v>238</v>
      </c>
      <c r="HS75" s="23">
        <v>101657</v>
      </c>
      <c r="HT75" s="23">
        <v>88</v>
      </c>
      <c r="HU75" s="23">
        <v>107</v>
      </c>
      <c r="HV75" s="23">
        <v>163</v>
      </c>
      <c r="HW75" s="23">
        <v>22</v>
      </c>
      <c r="HX75" s="23">
        <v>5</v>
      </c>
      <c r="HY75" s="23">
        <v>0</v>
      </c>
      <c r="HZ75" s="23">
        <v>11</v>
      </c>
      <c r="IA75" s="23">
        <v>7</v>
      </c>
      <c r="IB75" s="23">
        <v>7</v>
      </c>
      <c r="IC75" s="23">
        <v>5</v>
      </c>
      <c r="ID75" s="23">
        <v>1</v>
      </c>
      <c r="IE75" s="23">
        <v>2</v>
      </c>
      <c r="IF75" s="23">
        <v>0</v>
      </c>
      <c r="IG75" s="23">
        <v>6</v>
      </c>
      <c r="IH75" s="23">
        <v>1</v>
      </c>
      <c r="II75" s="23">
        <v>91</v>
      </c>
      <c r="IJ75" s="23">
        <v>2</v>
      </c>
      <c r="IK75" s="23">
        <v>11</v>
      </c>
      <c r="IL75" s="23">
        <v>2</v>
      </c>
      <c r="IM75" s="23">
        <v>1</v>
      </c>
      <c r="IN75" s="23">
        <v>3</v>
      </c>
      <c r="IO75" s="23">
        <v>86</v>
      </c>
      <c r="IP75" s="23">
        <v>8</v>
      </c>
      <c r="IQ75" s="23">
        <v>0</v>
      </c>
      <c r="IR75" s="23">
        <v>0</v>
      </c>
      <c r="IS75" s="23">
        <v>0</v>
      </c>
      <c r="IT75" s="23">
        <v>0</v>
      </c>
      <c r="IU75" s="23">
        <v>0</v>
      </c>
      <c r="IV75" s="23">
        <v>0</v>
      </c>
      <c r="IW75" s="23">
        <v>0</v>
      </c>
      <c r="IX75" s="23">
        <v>0</v>
      </c>
      <c r="IY75" s="23">
        <v>0</v>
      </c>
      <c r="IZ75" s="23">
        <v>0</v>
      </c>
      <c r="JA75" s="23">
        <v>0</v>
      </c>
      <c r="JB75" s="23">
        <v>0</v>
      </c>
      <c r="JC75" s="23">
        <v>0</v>
      </c>
      <c r="JD75" s="23">
        <v>0</v>
      </c>
      <c r="JE75" s="23">
        <v>0</v>
      </c>
      <c r="JF75" s="23">
        <v>0</v>
      </c>
      <c r="JG75" s="23">
        <v>0</v>
      </c>
      <c r="JH75" s="23">
        <v>0</v>
      </c>
      <c r="JI75" s="23">
        <v>51</v>
      </c>
      <c r="JJ75" s="23">
        <v>0</v>
      </c>
      <c r="JK75" s="23">
        <v>79</v>
      </c>
      <c r="JL75" s="23">
        <v>19</v>
      </c>
      <c r="JM75" s="23">
        <v>587</v>
      </c>
      <c r="JN75" s="23">
        <v>58</v>
      </c>
      <c r="JO75" s="23">
        <v>665</v>
      </c>
      <c r="JP75" s="23">
        <v>381</v>
      </c>
      <c r="JQ75" s="23">
        <v>4657</v>
      </c>
      <c r="JR75" s="23">
        <v>1433</v>
      </c>
      <c r="JS75" s="23">
        <v>1291</v>
      </c>
      <c r="JT75" s="23">
        <v>163</v>
      </c>
      <c r="JU75" s="23">
        <v>271</v>
      </c>
      <c r="JV75" s="23">
        <v>2900</v>
      </c>
      <c r="JW75" s="23">
        <v>2000</v>
      </c>
      <c r="JX75" s="23">
        <v>106</v>
      </c>
      <c r="JY75" s="23">
        <v>205</v>
      </c>
      <c r="JZ75" s="23">
        <v>3024</v>
      </c>
      <c r="KA75" s="23">
        <v>979</v>
      </c>
      <c r="KB75" s="23">
        <v>235</v>
      </c>
      <c r="KC75" s="23">
        <v>206</v>
      </c>
      <c r="KD75" s="23">
        <v>301</v>
      </c>
      <c r="KE75" s="23">
        <v>2744</v>
      </c>
      <c r="KF75" s="23">
        <v>168</v>
      </c>
      <c r="KG75" s="23">
        <v>775</v>
      </c>
      <c r="KH75" s="23">
        <v>3240</v>
      </c>
      <c r="KI75" s="23">
        <v>3634</v>
      </c>
      <c r="KJ75" s="23">
        <v>396</v>
      </c>
      <c r="KK75" s="23">
        <v>579</v>
      </c>
      <c r="KL75" s="23">
        <v>666</v>
      </c>
      <c r="KM75" s="23">
        <v>109</v>
      </c>
      <c r="KN75" s="23">
        <v>82</v>
      </c>
      <c r="KO75" s="23">
        <v>536</v>
      </c>
      <c r="KP75" s="23">
        <v>158</v>
      </c>
      <c r="KQ75" s="23">
        <v>8825</v>
      </c>
      <c r="KR75" s="23">
        <v>136</v>
      </c>
      <c r="KS75" s="23">
        <v>44876</v>
      </c>
      <c r="KT75" s="23">
        <v>887</v>
      </c>
      <c r="KU75" s="23">
        <v>68</v>
      </c>
      <c r="KV75" s="23">
        <v>1137</v>
      </c>
      <c r="KW75" s="23">
        <v>322</v>
      </c>
      <c r="KX75" s="23">
        <v>416</v>
      </c>
      <c r="KY75" s="23">
        <v>2345</v>
      </c>
      <c r="KZ75" s="23">
        <v>203</v>
      </c>
      <c r="LA75" s="23">
        <v>542</v>
      </c>
      <c r="LB75" s="23">
        <v>58</v>
      </c>
      <c r="LC75" s="23">
        <v>1318</v>
      </c>
      <c r="LD75" s="23">
        <v>1937</v>
      </c>
      <c r="LE75" s="23">
        <v>472</v>
      </c>
      <c r="LF75" s="23">
        <v>184</v>
      </c>
      <c r="LG75" s="23">
        <v>607</v>
      </c>
      <c r="LH75" s="23">
        <v>3477</v>
      </c>
      <c r="LI75" s="23">
        <v>76</v>
      </c>
      <c r="LJ75" s="23">
        <v>926</v>
      </c>
      <c r="LK75" s="23">
        <v>70</v>
      </c>
      <c r="LL75" s="23">
        <v>49</v>
      </c>
      <c r="LM75" s="23">
        <v>28</v>
      </c>
      <c r="LN75" s="278">
        <f ca="1">$A75 - TST!Sweden100dt + 1</f>
        <v>21</v>
      </c>
      <c r="LO75" s="20">
        <f ca="1">INDEX(OFFSET(TST!HeadRow,ROW()-ROW(TST!HeadRow),0,1,COLUMNS(TST!HeadRow)),1,MATCH(LO$5,TST!HeadRow,0))/LO$8</f>
        <v>3000.0000000000005</v>
      </c>
      <c r="LP75" s="278">
        <f ca="1">$A75 - TST!Spain100dt + 1</f>
        <v>21</v>
      </c>
      <c r="LQ75" s="20">
        <f ca="1">INDEX(OFFSET(TST!HeadRow,ROW()-ROW(TST!HeadRow),0,1,COLUMNS(TST!HeadRow)),1,MATCH(LQ$5,TST!HeadRow,0))/LQ$8</f>
        <v>14000.63911376225</v>
      </c>
      <c r="LR75" s="285">
        <f ca="1">$A75 - TST!Victoria100dt + 1</f>
        <v>12</v>
      </c>
      <c r="LS75" s="20">
        <f ca="1">INDEX(OFFSET(TST!HeadRow,ROW()-ROW(TST!HeadRow),0,1,COLUMNS(TST!HeadRow)),1,MATCH(LS$5,TST!HeadRow,0))/LS$8</f>
        <v>865.89229144667365</v>
      </c>
      <c r="LT75" s="278">
        <f ca="1">$A75 - TST!Iran100dt + 1</f>
        <v>27</v>
      </c>
      <c r="LU75" s="20">
        <f ca="1">INDEX(OFFSET(TST!HeadRow,ROW()-ROW(TST!HeadRow),0,1,COLUMNS(TST!HeadRow)),1,MATCH(LU$5,TST!HeadRow,0))/LU$8</f>
        <v>3859.4773972520979</v>
      </c>
      <c r="LV75" s="278">
        <f ca="1">$A75 - TST!Japan100dt + 1</f>
        <v>3</v>
      </c>
      <c r="LW75" s="20">
        <f ca="1">INDEX(OFFSET(TST!HeadRow,ROW()-ROW(TST!HeadRow),0,1,COLUMNS(TST!HeadRow)),1,MATCH(LW$5,TST!HeadRow,0))/LW$8</f>
        <v>115.99772786684927</v>
      </c>
      <c r="LX75" s="278">
        <f ca="1">$A75 - TST!Queensland100dt + 1</f>
        <v>13</v>
      </c>
      <c r="LY75" s="20">
        <f ca="1">INDEX(OFFSET(TST!HeadRow,ROW()-ROW(TST!HeadRow),0,1,COLUMNS(TST!HeadRow)),1,MATCH(LY$5,TST!HeadRow,0))/LY$8</f>
        <v>1084.9483261593161</v>
      </c>
      <c r="LZ75" s="278">
        <f ca="1">$A75 - TST!Tasmania100dt + 1</f>
        <v>13</v>
      </c>
      <c r="MA75" s="20">
        <f ca="1">INDEX(OFFSET(TST!HeadRow,ROW()-ROW(TST!HeadRow),0,1,COLUMNS(TST!HeadRow)),1,MATCH(MA$5,TST!HeadRow,0))/MA$8</f>
        <v>912.62135922330106</v>
      </c>
      <c r="MB75" s="278">
        <f ca="1">$A75 - TST!SouthAustralia100dt + 1</f>
        <v>14</v>
      </c>
      <c r="MC75" s="20">
        <f ca="1">INDEX(OFFSET(TST!HeadRow,ROW()-ROW(TST!HeadRow),0,1,COLUMNS(TST!HeadRow)),1,MATCH(MC$5,TST!HeadRow,0))/MC$8</f>
        <v>1538.9221556886228</v>
      </c>
      <c r="MD75" s="278">
        <f ca="1">$A75 - TST!AustralianCapitalTerritory100dt + 1</f>
        <v>8</v>
      </c>
      <c r="ME75" s="20">
        <f ca="1">INDEX(OFFSET(TST!HeadRow,ROW()-ROW(TST!HeadRow),0,1,COLUMNS(TST!HeadRow)),1,MATCH(ME$5,TST!HeadRow,0))/ME$8</f>
        <v>1448.3950848011962</v>
      </c>
      <c r="MF75" s="278">
        <f ca="1">$A75 - TST!NorthernTerritory100dt + 1</f>
        <v>8</v>
      </c>
      <c r="MG75" s="20">
        <f ca="1">INDEX(OFFSET(TST!HeadRow,ROW()-ROW(TST!HeadRow),0,1,COLUMNS(TST!HeadRow)),1,MATCH(MG$5,TST!HeadRow,0))/MG$8</f>
        <v>566.1846233692703</v>
      </c>
      <c r="MH75" s="278">
        <f ca="1">$A75 - TST!WesternAustralia100dt + 1</f>
        <v>12</v>
      </c>
      <c r="MI75" s="20">
        <f ca="1">INDEX(OFFSET(TST!HeadRow,ROW()-ROW(TST!HeadRow),0,1,COLUMNS(TST!HeadRow)),1,MATCH(MI$5,TST!HeadRow,0))/MI$8</f>
        <v>892.23638470451908</v>
      </c>
      <c r="MJ75" s="278">
        <f ca="1">$A75 - TST!Germany100dt + 1</f>
        <v>20</v>
      </c>
      <c r="MK75" s="20">
        <f ca="1">INDEX(OFFSET(TST!HeadRow,ROW()-ROW(TST!HeadRow),0,1,COLUMNS(TST!HeadRow)),1,MATCH(MK$5,TST!HeadRow,0))/MK$8</f>
        <v>6127.5596241869434</v>
      </c>
      <c r="ML75" s="278">
        <f ca="1">$A75 - TST!Denmark100dt + 1</f>
        <v>19</v>
      </c>
      <c r="MM75" s="20">
        <f ca="1">INDEX(OFFSET(TST!HeadRow,ROW()-ROW(TST!HeadRow),0,1,COLUMNS(TST!HeadRow)),1,MATCH(MM$5,TST!HeadRow,0))/MM$8</f>
        <v>3523.9407509472958</v>
      </c>
      <c r="MN75" s="278">
        <f ca="1">$A75 - TST!SouthAfrica100dt + 1</f>
        <v>3</v>
      </c>
      <c r="MO75" s="20">
        <f ca="1">INDEX(OFFSET(TST!HeadRow,ROW()-ROW(TST!HeadRow),0,1,COLUMNS(TST!HeadRow)),1,MATCH(MO$5,TST!HeadRow,0))/MO$8</f>
        <v>202.49221183800626</v>
      </c>
      <c r="MP75" s="278">
        <f ca="1">$A75 - TST!UnitedKingdom100dt + 1</f>
        <v>15</v>
      </c>
      <c r="MQ75" s="20">
        <f ca="1">INDEX(OFFSET(TST!HeadRow,ROW()-ROW(TST!HeadRow),0,1,COLUMNS(TST!HeadRow)),1,MATCH(MQ$5,TST!HeadRow,0))/MQ$8</f>
        <v>2188.8922335942202</v>
      </c>
      <c r="MR75" s="278">
        <f ca="1">$A75 - TST!Ireland100dt + 1</f>
        <v>15</v>
      </c>
      <c r="MS75" s="20">
        <f ca="1">INDEX(OFFSET(TST!HeadRow,ROW()-ROW(TST!HeadRow),0,1,COLUMNS(TST!HeadRow)),1,MATCH(MS$5,TST!HeadRow,0))/MS$8</f>
        <v>4328.5714285714284</v>
      </c>
      <c r="MT75" s="278">
        <f ca="1">$A75 - TST!Italy100dt + 1</f>
        <v>30</v>
      </c>
      <c r="MU75" s="20">
        <f ca="1">INDEX(OFFSET(TST!HeadRow,ROW()-ROW(TST!HeadRow),0,1,COLUMNS(TST!HeadRow)),1,MATCH(MU$5,TST!HeadRow,0))/MU$8</f>
        <v>14300.735719599901</v>
      </c>
      <c r="MV75" s="278">
        <f ca="1">$A75 - TST!US100dt + 1</f>
        <v>13</v>
      </c>
      <c r="MW75" s="20">
        <f ca="1">INDEX(OFFSET(TST!HeadRow,ROW()-ROW(TST!HeadRow),0,1,COLUMNS(TST!HeadRow)),1,MATCH(MW$5,TST!HeadRow,0))/MW$8</f>
        <v>3087.7409706531844</v>
      </c>
      <c r="MX75" s="278">
        <f ca="1">$A75 - TST!AustraliaSum100dt + 1</f>
        <v>13</v>
      </c>
      <c r="MY75" s="366">
        <f t="shared" si="9"/>
        <v>1239.1578615360354</v>
      </c>
      <c r="MZ75" s="278">
        <f ca="1">$A75 - TST!NewSouthWales100dt + 1</f>
        <v>15</v>
      </c>
      <c r="NA75" s="366">
        <f ca="1">INDEX(OFFSET(TST!HeadRow,ROW()-ROW(TST!HeadRow),0,1,COLUMNS(TST!HeadRow)),1,MATCH(NA$5,TST!HeadRow,0))/NA$8</f>
        <v>1738.8613861386139</v>
      </c>
      <c r="NB75" s="278">
        <f ca="1">$A75 - TST!Taiwan100dt + 1</f>
        <v>2</v>
      </c>
      <c r="NC75" s="366">
        <f ca="1">INDEX(OFFSET(TST!HeadRow,ROW()-ROW(TST!HeadRow),0,1,COLUMNS(TST!HeadRow)),1,MATCH(NC$5,TST!HeadRow,0))/NC$8</f>
        <v>112.15055964809422</v>
      </c>
      <c r="ND75" s="20">
        <f ca="1">$A75 - TST!Hubei100dt + 1</f>
        <v>63</v>
      </c>
      <c r="NE75" s="20">
        <f ca="1">INDEX(OFFSET(TST!HeadRow,ROW()-ROW(TST!HeadRow),0,1,COLUMNS(TST!HeadRow)),1,MATCH(NE$5,TST!HeadRow,0))/NE$8</f>
        <v>11589.914529914531</v>
      </c>
      <c r="NF75" s="20">
        <f ca="1">$A75 - TST!HongKong100dt + 1</f>
        <v>33</v>
      </c>
      <c r="NG75" s="20">
        <f ca="1">INDEX(OFFSET(TST!HeadRow,ROW()-ROW(TST!HeadRow),0,1,COLUMNS(TST!HeadRow)),1,MATCH(NG$5,TST!HeadRow,0))/NG$8</f>
        <v>696.55079855053009</v>
      </c>
    </row>
    <row r="76" spans="1:371" x14ac:dyDescent="0.25">
      <c r="A76" s="243">
        <v>43918</v>
      </c>
      <c r="B76" s="23">
        <v>110</v>
      </c>
      <c r="C76" s="23">
        <v>197</v>
      </c>
      <c r="D76" s="23">
        <v>454</v>
      </c>
      <c r="E76" s="23">
        <v>308</v>
      </c>
      <c r="F76" s="23">
        <v>5</v>
      </c>
      <c r="G76" s="23">
        <v>7</v>
      </c>
      <c r="H76" s="23">
        <v>690</v>
      </c>
      <c r="I76" s="23">
        <v>407</v>
      </c>
      <c r="J76" s="23">
        <v>71</v>
      </c>
      <c r="K76" s="293">
        <v>1617</v>
      </c>
      <c r="L76" s="23">
        <v>15</v>
      </c>
      <c r="M76" s="290">
        <v>625</v>
      </c>
      <c r="N76" s="23">
        <v>287</v>
      </c>
      <c r="O76" s="384">
        <v>62</v>
      </c>
      <c r="P76" s="287">
        <v>685</v>
      </c>
      <c r="Q76" s="23">
        <v>278</v>
      </c>
      <c r="R76" s="23">
        <v>8271</v>
      </c>
      <c r="S76" s="23">
        <v>182</v>
      </c>
      <c r="T76" s="23">
        <v>10</v>
      </c>
      <c r="U76" s="23">
        <v>476</v>
      </c>
      <c r="V76" s="23">
        <v>48</v>
      </c>
      <c r="W76" s="23">
        <v>26</v>
      </c>
      <c r="X76" s="23">
        <v>94</v>
      </c>
      <c r="Y76" s="23">
        <v>9134</v>
      </c>
      <c r="Z76" s="23">
        <v>6</v>
      </c>
      <c r="AA76" s="23">
        <v>3</v>
      </c>
      <c r="AB76" s="23">
        <v>74</v>
      </c>
      <c r="AC76" s="23">
        <v>258</v>
      </c>
      <c r="AD76" s="23">
        <v>3904</v>
      </c>
      <c r="AE76" s="23">
        <v>120</v>
      </c>
      <c r="AF76" s="23">
        <v>331</v>
      </c>
      <c r="AG76" s="23">
        <v>207</v>
      </c>
      <c r="AH76" s="23">
        <v>5</v>
      </c>
      <c r="AI76" s="23">
        <v>99</v>
      </c>
      <c r="AJ76" s="23">
        <v>91</v>
      </c>
      <c r="AK76" s="23">
        <v>542</v>
      </c>
      <c r="AL76" s="23">
        <v>884</v>
      </c>
      <c r="AM76" s="23">
        <v>13</v>
      </c>
      <c r="AN76" s="23">
        <v>64</v>
      </c>
      <c r="AO76" s="23">
        <v>51</v>
      </c>
      <c r="AP76" s="23">
        <v>120</v>
      </c>
      <c r="AQ76" s="23">
        <v>110</v>
      </c>
      <c r="AR76" s="23">
        <v>1144</v>
      </c>
      <c r="AS76" s="23">
        <v>11</v>
      </c>
      <c r="AT76" s="23">
        <v>2498</v>
      </c>
      <c r="AU76" s="23">
        <v>134</v>
      </c>
      <c r="AV76" s="23">
        <v>3</v>
      </c>
      <c r="AW76" s="23">
        <v>3</v>
      </c>
      <c r="AX76" s="23">
        <v>1909</v>
      </c>
      <c r="AY76" s="23">
        <v>990</v>
      </c>
      <c r="AZ76" s="23">
        <v>573</v>
      </c>
      <c r="BA76" s="23">
        <v>578</v>
      </c>
      <c r="BB76" s="23">
        <v>337</v>
      </c>
      <c r="BC76" s="23">
        <v>136</v>
      </c>
      <c r="BD76" s="23">
        <v>1467</v>
      </c>
      <c r="BE76" s="23">
        <v>254</v>
      </c>
      <c r="BF76" s="23">
        <v>146</v>
      </c>
      <c r="BG76" s="23">
        <v>168</v>
      </c>
      <c r="BH76" s="23">
        <v>319</v>
      </c>
      <c r="BI76" s="23">
        <v>484</v>
      </c>
      <c r="BJ76" s="23">
        <v>1275</v>
      </c>
      <c r="BK76" s="23">
        <v>561</v>
      </c>
      <c r="BL76" s="23">
        <v>67801</v>
      </c>
      <c r="BM76" s="23">
        <v>1018</v>
      </c>
      <c r="BN76" s="23">
        <v>94</v>
      </c>
      <c r="BO76" s="23">
        <v>641</v>
      </c>
      <c r="BP76" s="23">
        <v>936</v>
      </c>
      <c r="BQ76" s="23">
        <v>97</v>
      </c>
      <c r="BR76" s="23">
        <v>132</v>
      </c>
      <c r="BS76" s="23">
        <v>37</v>
      </c>
      <c r="BT76" s="23">
        <v>75</v>
      </c>
      <c r="BU76" s="23">
        <v>18</v>
      </c>
      <c r="BV76" s="23">
        <v>253</v>
      </c>
      <c r="BW76" s="23">
        <v>772</v>
      </c>
      <c r="BX76" s="23">
        <v>485</v>
      </c>
      <c r="BY76" s="23">
        <v>135</v>
      </c>
      <c r="BZ76" s="23">
        <v>548</v>
      </c>
      <c r="CA76" s="23">
        <v>161</v>
      </c>
      <c r="CB76" s="23">
        <v>1</v>
      </c>
      <c r="CC76" s="23">
        <v>76</v>
      </c>
      <c r="CD76" s="23">
        <v>180</v>
      </c>
      <c r="CE76" s="23">
        <v>1251</v>
      </c>
      <c r="CF76" s="23">
        <v>608</v>
      </c>
      <c r="CG76" s="23">
        <v>4</v>
      </c>
      <c r="CH76" s="23">
        <v>65</v>
      </c>
      <c r="CI76" s="23">
        <v>295</v>
      </c>
      <c r="CJ76" s="23">
        <v>101</v>
      </c>
      <c r="CK76" s="23">
        <v>657</v>
      </c>
      <c r="CL76" s="23">
        <v>712</v>
      </c>
      <c r="CM76" s="23">
        <v>119</v>
      </c>
      <c r="CN76" s="23">
        <v>179</v>
      </c>
      <c r="CO76" s="23">
        <v>2631</v>
      </c>
      <c r="CP76" s="23">
        <v>155</v>
      </c>
      <c r="CQ76" s="23">
        <v>10</v>
      </c>
      <c r="CR76" s="23">
        <v>2201</v>
      </c>
      <c r="CS76" s="23">
        <v>14</v>
      </c>
      <c r="CT76" s="23">
        <v>719</v>
      </c>
      <c r="CU76" s="23">
        <v>1823</v>
      </c>
      <c r="CV76" s="23">
        <v>576</v>
      </c>
      <c r="CW76" s="23">
        <v>19</v>
      </c>
      <c r="CX76" s="23">
        <v>12</v>
      </c>
      <c r="CY76" s="23">
        <v>6</v>
      </c>
      <c r="CZ76" s="23">
        <v>645</v>
      </c>
      <c r="DA76" s="23">
        <v>9</v>
      </c>
      <c r="DB76" s="23">
        <v>16</v>
      </c>
      <c r="DC76" s="23">
        <v>5</v>
      </c>
      <c r="DD76" s="23">
        <v>1167</v>
      </c>
      <c r="DE76" s="23">
        <v>28</v>
      </c>
      <c r="DF76" s="23">
        <v>30</v>
      </c>
      <c r="DG76" s="23">
        <v>102</v>
      </c>
      <c r="DH76" s="23">
        <v>63</v>
      </c>
      <c r="DI76" s="23">
        <v>15</v>
      </c>
      <c r="DJ76" s="23">
        <v>183</v>
      </c>
      <c r="DK76" s="23">
        <v>5</v>
      </c>
      <c r="DL76" s="23">
        <v>11</v>
      </c>
      <c r="DM76" s="23">
        <v>93</v>
      </c>
      <c r="DN76" s="23">
        <v>37575</v>
      </c>
      <c r="DO76" s="23">
        <v>7</v>
      </c>
      <c r="DP76" s="23">
        <v>3</v>
      </c>
      <c r="DQ76" s="23">
        <v>90</v>
      </c>
      <c r="DR76" s="23">
        <v>57695</v>
      </c>
      <c r="DS76" s="23">
        <v>141</v>
      </c>
      <c r="DT76" s="23">
        <v>1061</v>
      </c>
      <c r="DU76" s="23">
        <v>34</v>
      </c>
      <c r="DV76" s="23">
        <v>8</v>
      </c>
      <c r="DW76" s="23">
        <v>8</v>
      </c>
      <c r="DX76" s="23">
        <v>8</v>
      </c>
      <c r="DY76" s="23">
        <v>6</v>
      </c>
      <c r="DZ76" s="23">
        <v>95</v>
      </c>
      <c r="EA76" s="23">
        <v>343</v>
      </c>
      <c r="EB76" s="23">
        <v>963</v>
      </c>
      <c r="EC76" s="23">
        <v>987</v>
      </c>
      <c r="ED76" s="23">
        <v>1155</v>
      </c>
      <c r="EE76" s="23">
        <v>35408</v>
      </c>
      <c r="EF76" s="23">
        <v>506</v>
      </c>
      <c r="EG76" s="23">
        <v>2415</v>
      </c>
      <c r="EH76" s="23">
        <v>3619</v>
      </c>
      <c r="EI76" s="23">
        <v>92472</v>
      </c>
      <c r="EJ76" s="23">
        <v>30</v>
      </c>
      <c r="EK76" s="23">
        <v>1693</v>
      </c>
      <c r="EL76" s="23">
        <v>246</v>
      </c>
      <c r="EM76" s="23">
        <v>228</v>
      </c>
      <c r="EN76" s="23">
        <v>38</v>
      </c>
      <c r="EO76" s="23">
        <v>9478</v>
      </c>
      <c r="EP76" s="23">
        <v>235</v>
      </c>
      <c r="EQ76" s="23">
        <v>58</v>
      </c>
      <c r="ER76" s="23">
        <v>305</v>
      </c>
      <c r="ES76" s="23">
        <v>412</v>
      </c>
      <c r="ET76" s="23">
        <v>3</v>
      </c>
      <c r="EU76" s="23">
        <v>56</v>
      </c>
      <c r="EV76" s="23">
        <v>394</v>
      </c>
      <c r="EW76" s="23">
        <v>1831</v>
      </c>
      <c r="EX76" s="23">
        <v>26</v>
      </c>
      <c r="EY76" s="23">
        <v>2320</v>
      </c>
      <c r="EZ76" s="23">
        <v>16</v>
      </c>
      <c r="FA76" s="23">
        <v>149</v>
      </c>
      <c r="FB76" s="23">
        <v>5</v>
      </c>
      <c r="FC76" s="23">
        <v>102</v>
      </c>
      <c r="FD76" s="23">
        <v>848</v>
      </c>
      <c r="FE76" s="23">
        <v>231</v>
      </c>
      <c r="FF76" s="23">
        <v>42</v>
      </c>
      <c r="FG76" s="23">
        <v>12</v>
      </c>
      <c r="FH76" s="23">
        <v>84</v>
      </c>
      <c r="FI76" s="23">
        <v>402</v>
      </c>
      <c r="FJ76" s="23">
        <v>8</v>
      </c>
      <c r="FK76" s="23">
        <v>5</v>
      </c>
      <c r="FL76" s="23">
        <v>46</v>
      </c>
      <c r="FM76" s="23">
        <v>8</v>
      </c>
      <c r="FN76" s="23">
        <v>3</v>
      </c>
      <c r="FO76" s="23">
        <v>9762</v>
      </c>
      <c r="FP76" s="23">
        <v>451</v>
      </c>
      <c r="FQ76" s="23">
        <v>4</v>
      </c>
      <c r="FR76" s="23">
        <v>10</v>
      </c>
      <c r="FS76" s="23">
        <v>89</v>
      </c>
      <c r="FT76" s="23">
        <v>241</v>
      </c>
      <c r="FU76" s="23">
        <v>4015</v>
      </c>
      <c r="FV76" s="23">
        <v>152</v>
      </c>
      <c r="FW76" s="23">
        <v>1495</v>
      </c>
      <c r="FX76" s="23">
        <v>786</v>
      </c>
      <c r="FY76" s="23">
        <v>1</v>
      </c>
      <c r="FZ76" s="23">
        <v>56</v>
      </c>
      <c r="GA76" s="23">
        <v>671</v>
      </c>
      <c r="GB76" s="23">
        <v>1075</v>
      </c>
      <c r="GC76" s="23">
        <v>1638</v>
      </c>
      <c r="GD76" s="23">
        <v>5170</v>
      </c>
      <c r="GE76" s="23">
        <v>590</v>
      </c>
      <c r="GF76" s="23">
        <v>1452</v>
      </c>
      <c r="GG76" s="23">
        <v>1264</v>
      </c>
      <c r="GH76" s="23">
        <v>60</v>
      </c>
      <c r="GI76" s="23">
        <v>3</v>
      </c>
      <c r="GJ76" s="23">
        <v>1</v>
      </c>
      <c r="GK76" s="23">
        <v>224</v>
      </c>
      <c r="GL76" s="23">
        <v>1203</v>
      </c>
      <c r="GM76" s="23">
        <v>130</v>
      </c>
      <c r="GN76" s="23">
        <v>659</v>
      </c>
      <c r="GO76" s="23">
        <v>8</v>
      </c>
      <c r="GP76" s="23">
        <v>802</v>
      </c>
      <c r="GQ76" s="23">
        <v>292</v>
      </c>
      <c r="GR76" s="23">
        <v>684</v>
      </c>
      <c r="GS76" s="23">
        <v>3</v>
      </c>
      <c r="GT76" s="23">
        <v>1187</v>
      </c>
      <c r="GU76" s="23">
        <v>73235</v>
      </c>
      <c r="GV76" s="23">
        <v>113</v>
      </c>
      <c r="GW76" s="23">
        <v>5</v>
      </c>
      <c r="GX76" s="23">
        <v>8</v>
      </c>
      <c r="GY76" s="23">
        <v>3447</v>
      </c>
      <c r="GZ76" s="23">
        <v>14076</v>
      </c>
      <c r="HA76" s="23">
        <v>283</v>
      </c>
      <c r="HB76" s="23">
        <v>14</v>
      </c>
      <c r="HC76" s="23">
        <v>1245</v>
      </c>
      <c r="HD76" s="23">
        <v>25</v>
      </c>
      <c r="HE76" s="23">
        <v>74</v>
      </c>
      <c r="HF76" s="23">
        <v>278</v>
      </c>
      <c r="HG76" s="23">
        <v>7402</v>
      </c>
      <c r="HH76" s="23">
        <v>30</v>
      </c>
      <c r="HI76" s="23">
        <v>356</v>
      </c>
      <c r="HJ76" s="23">
        <v>468</v>
      </c>
      <c r="HK76" s="23">
        <v>17</v>
      </c>
      <c r="HL76" s="23">
        <v>8</v>
      </c>
      <c r="HM76" s="23">
        <v>97</v>
      </c>
      <c r="HN76" s="23">
        <v>56</v>
      </c>
      <c r="HO76" s="23">
        <v>32</v>
      </c>
      <c r="HP76" s="23">
        <v>5</v>
      </c>
      <c r="HQ76" s="23">
        <v>17089</v>
      </c>
      <c r="HR76" s="23">
        <v>274</v>
      </c>
      <c r="HS76" s="23">
        <v>121465</v>
      </c>
      <c r="HT76" s="23">
        <v>104</v>
      </c>
      <c r="HU76" s="23">
        <v>119</v>
      </c>
      <c r="HV76" s="23">
        <v>174</v>
      </c>
      <c r="HW76" s="23">
        <v>28</v>
      </c>
      <c r="HX76" s="23">
        <v>7</v>
      </c>
      <c r="HY76" s="23">
        <v>0</v>
      </c>
      <c r="HZ76" s="23">
        <v>11</v>
      </c>
      <c r="IA76" s="23">
        <v>7</v>
      </c>
      <c r="IB76" s="23">
        <v>8</v>
      </c>
      <c r="IC76" s="23">
        <v>5</v>
      </c>
      <c r="ID76" s="23">
        <v>1</v>
      </c>
      <c r="IE76" s="23">
        <v>2</v>
      </c>
      <c r="IF76" s="23">
        <v>0</v>
      </c>
      <c r="IG76" s="23">
        <v>8</v>
      </c>
      <c r="IH76" s="23">
        <v>3</v>
      </c>
      <c r="II76" s="23">
        <v>98</v>
      </c>
      <c r="IJ76" s="23">
        <v>2</v>
      </c>
      <c r="IK76" s="23">
        <v>18</v>
      </c>
      <c r="IL76" s="23">
        <v>2</v>
      </c>
      <c r="IM76" s="23">
        <v>1</v>
      </c>
      <c r="IN76" s="23">
        <v>4</v>
      </c>
      <c r="IO76" s="23">
        <v>91</v>
      </c>
      <c r="IP76" s="23">
        <v>8</v>
      </c>
      <c r="IQ76" s="23">
        <v>2</v>
      </c>
      <c r="IR76" s="23">
        <v>2</v>
      </c>
      <c r="IS76" s="23">
        <v>4</v>
      </c>
      <c r="IT76" s="23">
        <v>2</v>
      </c>
      <c r="IU76" s="23">
        <v>0</v>
      </c>
      <c r="IV76" s="23">
        <v>0</v>
      </c>
      <c r="IW76" s="23">
        <v>0</v>
      </c>
      <c r="IX76" s="23">
        <v>0</v>
      </c>
      <c r="IY76" s="23">
        <v>0</v>
      </c>
      <c r="IZ76" s="23">
        <v>0</v>
      </c>
      <c r="JA76" s="23">
        <v>0</v>
      </c>
      <c r="JB76" s="23">
        <v>0</v>
      </c>
      <c r="JC76" s="23">
        <v>0</v>
      </c>
      <c r="JD76" s="23">
        <v>0</v>
      </c>
      <c r="JE76" s="23">
        <v>0</v>
      </c>
      <c r="JF76" s="23">
        <v>0</v>
      </c>
      <c r="JG76" s="23">
        <v>0</v>
      </c>
      <c r="JH76" s="23">
        <v>0</v>
      </c>
      <c r="JI76" s="23">
        <v>55</v>
      </c>
      <c r="JJ76" s="23">
        <v>0</v>
      </c>
      <c r="JK76" s="23">
        <v>100</v>
      </c>
      <c r="JL76" s="23">
        <v>22</v>
      </c>
      <c r="JM76" s="23">
        <v>694</v>
      </c>
      <c r="JN76" s="23">
        <v>85</v>
      </c>
      <c r="JO76" s="23">
        <v>773</v>
      </c>
      <c r="JP76" s="23">
        <v>409</v>
      </c>
      <c r="JQ76" s="23">
        <v>5095</v>
      </c>
      <c r="JR76" s="23">
        <v>1740</v>
      </c>
      <c r="JS76" s="23">
        <v>1524</v>
      </c>
      <c r="JT76" s="23">
        <v>214</v>
      </c>
      <c r="JU76" s="23">
        <v>304</v>
      </c>
      <c r="JV76" s="23">
        <v>3763</v>
      </c>
      <c r="JW76" s="23">
        <v>2366</v>
      </c>
      <c r="JX76" s="23">
        <v>149</v>
      </c>
      <c r="JY76" s="23">
        <v>234</v>
      </c>
      <c r="JZ76" s="23">
        <v>3491</v>
      </c>
      <c r="KA76" s="23">
        <v>1233</v>
      </c>
      <c r="KB76" s="23">
        <v>298</v>
      </c>
      <c r="KC76" s="23">
        <v>266</v>
      </c>
      <c r="KD76" s="23">
        <v>380</v>
      </c>
      <c r="KE76" s="23">
        <v>3315</v>
      </c>
      <c r="KF76" s="23">
        <v>211</v>
      </c>
      <c r="KG76" s="23">
        <v>995</v>
      </c>
      <c r="KH76" s="23">
        <v>4257</v>
      </c>
      <c r="KI76" s="23">
        <v>4650</v>
      </c>
      <c r="KJ76" s="23">
        <v>441</v>
      </c>
      <c r="KK76" s="23">
        <v>663</v>
      </c>
      <c r="KL76" s="23">
        <v>836</v>
      </c>
      <c r="KM76" s="23">
        <v>129</v>
      </c>
      <c r="KN76" s="23">
        <v>96</v>
      </c>
      <c r="KO76" s="23">
        <v>626</v>
      </c>
      <c r="KP76" s="23">
        <v>187</v>
      </c>
      <c r="KQ76" s="23">
        <v>11124</v>
      </c>
      <c r="KR76" s="23">
        <v>208</v>
      </c>
      <c r="KS76" s="23">
        <v>52410</v>
      </c>
      <c r="KT76" s="23">
        <v>1020</v>
      </c>
      <c r="KU76" s="23">
        <v>94</v>
      </c>
      <c r="KV76" s="23">
        <v>1406</v>
      </c>
      <c r="KW76" s="23">
        <v>377</v>
      </c>
      <c r="KX76" s="23">
        <v>479</v>
      </c>
      <c r="KY76" s="23">
        <v>2845</v>
      </c>
      <c r="KZ76" s="23">
        <v>239</v>
      </c>
      <c r="LA76" s="23">
        <v>660</v>
      </c>
      <c r="LB76" s="23">
        <v>68</v>
      </c>
      <c r="LC76" s="23">
        <v>1511</v>
      </c>
      <c r="LD76" s="23">
        <v>2455</v>
      </c>
      <c r="LE76" s="23">
        <v>602</v>
      </c>
      <c r="LF76" s="23">
        <v>211</v>
      </c>
      <c r="LG76" s="23">
        <v>740</v>
      </c>
      <c r="LH76" s="23">
        <v>4030</v>
      </c>
      <c r="LI76" s="23">
        <v>96</v>
      </c>
      <c r="LJ76" s="23">
        <v>1055</v>
      </c>
      <c r="LK76" s="23">
        <v>82</v>
      </c>
      <c r="LL76" s="23">
        <v>49</v>
      </c>
      <c r="LM76" s="23">
        <v>103</v>
      </c>
      <c r="LN76" s="278">
        <f ca="1">$A76 - TST!Sweden100dt + 1</f>
        <v>22</v>
      </c>
      <c r="LO76" s="20">
        <f ca="1">INDEX(OFFSET(TST!HeadRow,ROW()-ROW(TST!HeadRow),0,1,COLUMNS(TST!HeadRow)),1,MATCH(LO$5,TST!HeadRow,0))/LO$8</f>
        <v>3369.5014662756603</v>
      </c>
      <c r="LP76" s="278">
        <f ca="1">$A76 - TST!Spain100dt + 1</f>
        <v>22</v>
      </c>
      <c r="LQ76" s="20">
        <f ca="1">INDEX(OFFSET(TST!HeadRow,ROW()-ROW(TST!HeadRow),0,1,COLUMNS(TST!HeadRow)),1,MATCH(LQ$5,TST!HeadRow,0))/LQ$8</f>
        <v>15601.83212611845</v>
      </c>
      <c r="LR76" s="285">
        <f ca="1">$A76 - TST!Victoria100dt + 1</f>
        <v>13</v>
      </c>
      <c r="LS76" s="20">
        <f ca="1">INDEX(OFFSET(TST!HeadRow,ROW()-ROW(TST!HeadRow),0,1,COLUMNS(TST!HeadRow)),1,MATCH(LS$5,TST!HeadRow,0))/LS$8</f>
        <v>1033.3383617438526</v>
      </c>
      <c r="LT76" s="278">
        <f ca="1">$A76 - TST!Iran100dt + 1</f>
        <v>28</v>
      </c>
      <c r="LU76" s="20">
        <f ca="1">INDEX(OFFSET(TST!HeadRow,ROW()-ROW(TST!HeadRow),0,1,COLUMNS(TST!HeadRow)),1,MATCH(LU$5,TST!HeadRow,0))/LU$8</f>
        <v>4226.66014109558</v>
      </c>
      <c r="LV76" s="278">
        <f ca="1">$A76 - TST!Japan100dt + 1</f>
        <v>4</v>
      </c>
      <c r="LW76" s="20">
        <f ca="1">INDEX(OFFSET(TST!HeadRow,ROW()-ROW(TST!HeadRow),0,1,COLUMNS(TST!HeadRow)),1,MATCH(LW$5,TST!HeadRow,0))/LW$8</f>
        <v>133.77667117069197</v>
      </c>
      <c r="LX76" s="278">
        <f ca="1">$A76 - TST!Queensland100dt + 1</f>
        <v>14</v>
      </c>
      <c r="LY76" s="20">
        <f ca="1">INDEX(OFFSET(TST!HeadRow,ROW()-ROW(TST!HeadRow),0,1,COLUMNS(TST!HeadRow)),1,MATCH(LY$5,TST!HeadRow,0))/LY$8</f>
        <v>1221.7886555848156</v>
      </c>
      <c r="LZ76" s="278">
        <f ca="1">$A76 - TST!Tasmania100dt + 1</f>
        <v>14</v>
      </c>
      <c r="MA76" s="20">
        <f ca="1">INDEX(OFFSET(TST!HeadRow,ROW()-ROW(TST!HeadRow),0,1,COLUMNS(TST!HeadRow)),1,MATCH(MA$5,TST!HeadRow,0))/MA$8</f>
        <v>1203.8834951456311</v>
      </c>
      <c r="MB76" s="278">
        <f ca="1">$A76 - TST!SouthAustralia100dt + 1</f>
        <v>15</v>
      </c>
      <c r="MC76" s="20">
        <f ca="1">INDEX(OFFSET(TST!HeadRow,ROW()-ROW(TST!HeadRow),0,1,COLUMNS(TST!HeadRow)),1,MATCH(MC$5,TST!HeadRow,0))/MC$8</f>
        <v>1718.5628742514969</v>
      </c>
      <c r="MD76" s="278">
        <f ca="1">$A76 - TST!AustralianCapitalTerritory100dt + 1</f>
        <v>9</v>
      </c>
      <c r="ME76" s="20">
        <f ca="1">INDEX(OFFSET(TST!HeadRow,ROW()-ROW(TST!HeadRow),0,1,COLUMNS(TST!HeadRow)),1,MATCH(ME$5,TST!HeadRow,0))/ME$8</f>
        <v>1658.6459842078214</v>
      </c>
      <c r="MF76" s="278">
        <f ca="1">$A76 - TST!NorthernTerritory100dt + 1</f>
        <v>9</v>
      </c>
      <c r="MG76" s="20">
        <f ca="1">INDEX(OFFSET(TST!HeadRow,ROW()-ROW(TST!HeadRow),0,1,COLUMNS(TST!HeadRow)),1,MATCH(MG$5,TST!HeadRow,0))/MG$8</f>
        <v>707.7307792115879</v>
      </c>
      <c r="MH76" s="278">
        <f ca="1">$A76 - TST!WesternAustralia100dt + 1</f>
        <v>13</v>
      </c>
      <c r="MI76" s="20">
        <f ca="1">INDEX(OFFSET(TST!HeadRow,ROW()-ROW(TST!HeadRow),0,1,COLUMNS(TST!HeadRow)),1,MATCH(MI$5,TST!HeadRow,0))/MI$8</f>
        <v>1073.7736577829278</v>
      </c>
      <c r="MJ76" s="278">
        <f ca="1">$A76 - TST!Germany100dt + 1</f>
        <v>21</v>
      </c>
      <c r="MK76" s="20">
        <f ca="1">INDEX(OFFSET(TST!HeadRow,ROW()-ROW(TST!HeadRow),0,1,COLUMNS(TST!HeadRow)),1,MATCH(MK$5,TST!HeadRow,0))/MK$8</f>
        <v>6949.5302336786317</v>
      </c>
      <c r="ML76" s="278">
        <f ca="1">$A76 - TST!Denmark100dt + 1</f>
        <v>20</v>
      </c>
      <c r="MM76" s="20">
        <f ca="1">INDEX(OFFSET(TST!HeadRow,ROW()-ROW(TST!HeadRow),0,1,COLUMNS(TST!HeadRow)),1,MATCH(MM$5,TST!HeadRow,0))/MM$8</f>
        <v>3790.9059593523939</v>
      </c>
      <c r="MN76" s="278">
        <f ca="1">$A76 - TST!SouthAfrica100dt + 1</f>
        <v>4</v>
      </c>
      <c r="MO76" s="20">
        <f ca="1">INDEX(OFFSET(TST!HeadRow,ROW()-ROW(TST!HeadRow),0,1,COLUMNS(TST!HeadRow)),1,MATCH(MO$5,TST!HeadRow,0))/MO$8</f>
        <v>205.43440636898583</v>
      </c>
      <c r="MP76" s="278">
        <f ca="1">$A76 - TST!UnitedKingdom100dt + 1</f>
        <v>16</v>
      </c>
      <c r="MQ76" s="20">
        <f ca="1">INDEX(OFFSET(TST!HeadRow,ROW()-ROW(TST!HeadRow),0,1,COLUMNS(TST!HeadRow)),1,MATCH(MQ$5,TST!HeadRow,0))/MQ$8</f>
        <v>2572.0951234196268</v>
      </c>
      <c r="MR76" s="278">
        <f ca="1">$A76 - TST!Ireland100dt + 1</f>
        <v>16</v>
      </c>
      <c r="MS76" s="20">
        <f ca="1">INDEX(OFFSET(TST!HeadRow,ROW()-ROW(TST!HeadRow),0,1,COLUMNS(TST!HeadRow)),1,MATCH(MS$5,TST!HeadRow,0))/MS$8</f>
        <v>4928.5714285714284</v>
      </c>
      <c r="MT76" s="278">
        <f ca="1">$A76 - TST!Italy100dt + 1</f>
        <v>31</v>
      </c>
      <c r="MU76" s="20">
        <f ca="1">INDEX(OFFSET(TST!HeadRow,ROW()-ROW(TST!HeadRow),0,1,COLUMNS(TST!HeadRow)),1,MATCH(MU$5,TST!HeadRow,0))/MU$8</f>
        <v>15288.418616185832</v>
      </c>
      <c r="MV76" s="278">
        <f ca="1">$A76 - TST!US100dt + 1</f>
        <v>14</v>
      </c>
      <c r="MW76" s="20">
        <f ca="1">INDEX(OFFSET(TST!HeadRow,ROW()-ROW(TST!HeadRow),0,1,COLUMNS(TST!HeadRow)),1,MATCH(MW$5,TST!HeadRow,0))/MW$8</f>
        <v>3689.3913552474405</v>
      </c>
      <c r="MX76" s="278">
        <f ca="1">$A76 - TST!AustraliaSum100dt + 1</f>
        <v>14</v>
      </c>
      <c r="MY76" s="366">
        <f t="shared" si="9"/>
        <v>1435.1048730484151</v>
      </c>
      <c r="MZ76" s="278">
        <f ca="1">$A76 - TST!NewSouthWales100dt + 1</f>
        <v>16</v>
      </c>
      <c r="NA76" s="366">
        <f ca="1">INDEX(OFFSET(TST!HeadRow,ROW()-ROW(TST!HeadRow),0,1,COLUMNS(TST!HeadRow)),1,MATCH(NA$5,TST!HeadRow,0))/NA$8</f>
        <v>2001.2376237623762</v>
      </c>
      <c r="NB76" s="278">
        <f ca="1">$A76 - TST!Taiwan100dt + 1</f>
        <v>3</v>
      </c>
      <c r="NC76" s="366">
        <f ca="1">INDEX(OFFSET(TST!HeadRow,ROW()-ROW(TST!HeadRow),0,1,COLUMNS(TST!HeadRow)),1,MATCH(NC$5,TST!HeadRow,0))/NC$8</f>
        <v>118.871192435995</v>
      </c>
      <c r="ND76" s="20">
        <f ca="1">$A76 - TST!Hubei100dt + 1</f>
        <v>64</v>
      </c>
      <c r="NE76" s="20">
        <f ca="1">INDEX(OFFSET(TST!HeadRow,ROW()-ROW(TST!HeadRow),0,1,COLUMNS(TST!HeadRow)),1,MATCH(NE$5,TST!HeadRow,0))/NE$8</f>
        <v>11589.914529914531</v>
      </c>
      <c r="NF76" s="20">
        <f ca="1">$A76 - TST!HongKong100dt + 1</f>
        <v>34</v>
      </c>
      <c r="NG76" s="20">
        <f ca="1">INDEX(OFFSET(TST!HeadRow,ROW()-ROW(TST!HeadRow),0,1,COLUMNS(TST!HeadRow)),1,MATCH(NG$5,TST!HeadRow,0))/NG$8</f>
        <v>752.91907126560193</v>
      </c>
    </row>
    <row r="77" spans="1:371" x14ac:dyDescent="0.25">
      <c r="A77" s="243">
        <v>43919</v>
      </c>
      <c r="B77" s="23">
        <v>120</v>
      </c>
      <c r="C77" s="23">
        <v>212</v>
      </c>
      <c r="D77" s="23">
        <v>511</v>
      </c>
      <c r="E77" s="23">
        <v>334</v>
      </c>
      <c r="F77" s="23">
        <v>7</v>
      </c>
      <c r="G77" s="23">
        <v>7</v>
      </c>
      <c r="H77" s="23">
        <v>745</v>
      </c>
      <c r="I77" s="23">
        <v>424</v>
      </c>
      <c r="J77" s="23">
        <v>77</v>
      </c>
      <c r="K77" s="293">
        <v>1791</v>
      </c>
      <c r="L77" s="23">
        <v>15</v>
      </c>
      <c r="M77" s="290">
        <v>656</v>
      </c>
      <c r="N77" s="23">
        <v>299</v>
      </c>
      <c r="O77" s="384">
        <v>66</v>
      </c>
      <c r="P77" s="287">
        <v>769</v>
      </c>
      <c r="Q77" s="23">
        <v>311</v>
      </c>
      <c r="R77" s="23">
        <v>8788</v>
      </c>
      <c r="S77" s="23">
        <v>209</v>
      </c>
      <c r="T77" s="23">
        <v>11</v>
      </c>
      <c r="U77" s="23">
        <v>499</v>
      </c>
      <c r="V77" s="23">
        <v>48</v>
      </c>
      <c r="W77" s="23">
        <v>33</v>
      </c>
      <c r="X77" s="23">
        <v>94</v>
      </c>
      <c r="Y77" s="23">
        <v>10836</v>
      </c>
      <c r="Z77" s="23">
        <v>6</v>
      </c>
      <c r="AA77" s="23">
        <v>4</v>
      </c>
      <c r="AB77" s="23">
        <v>81</v>
      </c>
      <c r="AC77" s="23">
        <v>323</v>
      </c>
      <c r="AD77" s="23">
        <v>4256</v>
      </c>
      <c r="AE77" s="23">
        <v>126</v>
      </c>
      <c r="AF77" s="23">
        <v>346</v>
      </c>
      <c r="AG77" s="23">
        <v>222</v>
      </c>
      <c r="AH77" s="23">
        <v>6</v>
      </c>
      <c r="AI77" s="23">
        <v>103</v>
      </c>
      <c r="AJ77" s="23">
        <v>139</v>
      </c>
      <c r="AK77" s="23">
        <v>621</v>
      </c>
      <c r="AL77" s="23">
        <v>884</v>
      </c>
      <c r="AM77" s="23">
        <v>13</v>
      </c>
      <c r="AN77" s="23">
        <v>72</v>
      </c>
      <c r="AO77" s="23">
        <v>66</v>
      </c>
      <c r="AP77" s="23">
        <v>135</v>
      </c>
      <c r="AQ77" s="23">
        <v>122</v>
      </c>
      <c r="AR77" s="23">
        <v>1355</v>
      </c>
      <c r="AS77" s="23">
        <v>11</v>
      </c>
      <c r="AT77" s="23">
        <v>2840</v>
      </c>
      <c r="AU77" s="23">
        <v>156</v>
      </c>
      <c r="AV77" s="23">
        <v>3</v>
      </c>
      <c r="AW77" s="23">
        <v>3</v>
      </c>
      <c r="AX77" s="23">
        <v>2139</v>
      </c>
      <c r="AY77" s="23">
        <v>990</v>
      </c>
      <c r="AZ77" s="23">
        <v>577</v>
      </c>
      <c r="BA77" s="23">
        <v>579</v>
      </c>
      <c r="BB77" s="23">
        <v>338</v>
      </c>
      <c r="BC77" s="23">
        <v>138</v>
      </c>
      <c r="BD77" s="23">
        <v>1475</v>
      </c>
      <c r="BE77" s="23">
        <v>254</v>
      </c>
      <c r="BF77" s="23">
        <v>146</v>
      </c>
      <c r="BG77" s="23">
        <v>168</v>
      </c>
      <c r="BH77" s="23">
        <v>319</v>
      </c>
      <c r="BI77" s="23">
        <v>484</v>
      </c>
      <c r="BJ77" s="23">
        <v>1276</v>
      </c>
      <c r="BK77" s="23">
        <v>641</v>
      </c>
      <c r="BL77" s="23">
        <v>67801</v>
      </c>
      <c r="BM77" s="23">
        <v>1018</v>
      </c>
      <c r="BN77" s="23">
        <v>95</v>
      </c>
      <c r="BO77" s="23">
        <v>644</v>
      </c>
      <c r="BP77" s="23">
        <v>937</v>
      </c>
      <c r="BQ77" s="23">
        <v>98</v>
      </c>
      <c r="BR77" s="23">
        <v>134</v>
      </c>
      <c r="BS77" s="23">
        <v>37</v>
      </c>
      <c r="BT77" s="23">
        <v>75</v>
      </c>
      <c r="BU77" s="23">
        <v>18</v>
      </c>
      <c r="BV77" s="23">
        <v>253</v>
      </c>
      <c r="BW77" s="23">
        <v>772</v>
      </c>
      <c r="BX77" s="23">
        <v>492</v>
      </c>
      <c r="BY77" s="23">
        <v>136</v>
      </c>
      <c r="BZ77" s="23">
        <v>550</v>
      </c>
      <c r="CA77" s="23">
        <v>166</v>
      </c>
      <c r="CB77" s="23">
        <v>1</v>
      </c>
      <c r="CC77" s="23">
        <v>76</v>
      </c>
      <c r="CD77" s="23">
        <v>180</v>
      </c>
      <c r="CE77" s="23">
        <v>1254</v>
      </c>
      <c r="CF77" s="23">
        <v>702</v>
      </c>
      <c r="CG77" s="23">
        <v>19</v>
      </c>
      <c r="CH77" s="23">
        <v>65</v>
      </c>
      <c r="CI77" s="23">
        <v>314</v>
      </c>
      <c r="CJ77" s="23">
        <v>165</v>
      </c>
      <c r="CK77" s="23">
        <v>713</v>
      </c>
      <c r="CL77" s="23">
        <v>712</v>
      </c>
      <c r="CM77" s="23">
        <v>139</v>
      </c>
      <c r="CN77" s="23">
        <v>214</v>
      </c>
      <c r="CO77" s="23">
        <v>2817</v>
      </c>
      <c r="CP77" s="23">
        <v>159</v>
      </c>
      <c r="CQ77" s="23">
        <v>10</v>
      </c>
      <c r="CR77" s="23">
        <v>2395</v>
      </c>
      <c r="CS77" s="23">
        <v>18</v>
      </c>
      <c r="CT77" s="23">
        <v>859</v>
      </c>
      <c r="CU77" s="23">
        <v>1924</v>
      </c>
      <c r="CV77" s="23">
        <v>609</v>
      </c>
      <c r="CW77" s="23">
        <v>24</v>
      </c>
      <c r="CX77" s="23">
        <v>12</v>
      </c>
      <c r="CY77" s="23">
        <v>12</v>
      </c>
      <c r="CZ77" s="23">
        <v>679</v>
      </c>
      <c r="DA77" s="23">
        <v>9</v>
      </c>
      <c r="DB77" s="23">
        <v>21</v>
      </c>
      <c r="DC77" s="23">
        <v>5</v>
      </c>
      <c r="DD77" s="23">
        <v>1240</v>
      </c>
      <c r="DE77" s="23">
        <v>28</v>
      </c>
      <c r="DF77" s="23">
        <v>30</v>
      </c>
      <c r="DG77" s="23">
        <v>106</v>
      </c>
      <c r="DH77" s="23">
        <v>63</v>
      </c>
      <c r="DI77" s="23">
        <v>15</v>
      </c>
      <c r="DJ77" s="23">
        <v>183</v>
      </c>
      <c r="DK77" s="23">
        <v>5</v>
      </c>
      <c r="DL77" s="23">
        <v>11</v>
      </c>
      <c r="DM77" s="23">
        <v>93</v>
      </c>
      <c r="DN77" s="23">
        <v>40174</v>
      </c>
      <c r="DO77" s="23">
        <v>7</v>
      </c>
      <c r="DP77" s="23">
        <v>4</v>
      </c>
      <c r="DQ77" s="23">
        <v>91</v>
      </c>
      <c r="DR77" s="23">
        <v>62095</v>
      </c>
      <c r="DS77" s="23">
        <v>152</v>
      </c>
      <c r="DT77" s="23">
        <v>1156</v>
      </c>
      <c r="DU77" s="23">
        <v>34</v>
      </c>
      <c r="DV77" s="23">
        <v>16</v>
      </c>
      <c r="DW77" s="23">
        <v>8</v>
      </c>
      <c r="DX77" s="23">
        <v>15</v>
      </c>
      <c r="DY77" s="23">
        <v>6</v>
      </c>
      <c r="DZ77" s="23">
        <v>110</v>
      </c>
      <c r="EA77" s="23">
        <v>408</v>
      </c>
      <c r="EB77" s="23">
        <v>1020</v>
      </c>
      <c r="EC77" s="23">
        <v>1024</v>
      </c>
      <c r="ED77" s="23">
        <v>1285</v>
      </c>
      <c r="EE77" s="23">
        <v>38309</v>
      </c>
      <c r="EF77" s="23">
        <v>547</v>
      </c>
      <c r="EG77" s="23">
        <v>2615</v>
      </c>
      <c r="EH77" s="23">
        <v>4247</v>
      </c>
      <c r="EI77" s="23">
        <v>97689</v>
      </c>
      <c r="EJ77" s="23">
        <v>32</v>
      </c>
      <c r="EK77" s="23">
        <v>1866</v>
      </c>
      <c r="EL77" s="23">
        <v>259</v>
      </c>
      <c r="EM77" s="23">
        <v>284</v>
      </c>
      <c r="EN77" s="23">
        <v>42</v>
      </c>
      <c r="EO77" s="23">
        <v>9583</v>
      </c>
      <c r="EP77" s="23">
        <v>255</v>
      </c>
      <c r="EQ77" s="23">
        <v>84</v>
      </c>
      <c r="ER77" s="23">
        <v>347</v>
      </c>
      <c r="ES77" s="23">
        <v>438</v>
      </c>
      <c r="ET77" s="23">
        <v>3</v>
      </c>
      <c r="EU77" s="23">
        <v>56</v>
      </c>
      <c r="EV77" s="23">
        <v>460</v>
      </c>
      <c r="EW77" s="23">
        <v>1950</v>
      </c>
      <c r="EX77" s="23">
        <v>39</v>
      </c>
      <c r="EY77" s="23">
        <v>2470</v>
      </c>
      <c r="EZ77" s="23">
        <v>17</v>
      </c>
      <c r="FA77" s="23">
        <v>151</v>
      </c>
      <c r="FB77" s="23">
        <v>5</v>
      </c>
      <c r="FC77" s="23">
        <v>107</v>
      </c>
      <c r="FD77" s="23">
        <v>993</v>
      </c>
      <c r="FE77" s="23">
        <v>263</v>
      </c>
      <c r="FF77" s="23">
        <v>46</v>
      </c>
      <c r="FG77" s="23">
        <v>12</v>
      </c>
      <c r="FH77" s="23">
        <v>85</v>
      </c>
      <c r="FI77" s="23">
        <v>479</v>
      </c>
      <c r="FJ77" s="23">
        <v>11</v>
      </c>
      <c r="FK77" s="23">
        <v>5</v>
      </c>
      <c r="FL77" s="23">
        <v>50</v>
      </c>
      <c r="FM77" s="23">
        <v>8</v>
      </c>
      <c r="FN77" s="23">
        <v>6</v>
      </c>
      <c r="FO77" s="23">
        <v>10866</v>
      </c>
      <c r="FP77" s="23">
        <v>514</v>
      </c>
      <c r="FQ77" s="23">
        <v>4</v>
      </c>
      <c r="FR77" s="23">
        <v>18</v>
      </c>
      <c r="FS77" s="23">
        <v>111</v>
      </c>
      <c r="FT77" s="23">
        <v>259</v>
      </c>
      <c r="FU77" s="23">
        <v>4284</v>
      </c>
      <c r="FV77" s="23">
        <v>167</v>
      </c>
      <c r="FW77" s="23">
        <v>1597</v>
      </c>
      <c r="FX77" s="23">
        <v>901</v>
      </c>
      <c r="FY77" s="23">
        <v>1</v>
      </c>
      <c r="FZ77" s="23">
        <v>59</v>
      </c>
      <c r="GA77" s="23">
        <v>852</v>
      </c>
      <c r="GB77" s="23">
        <v>1418</v>
      </c>
      <c r="GC77" s="23">
        <v>1862</v>
      </c>
      <c r="GD77" s="23">
        <v>5962</v>
      </c>
      <c r="GE77" s="23">
        <v>634</v>
      </c>
      <c r="GF77" s="23">
        <v>1815</v>
      </c>
      <c r="GG77" s="23">
        <v>1534</v>
      </c>
      <c r="GH77" s="23">
        <v>70</v>
      </c>
      <c r="GI77" s="23">
        <v>9</v>
      </c>
      <c r="GJ77" s="23">
        <v>1</v>
      </c>
      <c r="GK77" s="23">
        <v>224</v>
      </c>
      <c r="GL77" s="23">
        <v>1299</v>
      </c>
      <c r="GM77" s="23">
        <v>142</v>
      </c>
      <c r="GN77" s="23">
        <v>741</v>
      </c>
      <c r="GO77" s="23">
        <v>8</v>
      </c>
      <c r="GP77" s="23">
        <v>844</v>
      </c>
      <c r="GQ77" s="23">
        <v>314</v>
      </c>
      <c r="GR77" s="23">
        <v>730</v>
      </c>
      <c r="GS77" s="23">
        <v>3</v>
      </c>
      <c r="GT77" s="23">
        <v>1280</v>
      </c>
      <c r="GU77" s="23">
        <v>80110</v>
      </c>
      <c r="GV77" s="23">
        <v>117</v>
      </c>
      <c r="GW77" s="23">
        <v>6</v>
      </c>
      <c r="GX77" s="23">
        <v>8</v>
      </c>
      <c r="GY77" s="23">
        <v>3700</v>
      </c>
      <c r="GZ77" s="23">
        <v>14829</v>
      </c>
      <c r="HA77" s="23">
        <v>298</v>
      </c>
      <c r="HB77" s="23">
        <v>14</v>
      </c>
      <c r="HC77" s="23">
        <v>1388</v>
      </c>
      <c r="HD77" s="23">
        <v>25</v>
      </c>
      <c r="HE77" s="23">
        <v>78</v>
      </c>
      <c r="HF77" s="23">
        <v>312</v>
      </c>
      <c r="HG77" s="23">
        <v>9217</v>
      </c>
      <c r="HH77" s="23">
        <v>33</v>
      </c>
      <c r="HI77" s="23">
        <v>475</v>
      </c>
      <c r="HJ77" s="23">
        <v>570</v>
      </c>
      <c r="HK77" s="23">
        <v>22</v>
      </c>
      <c r="HL77" s="23">
        <v>8</v>
      </c>
      <c r="HM77" s="23">
        <v>108</v>
      </c>
      <c r="HN77" s="23">
        <v>65</v>
      </c>
      <c r="HO77" s="23">
        <v>42</v>
      </c>
      <c r="HP77" s="23">
        <v>5</v>
      </c>
      <c r="HQ77" s="23">
        <v>19522</v>
      </c>
      <c r="HR77" s="23">
        <v>304</v>
      </c>
      <c r="HS77" s="23">
        <v>140909</v>
      </c>
      <c r="HT77" s="23">
        <v>144</v>
      </c>
      <c r="HU77" s="23">
        <v>119</v>
      </c>
      <c r="HV77" s="23">
        <v>188</v>
      </c>
      <c r="HW77" s="23">
        <v>29</v>
      </c>
      <c r="HX77" s="23">
        <v>7</v>
      </c>
      <c r="HY77" s="23">
        <v>0</v>
      </c>
      <c r="HZ77" s="23">
        <v>11</v>
      </c>
      <c r="IA77" s="23">
        <v>9</v>
      </c>
      <c r="IB77" s="23">
        <v>8</v>
      </c>
      <c r="IC77" s="23">
        <v>9</v>
      </c>
      <c r="ID77" s="23">
        <v>1</v>
      </c>
      <c r="IE77" s="23">
        <v>2</v>
      </c>
      <c r="IF77" s="23">
        <v>0</v>
      </c>
      <c r="IG77" s="23">
        <v>8</v>
      </c>
      <c r="IH77" s="23">
        <v>8</v>
      </c>
      <c r="II77" s="23">
        <v>109</v>
      </c>
      <c r="IJ77" s="23">
        <v>2</v>
      </c>
      <c r="IK77" s="23">
        <v>18</v>
      </c>
      <c r="IL77" s="23">
        <v>2</v>
      </c>
      <c r="IM77" s="23">
        <v>1</v>
      </c>
      <c r="IN77" s="23">
        <v>4</v>
      </c>
      <c r="IO77" s="23">
        <v>94</v>
      </c>
      <c r="IP77" s="23">
        <v>10</v>
      </c>
      <c r="IQ77" s="23">
        <v>2</v>
      </c>
      <c r="IR77" s="23">
        <v>2</v>
      </c>
      <c r="IS77" s="23">
        <v>4</v>
      </c>
      <c r="IT77" s="23">
        <v>2</v>
      </c>
      <c r="IU77" s="23">
        <v>0</v>
      </c>
      <c r="IV77" s="23">
        <v>0</v>
      </c>
      <c r="IW77" s="23">
        <v>0</v>
      </c>
      <c r="IX77" s="23">
        <v>0</v>
      </c>
      <c r="IY77" s="23">
        <v>0</v>
      </c>
      <c r="IZ77" s="23">
        <v>0</v>
      </c>
      <c r="JA77" s="23">
        <v>0</v>
      </c>
      <c r="JB77" s="23">
        <v>0</v>
      </c>
      <c r="JC77" s="23">
        <v>0</v>
      </c>
      <c r="JD77" s="23">
        <v>0</v>
      </c>
      <c r="JE77" s="23">
        <v>0</v>
      </c>
      <c r="JF77" s="23">
        <v>0</v>
      </c>
      <c r="JG77" s="23">
        <v>0</v>
      </c>
      <c r="JH77" s="23">
        <v>0</v>
      </c>
      <c r="JI77" s="23">
        <v>56</v>
      </c>
      <c r="JJ77" s="23">
        <v>0</v>
      </c>
      <c r="JK77" s="23">
        <v>127</v>
      </c>
      <c r="JL77" s="23">
        <v>23</v>
      </c>
      <c r="JM77" s="23">
        <v>825</v>
      </c>
      <c r="JN77" s="23">
        <v>102</v>
      </c>
      <c r="JO77" s="23">
        <v>919</v>
      </c>
      <c r="JP77" s="23">
        <v>426</v>
      </c>
      <c r="JQ77" s="23">
        <v>5852</v>
      </c>
      <c r="JR77" s="23">
        <v>2307</v>
      </c>
      <c r="JS77" s="23">
        <v>1993</v>
      </c>
      <c r="JT77" s="23">
        <v>232</v>
      </c>
      <c r="JU77" s="23">
        <v>342</v>
      </c>
      <c r="JV77" s="23">
        <v>4246</v>
      </c>
      <c r="JW77" s="23">
        <v>2651</v>
      </c>
      <c r="JX77" s="23">
        <v>149</v>
      </c>
      <c r="JY77" s="23">
        <v>281</v>
      </c>
      <c r="JZ77" s="23">
        <v>4596</v>
      </c>
      <c r="KA77" s="23">
        <v>1513</v>
      </c>
      <c r="KB77" s="23">
        <v>336</v>
      </c>
      <c r="KC77" s="23">
        <v>330</v>
      </c>
      <c r="KD77" s="23">
        <v>438</v>
      </c>
      <c r="KE77" s="23">
        <v>3540</v>
      </c>
      <c r="KF77" s="23">
        <v>253</v>
      </c>
      <c r="KG77" s="23">
        <v>1239</v>
      </c>
      <c r="KH77" s="23">
        <v>4955</v>
      </c>
      <c r="KI77" s="23">
        <v>5488</v>
      </c>
      <c r="KJ77" s="23">
        <v>503</v>
      </c>
      <c r="KK77" s="23">
        <v>759</v>
      </c>
      <c r="KL77" s="23">
        <v>915</v>
      </c>
      <c r="KM77" s="23">
        <v>154</v>
      </c>
      <c r="KN77" s="23">
        <v>108</v>
      </c>
      <c r="KO77" s="23">
        <v>920</v>
      </c>
      <c r="KP77" s="23">
        <v>214</v>
      </c>
      <c r="KQ77" s="23">
        <v>13386</v>
      </c>
      <c r="KR77" s="23">
        <v>237</v>
      </c>
      <c r="KS77" s="23">
        <v>59648</v>
      </c>
      <c r="KT77" s="23">
        <v>1191</v>
      </c>
      <c r="KU77" s="23">
        <v>98</v>
      </c>
      <c r="KV77" s="23">
        <v>1653</v>
      </c>
      <c r="KW77" s="23">
        <v>429</v>
      </c>
      <c r="KX77" s="23">
        <v>548</v>
      </c>
      <c r="KY77" s="23">
        <v>3432</v>
      </c>
      <c r="KZ77" s="23">
        <v>294</v>
      </c>
      <c r="LA77" s="23">
        <v>774</v>
      </c>
      <c r="LB77" s="23">
        <v>90</v>
      </c>
      <c r="LC77" s="23">
        <v>1720</v>
      </c>
      <c r="LD77" s="23">
        <v>2792</v>
      </c>
      <c r="LE77" s="23">
        <v>720</v>
      </c>
      <c r="LF77" s="23">
        <v>235</v>
      </c>
      <c r="LG77" s="23">
        <v>890</v>
      </c>
      <c r="LH77" s="23">
        <v>4465</v>
      </c>
      <c r="LI77" s="23">
        <v>113</v>
      </c>
      <c r="LJ77" s="23">
        <v>1164</v>
      </c>
      <c r="LK77" s="23">
        <v>86</v>
      </c>
      <c r="LL77" s="23">
        <v>49</v>
      </c>
      <c r="LM77" s="23">
        <v>103</v>
      </c>
      <c r="LN77" s="278">
        <f ca="1">$A77 - TST!Sweden100dt + 1</f>
        <v>23</v>
      </c>
      <c r="LO77" s="20">
        <f ca="1">INDEX(OFFSET(TST!HeadRow,ROW()-ROW(TST!HeadRow),0,1,COLUMNS(TST!HeadRow)),1,MATCH(LO$5,TST!HeadRow,0))/LO$8</f>
        <v>3616.8132942326492</v>
      </c>
      <c r="LP77" s="278">
        <f ca="1">$A77 - TST!Spain100dt + 1</f>
        <v>23</v>
      </c>
      <c r="LQ77" s="20">
        <f ca="1">INDEX(OFFSET(TST!HeadRow,ROW()-ROW(TST!HeadRow),0,1,COLUMNS(TST!HeadRow)),1,MATCH(LQ$5,TST!HeadRow,0))/LQ$8</f>
        <v>17066.467831273967</v>
      </c>
      <c r="LR77" s="285">
        <f ca="1">$A77 - TST!Victoria100dt + 1</f>
        <v>14</v>
      </c>
      <c r="LS77" s="20">
        <f ca="1">INDEX(OFFSET(TST!HeadRow,ROW()-ROW(TST!HeadRow),0,1,COLUMNS(TST!HeadRow)),1,MATCH(LS$5,TST!HeadRow,0))/LS$8</f>
        <v>1160.0543068336099</v>
      </c>
      <c r="LT77" s="278">
        <f ca="1">$A77 - TST!Iran100dt + 1</f>
        <v>29</v>
      </c>
      <c r="LU77" s="20">
        <f ca="1">INDEX(OFFSET(TST!HeadRow,ROW()-ROW(TST!HeadRow),0,1,COLUMNS(TST!HeadRow)),1,MATCH(LU$5,TST!HeadRow,0))/LU$8</f>
        <v>4572.9530994473162</v>
      </c>
      <c r="LV77" s="278">
        <f ca="1">$A77 - TST!Japan100dt + 1</f>
        <v>5</v>
      </c>
      <c r="LW77" s="20">
        <f ca="1">INDEX(OFFSET(TST!HeadRow,ROW()-ROW(TST!HeadRow),0,1,COLUMNS(TST!HeadRow)),1,MATCH(LW$5,TST!HeadRow,0))/LW$8</f>
        <v>147.44670313320216</v>
      </c>
      <c r="LX77" s="278">
        <f ca="1">$A77 - TST!Queensland100dt + 1</f>
        <v>15</v>
      </c>
      <c r="LY77" s="20">
        <f ca="1">INDEX(OFFSET(TST!HeadRow,ROW()-ROW(TST!HeadRow),0,1,COLUMNS(TST!HeadRow)),1,MATCH(LY$5,TST!HeadRow,0))/LY$8</f>
        <v>1282.3893729018223</v>
      </c>
      <c r="LZ77" s="278">
        <f ca="1">$A77 - TST!Tasmania100dt + 1</f>
        <v>15</v>
      </c>
      <c r="MA77" s="20">
        <f ca="1">INDEX(OFFSET(TST!HeadRow,ROW()-ROW(TST!HeadRow),0,1,COLUMNS(TST!HeadRow)),1,MATCH(MA$5,TST!HeadRow,0))/MA$8</f>
        <v>1281.5533980582525</v>
      </c>
      <c r="MB77" s="278">
        <f ca="1">$A77 - TST!SouthAustralia100dt + 1</f>
        <v>16</v>
      </c>
      <c r="MC77" s="20">
        <f ca="1">INDEX(OFFSET(TST!HeadRow,ROW()-ROW(TST!HeadRow),0,1,COLUMNS(TST!HeadRow)),1,MATCH(MC$5,TST!HeadRow,0))/MC$8</f>
        <v>1790.4191616766466</v>
      </c>
      <c r="MD77" s="278">
        <f ca="1">$A77 - TST!AustralianCapitalTerritory100dt + 1</f>
        <v>10</v>
      </c>
      <c r="ME77" s="20">
        <f ca="1">INDEX(OFFSET(TST!HeadRow,ROW()-ROW(TST!HeadRow),0,1,COLUMNS(TST!HeadRow)),1,MATCH(ME$5,TST!HeadRow,0))/ME$8</f>
        <v>1798.813250478905</v>
      </c>
      <c r="MF77" s="278">
        <f ca="1">$A77 - TST!NorthernTerritory100dt + 1</f>
        <v>10</v>
      </c>
      <c r="MG77" s="20">
        <f ca="1">INDEX(OFFSET(TST!HeadRow,ROW()-ROW(TST!HeadRow),0,1,COLUMNS(TST!HeadRow)),1,MATCH(MG$5,TST!HeadRow,0))/MG$8</f>
        <v>707.7307792115879</v>
      </c>
      <c r="MH77" s="278">
        <f ca="1">$A77 - TST!WesternAustralia100dt + 1</f>
        <v>14</v>
      </c>
      <c r="MI77" s="20">
        <f ca="1">INDEX(OFFSET(TST!HeadRow,ROW()-ROW(TST!HeadRow),0,1,COLUMNS(TST!HeadRow)),1,MATCH(MI$5,TST!HeadRow,0))/MI$8</f>
        <v>1201.2359984550019</v>
      </c>
      <c r="MJ77" s="278">
        <f ca="1">$A77 - TST!Germany100dt + 1</f>
        <v>22</v>
      </c>
      <c r="MK77" s="20">
        <f ca="1">INDEX(OFFSET(TST!HeadRow,ROW()-ROW(TST!HeadRow),0,1,COLUMNS(TST!HeadRow)),1,MATCH(MK$5,TST!HeadRow,0))/MK$8</f>
        <v>7479.523006504457</v>
      </c>
      <c r="ML77" s="278">
        <f ca="1">$A77 - TST!Denmark100dt + 1</f>
        <v>21</v>
      </c>
      <c r="MM77" s="20">
        <f ca="1">INDEX(OFFSET(TST!HeadRow,ROW()-ROW(TST!HeadRow),0,1,COLUMNS(TST!HeadRow)),1,MATCH(MM$5,TST!HeadRow,0))/MM$8</f>
        <v>4125.0430589045818</v>
      </c>
      <c r="MN77" s="278">
        <f ca="1">$A77 - TST!SouthAfrica100dt + 1</f>
        <v>5</v>
      </c>
      <c r="MO77" s="20">
        <f ca="1">INDEX(OFFSET(TST!HeadRow,ROW()-ROW(TST!HeadRow),0,1,COLUMNS(TST!HeadRow)),1,MATCH(MO$5,TST!HeadRow,0))/MO$8</f>
        <v>221.5299411561094</v>
      </c>
      <c r="MP77" s="278">
        <f ca="1">$A77 - TST!UnitedKingdom100dt + 1</f>
        <v>17</v>
      </c>
      <c r="MQ77" s="20">
        <f ca="1">INDEX(OFFSET(TST!HeadRow,ROW()-ROW(TST!HeadRow),0,1,COLUMNS(TST!HeadRow)),1,MATCH(MQ$5,TST!HeadRow,0))/MQ$8</f>
        <v>2938.2901866345574</v>
      </c>
      <c r="MR77" s="278">
        <f ca="1">$A77 - TST!Ireland100dt + 1</f>
        <v>17</v>
      </c>
      <c r="MS77" s="20">
        <f ca="1">INDEX(OFFSET(TST!HeadRow,ROW()-ROW(TST!HeadRow),0,1,COLUMNS(TST!HeadRow)),1,MATCH(MS$5,TST!HeadRow,0))/MS$8</f>
        <v>5336.7346938775509</v>
      </c>
      <c r="MT77" s="278">
        <f ca="1">$A77 - TST!Italy100dt + 1</f>
        <v>32</v>
      </c>
      <c r="MU77" s="20">
        <f ca="1">INDEX(OFFSET(TST!HeadRow,ROW()-ROW(TST!HeadRow),0,1,COLUMNS(TST!HeadRow)),1,MATCH(MU$5,TST!HeadRow,0))/MU$8</f>
        <v>16150.946515665042</v>
      </c>
      <c r="MV77" s="278">
        <f ca="1">$A77 - TST!US100dt + 1</f>
        <v>15</v>
      </c>
      <c r="MW77" s="20">
        <f ca="1">INDEX(OFFSET(TST!HeadRow,ROW()-ROW(TST!HeadRow),0,1,COLUMNS(TST!HeadRow)),1,MATCH(MW$5,TST!HeadRow,0))/MW$8</f>
        <v>4279.9855635496779</v>
      </c>
      <c r="MX77" s="278">
        <f ca="1">$A77 - TST!AustraliaSum100dt + 1</f>
        <v>15</v>
      </c>
      <c r="MY77" s="366">
        <f t="shared" si="9"/>
        <v>1570.7301687431004</v>
      </c>
      <c r="MZ77" s="278">
        <f ca="1">$A77 - TST!NewSouthWales100dt + 1</f>
        <v>17</v>
      </c>
      <c r="NA77" s="366">
        <f ca="1">INDEX(OFFSET(TST!HeadRow,ROW()-ROW(TST!HeadRow),0,1,COLUMNS(TST!HeadRow)),1,MATCH(NA$5,TST!HeadRow,0))/NA$8</f>
        <v>2216.5841584158416</v>
      </c>
      <c r="NB77" s="278">
        <f ca="1">$A77 - TST!Taiwan100dt + 1</f>
        <v>4</v>
      </c>
      <c r="NC77" s="366">
        <f ca="1">INDEX(OFFSET(TST!HeadRow,ROW()-ROW(TST!HeadRow),0,1,COLUMNS(TST!HeadRow)),1,MATCH(NC$5,TST!HeadRow,0))/NC$8</f>
        <v>125.17178567465199</v>
      </c>
      <c r="ND77" s="20">
        <f ca="1">$A77 - TST!Hubei100dt + 1</f>
        <v>65</v>
      </c>
      <c r="NE77" s="20">
        <f ca="1">INDEX(OFFSET(TST!HeadRow,ROW()-ROW(TST!HeadRow),0,1,COLUMNS(TST!HeadRow)),1,MATCH(NE$5,TST!HeadRow,0))/NE$8</f>
        <v>11589.914529914531</v>
      </c>
      <c r="NF77" s="20">
        <f ca="1">$A77 - TST!HongKong100dt + 1</f>
        <v>35</v>
      </c>
      <c r="NG77" s="20">
        <f ca="1">INDEX(OFFSET(TST!HeadRow,ROW()-ROW(TST!HeadRow),0,1,COLUMNS(TST!HeadRow)),1,MATCH(NG$5,TST!HeadRow,0))/NG$8</f>
        <v>860.28720977050057</v>
      </c>
    </row>
    <row r="78" spans="1:371" x14ac:dyDescent="0.25">
      <c r="A78" s="243">
        <v>43920</v>
      </c>
      <c r="B78" s="23">
        <v>170</v>
      </c>
      <c r="C78" s="23">
        <v>223</v>
      </c>
      <c r="D78" s="23">
        <v>584</v>
      </c>
      <c r="E78" s="23">
        <v>370</v>
      </c>
      <c r="F78" s="23">
        <v>7</v>
      </c>
      <c r="G78" s="23">
        <v>7</v>
      </c>
      <c r="H78" s="23">
        <v>820</v>
      </c>
      <c r="I78" s="23">
        <v>482</v>
      </c>
      <c r="J78" s="23">
        <v>78</v>
      </c>
      <c r="K78" s="293">
        <v>2032</v>
      </c>
      <c r="L78" s="23">
        <v>15</v>
      </c>
      <c r="M78" s="290">
        <v>689</v>
      </c>
      <c r="N78" s="23">
        <v>305</v>
      </c>
      <c r="O78" s="384">
        <v>66</v>
      </c>
      <c r="P78" s="287">
        <v>821</v>
      </c>
      <c r="Q78" s="23">
        <v>355</v>
      </c>
      <c r="R78" s="23">
        <v>9618</v>
      </c>
      <c r="S78" s="23">
        <v>273</v>
      </c>
      <c r="T78" s="23">
        <v>14</v>
      </c>
      <c r="U78" s="23">
        <v>515</v>
      </c>
      <c r="V78" s="23">
        <v>49</v>
      </c>
      <c r="W78" s="23">
        <v>33</v>
      </c>
      <c r="X78" s="23">
        <v>152</v>
      </c>
      <c r="Y78" s="23">
        <v>11899</v>
      </c>
      <c r="Z78" s="23">
        <v>6</v>
      </c>
      <c r="AA78" s="23">
        <v>4</v>
      </c>
      <c r="AB78" s="23">
        <v>97</v>
      </c>
      <c r="AC78" s="23">
        <v>368</v>
      </c>
      <c r="AD78" s="23">
        <v>4579</v>
      </c>
      <c r="AE78" s="23">
        <v>127</v>
      </c>
      <c r="AF78" s="23">
        <v>359</v>
      </c>
      <c r="AG78" s="23">
        <v>246</v>
      </c>
      <c r="AH78" s="23">
        <v>6</v>
      </c>
      <c r="AI78" s="23">
        <v>107</v>
      </c>
      <c r="AJ78" s="23">
        <v>139</v>
      </c>
      <c r="AK78" s="23">
        <v>661</v>
      </c>
      <c r="AL78" s="23">
        <v>970</v>
      </c>
      <c r="AM78" s="23">
        <v>13</v>
      </c>
      <c r="AN78" s="23">
        <v>96</v>
      </c>
      <c r="AO78" s="23">
        <v>68</v>
      </c>
      <c r="AP78" s="23">
        <v>148</v>
      </c>
      <c r="AQ78" s="23">
        <v>127</v>
      </c>
      <c r="AR78" s="23">
        <v>1706</v>
      </c>
      <c r="AS78" s="23">
        <v>18</v>
      </c>
      <c r="AT78" s="23">
        <v>3430</v>
      </c>
      <c r="AU78" s="23">
        <v>156</v>
      </c>
      <c r="AV78" s="23">
        <v>3</v>
      </c>
      <c r="AW78" s="23">
        <v>5</v>
      </c>
      <c r="AX78" s="23">
        <v>2449</v>
      </c>
      <c r="AY78" s="23">
        <v>990</v>
      </c>
      <c r="AZ78" s="23">
        <v>577</v>
      </c>
      <c r="BA78" s="23">
        <v>579</v>
      </c>
      <c r="BB78" s="23">
        <v>340</v>
      </c>
      <c r="BC78" s="23">
        <v>138</v>
      </c>
      <c r="BD78" s="23">
        <v>1484</v>
      </c>
      <c r="BE78" s="23">
        <v>254</v>
      </c>
      <c r="BF78" s="23">
        <v>146</v>
      </c>
      <c r="BG78" s="23">
        <v>168</v>
      </c>
      <c r="BH78" s="23">
        <v>321</v>
      </c>
      <c r="BI78" s="23">
        <v>484</v>
      </c>
      <c r="BJ78" s="23">
        <v>1276</v>
      </c>
      <c r="BK78" s="23">
        <v>682</v>
      </c>
      <c r="BL78" s="23">
        <v>67801</v>
      </c>
      <c r="BM78" s="23">
        <v>1018</v>
      </c>
      <c r="BN78" s="23">
        <v>97</v>
      </c>
      <c r="BO78" s="23">
        <v>645</v>
      </c>
      <c r="BP78" s="23">
        <v>937</v>
      </c>
      <c r="BQ78" s="23">
        <v>98</v>
      </c>
      <c r="BR78" s="23">
        <v>136</v>
      </c>
      <c r="BS78" s="23">
        <v>38</v>
      </c>
      <c r="BT78" s="23">
        <v>75</v>
      </c>
      <c r="BU78" s="23">
        <v>18</v>
      </c>
      <c r="BV78" s="23">
        <v>253</v>
      </c>
      <c r="BW78" s="23">
        <v>773</v>
      </c>
      <c r="BX78" s="23">
        <v>498</v>
      </c>
      <c r="BY78" s="23">
        <v>136</v>
      </c>
      <c r="BZ78" s="23">
        <v>550</v>
      </c>
      <c r="CA78" s="23">
        <v>174</v>
      </c>
      <c r="CB78" s="23">
        <v>1</v>
      </c>
      <c r="CC78" s="23">
        <v>76</v>
      </c>
      <c r="CD78" s="23">
        <v>180</v>
      </c>
      <c r="CE78" s="23">
        <v>1255</v>
      </c>
      <c r="CF78" s="23">
        <v>798</v>
      </c>
      <c r="CG78" s="23">
        <v>19</v>
      </c>
      <c r="CH78" s="23">
        <v>81</v>
      </c>
      <c r="CI78" s="23">
        <v>330</v>
      </c>
      <c r="CJ78" s="23">
        <v>168</v>
      </c>
      <c r="CK78" s="23">
        <v>790</v>
      </c>
      <c r="CL78" s="23">
        <v>712</v>
      </c>
      <c r="CM78" s="23">
        <v>170</v>
      </c>
      <c r="CN78" s="23">
        <v>230</v>
      </c>
      <c r="CO78" s="23">
        <v>3001</v>
      </c>
      <c r="CP78" s="23">
        <v>168</v>
      </c>
      <c r="CQ78" s="23">
        <v>10</v>
      </c>
      <c r="CR78" s="23">
        <v>2577</v>
      </c>
      <c r="CS78" s="23">
        <v>18</v>
      </c>
      <c r="CT78" s="23">
        <v>901</v>
      </c>
      <c r="CU78" s="23">
        <v>1962</v>
      </c>
      <c r="CV78" s="23">
        <v>656</v>
      </c>
      <c r="CW78" s="23">
        <v>30</v>
      </c>
      <c r="CX78" s="23">
        <v>12</v>
      </c>
      <c r="CY78" s="23">
        <v>12</v>
      </c>
      <c r="CZ78" s="23">
        <v>715</v>
      </c>
      <c r="DA78" s="23">
        <v>9</v>
      </c>
      <c r="DB78" s="23">
        <v>23</v>
      </c>
      <c r="DC78" s="23">
        <v>5</v>
      </c>
      <c r="DD78" s="23">
        <v>1352</v>
      </c>
      <c r="DE78" s="23">
        <v>43</v>
      </c>
      <c r="DF78" s="23">
        <v>36</v>
      </c>
      <c r="DG78" s="23">
        <v>106</v>
      </c>
      <c r="DH78" s="23">
        <v>82</v>
      </c>
      <c r="DI78" s="23">
        <v>15</v>
      </c>
      <c r="DJ78" s="23">
        <v>224</v>
      </c>
      <c r="DK78" s="23">
        <v>6</v>
      </c>
      <c r="DL78" s="23">
        <v>15</v>
      </c>
      <c r="DM78" s="23">
        <v>93</v>
      </c>
      <c r="DN78" s="23">
        <v>44550</v>
      </c>
      <c r="DO78" s="23">
        <v>7</v>
      </c>
      <c r="DP78" s="23">
        <v>4</v>
      </c>
      <c r="DQ78" s="23">
        <v>103</v>
      </c>
      <c r="DR78" s="23">
        <v>66885</v>
      </c>
      <c r="DS78" s="23">
        <v>152</v>
      </c>
      <c r="DT78" s="23">
        <v>1212</v>
      </c>
      <c r="DU78" s="23">
        <v>36</v>
      </c>
      <c r="DV78" s="23">
        <v>22</v>
      </c>
      <c r="DW78" s="23">
        <v>8</v>
      </c>
      <c r="DX78" s="23">
        <v>15</v>
      </c>
      <c r="DY78" s="23">
        <v>6</v>
      </c>
      <c r="DZ78" s="23">
        <v>139</v>
      </c>
      <c r="EA78" s="23">
        <v>447</v>
      </c>
      <c r="EB78" s="23">
        <v>1086</v>
      </c>
      <c r="EC78" s="23">
        <v>1251</v>
      </c>
      <c r="ED78" s="23">
        <v>1414</v>
      </c>
      <c r="EE78" s="23">
        <v>41495</v>
      </c>
      <c r="EF78" s="23">
        <v>630</v>
      </c>
      <c r="EG78" s="23">
        <v>2910</v>
      </c>
      <c r="EH78" s="23">
        <v>4695</v>
      </c>
      <c r="EI78" s="23">
        <v>101739</v>
      </c>
      <c r="EJ78" s="23">
        <v>36</v>
      </c>
      <c r="EK78" s="23">
        <v>1866</v>
      </c>
      <c r="EL78" s="23">
        <v>268</v>
      </c>
      <c r="EM78" s="23">
        <v>302</v>
      </c>
      <c r="EN78" s="23">
        <v>50</v>
      </c>
      <c r="EO78" s="23">
        <v>9661</v>
      </c>
      <c r="EP78" s="23">
        <v>266</v>
      </c>
      <c r="EQ78" s="23">
        <v>94</v>
      </c>
      <c r="ER78" s="23">
        <v>376</v>
      </c>
      <c r="ES78" s="23">
        <v>446</v>
      </c>
      <c r="ET78" s="23">
        <v>3</v>
      </c>
      <c r="EU78" s="23">
        <v>62</v>
      </c>
      <c r="EV78" s="23">
        <v>491</v>
      </c>
      <c r="EW78" s="23">
        <v>1988</v>
      </c>
      <c r="EX78" s="23">
        <v>43</v>
      </c>
      <c r="EY78" s="23">
        <v>2626</v>
      </c>
      <c r="EZ78" s="23">
        <v>17</v>
      </c>
      <c r="FA78" s="23">
        <v>156</v>
      </c>
      <c r="FB78" s="23">
        <v>5</v>
      </c>
      <c r="FC78" s="23">
        <v>128</v>
      </c>
      <c r="FD78" s="23">
        <v>1094</v>
      </c>
      <c r="FE78" s="23">
        <v>298</v>
      </c>
      <c r="FF78" s="23">
        <v>49</v>
      </c>
      <c r="FG78" s="23">
        <v>12</v>
      </c>
      <c r="FH78" s="23">
        <v>91</v>
      </c>
      <c r="FI78" s="23">
        <v>556</v>
      </c>
      <c r="FJ78" s="23">
        <v>11</v>
      </c>
      <c r="FK78" s="23">
        <v>5</v>
      </c>
      <c r="FL78" s="23">
        <v>50</v>
      </c>
      <c r="FM78" s="23">
        <v>11</v>
      </c>
      <c r="FN78" s="23">
        <v>6</v>
      </c>
      <c r="FO78" s="23">
        <v>11750</v>
      </c>
      <c r="FP78" s="23">
        <v>589</v>
      </c>
      <c r="FQ78" s="23">
        <v>4</v>
      </c>
      <c r="FR78" s="23">
        <v>27</v>
      </c>
      <c r="FS78" s="23">
        <v>131</v>
      </c>
      <c r="FT78" s="23">
        <v>285</v>
      </c>
      <c r="FU78" s="23">
        <v>4445</v>
      </c>
      <c r="FV78" s="23">
        <v>179</v>
      </c>
      <c r="FW78" s="23">
        <v>1717</v>
      </c>
      <c r="FX78" s="23">
        <v>989</v>
      </c>
      <c r="FY78" s="23">
        <v>1</v>
      </c>
      <c r="FZ78" s="23">
        <v>64</v>
      </c>
      <c r="GA78" s="23">
        <v>950</v>
      </c>
      <c r="GB78" s="23">
        <v>1546</v>
      </c>
      <c r="GC78" s="23">
        <v>2055</v>
      </c>
      <c r="GD78" s="23">
        <v>6408</v>
      </c>
      <c r="GE78" s="23">
        <v>693</v>
      </c>
      <c r="GF78" s="23">
        <v>2109</v>
      </c>
      <c r="GG78" s="23">
        <v>1836</v>
      </c>
      <c r="GH78" s="23">
        <v>70</v>
      </c>
      <c r="GI78" s="23">
        <v>9</v>
      </c>
      <c r="GJ78" s="23">
        <v>1</v>
      </c>
      <c r="GK78" s="23">
        <v>230</v>
      </c>
      <c r="GL78" s="23">
        <v>1453</v>
      </c>
      <c r="GM78" s="23">
        <v>162</v>
      </c>
      <c r="GN78" s="23">
        <v>785</v>
      </c>
      <c r="GO78" s="23">
        <v>8</v>
      </c>
      <c r="GP78" s="23">
        <v>879</v>
      </c>
      <c r="GQ78" s="23">
        <v>336</v>
      </c>
      <c r="GR78" s="23">
        <v>756</v>
      </c>
      <c r="GS78" s="23">
        <v>3</v>
      </c>
      <c r="GT78" s="23">
        <v>1326</v>
      </c>
      <c r="GU78" s="23">
        <v>87956</v>
      </c>
      <c r="GV78" s="23">
        <v>122</v>
      </c>
      <c r="GW78" s="23">
        <v>6</v>
      </c>
      <c r="GX78" s="23">
        <v>8</v>
      </c>
      <c r="GY78" s="23">
        <v>4028</v>
      </c>
      <c r="GZ78" s="23">
        <v>15922</v>
      </c>
      <c r="HA78" s="23">
        <v>306</v>
      </c>
      <c r="HB78" s="23">
        <v>19</v>
      </c>
      <c r="HC78" s="23">
        <v>1524</v>
      </c>
      <c r="HD78" s="23">
        <v>30</v>
      </c>
      <c r="HE78" s="23">
        <v>82</v>
      </c>
      <c r="HF78" s="23">
        <v>312</v>
      </c>
      <c r="HG78" s="23">
        <v>10827</v>
      </c>
      <c r="HH78" s="23">
        <v>33</v>
      </c>
      <c r="HI78" s="23">
        <v>548</v>
      </c>
      <c r="HJ78" s="23">
        <v>611</v>
      </c>
      <c r="HK78" s="23">
        <v>27</v>
      </c>
      <c r="HL78" s="23">
        <v>12</v>
      </c>
      <c r="HM78" s="23">
        <v>141</v>
      </c>
      <c r="HN78" s="23">
        <v>69</v>
      </c>
      <c r="HO78" s="23">
        <v>49</v>
      </c>
      <c r="HP78" s="23">
        <v>5</v>
      </c>
      <c r="HQ78" s="23">
        <v>22141</v>
      </c>
      <c r="HR78" s="23">
        <v>310</v>
      </c>
      <c r="HS78" s="23">
        <v>161831</v>
      </c>
      <c r="HT78" s="23">
        <v>149</v>
      </c>
      <c r="HU78" s="23">
        <v>135</v>
      </c>
      <c r="HV78" s="23">
        <v>203</v>
      </c>
      <c r="HW78" s="23">
        <v>35</v>
      </c>
      <c r="HX78" s="23">
        <v>7</v>
      </c>
      <c r="HY78" s="23">
        <v>0</v>
      </c>
      <c r="HZ78" s="23">
        <v>11</v>
      </c>
      <c r="IA78" s="23">
        <v>9</v>
      </c>
      <c r="IB78" s="23">
        <v>8</v>
      </c>
      <c r="IC78" s="23">
        <v>10</v>
      </c>
      <c r="ID78" s="23">
        <v>1</v>
      </c>
      <c r="IE78" s="23">
        <v>3</v>
      </c>
      <c r="IF78" s="23">
        <v>0</v>
      </c>
      <c r="IG78" s="23">
        <v>8</v>
      </c>
      <c r="IH78" s="23">
        <v>8</v>
      </c>
      <c r="II78" s="23">
        <v>116</v>
      </c>
      <c r="IJ78" s="23">
        <v>8</v>
      </c>
      <c r="IK78" s="23">
        <v>25</v>
      </c>
      <c r="IL78" s="23">
        <v>7</v>
      </c>
      <c r="IM78" s="23">
        <v>1</v>
      </c>
      <c r="IN78" s="23">
        <v>4</v>
      </c>
      <c r="IO78" s="23">
        <v>94</v>
      </c>
      <c r="IP78" s="23">
        <v>14</v>
      </c>
      <c r="IQ78" s="23">
        <v>2</v>
      </c>
      <c r="IR78" s="23">
        <v>2</v>
      </c>
      <c r="IS78" s="23">
        <v>5</v>
      </c>
      <c r="IT78" s="23">
        <v>2</v>
      </c>
      <c r="IU78" s="23">
        <v>3</v>
      </c>
      <c r="IV78" s="23">
        <v>0</v>
      </c>
      <c r="IW78" s="23">
        <v>0</v>
      </c>
      <c r="IX78" s="23">
        <v>0</v>
      </c>
      <c r="IY78" s="23">
        <v>0</v>
      </c>
      <c r="IZ78" s="23">
        <v>0</v>
      </c>
      <c r="JA78" s="23">
        <v>0</v>
      </c>
      <c r="JB78" s="23">
        <v>0</v>
      </c>
      <c r="JC78" s="23">
        <v>0</v>
      </c>
      <c r="JD78" s="23">
        <v>0</v>
      </c>
      <c r="JE78" s="23">
        <v>0</v>
      </c>
      <c r="JF78" s="23">
        <v>0</v>
      </c>
      <c r="JG78" s="23">
        <v>0</v>
      </c>
      <c r="JH78" s="23">
        <v>0</v>
      </c>
      <c r="JI78" s="23">
        <v>58</v>
      </c>
      <c r="JJ78" s="23">
        <v>0</v>
      </c>
      <c r="JK78" s="23">
        <v>174</v>
      </c>
      <c r="JL78" s="23">
        <v>30</v>
      </c>
      <c r="JM78" s="23">
        <v>899</v>
      </c>
      <c r="JN78" s="23">
        <v>114</v>
      </c>
      <c r="JO78" s="23">
        <v>1157</v>
      </c>
      <c r="JP78" s="23">
        <v>473</v>
      </c>
      <c r="JQ78" s="23">
        <v>7138</v>
      </c>
      <c r="JR78" s="23">
        <v>2311</v>
      </c>
      <c r="JS78" s="23">
        <v>2571</v>
      </c>
      <c r="JT78" s="23">
        <v>264</v>
      </c>
      <c r="JU78" s="23">
        <v>401</v>
      </c>
      <c r="JV78" s="23">
        <v>5473</v>
      </c>
      <c r="JW78" s="23">
        <v>2808</v>
      </c>
      <c r="JX78" s="23">
        <v>175</v>
      </c>
      <c r="JY78" s="23">
        <v>340</v>
      </c>
      <c r="JZ78" s="23">
        <v>5056</v>
      </c>
      <c r="KA78" s="23">
        <v>1786</v>
      </c>
      <c r="KB78" s="23">
        <v>424</v>
      </c>
      <c r="KC78" s="23">
        <v>372</v>
      </c>
      <c r="KD78" s="23">
        <v>479</v>
      </c>
      <c r="KE78" s="23">
        <v>4025</v>
      </c>
      <c r="KF78" s="23">
        <v>275</v>
      </c>
      <c r="KG78" s="23">
        <v>1413</v>
      </c>
      <c r="KH78" s="23">
        <v>5752</v>
      </c>
      <c r="KI78" s="23">
        <v>6498</v>
      </c>
      <c r="KJ78" s="23">
        <v>576</v>
      </c>
      <c r="KK78" s="23">
        <v>847</v>
      </c>
      <c r="KL78" s="23">
        <v>1051</v>
      </c>
      <c r="KM78" s="23">
        <v>171</v>
      </c>
      <c r="KN78" s="23">
        <v>145</v>
      </c>
      <c r="KO78" s="23">
        <v>1012</v>
      </c>
      <c r="KP78" s="23">
        <v>314</v>
      </c>
      <c r="KQ78" s="23">
        <v>16636</v>
      </c>
      <c r="KR78" s="23">
        <v>237</v>
      </c>
      <c r="KS78" s="23">
        <v>66663</v>
      </c>
      <c r="KT78" s="23">
        <v>1313</v>
      </c>
      <c r="KU78" s="23">
        <v>109</v>
      </c>
      <c r="KV78" s="23">
        <v>1933</v>
      </c>
      <c r="KW78" s="23">
        <v>481</v>
      </c>
      <c r="KX78" s="23">
        <v>606</v>
      </c>
      <c r="KY78" s="23">
        <v>4155</v>
      </c>
      <c r="KZ78" s="23">
        <v>408</v>
      </c>
      <c r="LA78" s="23">
        <v>925</v>
      </c>
      <c r="LB78" s="23">
        <v>101</v>
      </c>
      <c r="LC78" s="23">
        <v>1917</v>
      </c>
      <c r="LD78" s="23">
        <v>3147</v>
      </c>
      <c r="LE78" s="23">
        <v>798</v>
      </c>
      <c r="LF78" s="23">
        <v>256</v>
      </c>
      <c r="LG78" s="23">
        <v>1020</v>
      </c>
      <c r="LH78" s="23">
        <v>4923</v>
      </c>
      <c r="LI78" s="23">
        <v>145</v>
      </c>
      <c r="LJ78" s="23">
        <v>1230</v>
      </c>
      <c r="LK78" s="23">
        <v>94</v>
      </c>
      <c r="LL78" s="23">
        <v>49</v>
      </c>
      <c r="LM78" s="23">
        <v>103</v>
      </c>
      <c r="LN78" s="278">
        <f ca="1">$A78 - TST!Sweden100dt + 1</f>
        <v>24</v>
      </c>
      <c r="LO78" s="20">
        <f ca="1">INDEX(OFFSET(TST!HeadRow,ROW()-ROW(TST!HeadRow),0,1,COLUMNS(TST!HeadRow)),1,MATCH(LO$5,TST!HeadRow,0))/LO$8</f>
        <v>3937.4389051808412</v>
      </c>
      <c r="LP78" s="278">
        <f ca="1">$A78 - TST!Spain100dt + 1</f>
        <v>24</v>
      </c>
      <c r="LQ78" s="20">
        <f ca="1">INDEX(OFFSET(TST!HeadRow,ROW()-ROW(TST!HeadRow),0,1,COLUMNS(TST!HeadRow)),1,MATCH(LQ$5,TST!HeadRow,0))/LQ$8</f>
        <v>18737.963357477631</v>
      </c>
      <c r="LR78" s="285">
        <f ca="1">$A78 - TST!Victoria100dt + 1</f>
        <v>15</v>
      </c>
      <c r="LS78" s="20">
        <f ca="1">INDEX(OFFSET(TST!HeadRow,ROW()-ROW(TST!HeadRow),0,1,COLUMNS(TST!HeadRow)),1,MATCH(LS$5,TST!HeadRow,0))/LS$8</f>
        <v>1238.4975109367929</v>
      </c>
      <c r="LT78" s="278">
        <f ca="1">$A78 - TST!Iran100dt + 1</f>
        <v>30</v>
      </c>
      <c r="LU78" s="20">
        <f ca="1">INDEX(OFFSET(TST!HeadRow,ROW()-ROW(TST!HeadRow),0,1,COLUMNS(TST!HeadRow)),1,MATCH(LU$5,TST!HeadRow,0))/LU$8</f>
        <v>4953.2665655998953</v>
      </c>
      <c r="LV78" s="278">
        <f ca="1">$A78 - TST!Japan100dt + 1</f>
        <v>6</v>
      </c>
      <c r="LW78" s="20">
        <f ca="1">INDEX(OFFSET(TST!HeadRow,ROW()-ROW(TST!HeadRow),0,1,COLUMNS(TST!HeadRow)),1,MATCH(LW$5,TST!HeadRow,0))/LW$8</f>
        <v>147.44670313320216</v>
      </c>
      <c r="LX78" s="278">
        <f ca="1">$A78 - TST!Queensland100dt + 1</f>
        <v>16</v>
      </c>
      <c r="LY78" s="20">
        <f ca="1">INDEX(OFFSET(TST!HeadRow,ROW()-ROW(TST!HeadRow),0,1,COLUMNS(TST!HeadRow)),1,MATCH(LY$5,TST!HeadRow,0))/LY$8</f>
        <v>1346.8998139167006</v>
      </c>
      <c r="LZ78" s="278">
        <f ca="1">$A78 - TST!Tasmania100dt + 1</f>
        <v>16</v>
      </c>
      <c r="MA78" s="20">
        <f ca="1">INDEX(OFFSET(TST!HeadRow,ROW()-ROW(TST!HeadRow),0,1,COLUMNS(TST!HeadRow)),1,MATCH(MA$5,TST!HeadRow,0))/MA$8</f>
        <v>1281.5533980582525</v>
      </c>
      <c r="MB78" s="278">
        <f ca="1">$A78 - TST!SouthAustralia100dt + 1</f>
        <v>17</v>
      </c>
      <c r="MC78" s="20">
        <f ca="1">INDEX(OFFSET(TST!HeadRow,ROW()-ROW(TST!HeadRow),0,1,COLUMNS(TST!HeadRow)),1,MATCH(MC$5,TST!HeadRow,0))/MC$8</f>
        <v>1826.3473053892214</v>
      </c>
      <c r="MD78" s="278">
        <f ca="1">$A78 - TST!AustralianCapitalTerritory100dt + 1</f>
        <v>11</v>
      </c>
      <c r="ME78" s="20">
        <f ca="1">INDEX(OFFSET(TST!HeadRow,ROW()-ROW(TST!HeadRow),0,1,COLUMNS(TST!HeadRow)),1,MATCH(ME$5,TST!HeadRow,0))/ME$8</f>
        <v>1822.1744615240855</v>
      </c>
      <c r="MF78" s="278">
        <f ca="1">$A78 - TST!NorthernTerritory100dt + 1</f>
        <v>11</v>
      </c>
      <c r="MG78" s="20">
        <f ca="1">INDEX(OFFSET(TST!HeadRow,ROW()-ROW(TST!HeadRow),0,1,COLUMNS(TST!HeadRow)),1,MATCH(MG$5,TST!HeadRow,0))/MG$8</f>
        <v>707.7307792115879</v>
      </c>
      <c r="MH78" s="278">
        <f ca="1">$A78 - TST!WesternAustralia100dt + 1</f>
        <v>15</v>
      </c>
      <c r="MI78" s="20">
        <f ca="1">INDEX(OFFSET(TST!HeadRow,ROW()-ROW(TST!HeadRow),0,1,COLUMNS(TST!HeadRow)),1,MATCH(MI$5,TST!HeadRow,0))/MI$8</f>
        <v>1371.1857860177674</v>
      </c>
      <c r="MJ78" s="278">
        <f ca="1">$A78 - TST!Germany100dt + 1</f>
        <v>23</v>
      </c>
      <c r="MK78" s="20">
        <f ca="1">INDEX(OFFSET(TST!HeadRow,ROW()-ROW(TST!HeadRow),0,1,COLUMNS(TST!HeadRow)),1,MATCH(MK$5,TST!HeadRow,0))/MK$8</f>
        <v>8056.4924114671167</v>
      </c>
      <c r="ML78" s="278">
        <f ca="1">$A78 - TST!Denmark100dt + 1</f>
        <v>22</v>
      </c>
      <c r="MM78" s="20">
        <f ca="1">INDEX(OFFSET(TST!HeadRow,ROW()-ROW(TST!HeadRow),0,1,COLUMNS(TST!HeadRow)),1,MATCH(MM$5,TST!HeadRow,0))/MM$8</f>
        <v>4438.5118842576649</v>
      </c>
      <c r="MN78" s="278">
        <f ca="1">$A78 - TST!SouthAfrica100dt + 1</f>
        <v>6</v>
      </c>
      <c r="MO78" s="20">
        <f ca="1">INDEX(OFFSET(TST!HeadRow,ROW()-ROW(TST!HeadRow),0,1,COLUMNS(TST!HeadRow)),1,MATCH(MO$5,TST!HeadRow,0))/MO$8</f>
        <v>229.49117341640707</v>
      </c>
      <c r="MP78" s="278">
        <f ca="1">$A78 - TST!UnitedKingdom100dt + 1</f>
        <v>18</v>
      </c>
      <c r="MQ78" s="20">
        <f ca="1">INDEX(OFFSET(TST!HeadRow,ROW()-ROW(TST!HeadRow),0,1,COLUMNS(TST!HeadRow)),1,MATCH(MQ$5,TST!HeadRow,0))/MQ$8</f>
        <v>3332.480433473811</v>
      </c>
      <c r="MR78" s="278">
        <f ca="1">$A78 - TST!Ireland100dt + 1</f>
        <v>18</v>
      </c>
      <c r="MS78" s="20">
        <f ca="1">INDEX(OFFSET(TST!HeadRow,ROW()-ROW(TST!HeadRow),0,1,COLUMNS(TST!HeadRow)),1,MATCH(MS$5,TST!HeadRow,0))/MS$8</f>
        <v>5938.7755102040819</v>
      </c>
      <c r="MT78" s="278">
        <f ca="1">$A78 - TST!Italy100dt + 1</f>
        <v>33</v>
      </c>
      <c r="MU78" s="20">
        <f ca="1">INDEX(OFFSET(TST!HeadRow,ROW()-ROW(TST!HeadRow),0,1,COLUMNS(TST!HeadRow)),1,MATCH(MU$5,TST!HeadRow,0))/MU$8</f>
        <v>16820.534016698355</v>
      </c>
      <c r="MV78" s="278">
        <f ca="1">$A78 - TST!US100dt + 1</f>
        <v>16</v>
      </c>
      <c r="MW78" s="20">
        <f ca="1">INDEX(OFFSET(TST!HeadRow,ROW()-ROW(TST!HeadRow),0,1,COLUMNS(TST!HeadRow)),1,MATCH(MW$5,TST!HeadRow,0))/MW$8</f>
        <v>4915.472707455222</v>
      </c>
      <c r="MX78" s="278">
        <f ca="1">$A78 - TST!AustraliaSum100dt + 1</f>
        <v>16</v>
      </c>
      <c r="MY78" s="366">
        <f t="shared" si="9"/>
        <v>1719.3660305945434</v>
      </c>
      <c r="MZ78" s="278">
        <f ca="1">$A78 - TST!NewSouthWales100dt + 1</f>
        <v>18</v>
      </c>
      <c r="NA78" s="366">
        <f ca="1">INDEX(OFFSET(TST!HeadRow,ROW()-ROW(TST!HeadRow),0,1,COLUMNS(TST!HeadRow)),1,MATCH(NA$5,TST!HeadRow,0))/NA$8</f>
        <v>2514.8514851485147</v>
      </c>
      <c r="NB78" s="278">
        <f ca="1">$A78 - TST!Taiwan100dt + 1</f>
        <v>5</v>
      </c>
      <c r="NC78" s="366">
        <f ca="1">INDEX(OFFSET(TST!HeadRow,ROW()-ROW(TST!HeadRow),0,1,COLUMNS(TST!HeadRow)),1,MATCH(NC$5,TST!HeadRow,0))/NC$8</f>
        <v>128.53210206860237</v>
      </c>
      <c r="ND78" s="20">
        <f ca="1">$A78 - TST!Hubei100dt + 1</f>
        <v>66</v>
      </c>
      <c r="NE78" s="20">
        <f ca="1">INDEX(OFFSET(TST!HeadRow,ROW()-ROW(TST!HeadRow),0,1,COLUMNS(TST!HeadRow)),1,MATCH(NE$5,TST!HeadRow,0))/NE$8</f>
        <v>11589.914529914531</v>
      </c>
      <c r="NF78" s="20">
        <f ca="1">$A78 - TST!HongKong100dt + 1</f>
        <v>36</v>
      </c>
      <c r="NG78" s="20">
        <f ca="1">INDEX(OFFSET(TST!HeadRow,ROW()-ROW(TST!HeadRow),0,1,COLUMNS(TST!HeadRow)),1,MATCH(NG$5,TST!HeadRow,0))/NG$8</f>
        <v>915.31338075426117</v>
      </c>
    </row>
    <row r="79" spans="1:371" x14ac:dyDescent="0.25">
      <c r="A79" s="243">
        <v>43921</v>
      </c>
      <c r="B79" s="23">
        <v>174</v>
      </c>
      <c r="C79" s="23">
        <v>243</v>
      </c>
      <c r="D79" s="23">
        <v>716</v>
      </c>
      <c r="E79" s="23">
        <v>376</v>
      </c>
      <c r="F79" s="23">
        <v>7</v>
      </c>
      <c r="G79" s="23">
        <v>7</v>
      </c>
      <c r="H79" s="23">
        <v>1054</v>
      </c>
      <c r="I79" s="23">
        <v>532</v>
      </c>
      <c r="J79" s="23">
        <v>80</v>
      </c>
      <c r="K79" s="293">
        <v>2032</v>
      </c>
      <c r="L79" s="23">
        <v>17</v>
      </c>
      <c r="M79" s="290">
        <v>743</v>
      </c>
      <c r="N79" s="23">
        <v>337</v>
      </c>
      <c r="O79" s="384">
        <v>69</v>
      </c>
      <c r="P79" s="287">
        <v>917</v>
      </c>
      <c r="Q79" s="23">
        <v>364</v>
      </c>
      <c r="R79" s="23">
        <v>10180</v>
      </c>
      <c r="S79" s="23">
        <v>298</v>
      </c>
      <c r="T79" s="23">
        <v>14</v>
      </c>
      <c r="U79" s="23">
        <v>567</v>
      </c>
      <c r="V79" s="23">
        <v>51</v>
      </c>
      <c r="W79" s="23">
        <v>34</v>
      </c>
      <c r="X79" s="23">
        <v>152</v>
      </c>
      <c r="Y79" s="23">
        <v>12775</v>
      </c>
      <c r="Z79" s="23">
        <v>9</v>
      </c>
      <c r="AA79" s="23">
        <v>4</v>
      </c>
      <c r="AB79" s="23">
        <v>107</v>
      </c>
      <c r="AC79" s="23">
        <v>420</v>
      </c>
      <c r="AD79" s="23">
        <v>5717</v>
      </c>
      <c r="AE79" s="23">
        <v>129</v>
      </c>
      <c r="AF79" s="23">
        <v>399</v>
      </c>
      <c r="AG79" s="23">
        <v>261</v>
      </c>
      <c r="AH79" s="23">
        <v>6</v>
      </c>
      <c r="AI79" s="23">
        <v>109</v>
      </c>
      <c r="AJ79" s="23">
        <v>193</v>
      </c>
      <c r="AK79" s="23">
        <v>690</v>
      </c>
      <c r="AL79" s="23">
        <v>1013</v>
      </c>
      <c r="AM79" s="23">
        <v>13</v>
      </c>
      <c r="AN79" s="23">
        <v>103</v>
      </c>
      <c r="AO79" s="23">
        <v>70</v>
      </c>
      <c r="AP79" s="23">
        <v>152</v>
      </c>
      <c r="AQ79" s="23">
        <v>147</v>
      </c>
      <c r="AR79" s="23">
        <v>1966</v>
      </c>
      <c r="AS79" s="23">
        <v>21</v>
      </c>
      <c r="AT79" s="23">
        <v>4162</v>
      </c>
      <c r="AU79" s="23">
        <v>184</v>
      </c>
      <c r="AV79" s="23">
        <v>3</v>
      </c>
      <c r="AW79" s="23">
        <v>7</v>
      </c>
      <c r="AX79" s="23">
        <v>2738</v>
      </c>
      <c r="AY79" s="23">
        <v>990</v>
      </c>
      <c r="AZ79" s="23">
        <v>580</v>
      </c>
      <c r="BA79" s="23">
        <v>579</v>
      </c>
      <c r="BB79" s="23">
        <v>343</v>
      </c>
      <c r="BC79" s="23">
        <v>138</v>
      </c>
      <c r="BD79" s="23">
        <v>1494</v>
      </c>
      <c r="BE79" s="23">
        <v>254</v>
      </c>
      <c r="BF79" s="23">
        <v>146</v>
      </c>
      <c r="BG79" s="23">
        <v>168</v>
      </c>
      <c r="BH79" s="23">
        <v>321</v>
      </c>
      <c r="BI79" s="23">
        <v>484</v>
      </c>
      <c r="BJ79" s="23">
        <v>1276</v>
      </c>
      <c r="BK79" s="23">
        <v>714</v>
      </c>
      <c r="BL79" s="23">
        <v>67801</v>
      </c>
      <c r="BM79" s="23">
        <v>1018</v>
      </c>
      <c r="BN79" s="23">
        <v>107</v>
      </c>
      <c r="BO79" s="23">
        <v>646</v>
      </c>
      <c r="BP79" s="23">
        <v>937</v>
      </c>
      <c r="BQ79" s="23">
        <v>98</v>
      </c>
      <c r="BR79" s="23">
        <v>139</v>
      </c>
      <c r="BS79" s="23">
        <v>41</v>
      </c>
      <c r="BT79" s="23">
        <v>75</v>
      </c>
      <c r="BU79" s="23">
        <v>18</v>
      </c>
      <c r="BV79" s="23">
        <v>253</v>
      </c>
      <c r="BW79" s="23">
        <v>774</v>
      </c>
      <c r="BX79" s="23">
        <v>509</v>
      </c>
      <c r="BY79" s="23">
        <v>136</v>
      </c>
      <c r="BZ79" s="23">
        <v>550</v>
      </c>
      <c r="CA79" s="23">
        <v>174</v>
      </c>
      <c r="CB79" s="23">
        <v>1</v>
      </c>
      <c r="CC79" s="23">
        <v>76</v>
      </c>
      <c r="CD79" s="23">
        <v>182</v>
      </c>
      <c r="CE79" s="23">
        <v>1257</v>
      </c>
      <c r="CF79" s="23">
        <v>906</v>
      </c>
      <c r="CG79" s="23">
        <v>19</v>
      </c>
      <c r="CH79" s="23">
        <v>98</v>
      </c>
      <c r="CI79" s="23">
        <v>347</v>
      </c>
      <c r="CJ79" s="23">
        <v>179</v>
      </c>
      <c r="CK79" s="23">
        <v>867</v>
      </c>
      <c r="CL79" s="23">
        <v>712</v>
      </c>
      <c r="CM79" s="23">
        <v>186</v>
      </c>
      <c r="CN79" s="23">
        <v>262</v>
      </c>
      <c r="CO79" s="23">
        <v>3308</v>
      </c>
      <c r="CP79" s="23">
        <v>169</v>
      </c>
      <c r="CQ79" s="23">
        <v>10</v>
      </c>
      <c r="CR79" s="23">
        <v>2860</v>
      </c>
      <c r="CS79" s="23">
        <v>30</v>
      </c>
      <c r="CT79" s="23">
        <v>1109</v>
      </c>
      <c r="CU79" s="23">
        <v>2240</v>
      </c>
      <c r="CV79" s="23">
        <v>710</v>
      </c>
      <c r="CW79" s="23">
        <v>32</v>
      </c>
      <c r="CX79" s="23">
        <v>12</v>
      </c>
      <c r="CY79" s="23">
        <v>15</v>
      </c>
      <c r="CZ79" s="23">
        <v>745</v>
      </c>
      <c r="DA79" s="23">
        <v>9</v>
      </c>
      <c r="DB79" s="23">
        <v>26</v>
      </c>
      <c r="DC79" s="23">
        <v>5</v>
      </c>
      <c r="DD79" s="23">
        <v>1418</v>
      </c>
      <c r="DE79" s="23">
        <v>43</v>
      </c>
      <c r="DF79" s="23">
        <v>36</v>
      </c>
      <c r="DG79" s="23">
        <v>114</v>
      </c>
      <c r="DH79" s="23">
        <v>94</v>
      </c>
      <c r="DI79" s="23">
        <v>16</v>
      </c>
      <c r="DJ79" s="23">
        <v>247</v>
      </c>
      <c r="DK79" s="23">
        <v>6</v>
      </c>
      <c r="DL79" s="23">
        <v>15</v>
      </c>
      <c r="DM79" s="23">
        <v>128</v>
      </c>
      <c r="DN79" s="23">
        <v>52128</v>
      </c>
      <c r="DO79" s="23">
        <v>16</v>
      </c>
      <c r="DP79" s="23">
        <v>4</v>
      </c>
      <c r="DQ79" s="23">
        <v>110</v>
      </c>
      <c r="DR79" s="23">
        <v>71808</v>
      </c>
      <c r="DS79" s="23">
        <v>161</v>
      </c>
      <c r="DT79" s="23">
        <v>1314</v>
      </c>
      <c r="DU79" s="23">
        <v>38</v>
      </c>
      <c r="DV79" s="23">
        <v>22</v>
      </c>
      <c r="DW79" s="23">
        <v>12</v>
      </c>
      <c r="DX79" s="23">
        <v>15</v>
      </c>
      <c r="DY79" s="23">
        <v>6</v>
      </c>
      <c r="DZ79" s="23">
        <v>141</v>
      </c>
      <c r="EA79" s="23">
        <v>492</v>
      </c>
      <c r="EB79" s="23">
        <v>1135</v>
      </c>
      <c r="EC79" s="23">
        <v>1397</v>
      </c>
      <c r="ED79" s="23">
        <v>1528</v>
      </c>
      <c r="EE79" s="23">
        <v>44605</v>
      </c>
      <c r="EF79" s="23">
        <v>694</v>
      </c>
      <c r="EG79" s="23">
        <v>3235</v>
      </c>
      <c r="EH79" s="23">
        <v>5358</v>
      </c>
      <c r="EI79" s="23">
        <v>105792</v>
      </c>
      <c r="EJ79" s="23">
        <v>36</v>
      </c>
      <c r="EK79" s="23">
        <v>1953</v>
      </c>
      <c r="EL79" s="23">
        <v>274</v>
      </c>
      <c r="EM79" s="23">
        <v>343</v>
      </c>
      <c r="EN79" s="23">
        <v>59</v>
      </c>
      <c r="EO79" s="23">
        <v>9786</v>
      </c>
      <c r="EP79" s="23">
        <v>289</v>
      </c>
      <c r="EQ79" s="23">
        <v>107</v>
      </c>
      <c r="ER79" s="23">
        <v>398</v>
      </c>
      <c r="ES79" s="23">
        <v>470</v>
      </c>
      <c r="ET79" s="23">
        <v>3</v>
      </c>
      <c r="EU79" s="23">
        <v>68</v>
      </c>
      <c r="EV79" s="23">
        <v>537</v>
      </c>
      <c r="EW79" s="23">
        <v>2178</v>
      </c>
      <c r="EX79" s="23">
        <v>57</v>
      </c>
      <c r="EY79" s="23">
        <v>2766</v>
      </c>
      <c r="EZ79" s="23">
        <v>18</v>
      </c>
      <c r="FA79" s="23">
        <v>169</v>
      </c>
      <c r="FB79" s="23">
        <v>6</v>
      </c>
      <c r="FC79" s="23">
        <v>143</v>
      </c>
      <c r="FD79" s="23">
        <v>1215</v>
      </c>
      <c r="FE79" s="23">
        <v>353</v>
      </c>
      <c r="FF79" s="23">
        <v>52</v>
      </c>
      <c r="FG79" s="23">
        <v>12</v>
      </c>
      <c r="FH79" s="23">
        <v>109</v>
      </c>
      <c r="FI79" s="23">
        <v>617</v>
      </c>
      <c r="FJ79" s="23">
        <v>11</v>
      </c>
      <c r="FK79" s="23">
        <v>5</v>
      </c>
      <c r="FL79" s="23">
        <v>55</v>
      </c>
      <c r="FM79" s="23">
        <v>11</v>
      </c>
      <c r="FN79" s="23">
        <v>6</v>
      </c>
      <c r="FO79" s="23">
        <v>12595</v>
      </c>
      <c r="FP79" s="23">
        <v>647</v>
      </c>
      <c r="FQ79" s="23">
        <v>5</v>
      </c>
      <c r="FR79" s="23">
        <v>27</v>
      </c>
      <c r="FS79" s="23">
        <v>135</v>
      </c>
      <c r="FT79" s="23">
        <v>329</v>
      </c>
      <c r="FU79" s="23">
        <v>4641</v>
      </c>
      <c r="FV79" s="23">
        <v>192</v>
      </c>
      <c r="FW79" s="23">
        <v>1938</v>
      </c>
      <c r="FX79" s="23">
        <v>1181</v>
      </c>
      <c r="FY79" s="23">
        <v>1</v>
      </c>
      <c r="FZ79" s="23">
        <v>65</v>
      </c>
      <c r="GA79" s="23">
        <v>1065</v>
      </c>
      <c r="GB79" s="23">
        <v>2084</v>
      </c>
      <c r="GC79" s="23">
        <v>2311</v>
      </c>
      <c r="GD79" s="23">
        <v>7443</v>
      </c>
      <c r="GE79" s="23">
        <v>781</v>
      </c>
      <c r="GF79" s="23">
        <v>2245</v>
      </c>
      <c r="GG79" s="23">
        <v>2337</v>
      </c>
      <c r="GH79" s="23">
        <v>75</v>
      </c>
      <c r="GI79" s="23">
        <v>13</v>
      </c>
      <c r="GJ79" s="23">
        <v>1</v>
      </c>
      <c r="GK79" s="23">
        <v>236</v>
      </c>
      <c r="GL79" s="23">
        <v>1563</v>
      </c>
      <c r="GM79" s="23">
        <v>175</v>
      </c>
      <c r="GN79" s="23">
        <v>900</v>
      </c>
      <c r="GO79" s="23">
        <v>10</v>
      </c>
      <c r="GP79" s="23">
        <v>926</v>
      </c>
      <c r="GQ79" s="23">
        <v>363</v>
      </c>
      <c r="GR79" s="23">
        <v>802</v>
      </c>
      <c r="GS79" s="23">
        <v>5</v>
      </c>
      <c r="GT79" s="23">
        <v>1353</v>
      </c>
      <c r="GU79" s="23">
        <v>95923</v>
      </c>
      <c r="GV79" s="23">
        <v>143</v>
      </c>
      <c r="GW79" s="23">
        <v>7</v>
      </c>
      <c r="GX79" s="23">
        <v>9</v>
      </c>
      <c r="GY79" s="23">
        <v>4435</v>
      </c>
      <c r="GZ79" s="23">
        <v>16605</v>
      </c>
      <c r="HA79" s="23">
        <v>322</v>
      </c>
      <c r="HB79" s="23">
        <v>19</v>
      </c>
      <c r="HC79" s="23">
        <v>1651</v>
      </c>
      <c r="HD79" s="23">
        <v>34</v>
      </c>
      <c r="HE79" s="23">
        <v>87</v>
      </c>
      <c r="HF79" s="23">
        <v>394</v>
      </c>
      <c r="HG79" s="23">
        <v>13531</v>
      </c>
      <c r="HH79" s="23">
        <v>44</v>
      </c>
      <c r="HI79" s="23">
        <v>645</v>
      </c>
      <c r="HJ79" s="23">
        <v>664</v>
      </c>
      <c r="HK79" s="23">
        <v>32</v>
      </c>
      <c r="HL79" s="23">
        <v>14</v>
      </c>
      <c r="HM79" s="23">
        <v>141</v>
      </c>
      <c r="HN79" s="23">
        <v>69</v>
      </c>
      <c r="HO79" s="23">
        <v>60</v>
      </c>
      <c r="HP79" s="23">
        <v>5</v>
      </c>
      <c r="HQ79" s="23">
        <v>25150</v>
      </c>
      <c r="HR79" s="23">
        <v>338</v>
      </c>
      <c r="HS79" s="23">
        <v>188172</v>
      </c>
      <c r="HT79" s="23">
        <v>172</v>
      </c>
      <c r="HU79" s="23">
        <v>135</v>
      </c>
      <c r="HV79" s="23">
        <v>212</v>
      </c>
      <c r="HW79" s="23">
        <v>35</v>
      </c>
      <c r="HX79" s="23">
        <v>8</v>
      </c>
      <c r="HY79" s="23">
        <v>0</v>
      </c>
      <c r="HZ79" s="23">
        <v>12</v>
      </c>
      <c r="IA79" s="23">
        <v>9</v>
      </c>
      <c r="IB79" s="23">
        <v>8</v>
      </c>
      <c r="IC79" s="23">
        <v>10</v>
      </c>
      <c r="ID79" s="23">
        <v>1</v>
      </c>
      <c r="IE79" s="23">
        <v>3</v>
      </c>
      <c r="IF79" s="23">
        <v>0</v>
      </c>
      <c r="IG79" s="23">
        <v>9</v>
      </c>
      <c r="IH79" s="23">
        <v>10</v>
      </c>
      <c r="II79" s="23">
        <v>119</v>
      </c>
      <c r="IJ79" s="23">
        <v>8</v>
      </c>
      <c r="IK79" s="23">
        <v>28</v>
      </c>
      <c r="IL79" s="23">
        <v>8</v>
      </c>
      <c r="IM79" s="23">
        <v>1</v>
      </c>
      <c r="IN79" s="23">
        <v>5</v>
      </c>
      <c r="IO79" s="23">
        <v>112</v>
      </c>
      <c r="IP79" s="23">
        <v>15</v>
      </c>
      <c r="IQ79" s="23">
        <v>2</v>
      </c>
      <c r="IR79" s="23">
        <v>3</v>
      </c>
      <c r="IS79" s="23">
        <v>5</v>
      </c>
      <c r="IT79" s="23">
        <v>2</v>
      </c>
      <c r="IU79" s="23">
        <v>4</v>
      </c>
      <c r="IV79" s="23">
        <v>2</v>
      </c>
      <c r="IW79" s="23">
        <v>1</v>
      </c>
      <c r="IX79" s="23">
        <v>0</v>
      </c>
      <c r="IY79" s="23">
        <v>0</v>
      </c>
      <c r="IZ79" s="23">
        <v>0</v>
      </c>
      <c r="JA79" s="23">
        <v>0</v>
      </c>
      <c r="JB79" s="23">
        <v>0</v>
      </c>
      <c r="JC79" s="23">
        <v>0</v>
      </c>
      <c r="JD79" s="23">
        <v>0</v>
      </c>
      <c r="JE79" s="23">
        <v>0</v>
      </c>
      <c r="JF79" s="23">
        <v>0</v>
      </c>
      <c r="JG79" s="23">
        <v>0</v>
      </c>
      <c r="JH79" s="23">
        <v>0</v>
      </c>
      <c r="JI79" s="23">
        <v>69</v>
      </c>
      <c r="JJ79" s="23">
        <v>2</v>
      </c>
      <c r="JK79" s="23">
        <v>239</v>
      </c>
      <c r="JL79" s="23">
        <v>30</v>
      </c>
      <c r="JM79" s="23">
        <v>987</v>
      </c>
      <c r="JN79" s="23">
        <v>119</v>
      </c>
      <c r="JO79" s="23">
        <v>1289</v>
      </c>
      <c r="JP79" s="23">
        <v>523</v>
      </c>
      <c r="JQ79" s="23">
        <v>8210</v>
      </c>
      <c r="JR79" s="23">
        <v>2966</v>
      </c>
      <c r="JS79" s="23">
        <v>3128</v>
      </c>
      <c r="JT79" s="23">
        <v>319</v>
      </c>
      <c r="JU79" s="23">
        <v>495</v>
      </c>
      <c r="JV79" s="23">
        <v>6741</v>
      </c>
      <c r="JW79" s="23">
        <v>3929</v>
      </c>
      <c r="JX79" s="23">
        <v>204</v>
      </c>
      <c r="JY79" s="23">
        <v>515</v>
      </c>
      <c r="JZ79" s="23">
        <v>5994</v>
      </c>
      <c r="KA79" s="23">
        <v>2158</v>
      </c>
      <c r="KB79" s="23">
        <v>497</v>
      </c>
      <c r="KC79" s="23">
        <v>434</v>
      </c>
      <c r="KD79" s="23">
        <v>628</v>
      </c>
      <c r="KE79" s="23">
        <v>5237</v>
      </c>
      <c r="KF79" s="23">
        <v>303</v>
      </c>
      <c r="KG79" s="23">
        <v>1660</v>
      </c>
      <c r="KH79" s="23">
        <v>6620</v>
      </c>
      <c r="KI79" s="23">
        <v>7615</v>
      </c>
      <c r="KJ79" s="23">
        <v>629</v>
      </c>
      <c r="KK79" s="23">
        <v>937</v>
      </c>
      <c r="KL79" s="23">
        <v>1357</v>
      </c>
      <c r="KM79" s="23">
        <v>198</v>
      </c>
      <c r="KN79" s="23">
        <v>172</v>
      </c>
      <c r="KO79" s="23">
        <v>1114</v>
      </c>
      <c r="KP79" s="23">
        <v>357</v>
      </c>
      <c r="KQ79" s="23">
        <v>18696</v>
      </c>
      <c r="KR79" s="23">
        <v>315</v>
      </c>
      <c r="KS79" s="23">
        <v>75833</v>
      </c>
      <c r="KT79" s="23">
        <v>1535</v>
      </c>
      <c r="KU79" s="23">
        <v>122</v>
      </c>
      <c r="KV79" s="23">
        <v>2199</v>
      </c>
      <c r="KW79" s="23">
        <v>568</v>
      </c>
      <c r="KX79" s="23">
        <v>690</v>
      </c>
      <c r="KY79" s="23">
        <v>4963</v>
      </c>
      <c r="KZ79" s="23">
        <v>488</v>
      </c>
      <c r="LA79" s="23">
        <v>1083</v>
      </c>
      <c r="LB79" s="23">
        <v>108</v>
      </c>
      <c r="LC79" s="23">
        <v>2391</v>
      </c>
      <c r="LD79" s="23">
        <v>3809</v>
      </c>
      <c r="LE79" s="23">
        <v>888</v>
      </c>
      <c r="LF79" s="23">
        <v>293</v>
      </c>
      <c r="LG79" s="23">
        <v>1249</v>
      </c>
      <c r="LH79" s="23">
        <v>5432</v>
      </c>
      <c r="LI79" s="23">
        <v>162</v>
      </c>
      <c r="LJ79" s="23">
        <v>1412</v>
      </c>
      <c r="LK79" s="23">
        <v>109</v>
      </c>
      <c r="LL79" s="23">
        <v>49</v>
      </c>
      <c r="LM79" s="23">
        <v>103</v>
      </c>
      <c r="LN79" s="278">
        <f ca="1">$A79 - TST!Sweden100dt + 1</f>
        <v>25</v>
      </c>
      <c r="LO79" s="20">
        <f ca="1">INDEX(OFFSET(TST!HeadRow,ROW()-ROW(TST!HeadRow),0,1,COLUMNS(TST!HeadRow)),1,MATCH(LO$5,TST!HeadRow,0))/LO$8</f>
        <v>4335.2883675464327</v>
      </c>
      <c r="LP79" s="278">
        <f ca="1">$A79 - TST!Spain100dt + 1</f>
        <v>25</v>
      </c>
      <c r="LQ79" s="20">
        <f ca="1">INDEX(OFFSET(TST!HeadRow,ROW()-ROW(TST!HeadRow),0,1,COLUMNS(TST!HeadRow)),1,MATCH(LQ$5,TST!HeadRow,0))/LQ$8</f>
        <v>20435.236472092034</v>
      </c>
      <c r="LR79" s="285">
        <f ca="1">$A79 - TST!Victoria100dt + 1</f>
        <v>16</v>
      </c>
      <c r="LS79" s="20">
        <f ca="1">INDEX(OFFSET(TST!HeadRow,ROW()-ROW(TST!HeadRow),0,1,COLUMNS(TST!HeadRow)),1,MATCH(LS$5,TST!HeadRow,0))/LS$8</f>
        <v>1383.3157338965152</v>
      </c>
      <c r="LT79" s="278">
        <f ca="1">$A79 - TST!Iran100dt + 1</f>
        <v>31</v>
      </c>
      <c r="LU79" s="20">
        <f ca="1">INDEX(OFFSET(TST!HeadRow,ROW()-ROW(TST!HeadRow),0,1,COLUMNS(TST!HeadRow)),1,MATCH(LU$5,TST!HeadRow,0))/LU$8</f>
        <v>5324.507896338916</v>
      </c>
      <c r="LV79" s="278">
        <f ca="1">$A79 - TST!Japan100dt + 1</f>
        <v>7</v>
      </c>
      <c r="LW79" s="20">
        <f ca="1">INDEX(OFFSET(TST!HeadRow,ROW()-ROW(TST!HeadRow),0,1,COLUMNS(TST!HeadRow)),1,MATCH(LW$5,TST!HeadRow,0))/LW$8</f>
        <v>154.32122787735466</v>
      </c>
      <c r="LX79" s="278">
        <f ca="1">$A79 - TST!Queensland100dt + 1</f>
        <v>17</v>
      </c>
      <c r="LY79" s="20">
        <f ca="1">INDEX(OFFSET(TST!HeadRow,ROW()-ROW(TST!HeadRow),0,1,COLUMNS(TST!HeadRow)),1,MATCH(LY$5,TST!HeadRow,0))/LY$8</f>
        <v>1452.4623537592288</v>
      </c>
      <c r="LZ79" s="278">
        <f ca="1">$A79 - TST!Tasmania100dt + 1</f>
        <v>17</v>
      </c>
      <c r="MA79" s="20">
        <f ca="1">INDEX(OFFSET(TST!HeadRow,ROW()-ROW(TST!HeadRow),0,1,COLUMNS(TST!HeadRow)),1,MATCH(MA$5,TST!HeadRow,0))/MA$8</f>
        <v>1339.8058252427186</v>
      </c>
      <c r="MB79" s="278">
        <f ca="1">$A79 - TST!SouthAustralia100dt + 1</f>
        <v>18</v>
      </c>
      <c r="MC79" s="20">
        <f ca="1">INDEX(OFFSET(TST!HeadRow,ROW()-ROW(TST!HeadRow),0,1,COLUMNS(TST!HeadRow)),1,MATCH(MC$5,TST!HeadRow,0))/MC$8</f>
        <v>2017.9640718562873</v>
      </c>
      <c r="MD79" s="278">
        <f ca="1">$A79 - TST!AustralianCapitalTerritory100dt + 1</f>
        <v>12</v>
      </c>
      <c r="ME79" s="20">
        <f ca="1">INDEX(OFFSET(TST!HeadRow,ROW()-ROW(TST!HeadRow),0,1,COLUMNS(TST!HeadRow)),1,MATCH(ME$5,TST!HeadRow,0))/ME$8</f>
        <v>1868.8968836144468</v>
      </c>
      <c r="MF79" s="278">
        <f ca="1">$A79 - TST!NorthernTerritory100dt + 1</f>
        <v>12</v>
      </c>
      <c r="MG79" s="20">
        <f ca="1">INDEX(OFFSET(TST!HeadRow,ROW()-ROW(TST!HeadRow),0,1,COLUMNS(TST!HeadRow)),1,MATCH(MG$5,TST!HeadRow,0))/MG$8</f>
        <v>802.09488310646623</v>
      </c>
      <c r="MH79" s="278">
        <f ca="1">$A79 - TST!WesternAustralia100dt + 1</f>
        <v>16</v>
      </c>
      <c r="MI79" s="20">
        <f ca="1">INDEX(OFFSET(TST!HeadRow,ROW()-ROW(TST!HeadRow),0,1,COLUMNS(TST!HeadRow)),1,MATCH(MI$5,TST!HeadRow,0))/MI$8</f>
        <v>1405.9482425646968</v>
      </c>
      <c r="MJ79" s="278">
        <f ca="1">$A79 - TST!Germany100dt + 1</f>
        <v>24</v>
      </c>
      <c r="MK79" s="20">
        <f ca="1">INDEX(OFFSET(TST!HeadRow,ROW()-ROW(TST!HeadRow),0,1,COLUMNS(TST!HeadRow)),1,MATCH(MK$5,TST!HeadRow,0))/MK$8</f>
        <v>8649.4820525174655</v>
      </c>
      <c r="ML79" s="278">
        <f ca="1">$A79 - TST!Denmark100dt + 1</f>
        <v>23</v>
      </c>
      <c r="MM79" s="20">
        <f ca="1">INDEX(OFFSET(TST!HeadRow,ROW()-ROW(TST!HeadRow),0,1,COLUMNS(TST!HeadRow)),1,MATCH(MM$5,TST!HeadRow,0))/MM$8</f>
        <v>4925.9386841198757</v>
      </c>
      <c r="MN79" s="278">
        <f ca="1">$A79 - TST!SouthAfrica100dt + 1</f>
        <v>7</v>
      </c>
      <c r="MO79" s="20">
        <f ca="1">INDEX(OFFSET(TST!HeadRow,ROW()-ROW(TST!HeadRow),0,1,COLUMNS(TST!HeadRow)),1,MATCH(MO$5,TST!HeadRow,0))/MO$8</f>
        <v>234.16407061266875</v>
      </c>
      <c r="MP79" s="278">
        <f ca="1">$A79 - TST!UnitedKingdom100dt + 1</f>
        <v>19</v>
      </c>
      <c r="MQ79" s="20">
        <f ca="1">INDEX(OFFSET(TST!HeadRow,ROW()-ROW(TST!HeadRow),0,1,COLUMNS(TST!HeadRow)),1,MATCH(MQ$5,TST!HeadRow,0))/MQ$8</f>
        <v>3785.3702588801925</v>
      </c>
      <c r="MR79" s="278">
        <f ca="1">$A79 - TST!Ireland100dt + 1</f>
        <v>19</v>
      </c>
      <c r="MS79" s="20">
        <f ca="1">INDEX(OFFSET(TST!HeadRow,ROW()-ROW(TST!HeadRow),0,1,COLUMNS(TST!HeadRow)),1,MATCH(MS$5,TST!HeadRow,0))/MS$8</f>
        <v>6602.0408163265311</v>
      </c>
      <c r="MT79" s="278">
        <f ca="1">$A79 - TST!Italy100dt + 1</f>
        <v>34</v>
      </c>
      <c r="MU79" s="20">
        <f ca="1">INDEX(OFFSET(TST!HeadRow,ROW()-ROW(TST!HeadRow),0,1,COLUMNS(TST!HeadRow)),1,MATCH(MU$5,TST!HeadRow,0))/MU$8</f>
        <v>17490.617508473177</v>
      </c>
      <c r="MV79" s="278">
        <f ca="1">$A79 - TST!US100dt + 1</f>
        <v>17</v>
      </c>
      <c r="MW79" s="20">
        <f ca="1">INDEX(OFFSET(TST!HeadRow,ROW()-ROW(TST!HeadRow),0,1,COLUMNS(TST!HeadRow)),1,MATCH(MW$5,TST!HeadRow,0))/MW$8</f>
        <v>5715.557157202662</v>
      </c>
      <c r="MX79" s="278">
        <f ca="1">$A79 - TST!AustraliaSum100dt + 1</f>
        <v>17</v>
      </c>
      <c r="MY79" s="366">
        <f t="shared" si="9"/>
        <v>1797.4294275350892</v>
      </c>
      <c r="MZ79" s="278">
        <f ca="1">$A79 - TST!NewSouthWales100dt + 1</f>
        <v>19</v>
      </c>
      <c r="NA79" s="366">
        <f ca="1">INDEX(OFFSET(TST!HeadRow,ROW()-ROW(TST!HeadRow),0,1,COLUMNS(TST!HeadRow)),1,MATCH(NA$5,TST!HeadRow,0))/NA$8</f>
        <v>2514.8514851485147</v>
      </c>
      <c r="NB79" s="278">
        <f ca="1">$A79 - TST!Taiwan100dt + 1</f>
        <v>6</v>
      </c>
      <c r="NC79" s="366">
        <f ca="1">INDEX(OFFSET(TST!HeadRow,ROW()-ROW(TST!HeadRow),0,1,COLUMNS(TST!HeadRow)),1,MATCH(NC$5,TST!HeadRow,0))/NC$8</f>
        <v>135.25273485650314</v>
      </c>
      <c r="ND79" s="20">
        <f ca="1">$A79 - TST!Hubei100dt + 1</f>
        <v>67</v>
      </c>
      <c r="NE79" s="20">
        <f ca="1">INDEX(OFFSET(TST!HeadRow,ROW()-ROW(TST!HeadRow),0,1,COLUMNS(TST!HeadRow)),1,MATCH(NE$5,TST!HeadRow,0))/NE$8</f>
        <v>11589.914529914531</v>
      </c>
      <c r="NF79" s="20">
        <f ca="1">$A79 - TST!HongKong100dt + 1</f>
        <v>37</v>
      </c>
      <c r="NG79" s="20">
        <f ca="1">INDEX(OFFSET(TST!HeadRow,ROW()-ROW(TST!HeadRow),0,1,COLUMNS(TST!HeadRow)),1,MATCH(NG$5,TST!HeadRow,0))/NG$8</f>
        <v>958.2606361562207</v>
      </c>
    </row>
    <row r="80" spans="1:371" x14ac:dyDescent="0.25">
      <c r="A80" s="243">
        <v>43922</v>
      </c>
      <c r="B80" s="23">
        <v>237</v>
      </c>
      <c r="C80" s="23">
        <v>259</v>
      </c>
      <c r="D80" s="23">
        <v>847</v>
      </c>
      <c r="E80" s="23">
        <v>390</v>
      </c>
      <c r="F80" s="23">
        <v>8</v>
      </c>
      <c r="G80" s="23">
        <v>7</v>
      </c>
      <c r="H80" s="23">
        <v>1054</v>
      </c>
      <c r="I80" s="23">
        <v>571</v>
      </c>
      <c r="J80" s="23">
        <v>84</v>
      </c>
      <c r="K80" s="293">
        <v>2182</v>
      </c>
      <c r="L80" s="23">
        <v>19</v>
      </c>
      <c r="M80" s="290">
        <v>781</v>
      </c>
      <c r="N80" s="23">
        <v>367</v>
      </c>
      <c r="O80" s="384">
        <v>69</v>
      </c>
      <c r="P80" s="287">
        <v>968</v>
      </c>
      <c r="Q80" s="23">
        <v>392</v>
      </c>
      <c r="R80" s="23">
        <v>10711</v>
      </c>
      <c r="S80" s="23">
        <v>359</v>
      </c>
      <c r="T80" s="23">
        <v>21</v>
      </c>
      <c r="U80" s="23">
        <v>569</v>
      </c>
      <c r="V80" s="23">
        <v>54</v>
      </c>
      <c r="W80" s="23">
        <v>34</v>
      </c>
      <c r="X80" s="23">
        <v>163</v>
      </c>
      <c r="Y80" s="23">
        <v>13964</v>
      </c>
      <c r="Z80" s="23">
        <v>13</v>
      </c>
      <c r="AA80" s="23">
        <v>4</v>
      </c>
      <c r="AB80" s="23">
        <v>115</v>
      </c>
      <c r="AC80" s="23">
        <v>459</v>
      </c>
      <c r="AD80" s="23">
        <v>6836</v>
      </c>
      <c r="AE80" s="23">
        <v>131</v>
      </c>
      <c r="AF80" s="23">
        <v>422</v>
      </c>
      <c r="AG80" s="23">
        <v>282</v>
      </c>
      <c r="AH80" s="23">
        <v>6</v>
      </c>
      <c r="AI80" s="23">
        <v>109</v>
      </c>
      <c r="AJ80" s="23">
        <v>233</v>
      </c>
      <c r="AK80" s="23">
        <v>754</v>
      </c>
      <c r="AL80" s="23">
        <v>1013</v>
      </c>
      <c r="AM80" s="23">
        <v>13</v>
      </c>
      <c r="AN80" s="23">
        <v>127</v>
      </c>
      <c r="AO80" s="23">
        <v>81</v>
      </c>
      <c r="AP80" s="23">
        <v>175</v>
      </c>
      <c r="AQ80" s="23">
        <v>173</v>
      </c>
      <c r="AR80" s="23">
        <v>2392</v>
      </c>
      <c r="AS80" s="23">
        <v>21</v>
      </c>
      <c r="AT80" s="23">
        <v>4611</v>
      </c>
      <c r="AU80" s="23">
        <v>193</v>
      </c>
      <c r="AV80" s="23">
        <v>3</v>
      </c>
      <c r="AW80" s="23">
        <v>7</v>
      </c>
      <c r="AX80" s="23">
        <v>3031</v>
      </c>
      <c r="AY80" s="23">
        <v>990</v>
      </c>
      <c r="AZ80" s="23">
        <v>580</v>
      </c>
      <c r="BA80" s="23">
        <v>579</v>
      </c>
      <c r="BB80" s="23">
        <v>345</v>
      </c>
      <c r="BC80" s="23">
        <v>138</v>
      </c>
      <c r="BD80" s="23">
        <v>1501</v>
      </c>
      <c r="BE80" s="23">
        <v>254</v>
      </c>
      <c r="BF80" s="23">
        <v>146</v>
      </c>
      <c r="BG80" s="23">
        <v>168</v>
      </c>
      <c r="BH80" s="23">
        <v>323</v>
      </c>
      <c r="BI80" s="23">
        <v>484</v>
      </c>
      <c r="BJ80" s="23">
        <v>1276</v>
      </c>
      <c r="BK80" s="23">
        <v>765</v>
      </c>
      <c r="BL80" s="23">
        <v>67802</v>
      </c>
      <c r="BM80" s="23">
        <v>1018</v>
      </c>
      <c r="BN80" s="23">
        <v>111</v>
      </c>
      <c r="BO80" s="23">
        <v>646</v>
      </c>
      <c r="BP80" s="23">
        <v>937</v>
      </c>
      <c r="BQ80" s="23">
        <v>98</v>
      </c>
      <c r="BR80" s="23">
        <v>140</v>
      </c>
      <c r="BS80" s="23">
        <v>41</v>
      </c>
      <c r="BT80" s="23">
        <v>75</v>
      </c>
      <c r="BU80" s="23">
        <v>18</v>
      </c>
      <c r="BV80" s="23">
        <v>255</v>
      </c>
      <c r="BW80" s="23">
        <v>774</v>
      </c>
      <c r="BX80" s="23">
        <v>516</v>
      </c>
      <c r="BY80" s="23">
        <v>137</v>
      </c>
      <c r="BZ80" s="23">
        <v>552</v>
      </c>
      <c r="CA80" s="23">
        <v>176</v>
      </c>
      <c r="CB80" s="23">
        <v>1</v>
      </c>
      <c r="CC80" s="23">
        <v>76</v>
      </c>
      <c r="CD80" s="23">
        <v>182</v>
      </c>
      <c r="CE80" s="23">
        <v>1257</v>
      </c>
      <c r="CF80" s="23">
        <v>1065</v>
      </c>
      <c r="CG80" s="23">
        <v>19</v>
      </c>
      <c r="CH80" s="23">
        <v>109</v>
      </c>
      <c r="CI80" s="23">
        <v>375</v>
      </c>
      <c r="CJ80" s="23">
        <v>190</v>
      </c>
      <c r="CK80" s="23">
        <v>963</v>
      </c>
      <c r="CL80" s="23">
        <v>712</v>
      </c>
      <c r="CM80" s="23">
        <v>212</v>
      </c>
      <c r="CN80" s="23">
        <v>320</v>
      </c>
      <c r="CO80" s="23">
        <v>3508</v>
      </c>
      <c r="CP80" s="23">
        <v>173</v>
      </c>
      <c r="CQ80" s="23">
        <v>10</v>
      </c>
      <c r="CR80" s="23">
        <v>3107</v>
      </c>
      <c r="CS80" s="23">
        <v>33</v>
      </c>
      <c r="CT80" s="23">
        <v>1284</v>
      </c>
      <c r="CU80" s="23">
        <v>2748</v>
      </c>
      <c r="CV80" s="23">
        <v>779</v>
      </c>
      <c r="CW80" s="23">
        <v>32</v>
      </c>
      <c r="CX80" s="23">
        <v>15</v>
      </c>
      <c r="CY80" s="23">
        <v>15</v>
      </c>
      <c r="CZ80" s="23">
        <v>779</v>
      </c>
      <c r="DA80" s="23">
        <v>9</v>
      </c>
      <c r="DB80" s="23">
        <v>29</v>
      </c>
      <c r="DC80" s="23">
        <v>5</v>
      </c>
      <c r="DD80" s="23">
        <v>1446</v>
      </c>
      <c r="DE80" s="23">
        <v>51</v>
      </c>
      <c r="DF80" s="23">
        <v>37</v>
      </c>
      <c r="DG80" s="23">
        <v>125</v>
      </c>
      <c r="DH80" s="23">
        <v>94</v>
      </c>
      <c r="DI80" s="23">
        <v>16</v>
      </c>
      <c r="DJ80" s="23">
        <v>281</v>
      </c>
      <c r="DK80" s="23">
        <v>6</v>
      </c>
      <c r="DL80" s="23">
        <v>15</v>
      </c>
      <c r="DM80" s="23">
        <v>135</v>
      </c>
      <c r="DN80" s="23">
        <v>56989</v>
      </c>
      <c r="DO80" s="23">
        <v>18</v>
      </c>
      <c r="DP80" s="23">
        <v>4</v>
      </c>
      <c r="DQ80" s="23">
        <v>117</v>
      </c>
      <c r="DR80" s="23">
        <v>77872</v>
      </c>
      <c r="DS80" s="23">
        <v>195</v>
      </c>
      <c r="DT80" s="23">
        <v>1415</v>
      </c>
      <c r="DU80" s="23">
        <v>39</v>
      </c>
      <c r="DV80" s="23">
        <v>30</v>
      </c>
      <c r="DW80" s="23">
        <v>19</v>
      </c>
      <c r="DX80" s="23">
        <v>16</v>
      </c>
      <c r="DY80" s="23">
        <v>6</v>
      </c>
      <c r="DZ80" s="23">
        <v>172</v>
      </c>
      <c r="EA80" s="23">
        <v>525</v>
      </c>
      <c r="EB80" s="23">
        <v>1220</v>
      </c>
      <c r="EC80" s="23">
        <v>1998</v>
      </c>
      <c r="ED80" s="23">
        <v>1677</v>
      </c>
      <c r="EE80" s="23">
        <v>47593</v>
      </c>
      <c r="EF80" s="23">
        <v>728</v>
      </c>
      <c r="EG80" s="23">
        <v>3447</v>
      </c>
      <c r="EH80" s="23">
        <v>6092</v>
      </c>
      <c r="EI80" s="23">
        <v>110574</v>
      </c>
      <c r="EJ80" s="23">
        <v>44</v>
      </c>
      <c r="EK80" s="23">
        <v>2178</v>
      </c>
      <c r="EL80" s="23">
        <v>278</v>
      </c>
      <c r="EM80" s="23">
        <v>380</v>
      </c>
      <c r="EN80" s="23">
        <v>81</v>
      </c>
      <c r="EO80" s="23">
        <v>9887</v>
      </c>
      <c r="EP80" s="23">
        <v>317</v>
      </c>
      <c r="EQ80" s="23">
        <v>111</v>
      </c>
      <c r="ER80" s="23">
        <v>446</v>
      </c>
      <c r="ES80" s="23">
        <v>479</v>
      </c>
      <c r="ET80" s="23">
        <v>6</v>
      </c>
      <c r="EU80" s="23">
        <v>68</v>
      </c>
      <c r="EV80" s="23">
        <v>581</v>
      </c>
      <c r="EW80" s="23">
        <v>2319</v>
      </c>
      <c r="EX80" s="23">
        <v>57</v>
      </c>
      <c r="EY80" s="23">
        <v>2908</v>
      </c>
      <c r="EZ80" s="23">
        <v>19</v>
      </c>
      <c r="FA80" s="23">
        <v>188</v>
      </c>
      <c r="FB80" s="23">
        <v>6</v>
      </c>
      <c r="FC80" s="23">
        <v>161</v>
      </c>
      <c r="FD80" s="23">
        <v>1378</v>
      </c>
      <c r="FE80" s="23">
        <v>423</v>
      </c>
      <c r="FF80" s="23">
        <v>55</v>
      </c>
      <c r="FG80" s="23">
        <v>14</v>
      </c>
      <c r="FH80" s="23">
        <v>123</v>
      </c>
      <c r="FI80" s="23">
        <v>654</v>
      </c>
      <c r="FJ80" s="23">
        <v>14</v>
      </c>
      <c r="FK80" s="23">
        <v>5</v>
      </c>
      <c r="FL80" s="23">
        <v>55</v>
      </c>
      <c r="FM80" s="23">
        <v>11</v>
      </c>
      <c r="FN80" s="23">
        <v>16</v>
      </c>
      <c r="FO80" s="23">
        <v>13614</v>
      </c>
      <c r="FP80" s="23">
        <v>708</v>
      </c>
      <c r="FQ80" s="23">
        <v>5</v>
      </c>
      <c r="FR80" s="23">
        <v>74</v>
      </c>
      <c r="FS80" s="23">
        <v>174</v>
      </c>
      <c r="FT80" s="23">
        <v>354</v>
      </c>
      <c r="FU80" s="23">
        <v>4863</v>
      </c>
      <c r="FV80" s="23">
        <v>210</v>
      </c>
      <c r="FW80" s="23">
        <v>2118</v>
      </c>
      <c r="FX80" s="23">
        <v>1181</v>
      </c>
      <c r="FY80" s="23">
        <v>1</v>
      </c>
      <c r="FZ80" s="23">
        <v>69</v>
      </c>
      <c r="GA80" s="23">
        <v>1323</v>
      </c>
      <c r="GB80" s="23">
        <v>2311</v>
      </c>
      <c r="GC80" s="23">
        <v>2554</v>
      </c>
      <c r="GD80" s="23">
        <v>8251</v>
      </c>
      <c r="GE80" s="23">
        <v>835</v>
      </c>
      <c r="GF80" s="23">
        <v>2460</v>
      </c>
      <c r="GG80" s="23">
        <v>2777</v>
      </c>
      <c r="GH80" s="23">
        <v>82</v>
      </c>
      <c r="GI80" s="23">
        <v>13</v>
      </c>
      <c r="GJ80" s="23">
        <v>1</v>
      </c>
      <c r="GK80" s="23">
        <v>236</v>
      </c>
      <c r="GL80" s="23">
        <v>1720</v>
      </c>
      <c r="GM80" s="23">
        <v>190</v>
      </c>
      <c r="GN80" s="23">
        <v>1060</v>
      </c>
      <c r="GO80" s="23">
        <v>10</v>
      </c>
      <c r="GP80" s="23">
        <v>1000</v>
      </c>
      <c r="GQ80" s="23">
        <v>400</v>
      </c>
      <c r="GR80" s="23">
        <v>841</v>
      </c>
      <c r="GS80" s="23">
        <v>5</v>
      </c>
      <c r="GT80" s="23">
        <v>1380</v>
      </c>
      <c r="GU80" s="23">
        <v>104118</v>
      </c>
      <c r="GV80" s="23">
        <v>146</v>
      </c>
      <c r="GW80" s="23">
        <v>7</v>
      </c>
      <c r="GX80" s="23">
        <v>10</v>
      </c>
      <c r="GY80" s="23">
        <v>4947</v>
      </c>
      <c r="GZ80" s="23">
        <v>17768</v>
      </c>
      <c r="HA80" s="23">
        <v>329</v>
      </c>
      <c r="HB80" s="23">
        <v>20</v>
      </c>
      <c r="HC80" s="23">
        <v>1771</v>
      </c>
      <c r="HD80" s="23">
        <v>36</v>
      </c>
      <c r="HE80" s="23">
        <v>90</v>
      </c>
      <c r="HF80" s="23">
        <v>423</v>
      </c>
      <c r="HG80" s="23">
        <v>15679</v>
      </c>
      <c r="HH80" s="23">
        <v>44</v>
      </c>
      <c r="HI80" s="23">
        <v>794</v>
      </c>
      <c r="HJ80" s="23">
        <v>814</v>
      </c>
      <c r="HK80" s="23">
        <v>32</v>
      </c>
      <c r="HL80" s="23">
        <v>22</v>
      </c>
      <c r="HM80" s="23">
        <v>172</v>
      </c>
      <c r="HN80" s="23">
        <v>81</v>
      </c>
      <c r="HO80" s="23">
        <v>68</v>
      </c>
      <c r="HP80" s="23">
        <v>5</v>
      </c>
      <c r="HQ80" s="23">
        <v>29474</v>
      </c>
      <c r="HR80" s="23">
        <v>338</v>
      </c>
      <c r="HS80" s="23">
        <v>213242</v>
      </c>
      <c r="HT80" s="23">
        <v>181</v>
      </c>
      <c r="HU80" s="23">
        <v>143</v>
      </c>
      <c r="HV80" s="23">
        <v>218</v>
      </c>
      <c r="HW80" s="23">
        <v>36</v>
      </c>
      <c r="HX80" s="23">
        <v>8</v>
      </c>
      <c r="HY80" s="23">
        <v>0</v>
      </c>
      <c r="HZ80" s="23">
        <v>12</v>
      </c>
      <c r="IA80" s="23">
        <v>9</v>
      </c>
      <c r="IB80" s="23">
        <v>10</v>
      </c>
      <c r="IC80" s="23">
        <v>10</v>
      </c>
      <c r="ID80" s="23">
        <v>1</v>
      </c>
      <c r="IE80" s="23">
        <v>3</v>
      </c>
      <c r="IF80" s="23">
        <v>0</v>
      </c>
      <c r="IG80" s="23">
        <v>10</v>
      </c>
      <c r="IH80" s="23">
        <v>10</v>
      </c>
      <c r="II80" s="23">
        <v>134</v>
      </c>
      <c r="IJ80" s="23">
        <v>9</v>
      </c>
      <c r="IK80" s="23">
        <v>31</v>
      </c>
      <c r="IL80" s="23">
        <v>8</v>
      </c>
      <c r="IM80" s="23">
        <v>2</v>
      </c>
      <c r="IN80" s="23">
        <v>5</v>
      </c>
      <c r="IO80" s="23">
        <v>125</v>
      </c>
      <c r="IP80" s="23">
        <v>15</v>
      </c>
      <c r="IQ80" s="23">
        <v>2</v>
      </c>
      <c r="IR80" s="23">
        <v>3</v>
      </c>
      <c r="IS80" s="23">
        <v>6</v>
      </c>
      <c r="IT80" s="23">
        <v>9</v>
      </c>
      <c r="IU80" s="23">
        <v>4</v>
      </c>
      <c r="IV80" s="23">
        <v>2</v>
      </c>
      <c r="IW80" s="23">
        <v>2</v>
      </c>
      <c r="IX80" s="23">
        <v>0</v>
      </c>
      <c r="IY80" s="23">
        <v>0</v>
      </c>
      <c r="IZ80" s="23">
        <v>0</v>
      </c>
      <c r="JA80" s="23">
        <v>0</v>
      </c>
      <c r="JB80" s="23">
        <v>0</v>
      </c>
      <c r="JC80" s="23">
        <v>0</v>
      </c>
      <c r="JD80" s="23">
        <v>0</v>
      </c>
      <c r="JE80" s="23">
        <v>0</v>
      </c>
      <c r="JF80" s="23">
        <v>0</v>
      </c>
      <c r="JG80" s="23">
        <v>0</v>
      </c>
      <c r="JH80" s="23">
        <v>0</v>
      </c>
      <c r="JI80" s="23">
        <v>77</v>
      </c>
      <c r="JJ80" s="23">
        <v>6</v>
      </c>
      <c r="JK80" s="23">
        <v>286</v>
      </c>
      <c r="JL80" s="23">
        <v>30</v>
      </c>
      <c r="JM80" s="23">
        <v>1060</v>
      </c>
      <c r="JN80" s="23">
        <v>132</v>
      </c>
      <c r="JO80" s="23">
        <v>1413</v>
      </c>
      <c r="JP80" s="23">
        <v>584</v>
      </c>
      <c r="JQ80" s="23">
        <v>9399</v>
      </c>
      <c r="JR80" s="23">
        <v>2982</v>
      </c>
      <c r="JS80" s="23">
        <v>3557</v>
      </c>
      <c r="JT80" s="23">
        <v>368</v>
      </c>
      <c r="JU80" s="23">
        <v>586</v>
      </c>
      <c r="JV80" s="23">
        <v>6956</v>
      </c>
      <c r="JW80" s="23">
        <v>4638</v>
      </c>
      <c r="JX80" s="23">
        <v>224</v>
      </c>
      <c r="JY80" s="23">
        <v>566</v>
      </c>
      <c r="JZ80" s="23">
        <v>6980</v>
      </c>
      <c r="KA80" s="23">
        <v>2564</v>
      </c>
      <c r="KB80" s="23">
        <v>547</v>
      </c>
      <c r="KC80" s="23">
        <v>485</v>
      </c>
      <c r="KD80" s="23">
        <v>632</v>
      </c>
      <c r="KE80" s="23">
        <v>6424</v>
      </c>
      <c r="KF80" s="23">
        <v>303</v>
      </c>
      <c r="KG80" s="23">
        <v>1986</v>
      </c>
      <c r="KH80" s="23">
        <v>7738</v>
      </c>
      <c r="KI80" s="23">
        <v>9315</v>
      </c>
      <c r="KJ80" s="23">
        <v>689</v>
      </c>
      <c r="KK80" s="23">
        <v>1073</v>
      </c>
      <c r="KL80" s="23">
        <v>1613</v>
      </c>
      <c r="KM80" s="23">
        <v>208</v>
      </c>
      <c r="KN80" s="23">
        <v>210</v>
      </c>
      <c r="KO80" s="23">
        <v>1279</v>
      </c>
      <c r="KP80" s="23">
        <v>367</v>
      </c>
      <c r="KQ80" s="23">
        <v>22255</v>
      </c>
      <c r="KR80" s="23">
        <v>327</v>
      </c>
      <c r="KS80" s="23">
        <v>83948</v>
      </c>
      <c r="KT80" s="23">
        <v>1675</v>
      </c>
      <c r="KU80" s="23">
        <v>142</v>
      </c>
      <c r="KV80" s="23">
        <v>2547</v>
      </c>
      <c r="KW80" s="23">
        <v>721</v>
      </c>
      <c r="KX80" s="23">
        <v>736</v>
      </c>
      <c r="KY80" s="23">
        <v>6009</v>
      </c>
      <c r="KZ80" s="23">
        <v>566</v>
      </c>
      <c r="LA80" s="23">
        <v>1293</v>
      </c>
      <c r="LB80" s="23">
        <v>129</v>
      </c>
      <c r="LC80" s="23">
        <v>2933</v>
      </c>
      <c r="LD80" s="23">
        <v>4355</v>
      </c>
      <c r="LE80" s="23">
        <v>888</v>
      </c>
      <c r="LF80" s="23">
        <v>321</v>
      </c>
      <c r="LG80" s="23">
        <v>1483</v>
      </c>
      <c r="LH80" s="23">
        <v>5608</v>
      </c>
      <c r="LI80" s="23">
        <v>191</v>
      </c>
      <c r="LJ80" s="23">
        <v>1556</v>
      </c>
      <c r="LK80" s="23">
        <v>130</v>
      </c>
      <c r="LL80" s="23">
        <v>49</v>
      </c>
      <c r="LM80" s="23">
        <v>103</v>
      </c>
      <c r="LN80" s="278">
        <f ca="1">$A80 - TST!Sweden100dt + 1</f>
        <v>26</v>
      </c>
      <c r="LO80" s="20">
        <f ca="1">INDEX(OFFSET(TST!HeadRow,ROW()-ROW(TST!HeadRow),0,1,COLUMNS(TST!HeadRow)),1,MATCH(LO$5,TST!HeadRow,0))/LO$8</f>
        <v>4835.7771260997069</v>
      </c>
      <c r="LP80" s="278">
        <f ca="1">$A80 - TST!Spain100dt + 1</f>
        <v>26</v>
      </c>
      <c r="LQ80" s="20">
        <f ca="1">INDEX(OFFSET(TST!HeadRow,ROW()-ROW(TST!HeadRow),0,1,COLUMNS(TST!HeadRow)),1,MATCH(LQ$5,TST!HeadRow,0))/LQ$8</f>
        <v>22181.082232637411</v>
      </c>
      <c r="LR80" s="285">
        <f ca="1">$A80 - TST!Victoria100dt + 1</f>
        <v>17</v>
      </c>
      <c r="LS80" s="20">
        <f ca="1">INDEX(OFFSET(TST!HeadRow,ROW()-ROW(TST!HeadRow),0,1,COLUMNS(TST!HeadRow)),1,MATCH(LS$5,TST!HeadRow,0))/LS$8</f>
        <v>1460.2504148438677</v>
      </c>
      <c r="LT80" s="278">
        <f ca="1">$A80 - TST!Iran100dt + 1</f>
        <v>32</v>
      </c>
      <c r="LU80" s="20">
        <f ca="1">INDEX(OFFSET(TST!HeadRow,ROW()-ROW(TST!HeadRow),0,1,COLUMNS(TST!HeadRow)),1,MATCH(LU$5,TST!HeadRow,0))/LU$8</f>
        <v>5681.1860623351204</v>
      </c>
      <c r="LV80" s="278">
        <f ca="1">$A80 - TST!Japan100dt + 1</f>
        <v>8</v>
      </c>
      <c r="LW80" s="20">
        <f ca="1">INDEX(OFFSET(TST!HeadRow,ROW()-ROW(TST!HeadRow),0,1,COLUMNS(TST!HeadRow)),1,MATCH(LW$5,TST!HeadRow,0))/LW$8</f>
        <v>172.10017118119737</v>
      </c>
      <c r="LX80" s="278">
        <f ca="1">$A80 - TST!Queensland100dt + 1</f>
        <v>18</v>
      </c>
      <c r="LY80" s="20">
        <f ca="1">INDEX(OFFSET(TST!HeadRow,ROW()-ROW(TST!HeadRow),0,1,COLUMNS(TST!HeadRow)),1,MATCH(LY$5,TST!HeadRow,0))/LY$8</f>
        <v>1526.7471040187854</v>
      </c>
      <c r="LZ80" s="278">
        <f ca="1">$A80 - TST!Tasmania100dt + 1</f>
        <v>18</v>
      </c>
      <c r="MA80" s="20">
        <f ca="1">INDEX(OFFSET(TST!HeadRow,ROW()-ROW(TST!HeadRow),0,1,COLUMNS(TST!HeadRow)),1,MATCH(MA$5,TST!HeadRow,0))/MA$8</f>
        <v>1339.8058252427186</v>
      </c>
      <c r="MB80" s="278">
        <f ca="1">$A80 - TST!SouthAustralia100dt + 1</f>
        <v>19</v>
      </c>
      <c r="MC80" s="20">
        <f ca="1">INDEX(OFFSET(TST!HeadRow,ROW()-ROW(TST!HeadRow),0,1,COLUMNS(TST!HeadRow)),1,MATCH(MC$5,TST!HeadRow,0))/MC$8</f>
        <v>2197.6047904191614</v>
      </c>
      <c r="MD80" s="278">
        <f ca="1">$A80 - TST!AustralianCapitalTerritory100dt + 1</f>
        <v>13</v>
      </c>
      <c r="ME80" s="20">
        <f ca="1">INDEX(OFFSET(TST!HeadRow,ROW()-ROW(TST!HeadRow),0,1,COLUMNS(TST!HeadRow)),1,MATCH(ME$5,TST!HeadRow,0))/ME$8</f>
        <v>1962.3417277951689</v>
      </c>
      <c r="MF80" s="278">
        <f ca="1">$A80 - TST!NorthernTerritory100dt + 1</f>
        <v>13</v>
      </c>
      <c r="MG80" s="20">
        <f ca="1">INDEX(OFFSET(TST!HeadRow,ROW()-ROW(TST!HeadRow),0,1,COLUMNS(TST!HeadRow)),1,MATCH(MG$5,TST!HeadRow,0))/MG$8</f>
        <v>896.45898700134467</v>
      </c>
      <c r="MH80" s="278">
        <f ca="1">$A80 - TST!WesternAustralia100dt + 1</f>
        <v>17</v>
      </c>
      <c r="MI80" s="20">
        <f ca="1">INDEX(OFFSET(TST!HeadRow,ROW()-ROW(TST!HeadRow),0,1,COLUMNS(TST!HeadRow)),1,MATCH(MI$5,TST!HeadRow,0))/MI$8</f>
        <v>1514.0981073773657</v>
      </c>
      <c r="MJ80" s="278">
        <f ca="1">$A80 - TST!Germany100dt + 1</f>
        <v>25</v>
      </c>
      <c r="MK80" s="20">
        <f ca="1">INDEX(OFFSET(TST!HeadRow,ROW()-ROW(TST!HeadRow),0,1,COLUMNS(TST!HeadRow)),1,MATCH(MK$5,TST!HeadRow,0))/MK$8</f>
        <v>9379.9084557937858</v>
      </c>
      <c r="ML80" s="278">
        <f ca="1">$A80 - TST!Denmark100dt + 1</f>
        <v>24</v>
      </c>
      <c r="MM80" s="20">
        <f ca="1">INDEX(OFFSET(TST!HeadRow,ROW()-ROW(TST!HeadRow),0,1,COLUMNS(TST!HeadRow)),1,MATCH(MM$5,TST!HeadRow,0))/MM$8</f>
        <v>5351.3606613847742</v>
      </c>
      <c r="MN80" s="278">
        <f ca="1">$A80 - TST!SouthAfrica100dt + 1</f>
        <v>8</v>
      </c>
      <c r="MO80" s="20">
        <f ca="1">INDEX(OFFSET(TST!HeadRow,ROW()-ROW(TST!HeadRow),0,1,COLUMNS(TST!HeadRow)),1,MATCH(MO$5,TST!HeadRow,0))/MO$8</f>
        <v>238.83696780893044</v>
      </c>
      <c r="MP80" s="278">
        <f ca="1">$A80 - TST!UnitedKingdom100dt + 1</f>
        <v>20</v>
      </c>
      <c r="MQ80" s="20">
        <f ca="1">INDEX(OFFSET(TST!HeadRow,ROW()-ROW(TST!HeadRow),0,1,COLUMNS(TST!HeadRow)),1,MATCH(MQ$5,TST!HeadRow,0))/MQ$8</f>
        <v>4436.1830222757371</v>
      </c>
      <c r="MR80" s="278">
        <f ca="1">$A80 - TST!Ireland100dt + 1</f>
        <v>20</v>
      </c>
      <c r="MS80" s="20">
        <f ca="1">INDEX(OFFSET(TST!HeadRow,ROW()-ROW(TST!HeadRow),0,1,COLUMNS(TST!HeadRow)),1,MATCH(MS$5,TST!HeadRow,0))/MS$8</f>
        <v>7034.6938775510207</v>
      </c>
      <c r="MT80" s="278">
        <f ca="1">$A80 - TST!Italy100dt + 1</f>
        <v>35</v>
      </c>
      <c r="MU80" s="20">
        <f ca="1">INDEX(OFFSET(TST!HeadRow,ROW()-ROW(TST!HeadRow),0,1,COLUMNS(TST!HeadRow)),1,MATCH(MU$5,TST!HeadRow,0))/MU$8</f>
        <v>18281.226750433994</v>
      </c>
      <c r="MV80" s="278">
        <f ca="1">$A80 - TST!US100dt + 1</f>
        <v>18</v>
      </c>
      <c r="MW80" s="20">
        <f ca="1">INDEX(OFFSET(TST!HeadRow,ROW()-ROW(TST!HeadRow),0,1,COLUMNS(TST!HeadRow)),1,MATCH(MW$5,TST!HeadRow,0))/MW$8</f>
        <v>6477.0361122601134</v>
      </c>
      <c r="MX80" s="278">
        <f ca="1">$A80 - TST!AustraliaSum100dt + 1</f>
        <v>18</v>
      </c>
      <c r="MY80" s="366">
        <f t="shared" si="9"/>
        <v>1916.8900804289544</v>
      </c>
      <c r="MZ80" s="278">
        <f ca="1">$A80 - TST!NewSouthWales100dt + 1</f>
        <v>20</v>
      </c>
      <c r="NA80" s="366">
        <f ca="1">INDEX(OFFSET(TST!HeadRow,ROW()-ROW(TST!HeadRow),0,1,COLUMNS(TST!HeadRow)),1,MATCH(NA$5,TST!HeadRow,0))/NA$8</f>
        <v>2700.4950495049502</v>
      </c>
      <c r="NB80" s="278">
        <f ca="1">$A80 - TST!Taiwan100dt + 1</f>
        <v>7</v>
      </c>
      <c r="NC80" s="366">
        <f ca="1">INDEX(OFFSET(TST!HeadRow,ROW()-ROW(TST!HeadRow),0,1,COLUMNS(TST!HeadRow)),1,MATCH(NC$5,TST!HeadRow,0))/NC$8</f>
        <v>138.19301170120974</v>
      </c>
      <c r="ND80" s="20">
        <f ca="1">$A80 - TST!Hubei100dt + 1</f>
        <v>68</v>
      </c>
      <c r="NE80" s="20">
        <f ca="1">INDEX(OFFSET(TST!HeadRow,ROW()-ROW(TST!HeadRow),0,1,COLUMNS(TST!HeadRow)),1,MATCH(NE$5,TST!HeadRow,0))/NE$8</f>
        <v>11590.085470085471</v>
      </c>
      <c r="NF80" s="20">
        <f ca="1">$A80 - TST!HongKong100dt + 1</f>
        <v>38</v>
      </c>
      <c r="NG80" s="20">
        <f ca="1">INDEX(OFFSET(TST!HeadRow,ROW()-ROW(TST!HeadRow),0,1,COLUMNS(TST!HeadRow)),1,MATCH(NG$5,TST!HeadRow,0))/NG$8</f>
        <v>1026.7078244530935</v>
      </c>
    </row>
    <row r="81" spans="1:371" x14ac:dyDescent="0.25">
      <c r="A81" s="243">
        <v>43923</v>
      </c>
      <c r="B81" s="23">
        <v>273</v>
      </c>
      <c r="C81" s="23">
        <v>277</v>
      </c>
      <c r="D81" s="23">
        <v>986</v>
      </c>
      <c r="E81" s="23">
        <v>428</v>
      </c>
      <c r="F81" s="23">
        <v>8</v>
      </c>
      <c r="G81" s="23">
        <v>9</v>
      </c>
      <c r="H81" s="23">
        <v>1133</v>
      </c>
      <c r="I81" s="23">
        <v>663</v>
      </c>
      <c r="J81" s="23">
        <v>87</v>
      </c>
      <c r="K81" s="293">
        <v>2298</v>
      </c>
      <c r="L81" s="23">
        <v>21</v>
      </c>
      <c r="M81" s="290">
        <v>835</v>
      </c>
      <c r="N81" s="23">
        <v>367</v>
      </c>
      <c r="O81" s="384">
        <v>72</v>
      </c>
      <c r="P81" s="287">
        <v>1036</v>
      </c>
      <c r="Q81" s="23">
        <v>400</v>
      </c>
      <c r="R81" s="23">
        <v>11129</v>
      </c>
      <c r="S81" s="23">
        <v>400</v>
      </c>
      <c r="T81" s="23">
        <v>24</v>
      </c>
      <c r="U81" s="23">
        <v>643</v>
      </c>
      <c r="V81" s="23">
        <v>56</v>
      </c>
      <c r="W81" s="23">
        <v>46</v>
      </c>
      <c r="X81" s="23">
        <v>304</v>
      </c>
      <c r="Y81" s="23">
        <v>15348</v>
      </c>
      <c r="Z81" s="23">
        <v>13</v>
      </c>
      <c r="AA81" s="23">
        <v>5</v>
      </c>
      <c r="AB81" s="23">
        <v>123</v>
      </c>
      <c r="AC81" s="23">
        <v>533</v>
      </c>
      <c r="AD81" s="23">
        <v>8044</v>
      </c>
      <c r="AE81" s="23">
        <v>133</v>
      </c>
      <c r="AF81" s="23">
        <v>457</v>
      </c>
      <c r="AG81" s="23">
        <v>288</v>
      </c>
      <c r="AH81" s="23">
        <v>6</v>
      </c>
      <c r="AI81" s="23">
        <v>110</v>
      </c>
      <c r="AJ81" s="23">
        <v>306</v>
      </c>
      <c r="AK81" s="23">
        <v>969</v>
      </c>
      <c r="AL81" s="23">
        <v>1121</v>
      </c>
      <c r="AM81" s="23">
        <v>13</v>
      </c>
      <c r="AN81" s="23">
        <v>167</v>
      </c>
      <c r="AO81" s="23">
        <v>91</v>
      </c>
      <c r="AP81" s="23">
        <v>183</v>
      </c>
      <c r="AQ81" s="23">
        <v>193</v>
      </c>
      <c r="AR81" s="23">
        <v>2793</v>
      </c>
      <c r="AS81" s="23">
        <v>22</v>
      </c>
      <c r="AT81" s="23">
        <v>5518</v>
      </c>
      <c r="AU81" s="23">
        <v>206</v>
      </c>
      <c r="AV81" s="23">
        <v>3</v>
      </c>
      <c r="AW81" s="23">
        <v>8</v>
      </c>
      <c r="AX81" s="23">
        <v>3404</v>
      </c>
      <c r="AY81" s="23">
        <v>990</v>
      </c>
      <c r="AZ81" s="23">
        <v>582</v>
      </c>
      <c r="BA81" s="23">
        <v>579</v>
      </c>
      <c r="BB81" s="23">
        <v>345</v>
      </c>
      <c r="BC81" s="23">
        <v>138</v>
      </c>
      <c r="BD81" s="23">
        <v>1507</v>
      </c>
      <c r="BE81" s="23">
        <v>254</v>
      </c>
      <c r="BF81" s="23">
        <v>146</v>
      </c>
      <c r="BG81" s="23">
        <v>168</v>
      </c>
      <c r="BH81" s="23">
        <v>325</v>
      </c>
      <c r="BI81" s="23">
        <v>488</v>
      </c>
      <c r="BJ81" s="23">
        <v>1276</v>
      </c>
      <c r="BK81" s="23">
        <v>802</v>
      </c>
      <c r="BL81" s="23">
        <v>67802</v>
      </c>
      <c r="BM81" s="23">
        <v>1019</v>
      </c>
      <c r="BN81" s="23">
        <v>117</v>
      </c>
      <c r="BO81" s="23">
        <v>647</v>
      </c>
      <c r="BP81" s="23">
        <v>937</v>
      </c>
      <c r="BQ81" s="23">
        <v>98</v>
      </c>
      <c r="BR81" s="23">
        <v>141</v>
      </c>
      <c r="BS81" s="23">
        <v>41</v>
      </c>
      <c r="BT81" s="23">
        <v>75</v>
      </c>
      <c r="BU81" s="23">
        <v>18</v>
      </c>
      <c r="BV81" s="23">
        <v>255</v>
      </c>
      <c r="BW81" s="23">
        <v>775</v>
      </c>
      <c r="BX81" s="23">
        <v>522</v>
      </c>
      <c r="BY81" s="23">
        <v>137</v>
      </c>
      <c r="BZ81" s="23">
        <v>554</v>
      </c>
      <c r="CA81" s="23">
        <v>176</v>
      </c>
      <c r="CB81" s="23">
        <v>1</v>
      </c>
      <c r="CC81" s="23">
        <v>76</v>
      </c>
      <c r="CD81" s="23">
        <v>183</v>
      </c>
      <c r="CE81" s="23">
        <v>1258</v>
      </c>
      <c r="CF81" s="23">
        <v>1161</v>
      </c>
      <c r="CG81" s="23">
        <v>22</v>
      </c>
      <c r="CH81" s="23">
        <v>134</v>
      </c>
      <c r="CI81" s="23">
        <v>396</v>
      </c>
      <c r="CJ81" s="23">
        <v>194</v>
      </c>
      <c r="CK81" s="23">
        <v>1011</v>
      </c>
      <c r="CL81" s="23">
        <v>712</v>
      </c>
      <c r="CM81" s="23">
        <v>233</v>
      </c>
      <c r="CN81" s="23">
        <v>356</v>
      </c>
      <c r="CO81" s="23">
        <v>3858</v>
      </c>
      <c r="CP81" s="23">
        <v>177</v>
      </c>
      <c r="CQ81" s="23">
        <v>10</v>
      </c>
      <c r="CR81" s="23">
        <v>3386</v>
      </c>
      <c r="CS81" s="23">
        <v>40</v>
      </c>
      <c r="CT81" s="23">
        <v>1380</v>
      </c>
      <c r="CU81" s="23">
        <v>3163</v>
      </c>
      <c r="CV81" s="23">
        <v>865</v>
      </c>
      <c r="CW81" s="23">
        <v>41</v>
      </c>
      <c r="CX81" s="23">
        <v>15</v>
      </c>
      <c r="CY81" s="23">
        <v>22</v>
      </c>
      <c r="CZ81" s="23">
        <v>858</v>
      </c>
      <c r="DA81" s="23">
        <v>9</v>
      </c>
      <c r="DB81" s="23">
        <v>29</v>
      </c>
      <c r="DC81" s="23">
        <v>7</v>
      </c>
      <c r="DD81" s="23">
        <v>1518</v>
      </c>
      <c r="DE81" s="23">
        <v>51</v>
      </c>
      <c r="DF81" s="23">
        <v>37</v>
      </c>
      <c r="DG81" s="23">
        <v>128</v>
      </c>
      <c r="DH81" s="23">
        <v>116</v>
      </c>
      <c r="DI81" s="23">
        <v>18</v>
      </c>
      <c r="DJ81" s="23">
        <v>308</v>
      </c>
      <c r="DK81" s="23">
        <v>6</v>
      </c>
      <c r="DL81" s="23">
        <v>22</v>
      </c>
      <c r="DM81" s="23">
        <v>138</v>
      </c>
      <c r="DN81" s="23">
        <v>59105</v>
      </c>
      <c r="DO81" s="23">
        <v>21</v>
      </c>
      <c r="DP81" s="23">
        <v>4</v>
      </c>
      <c r="DQ81" s="23">
        <v>134</v>
      </c>
      <c r="DR81" s="23">
        <v>84794</v>
      </c>
      <c r="DS81" s="23">
        <v>204</v>
      </c>
      <c r="DT81" s="23">
        <v>1544</v>
      </c>
      <c r="DU81" s="23">
        <v>47</v>
      </c>
      <c r="DV81" s="23">
        <v>52</v>
      </c>
      <c r="DW81" s="23">
        <v>19</v>
      </c>
      <c r="DX81" s="23">
        <v>16</v>
      </c>
      <c r="DY81" s="23">
        <v>7</v>
      </c>
      <c r="DZ81" s="23">
        <v>219</v>
      </c>
      <c r="EA81" s="23">
        <v>585</v>
      </c>
      <c r="EB81" s="23">
        <v>1319</v>
      </c>
      <c r="EC81" s="23">
        <v>2543</v>
      </c>
      <c r="ED81" s="23">
        <v>1790</v>
      </c>
      <c r="EE81" s="23">
        <v>50468</v>
      </c>
      <c r="EF81" s="23">
        <v>772</v>
      </c>
      <c r="EG81" s="23">
        <v>3849</v>
      </c>
      <c r="EH81" s="23">
        <v>6857</v>
      </c>
      <c r="EI81" s="23">
        <v>115242</v>
      </c>
      <c r="EJ81" s="23">
        <v>47</v>
      </c>
      <c r="EK81" s="23">
        <v>2495</v>
      </c>
      <c r="EL81" s="23">
        <v>299</v>
      </c>
      <c r="EM81" s="23">
        <v>435</v>
      </c>
      <c r="EN81" s="23">
        <v>110</v>
      </c>
      <c r="EO81" s="23">
        <v>9976</v>
      </c>
      <c r="EP81" s="23">
        <v>342</v>
      </c>
      <c r="EQ81" s="23">
        <v>116</v>
      </c>
      <c r="ER81" s="23">
        <v>458</v>
      </c>
      <c r="ES81" s="23">
        <v>494</v>
      </c>
      <c r="ET81" s="23">
        <v>6</v>
      </c>
      <c r="EU81" s="23">
        <v>75</v>
      </c>
      <c r="EV81" s="23">
        <v>649</v>
      </c>
      <c r="EW81" s="23">
        <v>2487</v>
      </c>
      <c r="EX81" s="23">
        <v>59</v>
      </c>
      <c r="EY81" s="23">
        <v>3116</v>
      </c>
      <c r="EZ81" s="23">
        <v>19</v>
      </c>
      <c r="FA81" s="23">
        <v>196</v>
      </c>
      <c r="FB81" s="23">
        <v>6</v>
      </c>
      <c r="FC81" s="23">
        <v>169</v>
      </c>
      <c r="FD81" s="23">
        <v>1510</v>
      </c>
      <c r="FE81" s="23">
        <v>505</v>
      </c>
      <c r="FF81" s="23">
        <v>60</v>
      </c>
      <c r="FG81" s="23">
        <v>14</v>
      </c>
      <c r="FH81" s="23">
        <v>144</v>
      </c>
      <c r="FI81" s="23">
        <v>708</v>
      </c>
      <c r="FJ81" s="23">
        <v>14</v>
      </c>
      <c r="FK81" s="23">
        <v>6</v>
      </c>
      <c r="FL81" s="23">
        <v>60</v>
      </c>
      <c r="FM81" s="23">
        <v>11</v>
      </c>
      <c r="FN81" s="23">
        <v>18</v>
      </c>
      <c r="FO81" s="23">
        <v>14697</v>
      </c>
      <c r="FP81" s="23">
        <v>797</v>
      </c>
      <c r="FQ81" s="23">
        <v>5</v>
      </c>
      <c r="FR81" s="23">
        <v>98</v>
      </c>
      <c r="FS81" s="23">
        <v>184</v>
      </c>
      <c r="FT81" s="23">
        <v>384</v>
      </c>
      <c r="FU81" s="23">
        <v>5147</v>
      </c>
      <c r="FV81" s="23">
        <v>231</v>
      </c>
      <c r="FW81" s="23">
        <v>2421</v>
      </c>
      <c r="FX81" s="23">
        <v>1317</v>
      </c>
      <c r="FY81" s="23">
        <v>1</v>
      </c>
      <c r="FZ81" s="23">
        <v>77</v>
      </c>
      <c r="GA81" s="23">
        <v>1414</v>
      </c>
      <c r="GB81" s="23">
        <v>2633</v>
      </c>
      <c r="GC81" s="23">
        <v>2946</v>
      </c>
      <c r="GD81" s="23">
        <v>9034</v>
      </c>
      <c r="GE81" s="23">
        <v>949</v>
      </c>
      <c r="GF81" s="23">
        <v>2738</v>
      </c>
      <c r="GG81" s="23">
        <v>3548</v>
      </c>
      <c r="GH81" s="23">
        <v>84</v>
      </c>
      <c r="GI81" s="23">
        <v>13</v>
      </c>
      <c r="GJ81" s="23">
        <v>2</v>
      </c>
      <c r="GK81" s="23">
        <v>245</v>
      </c>
      <c r="GL81" s="23">
        <v>1885</v>
      </c>
      <c r="GM81" s="23">
        <v>195</v>
      </c>
      <c r="GN81" s="23">
        <v>1171</v>
      </c>
      <c r="GO81" s="23">
        <v>10</v>
      </c>
      <c r="GP81" s="23">
        <v>1049</v>
      </c>
      <c r="GQ81" s="23">
        <v>426</v>
      </c>
      <c r="GR81" s="23">
        <v>897</v>
      </c>
      <c r="GS81" s="23">
        <v>5</v>
      </c>
      <c r="GT81" s="23">
        <v>1462</v>
      </c>
      <c r="GU81" s="23">
        <v>112065</v>
      </c>
      <c r="GV81" s="23">
        <v>151</v>
      </c>
      <c r="GW81" s="23">
        <v>8</v>
      </c>
      <c r="GX81" s="23">
        <v>10</v>
      </c>
      <c r="GY81" s="23">
        <v>5568</v>
      </c>
      <c r="GZ81" s="23">
        <v>18827</v>
      </c>
      <c r="HA81" s="23">
        <v>339</v>
      </c>
      <c r="HB81" s="23">
        <v>20</v>
      </c>
      <c r="HC81" s="23">
        <v>1875</v>
      </c>
      <c r="HD81" s="23">
        <v>39</v>
      </c>
      <c r="HE81" s="23">
        <v>94</v>
      </c>
      <c r="HF81" s="23">
        <v>455</v>
      </c>
      <c r="HG81" s="23">
        <v>18135</v>
      </c>
      <c r="HH81" s="23">
        <v>45</v>
      </c>
      <c r="HI81" s="23">
        <v>897</v>
      </c>
      <c r="HJ81" s="23">
        <v>1024</v>
      </c>
      <c r="HK81" s="23">
        <v>35</v>
      </c>
      <c r="HL81" s="23">
        <v>28</v>
      </c>
      <c r="HM81" s="23">
        <v>193</v>
      </c>
      <c r="HN81" s="23">
        <v>88</v>
      </c>
      <c r="HO81" s="23">
        <v>95</v>
      </c>
      <c r="HP81" s="23">
        <v>5</v>
      </c>
      <c r="HQ81" s="23">
        <v>33718</v>
      </c>
      <c r="HR81" s="23">
        <v>350</v>
      </c>
      <c r="HS81" s="23">
        <v>243622</v>
      </c>
      <c r="HT81" s="23">
        <v>205</v>
      </c>
      <c r="HU81" s="23">
        <v>146</v>
      </c>
      <c r="HV81" s="23">
        <v>233</v>
      </c>
      <c r="HW81" s="23">
        <v>39</v>
      </c>
      <c r="HX81" s="23">
        <v>9</v>
      </c>
      <c r="HY81" s="23">
        <v>0</v>
      </c>
      <c r="HZ81" s="23">
        <v>12</v>
      </c>
      <c r="IA81" s="23">
        <v>10</v>
      </c>
      <c r="IB81" s="23">
        <v>10</v>
      </c>
      <c r="IC81" s="23">
        <v>16</v>
      </c>
      <c r="ID81" s="23">
        <v>1</v>
      </c>
      <c r="IE81" s="23">
        <v>3</v>
      </c>
      <c r="IF81" s="23">
        <v>0</v>
      </c>
      <c r="IG81" s="23">
        <v>10</v>
      </c>
      <c r="IH81" s="23">
        <v>11</v>
      </c>
      <c r="II81" s="23">
        <v>161</v>
      </c>
      <c r="IJ81" s="23">
        <v>9</v>
      </c>
      <c r="IK81" s="23">
        <v>36</v>
      </c>
      <c r="IL81" s="23">
        <v>9</v>
      </c>
      <c r="IM81" s="23">
        <v>2</v>
      </c>
      <c r="IN81" s="23">
        <v>6</v>
      </c>
      <c r="IO81" s="23">
        <v>125</v>
      </c>
      <c r="IP81" s="23">
        <v>20</v>
      </c>
      <c r="IQ81" s="23">
        <v>3</v>
      </c>
      <c r="IR81" s="23">
        <v>3</v>
      </c>
      <c r="IS81" s="23">
        <v>5</v>
      </c>
      <c r="IT81" s="23">
        <v>9</v>
      </c>
      <c r="IU81" s="23">
        <v>4</v>
      </c>
      <c r="IV81" s="23">
        <v>3</v>
      </c>
      <c r="IW81" s="23">
        <v>2</v>
      </c>
      <c r="IX81" s="23">
        <v>2</v>
      </c>
      <c r="IY81" s="23">
        <v>3</v>
      </c>
      <c r="IZ81" s="23">
        <v>0</v>
      </c>
      <c r="JA81" s="23">
        <v>0</v>
      </c>
      <c r="JB81" s="23">
        <v>0</v>
      </c>
      <c r="JC81" s="23">
        <v>0</v>
      </c>
      <c r="JD81" s="23">
        <v>0</v>
      </c>
      <c r="JE81" s="23">
        <v>0</v>
      </c>
      <c r="JF81" s="23">
        <v>0</v>
      </c>
      <c r="JG81" s="23">
        <v>0</v>
      </c>
      <c r="JH81" s="23">
        <v>0</v>
      </c>
      <c r="JI81" s="23">
        <v>82</v>
      </c>
      <c r="JJ81" s="23">
        <v>6</v>
      </c>
      <c r="JK81" s="23">
        <v>316</v>
      </c>
      <c r="JL81" s="23">
        <v>30</v>
      </c>
      <c r="JM81" s="23">
        <v>1233</v>
      </c>
      <c r="JN81" s="23">
        <v>143</v>
      </c>
      <c r="JO81" s="23">
        <v>1596</v>
      </c>
      <c r="JP81" s="23">
        <v>643</v>
      </c>
      <c r="JQ81" s="23">
        <v>10773</v>
      </c>
      <c r="JR81" s="23">
        <v>3342</v>
      </c>
      <c r="JS81" s="23">
        <v>3824</v>
      </c>
      <c r="JT81" s="23">
        <v>393</v>
      </c>
      <c r="JU81" s="23">
        <v>653</v>
      </c>
      <c r="JV81" s="23">
        <v>9008</v>
      </c>
      <c r="JW81" s="23">
        <v>5348</v>
      </c>
      <c r="JX81" s="23">
        <v>256</v>
      </c>
      <c r="JY81" s="23">
        <v>776</v>
      </c>
      <c r="JZ81" s="23">
        <v>7695</v>
      </c>
      <c r="KA81" s="23">
        <v>3038</v>
      </c>
      <c r="KB81" s="23">
        <v>614</v>
      </c>
      <c r="KC81" s="23">
        <v>553</v>
      </c>
      <c r="KD81" s="23">
        <v>770</v>
      </c>
      <c r="KE81" s="23">
        <v>9149</v>
      </c>
      <c r="KF81" s="23">
        <v>376</v>
      </c>
      <c r="KG81" s="23">
        <v>2331</v>
      </c>
      <c r="KH81" s="23">
        <v>8966</v>
      </c>
      <c r="KI81" s="23">
        <v>10791</v>
      </c>
      <c r="KJ81" s="23">
        <v>742</v>
      </c>
      <c r="KK81" s="23">
        <v>1177</v>
      </c>
      <c r="KL81" s="23">
        <v>1857</v>
      </c>
      <c r="KM81" s="23">
        <v>241</v>
      </c>
      <c r="KN81" s="23">
        <v>246</v>
      </c>
      <c r="KO81" s="23">
        <v>1463</v>
      </c>
      <c r="KP81" s="23">
        <v>479</v>
      </c>
      <c r="KQ81" s="23">
        <v>25590</v>
      </c>
      <c r="KR81" s="23">
        <v>373</v>
      </c>
      <c r="KS81" s="23">
        <v>92506</v>
      </c>
      <c r="KT81" s="23">
        <v>1977</v>
      </c>
      <c r="KU81" s="23">
        <v>159</v>
      </c>
      <c r="KV81" s="23">
        <v>2901</v>
      </c>
      <c r="KW81" s="23">
        <v>881</v>
      </c>
      <c r="KX81" s="23">
        <v>826</v>
      </c>
      <c r="KY81" s="23">
        <v>7268</v>
      </c>
      <c r="KZ81" s="23">
        <v>645</v>
      </c>
      <c r="LA81" s="23">
        <v>1554</v>
      </c>
      <c r="LB81" s="23">
        <v>165</v>
      </c>
      <c r="LC81" s="23">
        <v>3013</v>
      </c>
      <c r="LD81" s="23">
        <v>5069</v>
      </c>
      <c r="LE81" s="23">
        <v>1086</v>
      </c>
      <c r="LF81" s="23">
        <v>338</v>
      </c>
      <c r="LG81" s="23">
        <v>1706</v>
      </c>
      <c r="LH81" s="23">
        <v>6389</v>
      </c>
      <c r="LI81" s="23">
        <v>216</v>
      </c>
      <c r="LJ81" s="23">
        <v>1748</v>
      </c>
      <c r="LK81" s="23">
        <v>150</v>
      </c>
      <c r="LL81" s="23">
        <v>49</v>
      </c>
      <c r="LM81" s="23">
        <v>103</v>
      </c>
      <c r="LN81" s="278">
        <f ca="1">$A81 - TST!Sweden100dt + 1</f>
        <v>27</v>
      </c>
      <c r="LO81" s="20">
        <f ca="1">INDEX(OFFSET(TST!HeadRow,ROW()-ROW(TST!HeadRow),0,1,COLUMNS(TST!HeadRow)),1,MATCH(LO$5,TST!HeadRow,0))/LO$8</f>
        <v>5442.8152492668623</v>
      </c>
      <c r="LP81" s="278">
        <f ca="1">$A81 - TST!Spain100dt + 1</f>
        <v>27</v>
      </c>
      <c r="LQ81" s="20">
        <f ca="1">INDEX(OFFSET(TST!HeadRow,ROW()-ROW(TST!HeadRow),0,1,COLUMNS(TST!HeadRow)),1,MATCH(LQ$5,TST!HeadRow,0))/LQ$8</f>
        <v>23874.094588836811</v>
      </c>
      <c r="LR81" s="285">
        <f ca="1">$A81 - TST!Victoria100dt + 1</f>
        <v>18</v>
      </c>
      <c r="LS81" s="20">
        <f ca="1">INDEX(OFFSET(TST!HeadRow,ROW()-ROW(TST!HeadRow),0,1,COLUMNS(TST!HeadRow)),1,MATCH(LS$5,TST!HeadRow,0))/LS$8</f>
        <v>1562.8299894403378</v>
      </c>
      <c r="LT81" s="278">
        <f ca="1">$A81 - TST!Iran100dt + 1</f>
        <v>33</v>
      </c>
      <c r="LU81" s="20">
        <f ca="1">INDEX(OFFSET(TST!HeadRow,ROW()-ROW(TST!HeadRow),0,1,COLUMNS(TST!HeadRow)),1,MATCH(LU$5,TST!HeadRow,0))/LU$8</f>
        <v>6024.3753954137965</v>
      </c>
      <c r="LV81" s="278">
        <f ca="1">$A81 - TST!Japan100dt + 1</f>
        <v>9</v>
      </c>
      <c r="LW81" s="20">
        <f ca="1">INDEX(OFFSET(TST!HeadRow,ROW()-ROW(TST!HeadRow),0,1,COLUMNS(TST!HeadRow)),1,MATCH(LW$5,TST!HeadRow,0))/LW$8</f>
        <v>197.14872685816687</v>
      </c>
      <c r="LX81" s="278">
        <f ca="1">$A81 - TST!Queensland100dt + 1</f>
        <v>19</v>
      </c>
      <c r="LY81" s="20">
        <f ca="1">INDEX(OFFSET(TST!HeadRow,ROW()-ROW(TST!HeadRow),0,1,COLUMNS(TST!HeadRow)),1,MATCH(LY$5,TST!HeadRow,0))/LY$8</f>
        <v>1632.3096438613136</v>
      </c>
      <c r="LZ81" s="278">
        <f ca="1">$A81 - TST!Tasmania100dt + 1</f>
        <v>19</v>
      </c>
      <c r="MA81" s="20">
        <f ca="1">INDEX(OFFSET(TST!HeadRow,ROW()-ROW(TST!HeadRow),0,1,COLUMNS(TST!HeadRow)),1,MATCH(MA$5,TST!HeadRow,0))/MA$8</f>
        <v>1398.0582524271845</v>
      </c>
      <c r="MB81" s="278">
        <f ca="1">$A81 - TST!SouthAustralia100dt + 1</f>
        <v>20</v>
      </c>
      <c r="MC81" s="20">
        <f ca="1">INDEX(OFFSET(TST!HeadRow,ROW()-ROW(TST!HeadRow),0,1,COLUMNS(TST!HeadRow)),1,MATCH(MC$5,TST!HeadRow,0))/MC$8</f>
        <v>2197.6047904191614</v>
      </c>
      <c r="MD81" s="278">
        <f ca="1">$A81 - TST!AustralianCapitalTerritory100dt + 1</f>
        <v>14</v>
      </c>
      <c r="ME81" s="20">
        <f ca="1">INDEX(OFFSET(TST!HeadRow,ROW()-ROW(TST!HeadRow),0,1,COLUMNS(TST!HeadRow)),1,MATCH(ME$5,TST!HeadRow,0))/ME$8</f>
        <v>2032.4253609307109</v>
      </c>
      <c r="MF81" s="278">
        <f ca="1">$A81 - TST!NorthernTerritory100dt + 1</f>
        <v>14</v>
      </c>
      <c r="MG81" s="20">
        <f ca="1">INDEX(OFFSET(TST!HeadRow,ROW()-ROW(TST!HeadRow),0,1,COLUMNS(TST!HeadRow)),1,MATCH(MG$5,TST!HeadRow,0))/MG$8</f>
        <v>990.82309089622299</v>
      </c>
      <c r="MH81" s="278">
        <f ca="1">$A81 - TST!WesternAustralia100dt + 1</f>
        <v>18</v>
      </c>
      <c r="MI81" s="20">
        <f ca="1">INDEX(OFFSET(TST!HeadRow,ROW()-ROW(TST!HeadRow),0,1,COLUMNS(TST!HeadRow)),1,MATCH(MI$5,TST!HeadRow,0))/MI$8</f>
        <v>1544.9980687524139</v>
      </c>
      <c r="MJ81" s="278">
        <f ca="1">$A81 - TST!Germany100dt + 1</f>
        <v>26</v>
      </c>
      <c r="MK81" s="20">
        <f ca="1">INDEX(OFFSET(TST!HeadRow,ROW()-ROW(TST!HeadRow),0,1,COLUMNS(TST!HeadRow)),1,MATCH(MK$5,TST!HeadRow,0))/MK$8</f>
        <v>10213.683449771141</v>
      </c>
      <c r="ML81" s="278">
        <f ca="1">$A81 - TST!Denmark100dt + 1</f>
        <v>25</v>
      </c>
      <c r="MM81" s="20">
        <f ca="1">INDEX(OFFSET(TST!HeadRow,ROW()-ROW(TST!HeadRow),0,1,COLUMNS(TST!HeadRow)),1,MATCH(MM$5,TST!HeadRow,0))/MM$8</f>
        <v>5831.8980365139514</v>
      </c>
      <c r="MN81" s="278">
        <f ca="1">$A81 - TST!SouthAfrica100dt + 1</f>
        <v>9</v>
      </c>
      <c r="MO81" s="20">
        <f ca="1">INDEX(OFFSET(TST!HeadRow,ROW()-ROW(TST!HeadRow),0,1,COLUMNS(TST!HeadRow)),1,MATCH(MO$5,TST!HeadRow,0))/MO$8</f>
        <v>253.02872966424371</v>
      </c>
      <c r="MP81" s="278">
        <f ca="1">$A81 - TST!UnitedKingdom100dt + 1</f>
        <v>21</v>
      </c>
      <c r="MQ81" s="20">
        <f ca="1">INDEX(OFFSET(TST!HeadRow,ROW()-ROW(TST!HeadRow),0,1,COLUMNS(TST!HeadRow)),1,MATCH(MQ$5,TST!HeadRow,0))/MQ$8</f>
        <v>5074.9548464780255</v>
      </c>
      <c r="MR81" s="278">
        <f ca="1">$A81 - TST!Ireland100dt + 1</f>
        <v>21</v>
      </c>
      <c r="MS81" s="20">
        <f ca="1">INDEX(OFFSET(TST!HeadRow,ROW()-ROW(TST!HeadRow),0,1,COLUMNS(TST!HeadRow)),1,MATCH(MS$5,TST!HeadRow,0))/MS$8</f>
        <v>7855.1020408163267</v>
      </c>
      <c r="MT81" s="278">
        <f ca="1">$A81 - TST!Italy100dt + 1</f>
        <v>36</v>
      </c>
      <c r="MU81" s="20">
        <f ca="1">INDEX(OFFSET(TST!HeadRow,ROW()-ROW(TST!HeadRow),0,1,COLUMNS(TST!HeadRow)),1,MATCH(MU$5,TST!HeadRow,0))/MU$8</f>
        <v>19052.988344217574</v>
      </c>
      <c r="MV81" s="278">
        <f ca="1">$A81 - TST!US100dt + 1</f>
        <v>19</v>
      </c>
      <c r="MW81" s="20">
        <f ca="1">INDEX(OFFSET(TST!HeadRow,ROW()-ROW(TST!HeadRow),0,1,COLUMNS(TST!HeadRow)),1,MATCH(MW$5,TST!HeadRow,0))/MW$8</f>
        <v>7399.8015950939935</v>
      </c>
      <c r="MX81" s="278">
        <f ca="1">$A81 - TST!AustraliaSum100dt + 1</f>
        <v>19</v>
      </c>
      <c r="MY81" s="366">
        <f t="shared" si="9"/>
        <v>2017.0320138779373</v>
      </c>
      <c r="MZ81" s="278">
        <f ca="1">$A81 - TST!NewSouthWales100dt + 1</f>
        <v>21</v>
      </c>
      <c r="NA81" s="366">
        <f ca="1">INDEX(OFFSET(TST!HeadRow,ROW()-ROW(TST!HeadRow),0,1,COLUMNS(TST!HeadRow)),1,MATCH(NA$5,TST!HeadRow,0))/NA$8</f>
        <v>2844.0594059405939</v>
      </c>
      <c r="NB81" s="278">
        <f ca="1">$A81 - TST!Taiwan100dt + 1</f>
        <v>8</v>
      </c>
      <c r="NC81" s="366">
        <f ca="1">INDEX(OFFSET(TST!HeadRow,ROW()-ROW(TST!HeadRow),0,1,COLUMNS(TST!HeadRow)),1,MATCH(NC$5,TST!HeadRow,0))/NC$8</f>
        <v>142.39340719364773</v>
      </c>
      <c r="ND81" s="20">
        <f ca="1">$A81 - TST!Hubei100dt + 1</f>
        <v>69</v>
      </c>
      <c r="NE81" s="20">
        <f ca="1">INDEX(OFFSET(TST!HeadRow,ROW()-ROW(TST!HeadRow),0,1,COLUMNS(TST!HeadRow)),1,MATCH(NE$5,TST!HeadRow,0))/NE$8</f>
        <v>11590.085470085471</v>
      </c>
      <c r="NF81" s="20">
        <f ca="1">$A81 - TST!HongKong100dt + 1</f>
        <v>39</v>
      </c>
      <c r="NG81" s="20">
        <f ca="1">INDEX(OFFSET(TST!HeadRow,ROW()-ROW(TST!HeadRow),0,1,COLUMNS(TST!HeadRow)),1,MATCH(NG$5,TST!HeadRow,0))/NG$8</f>
        <v>1076.3655885116093</v>
      </c>
    </row>
    <row r="82" spans="1:371" x14ac:dyDescent="0.25">
      <c r="A82" s="243">
        <v>43924</v>
      </c>
      <c r="B82" s="23">
        <v>281</v>
      </c>
      <c r="C82" s="23">
        <v>304</v>
      </c>
      <c r="D82" s="23">
        <v>1171</v>
      </c>
      <c r="E82" s="23">
        <v>439</v>
      </c>
      <c r="F82" s="23">
        <v>8</v>
      </c>
      <c r="G82" s="23">
        <v>15</v>
      </c>
      <c r="H82" s="23">
        <v>1265</v>
      </c>
      <c r="I82" s="23">
        <v>736</v>
      </c>
      <c r="J82" s="23">
        <v>91</v>
      </c>
      <c r="K82" s="293">
        <v>2389</v>
      </c>
      <c r="L82" s="23">
        <v>22</v>
      </c>
      <c r="M82" s="290">
        <v>873</v>
      </c>
      <c r="N82" s="23">
        <v>396</v>
      </c>
      <c r="O82" s="384">
        <v>74</v>
      </c>
      <c r="P82" s="287">
        <v>1085</v>
      </c>
      <c r="Q82" s="23">
        <v>400</v>
      </c>
      <c r="R82" s="23">
        <v>11524</v>
      </c>
      <c r="S82" s="23">
        <v>443</v>
      </c>
      <c r="T82" s="23">
        <v>24</v>
      </c>
      <c r="U82" s="23">
        <v>672</v>
      </c>
      <c r="V82" s="23">
        <v>61</v>
      </c>
      <c r="W82" s="23">
        <v>51</v>
      </c>
      <c r="X82" s="23">
        <v>351</v>
      </c>
      <c r="Y82" s="23">
        <v>16770</v>
      </c>
      <c r="Z82" s="23">
        <v>16</v>
      </c>
      <c r="AA82" s="23">
        <v>5</v>
      </c>
      <c r="AB82" s="23">
        <v>132</v>
      </c>
      <c r="AC82" s="23">
        <v>579</v>
      </c>
      <c r="AD82" s="23">
        <v>9056</v>
      </c>
      <c r="AE82" s="23">
        <v>134</v>
      </c>
      <c r="AF82" s="23">
        <v>485</v>
      </c>
      <c r="AG82" s="23">
        <v>302</v>
      </c>
      <c r="AH82" s="23">
        <v>6</v>
      </c>
      <c r="AI82" s="23">
        <v>114</v>
      </c>
      <c r="AJ82" s="23">
        <v>509</v>
      </c>
      <c r="AK82" s="23">
        <v>969</v>
      </c>
      <c r="AL82" s="23">
        <v>1174</v>
      </c>
      <c r="AM82" s="23">
        <v>13</v>
      </c>
      <c r="AN82" s="23">
        <v>182</v>
      </c>
      <c r="AO82" s="23">
        <v>91</v>
      </c>
      <c r="AP82" s="23">
        <v>195</v>
      </c>
      <c r="AQ82" s="23">
        <v>207</v>
      </c>
      <c r="AR82" s="23">
        <v>3255</v>
      </c>
      <c r="AS82" s="23">
        <v>22</v>
      </c>
      <c r="AT82" s="23">
        <v>6101</v>
      </c>
      <c r="AU82" s="23">
        <v>220</v>
      </c>
      <c r="AV82" s="23">
        <v>8</v>
      </c>
      <c r="AW82" s="23">
        <v>8</v>
      </c>
      <c r="AX82" s="23">
        <v>3737</v>
      </c>
      <c r="AY82" s="23">
        <v>990</v>
      </c>
      <c r="AZ82" s="23">
        <v>584</v>
      </c>
      <c r="BA82" s="23">
        <v>579</v>
      </c>
      <c r="BB82" s="23">
        <v>349</v>
      </c>
      <c r="BC82" s="23">
        <v>138</v>
      </c>
      <c r="BD82" s="23">
        <v>1514</v>
      </c>
      <c r="BE82" s="23">
        <v>254</v>
      </c>
      <c r="BF82" s="23">
        <v>146</v>
      </c>
      <c r="BG82" s="23">
        <v>168</v>
      </c>
      <c r="BH82" s="23">
        <v>326</v>
      </c>
      <c r="BI82" s="23">
        <v>489</v>
      </c>
      <c r="BJ82" s="23">
        <v>1276</v>
      </c>
      <c r="BK82" s="23">
        <v>845</v>
      </c>
      <c r="BL82" s="23">
        <v>67802</v>
      </c>
      <c r="BM82" s="23">
        <v>1019</v>
      </c>
      <c r="BN82" s="23">
        <v>117</v>
      </c>
      <c r="BO82" s="23">
        <v>651</v>
      </c>
      <c r="BP82" s="23">
        <v>937</v>
      </c>
      <c r="BQ82" s="23">
        <v>98</v>
      </c>
      <c r="BR82" s="23">
        <v>141</v>
      </c>
      <c r="BS82" s="23">
        <v>43</v>
      </c>
      <c r="BT82" s="23">
        <v>75</v>
      </c>
      <c r="BU82" s="23">
        <v>18</v>
      </c>
      <c r="BV82" s="23">
        <v>255</v>
      </c>
      <c r="BW82" s="23">
        <v>778</v>
      </c>
      <c r="BX82" s="23">
        <v>526</v>
      </c>
      <c r="BY82" s="23">
        <v>137</v>
      </c>
      <c r="BZ82" s="23">
        <v>555</v>
      </c>
      <c r="CA82" s="23">
        <v>180</v>
      </c>
      <c r="CB82" s="23">
        <v>1</v>
      </c>
      <c r="CC82" s="23">
        <v>76</v>
      </c>
      <c r="CD82" s="23">
        <v>184</v>
      </c>
      <c r="CE82" s="23">
        <v>1260</v>
      </c>
      <c r="CF82" s="23">
        <v>1267</v>
      </c>
      <c r="CG82" s="23">
        <v>22</v>
      </c>
      <c r="CH82" s="23">
        <v>134</v>
      </c>
      <c r="CI82" s="23">
        <v>416</v>
      </c>
      <c r="CJ82" s="23">
        <v>218</v>
      </c>
      <c r="CK82" s="23">
        <v>1079</v>
      </c>
      <c r="CL82" s="23">
        <v>712</v>
      </c>
      <c r="CM82" s="23">
        <v>269</v>
      </c>
      <c r="CN82" s="23">
        <v>396</v>
      </c>
      <c r="CO82" s="23">
        <v>4091</v>
      </c>
      <c r="CP82" s="23">
        <v>179</v>
      </c>
      <c r="CQ82" s="23">
        <v>10</v>
      </c>
      <c r="CR82" s="23">
        <v>3757</v>
      </c>
      <c r="CS82" s="23">
        <v>49</v>
      </c>
      <c r="CT82" s="23">
        <v>1488</v>
      </c>
      <c r="CU82" s="23">
        <v>3368</v>
      </c>
      <c r="CV82" s="23">
        <v>985</v>
      </c>
      <c r="CW82" s="23">
        <v>46</v>
      </c>
      <c r="CX82" s="23">
        <v>16</v>
      </c>
      <c r="CY82" s="23">
        <v>22</v>
      </c>
      <c r="CZ82" s="23">
        <v>961</v>
      </c>
      <c r="DA82" s="23">
        <v>9</v>
      </c>
      <c r="DB82" s="23">
        <v>35</v>
      </c>
      <c r="DC82" s="23">
        <v>7</v>
      </c>
      <c r="DD82" s="23">
        <v>1615</v>
      </c>
      <c r="DE82" s="23">
        <v>57</v>
      </c>
      <c r="DF82" s="23">
        <v>39</v>
      </c>
      <c r="DG82" s="23">
        <v>130</v>
      </c>
      <c r="DH82" s="23">
        <v>128</v>
      </c>
      <c r="DI82" s="23">
        <v>18</v>
      </c>
      <c r="DJ82" s="23">
        <v>321</v>
      </c>
      <c r="DK82" s="23">
        <v>6</v>
      </c>
      <c r="DL82" s="23">
        <v>22</v>
      </c>
      <c r="DM82" s="23">
        <v>143</v>
      </c>
      <c r="DN82" s="23">
        <v>64338</v>
      </c>
      <c r="DO82" s="23">
        <v>21</v>
      </c>
      <c r="DP82" s="23">
        <v>4</v>
      </c>
      <c r="DQ82" s="23">
        <v>155</v>
      </c>
      <c r="DR82" s="23">
        <v>91159</v>
      </c>
      <c r="DS82" s="23">
        <v>205</v>
      </c>
      <c r="DT82" s="23">
        <v>1613</v>
      </c>
      <c r="DU82" s="23">
        <v>50</v>
      </c>
      <c r="DV82" s="23">
        <v>73</v>
      </c>
      <c r="DW82" s="23">
        <v>23</v>
      </c>
      <c r="DX82" s="23">
        <v>18</v>
      </c>
      <c r="DY82" s="23">
        <v>7</v>
      </c>
      <c r="DZ82" s="23">
        <v>222</v>
      </c>
      <c r="EA82" s="23">
        <v>623</v>
      </c>
      <c r="EB82" s="23">
        <v>1364</v>
      </c>
      <c r="EC82" s="23">
        <v>2567</v>
      </c>
      <c r="ED82" s="23">
        <v>1986</v>
      </c>
      <c r="EE82" s="23">
        <v>53183</v>
      </c>
      <c r="EF82" s="23">
        <v>820</v>
      </c>
      <c r="EG82" s="23">
        <v>4273</v>
      </c>
      <c r="EH82" s="23">
        <v>7428</v>
      </c>
      <c r="EI82" s="23">
        <v>119827</v>
      </c>
      <c r="EJ82" s="23">
        <v>47</v>
      </c>
      <c r="EK82" s="23">
        <v>2617</v>
      </c>
      <c r="EL82" s="23">
        <v>310</v>
      </c>
      <c r="EM82" s="23">
        <v>464</v>
      </c>
      <c r="EN82" s="23">
        <v>122</v>
      </c>
      <c r="EO82" s="23">
        <v>10062</v>
      </c>
      <c r="EP82" s="23">
        <v>417</v>
      </c>
      <c r="EQ82" s="23">
        <v>130</v>
      </c>
      <c r="ER82" s="23">
        <v>493</v>
      </c>
      <c r="ES82" s="23">
        <v>508</v>
      </c>
      <c r="ET82" s="23">
        <v>7</v>
      </c>
      <c r="EU82" s="23">
        <v>75</v>
      </c>
      <c r="EV82" s="23">
        <v>696</v>
      </c>
      <c r="EW82" s="23">
        <v>2612</v>
      </c>
      <c r="EX82" s="23">
        <v>70</v>
      </c>
      <c r="EY82" s="23">
        <v>3333</v>
      </c>
      <c r="EZ82" s="23">
        <v>19</v>
      </c>
      <c r="FA82" s="23">
        <v>202</v>
      </c>
      <c r="FB82" s="23">
        <v>6</v>
      </c>
      <c r="FC82" s="23">
        <v>186</v>
      </c>
      <c r="FD82" s="23">
        <v>1688</v>
      </c>
      <c r="FE82" s="23">
        <v>591</v>
      </c>
      <c r="FF82" s="23">
        <v>64</v>
      </c>
      <c r="FG82" s="23">
        <v>14</v>
      </c>
      <c r="FH82" s="23">
        <v>174</v>
      </c>
      <c r="FI82" s="23">
        <v>791</v>
      </c>
      <c r="FJ82" s="23">
        <v>14</v>
      </c>
      <c r="FK82" s="23">
        <v>6</v>
      </c>
      <c r="FL82" s="23">
        <v>62</v>
      </c>
      <c r="FM82" s="23">
        <v>11</v>
      </c>
      <c r="FN82" s="23">
        <v>23</v>
      </c>
      <c r="FO82" s="23">
        <v>15723</v>
      </c>
      <c r="FP82" s="23">
        <v>868</v>
      </c>
      <c r="FQ82" s="23">
        <v>5</v>
      </c>
      <c r="FR82" s="23">
        <v>120</v>
      </c>
      <c r="FS82" s="23">
        <v>210</v>
      </c>
      <c r="FT82" s="23">
        <v>430</v>
      </c>
      <c r="FU82" s="23">
        <v>5370</v>
      </c>
      <c r="FV82" s="23">
        <v>252</v>
      </c>
      <c r="FW82" s="23">
        <v>2686</v>
      </c>
      <c r="FX82" s="23">
        <v>1475</v>
      </c>
      <c r="FY82" s="23">
        <v>1</v>
      </c>
      <c r="FZ82" s="23">
        <v>92</v>
      </c>
      <c r="GA82" s="23">
        <v>1595</v>
      </c>
      <c r="GB82" s="23">
        <v>3018</v>
      </c>
      <c r="GC82" s="23">
        <v>3383</v>
      </c>
      <c r="GD82" s="23">
        <v>9886</v>
      </c>
      <c r="GE82" s="23">
        <v>1075</v>
      </c>
      <c r="GF82" s="23">
        <v>3183</v>
      </c>
      <c r="GG82" s="23">
        <v>4149</v>
      </c>
      <c r="GH82" s="23">
        <v>89</v>
      </c>
      <c r="GI82" s="23">
        <v>13</v>
      </c>
      <c r="GJ82" s="23">
        <v>3</v>
      </c>
      <c r="GK82" s="23">
        <v>245</v>
      </c>
      <c r="GL82" s="23">
        <v>2039</v>
      </c>
      <c r="GM82" s="23">
        <v>207</v>
      </c>
      <c r="GN82" s="23">
        <v>1476</v>
      </c>
      <c r="GO82" s="23">
        <v>10</v>
      </c>
      <c r="GP82" s="23">
        <v>1114</v>
      </c>
      <c r="GQ82" s="23">
        <v>450</v>
      </c>
      <c r="GR82" s="23">
        <v>934</v>
      </c>
      <c r="GS82" s="23">
        <v>7</v>
      </c>
      <c r="GT82" s="23">
        <v>1505</v>
      </c>
      <c r="GU82" s="23">
        <v>119199</v>
      </c>
      <c r="GV82" s="23">
        <v>159</v>
      </c>
      <c r="GW82" s="23">
        <v>10</v>
      </c>
      <c r="GX82" s="23">
        <v>10</v>
      </c>
      <c r="GY82" s="23">
        <v>6131</v>
      </c>
      <c r="GZ82" s="23">
        <v>19606</v>
      </c>
      <c r="HA82" s="23">
        <v>348</v>
      </c>
      <c r="HB82" s="23">
        <v>20</v>
      </c>
      <c r="HC82" s="23">
        <v>1978</v>
      </c>
      <c r="HD82" s="23">
        <v>40</v>
      </c>
      <c r="HE82" s="23">
        <v>98</v>
      </c>
      <c r="HF82" s="23">
        <v>495</v>
      </c>
      <c r="HG82" s="23">
        <v>20921</v>
      </c>
      <c r="HH82" s="23">
        <v>48</v>
      </c>
      <c r="HI82" s="23">
        <v>1072</v>
      </c>
      <c r="HJ82" s="23">
        <v>1264</v>
      </c>
      <c r="HK82" s="23">
        <v>35</v>
      </c>
      <c r="HL82" s="23">
        <v>28</v>
      </c>
      <c r="HM82" s="23">
        <v>232</v>
      </c>
      <c r="HN82" s="23">
        <v>95</v>
      </c>
      <c r="HO82" s="23">
        <v>114</v>
      </c>
      <c r="HP82" s="23">
        <v>6</v>
      </c>
      <c r="HQ82" s="23">
        <v>38168</v>
      </c>
      <c r="HR82" s="23">
        <v>369</v>
      </c>
      <c r="HS82" s="23">
        <v>275367</v>
      </c>
      <c r="HT82" s="23">
        <v>227</v>
      </c>
      <c r="HU82" s="23">
        <v>153</v>
      </c>
      <c r="HV82" s="23">
        <v>237</v>
      </c>
      <c r="HW82" s="23">
        <v>39</v>
      </c>
      <c r="HX82" s="23">
        <v>9</v>
      </c>
      <c r="HY82" s="23">
        <v>0</v>
      </c>
      <c r="HZ82" s="23">
        <v>12</v>
      </c>
      <c r="IA82" s="23">
        <v>12</v>
      </c>
      <c r="IB82" s="23">
        <v>10</v>
      </c>
      <c r="IC82" s="23">
        <v>16</v>
      </c>
      <c r="ID82" s="23">
        <v>1</v>
      </c>
      <c r="IE82" s="23">
        <v>4</v>
      </c>
      <c r="IF82" s="23">
        <v>0</v>
      </c>
      <c r="IG82" s="23">
        <v>10</v>
      </c>
      <c r="IH82" s="23">
        <v>11</v>
      </c>
      <c r="II82" s="23">
        <v>194</v>
      </c>
      <c r="IJ82" s="23">
        <v>15</v>
      </c>
      <c r="IK82" s="23">
        <v>39</v>
      </c>
      <c r="IL82" s="23">
        <v>9</v>
      </c>
      <c r="IM82" s="23">
        <v>2</v>
      </c>
      <c r="IN82" s="23">
        <v>6</v>
      </c>
      <c r="IO82" s="23">
        <v>126</v>
      </c>
      <c r="IP82" s="23">
        <v>20</v>
      </c>
      <c r="IQ82" s="23">
        <v>3</v>
      </c>
      <c r="IR82" s="23">
        <v>3</v>
      </c>
      <c r="IS82" s="23">
        <v>5</v>
      </c>
      <c r="IT82" s="23">
        <v>9</v>
      </c>
      <c r="IU82" s="23">
        <v>4</v>
      </c>
      <c r="IV82" s="23">
        <v>3</v>
      </c>
      <c r="IW82" s="23">
        <v>2</v>
      </c>
      <c r="IX82" s="23">
        <v>2</v>
      </c>
      <c r="IY82" s="23">
        <v>3</v>
      </c>
      <c r="IZ82" s="23">
        <v>0</v>
      </c>
      <c r="JA82" s="23">
        <v>0</v>
      </c>
      <c r="JB82" s="23">
        <v>0</v>
      </c>
      <c r="JC82" s="23">
        <v>0</v>
      </c>
      <c r="JD82" s="23">
        <v>0</v>
      </c>
      <c r="JE82" s="23">
        <v>0</v>
      </c>
      <c r="JF82" s="23">
        <v>0</v>
      </c>
      <c r="JG82" s="23">
        <v>0</v>
      </c>
      <c r="JH82" s="23">
        <v>0</v>
      </c>
      <c r="JI82" s="23">
        <v>84</v>
      </c>
      <c r="JJ82" s="23">
        <v>8</v>
      </c>
      <c r="JK82" s="23">
        <v>316</v>
      </c>
      <c r="JL82" s="23">
        <v>37</v>
      </c>
      <c r="JM82" s="23">
        <v>1495</v>
      </c>
      <c r="JN82" s="23">
        <v>157</v>
      </c>
      <c r="JO82" s="23">
        <v>1769</v>
      </c>
      <c r="JP82" s="23">
        <v>704</v>
      </c>
      <c r="JQ82" s="23">
        <v>12004</v>
      </c>
      <c r="JR82" s="23">
        <v>3742</v>
      </c>
      <c r="JS82" s="23">
        <v>4914</v>
      </c>
      <c r="JT82" s="23">
        <v>450</v>
      </c>
      <c r="JU82" s="23">
        <v>757</v>
      </c>
      <c r="JV82" s="23">
        <v>10268</v>
      </c>
      <c r="JW82" s="23">
        <v>5831</v>
      </c>
      <c r="JX82" s="23">
        <v>319</v>
      </c>
      <c r="JY82" s="23">
        <v>891</v>
      </c>
      <c r="JZ82" s="23">
        <v>8904</v>
      </c>
      <c r="KA82" s="23">
        <v>3437</v>
      </c>
      <c r="KB82" s="23">
        <v>699</v>
      </c>
      <c r="KC82" s="23">
        <v>629</v>
      </c>
      <c r="KD82" s="23">
        <v>770</v>
      </c>
      <c r="KE82" s="23">
        <v>10297</v>
      </c>
      <c r="KF82" s="23">
        <v>432</v>
      </c>
      <c r="KG82" s="23">
        <v>2758</v>
      </c>
      <c r="KH82" s="23">
        <v>10402</v>
      </c>
      <c r="KI82" s="23">
        <v>12744</v>
      </c>
      <c r="KJ82" s="23">
        <v>788</v>
      </c>
      <c r="KK82" s="23">
        <v>1358</v>
      </c>
      <c r="KL82" s="23">
        <v>1864</v>
      </c>
      <c r="KM82" s="23">
        <v>243</v>
      </c>
      <c r="KN82" s="23">
        <v>279</v>
      </c>
      <c r="KO82" s="23">
        <v>1514</v>
      </c>
      <c r="KP82" s="23">
        <v>479</v>
      </c>
      <c r="KQ82" s="23">
        <v>29895</v>
      </c>
      <c r="KR82" s="23">
        <v>490</v>
      </c>
      <c r="KS82" s="23">
        <v>102987</v>
      </c>
      <c r="KT82" s="23">
        <v>2251</v>
      </c>
      <c r="KU82" s="23">
        <v>173</v>
      </c>
      <c r="KV82" s="23">
        <v>3312</v>
      </c>
      <c r="KW82" s="23">
        <v>990</v>
      </c>
      <c r="KX82" s="23">
        <v>899</v>
      </c>
      <c r="KY82" s="23">
        <v>8570</v>
      </c>
      <c r="KZ82" s="23">
        <v>711</v>
      </c>
      <c r="LA82" s="23">
        <v>1700</v>
      </c>
      <c r="LB82" s="23">
        <v>187</v>
      </c>
      <c r="LC82" s="23">
        <v>3067</v>
      </c>
      <c r="LD82" s="23">
        <v>5734</v>
      </c>
      <c r="LE82" s="23">
        <v>1248</v>
      </c>
      <c r="LF82" s="23">
        <v>389</v>
      </c>
      <c r="LG82" s="23">
        <v>2012</v>
      </c>
      <c r="LH82" s="23">
        <v>6846</v>
      </c>
      <c r="LI82" s="23">
        <v>237</v>
      </c>
      <c r="LJ82" s="23">
        <v>2012</v>
      </c>
      <c r="LK82" s="23">
        <v>162</v>
      </c>
      <c r="LL82" s="23">
        <v>49</v>
      </c>
      <c r="LM82" s="23">
        <v>103</v>
      </c>
      <c r="LN82" s="278">
        <f ca="1">$A82 - TST!Sweden100dt + 1</f>
        <v>28</v>
      </c>
      <c r="LO82" s="20">
        <f ca="1">INDEX(OFFSET(TST!HeadRow,ROW()-ROW(TST!HeadRow),0,1,COLUMNS(TST!HeadRow)),1,MATCH(LO$5,TST!HeadRow,0))/LO$8</f>
        <v>5993.1573802541552</v>
      </c>
      <c r="LP82" s="278">
        <f ca="1">$A82 - TST!Spain100dt + 1</f>
        <v>28</v>
      </c>
      <c r="LQ82" s="20">
        <f ca="1">INDEX(OFFSET(TST!HeadRow,ROW()-ROW(TST!HeadRow),0,1,COLUMNS(TST!HeadRow)),1,MATCH(LQ$5,TST!HeadRow,0))/LQ$8</f>
        <v>25393.907115466554</v>
      </c>
      <c r="LR82" s="285">
        <f ca="1">$A82 - TST!Victoria100dt + 1</f>
        <v>19</v>
      </c>
      <c r="LS82" s="20">
        <f ca="1">INDEX(OFFSET(TST!HeadRow,ROW()-ROW(TST!HeadRow),0,1,COLUMNS(TST!HeadRow)),1,MATCH(LS$5,TST!HeadRow,0))/LS$8</f>
        <v>1636.7476240760295</v>
      </c>
      <c r="LT82" s="278">
        <f ca="1">$A82 - TST!Iran100dt + 1</f>
        <v>34</v>
      </c>
      <c r="LU82" s="20">
        <f ca="1">INDEX(OFFSET(TST!HeadRow,ROW()-ROW(TST!HeadRow),0,1,COLUMNS(TST!HeadRow)),1,MATCH(LU$5,TST!HeadRow,0))/LU$8</f>
        <v>6348.4654960428779</v>
      </c>
      <c r="LV82" s="278">
        <f ca="1">$A82 - TST!Japan100dt + 1</f>
        <v>10</v>
      </c>
      <c r="LW82" s="20">
        <f ca="1">INDEX(OFFSET(TST!HeadRow,ROW()-ROW(TST!HeadRow),0,1,COLUMNS(TST!HeadRow)),1,MATCH(LW$5,TST!HeadRow,0))/LW$8</f>
        <v>206.78886500513934</v>
      </c>
      <c r="LX82" s="278">
        <f ca="1">$A82 - TST!Queensland100dt + 1</f>
        <v>20</v>
      </c>
      <c r="LY82" s="20">
        <f ca="1">INDEX(OFFSET(TST!HeadRow,ROW()-ROW(TST!HeadRow),0,1,COLUMNS(TST!HeadRow)),1,MATCH(LY$5,TST!HeadRow,0))/LY$8</f>
        <v>1706.5943941208704</v>
      </c>
      <c r="LZ82" s="278">
        <f ca="1">$A82 - TST!Tasmania100dt + 1</f>
        <v>20</v>
      </c>
      <c r="MA82" s="20">
        <f ca="1">INDEX(OFFSET(TST!HeadRow,ROW()-ROW(TST!HeadRow),0,1,COLUMNS(TST!HeadRow)),1,MATCH(MA$5,TST!HeadRow,0))/MA$8</f>
        <v>1436.8932038834953</v>
      </c>
      <c r="MB82" s="278">
        <f ca="1">$A82 - TST!SouthAustralia100dt + 1</f>
        <v>21</v>
      </c>
      <c r="MC82" s="20">
        <f ca="1">INDEX(OFFSET(TST!HeadRow,ROW()-ROW(TST!HeadRow),0,1,COLUMNS(TST!HeadRow)),1,MATCH(MC$5,TST!HeadRow,0))/MC$8</f>
        <v>2371.2574850299402</v>
      </c>
      <c r="MD82" s="278">
        <f ca="1">$A82 - TST!AustralianCapitalTerritory100dt + 1</f>
        <v>15</v>
      </c>
      <c r="ME82" s="20">
        <f ca="1">INDEX(OFFSET(TST!HeadRow,ROW()-ROW(TST!HeadRow),0,1,COLUMNS(TST!HeadRow)),1,MATCH(ME$5,TST!HeadRow,0))/ME$8</f>
        <v>2125.8702051114333</v>
      </c>
      <c r="MF82" s="278">
        <f ca="1">$A82 - TST!NorthernTerritory100dt + 1</f>
        <v>15</v>
      </c>
      <c r="MG82" s="20">
        <f ca="1">INDEX(OFFSET(TST!HeadRow,ROW()-ROW(TST!HeadRow),0,1,COLUMNS(TST!HeadRow)),1,MATCH(MG$5,TST!HeadRow,0))/MG$8</f>
        <v>1038.0051428436623</v>
      </c>
      <c r="MH82" s="278">
        <f ca="1">$A82 - TST!WesternAustralia100dt + 1</f>
        <v>19</v>
      </c>
      <c r="MI82" s="20">
        <f ca="1">INDEX(OFFSET(TST!HeadRow,ROW()-ROW(TST!HeadRow),0,1,COLUMNS(TST!HeadRow)),1,MATCH(MI$5,TST!HeadRow,0))/MI$8</f>
        <v>1544.9980687524139</v>
      </c>
      <c r="MJ82" s="278">
        <f ca="1">$A82 - TST!Germany100dt + 1</f>
        <v>27</v>
      </c>
      <c r="MK82" s="20">
        <f ca="1">INDEX(OFFSET(TST!HeadRow,ROW()-ROW(TST!HeadRow),0,1,COLUMNS(TST!HeadRow)),1,MATCH(MK$5,TST!HeadRow,0))/MK$8</f>
        <v>10980.366176824862</v>
      </c>
      <c r="ML82" s="278">
        <f ca="1">$A82 - TST!Denmark100dt + 1</f>
        <v>26</v>
      </c>
      <c r="MM82" s="20">
        <f ca="1">INDEX(OFFSET(TST!HeadRow,ROW()-ROW(TST!HeadRow),0,1,COLUMNS(TST!HeadRow)),1,MATCH(MM$5,TST!HeadRow,0))/MM$8</f>
        <v>6470.8921805029277</v>
      </c>
      <c r="MN82" s="278">
        <f ca="1">$A82 - TST!SouthAfrica100dt + 1</f>
        <v>10</v>
      </c>
      <c r="MO82" s="20">
        <f ca="1">INDEX(OFFSET(TST!HeadRow,ROW()-ROW(TST!HeadRow),0,1,COLUMNS(TST!HeadRow)),1,MATCH(MO$5,TST!HeadRow,0))/MO$8</f>
        <v>260.47075112495673</v>
      </c>
      <c r="MP82" s="278">
        <f ca="1">$A82 - TST!UnitedKingdom100dt + 1</f>
        <v>22</v>
      </c>
      <c r="MQ82" s="20">
        <f ca="1">INDEX(OFFSET(TST!HeadRow,ROW()-ROW(TST!HeadRow),0,1,COLUMNS(TST!HeadRow)),1,MATCH(MQ$5,TST!HeadRow,0))/MQ$8</f>
        <v>5744.7320891029503</v>
      </c>
      <c r="MR82" s="278">
        <f ca="1">$A82 - TST!Ireland100dt + 1</f>
        <v>22</v>
      </c>
      <c r="MS82" s="20">
        <f ca="1">INDEX(OFFSET(TST!HeadRow,ROW()-ROW(TST!HeadRow),0,1,COLUMNS(TST!HeadRow)),1,MATCH(MS$5,TST!HeadRow,0))/MS$8</f>
        <v>8720.4081632653069</v>
      </c>
      <c r="MT82" s="278">
        <f ca="1">$A82 - TST!Italy100dt + 1</f>
        <v>37</v>
      </c>
      <c r="MU82" s="20">
        <f ca="1">INDEX(OFFSET(TST!HeadRow,ROW()-ROW(TST!HeadRow),0,1,COLUMNS(TST!HeadRow)),1,MATCH(MU$5,TST!HeadRow,0))/MU$8</f>
        <v>19811.027527486156</v>
      </c>
      <c r="MV82" s="278">
        <f ca="1">$A82 - TST!US100dt + 1</f>
        <v>20</v>
      </c>
      <c r="MW82" s="20">
        <f ca="1">INDEX(OFFSET(TST!HeadRow,ROW()-ROW(TST!HeadRow),0,1,COLUMNS(TST!HeadRow)),1,MATCH(MW$5,TST!HeadRow,0))/MW$8</f>
        <v>8364.0277390229439</v>
      </c>
      <c r="MX82" s="278">
        <f ca="1">$A82 - TST!AustraliaSum100dt + 1</f>
        <v>20</v>
      </c>
      <c r="MY82" s="366">
        <f t="shared" si="9"/>
        <v>2101.403564106608</v>
      </c>
      <c r="MZ82" s="278">
        <f ca="1">$A82 - TST!NewSouthWales100dt + 1</f>
        <v>22</v>
      </c>
      <c r="NA82" s="366">
        <f ca="1">INDEX(OFFSET(TST!HeadRow,ROW()-ROW(TST!HeadRow),0,1,COLUMNS(TST!HeadRow)),1,MATCH(NA$5,TST!HeadRow,0))/NA$8</f>
        <v>2956.6831683168316</v>
      </c>
      <c r="NB82" s="278">
        <f ca="1">$A82 - TST!Taiwan100dt + 1</f>
        <v>9</v>
      </c>
      <c r="NC82" s="366">
        <f ca="1">INDEX(OFFSET(TST!HeadRow,ROW()-ROW(TST!HeadRow),0,1,COLUMNS(TST!HeadRow)),1,MATCH(NC$5,TST!HeadRow,0))/NC$8</f>
        <v>146.1737631368419</v>
      </c>
      <c r="ND82" s="20">
        <f ca="1">$A82 - TST!Hubei100dt + 1</f>
        <v>70</v>
      </c>
      <c r="NE82" s="20">
        <f ca="1">INDEX(OFFSET(TST!HeadRow,ROW()-ROW(TST!HeadRow),0,1,COLUMNS(TST!HeadRow)),1,MATCH(NE$5,TST!HeadRow,0))/NE$8</f>
        <v>11590.085470085471</v>
      </c>
      <c r="NF82" s="20">
        <f ca="1">$A82 - TST!HongKong100dt + 1</f>
        <v>40</v>
      </c>
      <c r="NG82" s="20">
        <f ca="1">INDEX(OFFSET(TST!HeadRow,ROW()-ROW(TST!HeadRow),0,1,COLUMNS(TST!HeadRow)),1,MATCH(NG$5,TST!HeadRow,0))/NG$8</f>
        <v>1134.0759629579923</v>
      </c>
    </row>
    <row r="83" spans="1:371" x14ac:dyDescent="0.25">
      <c r="A83" s="243">
        <v>43925</v>
      </c>
      <c r="B83" s="23">
        <v>299</v>
      </c>
      <c r="C83" s="23">
        <v>333</v>
      </c>
      <c r="D83" s="23">
        <v>1251</v>
      </c>
      <c r="E83" s="23">
        <v>466</v>
      </c>
      <c r="F83" s="23">
        <v>10</v>
      </c>
      <c r="G83" s="23">
        <v>15</v>
      </c>
      <c r="H83" s="23">
        <v>1451</v>
      </c>
      <c r="I83" s="23">
        <v>770</v>
      </c>
      <c r="J83" s="23">
        <v>93</v>
      </c>
      <c r="K83" s="293">
        <v>2493</v>
      </c>
      <c r="L83" s="23">
        <v>26</v>
      </c>
      <c r="M83" s="290">
        <v>900</v>
      </c>
      <c r="N83" s="23">
        <v>407</v>
      </c>
      <c r="O83" s="384">
        <v>80</v>
      </c>
      <c r="P83" s="287">
        <v>1115</v>
      </c>
      <c r="Q83" s="23">
        <v>436</v>
      </c>
      <c r="R83" s="23">
        <v>11781</v>
      </c>
      <c r="S83" s="23">
        <v>521</v>
      </c>
      <c r="T83" s="23">
        <v>28</v>
      </c>
      <c r="U83" s="23">
        <v>688</v>
      </c>
      <c r="V83" s="23">
        <v>70</v>
      </c>
      <c r="W83" s="23">
        <v>52</v>
      </c>
      <c r="X83" s="23">
        <v>440</v>
      </c>
      <c r="Y83" s="23">
        <v>18431</v>
      </c>
      <c r="Z83" s="23">
        <v>16</v>
      </c>
      <c r="AA83" s="23">
        <v>5</v>
      </c>
      <c r="AB83" s="23">
        <v>139</v>
      </c>
      <c r="AC83" s="23">
        <v>624</v>
      </c>
      <c r="AD83" s="23">
        <v>10360</v>
      </c>
      <c r="AE83" s="23">
        <v>135</v>
      </c>
      <c r="AF83" s="23">
        <v>503</v>
      </c>
      <c r="AG83" s="23">
        <v>318</v>
      </c>
      <c r="AH83" s="23">
        <v>7</v>
      </c>
      <c r="AI83" s="23">
        <v>114</v>
      </c>
      <c r="AJ83" s="23">
        <v>555</v>
      </c>
      <c r="AK83" s="23">
        <v>1075</v>
      </c>
      <c r="AL83" s="23">
        <v>1203</v>
      </c>
      <c r="AM83" s="23">
        <v>13</v>
      </c>
      <c r="AN83" s="23">
        <v>182</v>
      </c>
      <c r="AO83" s="23">
        <v>91</v>
      </c>
      <c r="AP83" s="23">
        <v>195</v>
      </c>
      <c r="AQ83" s="23">
        <v>236</v>
      </c>
      <c r="AR83" s="23">
        <v>3630</v>
      </c>
      <c r="AS83" s="23">
        <v>22</v>
      </c>
      <c r="AT83" s="23">
        <v>6101</v>
      </c>
      <c r="AU83" s="23">
        <v>220</v>
      </c>
      <c r="AV83" s="23">
        <v>8</v>
      </c>
      <c r="AW83" s="23">
        <v>9</v>
      </c>
      <c r="AX83" s="23">
        <v>4161</v>
      </c>
      <c r="AY83" s="23">
        <v>990</v>
      </c>
      <c r="AZ83" s="23">
        <v>585</v>
      </c>
      <c r="BA83" s="23">
        <v>579</v>
      </c>
      <c r="BB83" s="23">
        <v>350</v>
      </c>
      <c r="BC83" s="23">
        <v>138</v>
      </c>
      <c r="BD83" s="23">
        <v>1516</v>
      </c>
      <c r="BE83" s="23">
        <v>254</v>
      </c>
      <c r="BF83" s="23">
        <v>146</v>
      </c>
      <c r="BG83" s="23">
        <v>168</v>
      </c>
      <c r="BH83" s="23">
        <v>326</v>
      </c>
      <c r="BI83" s="23">
        <v>491</v>
      </c>
      <c r="BJ83" s="23">
        <v>1276</v>
      </c>
      <c r="BK83" s="23">
        <v>862</v>
      </c>
      <c r="BL83" s="23">
        <v>67803</v>
      </c>
      <c r="BM83" s="23">
        <v>1019</v>
      </c>
      <c r="BN83" s="23">
        <v>117</v>
      </c>
      <c r="BO83" s="23">
        <v>651</v>
      </c>
      <c r="BP83" s="23">
        <v>937</v>
      </c>
      <c r="BQ83" s="23">
        <v>98</v>
      </c>
      <c r="BR83" s="23">
        <v>141</v>
      </c>
      <c r="BS83" s="23">
        <v>43</v>
      </c>
      <c r="BT83" s="23">
        <v>75</v>
      </c>
      <c r="BU83" s="23">
        <v>18</v>
      </c>
      <c r="BV83" s="23">
        <v>256</v>
      </c>
      <c r="BW83" s="23">
        <v>778</v>
      </c>
      <c r="BX83" s="23">
        <v>529</v>
      </c>
      <c r="BY83" s="23">
        <v>137</v>
      </c>
      <c r="BZ83" s="23">
        <v>557</v>
      </c>
      <c r="CA83" s="23">
        <v>180</v>
      </c>
      <c r="CB83" s="23">
        <v>1</v>
      </c>
      <c r="CC83" s="23">
        <v>76</v>
      </c>
      <c r="CD83" s="23">
        <v>184</v>
      </c>
      <c r="CE83" s="23">
        <v>1262</v>
      </c>
      <c r="CF83" s="23">
        <v>1406</v>
      </c>
      <c r="CG83" s="23">
        <v>22</v>
      </c>
      <c r="CH83" s="23">
        <v>154</v>
      </c>
      <c r="CI83" s="23">
        <v>435</v>
      </c>
      <c r="CJ83" s="23">
        <v>245</v>
      </c>
      <c r="CK83" s="23">
        <v>1126</v>
      </c>
      <c r="CL83" s="23">
        <v>712</v>
      </c>
      <c r="CM83" s="23">
        <v>288</v>
      </c>
      <c r="CN83" s="23">
        <v>426</v>
      </c>
      <c r="CO83" s="23">
        <v>4472</v>
      </c>
      <c r="CP83" s="23">
        <v>181</v>
      </c>
      <c r="CQ83" s="23">
        <v>11</v>
      </c>
      <c r="CR83" s="23">
        <v>4077</v>
      </c>
      <c r="CS83" s="23">
        <v>50</v>
      </c>
      <c r="CT83" s="23">
        <v>1488</v>
      </c>
      <c r="CU83" s="23">
        <v>3465</v>
      </c>
      <c r="CV83" s="23">
        <v>1070</v>
      </c>
      <c r="CW83" s="23">
        <v>56</v>
      </c>
      <c r="CX83" s="23">
        <v>16</v>
      </c>
      <c r="CY83" s="23">
        <v>29</v>
      </c>
      <c r="CZ83" s="23">
        <v>1039</v>
      </c>
      <c r="DA83" s="23">
        <v>9</v>
      </c>
      <c r="DB83" s="23">
        <v>38</v>
      </c>
      <c r="DC83" s="23">
        <v>12</v>
      </c>
      <c r="DD83" s="23">
        <v>1882</v>
      </c>
      <c r="DE83" s="23">
        <v>61</v>
      </c>
      <c r="DF83" s="23">
        <v>40</v>
      </c>
      <c r="DG83" s="23">
        <v>134</v>
      </c>
      <c r="DH83" s="23">
        <v>134</v>
      </c>
      <c r="DI83" s="23">
        <v>17</v>
      </c>
      <c r="DJ83" s="23">
        <v>334</v>
      </c>
      <c r="DK83" s="23">
        <v>6</v>
      </c>
      <c r="DL83" s="23">
        <v>24</v>
      </c>
      <c r="DM83" s="23">
        <v>145</v>
      </c>
      <c r="DN83" s="23">
        <v>68605</v>
      </c>
      <c r="DO83" s="23">
        <v>21</v>
      </c>
      <c r="DP83" s="23">
        <v>4</v>
      </c>
      <c r="DQ83" s="23">
        <v>162</v>
      </c>
      <c r="DR83" s="23">
        <v>96092</v>
      </c>
      <c r="DS83" s="23">
        <v>205</v>
      </c>
      <c r="DT83" s="23">
        <v>1673</v>
      </c>
      <c r="DU83" s="23">
        <v>61</v>
      </c>
      <c r="DV83" s="23">
        <v>111</v>
      </c>
      <c r="DW83" s="23">
        <v>23</v>
      </c>
      <c r="DX83" s="23">
        <v>20</v>
      </c>
      <c r="DY83" s="23">
        <v>7</v>
      </c>
      <c r="DZ83" s="23">
        <v>264</v>
      </c>
      <c r="EA83" s="23">
        <v>678</v>
      </c>
      <c r="EB83" s="23">
        <v>1417</v>
      </c>
      <c r="EC83" s="23">
        <v>3082</v>
      </c>
      <c r="ED83" s="23">
        <v>2092</v>
      </c>
      <c r="EE83" s="23">
        <v>55743</v>
      </c>
      <c r="EF83" s="23">
        <v>878</v>
      </c>
      <c r="EG83" s="23">
        <v>4604</v>
      </c>
      <c r="EH83" s="23">
        <v>7851</v>
      </c>
      <c r="EI83" s="23">
        <v>124632</v>
      </c>
      <c r="EJ83" s="23">
        <v>53</v>
      </c>
      <c r="EK83" s="23">
        <v>3139</v>
      </c>
      <c r="EL83" s="23">
        <v>323</v>
      </c>
      <c r="EM83" s="23">
        <v>531</v>
      </c>
      <c r="EN83" s="23">
        <v>126</v>
      </c>
      <c r="EO83" s="23">
        <v>10156</v>
      </c>
      <c r="EP83" s="23">
        <v>479</v>
      </c>
      <c r="EQ83" s="23">
        <v>144</v>
      </c>
      <c r="ER83" s="23">
        <v>509</v>
      </c>
      <c r="ES83" s="23">
        <v>520</v>
      </c>
      <c r="ET83" s="23">
        <v>10</v>
      </c>
      <c r="EU83" s="23">
        <v>77</v>
      </c>
      <c r="EV83" s="23">
        <v>771</v>
      </c>
      <c r="EW83" s="23">
        <v>2729</v>
      </c>
      <c r="EX83" s="23">
        <v>70</v>
      </c>
      <c r="EY83" s="23">
        <v>3483</v>
      </c>
      <c r="EZ83" s="23">
        <v>19</v>
      </c>
      <c r="FA83" s="23">
        <v>213</v>
      </c>
      <c r="FB83" s="23">
        <v>6</v>
      </c>
      <c r="FC83" s="23">
        <v>196</v>
      </c>
      <c r="FD83" s="23">
        <v>1890</v>
      </c>
      <c r="FE83" s="23">
        <v>752</v>
      </c>
      <c r="FF83" s="23">
        <v>66</v>
      </c>
      <c r="FG83" s="23">
        <v>14</v>
      </c>
      <c r="FH83" s="23">
        <v>201</v>
      </c>
      <c r="FI83" s="23">
        <v>919</v>
      </c>
      <c r="FJ83" s="23">
        <v>14</v>
      </c>
      <c r="FK83" s="23">
        <v>9</v>
      </c>
      <c r="FL83" s="23">
        <v>64</v>
      </c>
      <c r="FM83" s="23">
        <v>11</v>
      </c>
      <c r="FN83" s="23">
        <v>23</v>
      </c>
      <c r="FO83" s="23">
        <v>16627</v>
      </c>
      <c r="FP83" s="23">
        <v>950</v>
      </c>
      <c r="FQ83" s="23">
        <v>5</v>
      </c>
      <c r="FR83" s="23">
        <v>144</v>
      </c>
      <c r="FS83" s="23">
        <v>214</v>
      </c>
      <c r="FT83" s="23">
        <v>483</v>
      </c>
      <c r="FU83" s="23">
        <v>5550</v>
      </c>
      <c r="FV83" s="23">
        <v>277</v>
      </c>
      <c r="FW83" s="23">
        <v>2818</v>
      </c>
      <c r="FX83" s="23">
        <v>1673</v>
      </c>
      <c r="FY83" s="23">
        <v>1</v>
      </c>
      <c r="FZ83" s="23">
        <v>96</v>
      </c>
      <c r="GA83" s="23">
        <v>1746</v>
      </c>
      <c r="GB83" s="23">
        <v>3094</v>
      </c>
      <c r="GC83" s="23">
        <v>3627</v>
      </c>
      <c r="GD83" s="23">
        <v>10524</v>
      </c>
      <c r="GE83" s="23">
        <v>1325</v>
      </c>
      <c r="GF83" s="23">
        <v>3613</v>
      </c>
      <c r="GG83" s="23">
        <v>4731</v>
      </c>
      <c r="GH83" s="23">
        <v>102</v>
      </c>
      <c r="GI83" s="23">
        <v>14</v>
      </c>
      <c r="GJ83" s="23">
        <v>7</v>
      </c>
      <c r="GK83" s="23">
        <v>259</v>
      </c>
      <c r="GL83" s="23">
        <v>2179</v>
      </c>
      <c r="GM83" s="23">
        <v>219</v>
      </c>
      <c r="GN83" s="23">
        <v>1624</v>
      </c>
      <c r="GO83" s="23">
        <v>10</v>
      </c>
      <c r="GP83" s="23">
        <v>1189</v>
      </c>
      <c r="GQ83" s="23">
        <v>471</v>
      </c>
      <c r="GR83" s="23">
        <v>977</v>
      </c>
      <c r="GS83" s="23">
        <v>7</v>
      </c>
      <c r="GT83" s="23">
        <v>1585</v>
      </c>
      <c r="GU83" s="23">
        <v>126168</v>
      </c>
      <c r="GV83" s="23">
        <v>166</v>
      </c>
      <c r="GW83" s="23">
        <v>10</v>
      </c>
      <c r="GX83" s="23">
        <v>10</v>
      </c>
      <c r="GY83" s="23">
        <v>6443</v>
      </c>
      <c r="GZ83" s="23">
        <v>20505</v>
      </c>
      <c r="HA83" s="23">
        <v>355</v>
      </c>
      <c r="HB83" s="23">
        <v>20</v>
      </c>
      <c r="HC83" s="23">
        <v>2067</v>
      </c>
      <c r="HD83" s="23">
        <v>41</v>
      </c>
      <c r="HE83" s="23">
        <v>103</v>
      </c>
      <c r="HF83" s="23">
        <v>553</v>
      </c>
      <c r="HG83" s="23">
        <v>23934</v>
      </c>
      <c r="HH83" s="23">
        <v>48</v>
      </c>
      <c r="HI83" s="23">
        <v>1225</v>
      </c>
      <c r="HJ83" s="23">
        <v>1505</v>
      </c>
      <c r="HK83" s="23">
        <v>35</v>
      </c>
      <c r="HL83" s="23">
        <v>35</v>
      </c>
      <c r="HM83" s="23">
        <v>262</v>
      </c>
      <c r="HN83" s="23">
        <v>98</v>
      </c>
      <c r="HO83" s="23">
        <v>126</v>
      </c>
      <c r="HP83" s="23">
        <v>6</v>
      </c>
      <c r="HQ83" s="23">
        <v>41903</v>
      </c>
      <c r="HR83" s="23">
        <v>400</v>
      </c>
      <c r="HS83" s="23">
        <v>308650</v>
      </c>
      <c r="HT83" s="23">
        <v>266</v>
      </c>
      <c r="HU83" s="23">
        <v>155</v>
      </c>
      <c r="HV83" s="23">
        <v>240</v>
      </c>
      <c r="HW83" s="23">
        <v>39</v>
      </c>
      <c r="HX83" s="23">
        <v>9</v>
      </c>
      <c r="HY83" s="23">
        <v>0</v>
      </c>
      <c r="HZ83" s="23">
        <v>14</v>
      </c>
      <c r="IA83" s="23">
        <v>12</v>
      </c>
      <c r="IB83" s="23">
        <v>10</v>
      </c>
      <c r="IC83" s="23">
        <v>16</v>
      </c>
      <c r="ID83" s="23">
        <v>1</v>
      </c>
      <c r="IE83" s="23">
        <v>4</v>
      </c>
      <c r="IF83" s="23">
        <v>0</v>
      </c>
      <c r="IG83" s="23">
        <v>10</v>
      </c>
      <c r="IH83" s="23">
        <v>18</v>
      </c>
      <c r="II83" s="23">
        <v>217</v>
      </c>
      <c r="IJ83" s="23">
        <v>18</v>
      </c>
      <c r="IK83" s="23">
        <v>41</v>
      </c>
      <c r="IL83" s="23">
        <v>9</v>
      </c>
      <c r="IM83" s="23">
        <v>4</v>
      </c>
      <c r="IN83" s="23">
        <v>6</v>
      </c>
      <c r="IO83" s="23">
        <v>135</v>
      </c>
      <c r="IP83" s="23">
        <v>21</v>
      </c>
      <c r="IQ83" s="23">
        <v>3</v>
      </c>
      <c r="IR83" s="23">
        <v>3</v>
      </c>
      <c r="IS83" s="23">
        <v>5</v>
      </c>
      <c r="IT83" s="23">
        <v>9</v>
      </c>
      <c r="IU83" s="23">
        <v>4</v>
      </c>
      <c r="IV83" s="23">
        <v>3</v>
      </c>
      <c r="IW83" s="23">
        <v>4</v>
      </c>
      <c r="IX83" s="23">
        <v>2</v>
      </c>
      <c r="IY83" s="23">
        <v>4</v>
      </c>
      <c r="IZ83" s="23">
        <v>1</v>
      </c>
      <c r="JA83" s="23">
        <v>0</v>
      </c>
      <c r="JB83" s="23">
        <v>0</v>
      </c>
      <c r="JC83" s="23">
        <v>0</v>
      </c>
      <c r="JD83" s="23">
        <v>0</v>
      </c>
      <c r="JE83" s="23">
        <v>0</v>
      </c>
      <c r="JF83" s="23">
        <v>0</v>
      </c>
      <c r="JG83" s="23">
        <v>0</v>
      </c>
      <c r="JH83" s="23">
        <v>0</v>
      </c>
      <c r="JI83" s="23">
        <v>93</v>
      </c>
      <c r="JJ83" s="23">
        <v>8</v>
      </c>
      <c r="JK83" s="23">
        <v>452</v>
      </c>
      <c r="JL83" s="23">
        <v>40</v>
      </c>
      <c r="JM83" s="23">
        <v>1614</v>
      </c>
      <c r="JN83" s="23">
        <v>171</v>
      </c>
      <c r="JO83" s="23">
        <v>2019</v>
      </c>
      <c r="JP83" s="23">
        <v>743</v>
      </c>
      <c r="JQ83" s="23">
        <v>12837</v>
      </c>
      <c r="JR83" s="23">
        <v>4188</v>
      </c>
      <c r="JS83" s="23">
        <v>5276</v>
      </c>
      <c r="JT83" s="23">
        <v>593</v>
      </c>
      <c r="JU83" s="23">
        <v>902</v>
      </c>
      <c r="JV83" s="23">
        <v>11537</v>
      </c>
      <c r="JW83" s="23">
        <v>6160</v>
      </c>
      <c r="JX83" s="23">
        <v>351</v>
      </c>
      <c r="JY83" s="23">
        <v>1022</v>
      </c>
      <c r="JZ83" s="23">
        <v>10357</v>
      </c>
      <c r="KA83" s="23">
        <v>3953</v>
      </c>
      <c r="KB83" s="23">
        <v>787</v>
      </c>
      <c r="KC83" s="23">
        <v>698</v>
      </c>
      <c r="KD83" s="23">
        <v>917</v>
      </c>
      <c r="KE83" s="23">
        <v>12496</v>
      </c>
      <c r="KF83" s="23">
        <v>456</v>
      </c>
      <c r="KG83" s="23">
        <v>3125</v>
      </c>
      <c r="KH83" s="23">
        <v>11736</v>
      </c>
      <c r="KI83" s="23">
        <v>14225</v>
      </c>
      <c r="KJ83" s="23">
        <v>865</v>
      </c>
      <c r="KK83" s="23">
        <v>1455</v>
      </c>
      <c r="KL83" s="23">
        <v>2310</v>
      </c>
      <c r="KM83" s="23">
        <v>265</v>
      </c>
      <c r="KN83" s="23">
        <v>321</v>
      </c>
      <c r="KO83" s="23">
        <v>1742</v>
      </c>
      <c r="KP83" s="23">
        <v>540</v>
      </c>
      <c r="KQ83" s="23">
        <v>34124</v>
      </c>
      <c r="KR83" s="23">
        <v>506</v>
      </c>
      <c r="KS83" s="23">
        <v>113833</v>
      </c>
      <c r="KT83" s="23">
        <v>2486</v>
      </c>
      <c r="KU83" s="23">
        <v>186</v>
      </c>
      <c r="KV83" s="23">
        <v>3739</v>
      </c>
      <c r="KW83" s="23">
        <v>1161</v>
      </c>
      <c r="KX83" s="23">
        <v>899</v>
      </c>
      <c r="KY83" s="23">
        <v>10444</v>
      </c>
      <c r="KZ83" s="23">
        <v>806</v>
      </c>
      <c r="LA83" s="23">
        <v>1917</v>
      </c>
      <c r="LB83" s="23">
        <v>212</v>
      </c>
      <c r="LC83" s="23">
        <v>3322</v>
      </c>
      <c r="LD83" s="23">
        <v>6567</v>
      </c>
      <c r="LE83" s="23">
        <v>1428</v>
      </c>
      <c r="LF83" s="23">
        <v>461</v>
      </c>
      <c r="LG83" s="23">
        <v>2407</v>
      </c>
      <c r="LH83" s="23">
        <v>7247</v>
      </c>
      <c r="LI83" s="23">
        <v>282</v>
      </c>
      <c r="LJ83" s="23">
        <v>2030</v>
      </c>
      <c r="LK83" s="23">
        <v>187</v>
      </c>
      <c r="LL83" s="23">
        <v>49</v>
      </c>
      <c r="LM83" s="23">
        <v>103</v>
      </c>
      <c r="LN83" s="278">
        <f ca="1">$A83 - TST!Sweden100dt + 1</f>
        <v>29</v>
      </c>
      <c r="LO83" s="20">
        <f ca="1">INDEX(OFFSET(TST!HeadRow,ROW()-ROW(TST!HeadRow),0,1,COLUMNS(TST!HeadRow)),1,MATCH(LO$5,TST!HeadRow,0))/LO$8</f>
        <v>6298.142717497557</v>
      </c>
      <c r="LP83" s="278">
        <f ca="1">$A83 - TST!Spain100dt + 1</f>
        <v>29</v>
      </c>
      <c r="LQ83" s="20">
        <f ca="1">INDEX(OFFSET(TST!HeadRow,ROW()-ROW(TST!HeadRow),0,1,COLUMNS(TST!HeadRow)),1,MATCH(LQ$5,TST!HeadRow,0))/LQ$8</f>
        <v>26878.568385172563</v>
      </c>
      <c r="LR83" s="285">
        <f ca="1">$A83 - TST!Victoria100dt + 1</f>
        <v>20</v>
      </c>
      <c r="LS83" s="20">
        <f ca="1">INDEX(OFFSET(TST!HeadRow,ROW()-ROW(TST!HeadRow),0,1,COLUMNS(TST!HeadRow)),1,MATCH(LS$5,TST!HeadRow,0))/LS$8</f>
        <v>1682.0033187509428</v>
      </c>
      <c r="LT83" s="278">
        <f ca="1">$A83 - TST!Iran100dt + 1</f>
        <v>35</v>
      </c>
      <c r="LU83" s="20">
        <f ca="1">INDEX(OFFSET(TST!HeadRow,ROW()-ROW(TST!HeadRow),0,1,COLUMNS(TST!HeadRow)),1,MATCH(LU$5,TST!HeadRow,0))/LU$8</f>
        <v>6654.0532152364131</v>
      </c>
      <c r="LV83" s="278">
        <f ca="1">$A83 - TST!Japan100dt + 1</f>
        <v>11</v>
      </c>
      <c r="LW83" s="20">
        <f ca="1">INDEX(OFFSET(TST!HeadRow,ROW()-ROW(TST!HeadRow),0,1,COLUMNS(TST!HeadRow)),1,MATCH(LW$5,TST!HeadRow,0))/LW$8</f>
        <v>248.03601347005443</v>
      </c>
      <c r="LX83" s="278">
        <f ca="1">$A83 - TST!Queensland100dt + 1</f>
        <v>21</v>
      </c>
      <c r="LY83" s="20">
        <f ca="1">INDEX(OFFSET(TST!HeadRow,ROW()-ROW(TST!HeadRow),0,1,COLUMNS(TST!HeadRow)),1,MATCH(LY$5,TST!HeadRow,0))/LY$8</f>
        <v>1759.3756640421343</v>
      </c>
      <c r="LZ83" s="278">
        <f ca="1">$A83 - TST!Tasmania100dt + 1</f>
        <v>21</v>
      </c>
      <c r="MA83" s="20">
        <f ca="1">INDEX(OFFSET(TST!HeadRow,ROW()-ROW(TST!HeadRow),0,1,COLUMNS(TST!HeadRow)),1,MATCH(MA$5,TST!HeadRow,0))/MA$8</f>
        <v>1553.3980582524273</v>
      </c>
      <c r="MB83" s="278">
        <f ca="1">$A83 - TST!SouthAustralia100dt + 1</f>
        <v>22</v>
      </c>
      <c r="MC83" s="20">
        <f ca="1">INDEX(OFFSET(TST!HeadRow,ROW()-ROW(TST!HeadRow),0,1,COLUMNS(TST!HeadRow)),1,MATCH(MC$5,TST!HeadRow,0))/MC$8</f>
        <v>2437.1257485029937</v>
      </c>
      <c r="MD83" s="278">
        <f ca="1">$A83 - TST!AustralianCapitalTerritory100dt + 1</f>
        <v>16</v>
      </c>
      <c r="ME83" s="20">
        <f ca="1">INDEX(OFFSET(TST!HeadRow,ROW()-ROW(TST!HeadRow),0,1,COLUMNS(TST!HeadRow)),1,MATCH(ME$5,TST!HeadRow,0))/ME$8</f>
        <v>2172.5926272017941</v>
      </c>
      <c r="MF83" s="278">
        <f ca="1">$A83 - TST!NorthernTerritory100dt + 1</f>
        <v>16</v>
      </c>
      <c r="MG83" s="20">
        <f ca="1">INDEX(OFFSET(TST!HeadRow,ROW()-ROW(TST!HeadRow),0,1,COLUMNS(TST!HeadRow)),1,MATCH(MG$5,TST!HeadRow,0))/MG$8</f>
        <v>1226.7333506334189</v>
      </c>
      <c r="MH83" s="278">
        <f ca="1">$A83 - TST!WesternAustralia100dt + 1</f>
        <v>20</v>
      </c>
      <c r="MI83" s="20">
        <f ca="1">INDEX(OFFSET(TST!HeadRow,ROW()-ROW(TST!HeadRow),0,1,COLUMNS(TST!HeadRow)),1,MATCH(MI$5,TST!HeadRow,0))/MI$8</f>
        <v>1684.0478949401313</v>
      </c>
      <c r="MJ83" s="278">
        <f ca="1">$A83 - TST!Germany100dt + 1</f>
        <v>28</v>
      </c>
      <c r="MK83" s="20">
        <f ca="1">INDEX(OFFSET(TST!HeadRow,ROW()-ROW(TST!HeadRow),0,1,COLUMNS(TST!HeadRow)),1,MATCH(MK$5,TST!HeadRow,0))/MK$8</f>
        <v>11574.560346904362</v>
      </c>
      <c r="ML83" s="278">
        <f ca="1">$A83 - TST!Denmark100dt + 1</f>
        <v>27</v>
      </c>
      <c r="MM83" s="20">
        <f ca="1">INDEX(OFFSET(TST!HeadRow,ROW()-ROW(TST!HeadRow),0,1,COLUMNS(TST!HeadRow)),1,MATCH(MM$5,TST!HeadRow,0))/MM$8</f>
        <v>7022.0461591457115</v>
      </c>
      <c r="MN83" s="278">
        <f ca="1">$A83 - TST!SouthAfrica100dt + 1</f>
        <v>11</v>
      </c>
      <c r="MO83" s="20">
        <f ca="1">INDEX(OFFSET(TST!HeadRow,ROW()-ROW(TST!HeadRow),0,1,COLUMNS(TST!HeadRow)),1,MATCH(MO$5,TST!HeadRow,0))/MO$8</f>
        <v>274.31637244721361</v>
      </c>
      <c r="MP83" s="278">
        <f ca="1">$A83 - TST!UnitedKingdom100dt + 1</f>
        <v>23</v>
      </c>
      <c r="MQ83" s="20">
        <f ca="1">INDEX(OFFSET(TST!HeadRow,ROW()-ROW(TST!HeadRow),0,1,COLUMNS(TST!HeadRow)),1,MATCH(MQ$5,TST!HeadRow,0))/MQ$8</f>
        <v>6306.8934376881398</v>
      </c>
      <c r="MR83" s="278">
        <f ca="1">$A83 - TST!Ireland100dt + 1</f>
        <v>23</v>
      </c>
      <c r="MS83" s="20">
        <f ca="1">INDEX(OFFSET(TST!HeadRow,ROW()-ROW(TST!HeadRow),0,1,COLUMNS(TST!HeadRow)),1,MATCH(MS$5,TST!HeadRow,0))/MS$8</f>
        <v>9395.9183673469397</v>
      </c>
      <c r="MT83" s="278">
        <f ca="1">$A83 - TST!Italy100dt + 1</f>
        <v>38</v>
      </c>
      <c r="MU83" s="20">
        <f ca="1">INDEX(OFFSET(TST!HeadRow,ROW()-ROW(TST!HeadRow),0,1,COLUMNS(TST!HeadRow)),1,MATCH(MU$5,TST!HeadRow,0))/MU$8</f>
        <v>20605.439365131853</v>
      </c>
      <c r="MV83" s="278">
        <f ca="1">$A83 - TST!US100dt + 1</f>
        <v>21</v>
      </c>
      <c r="MW83" s="20">
        <f ca="1">INDEX(OFFSET(TST!HeadRow,ROW()-ROW(TST!HeadRow),0,1,COLUMNS(TST!HeadRow)),1,MATCH(MW$5,TST!HeadRow,0))/MW$8</f>
        <v>9374.9692651967434</v>
      </c>
      <c r="MX83" s="278">
        <f ca="1">$A83 - TST!AustraliaSum100dt + 1</f>
        <v>21</v>
      </c>
      <c r="MY83" s="366">
        <f t="shared" si="9"/>
        <v>2188.1406718183252</v>
      </c>
      <c r="MZ83" s="278">
        <f ca="1">$A83 - TST!NewSouthWales100dt + 1</f>
        <v>23</v>
      </c>
      <c r="NA83" s="366">
        <f ca="1">INDEX(OFFSET(TST!HeadRow,ROW()-ROW(TST!HeadRow),0,1,COLUMNS(TST!HeadRow)),1,MATCH(NA$5,TST!HeadRow,0))/NA$8</f>
        <v>3085.3960396039602</v>
      </c>
      <c r="NB83" s="278">
        <f ca="1">$A83 - TST!Taiwan100dt + 1</f>
        <v>10</v>
      </c>
      <c r="NC83" s="366">
        <f ca="1">INDEX(OFFSET(TST!HeadRow,ROW()-ROW(TST!HeadRow),0,1,COLUMNS(TST!HeadRow)),1,MATCH(NC$5,TST!HeadRow,0))/NC$8</f>
        <v>149.1140399815485</v>
      </c>
      <c r="ND83" s="20">
        <f ca="1">$A83 - TST!Hubei100dt + 1</f>
        <v>71</v>
      </c>
      <c r="NE83" s="20">
        <f ca="1">INDEX(OFFSET(TST!HeadRow,ROW()-ROW(TST!HeadRow),0,1,COLUMNS(TST!HeadRow)),1,MATCH(NE$5,TST!HeadRow,0))/NE$8</f>
        <v>11590.25641025641</v>
      </c>
      <c r="NF83" s="20">
        <f ca="1">$A83 - TST!HongKong100dt + 1</f>
        <v>41</v>
      </c>
      <c r="NG83" s="20">
        <f ca="1">INDEX(OFFSET(TST!HeadRow,ROW()-ROW(TST!HeadRow),0,1,COLUMNS(TST!HeadRow)),1,MATCH(NG$5,TST!HeadRow,0))/NG$8</f>
        <v>1156.8916923902832</v>
      </c>
    </row>
    <row r="84" spans="1:371" x14ac:dyDescent="0.25">
      <c r="A84" s="243">
        <v>43926</v>
      </c>
      <c r="B84" s="23">
        <v>349</v>
      </c>
      <c r="C84" s="23">
        <v>361</v>
      </c>
      <c r="D84" s="23">
        <v>1320</v>
      </c>
      <c r="E84" s="23">
        <v>501</v>
      </c>
      <c r="F84" s="23">
        <v>14</v>
      </c>
      <c r="G84" s="23">
        <v>15</v>
      </c>
      <c r="H84" s="23">
        <v>1451</v>
      </c>
      <c r="I84" s="23">
        <v>822</v>
      </c>
      <c r="J84" s="23">
        <v>96</v>
      </c>
      <c r="K84" s="293">
        <v>2580</v>
      </c>
      <c r="L84" s="23">
        <v>27</v>
      </c>
      <c r="M84" s="290">
        <v>907</v>
      </c>
      <c r="N84" s="23">
        <v>407</v>
      </c>
      <c r="O84" s="384">
        <v>82</v>
      </c>
      <c r="P84" s="287">
        <v>1135</v>
      </c>
      <c r="Q84" s="23">
        <v>453</v>
      </c>
      <c r="R84" s="23">
        <v>12051</v>
      </c>
      <c r="S84" s="23">
        <v>584</v>
      </c>
      <c r="T84" s="23">
        <v>28</v>
      </c>
      <c r="U84" s="23">
        <v>700</v>
      </c>
      <c r="V84" s="23">
        <v>88</v>
      </c>
      <c r="W84" s="23">
        <v>56</v>
      </c>
      <c r="X84" s="23">
        <v>562</v>
      </c>
      <c r="Y84" s="23">
        <v>19691</v>
      </c>
      <c r="Z84" s="23">
        <v>22</v>
      </c>
      <c r="AA84" s="23">
        <v>5</v>
      </c>
      <c r="AB84" s="23">
        <v>157</v>
      </c>
      <c r="AC84" s="23">
        <v>654</v>
      </c>
      <c r="AD84" s="23">
        <v>11130</v>
      </c>
      <c r="AE84" s="23">
        <v>135</v>
      </c>
      <c r="AF84" s="23">
        <v>531</v>
      </c>
      <c r="AG84" s="23">
        <v>345</v>
      </c>
      <c r="AH84" s="23">
        <v>7</v>
      </c>
      <c r="AI84" s="23">
        <v>114</v>
      </c>
      <c r="AJ84" s="23">
        <v>650</v>
      </c>
      <c r="AK84" s="23">
        <v>1181</v>
      </c>
      <c r="AL84" s="23">
        <v>1203</v>
      </c>
      <c r="AM84" s="23">
        <v>13</v>
      </c>
      <c r="AN84" s="23">
        <v>203</v>
      </c>
      <c r="AO84" s="23">
        <v>98</v>
      </c>
      <c r="AP84" s="23">
        <v>217</v>
      </c>
      <c r="AQ84" s="23">
        <v>262</v>
      </c>
      <c r="AR84" s="23">
        <v>4354</v>
      </c>
      <c r="AS84" s="23">
        <v>22</v>
      </c>
      <c r="AT84" s="23">
        <v>7944</v>
      </c>
      <c r="AU84" s="23">
        <v>249</v>
      </c>
      <c r="AV84" s="23">
        <v>8</v>
      </c>
      <c r="AW84" s="23">
        <v>9</v>
      </c>
      <c r="AX84" s="23">
        <v>4471</v>
      </c>
      <c r="AY84" s="23">
        <v>990</v>
      </c>
      <c r="AZ84" s="23">
        <v>586</v>
      </c>
      <c r="BA84" s="23">
        <v>579</v>
      </c>
      <c r="BB84" s="23">
        <v>350</v>
      </c>
      <c r="BC84" s="23">
        <v>138</v>
      </c>
      <c r="BD84" s="23">
        <v>1524</v>
      </c>
      <c r="BE84" s="23">
        <v>254</v>
      </c>
      <c r="BF84" s="23">
        <v>146</v>
      </c>
      <c r="BG84" s="23">
        <v>168</v>
      </c>
      <c r="BH84" s="23">
        <v>327</v>
      </c>
      <c r="BI84" s="23">
        <v>504</v>
      </c>
      <c r="BJ84" s="23">
        <v>1276</v>
      </c>
      <c r="BK84" s="23">
        <v>890</v>
      </c>
      <c r="BL84" s="23">
        <v>67803</v>
      </c>
      <c r="BM84" s="23">
        <v>1019</v>
      </c>
      <c r="BN84" s="23">
        <v>117</v>
      </c>
      <c r="BO84" s="23">
        <v>651</v>
      </c>
      <c r="BP84" s="23">
        <v>937</v>
      </c>
      <c r="BQ84" s="23">
        <v>98</v>
      </c>
      <c r="BR84" s="23">
        <v>142</v>
      </c>
      <c r="BS84" s="23">
        <v>44</v>
      </c>
      <c r="BT84" s="23">
        <v>75</v>
      </c>
      <c r="BU84" s="23">
        <v>18</v>
      </c>
      <c r="BV84" s="23">
        <v>256</v>
      </c>
      <c r="BW84" s="23">
        <v>779</v>
      </c>
      <c r="BX84" s="23">
        <v>531</v>
      </c>
      <c r="BY84" s="23">
        <v>138</v>
      </c>
      <c r="BZ84" s="23">
        <v>558</v>
      </c>
      <c r="CA84" s="23">
        <v>180</v>
      </c>
      <c r="CB84" s="23">
        <v>1</v>
      </c>
      <c r="CC84" s="23">
        <v>76</v>
      </c>
      <c r="CD84" s="23">
        <v>184</v>
      </c>
      <c r="CE84" s="23">
        <v>1263</v>
      </c>
      <c r="CF84" s="23">
        <v>1485</v>
      </c>
      <c r="CG84" s="23">
        <v>45</v>
      </c>
      <c r="CH84" s="23">
        <v>154</v>
      </c>
      <c r="CI84" s="23">
        <v>454</v>
      </c>
      <c r="CJ84" s="23">
        <v>261</v>
      </c>
      <c r="CK84" s="23">
        <v>1182</v>
      </c>
      <c r="CL84" s="23">
        <v>712</v>
      </c>
      <c r="CM84" s="23">
        <v>320</v>
      </c>
      <c r="CN84" s="23">
        <v>446</v>
      </c>
      <c r="CO84" s="23">
        <v>4587</v>
      </c>
      <c r="CP84" s="23">
        <v>181</v>
      </c>
      <c r="CQ84" s="23">
        <v>11</v>
      </c>
      <c r="CR84" s="23">
        <v>4369</v>
      </c>
      <c r="CS84" s="23">
        <v>59</v>
      </c>
      <c r="CT84" s="23">
        <v>1745</v>
      </c>
      <c r="CU84" s="23">
        <v>3646</v>
      </c>
      <c r="CV84" s="23">
        <v>1173</v>
      </c>
      <c r="CW84" s="23">
        <v>62</v>
      </c>
      <c r="CX84" s="23">
        <v>16</v>
      </c>
      <c r="CY84" s="23">
        <v>29</v>
      </c>
      <c r="CZ84" s="23">
        <v>1097</v>
      </c>
      <c r="DA84" s="23">
        <v>9</v>
      </c>
      <c r="DB84" s="23">
        <v>43</v>
      </c>
      <c r="DC84" s="23">
        <v>12</v>
      </c>
      <c r="DD84" s="23">
        <v>1927</v>
      </c>
      <c r="DE84" s="23">
        <v>61</v>
      </c>
      <c r="DF84" s="23">
        <v>41</v>
      </c>
      <c r="DG84" s="23">
        <v>135</v>
      </c>
      <c r="DH84" s="23">
        <v>147</v>
      </c>
      <c r="DI84" s="23">
        <v>18</v>
      </c>
      <c r="DJ84" s="23">
        <v>344</v>
      </c>
      <c r="DK84" s="23">
        <v>6</v>
      </c>
      <c r="DL84" s="23">
        <v>32</v>
      </c>
      <c r="DM84" s="23">
        <v>149</v>
      </c>
      <c r="DN84" s="23">
        <v>70478</v>
      </c>
      <c r="DO84" s="23">
        <v>21</v>
      </c>
      <c r="DP84" s="23">
        <v>4</v>
      </c>
      <c r="DQ84" s="23">
        <v>174</v>
      </c>
      <c r="DR84" s="23">
        <v>100123</v>
      </c>
      <c r="DS84" s="23">
        <v>214</v>
      </c>
      <c r="DT84" s="23">
        <v>1735</v>
      </c>
      <c r="DU84" s="23">
        <v>61</v>
      </c>
      <c r="DV84" s="23">
        <v>121</v>
      </c>
      <c r="DW84" s="23">
        <v>24</v>
      </c>
      <c r="DX84" s="23">
        <v>21</v>
      </c>
      <c r="DY84" s="23">
        <v>7</v>
      </c>
      <c r="DZ84" s="23">
        <v>268</v>
      </c>
      <c r="EA84" s="23">
        <v>733</v>
      </c>
      <c r="EB84" s="23">
        <v>1486</v>
      </c>
      <c r="EC84" s="23">
        <v>3588</v>
      </c>
      <c r="ED84" s="23">
        <v>2273</v>
      </c>
      <c r="EE84" s="23">
        <v>58226</v>
      </c>
      <c r="EF84" s="23">
        <v>961</v>
      </c>
      <c r="EG84" s="23">
        <v>4994</v>
      </c>
      <c r="EH84" s="23">
        <v>8430</v>
      </c>
      <c r="EI84" s="23">
        <v>128948</v>
      </c>
      <c r="EJ84" s="23">
        <v>58</v>
      </c>
      <c r="EK84" s="23">
        <v>3139</v>
      </c>
      <c r="EL84" s="23">
        <v>345</v>
      </c>
      <c r="EM84" s="23">
        <v>584</v>
      </c>
      <c r="EN84" s="23">
        <v>142</v>
      </c>
      <c r="EO84" s="23">
        <v>10237</v>
      </c>
      <c r="EP84" s="23">
        <v>556</v>
      </c>
      <c r="EQ84" s="23">
        <v>147</v>
      </c>
      <c r="ER84" s="23">
        <v>533</v>
      </c>
      <c r="ES84" s="23">
        <v>527</v>
      </c>
      <c r="ET84" s="23">
        <v>13</v>
      </c>
      <c r="EU84" s="23">
        <v>77</v>
      </c>
      <c r="EV84" s="23">
        <v>811</v>
      </c>
      <c r="EW84" s="23">
        <v>2804</v>
      </c>
      <c r="EX84" s="23">
        <v>72</v>
      </c>
      <c r="EY84" s="23">
        <v>3662</v>
      </c>
      <c r="EZ84" s="23">
        <v>19</v>
      </c>
      <c r="FA84" s="23">
        <v>227</v>
      </c>
      <c r="FB84" s="23">
        <v>6</v>
      </c>
      <c r="FC84" s="23">
        <v>227</v>
      </c>
      <c r="FD84" s="23">
        <v>2143</v>
      </c>
      <c r="FE84" s="23">
        <v>864</v>
      </c>
      <c r="FF84" s="23">
        <v>73</v>
      </c>
      <c r="FG84" s="23">
        <v>14</v>
      </c>
      <c r="FH84" s="23">
        <v>214</v>
      </c>
      <c r="FI84" s="23">
        <v>1021</v>
      </c>
      <c r="FJ84" s="23">
        <v>16</v>
      </c>
      <c r="FK84" s="23">
        <v>9</v>
      </c>
      <c r="FL84" s="23">
        <v>64</v>
      </c>
      <c r="FM84" s="23">
        <v>11</v>
      </c>
      <c r="FN84" s="23">
        <v>25</v>
      </c>
      <c r="FO84" s="23">
        <v>17851</v>
      </c>
      <c r="FP84" s="23">
        <v>1039</v>
      </c>
      <c r="FQ84" s="23">
        <v>6</v>
      </c>
      <c r="FR84" s="23">
        <v>184</v>
      </c>
      <c r="FS84" s="23">
        <v>232</v>
      </c>
      <c r="FT84" s="23">
        <v>555</v>
      </c>
      <c r="FU84" s="23">
        <v>5687</v>
      </c>
      <c r="FV84" s="23">
        <v>298</v>
      </c>
      <c r="FW84" s="23">
        <v>3157</v>
      </c>
      <c r="FX84" s="23">
        <v>1801</v>
      </c>
      <c r="FY84" s="23">
        <v>1</v>
      </c>
      <c r="FZ84" s="23">
        <v>104</v>
      </c>
      <c r="GA84" s="23">
        <v>2281</v>
      </c>
      <c r="GB84" s="23">
        <v>3246</v>
      </c>
      <c r="GC84" s="23">
        <v>4102</v>
      </c>
      <c r="GD84" s="23">
        <v>11278</v>
      </c>
      <c r="GE84" s="23">
        <v>1604</v>
      </c>
      <c r="GF84" s="23">
        <v>3864</v>
      </c>
      <c r="GG84" s="23">
        <v>5389</v>
      </c>
      <c r="GH84" s="23">
        <v>104</v>
      </c>
      <c r="GI84" s="23">
        <v>14</v>
      </c>
      <c r="GJ84" s="23">
        <v>7</v>
      </c>
      <c r="GK84" s="23">
        <v>266</v>
      </c>
      <c r="GL84" s="23">
        <v>2402</v>
      </c>
      <c r="GM84" s="23">
        <v>222</v>
      </c>
      <c r="GN84" s="23">
        <v>1908</v>
      </c>
      <c r="GO84" s="23">
        <v>10</v>
      </c>
      <c r="GP84" s="23">
        <v>1309</v>
      </c>
      <c r="GQ84" s="23">
        <v>485</v>
      </c>
      <c r="GR84" s="23">
        <v>997</v>
      </c>
      <c r="GS84" s="23">
        <v>7</v>
      </c>
      <c r="GT84" s="23">
        <v>1655</v>
      </c>
      <c r="GU84" s="23">
        <v>131646</v>
      </c>
      <c r="GV84" s="23">
        <v>176</v>
      </c>
      <c r="GW84" s="23">
        <v>12</v>
      </c>
      <c r="GX84" s="23">
        <v>10</v>
      </c>
      <c r="GY84" s="23">
        <v>6830</v>
      </c>
      <c r="GZ84" s="23">
        <v>21100</v>
      </c>
      <c r="HA84" s="23">
        <v>363</v>
      </c>
      <c r="HB84" s="23">
        <v>22</v>
      </c>
      <c r="HC84" s="23">
        <v>2169</v>
      </c>
      <c r="HD84" s="23">
        <v>44</v>
      </c>
      <c r="HE84" s="23">
        <v>104</v>
      </c>
      <c r="HF84" s="23">
        <v>574</v>
      </c>
      <c r="HG84" s="23">
        <v>27069</v>
      </c>
      <c r="HH84" s="23">
        <v>52</v>
      </c>
      <c r="HI84" s="23">
        <v>1308</v>
      </c>
      <c r="HJ84" s="23">
        <v>1799</v>
      </c>
      <c r="HK84" s="23">
        <v>37</v>
      </c>
      <c r="HL84" s="23">
        <v>35</v>
      </c>
      <c r="HM84" s="23">
        <v>309</v>
      </c>
      <c r="HN84" s="23">
        <v>103</v>
      </c>
      <c r="HO84" s="23">
        <v>127</v>
      </c>
      <c r="HP84" s="23">
        <v>6</v>
      </c>
      <c r="HQ84" s="23">
        <v>47806</v>
      </c>
      <c r="HR84" s="23">
        <v>400</v>
      </c>
      <c r="HS84" s="23">
        <v>336802</v>
      </c>
      <c r="HT84" s="23">
        <v>342</v>
      </c>
      <c r="HU84" s="23">
        <v>159</v>
      </c>
      <c r="HV84" s="23">
        <v>241</v>
      </c>
      <c r="HW84" s="23">
        <v>39</v>
      </c>
      <c r="HX84" s="23">
        <v>9</v>
      </c>
      <c r="HY84" s="23">
        <v>0</v>
      </c>
      <c r="HZ84" s="23">
        <v>14</v>
      </c>
      <c r="IA84" s="23">
        <v>12</v>
      </c>
      <c r="IB84" s="23">
        <v>10</v>
      </c>
      <c r="IC84" s="23">
        <v>19</v>
      </c>
      <c r="ID84" s="23">
        <v>1</v>
      </c>
      <c r="IE84" s="23">
        <v>5</v>
      </c>
      <c r="IF84" s="23">
        <v>0</v>
      </c>
      <c r="IG84" s="23">
        <v>11</v>
      </c>
      <c r="IH84" s="23">
        <v>18</v>
      </c>
      <c r="II84" s="23">
        <v>237</v>
      </c>
      <c r="IJ84" s="23">
        <v>18</v>
      </c>
      <c r="IK84" s="23">
        <v>45</v>
      </c>
      <c r="IL84" s="23">
        <v>10</v>
      </c>
      <c r="IM84" s="23">
        <v>4</v>
      </c>
      <c r="IN84" s="23">
        <v>6</v>
      </c>
      <c r="IO84" s="23">
        <v>145</v>
      </c>
      <c r="IP84" s="23">
        <v>21</v>
      </c>
      <c r="IQ84" s="23">
        <v>3</v>
      </c>
      <c r="IR84" s="23">
        <v>3</v>
      </c>
      <c r="IS84" s="23">
        <v>5</v>
      </c>
      <c r="IT84" s="23">
        <v>9</v>
      </c>
      <c r="IU84" s="23">
        <v>6</v>
      </c>
      <c r="IV84" s="23">
        <v>3</v>
      </c>
      <c r="IW84" s="23">
        <v>6</v>
      </c>
      <c r="IX84" s="23">
        <v>2</v>
      </c>
      <c r="IY84" s="23">
        <v>4</v>
      </c>
      <c r="IZ84" s="23">
        <v>2</v>
      </c>
      <c r="JA84" s="23">
        <v>1</v>
      </c>
      <c r="JB84" s="23">
        <v>1</v>
      </c>
      <c r="JC84" s="23">
        <v>4</v>
      </c>
      <c r="JD84" s="23">
        <v>0</v>
      </c>
      <c r="JE84" s="23">
        <v>0</v>
      </c>
      <c r="JF84" s="23">
        <v>0</v>
      </c>
      <c r="JG84" s="23">
        <v>0</v>
      </c>
      <c r="JH84" s="23">
        <v>0</v>
      </c>
      <c r="JI84" s="23">
        <v>112</v>
      </c>
      <c r="JJ84" s="23">
        <v>8</v>
      </c>
      <c r="JK84" s="23">
        <v>475</v>
      </c>
      <c r="JL84" s="23">
        <v>42</v>
      </c>
      <c r="JM84" s="23">
        <v>1765</v>
      </c>
      <c r="JN84" s="23">
        <v>185</v>
      </c>
      <c r="JO84" s="23">
        <v>2269</v>
      </c>
      <c r="JP84" s="23">
        <v>837</v>
      </c>
      <c r="JQ84" s="23">
        <v>15034</v>
      </c>
      <c r="JR84" s="23">
        <v>4950</v>
      </c>
      <c r="JS84" s="23">
        <v>5675</v>
      </c>
      <c r="JT84" s="23">
        <v>673</v>
      </c>
      <c r="JU84" s="23">
        <v>1002</v>
      </c>
      <c r="JV84" s="23">
        <v>12350</v>
      </c>
      <c r="JW84" s="23">
        <v>6647</v>
      </c>
      <c r="JX84" s="23">
        <v>371</v>
      </c>
      <c r="JY84" s="23">
        <v>1078</v>
      </c>
      <c r="JZ84" s="23">
        <v>11259</v>
      </c>
      <c r="KA84" s="23">
        <v>4411</v>
      </c>
      <c r="KB84" s="23">
        <v>869</v>
      </c>
      <c r="KC84" s="23">
        <v>751</v>
      </c>
      <c r="KD84" s="23">
        <v>955</v>
      </c>
      <c r="KE84" s="23">
        <v>13010</v>
      </c>
      <c r="KF84" s="23">
        <v>470</v>
      </c>
      <c r="KG84" s="23">
        <v>3617</v>
      </c>
      <c r="KH84" s="23">
        <v>12500</v>
      </c>
      <c r="KI84" s="23">
        <v>15718</v>
      </c>
      <c r="KJ84" s="23">
        <v>935</v>
      </c>
      <c r="KK84" s="23">
        <v>1638</v>
      </c>
      <c r="KL84" s="23">
        <v>2347</v>
      </c>
      <c r="KM84" s="23">
        <v>286</v>
      </c>
      <c r="KN84" s="23">
        <v>364</v>
      </c>
      <c r="KO84" s="23">
        <v>1855</v>
      </c>
      <c r="KP84" s="23">
        <v>621</v>
      </c>
      <c r="KQ84" s="23">
        <v>37505</v>
      </c>
      <c r="KR84" s="23">
        <v>624</v>
      </c>
      <c r="KS84" s="23">
        <v>123160</v>
      </c>
      <c r="KT84" s="23">
        <v>2649</v>
      </c>
      <c r="KU84" s="23">
        <v>207</v>
      </c>
      <c r="KV84" s="23">
        <v>4043</v>
      </c>
      <c r="KW84" s="23">
        <v>1254</v>
      </c>
      <c r="KX84" s="23">
        <v>1068</v>
      </c>
      <c r="KY84" s="23">
        <v>11589</v>
      </c>
      <c r="KZ84" s="23">
        <v>922</v>
      </c>
      <c r="LA84" s="23">
        <v>2049</v>
      </c>
      <c r="LB84" s="23">
        <v>240</v>
      </c>
      <c r="LC84" s="23">
        <v>3633</v>
      </c>
      <c r="LD84" s="23">
        <v>7209</v>
      </c>
      <c r="LE84" s="23">
        <v>1601</v>
      </c>
      <c r="LF84" s="23">
        <v>512</v>
      </c>
      <c r="LG84" s="23">
        <v>2640</v>
      </c>
      <c r="LH84" s="23">
        <v>7825</v>
      </c>
      <c r="LI84" s="23">
        <v>324</v>
      </c>
      <c r="LJ84" s="23">
        <v>2320</v>
      </c>
      <c r="LK84" s="23">
        <v>197</v>
      </c>
      <c r="LL84" s="23">
        <v>49</v>
      </c>
      <c r="LM84" s="23">
        <v>103</v>
      </c>
      <c r="LN84" s="278">
        <f ca="1">$A84 - TST!Sweden100dt + 1</f>
        <v>30</v>
      </c>
      <c r="LO84" s="20">
        <f ca="1">INDEX(OFFSET(TST!HeadRow,ROW()-ROW(TST!HeadRow),0,1,COLUMNS(TST!HeadRow)),1,MATCH(LO$5,TST!HeadRow,0))/LO$8</f>
        <v>6676.4418377321608</v>
      </c>
      <c r="LP84" s="278">
        <f ca="1">$A84 - TST!Spain100dt + 1</f>
        <v>30</v>
      </c>
      <c r="LQ84" s="20">
        <f ca="1">INDEX(OFFSET(TST!HeadRow,ROW()-ROW(TST!HeadRow),0,1,COLUMNS(TST!HeadRow)),1,MATCH(LQ$5,TST!HeadRow,0))/LQ$8</f>
        <v>28045.590115040479</v>
      </c>
      <c r="LR84" s="285">
        <f ca="1">$A84 - TST!Victoria100dt + 1</f>
        <v>21</v>
      </c>
      <c r="LS84" s="20">
        <f ca="1">INDEX(OFFSET(TST!HeadRow,ROW()-ROW(TST!HeadRow),0,1,COLUMNS(TST!HeadRow)),1,MATCH(LS$5,TST!HeadRow,0))/LS$8</f>
        <v>1712.1737818675515</v>
      </c>
      <c r="LT84" s="278">
        <f ca="1">$A84 - TST!Iran100dt + 1</f>
        <v>36</v>
      </c>
      <c r="LU84" s="20">
        <f ca="1">INDEX(OFFSET(TST!HeadRow,ROW()-ROW(TST!HeadRow),0,1,COLUMNS(TST!HeadRow)),1,MATCH(LU$5,TST!HeadRow,0))/LU$8</f>
        <v>6950.4494288135793</v>
      </c>
      <c r="LV84" s="278">
        <f ca="1">$A84 - TST!Japan100dt + 1</f>
        <v>12</v>
      </c>
      <c r="LW84" s="20">
        <f ca="1">INDEX(OFFSET(TST!HeadRow,ROW()-ROW(TST!HeadRow),0,1,COLUMNS(TST!HeadRow)),1,MATCH(LW$5,TST!HeadRow,0))/LW$8</f>
        <v>248.03601347005443</v>
      </c>
      <c r="LX84" s="278">
        <f ca="1">$A84 - TST!Queensland100dt + 1</f>
        <v>22</v>
      </c>
      <c r="LY84" s="20">
        <f ca="1">INDEX(OFFSET(TST!HeadRow,ROW()-ROW(TST!HeadRow),0,1,COLUMNS(TST!HeadRow)),1,MATCH(LY$5,TST!HeadRow,0))/LY$8</f>
        <v>1773.0596969846843</v>
      </c>
      <c r="LZ84" s="278">
        <f ca="1">$A84 - TST!Tasmania100dt + 1</f>
        <v>22</v>
      </c>
      <c r="MA84" s="20">
        <f ca="1">INDEX(OFFSET(TST!HeadRow,ROW()-ROW(TST!HeadRow),0,1,COLUMNS(TST!HeadRow)),1,MATCH(MA$5,TST!HeadRow,0))/MA$8</f>
        <v>1592.2330097087379</v>
      </c>
      <c r="MB84" s="278">
        <f ca="1">$A84 - TST!SouthAustralia100dt + 1</f>
        <v>23</v>
      </c>
      <c r="MC84" s="20">
        <f ca="1">INDEX(OFFSET(TST!HeadRow,ROW()-ROW(TST!HeadRow),0,1,COLUMNS(TST!HeadRow)),1,MATCH(MC$5,TST!HeadRow,0))/MC$8</f>
        <v>2437.1257485029937</v>
      </c>
      <c r="MD84" s="278">
        <f ca="1">$A84 - TST!AustralianCapitalTerritory100dt + 1</f>
        <v>17</v>
      </c>
      <c r="ME84" s="20">
        <f ca="1">INDEX(OFFSET(TST!HeadRow,ROW()-ROW(TST!HeadRow),0,1,COLUMNS(TST!HeadRow)),1,MATCH(ME$5,TST!HeadRow,0))/ME$8</f>
        <v>2242.6762603373359</v>
      </c>
      <c r="MF84" s="278">
        <f ca="1">$A84 - TST!NorthernTerritory100dt + 1</f>
        <v>17</v>
      </c>
      <c r="MG84" s="20">
        <f ca="1">INDEX(OFFSET(TST!HeadRow,ROW()-ROW(TST!HeadRow),0,1,COLUMNS(TST!HeadRow)),1,MATCH(MG$5,TST!HeadRow,0))/MG$8</f>
        <v>1273.9154025808582</v>
      </c>
      <c r="MH84" s="278">
        <f ca="1">$A84 - TST!WesternAustralia100dt + 1</f>
        <v>21</v>
      </c>
      <c r="MI84" s="20">
        <f ca="1">INDEX(OFFSET(TST!HeadRow,ROW()-ROW(TST!HeadRow),0,1,COLUMNS(TST!HeadRow)),1,MATCH(MI$5,TST!HeadRow,0))/MI$8</f>
        <v>1749.7103128621088</v>
      </c>
      <c r="MJ84" s="278">
        <f ca="1">$A84 - TST!Germany100dt + 1</f>
        <v>29</v>
      </c>
      <c r="MK84" s="20">
        <f ca="1">INDEX(OFFSET(TST!HeadRow,ROW()-ROW(TST!HeadRow),0,1,COLUMNS(TST!HeadRow)),1,MATCH(MK$5,TST!HeadRow,0))/MK$8</f>
        <v>12060.105998554565</v>
      </c>
      <c r="ML84" s="278">
        <f ca="1">$A84 - TST!Denmark100dt + 1</f>
        <v>28</v>
      </c>
      <c r="MM84" s="20">
        <f ca="1">INDEX(OFFSET(TST!HeadRow,ROW()-ROW(TST!HeadRow),0,1,COLUMNS(TST!HeadRow)),1,MATCH(MM$5,TST!HeadRow,0))/MM$8</f>
        <v>7524.9741646572511</v>
      </c>
      <c r="MN84" s="278">
        <f ca="1">$A84 - TST!SouthAfrica100dt + 1</f>
        <v>12</v>
      </c>
      <c r="MO84" s="20">
        <f ca="1">INDEX(OFFSET(TST!HeadRow,ROW()-ROW(TST!HeadRow),0,1,COLUMNS(TST!HeadRow)),1,MATCH(MO$5,TST!HeadRow,0))/MO$8</f>
        <v>286.43129110418835</v>
      </c>
      <c r="MP84" s="278">
        <f ca="1">$A84 - TST!UnitedKingdom100dt + 1</f>
        <v>24</v>
      </c>
      <c r="MQ84" s="20">
        <f ca="1">INDEX(OFFSET(TST!HeadRow,ROW()-ROW(TST!HeadRow),0,1,COLUMNS(TST!HeadRow)),1,MATCH(MQ$5,TST!HeadRow,0))/MQ$8</f>
        <v>7195.364238410596</v>
      </c>
      <c r="MR84" s="278">
        <f ca="1">$A84 - TST!Ireland100dt + 1</f>
        <v>24</v>
      </c>
      <c r="MS84" s="20">
        <f ca="1">INDEX(OFFSET(TST!HeadRow,ROW()-ROW(TST!HeadRow),0,1,COLUMNS(TST!HeadRow)),1,MATCH(MS$5,TST!HeadRow,0))/MS$8</f>
        <v>10191.836734693878</v>
      </c>
      <c r="MT84" s="278">
        <f ca="1">$A84 - TST!Italy100dt + 1</f>
        <v>39</v>
      </c>
      <c r="MU84" s="20">
        <f ca="1">INDEX(OFFSET(TST!HeadRow,ROW()-ROW(TST!HeadRow),0,1,COLUMNS(TST!HeadRow)),1,MATCH(MU$5,TST!HeadRow,0))/MU$8</f>
        <v>21319.004711912046</v>
      </c>
      <c r="MV84" s="278">
        <f ca="1">$A84 - TST!US100dt + 1</f>
        <v>22</v>
      </c>
      <c r="MW84" s="20">
        <f ca="1">INDEX(OFFSET(TST!HeadRow,ROW()-ROW(TST!HeadRow),0,1,COLUMNS(TST!HeadRow)),1,MATCH(MW$5,TST!HeadRow,0))/MW$8</f>
        <v>10230.061229408047</v>
      </c>
      <c r="MX84" s="278">
        <f ca="1">$A84 - TST!AustraliaSum100dt + 1</f>
        <v>22</v>
      </c>
      <c r="MY84" s="366">
        <f t="shared" si="9"/>
        <v>2242.1542343478945</v>
      </c>
      <c r="MZ84" s="278">
        <f ca="1">$A84 - TST!NewSouthWales100dt + 1</f>
        <v>24</v>
      </c>
      <c r="NA84" s="366">
        <f ca="1">INDEX(OFFSET(TST!HeadRow,ROW()-ROW(TST!HeadRow),0,1,COLUMNS(TST!HeadRow)),1,MATCH(NA$5,TST!HeadRow,0))/NA$8</f>
        <v>3193.0693069306931</v>
      </c>
      <c r="NB84" s="278">
        <f ca="1">$A84 - TST!Taiwan100dt + 1</f>
        <v>11</v>
      </c>
      <c r="NC84" s="366">
        <f ca="1">INDEX(OFFSET(TST!HeadRow,ROW()-ROW(TST!HeadRow),0,1,COLUMNS(TST!HeadRow)),1,MATCH(NC$5,TST!HeadRow,0))/NC$8</f>
        <v>152.4743563754989</v>
      </c>
      <c r="ND84" s="20">
        <f ca="1">$A84 - TST!Hubei100dt + 1</f>
        <v>72</v>
      </c>
      <c r="NE84" s="20">
        <f ca="1">INDEX(OFFSET(TST!HeadRow,ROW()-ROW(TST!HeadRow),0,1,COLUMNS(TST!HeadRow)),1,MATCH(NE$5,TST!HeadRow,0))/NE$8</f>
        <v>11590.25641025641</v>
      </c>
      <c r="NF84" s="20">
        <f ca="1">$A84 - TST!HongKong100dt + 1</f>
        <v>42</v>
      </c>
      <c r="NG84" s="20">
        <f ca="1">INDEX(OFFSET(TST!HeadRow,ROW()-ROW(TST!HeadRow),0,1,COLUMNS(TST!HeadRow)),1,MATCH(NG$5,TST!HeadRow,0))/NG$8</f>
        <v>1194.4705408669977</v>
      </c>
    </row>
    <row r="85" spans="1:371" x14ac:dyDescent="0.25">
      <c r="A85" s="243">
        <v>43927</v>
      </c>
      <c r="B85" s="23">
        <v>367</v>
      </c>
      <c r="C85" s="23">
        <v>377</v>
      </c>
      <c r="D85" s="23">
        <v>1423</v>
      </c>
      <c r="E85" s="23">
        <v>525</v>
      </c>
      <c r="F85" s="23">
        <v>16</v>
      </c>
      <c r="G85" s="23">
        <v>15</v>
      </c>
      <c r="H85" s="23">
        <v>1554</v>
      </c>
      <c r="I85" s="23">
        <v>833</v>
      </c>
      <c r="J85" s="23">
        <v>96</v>
      </c>
      <c r="K85" s="293">
        <v>2637</v>
      </c>
      <c r="L85" s="23">
        <v>28</v>
      </c>
      <c r="M85" s="290">
        <v>921</v>
      </c>
      <c r="N85" s="23">
        <v>411</v>
      </c>
      <c r="O85" s="384">
        <v>86</v>
      </c>
      <c r="P85" s="287">
        <v>1158</v>
      </c>
      <c r="Q85" s="23">
        <v>460</v>
      </c>
      <c r="R85" s="23">
        <v>12297</v>
      </c>
      <c r="S85" s="23">
        <v>641</v>
      </c>
      <c r="T85" s="23">
        <v>29</v>
      </c>
      <c r="U85" s="23">
        <v>756</v>
      </c>
      <c r="V85" s="23">
        <v>123</v>
      </c>
      <c r="W85" s="23">
        <v>60</v>
      </c>
      <c r="X85" s="23">
        <v>700</v>
      </c>
      <c r="Y85" s="23">
        <v>20814</v>
      </c>
      <c r="Z85" s="23">
        <v>26</v>
      </c>
      <c r="AA85" s="23">
        <v>5</v>
      </c>
      <c r="AB85" s="23">
        <v>183</v>
      </c>
      <c r="AC85" s="23">
        <v>674</v>
      </c>
      <c r="AD85" s="23">
        <v>12161</v>
      </c>
      <c r="AE85" s="23">
        <v>135</v>
      </c>
      <c r="AF85" s="23">
        <v>549</v>
      </c>
      <c r="AG85" s="23">
        <v>364</v>
      </c>
      <c r="AH85" s="23">
        <v>7</v>
      </c>
      <c r="AI85" s="23">
        <v>114</v>
      </c>
      <c r="AJ85" s="23">
        <v>658</v>
      </c>
      <c r="AK85" s="23">
        <v>1250</v>
      </c>
      <c r="AL85" s="23">
        <v>1266</v>
      </c>
      <c r="AM85" s="23">
        <v>13</v>
      </c>
      <c r="AN85" s="23">
        <v>203</v>
      </c>
      <c r="AO85" s="23">
        <v>103</v>
      </c>
      <c r="AP85" s="23">
        <v>226</v>
      </c>
      <c r="AQ85" s="23">
        <v>293</v>
      </c>
      <c r="AR85" s="23">
        <v>4347</v>
      </c>
      <c r="AS85" s="23">
        <v>22</v>
      </c>
      <c r="AT85" s="23">
        <v>8580</v>
      </c>
      <c r="AU85" s="23">
        <v>249</v>
      </c>
      <c r="AV85" s="23">
        <v>8</v>
      </c>
      <c r="AW85" s="23">
        <v>9</v>
      </c>
      <c r="AX85" s="23">
        <v>4815</v>
      </c>
      <c r="AY85" s="23">
        <v>990</v>
      </c>
      <c r="AZ85" s="23">
        <v>587</v>
      </c>
      <c r="BA85" s="23">
        <v>579</v>
      </c>
      <c r="BB85" s="23">
        <v>350</v>
      </c>
      <c r="BC85" s="23">
        <v>139</v>
      </c>
      <c r="BD85" s="23">
        <v>1532</v>
      </c>
      <c r="BE85" s="23">
        <v>254</v>
      </c>
      <c r="BF85" s="23">
        <v>146</v>
      </c>
      <c r="BG85" s="23">
        <v>168</v>
      </c>
      <c r="BH85" s="23">
        <v>327</v>
      </c>
      <c r="BI85" s="23">
        <v>524</v>
      </c>
      <c r="BJ85" s="23">
        <v>1276</v>
      </c>
      <c r="BK85" s="23">
        <v>914</v>
      </c>
      <c r="BL85" s="23">
        <v>67803</v>
      </c>
      <c r="BM85" s="23">
        <v>1019</v>
      </c>
      <c r="BN85" s="23">
        <v>118</v>
      </c>
      <c r="BO85" s="23">
        <v>651</v>
      </c>
      <c r="BP85" s="23">
        <v>937</v>
      </c>
      <c r="BQ85" s="23">
        <v>98</v>
      </c>
      <c r="BR85" s="23">
        <v>142</v>
      </c>
      <c r="BS85" s="23">
        <v>44</v>
      </c>
      <c r="BT85" s="23">
        <v>75</v>
      </c>
      <c r="BU85" s="23">
        <v>18</v>
      </c>
      <c r="BV85" s="23">
        <v>256</v>
      </c>
      <c r="BW85" s="23">
        <v>780</v>
      </c>
      <c r="BX85" s="23">
        <v>536</v>
      </c>
      <c r="BY85" s="23">
        <v>138</v>
      </c>
      <c r="BZ85" s="23">
        <v>559</v>
      </c>
      <c r="CA85" s="23">
        <v>180</v>
      </c>
      <c r="CB85" s="23">
        <v>1</v>
      </c>
      <c r="CC85" s="23">
        <v>76</v>
      </c>
      <c r="CD85" s="23">
        <v>184</v>
      </c>
      <c r="CE85" s="23">
        <v>1264</v>
      </c>
      <c r="CF85" s="23">
        <v>1579</v>
      </c>
      <c r="CG85" s="23">
        <v>45</v>
      </c>
      <c r="CH85" s="23">
        <v>161</v>
      </c>
      <c r="CI85" s="23">
        <v>467</v>
      </c>
      <c r="CJ85" s="23">
        <v>323</v>
      </c>
      <c r="CK85" s="23">
        <v>1222</v>
      </c>
      <c r="CL85" s="23">
        <v>712</v>
      </c>
      <c r="CM85" s="23">
        <v>350</v>
      </c>
      <c r="CN85" s="23">
        <v>465</v>
      </c>
      <c r="CO85" s="23">
        <v>4822</v>
      </c>
      <c r="CP85" s="23">
        <v>183</v>
      </c>
      <c r="CQ85" s="23">
        <v>11</v>
      </c>
      <c r="CR85" s="23">
        <v>4681</v>
      </c>
      <c r="CS85" s="23">
        <v>90</v>
      </c>
      <c r="CT85" s="23">
        <v>1828</v>
      </c>
      <c r="CU85" s="23">
        <v>3747</v>
      </c>
      <c r="CV85" s="23">
        <v>1322</v>
      </c>
      <c r="CW85" s="23">
        <v>69</v>
      </c>
      <c r="CX85" s="23">
        <v>16</v>
      </c>
      <c r="CY85" s="23">
        <v>31</v>
      </c>
      <c r="CZ85" s="23">
        <v>1108</v>
      </c>
      <c r="DA85" s="23">
        <v>10</v>
      </c>
      <c r="DB85" s="23">
        <v>44</v>
      </c>
      <c r="DC85" s="23">
        <v>14</v>
      </c>
      <c r="DD85" s="23">
        <v>2176</v>
      </c>
      <c r="DE85" s="23">
        <v>72</v>
      </c>
      <c r="DF85" s="23">
        <v>42</v>
      </c>
      <c r="DG85" s="23">
        <v>135</v>
      </c>
      <c r="DH85" s="23">
        <v>147</v>
      </c>
      <c r="DI85" s="23">
        <v>18</v>
      </c>
      <c r="DJ85" s="23">
        <v>349</v>
      </c>
      <c r="DK85" s="23">
        <v>6</v>
      </c>
      <c r="DL85" s="23">
        <v>32</v>
      </c>
      <c r="DM85" s="23">
        <v>151</v>
      </c>
      <c r="DN85" s="23">
        <v>74390</v>
      </c>
      <c r="DO85" s="23">
        <v>24</v>
      </c>
      <c r="DP85" s="23">
        <v>4</v>
      </c>
      <c r="DQ85" s="23">
        <v>188</v>
      </c>
      <c r="DR85" s="23">
        <v>103374</v>
      </c>
      <c r="DS85" s="23">
        <v>214</v>
      </c>
      <c r="DT85" s="23">
        <v>1755</v>
      </c>
      <c r="DU85" s="23">
        <v>70</v>
      </c>
      <c r="DV85" s="23">
        <v>128</v>
      </c>
      <c r="DW85" s="23">
        <v>31</v>
      </c>
      <c r="DX85" s="23">
        <v>24</v>
      </c>
      <c r="DY85" s="23">
        <v>7</v>
      </c>
      <c r="DZ85" s="23">
        <v>298</v>
      </c>
      <c r="EA85" s="23">
        <v>744</v>
      </c>
      <c r="EB85" s="23">
        <v>1562</v>
      </c>
      <c r="EC85" s="23">
        <v>4778</v>
      </c>
      <c r="ED85" s="23">
        <v>2491</v>
      </c>
      <c r="EE85" s="23">
        <v>60500</v>
      </c>
      <c r="EF85" s="23">
        <v>1031</v>
      </c>
      <c r="EG85" s="23">
        <v>5364</v>
      </c>
      <c r="EH85" s="23">
        <v>8904</v>
      </c>
      <c r="EI85" s="23">
        <v>132547</v>
      </c>
      <c r="EJ85" s="23">
        <v>58</v>
      </c>
      <c r="EK85" s="23">
        <v>3654</v>
      </c>
      <c r="EL85" s="23">
        <v>349</v>
      </c>
      <c r="EM85" s="23">
        <v>662</v>
      </c>
      <c r="EN85" s="23">
        <v>158</v>
      </c>
      <c r="EO85" s="23">
        <v>10284</v>
      </c>
      <c r="EP85" s="23">
        <v>665</v>
      </c>
      <c r="EQ85" s="23">
        <v>216</v>
      </c>
      <c r="ER85" s="23">
        <v>542</v>
      </c>
      <c r="ES85" s="23">
        <v>541</v>
      </c>
      <c r="ET85" s="23">
        <v>14</v>
      </c>
      <c r="EU85" s="23">
        <v>77</v>
      </c>
      <c r="EV85" s="23">
        <v>843</v>
      </c>
      <c r="EW85" s="23">
        <v>2843</v>
      </c>
      <c r="EX85" s="23">
        <v>82</v>
      </c>
      <c r="EY85" s="23">
        <v>3793</v>
      </c>
      <c r="EZ85" s="23">
        <v>19</v>
      </c>
      <c r="FA85" s="23">
        <v>241</v>
      </c>
      <c r="FB85" s="23">
        <v>6</v>
      </c>
      <c r="FC85" s="23">
        <v>244</v>
      </c>
      <c r="FD85" s="23">
        <v>2439</v>
      </c>
      <c r="FE85" s="23">
        <v>965</v>
      </c>
      <c r="FF85" s="23">
        <v>77</v>
      </c>
      <c r="FG85" s="23">
        <v>15</v>
      </c>
      <c r="FH85" s="23">
        <v>233</v>
      </c>
      <c r="FI85" s="23">
        <v>1120</v>
      </c>
      <c r="FJ85" s="23">
        <v>16</v>
      </c>
      <c r="FK85" s="23">
        <v>9</v>
      </c>
      <c r="FL85" s="23">
        <v>71</v>
      </c>
      <c r="FM85" s="23">
        <v>13</v>
      </c>
      <c r="FN85" s="23">
        <v>37</v>
      </c>
      <c r="FO85" s="23">
        <v>18803</v>
      </c>
      <c r="FP85" s="23">
        <v>1106</v>
      </c>
      <c r="FQ85" s="23">
        <v>6</v>
      </c>
      <c r="FR85" s="23">
        <v>253</v>
      </c>
      <c r="FS85" s="23">
        <v>238</v>
      </c>
      <c r="FT85" s="23">
        <v>570</v>
      </c>
      <c r="FU85" s="23">
        <v>5865</v>
      </c>
      <c r="FV85" s="23">
        <v>331</v>
      </c>
      <c r="FW85" s="23">
        <v>3766</v>
      </c>
      <c r="FX85" s="23">
        <v>1988</v>
      </c>
      <c r="FY85" s="23">
        <v>2</v>
      </c>
      <c r="FZ85" s="23">
        <v>113</v>
      </c>
      <c r="GA85" s="23">
        <v>2561</v>
      </c>
      <c r="GB85" s="23">
        <v>3660</v>
      </c>
      <c r="GC85" s="23">
        <v>4413</v>
      </c>
      <c r="GD85" s="23">
        <v>11730</v>
      </c>
      <c r="GE85" s="23">
        <v>1832</v>
      </c>
      <c r="GF85" s="23">
        <v>4057</v>
      </c>
      <c r="GG85" s="23">
        <v>6343</v>
      </c>
      <c r="GH85" s="23">
        <v>105</v>
      </c>
      <c r="GI85" s="23">
        <v>14</v>
      </c>
      <c r="GJ85" s="23">
        <v>7</v>
      </c>
      <c r="GK85" s="23">
        <v>266</v>
      </c>
      <c r="GL85" s="23">
        <v>2605</v>
      </c>
      <c r="GM85" s="23">
        <v>226</v>
      </c>
      <c r="GN85" s="23">
        <v>2200</v>
      </c>
      <c r="GO85" s="23">
        <v>11</v>
      </c>
      <c r="GP85" s="23">
        <v>1375</v>
      </c>
      <c r="GQ85" s="23">
        <v>534</v>
      </c>
      <c r="GR85" s="23">
        <v>1021</v>
      </c>
      <c r="GS85" s="23">
        <v>7</v>
      </c>
      <c r="GT85" s="23">
        <v>1686</v>
      </c>
      <c r="GU85" s="23">
        <v>136675</v>
      </c>
      <c r="GV85" s="23">
        <v>178</v>
      </c>
      <c r="GW85" s="23">
        <v>12</v>
      </c>
      <c r="GX85" s="23">
        <v>10</v>
      </c>
      <c r="GY85" s="23">
        <v>7206</v>
      </c>
      <c r="GZ85" s="23">
        <v>21657</v>
      </c>
      <c r="HA85" s="23">
        <v>373</v>
      </c>
      <c r="HB85" s="23">
        <v>24</v>
      </c>
      <c r="HC85" s="23">
        <v>2220</v>
      </c>
      <c r="HD85" s="23">
        <v>58</v>
      </c>
      <c r="HE85" s="23">
        <v>105</v>
      </c>
      <c r="HF85" s="23">
        <v>596</v>
      </c>
      <c r="HG85" s="23">
        <v>30217</v>
      </c>
      <c r="HH85" s="23">
        <v>52</v>
      </c>
      <c r="HI85" s="23">
        <v>1319</v>
      </c>
      <c r="HJ85" s="23">
        <v>2076</v>
      </c>
      <c r="HK85" s="23">
        <v>39</v>
      </c>
      <c r="HL85" s="23">
        <v>39</v>
      </c>
      <c r="HM85" s="23">
        <v>323</v>
      </c>
      <c r="HN85" s="23">
        <v>109</v>
      </c>
      <c r="HO85" s="23">
        <v>139</v>
      </c>
      <c r="HP85" s="23">
        <v>6</v>
      </c>
      <c r="HQ85" s="23">
        <v>51608</v>
      </c>
      <c r="HR85" s="23">
        <v>406</v>
      </c>
      <c r="HS85" s="23">
        <v>366317</v>
      </c>
      <c r="HT85" s="23">
        <v>457</v>
      </c>
      <c r="HU85" s="23">
        <v>165</v>
      </c>
      <c r="HV85" s="23">
        <v>245</v>
      </c>
      <c r="HW85" s="23">
        <v>39</v>
      </c>
      <c r="HX85" s="23">
        <v>10</v>
      </c>
      <c r="HY85" s="23">
        <v>0</v>
      </c>
      <c r="HZ85" s="23">
        <v>15</v>
      </c>
      <c r="IA85" s="23">
        <v>12</v>
      </c>
      <c r="IB85" s="23">
        <v>10</v>
      </c>
      <c r="IC85" s="23">
        <v>19</v>
      </c>
      <c r="ID85" s="23">
        <v>1</v>
      </c>
      <c r="IE85" s="23">
        <v>7</v>
      </c>
      <c r="IF85" s="23">
        <v>0</v>
      </c>
      <c r="IG85" s="23">
        <v>12</v>
      </c>
      <c r="IH85" s="23">
        <v>19</v>
      </c>
      <c r="II85" s="23">
        <v>254</v>
      </c>
      <c r="IJ85" s="23">
        <v>18</v>
      </c>
      <c r="IK85" s="23">
        <v>47</v>
      </c>
      <c r="IL85" s="23">
        <v>10</v>
      </c>
      <c r="IM85" s="23">
        <v>5</v>
      </c>
      <c r="IN85" s="23">
        <v>6</v>
      </c>
      <c r="IO85" s="23">
        <v>145</v>
      </c>
      <c r="IP85" s="23">
        <v>22</v>
      </c>
      <c r="IQ85" s="23">
        <v>3</v>
      </c>
      <c r="IR85" s="23">
        <v>3</v>
      </c>
      <c r="IS85" s="23">
        <v>8</v>
      </c>
      <c r="IT85" s="23">
        <v>9</v>
      </c>
      <c r="IU85" s="23">
        <v>6</v>
      </c>
      <c r="IV85" s="23">
        <v>3</v>
      </c>
      <c r="IW85" s="23">
        <v>6</v>
      </c>
      <c r="IX85" s="23">
        <v>2</v>
      </c>
      <c r="IY85" s="23">
        <v>5</v>
      </c>
      <c r="IZ85" s="23">
        <v>2</v>
      </c>
      <c r="JA85" s="23">
        <v>1</v>
      </c>
      <c r="JB85" s="23">
        <v>1</v>
      </c>
      <c r="JC85" s="23">
        <v>4</v>
      </c>
      <c r="JD85" s="23">
        <v>4</v>
      </c>
      <c r="JE85" s="23">
        <v>0</v>
      </c>
      <c r="JF85" s="23">
        <v>0</v>
      </c>
      <c r="JG85" s="23">
        <v>0</v>
      </c>
      <c r="JH85" s="23">
        <v>0</v>
      </c>
      <c r="JI85" s="23">
        <v>113</v>
      </c>
      <c r="JJ85" s="23">
        <v>8</v>
      </c>
      <c r="JK85" s="23">
        <v>513</v>
      </c>
      <c r="JL85" s="23">
        <v>43</v>
      </c>
      <c r="JM85" s="23">
        <v>1952</v>
      </c>
      <c r="JN85" s="23">
        <v>190</v>
      </c>
      <c r="JO85" s="23">
        <v>2460</v>
      </c>
      <c r="JP85" s="23">
        <v>875</v>
      </c>
      <c r="JQ85" s="23">
        <v>16019</v>
      </c>
      <c r="JR85" s="23">
        <v>5183</v>
      </c>
      <c r="JS85" s="23">
        <v>6906</v>
      </c>
      <c r="JT85" s="23">
        <v>783</v>
      </c>
      <c r="JU85" s="23">
        <v>1097</v>
      </c>
      <c r="JV85" s="23">
        <v>13324</v>
      </c>
      <c r="JW85" s="23">
        <v>7314</v>
      </c>
      <c r="JX85" s="23">
        <v>387</v>
      </c>
      <c r="JY85" s="23">
        <v>1101</v>
      </c>
      <c r="JZ85" s="23">
        <v>12262</v>
      </c>
      <c r="KA85" s="23">
        <v>4956</v>
      </c>
      <c r="KB85" s="23">
        <v>946</v>
      </c>
      <c r="KC85" s="23">
        <v>849</v>
      </c>
      <c r="KD85" s="23">
        <v>955</v>
      </c>
      <c r="KE85" s="23">
        <v>14867</v>
      </c>
      <c r="KF85" s="23">
        <v>499</v>
      </c>
      <c r="KG85" s="23">
        <v>4045</v>
      </c>
      <c r="KH85" s="23">
        <v>13837</v>
      </c>
      <c r="KI85" s="23">
        <v>17221</v>
      </c>
      <c r="KJ85" s="23">
        <v>986</v>
      </c>
      <c r="KK85" s="23">
        <v>1738</v>
      </c>
      <c r="KL85" s="23">
        <v>2736</v>
      </c>
      <c r="KM85" s="23">
        <v>299</v>
      </c>
      <c r="KN85" s="23">
        <v>417</v>
      </c>
      <c r="KO85" s="23">
        <v>1953</v>
      </c>
      <c r="KP85" s="23">
        <v>715</v>
      </c>
      <c r="KQ85" s="23">
        <v>41090</v>
      </c>
      <c r="KR85" s="23">
        <v>686</v>
      </c>
      <c r="KS85" s="23">
        <v>131815</v>
      </c>
      <c r="KT85" s="23">
        <v>2962</v>
      </c>
      <c r="KU85" s="23">
        <v>225</v>
      </c>
      <c r="KV85" s="23">
        <v>4453</v>
      </c>
      <c r="KW85" s="23">
        <v>1329</v>
      </c>
      <c r="KX85" s="23">
        <v>1068</v>
      </c>
      <c r="KY85" s="23">
        <v>13127</v>
      </c>
      <c r="KZ85" s="23">
        <v>1082</v>
      </c>
      <c r="LA85" s="23">
        <v>2232</v>
      </c>
      <c r="LB85" s="23">
        <v>288</v>
      </c>
      <c r="LC85" s="23">
        <v>3802</v>
      </c>
      <c r="LD85" s="23">
        <v>8043</v>
      </c>
      <c r="LE85" s="23">
        <v>1678</v>
      </c>
      <c r="LF85" s="23">
        <v>543</v>
      </c>
      <c r="LG85" s="23">
        <v>2878</v>
      </c>
      <c r="LH85" s="23">
        <v>8311</v>
      </c>
      <c r="LI85" s="23">
        <v>345</v>
      </c>
      <c r="LJ85" s="23">
        <v>2449</v>
      </c>
      <c r="LK85" s="23">
        <v>210</v>
      </c>
      <c r="LL85" s="23">
        <v>49</v>
      </c>
      <c r="LM85" s="23">
        <v>103</v>
      </c>
      <c r="LN85" s="278">
        <f ca="1">$A85 - TST!Sweden100dt + 1</f>
        <v>31</v>
      </c>
      <c r="LO85" s="20">
        <f ca="1">INDEX(OFFSET(TST!HeadRow,ROW()-ROW(TST!HeadRow),0,1,COLUMNS(TST!HeadRow)),1,MATCH(LO$5,TST!HeadRow,0))/LO$8</f>
        <v>7043.9882697947223</v>
      </c>
      <c r="LP85" s="278">
        <f ca="1">$A85 - TST!Spain100dt + 1</f>
        <v>31</v>
      </c>
      <c r="LQ85" s="20">
        <f ca="1">INDEX(OFFSET(TST!HeadRow,ROW()-ROW(TST!HeadRow),0,1,COLUMNS(TST!HeadRow)),1,MATCH(LQ$5,TST!HeadRow,0))/LQ$8</f>
        <v>29116.957818491694</v>
      </c>
      <c r="LR85" s="285">
        <f ca="1">$A85 - TST!Victoria100dt + 1</f>
        <v>22</v>
      </c>
      <c r="LS85" s="20">
        <f ca="1">INDEX(OFFSET(TST!HeadRow,ROW()-ROW(TST!HeadRow),0,1,COLUMNS(TST!HeadRow)),1,MATCH(LS$5,TST!HeadRow,0))/LS$8</f>
        <v>1746.8698144516518</v>
      </c>
      <c r="LT85" s="278">
        <f ca="1">$A85 - TST!Iran100dt + 1</f>
        <v>37</v>
      </c>
      <c r="LU85" s="20">
        <f ca="1">INDEX(OFFSET(TST!HeadRow,ROW()-ROW(TST!HeadRow),0,1,COLUMNS(TST!HeadRow)),1,MATCH(LU$5,TST!HeadRow,0))/LU$8</f>
        <v>7221.8972700034619</v>
      </c>
      <c r="LV85" s="278">
        <f ca="1">$A85 - TST!Japan100dt + 1</f>
        <v>13</v>
      </c>
      <c r="LW85" s="20">
        <f ca="1">INDEX(OFFSET(TST!HeadRow,ROW()-ROW(TST!HeadRow),0,1,COLUMNS(TST!HeadRow)),1,MATCH(LW$5,TST!HeadRow,0))/LW$8</f>
        <v>288.73003925440548</v>
      </c>
      <c r="LX85" s="278">
        <f ca="1">$A85 - TST!Queensland100dt + 1</f>
        <v>23</v>
      </c>
      <c r="LY85" s="20">
        <f ca="1">INDEX(OFFSET(TST!HeadRow,ROW()-ROW(TST!HeadRow),0,1,COLUMNS(TST!HeadRow)),1,MATCH(LY$5,TST!HeadRow,0))/LY$8</f>
        <v>1800.4277628697841</v>
      </c>
      <c r="LZ85" s="278">
        <f ca="1">$A85 - TST!Tasmania100dt + 1</f>
        <v>23</v>
      </c>
      <c r="MA85" s="20">
        <f ca="1">INDEX(OFFSET(TST!HeadRow,ROW()-ROW(TST!HeadRow),0,1,COLUMNS(TST!HeadRow)),1,MATCH(MA$5,TST!HeadRow,0))/MA$8</f>
        <v>1669.9029126213593</v>
      </c>
      <c r="MB85" s="278">
        <f ca="1">$A85 - TST!SouthAustralia100dt + 1</f>
        <v>24</v>
      </c>
      <c r="MC85" s="20">
        <f ca="1">INDEX(OFFSET(TST!HeadRow,ROW()-ROW(TST!HeadRow),0,1,COLUMNS(TST!HeadRow)),1,MATCH(MC$5,TST!HeadRow,0))/MC$8</f>
        <v>2461.0778443113772</v>
      </c>
      <c r="MD85" s="278">
        <f ca="1">$A85 - TST!AustralianCapitalTerritory100dt + 1</f>
        <v>18</v>
      </c>
      <c r="ME85" s="20">
        <f ca="1">INDEX(OFFSET(TST!HeadRow,ROW()-ROW(TST!HeadRow),0,1,COLUMNS(TST!HeadRow)),1,MATCH(ME$5,TST!HeadRow,0))/ME$8</f>
        <v>2242.6762603373359</v>
      </c>
      <c r="MF85" s="278">
        <f ca="1">$A85 - TST!NorthernTerritory100dt + 1</f>
        <v>18</v>
      </c>
      <c r="MG85" s="20">
        <f ca="1">INDEX(OFFSET(TST!HeadRow,ROW()-ROW(TST!HeadRow),0,1,COLUMNS(TST!HeadRow)),1,MATCH(MG$5,TST!HeadRow,0))/MG$8</f>
        <v>1321.0974545282972</v>
      </c>
      <c r="MH85" s="278">
        <f ca="1">$A85 - TST!WesternAustralia100dt + 1</f>
        <v>22</v>
      </c>
      <c r="MI85" s="20">
        <f ca="1">INDEX(OFFSET(TST!HeadRow,ROW()-ROW(TST!HeadRow),0,1,COLUMNS(TST!HeadRow)),1,MATCH(MI$5,TST!HeadRow,0))/MI$8</f>
        <v>1776.7477790652761</v>
      </c>
      <c r="MJ85" s="278">
        <f ca="1">$A85 - TST!Germany100dt + 1</f>
        <v>30</v>
      </c>
      <c r="MK85" s="20">
        <f ca="1">INDEX(OFFSET(TST!HeadRow,ROW()-ROW(TST!HeadRow),0,1,COLUMNS(TST!HeadRow)),1,MATCH(MK$5,TST!HeadRow,0))/MK$8</f>
        <v>12451.698385931102</v>
      </c>
      <c r="ML85" s="278">
        <f ca="1">$A85 - TST!Denmark100dt + 1</f>
        <v>29</v>
      </c>
      <c r="MM85" s="20">
        <f ca="1">INDEX(OFFSET(TST!HeadRow,ROW()-ROW(TST!HeadRow),0,1,COLUMNS(TST!HeadRow)),1,MATCH(MM$5,TST!HeadRow,0))/MM$8</f>
        <v>8062.349293833965</v>
      </c>
      <c r="MN85" s="278">
        <f ca="1">$A85 - TST!SouthAfrica100dt + 1</f>
        <v>13</v>
      </c>
      <c r="MO85" s="20">
        <f ca="1">INDEX(OFFSET(TST!HeadRow,ROW()-ROW(TST!HeadRow),0,1,COLUMNS(TST!HeadRow)),1,MATCH(MO$5,TST!HeadRow,0))/MO$8</f>
        <v>291.79646936656286</v>
      </c>
      <c r="MP85" s="278">
        <f ca="1">$A85 - TST!UnitedKingdom100dt + 1</f>
        <v>25</v>
      </c>
      <c r="MQ85" s="20">
        <f ca="1">INDEX(OFFSET(TST!HeadRow,ROW()-ROW(TST!HeadRow),0,1,COLUMNS(TST!HeadRow)),1,MATCH(MQ$5,TST!HeadRow,0))/MQ$8</f>
        <v>7767.609873570138</v>
      </c>
      <c r="MR85" s="278">
        <f ca="1">$A85 - TST!Ireland100dt + 1</f>
        <v>25</v>
      </c>
      <c r="MS85" s="20">
        <f ca="1">INDEX(OFFSET(TST!HeadRow,ROW()-ROW(TST!HeadRow),0,1,COLUMNS(TST!HeadRow)),1,MATCH(MS$5,TST!HeadRow,0))/MS$8</f>
        <v>10946.938775510203</v>
      </c>
      <c r="MT85" s="278">
        <f ca="1">$A85 - TST!Italy100dt + 1</f>
        <v>40</v>
      </c>
      <c r="MU85" s="20">
        <f ca="1">INDEX(OFFSET(TST!HeadRow,ROW()-ROW(TST!HeadRow),0,1,COLUMNS(TST!HeadRow)),1,MATCH(MU$5,TST!HeadRow,0))/MU$8</f>
        <v>21914.028271472267</v>
      </c>
      <c r="MV85" s="278">
        <f ca="1">$A85 - TST!US100dt + 1</f>
        <v>23</v>
      </c>
      <c r="MW85" s="20">
        <f ca="1">INDEX(OFFSET(TST!HeadRow,ROW()-ROW(TST!HeadRow),0,1,COLUMNS(TST!HeadRow)),1,MATCH(MW$5,TST!HeadRow,0))/MW$8</f>
        <v>11126.553106493036</v>
      </c>
      <c r="MX85" s="278">
        <f ca="1">$A85 - TST!AustraliaSum100dt + 1</f>
        <v>23</v>
      </c>
      <c r="MY85" s="366">
        <f t="shared" si="9"/>
        <v>2285.5227882037534</v>
      </c>
      <c r="MZ85" s="278">
        <f ca="1">$A85 - TST!NewSouthWales100dt + 1</f>
        <v>25</v>
      </c>
      <c r="NA85" s="366">
        <f ca="1">INDEX(OFFSET(TST!HeadRow,ROW()-ROW(TST!HeadRow),0,1,COLUMNS(TST!HeadRow)),1,MATCH(NA$5,TST!HeadRow,0))/NA$8</f>
        <v>3263.6138613861385</v>
      </c>
      <c r="NB85" s="278">
        <f ca="1">$A85 - TST!Taiwan100dt + 1</f>
        <v>12</v>
      </c>
      <c r="NC85" s="366">
        <f ca="1">INDEX(OFFSET(TST!HeadRow,ROW()-ROW(TST!HeadRow),0,1,COLUMNS(TST!HeadRow)),1,MATCH(NC$5,TST!HeadRow,0))/NC$8</f>
        <v>156.67475186793686</v>
      </c>
      <c r="ND85" s="20">
        <f ca="1">$A85 - TST!Hubei100dt + 1</f>
        <v>73</v>
      </c>
      <c r="NE85" s="20">
        <f ca="1">INDEX(OFFSET(TST!HeadRow,ROW()-ROW(TST!HeadRow),0,1,COLUMNS(TST!HeadRow)),1,MATCH(NE$5,TST!HeadRow,0))/NE$8</f>
        <v>11590.25641025641</v>
      </c>
      <c r="NF85" s="20">
        <f ca="1">$A85 - TST!HongKong100dt + 1</f>
        <v>43</v>
      </c>
      <c r="NG85" s="20">
        <f ca="1">INDEX(OFFSET(TST!HeadRow,ROW()-ROW(TST!HeadRow),0,1,COLUMNS(TST!HeadRow)),1,MATCH(NG$5,TST!HeadRow,0))/NG$8</f>
        <v>1226.6809824184672</v>
      </c>
    </row>
    <row r="86" spans="1:371" x14ac:dyDescent="0.25">
      <c r="A86" s="243">
        <v>43928</v>
      </c>
      <c r="B86" s="23">
        <v>423</v>
      </c>
      <c r="C86" s="23">
        <v>383</v>
      </c>
      <c r="D86" s="23">
        <v>1468</v>
      </c>
      <c r="E86" s="23">
        <v>545</v>
      </c>
      <c r="F86" s="23">
        <v>17</v>
      </c>
      <c r="G86" s="23">
        <v>19</v>
      </c>
      <c r="H86" s="23">
        <v>1628</v>
      </c>
      <c r="I86" s="23">
        <v>853</v>
      </c>
      <c r="J86" s="23">
        <v>96</v>
      </c>
      <c r="K86" s="293">
        <v>2686</v>
      </c>
      <c r="L86" s="23">
        <v>28</v>
      </c>
      <c r="M86" s="290">
        <v>934</v>
      </c>
      <c r="N86" s="23">
        <v>411</v>
      </c>
      <c r="O86" s="384">
        <v>89</v>
      </c>
      <c r="P86" s="287">
        <v>1191</v>
      </c>
      <c r="Q86" s="23">
        <v>460</v>
      </c>
      <c r="R86" s="23">
        <v>12639</v>
      </c>
      <c r="S86" s="23">
        <v>717</v>
      </c>
      <c r="T86" s="23">
        <v>33</v>
      </c>
      <c r="U86" s="23">
        <v>811</v>
      </c>
      <c r="V86" s="23">
        <v>164</v>
      </c>
      <c r="W86" s="23">
        <v>63</v>
      </c>
      <c r="X86" s="23">
        <v>861</v>
      </c>
      <c r="Y86" s="23">
        <v>22194</v>
      </c>
      <c r="Z86" s="23">
        <v>26</v>
      </c>
      <c r="AA86" s="23">
        <v>5</v>
      </c>
      <c r="AB86" s="23">
        <v>194</v>
      </c>
      <c r="AC86" s="23">
        <v>764</v>
      </c>
      <c r="AD86" s="23">
        <v>14034</v>
      </c>
      <c r="AE86" s="23">
        <v>135</v>
      </c>
      <c r="AF86" s="23">
        <v>577</v>
      </c>
      <c r="AG86" s="23">
        <v>384</v>
      </c>
      <c r="AH86" s="23">
        <v>7</v>
      </c>
      <c r="AI86" s="23">
        <v>115</v>
      </c>
      <c r="AJ86" s="23">
        <v>658</v>
      </c>
      <c r="AK86" s="23">
        <v>1373</v>
      </c>
      <c r="AL86" s="23">
        <v>1266</v>
      </c>
      <c r="AM86" s="23">
        <v>13</v>
      </c>
      <c r="AN86" s="23">
        <v>217</v>
      </c>
      <c r="AO86" s="23">
        <v>105</v>
      </c>
      <c r="AP86" s="23">
        <v>228</v>
      </c>
      <c r="AQ86" s="23">
        <v>310</v>
      </c>
      <c r="AR86" s="23">
        <v>4726</v>
      </c>
      <c r="AS86" s="23">
        <v>22</v>
      </c>
      <c r="AT86" s="23">
        <v>9340</v>
      </c>
      <c r="AU86" s="23">
        <v>260</v>
      </c>
      <c r="AV86" s="23">
        <v>8</v>
      </c>
      <c r="AW86" s="23">
        <v>10</v>
      </c>
      <c r="AX86" s="23">
        <v>5116</v>
      </c>
      <c r="AY86" s="23">
        <v>990</v>
      </c>
      <c r="AZ86" s="23">
        <v>587</v>
      </c>
      <c r="BA86" s="23">
        <v>579</v>
      </c>
      <c r="BB86" s="23">
        <v>351</v>
      </c>
      <c r="BC86" s="23">
        <v>139</v>
      </c>
      <c r="BD86" s="23">
        <v>1533</v>
      </c>
      <c r="BE86" s="23">
        <v>254</v>
      </c>
      <c r="BF86" s="23">
        <v>146</v>
      </c>
      <c r="BG86" s="23">
        <v>168</v>
      </c>
      <c r="BH86" s="23">
        <v>327</v>
      </c>
      <c r="BI86" s="23">
        <v>544</v>
      </c>
      <c r="BJ86" s="23">
        <v>1276</v>
      </c>
      <c r="BK86" s="23">
        <v>935</v>
      </c>
      <c r="BL86" s="23">
        <v>67803</v>
      </c>
      <c r="BM86" s="23">
        <v>1019</v>
      </c>
      <c r="BN86" s="23">
        <v>121</v>
      </c>
      <c r="BO86" s="23">
        <v>651</v>
      </c>
      <c r="BP86" s="23">
        <v>937</v>
      </c>
      <c r="BQ86" s="23">
        <v>98</v>
      </c>
      <c r="BR86" s="23">
        <v>144</v>
      </c>
      <c r="BS86" s="23">
        <v>44</v>
      </c>
      <c r="BT86" s="23">
        <v>75</v>
      </c>
      <c r="BU86" s="23">
        <v>18</v>
      </c>
      <c r="BV86" s="23">
        <v>256</v>
      </c>
      <c r="BW86" s="23">
        <v>781</v>
      </c>
      <c r="BX86" s="23">
        <v>538</v>
      </c>
      <c r="BY86" s="23">
        <v>138</v>
      </c>
      <c r="BZ86" s="23">
        <v>560</v>
      </c>
      <c r="CA86" s="23">
        <v>180</v>
      </c>
      <c r="CB86" s="23">
        <v>1</v>
      </c>
      <c r="CC86" s="23">
        <v>76</v>
      </c>
      <c r="CD86" s="23">
        <v>184</v>
      </c>
      <c r="CE86" s="23">
        <v>1265</v>
      </c>
      <c r="CF86" s="23">
        <v>1780</v>
      </c>
      <c r="CG86" s="23">
        <v>45</v>
      </c>
      <c r="CH86" s="23">
        <v>180</v>
      </c>
      <c r="CI86" s="23">
        <v>483</v>
      </c>
      <c r="CJ86" s="23">
        <v>349</v>
      </c>
      <c r="CK86" s="23">
        <v>1282</v>
      </c>
      <c r="CL86" s="23">
        <v>712</v>
      </c>
      <c r="CM86" s="23">
        <v>396</v>
      </c>
      <c r="CN86" s="23">
        <v>494</v>
      </c>
      <c r="CO86" s="23">
        <v>5017</v>
      </c>
      <c r="CP86" s="23">
        <v>184</v>
      </c>
      <c r="CQ86" s="23">
        <v>11</v>
      </c>
      <c r="CR86" s="23">
        <v>5071</v>
      </c>
      <c r="CS86" s="23">
        <v>90</v>
      </c>
      <c r="CT86" s="23">
        <v>1956</v>
      </c>
      <c r="CU86" s="23">
        <v>3747</v>
      </c>
      <c r="CV86" s="23">
        <v>1450</v>
      </c>
      <c r="CW86" s="23">
        <v>78</v>
      </c>
      <c r="CX86" s="23">
        <v>16</v>
      </c>
      <c r="CY86" s="23">
        <v>31</v>
      </c>
      <c r="CZ86" s="23">
        <v>1149</v>
      </c>
      <c r="DA86" s="23">
        <v>10</v>
      </c>
      <c r="DB86" s="23">
        <v>52</v>
      </c>
      <c r="DC86" s="23">
        <v>15</v>
      </c>
      <c r="DD86" s="23">
        <v>2308</v>
      </c>
      <c r="DE86" s="23">
        <v>72</v>
      </c>
      <c r="DF86" s="23">
        <v>47</v>
      </c>
      <c r="DG86" s="23">
        <v>139</v>
      </c>
      <c r="DH86" s="23">
        <v>171</v>
      </c>
      <c r="DI86" s="23">
        <v>18</v>
      </c>
      <c r="DJ86" s="23">
        <v>358</v>
      </c>
      <c r="DK86" s="23">
        <v>6</v>
      </c>
      <c r="DL86" s="23">
        <v>32</v>
      </c>
      <c r="DM86" s="23">
        <v>152</v>
      </c>
      <c r="DN86" s="23">
        <v>78167</v>
      </c>
      <c r="DO86" s="23">
        <v>30</v>
      </c>
      <c r="DP86" s="23">
        <v>4</v>
      </c>
      <c r="DQ86" s="23">
        <v>196</v>
      </c>
      <c r="DR86" s="23">
        <v>107663</v>
      </c>
      <c r="DS86" s="23">
        <v>287</v>
      </c>
      <c r="DT86" s="23">
        <v>1832</v>
      </c>
      <c r="DU86" s="23">
        <v>77</v>
      </c>
      <c r="DV86" s="23">
        <v>144</v>
      </c>
      <c r="DW86" s="23">
        <v>33</v>
      </c>
      <c r="DX86" s="23">
        <v>25</v>
      </c>
      <c r="DY86" s="23">
        <v>7</v>
      </c>
      <c r="DZ86" s="23">
        <v>305</v>
      </c>
      <c r="EA86" s="23">
        <v>817</v>
      </c>
      <c r="EB86" s="23">
        <v>1586</v>
      </c>
      <c r="EC86" s="23">
        <v>5311</v>
      </c>
      <c r="ED86" s="23">
        <v>2738</v>
      </c>
      <c r="EE86" s="23">
        <v>62589</v>
      </c>
      <c r="EF86" s="23">
        <v>1122</v>
      </c>
      <c r="EG86" s="23">
        <v>5709</v>
      </c>
      <c r="EH86" s="23">
        <v>9248</v>
      </c>
      <c r="EI86" s="23">
        <v>135586</v>
      </c>
      <c r="EJ86" s="23">
        <v>63</v>
      </c>
      <c r="EK86" s="23">
        <v>3906</v>
      </c>
      <c r="EL86" s="23">
        <v>353</v>
      </c>
      <c r="EM86" s="23">
        <v>697</v>
      </c>
      <c r="EN86" s="23">
        <v>172</v>
      </c>
      <c r="EO86" s="23">
        <v>10331</v>
      </c>
      <c r="EP86" s="23">
        <v>743</v>
      </c>
      <c r="EQ86" s="23">
        <v>228</v>
      </c>
      <c r="ER86" s="23">
        <v>548</v>
      </c>
      <c r="ES86" s="23">
        <v>548</v>
      </c>
      <c r="ET86" s="23">
        <v>14</v>
      </c>
      <c r="EU86" s="23">
        <v>78</v>
      </c>
      <c r="EV86" s="23">
        <v>880</v>
      </c>
      <c r="EW86" s="23">
        <v>2970</v>
      </c>
      <c r="EX86" s="23">
        <v>88</v>
      </c>
      <c r="EY86" s="23">
        <v>3963</v>
      </c>
      <c r="EZ86" s="23">
        <v>19</v>
      </c>
      <c r="FA86" s="23">
        <v>293</v>
      </c>
      <c r="FB86" s="23">
        <v>6</v>
      </c>
      <c r="FC86" s="23">
        <v>268</v>
      </c>
      <c r="FD86" s="23">
        <v>2785</v>
      </c>
      <c r="FE86" s="23">
        <v>1056</v>
      </c>
      <c r="FF86" s="23">
        <v>79</v>
      </c>
      <c r="FG86" s="23">
        <v>15</v>
      </c>
      <c r="FH86" s="23">
        <v>241</v>
      </c>
      <c r="FI86" s="23">
        <v>1184</v>
      </c>
      <c r="FJ86" s="23">
        <v>16</v>
      </c>
      <c r="FK86" s="23">
        <v>9</v>
      </c>
      <c r="FL86" s="23">
        <v>74</v>
      </c>
      <c r="FM86" s="23">
        <v>13</v>
      </c>
      <c r="FN86" s="23">
        <v>40</v>
      </c>
      <c r="FO86" s="23">
        <v>19580</v>
      </c>
      <c r="FP86" s="23">
        <v>1160</v>
      </c>
      <c r="FQ86" s="23">
        <v>6</v>
      </c>
      <c r="FR86" s="23">
        <v>278</v>
      </c>
      <c r="FS86" s="23">
        <v>254</v>
      </c>
      <c r="FT86" s="23">
        <v>599</v>
      </c>
      <c r="FU86" s="23">
        <v>6086</v>
      </c>
      <c r="FV86" s="23">
        <v>371</v>
      </c>
      <c r="FW86" s="23">
        <v>4035</v>
      </c>
      <c r="FX86" s="23">
        <v>2100</v>
      </c>
      <c r="FY86" s="23">
        <v>2</v>
      </c>
      <c r="FZ86" s="23">
        <v>115</v>
      </c>
      <c r="GA86" s="23">
        <v>2954</v>
      </c>
      <c r="GB86" s="23">
        <v>3764</v>
      </c>
      <c r="GC86" s="23">
        <v>4848</v>
      </c>
      <c r="GD86" s="23">
        <v>12442</v>
      </c>
      <c r="GE86" s="23">
        <v>2057</v>
      </c>
      <c r="GF86" s="23">
        <v>4417</v>
      </c>
      <c r="GG86" s="23">
        <v>7497</v>
      </c>
      <c r="GH86" s="23">
        <v>105</v>
      </c>
      <c r="GI86" s="23">
        <v>14</v>
      </c>
      <c r="GJ86" s="23">
        <v>8</v>
      </c>
      <c r="GK86" s="23">
        <v>279</v>
      </c>
      <c r="GL86" s="23">
        <v>2795</v>
      </c>
      <c r="GM86" s="23">
        <v>237</v>
      </c>
      <c r="GN86" s="23">
        <v>2447</v>
      </c>
      <c r="GO86" s="23">
        <v>11</v>
      </c>
      <c r="GP86" s="23">
        <v>1481</v>
      </c>
      <c r="GQ86" s="23">
        <v>581</v>
      </c>
      <c r="GR86" s="23">
        <v>1059</v>
      </c>
      <c r="GS86" s="23">
        <v>8</v>
      </c>
      <c r="GT86" s="23">
        <v>1749</v>
      </c>
      <c r="GU86" s="23">
        <v>141942</v>
      </c>
      <c r="GV86" s="23">
        <v>185</v>
      </c>
      <c r="GW86" s="23">
        <v>14</v>
      </c>
      <c r="GX86" s="23">
        <v>10</v>
      </c>
      <c r="GY86" s="23">
        <v>7693</v>
      </c>
      <c r="GZ86" s="23">
        <v>22253</v>
      </c>
      <c r="HA86" s="23">
        <v>376</v>
      </c>
      <c r="HB86" s="23">
        <v>24</v>
      </c>
      <c r="HC86" s="23">
        <v>2258</v>
      </c>
      <c r="HD86" s="23">
        <v>65</v>
      </c>
      <c r="HE86" s="23">
        <v>107</v>
      </c>
      <c r="HF86" s="23">
        <v>623</v>
      </c>
      <c r="HG86" s="23">
        <v>34109</v>
      </c>
      <c r="HH86" s="23">
        <v>52</v>
      </c>
      <c r="HI86" s="23">
        <v>1462</v>
      </c>
      <c r="HJ86" s="23">
        <v>2359</v>
      </c>
      <c r="HK86" s="23">
        <v>39</v>
      </c>
      <c r="HL86" s="23">
        <v>45</v>
      </c>
      <c r="HM86" s="23">
        <v>335</v>
      </c>
      <c r="HN86" s="23">
        <v>113</v>
      </c>
      <c r="HO86" s="23">
        <v>150</v>
      </c>
      <c r="HP86" s="23">
        <v>9</v>
      </c>
      <c r="HQ86" s="23">
        <v>55242</v>
      </c>
      <c r="HR86" s="23">
        <v>424</v>
      </c>
      <c r="HS86" s="23">
        <v>397121</v>
      </c>
      <c r="HT86" s="23">
        <v>520</v>
      </c>
      <c r="HU86" s="23">
        <v>165</v>
      </c>
      <c r="HV86" s="23">
        <v>249</v>
      </c>
      <c r="HW86" s="23">
        <v>39</v>
      </c>
      <c r="HX86" s="23">
        <v>11</v>
      </c>
      <c r="HY86" s="23">
        <v>0</v>
      </c>
      <c r="HZ86" s="23">
        <v>15</v>
      </c>
      <c r="IA86" s="23">
        <v>12</v>
      </c>
      <c r="IB86" s="23">
        <v>10</v>
      </c>
      <c r="IC86" s="23">
        <v>19</v>
      </c>
      <c r="ID86" s="23">
        <v>1</v>
      </c>
      <c r="IE86" s="23">
        <v>7</v>
      </c>
      <c r="IF86" s="23">
        <v>0</v>
      </c>
      <c r="IG86" s="23">
        <v>14</v>
      </c>
      <c r="IH86" s="23">
        <v>20</v>
      </c>
      <c r="II86" s="23">
        <v>261</v>
      </c>
      <c r="IJ86" s="23">
        <v>33</v>
      </c>
      <c r="IK86" s="23">
        <v>56</v>
      </c>
      <c r="IL86" s="23">
        <v>11</v>
      </c>
      <c r="IM86" s="23">
        <v>5</v>
      </c>
      <c r="IN86" s="23">
        <v>7</v>
      </c>
      <c r="IO86" s="23">
        <v>170</v>
      </c>
      <c r="IP86" s="23">
        <v>22</v>
      </c>
      <c r="IQ86" s="23">
        <v>3</v>
      </c>
      <c r="IR86" s="23">
        <v>3</v>
      </c>
      <c r="IS86" s="23">
        <v>8</v>
      </c>
      <c r="IT86" s="23">
        <v>9</v>
      </c>
      <c r="IU86" s="23">
        <v>6</v>
      </c>
      <c r="IV86" s="23">
        <v>3</v>
      </c>
      <c r="IW86" s="23">
        <v>6</v>
      </c>
      <c r="IX86" s="23">
        <v>2</v>
      </c>
      <c r="IY86" s="23">
        <v>8</v>
      </c>
      <c r="IZ86" s="23">
        <v>2</v>
      </c>
      <c r="JA86" s="23">
        <v>1</v>
      </c>
      <c r="JB86" s="23">
        <v>2</v>
      </c>
      <c r="JC86" s="23">
        <v>4</v>
      </c>
      <c r="JD86" s="23">
        <v>4</v>
      </c>
      <c r="JE86" s="23">
        <v>0</v>
      </c>
      <c r="JF86" s="23">
        <v>0</v>
      </c>
      <c r="JG86" s="23">
        <v>0</v>
      </c>
      <c r="JH86" s="23">
        <v>0</v>
      </c>
      <c r="JI86" s="23">
        <v>121</v>
      </c>
      <c r="JJ86" s="23">
        <v>8</v>
      </c>
      <c r="JK86" s="23">
        <v>573</v>
      </c>
      <c r="JL86" s="23">
        <v>43</v>
      </c>
      <c r="JM86" s="23">
        <v>2169</v>
      </c>
      <c r="JN86" s="23">
        <v>213</v>
      </c>
      <c r="JO86" s="23">
        <v>2575</v>
      </c>
      <c r="JP86" s="23">
        <v>946</v>
      </c>
      <c r="JQ86" s="23">
        <v>17351</v>
      </c>
      <c r="JR86" s="23">
        <v>5429</v>
      </c>
      <c r="JS86" s="23">
        <v>7781</v>
      </c>
      <c r="JT86" s="23">
        <v>928</v>
      </c>
      <c r="JU86" s="23">
        <v>1211</v>
      </c>
      <c r="JV86" s="23">
        <v>14545</v>
      </c>
      <c r="JW86" s="23">
        <v>8822</v>
      </c>
      <c r="JX86" s="23">
        <v>410</v>
      </c>
      <c r="JY86" s="23">
        <v>1170</v>
      </c>
      <c r="JZ86" s="23">
        <v>13553</v>
      </c>
      <c r="KA86" s="23">
        <v>5510</v>
      </c>
      <c r="KB86" s="23">
        <v>1046</v>
      </c>
      <c r="KC86" s="23">
        <v>912</v>
      </c>
      <c r="KD86" s="23">
        <v>1149</v>
      </c>
      <c r="KE86" s="23">
        <v>16284</v>
      </c>
      <c r="KF86" s="23">
        <v>519</v>
      </c>
      <c r="KG86" s="23">
        <v>4371</v>
      </c>
      <c r="KH86" s="23">
        <v>15202</v>
      </c>
      <c r="KI86" s="23">
        <v>18970</v>
      </c>
      <c r="KJ86" s="23">
        <v>1069</v>
      </c>
      <c r="KK86" s="23">
        <v>1915</v>
      </c>
      <c r="KL86" s="23">
        <v>3130</v>
      </c>
      <c r="KM86" s="23">
        <v>319</v>
      </c>
      <c r="KN86" s="23">
        <v>447</v>
      </c>
      <c r="KO86" s="23">
        <v>2124</v>
      </c>
      <c r="KP86" s="23">
        <v>715</v>
      </c>
      <c r="KQ86" s="23">
        <v>44416</v>
      </c>
      <c r="KR86" s="23">
        <v>794</v>
      </c>
      <c r="KS86" s="23">
        <v>139875</v>
      </c>
      <c r="KT86" s="23">
        <v>3299</v>
      </c>
      <c r="KU86" s="23">
        <v>237</v>
      </c>
      <c r="KV86" s="23">
        <v>4782</v>
      </c>
      <c r="KW86" s="23">
        <v>1474</v>
      </c>
      <c r="KX86" s="23">
        <v>1132</v>
      </c>
      <c r="KY86" s="23">
        <v>14853</v>
      </c>
      <c r="KZ86" s="23">
        <v>1229</v>
      </c>
      <c r="LA86" s="23">
        <v>2417</v>
      </c>
      <c r="LB86" s="23">
        <v>320</v>
      </c>
      <c r="LC86" s="23">
        <v>4139</v>
      </c>
      <c r="LD86" s="23">
        <v>8925</v>
      </c>
      <c r="LE86" s="23">
        <v>1739</v>
      </c>
      <c r="LF86" s="23">
        <v>575</v>
      </c>
      <c r="LG86" s="23">
        <v>3335</v>
      </c>
      <c r="LH86" s="23">
        <v>8692</v>
      </c>
      <c r="LI86" s="23">
        <v>412</v>
      </c>
      <c r="LJ86" s="23">
        <v>2578</v>
      </c>
      <c r="LK86" s="23">
        <v>216</v>
      </c>
      <c r="LL86" s="23">
        <v>49</v>
      </c>
      <c r="LM86" s="23">
        <v>103</v>
      </c>
      <c r="LN86" s="278">
        <f ca="1">$A86 - TST!Sweden100dt + 1</f>
        <v>32</v>
      </c>
      <c r="LO86" s="20">
        <f ca="1">INDEX(OFFSET(TST!HeadRow,ROW()-ROW(TST!HeadRow),0,1,COLUMNS(TST!HeadRow)),1,MATCH(LO$5,TST!HeadRow,0))/LO$8</f>
        <v>7520.0391006842628</v>
      </c>
      <c r="LP86" s="278">
        <f ca="1">$A86 - TST!Spain100dt + 1</f>
        <v>32</v>
      </c>
      <c r="LQ86" s="20">
        <f ca="1">INDEX(OFFSET(TST!HeadRow,ROW()-ROW(TST!HeadRow),0,1,COLUMNS(TST!HeadRow)),1,MATCH(LQ$5,TST!HeadRow,0))/LQ$8</f>
        <v>30239.02854708138</v>
      </c>
      <c r="LR86" s="285">
        <f ca="1">$A86 - TST!Victoria100dt + 1</f>
        <v>23</v>
      </c>
      <c r="LS86" s="20">
        <f ca="1">INDEX(OFFSET(TST!HeadRow,ROW()-ROW(TST!HeadRow),0,1,COLUMNS(TST!HeadRow)),1,MATCH(LS$5,TST!HeadRow,0))/LS$8</f>
        <v>1796.6510785940563</v>
      </c>
      <c r="LT86" s="278">
        <f ca="1">$A86 - TST!Iran100dt + 1</f>
        <v>38</v>
      </c>
      <c r="LU86" s="20">
        <f ca="1">INDEX(OFFSET(TST!HeadRow,ROW()-ROW(TST!HeadRow),0,1,COLUMNS(TST!HeadRow)),1,MATCH(LU$5,TST!HeadRow,0))/LU$8</f>
        <v>7471.2616236734984</v>
      </c>
      <c r="LV86" s="278">
        <f ca="1">$A86 - TST!Japan100dt + 1</f>
        <v>14</v>
      </c>
      <c r="LW86" s="20">
        <f ca="1">INDEX(OFFSET(TST!HeadRow,ROW()-ROW(TST!HeadRow),0,1,COLUMNS(TST!HeadRow)),1,MATCH(LW$5,TST!HeadRow,0))/LW$8</f>
        <v>308.64245575470932</v>
      </c>
      <c r="LX86" s="278">
        <f ca="1">$A86 - TST!Queensland100dt + 1</f>
        <v>24</v>
      </c>
      <c r="LY86" s="20">
        <f ca="1">INDEX(OFFSET(TST!HeadRow,ROW()-ROW(TST!HeadRow),0,1,COLUMNS(TST!HeadRow)),1,MATCH(LY$5,TST!HeadRow,0))/LY$8</f>
        <v>1825.8409669059483</v>
      </c>
      <c r="LZ86" s="278">
        <f ca="1">$A86 - TST!Tasmania100dt + 1</f>
        <v>24</v>
      </c>
      <c r="MA86" s="20">
        <f ca="1">INDEX(OFFSET(TST!HeadRow,ROW()-ROW(TST!HeadRow),0,1,COLUMNS(TST!HeadRow)),1,MATCH(MA$5,TST!HeadRow,0))/MA$8</f>
        <v>1728.1553398058254</v>
      </c>
      <c r="MB86" s="278">
        <f ca="1">$A86 - TST!SouthAustralia100dt + 1</f>
        <v>25</v>
      </c>
      <c r="MC86" s="20">
        <f ca="1">INDEX(OFFSET(TST!HeadRow,ROW()-ROW(TST!HeadRow),0,1,COLUMNS(TST!HeadRow)),1,MATCH(MC$5,TST!HeadRow,0))/MC$8</f>
        <v>2461.0778443113772</v>
      </c>
      <c r="MD86" s="278">
        <f ca="1">$A86 - TST!AustralianCapitalTerritory100dt + 1</f>
        <v>19</v>
      </c>
      <c r="ME86" s="20">
        <f ca="1">INDEX(OFFSET(TST!HeadRow,ROW()-ROW(TST!HeadRow),0,1,COLUMNS(TST!HeadRow)),1,MATCH(ME$5,TST!HeadRow,0))/ME$8</f>
        <v>2242.6762603373359</v>
      </c>
      <c r="MF86" s="278">
        <f ca="1">$A86 - TST!NorthernTerritory100dt + 1</f>
        <v>19</v>
      </c>
      <c r="MG86" s="20">
        <f ca="1">INDEX(OFFSET(TST!HeadRow,ROW()-ROW(TST!HeadRow),0,1,COLUMNS(TST!HeadRow)),1,MATCH(MG$5,TST!HeadRow,0))/MG$8</f>
        <v>1321.0974545282972</v>
      </c>
      <c r="MH86" s="278">
        <f ca="1">$A86 - TST!WesternAustralia100dt + 1</f>
        <v>23</v>
      </c>
      <c r="MI86" s="20">
        <f ca="1">INDEX(OFFSET(TST!HeadRow,ROW()-ROW(TST!HeadRow),0,1,COLUMNS(TST!HeadRow)),1,MATCH(MI$5,TST!HeadRow,0))/MI$8</f>
        <v>1776.7477790652761</v>
      </c>
      <c r="MJ86" s="278">
        <f ca="1">$A86 - TST!Germany100dt + 1</f>
        <v>31</v>
      </c>
      <c r="MK86" s="20">
        <f ca="1">INDEX(OFFSET(TST!HeadRow,ROW()-ROW(TST!HeadRow),0,1,COLUMNS(TST!HeadRow)),1,MATCH(MK$5,TST!HeadRow,0))/MK$8</f>
        <v>12968.320886533365</v>
      </c>
      <c r="ML86" s="278">
        <f ca="1">$A86 - TST!Denmark100dt + 1</f>
        <v>30</v>
      </c>
      <c r="MM86" s="20">
        <f ca="1">INDEX(OFFSET(TST!HeadRow,ROW()-ROW(TST!HeadRow),0,1,COLUMNS(TST!HeadRow)),1,MATCH(MM$5,TST!HeadRow,0))/MM$8</f>
        <v>8734.0682053048567</v>
      </c>
      <c r="MN86" s="278">
        <f ca="1">$A86 - TST!SouthAfrica100dt + 1</f>
        <v>14</v>
      </c>
      <c r="MO86" s="20">
        <f ca="1">INDEX(OFFSET(TST!HeadRow,ROW()-ROW(TST!HeadRow),0,1,COLUMNS(TST!HeadRow)),1,MATCH(MO$5,TST!HeadRow,0))/MO$8</f>
        <v>302.6998961578401</v>
      </c>
      <c r="MP86" s="278">
        <f ca="1">$A86 - TST!UnitedKingdom100dt + 1</f>
        <v>26</v>
      </c>
      <c r="MQ86" s="20">
        <f ca="1">INDEX(OFFSET(TST!HeadRow,ROW()-ROW(TST!HeadRow),0,1,COLUMNS(TST!HeadRow)),1,MATCH(MQ$5,TST!HeadRow,0))/MQ$8</f>
        <v>8314.5695364238418</v>
      </c>
      <c r="MR86" s="278">
        <f ca="1">$A86 - TST!Ireland100dt + 1</f>
        <v>26</v>
      </c>
      <c r="MS86" s="20">
        <f ca="1">INDEX(OFFSET(TST!HeadRow,ROW()-ROW(TST!HeadRow),0,1,COLUMNS(TST!HeadRow)),1,MATCH(MS$5,TST!HeadRow,0))/MS$8</f>
        <v>11651.020408163266</v>
      </c>
      <c r="MT86" s="278">
        <f ca="1">$A86 - TST!Italy100dt + 1</f>
        <v>41</v>
      </c>
      <c r="MU86" s="20">
        <f ca="1">INDEX(OFFSET(TST!HeadRow,ROW()-ROW(TST!HeadRow),0,1,COLUMNS(TST!HeadRow)),1,MATCH(MU$5,TST!HeadRow,0))/MU$8</f>
        <v>22416.466892618006</v>
      </c>
      <c r="MV86" s="278">
        <f ca="1">$A86 - TST!US100dt + 1</f>
        <v>24</v>
      </c>
      <c r="MW86" s="20">
        <f ca="1">INDEX(OFFSET(TST!HeadRow,ROW()-ROW(TST!HeadRow),0,1,COLUMNS(TST!HeadRow)),1,MATCH(MW$5,TST!HeadRow,0))/MW$8</f>
        <v>12062.197212260477</v>
      </c>
      <c r="MX86" s="278">
        <f ca="1">$A86 - TST!AustraliaSum100dt + 1</f>
        <v>24</v>
      </c>
      <c r="MY86" s="366">
        <f t="shared" si="9"/>
        <v>2324.1602270935182</v>
      </c>
      <c r="MZ86" s="278">
        <f ca="1">$A86 - TST!NewSouthWales100dt + 1</f>
        <v>26</v>
      </c>
      <c r="NA86" s="366">
        <f ca="1">INDEX(OFFSET(TST!HeadRow,ROW()-ROW(TST!HeadRow),0,1,COLUMNS(TST!HeadRow)),1,MATCH(NA$5,TST!HeadRow,0))/NA$8</f>
        <v>3324.257425742574</v>
      </c>
      <c r="NB86" s="278">
        <f ca="1">$A86 - TST!Taiwan100dt + 1</f>
        <v>13</v>
      </c>
      <c r="NC86" s="366">
        <f ca="1">INDEX(OFFSET(TST!HeadRow,ROW()-ROW(TST!HeadRow),0,1,COLUMNS(TST!HeadRow)),1,MATCH(NC$5,TST!HeadRow,0))/NC$8</f>
        <v>157.93487051566828</v>
      </c>
      <c r="ND86" s="20">
        <f ca="1">$A86 - TST!Hubei100dt + 1</f>
        <v>74</v>
      </c>
      <c r="NE86" s="20">
        <f ca="1">INDEX(OFFSET(TST!HeadRow,ROW()-ROW(TST!HeadRow),0,1,COLUMNS(TST!HeadRow)),1,MATCH(NE$5,TST!HeadRow,0))/NE$8</f>
        <v>11590.25641025641</v>
      </c>
      <c r="NF86" s="20">
        <f ca="1">$A86 - TST!HongKong100dt + 1</f>
        <v>44</v>
      </c>
      <c r="NG86" s="20">
        <f ca="1">INDEX(OFFSET(TST!HeadRow,ROW()-ROW(TST!HeadRow),0,1,COLUMNS(TST!HeadRow)),1,MATCH(NG$5,TST!HeadRow,0))/NG$8</f>
        <v>1254.8651187760033</v>
      </c>
    </row>
    <row r="87" spans="1:371" x14ac:dyDescent="0.25">
      <c r="A87" s="243">
        <v>43929</v>
      </c>
      <c r="B87" s="23">
        <v>444</v>
      </c>
      <c r="C87" s="23">
        <v>400</v>
      </c>
      <c r="D87" s="23">
        <v>1572</v>
      </c>
      <c r="E87" s="23">
        <v>564</v>
      </c>
      <c r="F87" s="23">
        <v>19</v>
      </c>
      <c r="G87" s="23">
        <v>19</v>
      </c>
      <c r="H87" s="23">
        <v>1715</v>
      </c>
      <c r="I87" s="23">
        <v>881</v>
      </c>
      <c r="J87" s="23">
        <v>99</v>
      </c>
      <c r="K87" s="293">
        <v>2734</v>
      </c>
      <c r="L87" s="23">
        <v>28</v>
      </c>
      <c r="M87" s="290">
        <v>943</v>
      </c>
      <c r="N87" s="23">
        <v>415</v>
      </c>
      <c r="O87" s="384">
        <v>98</v>
      </c>
      <c r="P87" s="287">
        <v>1212</v>
      </c>
      <c r="Q87" s="23">
        <v>481</v>
      </c>
      <c r="R87" s="23">
        <v>12942</v>
      </c>
      <c r="S87" s="23">
        <v>822</v>
      </c>
      <c r="T87" s="23">
        <v>40</v>
      </c>
      <c r="U87" s="23">
        <v>823</v>
      </c>
      <c r="V87" s="23">
        <v>218</v>
      </c>
      <c r="W87" s="23">
        <v>63</v>
      </c>
      <c r="X87" s="23">
        <v>1066</v>
      </c>
      <c r="Y87" s="23">
        <v>23403</v>
      </c>
      <c r="Z87" s="23">
        <v>26</v>
      </c>
      <c r="AA87" s="23">
        <v>5</v>
      </c>
      <c r="AB87" s="23">
        <v>210</v>
      </c>
      <c r="AC87" s="23">
        <v>804</v>
      </c>
      <c r="AD87" s="23">
        <v>16170</v>
      </c>
      <c r="AE87" s="23">
        <v>135</v>
      </c>
      <c r="AF87" s="23">
        <v>593</v>
      </c>
      <c r="AG87" s="23">
        <v>414</v>
      </c>
      <c r="AH87" s="23">
        <v>7</v>
      </c>
      <c r="AI87" s="23">
        <v>117</v>
      </c>
      <c r="AJ87" s="23">
        <v>730</v>
      </c>
      <c r="AK87" s="23">
        <v>1373</v>
      </c>
      <c r="AL87" s="23">
        <v>1291</v>
      </c>
      <c r="AM87" s="23">
        <v>13</v>
      </c>
      <c r="AN87" s="23">
        <v>217</v>
      </c>
      <c r="AO87" s="23">
        <v>105</v>
      </c>
      <c r="AP87" s="23">
        <v>228</v>
      </c>
      <c r="AQ87" s="23">
        <v>310</v>
      </c>
      <c r="AR87" s="23">
        <v>5276</v>
      </c>
      <c r="AS87" s="23">
        <v>25</v>
      </c>
      <c r="AT87" s="23">
        <v>10031</v>
      </c>
      <c r="AU87" s="23">
        <v>260</v>
      </c>
      <c r="AV87" s="23">
        <v>8</v>
      </c>
      <c r="AW87" s="23">
        <v>10</v>
      </c>
      <c r="AX87" s="23">
        <v>5546</v>
      </c>
      <c r="AY87" s="23">
        <v>990</v>
      </c>
      <c r="AZ87" s="23">
        <v>588</v>
      </c>
      <c r="BA87" s="23">
        <v>579</v>
      </c>
      <c r="BB87" s="23">
        <v>351</v>
      </c>
      <c r="BC87" s="23">
        <v>139</v>
      </c>
      <c r="BD87" s="23">
        <v>1536</v>
      </c>
      <c r="BE87" s="23">
        <v>254</v>
      </c>
      <c r="BF87" s="23">
        <v>146</v>
      </c>
      <c r="BG87" s="23">
        <v>168</v>
      </c>
      <c r="BH87" s="23">
        <v>327</v>
      </c>
      <c r="BI87" s="23">
        <v>569</v>
      </c>
      <c r="BJ87" s="23">
        <v>1276</v>
      </c>
      <c r="BK87" s="23">
        <v>960</v>
      </c>
      <c r="BL87" s="23">
        <v>67803</v>
      </c>
      <c r="BM87" s="23">
        <v>1019</v>
      </c>
      <c r="BN87" s="23">
        <v>124</v>
      </c>
      <c r="BO87" s="23">
        <v>651</v>
      </c>
      <c r="BP87" s="23">
        <v>937</v>
      </c>
      <c r="BQ87" s="23">
        <v>98</v>
      </c>
      <c r="BR87" s="23">
        <v>144</v>
      </c>
      <c r="BS87" s="23">
        <v>45</v>
      </c>
      <c r="BT87" s="23">
        <v>75</v>
      </c>
      <c r="BU87" s="23">
        <v>18</v>
      </c>
      <c r="BV87" s="23">
        <v>256</v>
      </c>
      <c r="BW87" s="23">
        <v>783</v>
      </c>
      <c r="BX87" s="23">
        <v>543</v>
      </c>
      <c r="BY87" s="23">
        <v>163</v>
      </c>
      <c r="BZ87" s="23">
        <v>560</v>
      </c>
      <c r="CA87" s="23">
        <v>180</v>
      </c>
      <c r="CB87" s="23">
        <v>1</v>
      </c>
      <c r="CC87" s="23">
        <v>76</v>
      </c>
      <c r="CD87" s="23">
        <v>184</v>
      </c>
      <c r="CE87" s="23">
        <v>1266</v>
      </c>
      <c r="CF87" s="23">
        <v>2054</v>
      </c>
      <c r="CG87" s="23">
        <v>45</v>
      </c>
      <c r="CH87" s="23">
        <v>180</v>
      </c>
      <c r="CI87" s="23">
        <v>502</v>
      </c>
      <c r="CJ87" s="23">
        <v>384</v>
      </c>
      <c r="CK87" s="23">
        <v>1343</v>
      </c>
      <c r="CL87" s="23">
        <v>712</v>
      </c>
      <c r="CM87" s="23">
        <v>457</v>
      </c>
      <c r="CN87" s="23">
        <v>526</v>
      </c>
      <c r="CO87" s="23">
        <v>5312</v>
      </c>
      <c r="CP87" s="23">
        <v>184</v>
      </c>
      <c r="CQ87" s="23">
        <v>11</v>
      </c>
      <c r="CR87" s="23">
        <v>5402</v>
      </c>
      <c r="CS87" s="23">
        <v>135</v>
      </c>
      <c r="CT87" s="23">
        <v>2111</v>
      </c>
      <c r="CU87" s="23">
        <v>4450</v>
      </c>
      <c r="CV87" s="23">
        <v>1560</v>
      </c>
      <c r="CW87" s="23">
        <v>93</v>
      </c>
      <c r="CX87" s="23">
        <v>18</v>
      </c>
      <c r="CY87" s="23">
        <v>33</v>
      </c>
      <c r="CZ87" s="23">
        <v>1185</v>
      </c>
      <c r="DA87" s="23">
        <v>12</v>
      </c>
      <c r="DB87" s="23">
        <v>55</v>
      </c>
      <c r="DC87" s="23">
        <v>15</v>
      </c>
      <c r="DD87" s="23">
        <v>2487</v>
      </c>
      <c r="DE87" s="23">
        <v>77</v>
      </c>
      <c r="DF87" s="23">
        <v>51</v>
      </c>
      <c r="DG87" s="23">
        <v>141</v>
      </c>
      <c r="DH87" s="23">
        <v>171</v>
      </c>
      <c r="DI87" s="23">
        <v>18</v>
      </c>
      <c r="DJ87" s="23">
        <v>358</v>
      </c>
      <c r="DK87" s="23">
        <v>6</v>
      </c>
      <c r="DL87" s="23">
        <v>32</v>
      </c>
      <c r="DM87" s="23">
        <v>154</v>
      </c>
      <c r="DN87" s="23">
        <v>82048</v>
      </c>
      <c r="DO87" s="23">
        <v>34</v>
      </c>
      <c r="DP87" s="23">
        <v>4</v>
      </c>
      <c r="DQ87" s="23">
        <v>211</v>
      </c>
      <c r="DR87" s="23">
        <v>113296</v>
      </c>
      <c r="DS87" s="23">
        <v>313</v>
      </c>
      <c r="DT87" s="23">
        <v>1884</v>
      </c>
      <c r="DU87" s="23">
        <v>87</v>
      </c>
      <c r="DV87" s="23">
        <v>164</v>
      </c>
      <c r="DW87" s="23">
        <v>37</v>
      </c>
      <c r="DX87" s="23">
        <v>27</v>
      </c>
      <c r="DY87" s="23">
        <v>8</v>
      </c>
      <c r="DZ87" s="23">
        <v>312</v>
      </c>
      <c r="EA87" s="23">
        <v>895</v>
      </c>
      <c r="EB87" s="23">
        <v>1616</v>
      </c>
      <c r="EC87" s="23">
        <v>5916</v>
      </c>
      <c r="ED87" s="23">
        <v>2956</v>
      </c>
      <c r="EE87" s="23">
        <v>64586</v>
      </c>
      <c r="EF87" s="23">
        <v>1202</v>
      </c>
      <c r="EG87" s="23">
        <v>6074</v>
      </c>
      <c r="EH87" s="23">
        <v>9404</v>
      </c>
      <c r="EI87" s="23">
        <v>139422</v>
      </c>
      <c r="EJ87" s="23">
        <v>63</v>
      </c>
      <c r="EK87" s="23">
        <v>4257</v>
      </c>
      <c r="EL87" s="23">
        <v>358</v>
      </c>
      <c r="EM87" s="23">
        <v>727</v>
      </c>
      <c r="EN87" s="23">
        <v>179</v>
      </c>
      <c r="EO87" s="23">
        <v>10384</v>
      </c>
      <c r="EP87" s="23">
        <v>855</v>
      </c>
      <c r="EQ87" s="23">
        <v>270</v>
      </c>
      <c r="ER87" s="23">
        <v>577</v>
      </c>
      <c r="ES87" s="23">
        <v>576</v>
      </c>
      <c r="ET87" s="23">
        <v>31</v>
      </c>
      <c r="EU87" s="23">
        <v>78</v>
      </c>
      <c r="EV87" s="23">
        <v>912</v>
      </c>
      <c r="EW87" s="23">
        <v>3034</v>
      </c>
      <c r="EX87" s="23">
        <v>93</v>
      </c>
      <c r="EY87" s="23">
        <v>4119</v>
      </c>
      <c r="EZ87" s="23">
        <v>19</v>
      </c>
      <c r="FA87" s="23">
        <v>299</v>
      </c>
      <c r="FB87" s="23">
        <v>6</v>
      </c>
      <c r="FC87" s="23">
        <v>273</v>
      </c>
      <c r="FD87" s="23">
        <v>3181</v>
      </c>
      <c r="FE87" s="23">
        <v>1174</v>
      </c>
      <c r="FF87" s="23">
        <v>81</v>
      </c>
      <c r="FG87" s="23">
        <v>16</v>
      </c>
      <c r="FH87" s="23">
        <v>248</v>
      </c>
      <c r="FI87" s="23">
        <v>1275</v>
      </c>
      <c r="FJ87" s="23">
        <v>16</v>
      </c>
      <c r="FK87" s="23">
        <v>9</v>
      </c>
      <c r="FL87" s="23">
        <v>77</v>
      </c>
      <c r="FM87" s="23">
        <v>14</v>
      </c>
      <c r="FN87" s="23">
        <v>40</v>
      </c>
      <c r="FO87" s="23">
        <v>20549</v>
      </c>
      <c r="FP87" s="23">
        <v>1210</v>
      </c>
      <c r="FQ87" s="23">
        <v>6</v>
      </c>
      <c r="FR87" s="23">
        <v>342</v>
      </c>
      <c r="FS87" s="23">
        <v>276</v>
      </c>
      <c r="FT87" s="23">
        <v>617</v>
      </c>
      <c r="FU87" s="23">
        <v>6086</v>
      </c>
      <c r="FV87" s="23">
        <v>419</v>
      </c>
      <c r="FW87" s="23">
        <v>4263</v>
      </c>
      <c r="FX87" s="23">
        <v>2249</v>
      </c>
      <c r="FY87" s="23">
        <v>2</v>
      </c>
      <c r="FZ87" s="23">
        <v>119</v>
      </c>
      <c r="GA87" s="23">
        <v>4342</v>
      </c>
      <c r="GB87" s="23">
        <v>3870</v>
      </c>
      <c r="GC87" s="23">
        <v>5205</v>
      </c>
      <c r="GD87" s="23">
        <v>13141</v>
      </c>
      <c r="GE87" s="23">
        <v>2210</v>
      </c>
      <c r="GF87" s="23">
        <v>4761</v>
      </c>
      <c r="GG87" s="23">
        <v>8672</v>
      </c>
      <c r="GH87" s="23">
        <v>110</v>
      </c>
      <c r="GI87" s="23">
        <v>14</v>
      </c>
      <c r="GJ87" s="23">
        <v>8</v>
      </c>
      <c r="GK87" s="23">
        <v>279</v>
      </c>
      <c r="GL87" s="23">
        <v>2932</v>
      </c>
      <c r="GM87" s="23">
        <v>244</v>
      </c>
      <c r="GN87" s="23">
        <v>2666</v>
      </c>
      <c r="GO87" s="23">
        <v>11</v>
      </c>
      <c r="GP87" s="23">
        <v>1623</v>
      </c>
      <c r="GQ87" s="23">
        <v>682</v>
      </c>
      <c r="GR87" s="23">
        <v>1091</v>
      </c>
      <c r="GS87" s="23">
        <v>12</v>
      </c>
      <c r="GT87" s="23">
        <v>1845</v>
      </c>
      <c r="GU87" s="23">
        <v>148220</v>
      </c>
      <c r="GV87" s="23">
        <v>189</v>
      </c>
      <c r="GW87" s="23">
        <v>14</v>
      </c>
      <c r="GX87" s="23">
        <v>10</v>
      </c>
      <c r="GY87" s="23">
        <v>8419</v>
      </c>
      <c r="GZ87" s="23">
        <v>23280</v>
      </c>
      <c r="HA87" s="23">
        <v>379</v>
      </c>
      <c r="HB87" s="23">
        <v>25</v>
      </c>
      <c r="HC87" s="23">
        <v>2369</v>
      </c>
      <c r="HD87" s="23">
        <v>70</v>
      </c>
      <c r="HE87" s="23">
        <v>107</v>
      </c>
      <c r="HF87" s="23">
        <v>628</v>
      </c>
      <c r="HG87" s="23">
        <v>38226</v>
      </c>
      <c r="HH87" s="23">
        <v>53</v>
      </c>
      <c r="HI87" s="23">
        <v>1668</v>
      </c>
      <c r="HJ87" s="23">
        <v>2659</v>
      </c>
      <c r="HK87" s="23">
        <v>39</v>
      </c>
      <c r="HL87" s="23">
        <v>45</v>
      </c>
      <c r="HM87" s="23">
        <v>351</v>
      </c>
      <c r="HN87" s="23">
        <v>120</v>
      </c>
      <c r="HO87" s="23">
        <v>158</v>
      </c>
      <c r="HP87" s="23">
        <v>9</v>
      </c>
      <c r="HQ87" s="23">
        <v>60733</v>
      </c>
      <c r="HR87" s="23">
        <v>424</v>
      </c>
      <c r="HS87" s="23">
        <v>428654</v>
      </c>
      <c r="HT87" s="23">
        <v>545</v>
      </c>
      <c r="HU87" s="23">
        <v>167</v>
      </c>
      <c r="HV87" s="23">
        <v>251</v>
      </c>
      <c r="HW87" s="23">
        <v>39</v>
      </c>
      <c r="HX87" s="23">
        <v>11</v>
      </c>
      <c r="HY87" s="23">
        <v>0</v>
      </c>
      <c r="HZ87" s="23">
        <v>15</v>
      </c>
      <c r="IA87" s="23">
        <v>12</v>
      </c>
      <c r="IB87" s="23">
        <v>17</v>
      </c>
      <c r="IC87" s="23">
        <v>19</v>
      </c>
      <c r="ID87" s="23">
        <v>1</v>
      </c>
      <c r="IE87" s="23">
        <v>8</v>
      </c>
      <c r="IF87" s="23">
        <v>0</v>
      </c>
      <c r="IG87" s="23">
        <v>15</v>
      </c>
      <c r="IH87" s="23">
        <v>21</v>
      </c>
      <c r="II87" s="23">
        <v>263</v>
      </c>
      <c r="IJ87" s="23">
        <v>33</v>
      </c>
      <c r="IK87" s="23">
        <v>59</v>
      </c>
      <c r="IL87" s="23">
        <v>11</v>
      </c>
      <c r="IM87" s="23">
        <v>5</v>
      </c>
      <c r="IN87" s="23">
        <v>7</v>
      </c>
      <c r="IO87" s="23">
        <v>184</v>
      </c>
      <c r="IP87" s="23">
        <v>22</v>
      </c>
      <c r="IQ87" s="23">
        <v>3</v>
      </c>
      <c r="IR87" s="23">
        <v>3</v>
      </c>
      <c r="IS87" s="23">
        <v>8</v>
      </c>
      <c r="IT87" s="23">
        <v>9</v>
      </c>
      <c r="IU87" s="23">
        <v>6</v>
      </c>
      <c r="IV87" s="23">
        <v>3</v>
      </c>
      <c r="IW87" s="23">
        <v>7</v>
      </c>
      <c r="IX87" s="23">
        <v>2</v>
      </c>
      <c r="IY87" s="23">
        <v>8</v>
      </c>
      <c r="IZ87" s="23">
        <v>5</v>
      </c>
      <c r="JA87" s="23">
        <v>1</v>
      </c>
      <c r="JB87" s="23">
        <v>2</v>
      </c>
      <c r="JC87" s="23">
        <v>4</v>
      </c>
      <c r="JD87" s="23">
        <v>4</v>
      </c>
      <c r="JE87" s="23">
        <v>0</v>
      </c>
      <c r="JF87" s="23">
        <v>0</v>
      </c>
      <c r="JG87" s="23">
        <v>0</v>
      </c>
      <c r="JH87" s="23">
        <v>0</v>
      </c>
      <c r="JI87" s="23">
        <v>121</v>
      </c>
      <c r="JJ87" s="23">
        <v>11</v>
      </c>
      <c r="JK87" s="23">
        <v>620</v>
      </c>
      <c r="JL87" s="23">
        <v>45</v>
      </c>
      <c r="JM87" s="23">
        <v>2328</v>
      </c>
      <c r="JN87" s="23">
        <v>226</v>
      </c>
      <c r="JO87" s="23">
        <v>2726</v>
      </c>
      <c r="JP87" s="23">
        <v>1000</v>
      </c>
      <c r="JQ87" s="23">
        <v>18897</v>
      </c>
      <c r="JR87" s="23">
        <v>5655</v>
      </c>
      <c r="JS87" s="23">
        <v>7781</v>
      </c>
      <c r="JT87" s="23">
        <v>1116</v>
      </c>
      <c r="JU87" s="23">
        <v>1440</v>
      </c>
      <c r="JV87" s="23">
        <v>15456</v>
      </c>
      <c r="JW87" s="23">
        <v>9901</v>
      </c>
      <c r="JX87" s="23">
        <v>410</v>
      </c>
      <c r="JY87" s="23">
        <v>1210</v>
      </c>
      <c r="JZ87" s="23">
        <v>15078</v>
      </c>
      <c r="KA87" s="23">
        <v>5943</v>
      </c>
      <c r="KB87" s="23">
        <v>1145</v>
      </c>
      <c r="KC87" s="23">
        <v>1046</v>
      </c>
      <c r="KD87" s="23">
        <v>1149</v>
      </c>
      <c r="KE87" s="23">
        <v>17030</v>
      </c>
      <c r="KF87" s="23">
        <v>537</v>
      </c>
      <c r="KG87" s="23">
        <v>5529</v>
      </c>
      <c r="KH87" s="23">
        <v>16790</v>
      </c>
      <c r="KI87" s="23">
        <v>20346</v>
      </c>
      <c r="KJ87" s="23">
        <v>1154</v>
      </c>
      <c r="KK87" s="23">
        <v>2003</v>
      </c>
      <c r="KL87" s="23">
        <v>3209</v>
      </c>
      <c r="KM87" s="23">
        <v>332</v>
      </c>
      <c r="KN87" s="23">
        <v>519</v>
      </c>
      <c r="KO87" s="23">
        <v>2259</v>
      </c>
      <c r="KP87" s="23">
        <v>747</v>
      </c>
      <c r="KQ87" s="23">
        <v>47437</v>
      </c>
      <c r="KR87" s="23">
        <v>821</v>
      </c>
      <c r="KS87" s="23">
        <v>151061</v>
      </c>
      <c r="KT87" s="23">
        <v>3499</v>
      </c>
      <c r="KU87" s="23">
        <v>251</v>
      </c>
      <c r="KV87" s="23">
        <v>5148</v>
      </c>
      <c r="KW87" s="23">
        <v>1526</v>
      </c>
      <c r="KX87" s="23">
        <v>1181</v>
      </c>
      <c r="KY87" s="23">
        <v>16631</v>
      </c>
      <c r="KZ87" s="23">
        <v>1450</v>
      </c>
      <c r="LA87" s="23">
        <v>2417</v>
      </c>
      <c r="LB87" s="23">
        <v>393</v>
      </c>
      <c r="LC87" s="23">
        <v>4363</v>
      </c>
      <c r="LD87" s="23">
        <v>9777</v>
      </c>
      <c r="LE87" s="23">
        <v>1848</v>
      </c>
      <c r="LF87" s="23">
        <v>605</v>
      </c>
      <c r="LG87" s="23">
        <v>3645</v>
      </c>
      <c r="LH87" s="23">
        <v>9276</v>
      </c>
      <c r="LI87" s="23">
        <v>483</v>
      </c>
      <c r="LJ87" s="23">
        <v>2710</v>
      </c>
      <c r="LK87" s="23">
        <v>221</v>
      </c>
      <c r="LL87" s="23">
        <v>49</v>
      </c>
      <c r="LM87" s="23">
        <v>103</v>
      </c>
      <c r="LN87" s="278">
        <f ca="1">$A87 - TST!Sweden100dt + 1</f>
        <v>33</v>
      </c>
      <c r="LO87" s="20">
        <f ca="1">INDEX(OFFSET(TST!HeadRow,ROW()-ROW(TST!HeadRow),0,1,COLUMNS(TST!HeadRow)),1,MATCH(LO$5,TST!HeadRow,0))/LO$8</f>
        <v>8229.7165200391009</v>
      </c>
      <c r="LP87" s="278">
        <f ca="1">$A87 - TST!Spain100dt + 1</f>
        <v>33</v>
      </c>
      <c r="LQ87" s="20">
        <f ca="1">INDEX(OFFSET(TST!HeadRow,ROW()-ROW(TST!HeadRow),0,1,COLUMNS(TST!HeadRow)),1,MATCH(LQ$5,TST!HeadRow,0))/LQ$8</f>
        <v>31576.480613549211</v>
      </c>
      <c r="LR87" s="285">
        <f ca="1">$A87 - TST!Victoria100dt + 1</f>
        <v>24</v>
      </c>
      <c r="LS87" s="20">
        <f ca="1">INDEX(OFFSET(TST!HeadRow,ROW()-ROW(TST!HeadRow),0,1,COLUMNS(TST!HeadRow)),1,MATCH(LS$5,TST!HeadRow,0))/LS$8</f>
        <v>1828.3300648664956</v>
      </c>
      <c r="LT87" s="278">
        <f ca="1">$A87 - TST!Iran100dt + 1</f>
        <v>39</v>
      </c>
      <c r="LU87" s="20">
        <f ca="1">INDEX(OFFSET(TST!HeadRow,ROW()-ROW(TST!HeadRow),0,1,COLUMNS(TST!HeadRow)),1,MATCH(LU$5,TST!HeadRow,0))/LU$8</f>
        <v>7709.6439186850175</v>
      </c>
      <c r="LV87" s="278">
        <f ca="1">$A87 - TST!Japan100dt + 1</f>
        <v>15</v>
      </c>
      <c r="LW87" s="20">
        <f ca="1">INDEX(OFFSET(TST!HeadRow,ROW()-ROW(TST!HeadRow),0,1,COLUMNS(TST!HeadRow)),1,MATCH(LW$5,TST!HeadRow,0))/LW$8</f>
        <v>336.37760730870394</v>
      </c>
      <c r="LX87" s="278">
        <f ca="1">$A87 - TST!Queensland100dt + 1</f>
        <v>25</v>
      </c>
      <c r="LY87" s="20">
        <f ca="1">INDEX(OFFSET(TST!HeadRow,ROW()-ROW(TST!HeadRow),0,1,COLUMNS(TST!HeadRow)),1,MATCH(LY$5,TST!HeadRow,0))/LY$8</f>
        <v>1843.4347235463697</v>
      </c>
      <c r="LZ87" s="278">
        <f ca="1">$A87 - TST!Tasmania100dt + 1</f>
        <v>25</v>
      </c>
      <c r="MA87" s="20">
        <f ca="1">INDEX(OFFSET(TST!HeadRow,ROW()-ROW(TST!HeadRow),0,1,COLUMNS(TST!HeadRow)),1,MATCH(MA$5,TST!HeadRow,0))/MA$8</f>
        <v>1902.9126213592233</v>
      </c>
      <c r="MB87" s="278">
        <f ca="1">$A87 - TST!SouthAustralia100dt + 1</f>
        <v>26</v>
      </c>
      <c r="MC87" s="20">
        <f ca="1">INDEX(OFFSET(TST!HeadRow,ROW()-ROW(TST!HeadRow),0,1,COLUMNS(TST!HeadRow)),1,MATCH(MC$5,TST!HeadRow,0))/MC$8</f>
        <v>2485.0299401197603</v>
      </c>
      <c r="MD87" s="278">
        <f ca="1">$A87 - TST!AustralianCapitalTerritory100dt + 1</f>
        <v>20</v>
      </c>
      <c r="ME87" s="20">
        <f ca="1">INDEX(OFFSET(TST!HeadRow,ROW()-ROW(TST!HeadRow),0,1,COLUMNS(TST!HeadRow)),1,MATCH(ME$5,TST!HeadRow,0))/ME$8</f>
        <v>2312.7598934728776</v>
      </c>
      <c r="MF87" s="278">
        <f ca="1">$A87 - TST!NorthernTerritory100dt + 1</f>
        <v>20</v>
      </c>
      <c r="MG87" s="20">
        <f ca="1">INDEX(OFFSET(TST!HeadRow,ROW()-ROW(TST!HeadRow),0,1,COLUMNS(TST!HeadRow)),1,MATCH(MG$5,TST!HeadRow,0))/MG$8</f>
        <v>1321.0974545282972</v>
      </c>
      <c r="MH87" s="278">
        <f ca="1">$A87 - TST!WesternAustralia100dt + 1</f>
        <v>24</v>
      </c>
      <c r="MI87" s="20">
        <f ca="1">INDEX(OFFSET(TST!HeadRow,ROW()-ROW(TST!HeadRow),0,1,COLUMNS(TST!HeadRow)),1,MATCH(MI$5,TST!HeadRow,0))/MI$8</f>
        <v>1857.8601776747778</v>
      </c>
      <c r="MJ87" s="278">
        <f ca="1">$A87 - TST!Germany100dt + 1</f>
        <v>32</v>
      </c>
      <c r="MK87" s="20">
        <f ca="1">INDEX(OFFSET(TST!HeadRow,ROW()-ROW(TST!HeadRow),0,1,COLUMNS(TST!HeadRow)),1,MATCH(MK$5,TST!HeadRow,0))/MK$8</f>
        <v>13646.832088653337</v>
      </c>
      <c r="ML87" s="278">
        <f ca="1">$A87 - TST!Denmark100dt + 1</f>
        <v>31</v>
      </c>
      <c r="MM87" s="20">
        <f ca="1">INDEX(OFFSET(TST!HeadRow,ROW()-ROW(TST!HeadRow),0,1,COLUMNS(TST!HeadRow)),1,MATCH(MM$5,TST!HeadRow,0))/MM$8</f>
        <v>9304.1681019634852</v>
      </c>
      <c r="MN87" s="278">
        <f ca="1">$A87 - TST!SouthAfrica100dt + 1</f>
        <v>15</v>
      </c>
      <c r="MO87" s="20">
        <f ca="1">INDEX(OFFSET(TST!HeadRow,ROW()-ROW(TST!HeadRow),0,1,COLUMNS(TST!HeadRow)),1,MATCH(MO$5,TST!HeadRow,0))/MO$8</f>
        <v>319.31464174454828</v>
      </c>
      <c r="MP87" s="278">
        <f ca="1">$A87 - TST!UnitedKingdom100dt + 1</f>
        <v>27</v>
      </c>
      <c r="MQ87" s="20">
        <f ca="1">INDEX(OFFSET(TST!HeadRow,ROW()-ROW(TST!HeadRow),0,1,COLUMNS(TST!HeadRow)),1,MATCH(MQ$5,TST!HeadRow,0))/MQ$8</f>
        <v>9141.0295003010233</v>
      </c>
      <c r="MR87" s="278">
        <f ca="1">$A87 - TST!Ireland100dt + 1</f>
        <v>27</v>
      </c>
      <c r="MS87" s="20">
        <f ca="1">INDEX(OFFSET(TST!HeadRow,ROW()-ROW(TST!HeadRow),0,1,COLUMNS(TST!HeadRow)),1,MATCH(MS$5,TST!HeadRow,0))/MS$8</f>
        <v>12395.91836734694</v>
      </c>
      <c r="MT87" s="278">
        <f ca="1">$A87 - TST!Italy100dt + 1</f>
        <v>42</v>
      </c>
      <c r="MU87" s="20">
        <f ca="1">INDEX(OFFSET(TST!HeadRow,ROW()-ROW(TST!HeadRow),0,1,COLUMNS(TST!HeadRow)),1,MATCH(MU$5,TST!HeadRow,0))/MU$8</f>
        <v>23050.673720757215</v>
      </c>
      <c r="MV87" s="278">
        <f ca="1">$A87 - TST!US100dt + 1</f>
        <v>25</v>
      </c>
      <c r="MW87" s="20">
        <f ca="1">INDEX(OFFSET(TST!HeadRow,ROW()-ROW(TST!HeadRow),0,1,COLUMNS(TST!HeadRow)),1,MATCH(MW$5,TST!HeadRow,0))/MW$8</f>
        <v>13019.984044722647</v>
      </c>
      <c r="MX87" s="278">
        <f ca="1">$A87 - TST!AustraliaSum100dt + 1</f>
        <v>25</v>
      </c>
      <c r="MY87" s="366">
        <f t="shared" si="9"/>
        <v>2369.500078851916</v>
      </c>
      <c r="MZ87" s="278">
        <f ca="1">$A87 - TST!NewSouthWales100dt + 1</f>
        <v>27</v>
      </c>
      <c r="NA87" s="366">
        <f ca="1">INDEX(OFFSET(TST!HeadRow,ROW()-ROW(TST!HeadRow),0,1,COLUMNS(TST!HeadRow)),1,MATCH(NA$5,TST!HeadRow,0))/NA$8</f>
        <v>3383.6633663366333</v>
      </c>
      <c r="NB87" s="278">
        <f ca="1">$A87 - TST!Taiwan100dt + 1</f>
        <v>14</v>
      </c>
      <c r="NC87" s="366">
        <f ca="1">INDEX(OFFSET(TST!HeadRow,ROW()-ROW(TST!HeadRow),0,1,COLUMNS(TST!HeadRow)),1,MATCH(NC$5,TST!HeadRow,0))/NC$8</f>
        <v>159.19498916339967</v>
      </c>
      <c r="ND87" s="20">
        <f ca="1">$A87 - TST!Hubei100dt + 1</f>
        <v>75</v>
      </c>
      <c r="NE87" s="20">
        <f ca="1">INDEX(OFFSET(TST!HeadRow,ROW()-ROW(TST!HeadRow),0,1,COLUMNS(TST!HeadRow)),1,MATCH(NE$5,TST!HeadRow,0))/NE$8</f>
        <v>11590.25641025641</v>
      </c>
      <c r="NF87" s="20">
        <f ca="1">$A87 - TST!HongKong100dt + 1</f>
        <v>45</v>
      </c>
      <c r="NG87" s="20">
        <f ca="1">INDEX(OFFSET(TST!HeadRow,ROW()-ROW(TST!HeadRow),0,1,COLUMNS(TST!HeadRow)),1,MATCH(NG$5,TST!HeadRow,0))/NG$8</f>
        <v>1288.4176620587841</v>
      </c>
    </row>
    <row r="88" spans="1:371" x14ac:dyDescent="0.25">
      <c r="A88" s="243">
        <v>43930</v>
      </c>
      <c r="B88" s="23">
        <v>484</v>
      </c>
      <c r="C88" s="23">
        <v>409</v>
      </c>
      <c r="D88" s="23">
        <v>1666</v>
      </c>
      <c r="E88" s="23">
        <v>583</v>
      </c>
      <c r="F88" s="23">
        <v>19</v>
      </c>
      <c r="G88" s="23">
        <v>19</v>
      </c>
      <c r="H88" s="23">
        <v>1795</v>
      </c>
      <c r="I88" s="23">
        <v>921</v>
      </c>
      <c r="J88" s="23">
        <v>100</v>
      </c>
      <c r="K88" s="293">
        <v>2773</v>
      </c>
      <c r="L88" s="23">
        <v>28</v>
      </c>
      <c r="M88" s="290">
        <v>953</v>
      </c>
      <c r="N88" s="23">
        <v>420</v>
      </c>
      <c r="O88" s="384">
        <v>111</v>
      </c>
      <c r="P88" s="287">
        <v>1228</v>
      </c>
      <c r="Q88" s="23">
        <v>495</v>
      </c>
      <c r="R88" s="23">
        <v>13244</v>
      </c>
      <c r="S88" s="23">
        <v>926</v>
      </c>
      <c r="T88" s="23">
        <v>41</v>
      </c>
      <c r="U88" s="23">
        <v>887</v>
      </c>
      <c r="V88" s="23">
        <v>330</v>
      </c>
      <c r="W88" s="23">
        <v>66</v>
      </c>
      <c r="X88" s="23">
        <v>1486</v>
      </c>
      <c r="Y88" s="23">
        <v>24983</v>
      </c>
      <c r="Z88" s="23">
        <v>26</v>
      </c>
      <c r="AA88" s="23">
        <v>5</v>
      </c>
      <c r="AB88" s="23">
        <v>264</v>
      </c>
      <c r="AC88" s="23">
        <v>858</v>
      </c>
      <c r="AD88" s="23">
        <v>18092</v>
      </c>
      <c r="AE88" s="23">
        <v>135</v>
      </c>
      <c r="AF88" s="23">
        <v>618</v>
      </c>
      <c r="AG88" s="23">
        <v>443</v>
      </c>
      <c r="AH88" s="23">
        <v>7</v>
      </c>
      <c r="AI88" s="23">
        <v>119</v>
      </c>
      <c r="AJ88" s="23">
        <v>730</v>
      </c>
      <c r="AK88" s="23">
        <v>1423</v>
      </c>
      <c r="AL88" s="23">
        <v>1336</v>
      </c>
      <c r="AM88" s="23">
        <v>13</v>
      </c>
      <c r="AN88" s="23">
        <v>221</v>
      </c>
      <c r="AO88" s="23">
        <v>108</v>
      </c>
      <c r="AP88" s="23">
        <v>232</v>
      </c>
      <c r="AQ88" s="23">
        <v>342</v>
      </c>
      <c r="AR88" s="23">
        <v>5759</v>
      </c>
      <c r="AS88" s="23">
        <v>25</v>
      </c>
      <c r="AT88" s="23">
        <v>10912</v>
      </c>
      <c r="AU88" s="23">
        <v>271</v>
      </c>
      <c r="AV88" s="23">
        <v>8</v>
      </c>
      <c r="AW88" s="23">
        <v>11</v>
      </c>
      <c r="AX88" s="23">
        <v>5972</v>
      </c>
      <c r="AY88" s="23">
        <v>991</v>
      </c>
      <c r="AZ88" s="23">
        <v>588</v>
      </c>
      <c r="BA88" s="23">
        <v>579</v>
      </c>
      <c r="BB88" s="23">
        <v>351</v>
      </c>
      <c r="BC88" s="23">
        <v>139</v>
      </c>
      <c r="BD88" s="23">
        <v>1539</v>
      </c>
      <c r="BE88" s="23">
        <v>254</v>
      </c>
      <c r="BF88" s="23">
        <v>146</v>
      </c>
      <c r="BG88" s="23">
        <v>168</v>
      </c>
      <c r="BH88" s="23">
        <v>327</v>
      </c>
      <c r="BI88" s="23">
        <v>609</v>
      </c>
      <c r="BJ88" s="23">
        <v>1276</v>
      </c>
      <c r="BK88" s="23">
        <v>973</v>
      </c>
      <c r="BL88" s="23">
        <v>67803</v>
      </c>
      <c r="BM88" s="23">
        <v>1019</v>
      </c>
      <c r="BN88" s="23">
        <v>126</v>
      </c>
      <c r="BO88" s="23">
        <v>651</v>
      </c>
      <c r="BP88" s="23">
        <v>937</v>
      </c>
      <c r="BQ88" s="23">
        <v>98</v>
      </c>
      <c r="BR88" s="23">
        <v>144</v>
      </c>
      <c r="BS88" s="23">
        <v>45</v>
      </c>
      <c r="BT88" s="23">
        <v>75</v>
      </c>
      <c r="BU88" s="23">
        <v>18</v>
      </c>
      <c r="BV88" s="23">
        <v>256</v>
      </c>
      <c r="BW88" s="23">
        <v>783</v>
      </c>
      <c r="BX88" s="23">
        <v>552</v>
      </c>
      <c r="BY88" s="23">
        <v>166</v>
      </c>
      <c r="BZ88" s="23">
        <v>560</v>
      </c>
      <c r="CA88" s="23">
        <v>182</v>
      </c>
      <c r="CB88" s="23">
        <v>1</v>
      </c>
      <c r="CC88" s="23">
        <v>76</v>
      </c>
      <c r="CD88" s="23">
        <v>184</v>
      </c>
      <c r="CE88" s="23">
        <v>1267</v>
      </c>
      <c r="CF88" s="23">
        <v>2223</v>
      </c>
      <c r="CG88" s="23">
        <v>60</v>
      </c>
      <c r="CH88" s="23">
        <v>180</v>
      </c>
      <c r="CI88" s="23">
        <v>539</v>
      </c>
      <c r="CJ88" s="23">
        <v>444</v>
      </c>
      <c r="CK88" s="23">
        <v>1407</v>
      </c>
      <c r="CL88" s="23">
        <v>712</v>
      </c>
      <c r="CM88" s="23">
        <v>515</v>
      </c>
      <c r="CN88" s="23">
        <v>564</v>
      </c>
      <c r="CO88" s="23">
        <v>5569</v>
      </c>
      <c r="CP88" s="23">
        <v>184</v>
      </c>
      <c r="CQ88" s="23">
        <v>11</v>
      </c>
      <c r="CR88" s="23">
        <v>5635</v>
      </c>
      <c r="CS88" s="23">
        <v>135</v>
      </c>
      <c r="CT88" s="23">
        <v>2349</v>
      </c>
      <c r="CU88" s="23">
        <v>4965</v>
      </c>
      <c r="CV88" s="23">
        <v>1699</v>
      </c>
      <c r="CW88" s="23">
        <v>103</v>
      </c>
      <c r="CX88" s="23">
        <v>18</v>
      </c>
      <c r="CY88" s="23">
        <v>33</v>
      </c>
      <c r="CZ88" s="23">
        <v>1207</v>
      </c>
      <c r="DA88" s="23">
        <v>12</v>
      </c>
      <c r="DB88" s="23">
        <v>56</v>
      </c>
      <c r="DC88" s="23">
        <v>15</v>
      </c>
      <c r="DD88" s="23">
        <v>2605</v>
      </c>
      <c r="DE88" s="23">
        <v>83</v>
      </c>
      <c r="DF88" s="23">
        <v>51</v>
      </c>
      <c r="DG88" s="23">
        <v>141</v>
      </c>
      <c r="DH88" s="23">
        <v>184</v>
      </c>
      <c r="DI88" s="23">
        <v>18</v>
      </c>
      <c r="DJ88" s="23">
        <v>362</v>
      </c>
      <c r="DK88" s="23">
        <v>6</v>
      </c>
      <c r="DL88" s="23">
        <v>32</v>
      </c>
      <c r="DM88" s="23">
        <v>154</v>
      </c>
      <c r="DN88" s="23">
        <v>86334</v>
      </c>
      <c r="DO88" s="23">
        <v>44</v>
      </c>
      <c r="DP88" s="23">
        <v>4</v>
      </c>
      <c r="DQ88" s="23">
        <v>218</v>
      </c>
      <c r="DR88" s="23">
        <v>118181</v>
      </c>
      <c r="DS88" s="23">
        <v>378</v>
      </c>
      <c r="DT88" s="23">
        <v>1955</v>
      </c>
      <c r="DU88" s="23">
        <v>95</v>
      </c>
      <c r="DV88" s="23">
        <v>194</v>
      </c>
      <c r="DW88" s="23">
        <v>37</v>
      </c>
      <c r="DX88" s="23">
        <v>30</v>
      </c>
      <c r="DY88" s="23">
        <v>8</v>
      </c>
      <c r="DZ88" s="23">
        <v>343</v>
      </c>
      <c r="EA88" s="23">
        <v>980</v>
      </c>
      <c r="EB88" s="23">
        <v>1648</v>
      </c>
      <c r="EC88" s="23">
        <v>6725</v>
      </c>
      <c r="ED88" s="23">
        <v>3293</v>
      </c>
      <c r="EE88" s="23">
        <v>66220</v>
      </c>
      <c r="EF88" s="23">
        <v>1232</v>
      </c>
      <c r="EG88" s="23">
        <v>6574</v>
      </c>
      <c r="EH88" s="23">
        <v>9968</v>
      </c>
      <c r="EI88" s="23">
        <v>143626</v>
      </c>
      <c r="EJ88" s="23">
        <v>63</v>
      </c>
      <c r="EK88" s="23">
        <v>4667</v>
      </c>
      <c r="EL88" s="23">
        <v>372</v>
      </c>
      <c r="EM88" s="23">
        <v>781</v>
      </c>
      <c r="EN88" s="23">
        <v>184</v>
      </c>
      <c r="EO88" s="23">
        <v>10423</v>
      </c>
      <c r="EP88" s="23">
        <v>910</v>
      </c>
      <c r="EQ88" s="23">
        <v>280</v>
      </c>
      <c r="ER88" s="23">
        <v>589</v>
      </c>
      <c r="ES88" s="23">
        <v>582</v>
      </c>
      <c r="ET88" s="23">
        <v>31</v>
      </c>
      <c r="EU88" s="23">
        <v>78</v>
      </c>
      <c r="EV88" s="23">
        <v>955</v>
      </c>
      <c r="EW88" s="23">
        <v>3115</v>
      </c>
      <c r="EX88" s="23">
        <v>93</v>
      </c>
      <c r="EY88" s="23">
        <v>4228</v>
      </c>
      <c r="EZ88" s="23">
        <v>19</v>
      </c>
      <c r="FA88" s="23">
        <v>337</v>
      </c>
      <c r="FB88" s="23">
        <v>7</v>
      </c>
      <c r="FC88" s="23">
        <v>314</v>
      </c>
      <c r="FD88" s="23">
        <v>3441</v>
      </c>
      <c r="FE88" s="23">
        <v>1289</v>
      </c>
      <c r="FF88" s="23">
        <v>84</v>
      </c>
      <c r="FG88" s="23">
        <v>16</v>
      </c>
      <c r="FH88" s="23">
        <v>252</v>
      </c>
      <c r="FI88" s="23">
        <v>1374</v>
      </c>
      <c r="FJ88" s="23">
        <v>16</v>
      </c>
      <c r="FK88" s="23">
        <v>9</v>
      </c>
      <c r="FL88" s="23">
        <v>82</v>
      </c>
      <c r="FM88" s="23">
        <v>14</v>
      </c>
      <c r="FN88" s="23">
        <v>43</v>
      </c>
      <c r="FO88" s="23">
        <v>21762</v>
      </c>
      <c r="FP88" s="23">
        <v>1239</v>
      </c>
      <c r="FQ88" s="23">
        <v>7</v>
      </c>
      <c r="FR88" s="23">
        <v>410</v>
      </c>
      <c r="FS88" s="23">
        <v>288</v>
      </c>
      <c r="FT88" s="23">
        <v>663</v>
      </c>
      <c r="FU88" s="23">
        <v>6211</v>
      </c>
      <c r="FV88" s="23">
        <v>457</v>
      </c>
      <c r="FW88" s="23">
        <v>4489</v>
      </c>
      <c r="FX88" s="23">
        <v>2528</v>
      </c>
      <c r="FY88" s="23">
        <v>2</v>
      </c>
      <c r="FZ88" s="23">
        <v>124</v>
      </c>
      <c r="GA88" s="23">
        <v>5256</v>
      </c>
      <c r="GB88" s="23">
        <v>4076</v>
      </c>
      <c r="GC88" s="23">
        <v>5575</v>
      </c>
      <c r="GD88" s="23">
        <v>13956</v>
      </c>
      <c r="GE88" s="23">
        <v>2376</v>
      </c>
      <c r="GF88" s="23">
        <v>5202</v>
      </c>
      <c r="GG88" s="23">
        <v>10131</v>
      </c>
      <c r="GH88" s="23">
        <v>110</v>
      </c>
      <c r="GI88" s="23">
        <v>14</v>
      </c>
      <c r="GJ88" s="23">
        <v>12</v>
      </c>
      <c r="GK88" s="23">
        <v>333</v>
      </c>
      <c r="GL88" s="23">
        <v>3287</v>
      </c>
      <c r="GM88" s="23">
        <v>250</v>
      </c>
      <c r="GN88" s="23">
        <v>2867</v>
      </c>
      <c r="GO88" s="23">
        <v>11</v>
      </c>
      <c r="GP88" s="23">
        <v>1910</v>
      </c>
      <c r="GQ88" s="23">
        <v>701</v>
      </c>
      <c r="GR88" s="23">
        <v>1124</v>
      </c>
      <c r="GS88" s="23">
        <v>12</v>
      </c>
      <c r="GT88" s="23">
        <v>1934</v>
      </c>
      <c r="GU88" s="23">
        <v>153222</v>
      </c>
      <c r="GV88" s="23">
        <v>190</v>
      </c>
      <c r="GW88" s="23">
        <v>15</v>
      </c>
      <c r="GX88" s="23">
        <v>10</v>
      </c>
      <c r="GY88" s="23">
        <v>9141</v>
      </c>
      <c r="GZ88" s="23">
        <v>24051</v>
      </c>
      <c r="HA88" s="23">
        <v>380</v>
      </c>
      <c r="HB88" s="23">
        <v>25</v>
      </c>
      <c r="HC88" s="23">
        <v>2423</v>
      </c>
      <c r="HD88" s="23">
        <v>73</v>
      </c>
      <c r="HE88" s="23">
        <v>109</v>
      </c>
      <c r="HF88" s="23">
        <v>643</v>
      </c>
      <c r="HG88" s="23">
        <v>42282</v>
      </c>
      <c r="HH88" s="23">
        <v>53</v>
      </c>
      <c r="HI88" s="23">
        <v>1892</v>
      </c>
      <c r="HJ88" s="23">
        <v>2990</v>
      </c>
      <c r="HK88" s="23">
        <v>48</v>
      </c>
      <c r="HL88" s="23">
        <v>45</v>
      </c>
      <c r="HM88" s="23">
        <v>361</v>
      </c>
      <c r="HN88" s="23">
        <v>123</v>
      </c>
      <c r="HO88" s="23">
        <v>190</v>
      </c>
      <c r="HP88" s="23">
        <v>9</v>
      </c>
      <c r="HQ88" s="23">
        <v>65077</v>
      </c>
      <c r="HR88" s="23">
        <v>456</v>
      </c>
      <c r="HS88" s="23">
        <v>462780</v>
      </c>
      <c r="HT88" s="23">
        <v>582</v>
      </c>
      <c r="HU88" s="23">
        <v>171</v>
      </c>
      <c r="HV88" s="23">
        <v>255</v>
      </c>
      <c r="HW88" s="23">
        <v>39</v>
      </c>
      <c r="HX88" s="23">
        <v>11</v>
      </c>
      <c r="HY88" s="23">
        <v>0</v>
      </c>
      <c r="HZ88" s="23">
        <v>15</v>
      </c>
      <c r="IA88" s="23">
        <v>12</v>
      </c>
      <c r="IB88" s="23">
        <v>17</v>
      </c>
      <c r="IC88" s="23">
        <v>19</v>
      </c>
      <c r="ID88" s="23">
        <v>1</v>
      </c>
      <c r="IE88" s="23">
        <v>9</v>
      </c>
      <c r="IF88" s="23">
        <v>0</v>
      </c>
      <c r="IG88" s="23">
        <v>16</v>
      </c>
      <c r="IH88" s="23">
        <v>24</v>
      </c>
      <c r="II88" s="23">
        <v>263</v>
      </c>
      <c r="IJ88" s="23">
        <v>36</v>
      </c>
      <c r="IK88" s="23">
        <v>74</v>
      </c>
      <c r="IL88" s="23">
        <v>11</v>
      </c>
      <c r="IM88" s="23">
        <v>5</v>
      </c>
      <c r="IN88" s="23">
        <v>7</v>
      </c>
      <c r="IO88" s="23">
        <v>184</v>
      </c>
      <c r="IP88" s="23">
        <v>23</v>
      </c>
      <c r="IQ88" s="23">
        <v>3</v>
      </c>
      <c r="IR88" s="23">
        <v>3</v>
      </c>
      <c r="IS88" s="23">
        <v>8</v>
      </c>
      <c r="IT88" s="23">
        <v>9</v>
      </c>
      <c r="IU88" s="23">
        <v>13</v>
      </c>
      <c r="IV88" s="23">
        <v>3</v>
      </c>
      <c r="IW88" s="23">
        <v>7</v>
      </c>
      <c r="IX88" s="23">
        <v>2</v>
      </c>
      <c r="IY88" s="23">
        <v>8</v>
      </c>
      <c r="IZ88" s="23">
        <v>5</v>
      </c>
      <c r="JA88" s="23">
        <v>1</v>
      </c>
      <c r="JB88" s="23">
        <v>3</v>
      </c>
      <c r="JC88" s="23">
        <v>4</v>
      </c>
      <c r="JD88" s="23">
        <v>4</v>
      </c>
      <c r="JE88" s="23">
        <v>0</v>
      </c>
      <c r="JF88" s="23">
        <v>0</v>
      </c>
      <c r="JG88" s="23">
        <v>0</v>
      </c>
      <c r="JH88" s="23">
        <v>0</v>
      </c>
      <c r="JI88" s="23">
        <v>128</v>
      </c>
      <c r="JJ88" s="23">
        <v>11</v>
      </c>
      <c r="JK88" s="23">
        <v>683</v>
      </c>
      <c r="JL88" s="23">
        <v>45</v>
      </c>
      <c r="JM88" s="23">
        <v>2703</v>
      </c>
      <c r="JN88" s="23">
        <v>235</v>
      </c>
      <c r="JO88" s="23">
        <v>3018</v>
      </c>
      <c r="JP88" s="23">
        <v>1119</v>
      </c>
      <c r="JQ88" s="23">
        <v>19710</v>
      </c>
      <c r="JR88" s="23">
        <v>5655</v>
      </c>
      <c r="JS88" s="23">
        <v>9784</v>
      </c>
      <c r="JT88" s="23">
        <v>1209</v>
      </c>
      <c r="JU88" s="23">
        <v>1523</v>
      </c>
      <c r="JV88" s="23">
        <v>16364</v>
      </c>
      <c r="JW88" s="23">
        <v>10566</v>
      </c>
      <c r="JX88" s="23">
        <v>442</v>
      </c>
      <c r="JY88" s="23">
        <v>1232</v>
      </c>
      <c r="JZ88" s="23">
        <v>16422</v>
      </c>
      <c r="KA88" s="23">
        <v>6351</v>
      </c>
      <c r="KB88" s="23">
        <v>1270</v>
      </c>
      <c r="KC88" s="23">
        <v>1116</v>
      </c>
      <c r="KD88" s="23">
        <v>1341</v>
      </c>
      <c r="KE88" s="23">
        <v>18283</v>
      </c>
      <c r="KF88" s="23">
        <v>560</v>
      </c>
      <c r="KG88" s="23">
        <v>6185</v>
      </c>
      <c r="KH88" s="23">
        <v>18941</v>
      </c>
      <c r="KI88" s="23">
        <v>21504</v>
      </c>
      <c r="KJ88" s="23">
        <v>1240</v>
      </c>
      <c r="KK88" s="23">
        <v>2260</v>
      </c>
      <c r="KL88" s="23">
        <v>3432</v>
      </c>
      <c r="KM88" s="23">
        <v>354</v>
      </c>
      <c r="KN88" s="23">
        <v>568</v>
      </c>
      <c r="KO88" s="23">
        <v>2456</v>
      </c>
      <c r="KP88" s="23">
        <v>819</v>
      </c>
      <c r="KQ88" s="23">
        <v>51027</v>
      </c>
      <c r="KR88" s="23">
        <v>865</v>
      </c>
      <c r="KS88" s="23">
        <v>161779</v>
      </c>
      <c r="KT88" s="23">
        <v>3736</v>
      </c>
      <c r="KU88" s="23">
        <v>269</v>
      </c>
      <c r="KV88" s="23">
        <v>5512</v>
      </c>
      <c r="KW88" s="23">
        <v>1686</v>
      </c>
      <c r="KX88" s="23">
        <v>1321</v>
      </c>
      <c r="KY88" s="23">
        <v>18300</v>
      </c>
      <c r="KZ88" s="23">
        <v>1727</v>
      </c>
      <c r="LA88" s="23">
        <v>2793</v>
      </c>
      <c r="LB88" s="23">
        <v>447</v>
      </c>
      <c r="LC88" s="23">
        <v>4634</v>
      </c>
      <c r="LD88" s="23">
        <v>11208</v>
      </c>
      <c r="LE88" s="23">
        <v>1856</v>
      </c>
      <c r="LF88" s="23">
        <v>628</v>
      </c>
      <c r="LG88" s="23">
        <v>4042</v>
      </c>
      <c r="LH88" s="23">
        <v>9639</v>
      </c>
      <c r="LI88" s="23">
        <v>514</v>
      </c>
      <c r="LJ88" s="23">
        <v>2886</v>
      </c>
      <c r="LK88" s="23">
        <v>230</v>
      </c>
      <c r="LL88" s="23">
        <v>49</v>
      </c>
      <c r="LM88" s="23">
        <v>103</v>
      </c>
      <c r="LN88" s="278">
        <f ca="1">$A88 - TST!Sweden100dt + 1</f>
        <v>34</v>
      </c>
      <c r="LO88" s="20">
        <f ca="1">INDEX(OFFSET(TST!HeadRow,ROW()-ROW(TST!HeadRow),0,1,COLUMNS(TST!HeadRow)),1,MATCH(LO$5,TST!HeadRow,0))/LO$8</f>
        <v>8935.4838709677424</v>
      </c>
      <c r="LP88" s="278">
        <f ca="1">$A88 - TST!Spain100dt + 1</f>
        <v>34</v>
      </c>
      <c r="LQ88" s="20">
        <f ca="1">INDEX(OFFSET(TST!HeadRow,ROW()-ROW(TST!HeadRow),0,1,COLUMNS(TST!HeadRow)),1,MATCH(LQ$5,TST!HeadRow,0))/LQ$8</f>
        <v>32642.096293140181</v>
      </c>
      <c r="LR88" s="285">
        <f ca="1">$A88 - TST!Victoria100dt + 1</f>
        <v>25</v>
      </c>
      <c r="LS88" s="20">
        <f ca="1">INDEX(OFFSET(TST!HeadRow,ROW()-ROW(TST!HeadRow),0,1,COLUMNS(TST!HeadRow)),1,MATCH(LS$5,TST!HeadRow,0))/LS$8</f>
        <v>1852.4664353597827</v>
      </c>
      <c r="LT88" s="278">
        <f ca="1">$A88 - TST!Iran100dt + 1</f>
        <v>40</v>
      </c>
      <c r="LU88" s="20">
        <f ca="1">INDEX(OFFSET(TST!HeadRow,ROW()-ROW(TST!HeadRow),0,1,COLUMNS(TST!HeadRow)),1,MATCH(LU$5,TST!HeadRow,0))/LU$8</f>
        <v>7904.6948300765162</v>
      </c>
      <c r="LV88" s="278">
        <f ca="1">$A88 - TST!Japan100dt + 1</f>
        <v>16</v>
      </c>
      <c r="LW88" s="20">
        <f ca="1">INDEX(OFFSET(TST!HeadRow,ROW()-ROW(TST!HeadRow),0,1,COLUMNS(TST!HeadRow)),1,MATCH(LW$5,TST!HeadRow,0))/LW$8</f>
        <v>368.77479288459512</v>
      </c>
      <c r="LX88" s="278">
        <f ca="1">$A88 - TST!Queensland100dt + 1</f>
        <v>26</v>
      </c>
      <c r="LY88" s="20">
        <f ca="1">INDEX(OFFSET(TST!HeadRow,ROW()-ROW(TST!HeadRow),0,1,COLUMNS(TST!HeadRow)),1,MATCH(LY$5,TST!HeadRow,0))/LY$8</f>
        <v>1862.9833420357268</v>
      </c>
      <c r="LZ88" s="278">
        <f ca="1">$A88 - TST!Tasmania100dt + 1</f>
        <v>26</v>
      </c>
      <c r="MA88" s="20">
        <f ca="1">INDEX(OFFSET(TST!HeadRow,ROW()-ROW(TST!HeadRow),0,1,COLUMNS(TST!HeadRow)),1,MATCH(MA$5,TST!HeadRow,0))/MA$8</f>
        <v>2155.3398058252428</v>
      </c>
      <c r="MB88" s="278">
        <f ca="1">$A88 - TST!SouthAustralia100dt + 1</f>
        <v>27</v>
      </c>
      <c r="MC88" s="20">
        <f ca="1">INDEX(OFFSET(TST!HeadRow,ROW()-ROW(TST!HeadRow),0,1,COLUMNS(TST!HeadRow)),1,MATCH(MC$5,TST!HeadRow,0))/MC$8</f>
        <v>2514.9700598802392</v>
      </c>
      <c r="MD88" s="278">
        <f ca="1">$A88 - TST!AustralianCapitalTerritory100dt + 1</f>
        <v>21</v>
      </c>
      <c r="ME88" s="20">
        <f ca="1">INDEX(OFFSET(TST!HeadRow,ROW()-ROW(TST!HeadRow),0,1,COLUMNS(TST!HeadRow)),1,MATCH(ME$5,TST!HeadRow,0))/ME$8</f>
        <v>2336.1211045180585</v>
      </c>
      <c r="MF88" s="278">
        <f ca="1">$A88 - TST!NorthernTerritory100dt + 1</f>
        <v>21</v>
      </c>
      <c r="MG88" s="20">
        <f ca="1">INDEX(OFFSET(TST!HeadRow,ROW()-ROW(TST!HeadRow),0,1,COLUMNS(TST!HeadRow)),1,MATCH(MG$5,TST!HeadRow,0))/MG$8</f>
        <v>1321.0974545282972</v>
      </c>
      <c r="MH88" s="278">
        <f ca="1">$A88 - TST!WesternAustralia100dt + 1</f>
        <v>25</v>
      </c>
      <c r="MI88" s="20">
        <f ca="1">INDEX(OFFSET(TST!HeadRow,ROW()-ROW(TST!HeadRow),0,1,COLUMNS(TST!HeadRow)),1,MATCH(MI$5,TST!HeadRow,0))/MI$8</f>
        <v>1911.9351100811123</v>
      </c>
      <c r="MJ88" s="278">
        <f ca="1">$A88 - TST!Germany100dt + 1</f>
        <v>33</v>
      </c>
      <c r="MK88" s="20">
        <f ca="1">INDEX(OFFSET(TST!HeadRow,ROW()-ROW(TST!HeadRow),0,1,COLUMNS(TST!HeadRow)),1,MATCH(MK$5,TST!HeadRow,0))/MK$8</f>
        <v>14235.244519392918</v>
      </c>
      <c r="ML88" s="278">
        <f ca="1">$A88 - TST!Denmark100dt + 1</f>
        <v>32</v>
      </c>
      <c r="MM88" s="20">
        <f ca="1">INDEX(OFFSET(TST!HeadRow,ROW()-ROW(TST!HeadRow),0,1,COLUMNS(TST!HeadRow)),1,MATCH(MM$5,TST!HeadRow,0))/MM$8</f>
        <v>9705.4770926627625</v>
      </c>
      <c r="MN88" s="278">
        <f ca="1">$A88 - TST!SouthAfrica100dt + 1</f>
        <v>16</v>
      </c>
      <c r="MO88" s="20">
        <f ca="1">INDEX(OFFSET(TST!HeadRow,ROW()-ROW(TST!HeadRow),0,1,COLUMNS(TST!HeadRow)),1,MATCH(MO$5,TST!HeadRow,0))/MO$8</f>
        <v>334.71789546555902</v>
      </c>
      <c r="MP88" s="278">
        <f ca="1">$A88 - TST!UnitedKingdom100dt + 1</f>
        <v>28</v>
      </c>
      <c r="MQ88" s="20">
        <f ca="1">INDEX(OFFSET(TST!HeadRow,ROW()-ROW(TST!HeadRow),0,1,COLUMNS(TST!HeadRow)),1,MATCH(MQ$5,TST!HeadRow,0))/MQ$8</f>
        <v>9794.8524984948817</v>
      </c>
      <c r="MR88" s="278">
        <f ca="1">$A88 - TST!Ireland100dt + 1</f>
        <v>28</v>
      </c>
      <c r="MS88" s="20">
        <f ca="1">INDEX(OFFSET(TST!HeadRow,ROW()-ROW(TST!HeadRow),0,1,COLUMNS(TST!HeadRow)),1,MATCH(MS$5,TST!HeadRow,0))/MS$8</f>
        <v>13416.326530612245</v>
      </c>
      <c r="MT88" s="278">
        <f ca="1">$A88 - TST!Italy100dt + 1</f>
        <v>43</v>
      </c>
      <c r="MU88" s="20">
        <f ca="1">INDEX(OFFSET(TST!HeadRow,ROW()-ROW(TST!HeadRow),0,1,COLUMNS(TST!HeadRow)),1,MATCH(MU$5,TST!HeadRow,0))/MU$8</f>
        <v>23745.72207985451</v>
      </c>
      <c r="MV88" s="278">
        <f ca="1">$A88 - TST!US100dt + 1</f>
        <v>26</v>
      </c>
      <c r="MW88" s="20">
        <f ca="1">INDEX(OFFSET(TST!HeadRow,ROW()-ROW(TST!HeadRow),0,1,COLUMNS(TST!HeadRow)),1,MATCH(MW$5,TST!HeadRow,0))/MW$8</f>
        <v>14056.530946210107</v>
      </c>
      <c r="MX88" s="278">
        <f ca="1">$A88 - TST!AustraliaSum100dt + 1</f>
        <v>26</v>
      </c>
      <c r="MY88" s="366">
        <f t="shared" si="9"/>
        <v>2408.1375177416812</v>
      </c>
      <c r="MZ88" s="278">
        <f ca="1">$A88 - TST!NewSouthWales100dt + 1</f>
        <v>28</v>
      </c>
      <c r="NA88" s="366">
        <f ca="1">INDEX(OFFSET(TST!HeadRow,ROW()-ROW(TST!HeadRow),0,1,COLUMNS(TST!HeadRow)),1,MATCH(NA$5,TST!HeadRow,0))/NA$8</f>
        <v>3431.9306930693069</v>
      </c>
      <c r="NB88" s="278">
        <f ca="1">$A88 - TST!Taiwan100dt + 1</f>
        <v>15</v>
      </c>
      <c r="NC88" s="366">
        <f ca="1">INDEX(OFFSET(TST!HeadRow,ROW()-ROW(TST!HeadRow),0,1,COLUMNS(TST!HeadRow)),1,MATCH(NC$5,TST!HeadRow,0))/NC$8</f>
        <v>159.61502871264346</v>
      </c>
      <c r="ND88" s="20">
        <f ca="1">$A88 - TST!Hubei100dt + 1</f>
        <v>76</v>
      </c>
      <c r="NE88" s="20">
        <f ca="1">INDEX(OFFSET(TST!HeadRow,ROW()-ROW(TST!HeadRow),0,1,COLUMNS(TST!HeadRow)),1,MATCH(NE$5,TST!HeadRow,0))/NE$8</f>
        <v>11590.25641025641</v>
      </c>
      <c r="NF88" s="20">
        <f ca="1">$A88 - TST!HongKong100dt + 1</f>
        <v>46</v>
      </c>
      <c r="NG88" s="20">
        <f ca="1">INDEX(OFFSET(TST!HeadRow,ROW()-ROW(TST!HeadRow),0,1,COLUMNS(TST!HeadRow)),1,MATCH(NG$5,TST!HeadRow,0))/NG$8</f>
        <v>1305.8649845658301</v>
      </c>
    </row>
    <row r="89" spans="1:371" x14ac:dyDescent="0.25">
      <c r="A89" s="243">
        <v>43931</v>
      </c>
      <c r="B89" s="23">
        <v>521</v>
      </c>
      <c r="C89" s="23">
        <v>416</v>
      </c>
      <c r="D89" s="23">
        <v>1761</v>
      </c>
      <c r="E89" s="23">
        <v>601</v>
      </c>
      <c r="F89" s="23">
        <v>19</v>
      </c>
      <c r="G89" s="23">
        <v>19</v>
      </c>
      <c r="H89" s="23">
        <v>1975</v>
      </c>
      <c r="I89" s="23">
        <v>937</v>
      </c>
      <c r="J89" s="23">
        <v>103</v>
      </c>
      <c r="K89" s="293">
        <v>2822</v>
      </c>
      <c r="L89" s="23">
        <v>28</v>
      </c>
      <c r="M89" s="290">
        <v>965</v>
      </c>
      <c r="N89" s="23">
        <v>428</v>
      </c>
      <c r="O89" s="384">
        <v>122</v>
      </c>
      <c r="P89" s="287">
        <v>1241</v>
      </c>
      <c r="Q89" s="23">
        <v>506</v>
      </c>
      <c r="R89" s="23">
        <v>13555</v>
      </c>
      <c r="S89" s="23">
        <v>991</v>
      </c>
      <c r="T89" s="23">
        <v>42</v>
      </c>
      <c r="U89" s="23">
        <v>925</v>
      </c>
      <c r="V89" s="23">
        <v>424</v>
      </c>
      <c r="W89" s="23">
        <v>67</v>
      </c>
      <c r="X89" s="23">
        <v>1981</v>
      </c>
      <c r="Y89" s="23">
        <v>26667</v>
      </c>
      <c r="Z89" s="23">
        <v>35</v>
      </c>
      <c r="AA89" s="23">
        <v>5</v>
      </c>
      <c r="AB89" s="23">
        <v>268</v>
      </c>
      <c r="AC89" s="23">
        <v>901</v>
      </c>
      <c r="AD89" s="23">
        <v>19638</v>
      </c>
      <c r="AE89" s="23">
        <v>136</v>
      </c>
      <c r="AF89" s="23">
        <v>635</v>
      </c>
      <c r="AG89" s="23">
        <v>443</v>
      </c>
      <c r="AH89" s="23">
        <v>7</v>
      </c>
      <c r="AI89" s="23">
        <v>119</v>
      </c>
      <c r="AJ89" s="23">
        <v>820</v>
      </c>
      <c r="AK89" s="23">
        <v>1451</v>
      </c>
      <c r="AL89" s="23">
        <v>1370</v>
      </c>
      <c r="AM89" s="23">
        <v>13</v>
      </c>
      <c r="AN89" s="23">
        <v>230</v>
      </c>
      <c r="AO89" s="23">
        <v>112</v>
      </c>
      <c r="AP89" s="23">
        <v>239</v>
      </c>
      <c r="AQ89" s="23">
        <v>407</v>
      </c>
      <c r="AR89" s="23">
        <v>6237</v>
      </c>
      <c r="AS89" s="23">
        <v>25</v>
      </c>
      <c r="AT89" s="23">
        <v>11677</v>
      </c>
      <c r="AU89" s="23">
        <v>285</v>
      </c>
      <c r="AV89" s="23">
        <v>8</v>
      </c>
      <c r="AW89" s="23">
        <v>11</v>
      </c>
      <c r="AX89" s="23">
        <v>6501</v>
      </c>
      <c r="AY89" s="23">
        <v>991</v>
      </c>
      <c r="AZ89" s="23">
        <v>588</v>
      </c>
      <c r="BA89" s="23">
        <v>579</v>
      </c>
      <c r="BB89" s="23">
        <v>351</v>
      </c>
      <c r="BC89" s="23">
        <v>139</v>
      </c>
      <c r="BD89" s="23">
        <v>1544</v>
      </c>
      <c r="BE89" s="23">
        <v>254</v>
      </c>
      <c r="BF89" s="23">
        <v>146</v>
      </c>
      <c r="BG89" s="23">
        <v>168</v>
      </c>
      <c r="BH89" s="23">
        <v>327</v>
      </c>
      <c r="BI89" s="23">
        <v>638</v>
      </c>
      <c r="BJ89" s="23">
        <v>1276</v>
      </c>
      <c r="BK89" s="23">
        <v>989</v>
      </c>
      <c r="BL89" s="23">
        <v>67803</v>
      </c>
      <c r="BM89" s="23">
        <v>1019</v>
      </c>
      <c r="BN89" s="23">
        <v>128</v>
      </c>
      <c r="BO89" s="23">
        <v>651</v>
      </c>
      <c r="BP89" s="23">
        <v>937</v>
      </c>
      <c r="BQ89" s="23">
        <v>98</v>
      </c>
      <c r="BR89" s="23">
        <v>144</v>
      </c>
      <c r="BS89" s="23">
        <v>45</v>
      </c>
      <c r="BT89" s="23">
        <v>75</v>
      </c>
      <c r="BU89" s="23">
        <v>18</v>
      </c>
      <c r="BV89" s="23">
        <v>256</v>
      </c>
      <c r="BW89" s="23">
        <v>783</v>
      </c>
      <c r="BX89" s="23">
        <v>555</v>
      </c>
      <c r="BY89" s="23">
        <v>168</v>
      </c>
      <c r="BZ89" s="23">
        <v>560</v>
      </c>
      <c r="CA89" s="23">
        <v>183</v>
      </c>
      <c r="CB89" s="23">
        <v>1</v>
      </c>
      <c r="CC89" s="23">
        <v>76</v>
      </c>
      <c r="CD89" s="23">
        <v>184</v>
      </c>
      <c r="CE89" s="23">
        <v>1267</v>
      </c>
      <c r="CF89" s="23">
        <v>2473</v>
      </c>
      <c r="CG89" s="23">
        <v>60</v>
      </c>
      <c r="CH89" s="23">
        <v>215</v>
      </c>
      <c r="CI89" s="23">
        <v>558</v>
      </c>
      <c r="CJ89" s="23">
        <v>444</v>
      </c>
      <c r="CK89" s="23">
        <v>1495</v>
      </c>
      <c r="CL89" s="23">
        <v>712</v>
      </c>
      <c r="CM89" s="23">
        <v>564</v>
      </c>
      <c r="CN89" s="23">
        <v>595</v>
      </c>
      <c r="CO89" s="23">
        <v>5732</v>
      </c>
      <c r="CP89" s="23">
        <v>184</v>
      </c>
      <c r="CQ89" s="23">
        <v>11</v>
      </c>
      <c r="CR89" s="23">
        <v>5819</v>
      </c>
      <c r="CS89" s="23">
        <v>150</v>
      </c>
      <c r="CT89" s="23">
        <v>2620</v>
      </c>
      <c r="CU89" s="23">
        <v>7161</v>
      </c>
      <c r="CV89" s="23">
        <v>1794</v>
      </c>
      <c r="CW89" s="23">
        <v>117</v>
      </c>
      <c r="CX89" s="23">
        <v>18</v>
      </c>
      <c r="CY89" s="23">
        <v>34</v>
      </c>
      <c r="CZ89" s="23">
        <v>1258</v>
      </c>
      <c r="DA89" s="23">
        <v>12</v>
      </c>
      <c r="DB89" s="23">
        <v>65</v>
      </c>
      <c r="DC89" s="23">
        <v>16</v>
      </c>
      <c r="DD89" s="23">
        <v>2769</v>
      </c>
      <c r="DE89" s="23">
        <v>83</v>
      </c>
      <c r="DF89" s="23">
        <v>51</v>
      </c>
      <c r="DG89" s="23">
        <v>143</v>
      </c>
      <c r="DH89" s="23">
        <v>191</v>
      </c>
      <c r="DI89" s="23">
        <v>18</v>
      </c>
      <c r="DJ89" s="23">
        <v>382</v>
      </c>
      <c r="DK89" s="23">
        <v>6</v>
      </c>
      <c r="DL89" s="23">
        <v>32</v>
      </c>
      <c r="DM89" s="23">
        <v>155</v>
      </c>
      <c r="DN89" s="23">
        <v>90676</v>
      </c>
      <c r="DO89" s="23">
        <v>44</v>
      </c>
      <c r="DP89" s="23">
        <v>4</v>
      </c>
      <c r="DQ89" s="23">
        <v>234</v>
      </c>
      <c r="DR89" s="23">
        <v>122171</v>
      </c>
      <c r="DS89" s="23">
        <v>378</v>
      </c>
      <c r="DT89" s="23">
        <v>2011</v>
      </c>
      <c r="DU89" s="23">
        <v>126</v>
      </c>
      <c r="DV89" s="23">
        <v>212</v>
      </c>
      <c r="DW89" s="23">
        <v>37</v>
      </c>
      <c r="DX89" s="23">
        <v>31</v>
      </c>
      <c r="DY89" s="23">
        <v>8</v>
      </c>
      <c r="DZ89" s="23">
        <v>382</v>
      </c>
      <c r="EA89" s="23">
        <v>1190</v>
      </c>
      <c r="EB89" s="23">
        <v>1675</v>
      </c>
      <c r="EC89" s="23">
        <v>7598</v>
      </c>
      <c r="ED89" s="23">
        <v>3512</v>
      </c>
      <c r="EE89" s="23">
        <v>68192</v>
      </c>
      <c r="EF89" s="23">
        <v>1279</v>
      </c>
      <c r="EG89" s="23">
        <v>8089</v>
      </c>
      <c r="EH89" s="23">
        <v>10408</v>
      </c>
      <c r="EI89" s="23">
        <v>147577</v>
      </c>
      <c r="EJ89" s="23">
        <v>63</v>
      </c>
      <c r="EK89" s="23">
        <v>5530</v>
      </c>
      <c r="EL89" s="23">
        <v>372</v>
      </c>
      <c r="EM89" s="23">
        <v>812</v>
      </c>
      <c r="EN89" s="23">
        <v>189</v>
      </c>
      <c r="EO89" s="23">
        <v>10450</v>
      </c>
      <c r="EP89" s="23">
        <v>993</v>
      </c>
      <c r="EQ89" s="23">
        <v>298</v>
      </c>
      <c r="ER89" s="23">
        <v>612</v>
      </c>
      <c r="ES89" s="23">
        <v>609</v>
      </c>
      <c r="ET89" s="23">
        <v>37</v>
      </c>
      <c r="EU89" s="23">
        <v>79</v>
      </c>
      <c r="EV89" s="23">
        <v>999</v>
      </c>
      <c r="EW89" s="23">
        <v>3223</v>
      </c>
      <c r="EX89" s="23">
        <v>93</v>
      </c>
      <c r="EY89" s="23">
        <v>4346</v>
      </c>
      <c r="EZ89" s="23">
        <v>19</v>
      </c>
      <c r="FA89" s="23">
        <v>350</v>
      </c>
      <c r="FB89" s="23">
        <v>7</v>
      </c>
      <c r="FC89" s="23">
        <v>318</v>
      </c>
      <c r="FD89" s="23">
        <v>3844</v>
      </c>
      <c r="FE89" s="23">
        <v>1438</v>
      </c>
      <c r="FF89" s="23">
        <v>90</v>
      </c>
      <c r="FG89" s="23">
        <v>16</v>
      </c>
      <c r="FH89" s="23">
        <v>255</v>
      </c>
      <c r="FI89" s="23">
        <v>1448</v>
      </c>
      <c r="FJ89" s="23">
        <v>16</v>
      </c>
      <c r="FK89" s="23">
        <v>9</v>
      </c>
      <c r="FL89" s="23">
        <v>86</v>
      </c>
      <c r="FM89" s="23">
        <v>14</v>
      </c>
      <c r="FN89" s="23">
        <v>50</v>
      </c>
      <c r="FO89" s="23">
        <v>23097</v>
      </c>
      <c r="FP89" s="23">
        <v>1283</v>
      </c>
      <c r="FQ89" s="23">
        <v>7</v>
      </c>
      <c r="FR89" s="23">
        <v>438</v>
      </c>
      <c r="FS89" s="23">
        <v>305</v>
      </c>
      <c r="FT89" s="23">
        <v>711</v>
      </c>
      <c r="FU89" s="23">
        <v>6314</v>
      </c>
      <c r="FV89" s="23">
        <v>484</v>
      </c>
      <c r="FW89" s="23">
        <v>4695</v>
      </c>
      <c r="FX89" s="23">
        <v>2752</v>
      </c>
      <c r="FY89" s="23">
        <v>2</v>
      </c>
      <c r="FZ89" s="23">
        <v>129</v>
      </c>
      <c r="GA89" s="23">
        <v>5897</v>
      </c>
      <c r="GB89" s="23">
        <v>4195</v>
      </c>
      <c r="GC89" s="23">
        <v>5955</v>
      </c>
      <c r="GD89" s="23">
        <v>15472</v>
      </c>
      <c r="GE89" s="23">
        <v>2512</v>
      </c>
      <c r="GF89" s="23">
        <v>5467</v>
      </c>
      <c r="GG89" s="23">
        <v>11917</v>
      </c>
      <c r="GH89" s="23">
        <v>118</v>
      </c>
      <c r="GI89" s="23">
        <v>15</v>
      </c>
      <c r="GJ89" s="23">
        <v>12</v>
      </c>
      <c r="GK89" s="23">
        <v>344</v>
      </c>
      <c r="GL89" s="23">
        <v>3651</v>
      </c>
      <c r="GM89" s="23">
        <v>265</v>
      </c>
      <c r="GN89" s="23">
        <v>3105</v>
      </c>
      <c r="GO89" s="23">
        <v>11</v>
      </c>
      <c r="GP89" s="23">
        <v>2108</v>
      </c>
      <c r="GQ89" s="23">
        <v>715</v>
      </c>
      <c r="GR89" s="23">
        <v>1160</v>
      </c>
      <c r="GS89" s="23">
        <v>21</v>
      </c>
      <c r="GT89" s="23">
        <v>2003</v>
      </c>
      <c r="GU89" s="23">
        <v>158273</v>
      </c>
      <c r="GV89" s="23">
        <v>190</v>
      </c>
      <c r="GW89" s="23">
        <v>17</v>
      </c>
      <c r="GX89" s="23">
        <v>10</v>
      </c>
      <c r="GY89" s="23">
        <v>9685</v>
      </c>
      <c r="GZ89" s="23">
        <v>24551</v>
      </c>
      <c r="HA89" s="23">
        <v>382</v>
      </c>
      <c r="HB89" s="23">
        <v>32</v>
      </c>
      <c r="HC89" s="23">
        <v>2473</v>
      </c>
      <c r="HD89" s="23">
        <v>76</v>
      </c>
      <c r="HE89" s="23">
        <v>109</v>
      </c>
      <c r="HF89" s="23">
        <v>671</v>
      </c>
      <c r="HG89" s="23">
        <v>47029</v>
      </c>
      <c r="HH89" s="23">
        <v>53</v>
      </c>
      <c r="HI89" s="23">
        <v>2203</v>
      </c>
      <c r="HJ89" s="23">
        <v>3360</v>
      </c>
      <c r="HK89" s="23">
        <v>48</v>
      </c>
      <c r="HL89" s="23">
        <v>45</v>
      </c>
      <c r="HM89" s="23">
        <v>398</v>
      </c>
      <c r="HN89" s="23">
        <v>127</v>
      </c>
      <c r="HO89" s="23">
        <v>201</v>
      </c>
      <c r="HP89" s="23">
        <v>9</v>
      </c>
      <c r="HQ89" s="23">
        <v>73758</v>
      </c>
      <c r="HR89" s="23">
        <v>473</v>
      </c>
      <c r="HS89" s="23">
        <v>496535</v>
      </c>
      <c r="HT89" s="23">
        <v>624</v>
      </c>
      <c r="HU89" s="23">
        <v>171</v>
      </c>
      <c r="HV89" s="23">
        <v>257</v>
      </c>
      <c r="HW89" s="23">
        <v>40</v>
      </c>
      <c r="HX89" s="23">
        <v>13</v>
      </c>
      <c r="HY89" s="23">
        <v>0</v>
      </c>
      <c r="HZ89" s="23">
        <v>16</v>
      </c>
      <c r="IA89" s="23">
        <v>14</v>
      </c>
      <c r="IB89" s="23">
        <v>20</v>
      </c>
      <c r="IC89" s="23">
        <v>19</v>
      </c>
      <c r="ID89" s="23">
        <v>2</v>
      </c>
      <c r="IE89" s="23">
        <v>10</v>
      </c>
      <c r="IF89" s="23">
        <v>0</v>
      </c>
      <c r="IG89" s="23">
        <v>16</v>
      </c>
      <c r="IH89" s="23">
        <v>24</v>
      </c>
      <c r="II89" s="23">
        <v>267</v>
      </c>
      <c r="IJ89" s="23">
        <v>36</v>
      </c>
      <c r="IK89" s="23">
        <v>87</v>
      </c>
      <c r="IL89" s="23">
        <v>12</v>
      </c>
      <c r="IM89" s="23">
        <v>5</v>
      </c>
      <c r="IN89" s="23">
        <v>8</v>
      </c>
      <c r="IO89" s="23">
        <v>250</v>
      </c>
      <c r="IP89" s="23">
        <v>27</v>
      </c>
      <c r="IQ89" s="23">
        <v>3</v>
      </c>
      <c r="IR89" s="23">
        <v>3</v>
      </c>
      <c r="IS89" s="23">
        <v>8</v>
      </c>
      <c r="IT89" s="23">
        <v>9</v>
      </c>
      <c r="IU89" s="23">
        <v>13</v>
      </c>
      <c r="IV89" s="23">
        <v>3</v>
      </c>
      <c r="IW89" s="23">
        <v>8</v>
      </c>
      <c r="IX89" s="23">
        <v>2</v>
      </c>
      <c r="IY89" s="23">
        <v>9</v>
      </c>
      <c r="IZ89" s="23">
        <v>5</v>
      </c>
      <c r="JA89" s="23">
        <v>1</v>
      </c>
      <c r="JB89" s="23">
        <v>4</v>
      </c>
      <c r="JC89" s="23">
        <v>4</v>
      </c>
      <c r="JD89" s="23">
        <v>4</v>
      </c>
      <c r="JE89" s="23">
        <v>1</v>
      </c>
      <c r="JF89" s="23">
        <v>0</v>
      </c>
      <c r="JG89" s="23">
        <v>0</v>
      </c>
      <c r="JH89" s="23">
        <v>0</v>
      </c>
      <c r="JI89" s="23">
        <v>130</v>
      </c>
      <c r="JJ89" s="23">
        <v>11</v>
      </c>
      <c r="JK89" s="23">
        <v>725</v>
      </c>
      <c r="JL89" s="23">
        <v>50</v>
      </c>
      <c r="JM89" s="23">
        <v>2947</v>
      </c>
      <c r="JN89" s="23">
        <v>246</v>
      </c>
      <c r="JO89" s="23">
        <v>3112</v>
      </c>
      <c r="JP89" s="23">
        <v>1171</v>
      </c>
      <c r="JQ89" s="23">
        <v>21081</v>
      </c>
      <c r="JR89" s="23">
        <v>6202</v>
      </c>
      <c r="JS89" s="23">
        <v>10538</v>
      </c>
      <c r="JT89" s="23">
        <v>1326</v>
      </c>
      <c r="JU89" s="23">
        <v>1660</v>
      </c>
      <c r="JV89" s="23">
        <v>17531</v>
      </c>
      <c r="JW89" s="23">
        <v>11485</v>
      </c>
      <c r="JX89" s="23">
        <v>442</v>
      </c>
      <c r="JY89" s="23">
        <v>1354</v>
      </c>
      <c r="JZ89" s="23">
        <v>17887</v>
      </c>
      <c r="KA89" s="23">
        <v>6907</v>
      </c>
      <c r="KB89" s="23">
        <v>1388</v>
      </c>
      <c r="KC89" s="23">
        <v>1117</v>
      </c>
      <c r="KD89" s="23">
        <v>1693</v>
      </c>
      <c r="KE89" s="23">
        <v>19253</v>
      </c>
      <c r="KF89" s="23">
        <v>586</v>
      </c>
      <c r="KG89" s="23">
        <v>6968</v>
      </c>
      <c r="KH89" s="23">
        <v>20974</v>
      </c>
      <c r="KI89" s="23">
        <v>22434</v>
      </c>
      <c r="KJ89" s="23">
        <v>1336</v>
      </c>
      <c r="KK89" s="23">
        <v>2469</v>
      </c>
      <c r="KL89" s="23">
        <v>3897</v>
      </c>
      <c r="KM89" s="23">
        <v>365</v>
      </c>
      <c r="KN89" s="23">
        <v>635</v>
      </c>
      <c r="KO89" s="23">
        <v>2722</v>
      </c>
      <c r="KP89" s="23">
        <v>819</v>
      </c>
      <c r="KQ89" s="23">
        <v>54588</v>
      </c>
      <c r="KR89" s="23">
        <v>1081</v>
      </c>
      <c r="KS89" s="23">
        <v>172348</v>
      </c>
      <c r="KT89" s="23">
        <v>3965</v>
      </c>
      <c r="KU89" s="23">
        <v>278</v>
      </c>
      <c r="KV89" s="23">
        <v>5878</v>
      </c>
      <c r="KW89" s="23">
        <v>1794</v>
      </c>
      <c r="KX89" s="23">
        <v>1322</v>
      </c>
      <c r="KY89" s="23">
        <v>20051</v>
      </c>
      <c r="KZ89" s="23">
        <v>1727</v>
      </c>
      <c r="LA89" s="23">
        <v>3067</v>
      </c>
      <c r="LB89" s="23">
        <v>536</v>
      </c>
      <c r="LC89" s="23">
        <v>4891</v>
      </c>
      <c r="LD89" s="23">
        <v>12105</v>
      </c>
      <c r="LE89" s="23">
        <v>2103</v>
      </c>
      <c r="LF89" s="23">
        <v>679</v>
      </c>
      <c r="LG89" s="23">
        <v>4509</v>
      </c>
      <c r="LH89" s="23">
        <v>10119</v>
      </c>
      <c r="LI89" s="23">
        <v>574</v>
      </c>
      <c r="LJ89" s="23">
        <v>3068</v>
      </c>
      <c r="LK89" s="23">
        <v>239</v>
      </c>
      <c r="LL89" s="23">
        <v>49</v>
      </c>
      <c r="LM89" s="23">
        <v>103</v>
      </c>
      <c r="LN89" s="278">
        <f ca="1">$A89 - TST!Sweden100dt + 1</f>
        <v>35</v>
      </c>
      <c r="LO89" s="20">
        <f ca="1">INDEX(OFFSET(TST!HeadRow,ROW()-ROW(TST!HeadRow),0,1,COLUMNS(TST!HeadRow)),1,MATCH(LO$5,TST!HeadRow,0))/LO$8</f>
        <v>9467.253176930597</v>
      </c>
      <c r="LP89" s="278">
        <f ca="1">$A89 - TST!Spain100dt + 1</f>
        <v>35</v>
      </c>
      <c r="LQ89" s="20">
        <f ca="1">INDEX(OFFSET(TST!HeadRow,ROW()-ROW(TST!HeadRow),0,1,COLUMNS(TST!HeadRow)),1,MATCH(LQ$5,TST!HeadRow,0))/LQ$8</f>
        <v>33718.150830847888</v>
      </c>
      <c r="LR89" s="285">
        <f ca="1">$A89 - TST!Victoria100dt + 1</f>
        <v>26</v>
      </c>
      <c r="LS89" s="20">
        <f ca="1">INDEX(OFFSET(TST!HeadRow,ROW()-ROW(TST!HeadRow),0,1,COLUMNS(TST!HeadRow)),1,MATCH(LS$5,TST!HeadRow,0))/LS$8</f>
        <v>1872.0772363855783</v>
      </c>
      <c r="LT89" s="278">
        <f ca="1">$A89 - TST!Iran100dt + 1</f>
        <v>41</v>
      </c>
      <c r="LU89" s="20">
        <f ca="1">INDEX(OFFSET(TST!HeadRow,ROW()-ROW(TST!HeadRow),0,1,COLUMNS(TST!HeadRow)),1,MATCH(LU$5,TST!HeadRow,0))/LU$8</f>
        <v>8140.0928700177865</v>
      </c>
      <c r="LV89" s="278">
        <f ca="1">$A89 - TST!Japan100dt + 1</f>
        <v>17</v>
      </c>
      <c r="LW89" s="20">
        <f ca="1">INDEX(OFFSET(TST!HeadRow,ROW()-ROW(TST!HeadRow),0,1,COLUMNS(TST!HeadRow)),1,MATCH(LW$5,TST!HeadRow,0))/LW$8</f>
        <v>436.96691764555624</v>
      </c>
      <c r="LX89" s="278">
        <f ca="1">$A89 - TST!Queensland100dt + 1</f>
        <v>27</v>
      </c>
      <c r="LY89" s="20">
        <f ca="1">INDEX(OFFSET(TST!HeadRow,ROW()-ROW(TST!HeadRow),0,1,COLUMNS(TST!HeadRow)),1,MATCH(LY$5,TST!HeadRow,0))/LY$8</f>
        <v>1886.4416842229552</v>
      </c>
      <c r="LZ89" s="278">
        <f ca="1">$A89 - TST!Tasmania100dt + 1</f>
        <v>27</v>
      </c>
      <c r="MA89" s="20">
        <f ca="1">INDEX(OFFSET(TST!HeadRow,ROW()-ROW(TST!HeadRow),0,1,COLUMNS(TST!HeadRow)),1,MATCH(MA$5,TST!HeadRow,0))/MA$8</f>
        <v>2368.9320388349515</v>
      </c>
      <c r="MB89" s="278">
        <f ca="1">$A89 - TST!SouthAustralia100dt + 1</f>
        <v>28</v>
      </c>
      <c r="MC89" s="20">
        <f ca="1">INDEX(OFFSET(TST!HeadRow,ROW()-ROW(TST!HeadRow),0,1,COLUMNS(TST!HeadRow)),1,MATCH(MC$5,TST!HeadRow,0))/MC$8</f>
        <v>2562.8742514970058</v>
      </c>
      <c r="MD89" s="278">
        <f ca="1">$A89 - TST!AustralianCapitalTerritory100dt + 1</f>
        <v>22</v>
      </c>
      <c r="ME89" s="20">
        <f ca="1">INDEX(OFFSET(TST!HeadRow,ROW()-ROW(TST!HeadRow),0,1,COLUMNS(TST!HeadRow)),1,MATCH(ME$5,TST!HeadRow,0))/ME$8</f>
        <v>2406.2047376536002</v>
      </c>
      <c r="MF89" s="278">
        <f ca="1">$A89 - TST!NorthernTerritory100dt + 1</f>
        <v>22</v>
      </c>
      <c r="MG89" s="20">
        <f ca="1">INDEX(OFFSET(TST!HeadRow,ROW()-ROW(TST!HeadRow),0,1,COLUMNS(TST!HeadRow)),1,MATCH(MG$5,TST!HeadRow,0))/MG$8</f>
        <v>1321.0974545282972</v>
      </c>
      <c r="MH89" s="278">
        <f ca="1">$A89 - TST!WesternAustralia100dt + 1</f>
        <v>26</v>
      </c>
      <c r="MI89" s="20">
        <f ca="1">INDEX(OFFSET(TST!HeadRow,ROW()-ROW(TST!HeadRow),0,1,COLUMNS(TST!HeadRow)),1,MATCH(MI$5,TST!HeadRow,0))/MI$8</f>
        <v>1954.4225569718037</v>
      </c>
      <c r="MJ89" s="278">
        <f ca="1">$A89 - TST!Germany100dt + 1</f>
        <v>34</v>
      </c>
      <c r="MK89" s="20">
        <f ca="1">INDEX(OFFSET(TST!HeadRow,ROW()-ROW(TST!HeadRow),0,1,COLUMNS(TST!HeadRow)),1,MATCH(MK$5,TST!HeadRow,0))/MK$8</f>
        <v>14715.851602023609</v>
      </c>
      <c r="ML89" s="278">
        <f ca="1">$A89 - TST!Denmark100dt + 1</f>
        <v>33</v>
      </c>
      <c r="MM89" s="20">
        <f ca="1">INDEX(OFFSET(TST!HeadRow,ROW()-ROW(TST!HeadRow),0,1,COLUMNS(TST!HeadRow)),1,MATCH(MM$5,TST!HeadRow,0))/MM$8</f>
        <v>10022.390630382362</v>
      </c>
      <c r="MN89" s="278">
        <f ca="1">$A89 - TST!SouthAfrica100dt + 1</f>
        <v>17</v>
      </c>
      <c r="MO89" s="20">
        <f ca="1">INDEX(OFFSET(TST!HeadRow,ROW()-ROW(TST!HeadRow),0,1,COLUMNS(TST!HeadRow)),1,MATCH(MO$5,TST!HeadRow,0))/MO$8</f>
        <v>346.65974385600555</v>
      </c>
      <c r="MP89" s="278">
        <f ca="1">$A89 - TST!UnitedKingdom100dt + 1</f>
        <v>29</v>
      </c>
      <c r="MQ89" s="20">
        <f ca="1">INDEX(OFFSET(TST!HeadRow,ROW()-ROW(TST!HeadRow),0,1,COLUMNS(TST!HeadRow)),1,MATCH(MQ$5,TST!HeadRow,0))/MQ$8</f>
        <v>11101.444912703191</v>
      </c>
      <c r="MR89" s="278">
        <f ca="1">$A89 - TST!Ireland100dt + 1</f>
        <v>29</v>
      </c>
      <c r="MS89" s="20">
        <f ca="1">INDEX(OFFSET(TST!HeadRow,ROW()-ROW(TST!HeadRow),0,1,COLUMNS(TST!HeadRow)),1,MATCH(MS$5,TST!HeadRow,0))/MS$8</f>
        <v>16508.163265306124</v>
      </c>
      <c r="MT89" s="278">
        <f ca="1">$A89 - TST!Italy100dt + 1</f>
        <v>44</v>
      </c>
      <c r="MU89" s="20">
        <f ca="1">INDEX(OFFSET(TST!HeadRow,ROW()-ROW(TST!HeadRow),0,1,COLUMNS(TST!HeadRow)),1,MATCH(MU$5,TST!HeadRow,0))/MU$8</f>
        <v>24398.941886418121</v>
      </c>
      <c r="MV89" s="278">
        <f ca="1">$A89 - TST!US100dt + 1</f>
        <v>27</v>
      </c>
      <c r="MW89" s="20">
        <f ca="1">INDEX(OFFSET(TST!HeadRow,ROW()-ROW(TST!HeadRow),0,1,COLUMNS(TST!HeadRow)),1,MATCH(MW$5,TST!HeadRow,0))/MW$8</f>
        <v>15081.809052630699</v>
      </c>
      <c r="MX89" s="278">
        <f ca="1">$A89 - TST!AustraliaSum100dt + 1</f>
        <v>27</v>
      </c>
      <c r="MY89" s="366">
        <f t="shared" si="9"/>
        <v>2450.3232928560165</v>
      </c>
      <c r="MZ89" s="278">
        <f ca="1">$A89 - TST!NewSouthWales100dt + 1</f>
        <v>29</v>
      </c>
      <c r="NA89" s="366">
        <f ca="1">INDEX(OFFSET(TST!HeadRow,ROW()-ROW(TST!HeadRow),0,1,COLUMNS(TST!HeadRow)),1,MATCH(NA$5,TST!HeadRow,0))/NA$8</f>
        <v>3492.5742574257424</v>
      </c>
      <c r="NB89" s="278">
        <f ca="1">$A89 - TST!Taiwan100dt + 1</f>
        <v>16</v>
      </c>
      <c r="NC89" s="366">
        <f ca="1">INDEX(OFFSET(TST!HeadRow,ROW()-ROW(TST!HeadRow),0,1,COLUMNS(TST!HeadRow)),1,MATCH(NC$5,TST!HeadRow,0))/NC$8</f>
        <v>160.45510781113106</v>
      </c>
      <c r="ND89" s="20">
        <f ca="1">$A89 - TST!Hubei100dt + 1</f>
        <v>77</v>
      </c>
      <c r="NE89" s="20">
        <f ca="1">INDEX(OFFSET(TST!HeadRow,ROW()-ROW(TST!HeadRow),0,1,COLUMNS(TST!HeadRow)),1,MATCH(NE$5,TST!HeadRow,0))/NE$8</f>
        <v>11590.25641025641</v>
      </c>
      <c r="NF89" s="20">
        <f ca="1">$A89 - TST!HongKong100dt + 1</f>
        <v>47</v>
      </c>
      <c r="NG89" s="20">
        <f ca="1">INDEX(OFFSET(TST!HeadRow,ROW()-ROW(TST!HeadRow),0,1,COLUMNS(TST!HeadRow)),1,MATCH(NG$5,TST!HeadRow,0))/NG$8</f>
        <v>1327.3386122668098</v>
      </c>
    </row>
    <row r="90" spans="1:371" x14ac:dyDescent="0.25">
      <c r="A90" s="243">
        <v>43932</v>
      </c>
      <c r="B90" s="23">
        <v>555</v>
      </c>
      <c r="C90" s="23">
        <v>433</v>
      </c>
      <c r="D90" s="23">
        <v>1825</v>
      </c>
      <c r="E90" s="23">
        <v>601</v>
      </c>
      <c r="F90" s="23">
        <v>19</v>
      </c>
      <c r="G90" s="23">
        <v>21</v>
      </c>
      <c r="H90" s="23">
        <v>1975</v>
      </c>
      <c r="I90" s="23">
        <v>967</v>
      </c>
      <c r="J90" s="23">
        <v>103</v>
      </c>
      <c r="K90" s="293">
        <v>2857</v>
      </c>
      <c r="L90" s="23">
        <v>28</v>
      </c>
      <c r="M90" s="290">
        <v>974</v>
      </c>
      <c r="N90" s="23">
        <v>429</v>
      </c>
      <c r="O90" s="384">
        <v>133</v>
      </c>
      <c r="P90" s="287">
        <v>1265</v>
      </c>
      <c r="Q90" s="23">
        <v>514</v>
      </c>
      <c r="R90" s="23">
        <v>13806</v>
      </c>
      <c r="S90" s="23">
        <v>1058</v>
      </c>
      <c r="T90" s="23">
        <v>46</v>
      </c>
      <c r="U90" s="23">
        <v>1040</v>
      </c>
      <c r="V90" s="23">
        <v>482</v>
      </c>
      <c r="W90" s="23">
        <v>68</v>
      </c>
      <c r="X90" s="23">
        <v>2226</v>
      </c>
      <c r="Y90" s="23">
        <v>28018</v>
      </c>
      <c r="Z90" s="23">
        <v>35</v>
      </c>
      <c r="AA90" s="23">
        <v>5</v>
      </c>
      <c r="AB90" s="23">
        <v>275</v>
      </c>
      <c r="AC90" s="23">
        <v>946</v>
      </c>
      <c r="AD90" s="23">
        <v>20727</v>
      </c>
      <c r="AE90" s="23">
        <v>136</v>
      </c>
      <c r="AF90" s="23">
        <v>661</v>
      </c>
      <c r="AG90" s="23">
        <v>484</v>
      </c>
      <c r="AH90" s="23">
        <v>8</v>
      </c>
      <c r="AI90" s="23">
        <v>120</v>
      </c>
      <c r="AJ90" s="23">
        <v>820</v>
      </c>
      <c r="AK90" s="23">
        <v>1567</v>
      </c>
      <c r="AL90" s="23">
        <v>1445</v>
      </c>
      <c r="AM90" s="23">
        <v>13</v>
      </c>
      <c r="AN90" s="23">
        <v>243</v>
      </c>
      <c r="AO90" s="23">
        <v>112</v>
      </c>
      <c r="AP90" s="23">
        <v>241</v>
      </c>
      <c r="AQ90" s="23">
        <v>428</v>
      </c>
      <c r="AR90" s="23">
        <v>6648</v>
      </c>
      <c r="AS90" s="23">
        <v>25</v>
      </c>
      <c r="AT90" s="23">
        <v>12292</v>
      </c>
      <c r="AU90" s="23">
        <v>289</v>
      </c>
      <c r="AV90" s="23">
        <v>8</v>
      </c>
      <c r="AW90" s="23">
        <v>11</v>
      </c>
      <c r="AX90" s="23">
        <v>6927</v>
      </c>
      <c r="AY90" s="23">
        <v>991</v>
      </c>
      <c r="AZ90" s="23">
        <v>589</v>
      </c>
      <c r="BA90" s="23">
        <v>579</v>
      </c>
      <c r="BB90" s="23">
        <v>351</v>
      </c>
      <c r="BC90" s="23">
        <v>139</v>
      </c>
      <c r="BD90" s="23">
        <v>1548</v>
      </c>
      <c r="BE90" s="23">
        <v>254</v>
      </c>
      <c r="BF90" s="23">
        <v>146</v>
      </c>
      <c r="BG90" s="23">
        <v>168</v>
      </c>
      <c r="BH90" s="23">
        <v>327</v>
      </c>
      <c r="BI90" s="23">
        <v>661</v>
      </c>
      <c r="BJ90" s="23">
        <v>1276</v>
      </c>
      <c r="BK90" s="23">
        <v>1000</v>
      </c>
      <c r="BL90" s="23">
        <v>67803</v>
      </c>
      <c r="BM90" s="23">
        <v>1019</v>
      </c>
      <c r="BN90" s="23">
        <v>155</v>
      </c>
      <c r="BO90" s="23">
        <v>652</v>
      </c>
      <c r="BP90" s="23">
        <v>937</v>
      </c>
      <c r="BQ90" s="23">
        <v>98</v>
      </c>
      <c r="BR90" s="23">
        <v>145</v>
      </c>
      <c r="BS90" s="23">
        <v>45</v>
      </c>
      <c r="BT90" s="23">
        <v>75</v>
      </c>
      <c r="BU90" s="23">
        <v>18</v>
      </c>
      <c r="BV90" s="23">
        <v>256</v>
      </c>
      <c r="BW90" s="23">
        <v>784</v>
      </c>
      <c r="BX90" s="23">
        <v>555</v>
      </c>
      <c r="BY90" s="23">
        <v>172</v>
      </c>
      <c r="BZ90" s="23">
        <v>560</v>
      </c>
      <c r="CA90" s="23">
        <v>183</v>
      </c>
      <c r="CB90" s="23">
        <v>1</v>
      </c>
      <c r="CC90" s="23">
        <v>76</v>
      </c>
      <c r="CD90" s="23">
        <v>184</v>
      </c>
      <c r="CE90" s="23">
        <v>1267</v>
      </c>
      <c r="CF90" s="23">
        <v>2709</v>
      </c>
      <c r="CG90" s="23">
        <v>60</v>
      </c>
      <c r="CH90" s="23">
        <v>223</v>
      </c>
      <c r="CI90" s="23">
        <v>577</v>
      </c>
      <c r="CJ90" s="23">
        <v>533</v>
      </c>
      <c r="CK90" s="23">
        <v>1534</v>
      </c>
      <c r="CL90" s="23">
        <v>712</v>
      </c>
      <c r="CM90" s="23">
        <v>620</v>
      </c>
      <c r="CN90" s="23">
        <v>616</v>
      </c>
      <c r="CO90" s="23">
        <v>5831</v>
      </c>
      <c r="CP90" s="23">
        <v>184</v>
      </c>
      <c r="CQ90" s="23">
        <v>11</v>
      </c>
      <c r="CR90" s="23">
        <v>5996</v>
      </c>
      <c r="CS90" s="23">
        <v>187</v>
      </c>
      <c r="CT90" s="23">
        <v>2759</v>
      </c>
      <c r="CU90" s="23">
        <v>7257</v>
      </c>
      <c r="CV90" s="23">
        <v>1939</v>
      </c>
      <c r="CW90" s="23">
        <v>118</v>
      </c>
      <c r="CX90" s="23">
        <v>18</v>
      </c>
      <c r="CY90" s="23">
        <v>34</v>
      </c>
      <c r="CZ90" s="23">
        <v>1304</v>
      </c>
      <c r="DA90" s="23">
        <v>12</v>
      </c>
      <c r="DB90" s="23">
        <v>69</v>
      </c>
      <c r="DC90" s="23">
        <v>16</v>
      </c>
      <c r="DD90" s="23">
        <v>2905</v>
      </c>
      <c r="DE90" s="23">
        <v>83</v>
      </c>
      <c r="DF90" s="23">
        <v>51</v>
      </c>
      <c r="DG90" s="23">
        <v>143</v>
      </c>
      <c r="DH90" s="23">
        <v>196</v>
      </c>
      <c r="DI90" s="23">
        <v>18</v>
      </c>
      <c r="DJ90" s="23">
        <v>388</v>
      </c>
      <c r="DK90" s="23">
        <v>6</v>
      </c>
      <c r="DL90" s="23">
        <v>32</v>
      </c>
      <c r="DM90" s="23">
        <v>155</v>
      </c>
      <c r="DN90" s="23">
        <v>93790</v>
      </c>
      <c r="DO90" s="23">
        <v>46</v>
      </c>
      <c r="DP90" s="23">
        <v>9</v>
      </c>
      <c r="DQ90" s="23">
        <v>242</v>
      </c>
      <c r="DR90" s="23">
        <v>124908</v>
      </c>
      <c r="DS90" s="23">
        <v>408</v>
      </c>
      <c r="DT90" s="23">
        <v>2081</v>
      </c>
      <c r="DU90" s="23">
        <v>137</v>
      </c>
      <c r="DV90" s="23">
        <v>250</v>
      </c>
      <c r="DW90" s="23">
        <v>45</v>
      </c>
      <c r="DX90" s="23">
        <v>33</v>
      </c>
      <c r="DY90" s="23">
        <v>8</v>
      </c>
      <c r="DZ90" s="23">
        <v>392</v>
      </c>
      <c r="EA90" s="23">
        <v>1310</v>
      </c>
      <c r="EB90" s="23">
        <v>1689</v>
      </c>
      <c r="EC90" s="23">
        <v>8446</v>
      </c>
      <c r="ED90" s="23">
        <v>3842</v>
      </c>
      <c r="EE90" s="23">
        <v>70029</v>
      </c>
      <c r="EF90" s="23">
        <v>1318</v>
      </c>
      <c r="EG90" s="23">
        <v>8928</v>
      </c>
      <c r="EH90" s="23">
        <v>10743</v>
      </c>
      <c r="EI90" s="23">
        <v>152271</v>
      </c>
      <c r="EJ90" s="23">
        <v>65</v>
      </c>
      <c r="EK90" s="23">
        <v>6005</v>
      </c>
      <c r="EL90" s="23">
        <v>381</v>
      </c>
      <c r="EM90" s="23">
        <v>865</v>
      </c>
      <c r="EN90" s="23">
        <v>191</v>
      </c>
      <c r="EO90" s="23">
        <v>10480</v>
      </c>
      <c r="EP90" s="23">
        <v>1154</v>
      </c>
      <c r="EQ90" s="23">
        <v>339</v>
      </c>
      <c r="ER90" s="23">
        <v>630</v>
      </c>
      <c r="ES90" s="23">
        <v>619</v>
      </c>
      <c r="ET90" s="23">
        <v>48</v>
      </c>
      <c r="EU90" s="23">
        <v>79</v>
      </c>
      <c r="EV90" s="23">
        <v>1026</v>
      </c>
      <c r="EW90" s="23">
        <v>3270</v>
      </c>
      <c r="EX90" s="23">
        <v>102</v>
      </c>
      <c r="EY90" s="23">
        <v>4530</v>
      </c>
      <c r="EZ90" s="23">
        <v>19</v>
      </c>
      <c r="FA90" s="23">
        <v>370</v>
      </c>
      <c r="FB90" s="23">
        <v>7</v>
      </c>
      <c r="FC90" s="23">
        <v>319</v>
      </c>
      <c r="FD90" s="23">
        <v>4219</v>
      </c>
      <c r="FE90" s="23">
        <v>1560</v>
      </c>
      <c r="FF90" s="23">
        <v>92</v>
      </c>
      <c r="FG90" s="23">
        <v>16</v>
      </c>
      <c r="FH90" s="23">
        <v>263</v>
      </c>
      <c r="FI90" s="23">
        <v>1545</v>
      </c>
      <c r="FJ90" s="23">
        <v>16</v>
      </c>
      <c r="FK90" s="23">
        <v>9</v>
      </c>
      <c r="FL90" s="23">
        <v>92</v>
      </c>
      <c r="FM90" s="23">
        <v>14</v>
      </c>
      <c r="FN90" s="23">
        <v>50</v>
      </c>
      <c r="FO90" s="23">
        <v>24413</v>
      </c>
      <c r="FP90" s="23">
        <v>1312</v>
      </c>
      <c r="FQ90" s="23">
        <v>8</v>
      </c>
      <c r="FR90" s="23">
        <v>491</v>
      </c>
      <c r="FS90" s="23">
        <v>318</v>
      </c>
      <c r="FT90" s="23">
        <v>760</v>
      </c>
      <c r="FU90" s="23">
        <v>6409</v>
      </c>
      <c r="FV90" s="23">
        <v>546</v>
      </c>
      <c r="FW90" s="23">
        <v>5011</v>
      </c>
      <c r="FX90" s="23">
        <v>2974</v>
      </c>
      <c r="FY90" s="23">
        <v>2</v>
      </c>
      <c r="FZ90" s="23">
        <v>133</v>
      </c>
      <c r="GA90" s="23">
        <v>6848</v>
      </c>
      <c r="GB90" s="23">
        <v>4428</v>
      </c>
      <c r="GC90" s="23">
        <v>6356</v>
      </c>
      <c r="GD90" s="23">
        <v>15987</v>
      </c>
      <c r="GE90" s="23">
        <v>2728</v>
      </c>
      <c r="GF90" s="23">
        <v>5990</v>
      </c>
      <c r="GG90" s="23">
        <v>13584</v>
      </c>
      <c r="GH90" s="23">
        <v>120</v>
      </c>
      <c r="GI90" s="23">
        <v>15</v>
      </c>
      <c r="GJ90" s="23">
        <v>12</v>
      </c>
      <c r="GK90" s="23">
        <v>356</v>
      </c>
      <c r="GL90" s="23">
        <v>4033</v>
      </c>
      <c r="GM90" s="23">
        <v>278</v>
      </c>
      <c r="GN90" s="23">
        <v>3380</v>
      </c>
      <c r="GO90" s="23">
        <v>11</v>
      </c>
      <c r="GP90" s="23">
        <v>2299</v>
      </c>
      <c r="GQ90" s="23">
        <v>728</v>
      </c>
      <c r="GR90" s="23">
        <v>1188</v>
      </c>
      <c r="GS90" s="23">
        <v>21</v>
      </c>
      <c r="GT90" s="23">
        <v>2028</v>
      </c>
      <c r="GU90" s="23">
        <v>163027</v>
      </c>
      <c r="GV90" s="23">
        <v>198</v>
      </c>
      <c r="GW90" s="23">
        <v>19</v>
      </c>
      <c r="GX90" s="23">
        <v>10</v>
      </c>
      <c r="GY90" s="23">
        <v>10151</v>
      </c>
      <c r="GZ90" s="23">
        <v>25107</v>
      </c>
      <c r="HA90" s="23">
        <v>385</v>
      </c>
      <c r="HB90" s="23">
        <v>32</v>
      </c>
      <c r="HC90" s="23">
        <v>2518</v>
      </c>
      <c r="HD90" s="23">
        <v>76</v>
      </c>
      <c r="HE90" s="23">
        <v>112</v>
      </c>
      <c r="HF90" s="23">
        <v>685</v>
      </c>
      <c r="HG90" s="23">
        <v>52167</v>
      </c>
      <c r="HH90" s="23">
        <v>53</v>
      </c>
      <c r="HI90" s="23">
        <v>2511</v>
      </c>
      <c r="HJ90" s="23">
        <v>3736</v>
      </c>
      <c r="HK90" s="23">
        <v>48</v>
      </c>
      <c r="HL90" s="23">
        <v>45</v>
      </c>
      <c r="HM90" s="23">
        <v>407</v>
      </c>
      <c r="HN90" s="23">
        <v>129</v>
      </c>
      <c r="HO90" s="23">
        <v>226</v>
      </c>
      <c r="HP90" s="23">
        <v>9</v>
      </c>
      <c r="HQ90" s="23">
        <v>78991</v>
      </c>
      <c r="HR90" s="23">
        <v>494</v>
      </c>
      <c r="HS90" s="23">
        <v>526396</v>
      </c>
      <c r="HT90" s="23">
        <v>767</v>
      </c>
      <c r="HU90" s="23">
        <v>175</v>
      </c>
      <c r="HV90" s="23">
        <v>258</v>
      </c>
      <c r="HW90" s="23">
        <v>40</v>
      </c>
      <c r="HX90" s="23">
        <v>14</v>
      </c>
      <c r="HY90" s="23">
        <v>0</v>
      </c>
      <c r="HZ90" s="23">
        <v>16</v>
      </c>
      <c r="IA90" s="23">
        <v>14</v>
      </c>
      <c r="IB90" s="23">
        <v>20</v>
      </c>
      <c r="IC90" s="23">
        <v>25</v>
      </c>
      <c r="ID90" s="23">
        <v>2</v>
      </c>
      <c r="IE90" s="23">
        <v>13</v>
      </c>
      <c r="IF90" s="23">
        <v>0</v>
      </c>
      <c r="IG90" s="23">
        <v>18</v>
      </c>
      <c r="IH90" s="23">
        <v>24</v>
      </c>
      <c r="II90" s="23">
        <v>268</v>
      </c>
      <c r="IJ90" s="23">
        <v>38</v>
      </c>
      <c r="IK90" s="23">
        <v>87</v>
      </c>
      <c r="IL90" s="23">
        <v>12</v>
      </c>
      <c r="IM90" s="23">
        <v>5</v>
      </c>
      <c r="IN90" s="23">
        <v>8</v>
      </c>
      <c r="IO90" s="23">
        <v>283</v>
      </c>
      <c r="IP90" s="23">
        <v>38</v>
      </c>
      <c r="IQ90" s="23">
        <v>3</v>
      </c>
      <c r="IR90" s="23">
        <v>3</v>
      </c>
      <c r="IS90" s="23">
        <v>8</v>
      </c>
      <c r="IT90" s="23">
        <v>9</v>
      </c>
      <c r="IU90" s="23">
        <v>13</v>
      </c>
      <c r="IV90" s="23">
        <v>5</v>
      </c>
      <c r="IW90" s="23">
        <v>8</v>
      </c>
      <c r="IX90" s="23">
        <v>2</v>
      </c>
      <c r="IY90" s="23">
        <v>12</v>
      </c>
      <c r="IZ90" s="23">
        <v>5</v>
      </c>
      <c r="JA90" s="23">
        <v>1</v>
      </c>
      <c r="JB90" s="23">
        <v>4</v>
      </c>
      <c r="JC90" s="23">
        <v>4</v>
      </c>
      <c r="JD90" s="23">
        <v>4</v>
      </c>
      <c r="JE90" s="23">
        <v>1</v>
      </c>
      <c r="JF90" s="23">
        <v>0</v>
      </c>
      <c r="JG90" s="23">
        <v>0</v>
      </c>
      <c r="JH90" s="23">
        <v>0</v>
      </c>
      <c r="JI90" s="23">
        <v>133</v>
      </c>
      <c r="JJ90" s="23">
        <v>11</v>
      </c>
      <c r="JK90" s="23">
        <v>788</v>
      </c>
      <c r="JL90" s="23">
        <v>51</v>
      </c>
      <c r="JM90" s="23">
        <v>3217</v>
      </c>
      <c r="JN90" s="23">
        <v>257</v>
      </c>
      <c r="JO90" s="23">
        <v>3393</v>
      </c>
      <c r="JP90" s="23">
        <v>1228</v>
      </c>
      <c r="JQ90" s="23">
        <v>21706</v>
      </c>
      <c r="JR90" s="23">
        <v>6513</v>
      </c>
      <c r="JS90" s="23">
        <v>11510</v>
      </c>
      <c r="JT90" s="23">
        <v>1479</v>
      </c>
      <c r="JU90" s="23">
        <v>1778</v>
      </c>
      <c r="JV90" s="23">
        <v>18494</v>
      </c>
      <c r="JW90" s="23">
        <v>12159</v>
      </c>
      <c r="JX90" s="23">
        <v>465</v>
      </c>
      <c r="JY90" s="23">
        <v>1396</v>
      </c>
      <c r="JZ90" s="23">
        <v>19180</v>
      </c>
      <c r="KA90" s="23">
        <v>7435</v>
      </c>
      <c r="KB90" s="23">
        <v>1510</v>
      </c>
      <c r="KC90" s="23">
        <v>1275</v>
      </c>
      <c r="KD90" s="23">
        <v>1693</v>
      </c>
      <c r="KE90" s="23">
        <v>20014</v>
      </c>
      <c r="KF90" s="23">
        <v>616</v>
      </c>
      <c r="KG90" s="23">
        <v>7694</v>
      </c>
      <c r="KH90" s="23">
        <v>22860</v>
      </c>
      <c r="KI90" s="23">
        <v>23605</v>
      </c>
      <c r="KJ90" s="23">
        <v>1427</v>
      </c>
      <c r="KK90" s="23">
        <v>2642</v>
      </c>
      <c r="KL90" s="23">
        <v>4108</v>
      </c>
      <c r="KM90" s="23">
        <v>377</v>
      </c>
      <c r="KN90" s="23">
        <v>699</v>
      </c>
      <c r="KO90" s="23">
        <v>2702</v>
      </c>
      <c r="KP90" s="23">
        <v>885</v>
      </c>
      <c r="KQ90" s="23">
        <v>58151</v>
      </c>
      <c r="KR90" s="23">
        <v>1091</v>
      </c>
      <c r="KS90" s="23">
        <v>181026</v>
      </c>
      <c r="KT90" s="23">
        <v>4354</v>
      </c>
      <c r="KU90" s="23">
        <v>293</v>
      </c>
      <c r="KV90" s="23">
        <v>6250</v>
      </c>
      <c r="KW90" s="23">
        <v>1868</v>
      </c>
      <c r="KX90" s="23">
        <v>1371</v>
      </c>
      <c r="KY90" s="23">
        <v>21719</v>
      </c>
      <c r="KZ90" s="23">
        <v>2349</v>
      </c>
      <c r="LA90" s="23">
        <v>3211</v>
      </c>
      <c r="LB90" s="23">
        <v>626</v>
      </c>
      <c r="LC90" s="23">
        <v>5132</v>
      </c>
      <c r="LD90" s="23">
        <v>13023</v>
      </c>
      <c r="LE90" s="23">
        <v>2207</v>
      </c>
      <c r="LF90" s="23">
        <v>711</v>
      </c>
      <c r="LG90" s="23">
        <v>5077</v>
      </c>
      <c r="LH90" s="23">
        <v>10434</v>
      </c>
      <c r="LI90" s="23">
        <v>577</v>
      </c>
      <c r="LJ90" s="23">
        <v>3213</v>
      </c>
      <c r="LK90" s="23">
        <v>261</v>
      </c>
      <c r="LL90" s="23">
        <v>49</v>
      </c>
      <c r="LM90" s="23">
        <v>103</v>
      </c>
      <c r="LN90" s="278">
        <f ca="1">$A90 - TST!Sweden100dt + 1</f>
        <v>36</v>
      </c>
      <c r="LO90" s="20">
        <f ca="1">INDEX(OFFSET(TST!HeadRow,ROW()-ROW(TST!HeadRow),0,1,COLUMNS(TST!HeadRow)),1,MATCH(LO$5,TST!HeadRow,0))/LO$8</f>
        <v>9922.7761485826013</v>
      </c>
      <c r="LP90" s="278">
        <f ca="1">$A90 - TST!Spain100dt + 1</f>
        <v>36</v>
      </c>
      <c r="LQ90" s="20">
        <f ca="1">INDEX(OFFSET(TST!HeadRow,ROW()-ROW(TST!HeadRow),0,1,COLUMNS(TST!HeadRow)),1,MATCH(LQ$5,TST!HeadRow,0))/LQ$8</f>
        <v>34730.933106092882</v>
      </c>
      <c r="LR90" s="285">
        <f ca="1">$A90 - TST!Victoria100dt + 1</f>
        <v>27</v>
      </c>
      <c r="LS90" s="20">
        <f ca="1">INDEX(OFFSET(TST!HeadRow,ROW()-ROW(TST!HeadRow),0,1,COLUMNS(TST!HeadRow)),1,MATCH(LS$5,TST!HeadRow,0))/LS$8</f>
        <v>1908.2817921255089</v>
      </c>
      <c r="LT90" s="278">
        <f ca="1">$A90 - TST!Iran100dt + 1</f>
        <v>42</v>
      </c>
      <c r="LU90" s="20">
        <f ca="1">INDEX(OFFSET(TST!HeadRow,ROW()-ROW(TST!HeadRow),0,1,COLUMNS(TST!HeadRow)),1,MATCH(LU$5,TST!HeadRow,0))/LU$8</f>
        <v>8359.3759325797091</v>
      </c>
      <c r="LV90" s="278">
        <f ca="1">$A90 - TST!Japan100dt + 1</f>
        <v>18</v>
      </c>
      <c r="LW90" s="20">
        <f ca="1">INDEX(OFFSET(TST!HeadRow,ROW()-ROW(TST!HeadRow),0,1,COLUMNS(TST!HeadRow)),1,MATCH(LW$5,TST!HeadRow,0))/LW$8</f>
        <v>474.50024239811302</v>
      </c>
      <c r="LX90" s="278">
        <f ca="1">$A90 - TST!Queensland100dt + 1</f>
        <v>28</v>
      </c>
      <c r="LY90" s="20">
        <f ca="1">INDEX(OFFSET(TST!HeadRow,ROW()-ROW(TST!HeadRow),0,1,COLUMNS(TST!HeadRow)),1,MATCH(LY$5,TST!HeadRow,0))/LY$8</f>
        <v>1904.0354408633766</v>
      </c>
      <c r="LZ90" s="278">
        <f ca="1">$A90 - TST!Tasmania100dt + 1</f>
        <v>28</v>
      </c>
      <c r="MA90" s="20">
        <f ca="1">INDEX(OFFSET(TST!HeadRow,ROW()-ROW(TST!HeadRow),0,1,COLUMNS(TST!HeadRow)),1,MATCH(MA$5,TST!HeadRow,0))/MA$8</f>
        <v>2582.5242718446602</v>
      </c>
      <c r="MB90" s="278">
        <f ca="1">$A90 - TST!SouthAustralia100dt + 1</f>
        <v>29</v>
      </c>
      <c r="MC90" s="20">
        <f ca="1">INDEX(OFFSET(TST!HeadRow,ROW()-ROW(TST!HeadRow),0,1,COLUMNS(TST!HeadRow)),1,MATCH(MC$5,TST!HeadRow,0))/MC$8</f>
        <v>2568.8622754491016</v>
      </c>
      <c r="MD90" s="278">
        <f ca="1">$A90 - TST!AustralianCapitalTerritory100dt + 1</f>
        <v>23</v>
      </c>
      <c r="ME90" s="20">
        <f ca="1">INDEX(OFFSET(TST!HeadRow,ROW()-ROW(TST!HeadRow),0,1,COLUMNS(TST!HeadRow)),1,MATCH(ME$5,TST!HeadRow,0))/ME$8</f>
        <v>2406.2047376536002</v>
      </c>
      <c r="MF90" s="278">
        <f ca="1">$A90 - TST!NorthernTerritory100dt + 1</f>
        <v>23</v>
      </c>
      <c r="MG90" s="20">
        <f ca="1">INDEX(OFFSET(TST!HeadRow,ROW()-ROW(TST!HeadRow),0,1,COLUMNS(TST!HeadRow)),1,MATCH(MG$5,TST!HeadRow,0))/MG$8</f>
        <v>1321.0974545282972</v>
      </c>
      <c r="MH90" s="278">
        <f ca="1">$A90 - TST!WesternAustralia100dt + 1</f>
        <v>27</v>
      </c>
      <c r="MI90" s="20">
        <f ca="1">INDEX(OFFSET(TST!HeadRow,ROW()-ROW(TST!HeadRow),0,1,COLUMNS(TST!HeadRow)),1,MATCH(MI$5,TST!HeadRow,0))/MI$8</f>
        <v>1985.3225183468519</v>
      </c>
      <c r="MJ90" s="278">
        <f ca="1">$A90 - TST!Germany100dt + 1</f>
        <v>35</v>
      </c>
      <c r="MK90" s="20">
        <f ca="1">INDEX(OFFSET(TST!HeadRow,ROW()-ROW(TST!HeadRow),0,1,COLUMNS(TST!HeadRow)),1,MATCH(MK$5,TST!HeadRow,0))/MK$8</f>
        <v>15045.531197301856</v>
      </c>
      <c r="ML90" s="278">
        <f ca="1">$A90 - TST!Denmark100dt + 1</f>
        <v>34</v>
      </c>
      <c r="MM90" s="20">
        <f ca="1">INDEX(OFFSET(TST!HeadRow,ROW()-ROW(TST!HeadRow),0,1,COLUMNS(TST!HeadRow)),1,MATCH(MM$5,TST!HeadRow,0))/MM$8</f>
        <v>10327.247674819153</v>
      </c>
      <c r="MN90" s="278">
        <f ca="1">$A90 - TST!SouthAfrica100dt + 1</f>
        <v>18</v>
      </c>
      <c r="MO90" s="20">
        <f ca="1">INDEX(OFFSET(TST!HeadRow,ROW()-ROW(TST!HeadRow),0,1,COLUMNS(TST!HeadRow)),1,MATCH(MO$5,TST!HeadRow,0))/MO$8</f>
        <v>350.98650051921084</v>
      </c>
      <c r="MP90" s="278">
        <f ca="1">$A90 - TST!UnitedKingdom100dt + 1</f>
        <v>30</v>
      </c>
      <c r="MQ90" s="20">
        <f ca="1">INDEX(OFFSET(TST!HeadRow,ROW()-ROW(TST!HeadRow),0,1,COLUMNS(TST!HeadRow)),1,MATCH(MQ$5,TST!HeadRow,0))/MQ$8</f>
        <v>11889.072847682119</v>
      </c>
      <c r="MR90" s="278">
        <f ca="1">$A90 - TST!Ireland100dt + 1</f>
        <v>30</v>
      </c>
      <c r="MS90" s="20">
        <f ca="1">INDEX(OFFSET(TST!HeadRow,ROW()-ROW(TST!HeadRow),0,1,COLUMNS(TST!HeadRow)),1,MATCH(MS$5,TST!HeadRow,0))/MS$8</f>
        <v>18220.408163265307</v>
      </c>
      <c r="MT90" s="278">
        <f ca="1">$A90 - TST!Italy100dt + 1</f>
        <v>45</v>
      </c>
      <c r="MU90" s="20">
        <f ca="1">INDEX(OFFSET(TST!HeadRow,ROW()-ROW(TST!HeadRow),0,1,COLUMNS(TST!HeadRow)),1,MATCH(MU$5,TST!HeadRow,0))/MU$8</f>
        <v>25175.002066628091</v>
      </c>
      <c r="MV90" s="278">
        <f ca="1">$A90 - TST!US100dt + 1</f>
        <v>28</v>
      </c>
      <c r="MW90" s="20">
        <f ca="1">INDEX(OFFSET(TST!HeadRow,ROW()-ROW(TST!HeadRow),0,1,COLUMNS(TST!HeadRow)),1,MATCH(MW$5,TST!HeadRow,0))/MW$8</f>
        <v>15988.810372015245</v>
      </c>
      <c r="MX90" s="278">
        <f ca="1">$A90 - TST!AustraliaSum100dt + 1</f>
        <v>28</v>
      </c>
      <c r="MY90" s="366">
        <f t="shared" si="9"/>
        <v>2485.0181359407034</v>
      </c>
      <c r="MZ90" s="278">
        <f ca="1">$A90 - TST!NewSouthWales100dt + 1</f>
        <v>30</v>
      </c>
      <c r="NA90" s="366">
        <f ca="1">INDEX(OFFSET(TST!HeadRow,ROW()-ROW(TST!HeadRow),0,1,COLUMNS(TST!HeadRow)),1,MATCH(NA$5,TST!HeadRow,0))/NA$8</f>
        <v>3535.8910891089108</v>
      </c>
      <c r="NB90" s="278">
        <f ca="1">$A90 - TST!Taiwan100dt + 1</f>
        <v>17</v>
      </c>
      <c r="NC90" s="366">
        <f ca="1">INDEX(OFFSET(TST!HeadRow,ROW()-ROW(TST!HeadRow),0,1,COLUMNS(TST!HeadRow)),1,MATCH(NC$5,TST!HeadRow,0))/NC$8</f>
        <v>161.71522645886245</v>
      </c>
      <c r="ND90" s="20">
        <f ca="1">$A90 - TST!Hubei100dt + 1</f>
        <v>78</v>
      </c>
      <c r="NE90" s="20">
        <f ca="1">INDEX(OFFSET(TST!HeadRow,ROW()-ROW(TST!HeadRow),0,1,COLUMNS(TST!HeadRow)),1,MATCH(NE$5,TST!HeadRow,0))/NE$8</f>
        <v>11590.25641025641</v>
      </c>
      <c r="NF90" s="20">
        <f ca="1">$A90 - TST!HongKong100dt + 1</f>
        <v>48</v>
      </c>
      <c r="NG90" s="20">
        <f ca="1">INDEX(OFFSET(TST!HeadRow,ROW()-ROW(TST!HeadRow),0,1,COLUMNS(TST!HeadRow)),1,MATCH(NG$5,TST!HeadRow,0))/NG$8</f>
        <v>1342.1017313112334</v>
      </c>
    </row>
    <row r="91" spans="1:371" x14ac:dyDescent="0.25">
      <c r="A91" s="243">
        <v>43933</v>
      </c>
      <c r="B91" s="23">
        <v>607</v>
      </c>
      <c r="C91" s="23">
        <v>446</v>
      </c>
      <c r="D91" s="23">
        <v>1914</v>
      </c>
      <c r="E91" s="23">
        <v>638</v>
      </c>
      <c r="F91" s="23">
        <v>19</v>
      </c>
      <c r="G91" s="23">
        <v>21</v>
      </c>
      <c r="H91" s="23">
        <v>2142</v>
      </c>
      <c r="I91" s="23">
        <v>1013</v>
      </c>
      <c r="J91" s="23">
        <v>103</v>
      </c>
      <c r="K91" s="293">
        <v>2857</v>
      </c>
      <c r="L91" s="23">
        <v>28</v>
      </c>
      <c r="M91" s="290">
        <v>983</v>
      </c>
      <c r="N91" s="23">
        <v>429</v>
      </c>
      <c r="O91" s="384">
        <v>133</v>
      </c>
      <c r="P91" s="287">
        <v>1268</v>
      </c>
      <c r="Q91" s="23">
        <v>514</v>
      </c>
      <c r="R91" s="23">
        <v>13945</v>
      </c>
      <c r="S91" s="23">
        <v>1098</v>
      </c>
      <c r="T91" s="23">
        <v>46</v>
      </c>
      <c r="U91" s="23">
        <v>1136</v>
      </c>
      <c r="V91" s="23">
        <v>621</v>
      </c>
      <c r="W91" s="23">
        <v>71</v>
      </c>
      <c r="X91" s="23">
        <v>2578</v>
      </c>
      <c r="Y91" s="23">
        <v>29647</v>
      </c>
      <c r="Z91" s="23">
        <v>35</v>
      </c>
      <c r="AA91" s="23">
        <v>5</v>
      </c>
      <c r="AB91" s="23">
        <v>300</v>
      </c>
      <c r="AC91" s="23">
        <v>1009</v>
      </c>
      <c r="AD91" s="23">
        <v>22192</v>
      </c>
      <c r="AE91" s="23">
        <v>136</v>
      </c>
      <c r="AF91" s="23">
        <v>675</v>
      </c>
      <c r="AG91" s="23">
        <v>497</v>
      </c>
      <c r="AH91" s="23">
        <v>8</v>
      </c>
      <c r="AI91" s="23">
        <v>122</v>
      </c>
      <c r="AJ91" s="23">
        <v>820</v>
      </c>
      <c r="AK91" s="23">
        <v>1567</v>
      </c>
      <c r="AL91" s="23">
        <v>1445</v>
      </c>
      <c r="AM91" s="23">
        <v>13</v>
      </c>
      <c r="AN91" s="23">
        <v>242</v>
      </c>
      <c r="AO91" s="23">
        <v>114</v>
      </c>
      <c r="AP91" s="23">
        <v>242</v>
      </c>
      <c r="AQ91" s="23">
        <v>445</v>
      </c>
      <c r="AR91" s="23">
        <v>7049</v>
      </c>
      <c r="AS91" s="23">
        <v>25</v>
      </c>
      <c r="AT91" s="23">
        <v>12846</v>
      </c>
      <c r="AU91" s="23">
        <v>298</v>
      </c>
      <c r="AV91" s="23">
        <v>8</v>
      </c>
      <c r="AW91" s="23">
        <v>18</v>
      </c>
      <c r="AX91" s="23">
        <v>7213</v>
      </c>
      <c r="AY91" s="23">
        <v>991</v>
      </c>
      <c r="AZ91" s="23">
        <v>589</v>
      </c>
      <c r="BA91" s="23">
        <v>579</v>
      </c>
      <c r="BB91" s="23">
        <v>352</v>
      </c>
      <c r="BC91" s="23">
        <v>139</v>
      </c>
      <c r="BD91" s="23">
        <v>1552</v>
      </c>
      <c r="BE91" s="23">
        <v>254</v>
      </c>
      <c r="BF91" s="23">
        <v>146</v>
      </c>
      <c r="BG91" s="23">
        <v>168</v>
      </c>
      <c r="BH91" s="23">
        <v>327</v>
      </c>
      <c r="BI91" s="23">
        <v>684</v>
      </c>
      <c r="BJ91" s="23">
        <v>1276</v>
      </c>
      <c r="BK91" s="23">
        <v>1004</v>
      </c>
      <c r="BL91" s="23">
        <v>67803</v>
      </c>
      <c r="BM91" s="23">
        <v>1019</v>
      </c>
      <c r="BN91" s="23">
        <v>189</v>
      </c>
      <c r="BO91" s="23">
        <v>653</v>
      </c>
      <c r="BP91" s="23">
        <v>937</v>
      </c>
      <c r="BQ91" s="23">
        <v>99</v>
      </c>
      <c r="BR91" s="23">
        <v>145</v>
      </c>
      <c r="BS91" s="23">
        <v>45</v>
      </c>
      <c r="BT91" s="23">
        <v>75</v>
      </c>
      <c r="BU91" s="23">
        <v>18</v>
      </c>
      <c r="BV91" s="23">
        <v>256</v>
      </c>
      <c r="BW91" s="23">
        <v>784</v>
      </c>
      <c r="BX91" s="23">
        <v>607</v>
      </c>
      <c r="BY91" s="23">
        <v>172</v>
      </c>
      <c r="BZ91" s="23">
        <v>560</v>
      </c>
      <c r="CA91" s="23">
        <v>183</v>
      </c>
      <c r="CB91" s="23">
        <v>1</v>
      </c>
      <c r="CC91" s="23">
        <v>76</v>
      </c>
      <c r="CD91" s="23">
        <v>184</v>
      </c>
      <c r="CE91" s="23">
        <v>1267</v>
      </c>
      <c r="CF91" s="23">
        <v>2776</v>
      </c>
      <c r="CG91" s="23">
        <v>60</v>
      </c>
      <c r="CH91" s="23">
        <v>234</v>
      </c>
      <c r="CI91" s="23">
        <v>595</v>
      </c>
      <c r="CJ91" s="23">
        <v>574</v>
      </c>
      <c r="CK91" s="23">
        <v>1600</v>
      </c>
      <c r="CL91" s="23">
        <v>712</v>
      </c>
      <c r="CM91" s="23">
        <v>669</v>
      </c>
      <c r="CN91" s="23">
        <v>633</v>
      </c>
      <c r="CO91" s="23">
        <v>5991</v>
      </c>
      <c r="CP91" s="23">
        <v>184</v>
      </c>
      <c r="CQ91" s="23">
        <v>11</v>
      </c>
      <c r="CR91" s="23">
        <v>6174</v>
      </c>
      <c r="CS91" s="23">
        <v>214</v>
      </c>
      <c r="CT91" s="23">
        <v>2967</v>
      </c>
      <c r="CU91" s="23">
        <v>7466</v>
      </c>
      <c r="CV91" s="23">
        <v>2065</v>
      </c>
      <c r="CW91" s="23">
        <v>125</v>
      </c>
      <c r="CX91" s="23">
        <v>21</v>
      </c>
      <c r="CY91" s="23">
        <v>34</v>
      </c>
      <c r="CZ91" s="23">
        <v>1309</v>
      </c>
      <c r="DA91" s="23">
        <v>14</v>
      </c>
      <c r="DB91" s="23">
        <v>71</v>
      </c>
      <c r="DC91" s="23">
        <v>16</v>
      </c>
      <c r="DD91" s="23">
        <v>2974</v>
      </c>
      <c r="DE91" s="23">
        <v>86</v>
      </c>
      <c r="DF91" s="23">
        <v>53</v>
      </c>
      <c r="DG91" s="23">
        <v>143</v>
      </c>
      <c r="DH91" s="23">
        <v>196</v>
      </c>
      <c r="DI91" s="23">
        <v>18</v>
      </c>
      <c r="DJ91" s="23">
        <v>389</v>
      </c>
      <c r="DK91" s="23">
        <v>6</v>
      </c>
      <c r="DL91" s="23">
        <v>32</v>
      </c>
      <c r="DM91" s="23">
        <v>155</v>
      </c>
      <c r="DN91" s="23">
        <v>120633</v>
      </c>
      <c r="DO91" s="23">
        <v>49</v>
      </c>
      <c r="DP91" s="23">
        <v>9</v>
      </c>
      <c r="DQ91" s="23">
        <v>257</v>
      </c>
      <c r="DR91" s="23">
        <v>127854</v>
      </c>
      <c r="DS91" s="23">
        <v>566</v>
      </c>
      <c r="DT91" s="23">
        <v>2114</v>
      </c>
      <c r="DU91" s="23">
        <v>155</v>
      </c>
      <c r="DV91" s="23">
        <v>250</v>
      </c>
      <c r="DW91" s="23">
        <v>45</v>
      </c>
      <c r="DX91" s="23">
        <v>33</v>
      </c>
      <c r="DY91" s="23">
        <v>8</v>
      </c>
      <c r="DZ91" s="23">
        <v>393</v>
      </c>
      <c r="EA91" s="23">
        <v>1410</v>
      </c>
      <c r="EB91" s="23">
        <v>1701</v>
      </c>
      <c r="EC91" s="23">
        <v>9205</v>
      </c>
      <c r="ED91" s="23">
        <v>4241</v>
      </c>
      <c r="EE91" s="23">
        <v>71686</v>
      </c>
      <c r="EF91" s="23">
        <v>1352</v>
      </c>
      <c r="EG91" s="23">
        <v>9655</v>
      </c>
      <c r="EH91" s="23">
        <v>11145</v>
      </c>
      <c r="EI91" s="23">
        <v>156363</v>
      </c>
      <c r="EJ91" s="23">
        <v>69</v>
      </c>
      <c r="EK91" s="23">
        <v>6748</v>
      </c>
      <c r="EL91" s="23">
        <v>389</v>
      </c>
      <c r="EM91" s="23">
        <v>951</v>
      </c>
      <c r="EN91" s="23">
        <v>197</v>
      </c>
      <c r="EO91" s="23">
        <v>10512</v>
      </c>
      <c r="EP91" s="23">
        <v>1234</v>
      </c>
      <c r="EQ91" s="23">
        <v>377</v>
      </c>
      <c r="ER91" s="23">
        <v>651</v>
      </c>
      <c r="ES91" s="23">
        <v>630</v>
      </c>
      <c r="ET91" s="23">
        <v>50</v>
      </c>
      <c r="EU91" s="23">
        <v>79</v>
      </c>
      <c r="EV91" s="23">
        <v>1053</v>
      </c>
      <c r="EW91" s="23">
        <v>3281</v>
      </c>
      <c r="EX91" s="23">
        <v>106</v>
      </c>
      <c r="EY91" s="23">
        <v>4683</v>
      </c>
      <c r="EZ91" s="23">
        <v>20</v>
      </c>
      <c r="FA91" s="23">
        <v>378</v>
      </c>
      <c r="FB91" s="23">
        <v>7</v>
      </c>
      <c r="FC91" s="23">
        <v>324</v>
      </c>
      <c r="FD91" s="23">
        <v>4661</v>
      </c>
      <c r="FE91" s="23">
        <v>1662</v>
      </c>
      <c r="FF91" s="23">
        <v>93</v>
      </c>
      <c r="FG91" s="23">
        <v>16</v>
      </c>
      <c r="FH91" s="23">
        <v>272</v>
      </c>
      <c r="FI91" s="23">
        <v>1661</v>
      </c>
      <c r="FJ91" s="23">
        <v>16</v>
      </c>
      <c r="FK91" s="23">
        <v>12</v>
      </c>
      <c r="FL91" s="23">
        <v>92</v>
      </c>
      <c r="FM91" s="23">
        <v>14</v>
      </c>
      <c r="FN91" s="23">
        <v>50</v>
      </c>
      <c r="FO91" s="23">
        <v>25587</v>
      </c>
      <c r="FP91" s="23">
        <v>1330</v>
      </c>
      <c r="FQ91" s="23">
        <v>9</v>
      </c>
      <c r="FR91" s="23">
        <v>529</v>
      </c>
      <c r="FS91" s="23">
        <v>323</v>
      </c>
      <c r="FT91" s="23">
        <v>828</v>
      </c>
      <c r="FU91" s="23">
        <v>6525</v>
      </c>
      <c r="FV91" s="23">
        <v>599</v>
      </c>
      <c r="FW91" s="23">
        <v>5230</v>
      </c>
      <c r="FX91" s="23">
        <v>3234</v>
      </c>
      <c r="FY91" s="23">
        <v>2</v>
      </c>
      <c r="FZ91" s="23">
        <v>134</v>
      </c>
      <c r="GA91" s="23">
        <v>7519</v>
      </c>
      <c r="GB91" s="23">
        <v>4648</v>
      </c>
      <c r="GC91" s="23">
        <v>6674</v>
      </c>
      <c r="GD91" s="23">
        <v>16585</v>
      </c>
      <c r="GE91" s="23">
        <v>2979</v>
      </c>
      <c r="GF91" s="23">
        <v>6300</v>
      </c>
      <c r="GG91" s="23">
        <v>15770</v>
      </c>
      <c r="GH91" s="23">
        <v>126</v>
      </c>
      <c r="GI91" s="23">
        <v>15</v>
      </c>
      <c r="GJ91" s="23">
        <v>12</v>
      </c>
      <c r="GK91" s="23">
        <v>356</v>
      </c>
      <c r="GL91" s="23">
        <v>4462</v>
      </c>
      <c r="GM91" s="23">
        <v>280</v>
      </c>
      <c r="GN91" s="23">
        <v>3630</v>
      </c>
      <c r="GO91" s="23">
        <v>11</v>
      </c>
      <c r="GP91" s="23">
        <v>2532</v>
      </c>
      <c r="GQ91" s="23">
        <v>742</v>
      </c>
      <c r="GR91" s="23">
        <v>1205</v>
      </c>
      <c r="GS91" s="23">
        <v>25</v>
      </c>
      <c r="GT91" s="23">
        <v>2173</v>
      </c>
      <c r="GU91" s="23">
        <v>166831</v>
      </c>
      <c r="GV91" s="23">
        <v>210</v>
      </c>
      <c r="GW91" s="23">
        <v>19</v>
      </c>
      <c r="GX91" s="23">
        <v>10</v>
      </c>
      <c r="GY91" s="23">
        <v>10483</v>
      </c>
      <c r="GZ91" s="23">
        <v>25415</v>
      </c>
      <c r="HA91" s="23">
        <v>388</v>
      </c>
      <c r="HB91" s="23">
        <v>32</v>
      </c>
      <c r="HC91" s="23">
        <v>2551</v>
      </c>
      <c r="HD91" s="23">
        <v>76</v>
      </c>
      <c r="HE91" s="23">
        <v>113</v>
      </c>
      <c r="HF91" s="23">
        <v>707</v>
      </c>
      <c r="HG91" s="23">
        <v>56956</v>
      </c>
      <c r="HH91" s="23">
        <v>54</v>
      </c>
      <c r="HI91" s="23">
        <v>2777</v>
      </c>
      <c r="HJ91" s="23">
        <v>4123</v>
      </c>
      <c r="HK91" s="23">
        <v>57</v>
      </c>
      <c r="HL91" s="23">
        <v>53</v>
      </c>
      <c r="HM91" s="23">
        <v>431</v>
      </c>
      <c r="HN91" s="23">
        <v>129</v>
      </c>
      <c r="HO91" s="23">
        <v>228</v>
      </c>
      <c r="HP91" s="23">
        <v>9</v>
      </c>
      <c r="HQ91" s="23">
        <v>84279</v>
      </c>
      <c r="HR91" s="23">
        <v>480</v>
      </c>
      <c r="HS91" s="23">
        <v>555313</v>
      </c>
      <c r="HT91" s="23">
        <v>865</v>
      </c>
      <c r="HU91" s="23">
        <v>181</v>
      </c>
      <c r="HV91" s="23">
        <v>262</v>
      </c>
      <c r="HW91" s="23">
        <v>43</v>
      </c>
      <c r="HX91" s="23">
        <v>14</v>
      </c>
      <c r="HY91" s="23">
        <v>0</v>
      </c>
      <c r="HZ91" s="23">
        <v>16</v>
      </c>
      <c r="IA91" s="23">
        <v>14</v>
      </c>
      <c r="IB91" s="23">
        <v>21</v>
      </c>
      <c r="IC91" s="23">
        <v>25</v>
      </c>
      <c r="ID91" s="23">
        <v>2</v>
      </c>
      <c r="IE91" s="23">
        <v>14</v>
      </c>
      <c r="IF91" s="23">
        <v>0</v>
      </c>
      <c r="IG91" s="23">
        <v>19</v>
      </c>
      <c r="IH91" s="23">
        <v>25</v>
      </c>
      <c r="II91" s="23">
        <v>290</v>
      </c>
      <c r="IJ91" s="23">
        <v>38</v>
      </c>
      <c r="IK91" s="23">
        <v>105</v>
      </c>
      <c r="IL91" s="23">
        <v>12</v>
      </c>
      <c r="IM91" s="23">
        <v>5</v>
      </c>
      <c r="IN91" s="23">
        <v>8</v>
      </c>
      <c r="IO91" s="23">
        <v>283</v>
      </c>
      <c r="IP91" s="23">
        <v>41</v>
      </c>
      <c r="IQ91" s="23">
        <v>3</v>
      </c>
      <c r="IR91" s="23">
        <v>3</v>
      </c>
      <c r="IS91" s="23">
        <v>9</v>
      </c>
      <c r="IT91" s="23">
        <v>9</v>
      </c>
      <c r="IU91" s="23">
        <v>13</v>
      </c>
      <c r="IV91" s="23">
        <v>5</v>
      </c>
      <c r="IW91" s="23">
        <v>10</v>
      </c>
      <c r="IX91" s="23">
        <v>3</v>
      </c>
      <c r="IY91" s="23">
        <v>13</v>
      </c>
      <c r="IZ91" s="23">
        <v>5</v>
      </c>
      <c r="JA91" s="23">
        <v>1</v>
      </c>
      <c r="JB91" s="23">
        <v>4</v>
      </c>
      <c r="JC91" s="23">
        <v>6</v>
      </c>
      <c r="JD91" s="23">
        <v>4</v>
      </c>
      <c r="JE91" s="23">
        <v>1</v>
      </c>
      <c r="JF91" s="23">
        <v>0</v>
      </c>
      <c r="JG91" s="23">
        <v>0</v>
      </c>
      <c r="JH91" s="23">
        <v>0</v>
      </c>
      <c r="JI91" s="23">
        <v>133</v>
      </c>
      <c r="JJ91" s="23">
        <v>11</v>
      </c>
      <c r="JK91" s="23">
        <v>897</v>
      </c>
      <c r="JL91" s="23">
        <v>51</v>
      </c>
      <c r="JM91" s="23">
        <v>3563</v>
      </c>
      <c r="JN91" s="23">
        <v>272</v>
      </c>
      <c r="JO91" s="23">
        <v>3542</v>
      </c>
      <c r="JP91" s="23">
        <v>1280</v>
      </c>
      <c r="JQ91" s="23">
        <v>22795</v>
      </c>
      <c r="JR91" s="23">
        <v>7307</v>
      </c>
      <c r="JS91" s="23">
        <v>12035</v>
      </c>
      <c r="JT91" s="23">
        <v>1625</v>
      </c>
      <c r="JU91" s="23">
        <v>1875</v>
      </c>
      <c r="JV91" s="23">
        <v>19895</v>
      </c>
      <c r="JW91" s="23">
        <v>12452</v>
      </c>
      <c r="JX91" s="23">
        <v>499</v>
      </c>
      <c r="JY91" s="23">
        <v>1407</v>
      </c>
      <c r="JZ91" s="23">
        <v>20852</v>
      </c>
      <c r="KA91" s="23">
        <v>7928</v>
      </c>
      <c r="KB91" s="23">
        <v>1587</v>
      </c>
      <c r="KC91" s="23">
        <v>1344</v>
      </c>
      <c r="KD91" s="23">
        <v>1963</v>
      </c>
      <c r="KE91" s="23">
        <v>20595</v>
      </c>
      <c r="KF91" s="23">
        <v>633</v>
      </c>
      <c r="KG91" s="23">
        <v>8225</v>
      </c>
      <c r="KH91" s="23">
        <v>25475</v>
      </c>
      <c r="KI91" s="23">
        <v>24244</v>
      </c>
      <c r="KJ91" s="23">
        <v>1621</v>
      </c>
      <c r="KK91" s="23">
        <v>2781</v>
      </c>
      <c r="KL91" s="23">
        <v>4269</v>
      </c>
      <c r="KM91" s="23">
        <v>387</v>
      </c>
      <c r="KN91" s="23">
        <v>791</v>
      </c>
      <c r="KO91" s="23">
        <v>2836</v>
      </c>
      <c r="KP91" s="23">
        <v>929</v>
      </c>
      <c r="KQ91" s="23">
        <v>61850</v>
      </c>
      <c r="KR91" s="23">
        <v>1245</v>
      </c>
      <c r="KS91" s="23">
        <v>189033</v>
      </c>
      <c r="KT91" s="23">
        <v>4570</v>
      </c>
      <c r="KU91" s="23">
        <v>308</v>
      </c>
      <c r="KV91" s="23">
        <v>6604</v>
      </c>
      <c r="KW91" s="23">
        <v>1970</v>
      </c>
      <c r="KX91" s="23">
        <v>1527</v>
      </c>
      <c r="KY91" s="23">
        <v>22938</v>
      </c>
      <c r="KZ91" s="23">
        <v>2665</v>
      </c>
      <c r="LA91" s="23">
        <v>3320</v>
      </c>
      <c r="LB91" s="23">
        <v>730</v>
      </c>
      <c r="LC91" s="23">
        <v>5508</v>
      </c>
      <c r="LD91" s="23">
        <v>13677</v>
      </c>
      <c r="LE91" s="23">
        <v>2303</v>
      </c>
      <c r="LF91" s="23">
        <v>727</v>
      </c>
      <c r="LG91" s="23">
        <v>5274</v>
      </c>
      <c r="LH91" s="23">
        <v>10609</v>
      </c>
      <c r="LI91" s="23">
        <v>593</v>
      </c>
      <c r="LJ91" s="23">
        <v>3341</v>
      </c>
      <c r="LK91" s="23">
        <v>270</v>
      </c>
      <c r="LL91" s="23">
        <v>49</v>
      </c>
      <c r="LM91" s="23">
        <v>103</v>
      </c>
      <c r="LN91" s="278">
        <f ca="1">$A91 - TST!Sweden100dt + 1</f>
        <v>37</v>
      </c>
      <c r="LO91" s="20">
        <f ca="1">INDEX(OFFSET(TST!HeadRow,ROW()-ROW(TST!HeadRow),0,1,COLUMNS(TST!HeadRow)),1,MATCH(LO$5,TST!HeadRow,0))/LO$8</f>
        <v>10247.31182795699</v>
      </c>
      <c r="LP91" s="278">
        <f ca="1">$A91 - TST!Spain100dt + 1</f>
        <v>37</v>
      </c>
      <c r="LQ91" s="20">
        <f ca="1">INDEX(OFFSET(TST!HeadRow,ROW()-ROW(TST!HeadRow),0,1,COLUMNS(TST!HeadRow)),1,MATCH(LQ$5,TST!HeadRow,0))/LQ$8</f>
        <v>35541.32935662548</v>
      </c>
      <c r="LR91" s="285">
        <f ca="1">$A91 - TST!Victoria100dt + 1</f>
        <v>28</v>
      </c>
      <c r="LS91" s="20">
        <f ca="1">INDEX(OFFSET(TST!HeadRow,ROW()-ROW(TST!HeadRow),0,1,COLUMNS(TST!HeadRow)),1,MATCH(LS$5,TST!HeadRow,0))/LS$8</f>
        <v>1912.8073615930002</v>
      </c>
      <c r="LT91" s="278">
        <f ca="1">$A91 - TST!Iran100dt + 1</f>
        <v>43</v>
      </c>
      <c r="LU91" s="20">
        <f ca="1">INDEX(OFFSET(TST!HeadRow,ROW()-ROW(TST!HeadRow),0,1,COLUMNS(TST!HeadRow)),1,MATCH(LU$5,TST!HeadRow,0))/LU$8</f>
        <v>8557.1723586358366</v>
      </c>
      <c r="LV91" s="278">
        <f ca="1">$A91 - TST!Japan100dt + 1</f>
        <v>19</v>
      </c>
      <c r="LW91" s="20">
        <f ca="1">INDEX(OFFSET(TST!HeadRow,ROW()-ROW(TST!HeadRow),0,1,COLUMNS(TST!HeadRow)),1,MATCH(LW$5,TST!HeadRow,0))/LW$8</f>
        <v>533.2102640636914</v>
      </c>
      <c r="LX91" s="278">
        <f ca="1">$A91 - TST!Queensland100dt + 1</f>
        <v>29</v>
      </c>
      <c r="LY91" s="20">
        <f ca="1">INDEX(OFFSET(TST!HeadRow,ROW()-ROW(TST!HeadRow),0,1,COLUMNS(TST!HeadRow)),1,MATCH(LY$5,TST!HeadRow,0))/LY$8</f>
        <v>1921.629197503798</v>
      </c>
      <c r="LZ91" s="278">
        <f ca="1">$A91 - TST!Tasmania100dt + 1</f>
        <v>29</v>
      </c>
      <c r="MA91" s="20">
        <f ca="1">INDEX(OFFSET(TST!HeadRow,ROW()-ROW(TST!HeadRow),0,1,COLUMNS(TST!HeadRow)),1,MATCH(MA$5,TST!HeadRow,0))/MA$8</f>
        <v>2582.5242718446602</v>
      </c>
      <c r="MB91" s="278">
        <f ca="1">$A91 - TST!SouthAustralia100dt + 1</f>
        <v>30</v>
      </c>
      <c r="MC91" s="20">
        <f ca="1">INDEX(OFFSET(TST!HeadRow,ROW()-ROW(TST!HeadRow),0,1,COLUMNS(TST!HeadRow)),1,MATCH(MC$5,TST!HeadRow,0))/MC$8</f>
        <v>2568.8622754491016</v>
      </c>
      <c r="MD91" s="278">
        <f ca="1">$A91 - TST!AustralianCapitalTerritory100dt + 1</f>
        <v>24</v>
      </c>
      <c r="ME91" s="20">
        <f ca="1">INDEX(OFFSET(TST!HeadRow,ROW()-ROW(TST!HeadRow),0,1,COLUMNS(TST!HeadRow)),1,MATCH(ME$5,TST!HeadRow,0))/ME$8</f>
        <v>2406.2047376536002</v>
      </c>
      <c r="MF91" s="278">
        <f ca="1">$A91 - TST!NorthernTerritory100dt + 1</f>
        <v>24</v>
      </c>
      <c r="MG91" s="20">
        <f ca="1">INDEX(OFFSET(TST!HeadRow,ROW()-ROW(TST!HeadRow),0,1,COLUMNS(TST!HeadRow)),1,MATCH(MG$5,TST!HeadRow,0))/MG$8</f>
        <v>1321.0974545282972</v>
      </c>
      <c r="MH91" s="278">
        <f ca="1">$A91 - TST!WesternAustralia100dt + 1</f>
        <v>28</v>
      </c>
      <c r="MI91" s="20">
        <f ca="1">INDEX(OFFSET(TST!HeadRow,ROW()-ROW(TST!HeadRow),0,1,COLUMNS(TST!HeadRow)),1,MATCH(MI$5,TST!HeadRow,0))/MI$8</f>
        <v>1985.3225183468519</v>
      </c>
      <c r="MJ91" s="278">
        <f ca="1">$A91 - TST!Germany100dt + 1</f>
        <v>36</v>
      </c>
      <c r="MK91" s="20">
        <f ca="1">INDEX(OFFSET(TST!HeadRow,ROW()-ROW(TST!HeadRow),0,1,COLUMNS(TST!HeadRow)),1,MATCH(MK$5,TST!HeadRow,0))/MK$8</f>
        <v>15400.385449289328</v>
      </c>
      <c r="ML91" s="278">
        <f ca="1">$A91 - TST!Denmark100dt + 1</f>
        <v>35</v>
      </c>
      <c r="MM91" s="20">
        <f ca="1">INDEX(OFFSET(TST!HeadRow,ROW()-ROW(TST!HeadRow),0,1,COLUMNS(TST!HeadRow)),1,MATCH(MM$5,TST!HeadRow,0))/MM$8</f>
        <v>10633.827075439202</v>
      </c>
      <c r="MN91" s="278">
        <f ca="1">$A91 - TST!SouthAfrica100dt + 1</f>
        <v>19</v>
      </c>
      <c r="MO91" s="20">
        <f ca="1">INDEX(OFFSET(TST!HeadRow,ROW()-ROW(TST!HeadRow),0,1,COLUMNS(TST!HeadRow)),1,MATCH(MO$5,TST!HeadRow,0))/MO$8</f>
        <v>376.08168916580132</v>
      </c>
      <c r="MP91" s="278">
        <f ca="1">$A91 - TST!UnitedKingdom100dt + 1</f>
        <v>31</v>
      </c>
      <c r="MQ91" s="20">
        <f ca="1">INDEX(OFFSET(TST!HeadRow,ROW()-ROW(TST!HeadRow),0,1,COLUMNS(TST!HeadRow)),1,MATCH(MQ$5,TST!HeadRow,0))/MQ$8</f>
        <v>12684.978928356411</v>
      </c>
      <c r="MR91" s="278">
        <f ca="1">$A91 - TST!Ireland100dt + 1</f>
        <v>31</v>
      </c>
      <c r="MS91" s="20">
        <f ca="1">INDEX(OFFSET(TST!HeadRow,ROW()-ROW(TST!HeadRow),0,1,COLUMNS(TST!HeadRow)),1,MATCH(MS$5,TST!HeadRow,0))/MS$8</f>
        <v>19704.081632653062</v>
      </c>
      <c r="MT91" s="278">
        <f ca="1">$A91 - TST!Italy100dt + 1</f>
        <v>46</v>
      </c>
      <c r="MU91" s="20">
        <f ca="1">INDEX(OFFSET(TST!HeadRow,ROW()-ROW(TST!HeadRow),0,1,COLUMNS(TST!HeadRow)),1,MATCH(MU$5,TST!HeadRow,0))/MU$8</f>
        <v>25851.53343804249</v>
      </c>
      <c r="MV91" s="278">
        <f ca="1">$A91 - TST!US100dt + 1</f>
        <v>29</v>
      </c>
      <c r="MW91" s="20">
        <f ca="1">INDEX(OFFSET(TST!HeadRow,ROW()-ROW(TST!HeadRow),0,1,COLUMNS(TST!HeadRow)),1,MATCH(MW$5,TST!HeadRow,0))/MW$8</f>
        <v>16867.138530906203</v>
      </c>
      <c r="MX91" s="278">
        <f ca="1">$A91 - TST!AustraliaSum100dt + 1</f>
        <v>29</v>
      </c>
      <c r="MY91" s="366">
        <f t="shared" si="9"/>
        <v>2489.749250906797</v>
      </c>
      <c r="MZ91" s="278">
        <f ca="1">$A91 - TST!NewSouthWales100dt + 1</f>
        <v>31</v>
      </c>
      <c r="NA91" s="366">
        <f ca="1">INDEX(OFFSET(TST!HeadRow,ROW()-ROW(TST!HeadRow),0,1,COLUMNS(TST!HeadRow)),1,MATCH(NA$5,TST!HeadRow,0))/NA$8</f>
        <v>3535.8910891089108</v>
      </c>
      <c r="NB91" s="278">
        <f ca="1">$A91 - TST!Taiwan100dt + 1</f>
        <v>18</v>
      </c>
      <c r="NC91" s="366">
        <f ca="1">INDEX(OFFSET(TST!HeadRow,ROW()-ROW(TST!HeadRow),0,1,COLUMNS(TST!HeadRow)),1,MATCH(NC$5,TST!HeadRow,0))/NC$8</f>
        <v>162.97534510659386</v>
      </c>
      <c r="ND91" s="20">
        <f ca="1">$A91 - TST!Hubei100dt + 1</f>
        <v>79</v>
      </c>
      <c r="NE91" s="20">
        <f ca="1">INDEX(OFFSET(TST!HeadRow,ROW()-ROW(TST!HeadRow),0,1,COLUMNS(TST!HeadRow)),1,MATCH(NE$5,TST!HeadRow,0))/NE$8</f>
        <v>11590.25641025641</v>
      </c>
      <c r="NF91" s="20">
        <f ca="1">$A91 - TST!HongKong100dt + 1</f>
        <v>49</v>
      </c>
      <c r="NG91" s="20">
        <f ca="1">INDEX(OFFSET(TST!HeadRow,ROW()-ROW(TST!HeadRow),0,1,COLUMNS(TST!HeadRow)),1,MATCH(NG$5,TST!HeadRow,0))/NG$8</f>
        <v>1347.4701382364783</v>
      </c>
    </row>
    <row r="92" spans="1:371" x14ac:dyDescent="0.25">
      <c r="A92" s="243">
        <v>43934</v>
      </c>
      <c r="B92" s="23">
        <v>665</v>
      </c>
      <c r="C92" s="23">
        <v>467</v>
      </c>
      <c r="D92" s="23">
        <v>1983</v>
      </c>
      <c r="E92" s="23">
        <v>646</v>
      </c>
      <c r="F92" s="23">
        <v>19</v>
      </c>
      <c r="G92" s="23">
        <v>23</v>
      </c>
      <c r="H92" s="23">
        <v>2208</v>
      </c>
      <c r="I92" s="23">
        <v>1039</v>
      </c>
      <c r="J92" s="23">
        <v>102</v>
      </c>
      <c r="K92" s="293">
        <v>2863</v>
      </c>
      <c r="L92" s="23">
        <v>28</v>
      </c>
      <c r="M92" s="290">
        <v>987</v>
      </c>
      <c r="N92" s="23">
        <v>429</v>
      </c>
      <c r="O92" s="384">
        <v>144</v>
      </c>
      <c r="P92" s="287">
        <v>1281</v>
      </c>
      <c r="Q92" s="23">
        <v>517</v>
      </c>
      <c r="R92" s="23">
        <v>14041</v>
      </c>
      <c r="S92" s="23">
        <v>1148</v>
      </c>
      <c r="T92" s="23">
        <v>47</v>
      </c>
      <c r="U92" s="23">
        <v>1361</v>
      </c>
      <c r="V92" s="23">
        <v>803</v>
      </c>
      <c r="W92" s="23">
        <v>72</v>
      </c>
      <c r="X92" s="23">
        <v>2919</v>
      </c>
      <c r="Y92" s="23">
        <v>30589</v>
      </c>
      <c r="Z92" s="23">
        <v>35</v>
      </c>
      <c r="AA92" s="23">
        <v>5</v>
      </c>
      <c r="AB92" s="23">
        <v>330</v>
      </c>
      <c r="AC92" s="23">
        <v>1037</v>
      </c>
      <c r="AD92" s="23">
        <v>23430</v>
      </c>
      <c r="AE92" s="23">
        <v>136</v>
      </c>
      <c r="AF92" s="23">
        <v>685</v>
      </c>
      <c r="AG92" s="23">
        <v>497</v>
      </c>
      <c r="AH92" s="23">
        <v>10</v>
      </c>
      <c r="AI92" s="23">
        <v>122</v>
      </c>
      <c r="AJ92" s="23">
        <v>820</v>
      </c>
      <c r="AK92" s="23">
        <v>1732</v>
      </c>
      <c r="AL92" s="23">
        <v>1490</v>
      </c>
      <c r="AM92" s="23">
        <v>13</v>
      </c>
      <c r="AN92" s="23">
        <v>246</v>
      </c>
      <c r="AO92" s="23">
        <v>116</v>
      </c>
      <c r="AP92" s="23">
        <v>244</v>
      </c>
      <c r="AQ92" s="23">
        <v>474</v>
      </c>
      <c r="AR92" s="23">
        <v>7470</v>
      </c>
      <c r="AS92" s="23">
        <v>25</v>
      </c>
      <c r="AT92" s="23">
        <v>13557</v>
      </c>
      <c r="AU92" s="23">
        <v>300</v>
      </c>
      <c r="AV92" s="23">
        <v>11</v>
      </c>
      <c r="AW92" s="23">
        <v>23</v>
      </c>
      <c r="AX92" s="23">
        <v>7525</v>
      </c>
      <c r="AY92" s="23">
        <v>991</v>
      </c>
      <c r="AZ92" s="23">
        <v>589</v>
      </c>
      <c r="BA92" s="23">
        <v>579</v>
      </c>
      <c r="BB92" s="23">
        <v>352</v>
      </c>
      <c r="BC92" s="23">
        <v>139</v>
      </c>
      <c r="BD92" s="23">
        <v>1555</v>
      </c>
      <c r="BE92" s="23">
        <v>254</v>
      </c>
      <c r="BF92" s="23">
        <v>146</v>
      </c>
      <c r="BG92" s="23">
        <v>168</v>
      </c>
      <c r="BH92" s="23">
        <v>327</v>
      </c>
      <c r="BI92" s="23">
        <v>740</v>
      </c>
      <c r="BJ92" s="23">
        <v>1276</v>
      </c>
      <c r="BK92" s="23">
        <v>1009</v>
      </c>
      <c r="BL92" s="23">
        <v>67803</v>
      </c>
      <c r="BM92" s="23">
        <v>1019</v>
      </c>
      <c r="BN92" s="23">
        <v>190</v>
      </c>
      <c r="BO92" s="23">
        <v>653</v>
      </c>
      <c r="BP92" s="23">
        <v>937</v>
      </c>
      <c r="BQ92" s="23">
        <v>100</v>
      </c>
      <c r="BR92" s="23">
        <v>145</v>
      </c>
      <c r="BS92" s="23">
        <v>45</v>
      </c>
      <c r="BT92" s="23">
        <v>75</v>
      </c>
      <c r="BU92" s="23">
        <v>18</v>
      </c>
      <c r="BV92" s="23">
        <v>256</v>
      </c>
      <c r="BW92" s="23">
        <v>784</v>
      </c>
      <c r="BX92" s="23">
        <v>618</v>
      </c>
      <c r="BY92" s="23">
        <v>173</v>
      </c>
      <c r="BZ92" s="23">
        <v>560</v>
      </c>
      <c r="CA92" s="23">
        <v>184</v>
      </c>
      <c r="CB92" s="23">
        <v>1</v>
      </c>
      <c r="CC92" s="23">
        <v>76</v>
      </c>
      <c r="CD92" s="23">
        <v>184</v>
      </c>
      <c r="CE92" s="23">
        <v>1267</v>
      </c>
      <c r="CF92" s="23">
        <v>2852</v>
      </c>
      <c r="CG92" s="23">
        <v>60</v>
      </c>
      <c r="CH92" s="23">
        <v>235</v>
      </c>
      <c r="CI92" s="23">
        <v>612</v>
      </c>
      <c r="CJ92" s="23">
        <v>626</v>
      </c>
      <c r="CK92" s="23">
        <v>1650</v>
      </c>
      <c r="CL92" s="23">
        <v>712</v>
      </c>
      <c r="CM92" s="23">
        <v>726</v>
      </c>
      <c r="CN92" s="23">
        <v>662</v>
      </c>
      <c r="CO92" s="23">
        <v>6059</v>
      </c>
      <c r="CP92" s="23">
        <v>184</v>
      </c>
      <c r="CQ92" s="23">
        <v>11</v>
      </c>
      <c r="CR92" s="23">
        <v>6318</v>
      </c>
      <c r="CS92" s="23">
        <v>298</v>
      </c>
      <c r="CT92" s="23">
        <v>3167</v>
      </c>
      <c r="CU92" s="23">
        <v>7529</v>
      </c>
      <c r="CV92" s="23">
        <v>2190</v>
      </c>
      <c r="CW92" s="23">
        <v>137</v>
      </c>
      <c r="CX92" s="23">
        <v>21</v>
      </c>
      <c r="CY92" s="23">
        <v>34</v>
      </c>
      <c r="CZ92" s="23">
        <v>1332</v>
      </c>
      <c r="DA92" s="23">
        <v>15</v>
      </c>
      <c r="DB92" s="23">
        <v>74</v>
      </c>
      <c r="DC92" s="23">
        <v>16</v>
      </c>
      <c r="DD92" s="23">
        <v>3064</v>
      </c>
      <c r="DE92" s="23">
        <v>86</v>
      </c>
      <c r="DF92" s="23">
        <v>55</v>
      </c>
      <c r="DG92" s="23">
        <v>143</v>
      </c>
      <c r="DH92" s="23">
        <v>207</v>
      </c>
      <c r="DI92" s="23">
        <v>18</v>
      </c>
      <c r="DJ92" s="23">
        <v>391</v>
      </c>
      <c r="DK92" s="23">
        <v>6</v>
      </c>
      <c r="DL92" s="23">
        <v>32</v>
      </c>
      <c r="DM92" s="23">
        <v>157</v>
      </c>
      <c r="DN92" s="23">
        <v>124298</v>
      </c>
      <c r="DO92" s="23">
        <v>57</v>
      </c>
      <c r="DP92" s="23">
        <v>9</v>
      </c>
      <c r="DQ92" s="23">
        <v>272</v>
      </c>
      <c r="DR92" s="23">
        <v>130072</v>
      </c>
      <c r="DS92" s="23">
        <v>566</v>
      </c>
      <c r="DT92" s="23">
        <v>2145</v>
      </c>
      <c r="DU92" s="23">
        <v>156</v>
      </c>
      <c r="DV92" s="23">
        <v>319</v>
      </c>
      <c r="DW92" s="23">
        <v>45</v>
      </c>
      <c r="DX92" s="23">
        <v>40</v>
      </c>
      <c r="DY92" s="23">
        <v>8</v>
      </c>
      <c r="DZ92" s="23">
        <v>397</v>
      </c>
      <c r="EA92" s="23">
        <v>1458</v>
      </c>
      <c r="EB92" s="23">
        <v>1711</v>
      </c>
      <c r="EC92" s="23">
        <v>10453</v>
      </c>
      <c r="ED92" s="23">
        <v>4557</v>
      </c>
      <c r="EE92" s="23">
        <v>73303</v>
      </c>
      <c r="EF92" s="23">
        <v>1378</v>
      </c>
      <c r="EG92" s="23">
        <v>10647</v>
      </c>
      <c r="EH92" s="23">
        <v>11586</v>
      </c>
      <c r="EI92" s="23">
        <v>159516</v>
      </c>
      <c r="EJ92" s="23">
        <v>73</v>
      </c>
      <c r="EK92" s="23">
        <v>7370</v>
      </c>
      <c r="EL92" s="23">
        <v>391</v>
      </c>
      <c r="EM92" s="23">
        <v>1091</v>
      </c>
      <c r="EN92" s="23">
        <v>208</v>
      </c>
      <c r="EO92" s="23">
        <v>10537</v>
      </c>
      <c r="EP92" s="23">
        <v>1300</v>
      </c>
      <c r="EQ92" s="23">
        <v>419</v>
      </c>
      <c r="ER92" s="23">
        <v>655</v>
      </c>
      <c r="ES92" s="23">
        <v>632</v>
      </c>
      <c r="ET92" s="23">
        <v>59</v>
      </c>
      <c r="EU92" s="23">
        <v>79</v>
      </c>
      <c r="EV92" s="23">
        <v>1062</v>
      </c>
      <c r="EW92" s="23">
        <v>3292</v>
      </c>
      <c r="EX92" s="23">
        <v>106</v>
      </c>
      <c r="EY92" s="23">
        <v>4817</v>
      </c>
      <c r="EZ92" s="23">
        <v>20</v>
      </c>
      <c r="FA92" s="23">
        <v>384</v>
      </c>
      <c r="FB92" s="23">
        <v>7</v>
      </c>
      <c r="FC92" s="23">
        <v>324</v>
      </c>
      <c r="FD92" s="23">
        <v>5014</v>
      </c>
      <c r="FE92" s="23">
        <v>1712</v>
      </c>
      <c r="FF92" s="23">
        <v>93</v>
      </c>
      <c r="FG92" s="23">
        <v>17</v>
      </c>
      <c r="FH92" s="23">
        <v>274</v>
      </c>
      <c r="FI92" s="23">
        <v>1763</v>
      </c>
      <c r="FJ92" s="23">
        <v>16</v>
      </c>
      <c r="FK92" s="23">
        <v>14</v>
      </c>
      <c r="FL92" s="23">
        <v>92</v>
      </c>
      <c r="FM92" s="23">
        <v>14</v>
      </c>
      <c r="FN92" s="23">
        <v>50</v>
      </c>
      <c r="FO92" s="23">
        <v>26551</v>
      </c>
      <c r="FP92" s="23">
        <v>1349</v>
      </c>
      <c r="FQ92" s="23">
        <v>9</v>
      </c>
      <c r="FR92" s="23">
        <v>529</v>
      </c>
      <c r="FS92" s="23">
        <v>343</v>
      </c>
      <c r="FT92" s="23">
        <v>854</v>
      </c>
      <c r="FU92" s="23">
        <v>6603</v>
      </c>
      <c r="FV92" s="23">
        <v>727</v>
      </c>
      <c r="FW92" s="23">
        <v>5496</v>
      </c>
      <c r="FX92" s="23">
        <v>3400</v>
      </c>
      <c r="FY92" s="23">
        <v>2</v>
      </c>
      <c r="FZ92" s="23">
        <v>147</v>
      </c>
      <c r="GA92" s="23">
        <v>9784</v>
      </c>
      <c r="GB92" s="23">
        <v>4932</v>
      </c>
      <c r="GC92" s="23">
        <v>6934</v>
      </c>
      <c r="GD92" s="23">
        <v>16934</v>
      </c>
      <c r="GE92" s="23">
        <v>3231</v>
      </c>
      <c r="GF92" s="23">
        <v>6633</v>
      </c>
      <c r="GG92" s="23">
        <v>18328</v>
      </c>
      <c r="GH92" s="23">
        <v>127</v>
      </c>
      <c r="GI92" s="23">
        <v>15</v>
      </c>
      <c r="GJ92" s="23">
        <v>12</v>
      </c>
      <c r="GK92" s="23">
        <v>356</v>
      </c>
      <c r="GL92" s="23">
        <v>4934</v>
      </c>
      <c r="GM92" s="23">
        <v>291</v>
      </c>
      <c r="GN92" s="23">
        <v>4054</v>
      </c>
      <c r="GO92" s="23">
        <v>11</v>
      </c>
      <c r="GP92" s="23">
        <v>2918</v>
      </c>
      <c r="GQ92" s="23">
        <v>769</v>
      </c>
      <c r="GR92" s="23">
        <v>1212</v>
      </c>
      <c r="GS92" s="23">
        <v>60</v>
      </c>
      <c r="GT92" s="23">
        <v>2272</v>
      </c>
      <c r="GU92" s="23">
        <v>170099</v>
      </c>
      <c r="GV92" s="23">
        <v>217</v>
      </c>
      <c r="GW92" s="23">
        <v>29</v>
      </c>
      <c r="GX92" s="23">
        <v>10</v>
      </c>
      <c r="GY92" s="23">
        <v>10948</v>
      </c>
      <c r="GZ92" s="23">
        <v>25688</v>
      </c>
      <c r="HA92" s="23">
        <v>393</v>
      </c>
      <c r="HB92" s="23">
        <v>49</v>
      </c>
      <c r="HC92" s="23">
        <v>2579</v>
      </c>
      <c r="HD92" s="23">
        <v>77</v>
      </c>
      <c r="HE92" s="23">
        <v>113</v>
      </c>
      <c r="HF92" s="23">
        <v>726</v>
      </c>
      <c r="HG92" s="23">
        <v>61049</v>
      </c>
      <c r="HH92" s="23">
        <v>54</v>
      </c>
      <c r="HI92" s="23">
        <v>3102</v>
      </c>
      <c r="HJ92" s="23">
        <v>4521</v>
      </c>
      <c r="HK92" s="23">
        <v>57</v>
      </c>
      <c r="HL92" s="23">
        <v>53</v>
      </c>
      <c r="HM92" s="23">
        <v>436</v>
      </c>
      <c r="HN92" s="23">
        <v>129</v>
      </c>
      <c r="HO92" s="23">
        <v>242</v>
      </c>
      <c r="HP92" s="23">
        <v>11</v>
      </c>
      <c r="HQ92" s="23">
        <v>88621</v>
      </c>
      <c r="HR92" s="23">
        <v>480</v>
      </c>
      <c r="HS92" s="23">
        <v>580619</v>
      </c>
      <c r="HT92" s="23">
        <v>998</v>
      </c>
      <c r="HU92" s="23">
        <v>189</v>
      </c>
      <c r="HV92" s="23">
        <v>265</v>
      </c>
      <c r="HW92" s="23">
        <v>45</v>
      </c>
      <c r="HX92" s="23">
        <v>17</v>
      </c>
      <c r="HY92" s="23">
        <v>0</v>
      </c>
      <c r="HZ92" s="23">
        <v>16</v>
      </c>
      <c r="IA92" s="23">
        <v>14</v>
      </c>
      <c r="IB92" s="23">
        <v>21</v>
      </c>
      <c r="IC92" s="23">
        <v>25</v>
      </c>
      <c r="ID92" s="23">
        <v>4</v>
      </c>
      <c r="IE92" s="23">
        <v>18</v>
      </c>
      <c r="IF92" s="23">
        <v>0</v>
      </c>
      <c r="IG92" s="23">
        <v>19</v>
      </c>
      <c r="IH92" s="23">
        <v>26</v>
      </c>
      <c r="II92" s="23">
        <v>308</v>
      </c>
      <c r="IJ92" s="23">
        <v>38</v>
      </c>
      <c r="IK92" s="23">
        <v>123</v>
      </c>
      <c r="IL92" s="23">
        <v>12</v>
      </c>
      <c r="IM92" s="23">
        <v>5</v>
      </c>
      <c r="IN92" s="23">
        <v>8</v>
      </c>
      <c r="IO92" s="23">
        <v>283</v>
      </c>
      <c r="IP92" s="23">
        <v>62</v>
      </c>
      <c r="IQ92" s="23">
        <v>3</v>
      </c>
      <c r="IR92" s="23">
        <v>3</v>
      </c>
      <c r="IS92" s="23">
        <v>10</v>
      </c>
      <c r="IT92" s="23">
        <v>9</v>
      </c>
      <c r="IU92" s="23">
        <v>13</v>
      </c>
      <c r="IV92" s="23">
        <v>5</v>
      </c>
      <c r="IW92" s="23">
        <v>10</v>
      </c>
      <c r="IX92" s="275">
        <v>3</v>
      </c>
      <c r="IY92" s="23">
        <v>16</v>
      </c>
      <c r="IZ92" s="23">
        <v>5</v>
      </c>
      <c r="JA92" s="23">
        <v>1</v>
      </c>
      <c r="JB92" s="23">
        <v>4</v>
      </c>
      <c r="JC92" s="23">
        <v>6</v>
      </c>
      <c r="JD92" s="23">
        <v>4</v>
      </c>
      <c r="JE92" s="23">
        <v>1</v>
      </c>
      <c r="JF92" s="23">
        <v>0</v>
      </c>
      <c r="JG92" s="23">
        <v>0</v>
      </c>
      <c r="JH92" s="23">
        <v>0</v>
      </c>
      <c r="JI92" s="23">
        <v>133</v>
      </c>
      <c r="JJ92" s="23">
        <v>11</v>
      </c>
      <c r="JK92" s="23">
        <v>903</v>
      </c>
      <c r="JL92" s="23">
        <v>51</v>
      </c>
      <c r="JM92" s="23">
        <v>3734</v>
      </c>
      <c r="JN92" s="23">
        <v>277</v>
      </c>
      <c r="JO92" s="23">
        <v>3705</v>
      </c>
      <c r="JP92" s="23">
        <v>1410</v>
      </c>
      <c r="JQ92" s="23">
        <v>23931</v>
      </c>
      <c r="JR92" s="23">
        <v>7691</v>
      </c>
      <c r="JS92" s="23">
        <v>13381</v>
      </c>
      <c r="JT92" s="23">
        <v>1758</v>
      </c>
      <c r="JU92" s="23">
        <v>1955</v>
      </c>
      <c r="JV92" s="23">
        <v>21019</v>
      </c>
      <c r="JW92" s="23">
        <v>13315</v>
      </c>
      <c r="JX92" s="23">
        <v>504</v>
      </c>
      <c r="JY92" s="23">
        <v>1426</v>
      </c>
      <c r="JZ92" s="23">
        <v>22025</v>
      </c>
      <c r="KA92" s="23">
        <v>8359</v>
      </c>
      <c r="KB92" s="23">
        <v>1710</v>
      </c>
      <c r="KC92" s="23">
        <v>1390</v>
      </c>
      <c r="KD92" s="23">
        <v>2018</v>
      </c>
      <c r="KE92" s="23">
        <v>21016</v>
      </c>
      <c r="KF92" s="23">
        <v>698</v>
      </c>
      <c r="KG92" s="23">
        <v>8936</v>
      </c>
      <c r="KH92" s="23">
        <v>26867</v>
      </c>
      <c r="KI92" s="23">
        <v>25635</v>
      </c>
      <c r="KJ92" s="23">
        <v>1621</v>
      </c>
      <c r="KK92" s="23">
        <v>2942</v>
      </c>
      <c r="KL92" s="23">
        <v>4515</v>
      </c>
      <c r="KM92" s="23">
        <v>394</v>
      </c>
      <c r="KN92" s="23">
        <v>814</v>
      </c>
      <c r="KO92" s="23">
        <v>2990</v>
      </c>
      <c r="KP92" s="23">
        <v>985</v>
      </c>
      <c r="KQ92" s="23">
        <v>64584</v>
      </c>
      <c r="KR92" s="23">
        <v>1262</v>
      </c>
      <c r="KS92" s="23">
        <v>195749</v>
      </c>
      <c r="KT92" s="23">
        <v>4886</v>
      </c>
      <c r="KU92" s="23">
        <v>331</v>
      </c>
      <c r="KV92" s="23">
        <v>6975</v>
      </c>
      <c r="KW92" s="23">
        <v>2069</v>
      </c>
      <c r="KX92" s="23">
        <v>1584</v>
      </c>
      <c r="KY92" s="23">
        <v>24292</v>
      </c>
      <c r="KZ92" s="23">
        <v>2665</v>
      </c>
      <c r="LA92" s="23">
        <v>3391</v>
      </c>
      <c r="LB92" s="23">
        <v>868</v>
      </c>
      <c r="LC92" s="23">
        <v>5610</v>
      </c>
      <c r="LD92" s="23">
        <v>14275</v>
      </c>
      <c r="LE92" s="23">
        <v>2363</v>
      </c>
      <c r="LF92" s="23">
        <v>748</v>
      </c>
      <c r="LG92" s="23">
        <v>5747</v>
      </c>
      <c r="LH92" s="23">
        <v>10635</v>
      </c>
      <c r="LI92" s="23">
        <v>611</v>
      </c>
      <c r="LJ92" s="23">
        <v>3428</v>
      </c>
      <c r="LK92" s="23">
        <v>275</v>
      </c>
      <c r="LL92" s="23">
        <v>49</v>
      </c>
      <c r="LM92" s="23">
        <v>103</v>
      </c>
      <c r="LN92" s="278">
        <f ca="1">$A92 - TST!Sweden100dt + 1</f>
        <v>38</v>
      </c>
      <c r="LO92" s="20">
        <f ca="1">INDEX(OFFSET(TST!HeadRow,ROW()-ROW(TST!HeadRow),0,1,COLUMNS(TST!HeadRow)),1,MATCH(LO$5,TST!HeadRow,0))/LO$8</f>
        <v>10701.857282502444</v>
      </c>
      <c r="LP92" s="278">
        <f ca="1">$A92 - TST!Spain100dt + 1</f>
        <v>38</v>
      </c>
      <c r="LQ92" s="20">
        <f ca="1">INDEX(OFFSET(TST!HeadRow,ROW()-ROW(TST!HeadRow),0,1,COLUMNS(TST!HeadRow)),1,MATCH(LQ$5,TST!HeadRow,0))/LQ$8</f>
        <v>36237.537281636134</v>
      </c>
      <c r="LR92" s="285">
        <f ca="1">$A92 - TST!Victoria100dt + 1</f>
        <v>29</v>
      </c>
      <c r="LS92" s="20">
        <f ca="1">INDEX(OFFSET(TST!HeadRow,ROW()-ROW(TST!HeadRow),0,1,COLUMNS(TST!HeadRow)),1,MATCH(LS$5,TST!HeadRow,0))/LS$8</f>
        <v>1932.418162618796</v>
      </c>
      <c r="LT92" s="278">
        <f ca="1">$A92 - TST!Iran100dt + 1</f>
        <v>44</v>
      </c>
      <c r="LU92" s="20">
        <f ca="1">INDEX(OFFSET(TST!HeadRow,ROW()-ROW(TST!HeadRow),0,1,COLUMNS(TST!HeadRow)),1,MATCH(LU$5,TST!HeadRow,0))/LU$8</f>
        <v>8750.1939765795669</v>
      </c>
      <c r="LV92" s="278">
        <f ca="1">$A92 - TST!Japan100dt + 1</f>
        <v>20</v>
      </c>
      <c r="LW92" s="20">
        <f ca="1">INDEX(OFFSET(TST!HeadRow,ROW()-ROW(TST!HeadRow),0,1,COLUMNS(TST!HeadRow)),1,MATCH(LW$5,TST!HeadRow,0))/LW$8</f>
        <v>582.35916510809204</v>
      </c>
      <c r="LX92" s="278">
        <f ca="1">$A92 - TST!Queensland100dt + 1</f>
        <v>30</v>
      </c>
      <c r="LY92" s="20">
        <f ca="1">INDEX(OFFSET(TST!HeadRow,ROW()-ROW(TST!HeadRow),0,1,COLUMNS(TST!HeadRow)),1,MATCH(LY$5,TST!HeadRow,0))/LY$8</f>
        <v>1929.4486448995408</v>
      </c>
      <c r="LZ92" s="278">
        <f ca="1">$A92 - TST!Tasmania100dt + 1</f>
        <v>30</v>
      </c>
      <c r="MA92" s="20">
        <f ca="1">INDEX(OFFSET(TST!HeadRow,ROW()-ROW(TST!HeadRow),0,1,COLUMNS(TST!HeadRow)),1,MATCH(MA$5,TST!HeadRow,0))/MA$8</f>
        <v>2796.1165048543689</v>
      </c>
      <c r="MB92" s="278">
        <f ca="1">$A92 - TST!SouthAustralia100dt + 1</f>
        <v>31</v>
      </c>
      <c r="MC92" s="20">
        <f ca="1">INDEX(OFFSET(TST!HeadRow,ROW()-ROW(TST!HeadRow),0,1,COLUMNS(TST!HeadRow)),1,MATCH(MC$5,TST!HeadRow,0))/MC$8</f>
        <v>2568.8622754491016</v>
      </c>
      <c r="MD92" s="278">
        <f ca="1">$A92 - TST!AustralianCapitalTerritory100dt + 1</f>
        <v>25</v>
      </c>
      <c r="ME92" s="20">
        <f ca="1">INDEX(OFFSET(TST!HeadRow,ROW()-ROW(TST!HeadRow),0,1,COLUMNS(TST!HeadRow)),1,MATCH(ME$5,TST!HeadRow,0))/ME$8</f>
        <v>2382.8435266084198</v>
      </c>
      <c r="MF92" s="278">
        <f ca="1">$A92 - TST!NorthernTerritory100dt + 1</f>
        <v>25</v>
      </c>
      <c r="MG92" s="20">
        <f ca="1">INDEX(OFFSET(TST!HeadRow,ROW()-ROW(TST!HeadRow),0,1,COLUMNS(TST!HeadRow)),1,MATCH(MG$5,TST!HeadRow,0))/MG$8</f>
        <v>1321.0974545282972</v>
      </c>
      <c r="MH92" s="278">
        <f ca="1">$A92 - TST!WesternAustralia100dt + 1</f>
        <v>29</v>
      </c>
      <c r="MI92" s="20">
        <f ca="1">INDEX(OFFSET(TST!HeadRow,ROW()-ROW(TST!HeadRow),0,1,COLUMNS(TST!HeadRow)),1,MATCH(MI$5,TST!HeadRow,0))/MI$8</f>
        <v>1996.9100038624949</v>
      </c>
      <c r="MJ92" s="278">
        <f ca="1">$A92 - TST!Germany100dt + 1</f>
        <v>37</v>
      </c>
      <c r="MK92" s="20">
        <f ca="1">INDEX(OFFSET(TST!HeadRow,ROW()-ROW(TST!HeadRow),0,1,COLUMNS(TST!HeadRow)),1,MATCH(MK$5,TST!HeadRow,0))/MK$8</f>
        <v>15667.54998795471</v>
      </c>
      <c r="ML92" s="278">
        <f ca="1">$A92 - TST!Denmark100dt + 1</f>
        <v>36</v>
      </c>
      <c r="MM92" s="20">
        <f ca="1">INDEX(OFFSET(TST!HeadRow,ROW()-ROW(TST!HeadRow),0,1,COLUMNS(TST!HeadRow)),1,MATCH(MM$5,TST!HeadRow,0))/MM$8</f>
        <v>10881.846365828453</v>
      </c>
      <c r="MN92" s="278">
        <f ca="1">$A92 - TST!SouthAfrica100dt + 1</f>
        <v>20</v>
      </c>
      <c r="MO92" s="20">
        <f ca="1">INDEX(OFFSET(TST!HeadRow,ROW()-ROW(TST!HeadRow),0,1,COLUMNS(TST!HeadRow)),1,MATCH(MO$5,TST!HeadRow,0))/MO$8</f>
        <v>393.2156455520942</v>
      </c>
      <c r="MP92" s="278">
        <f ca="1">$A92 - TST!UnitedKingdom100dt + 1</f>
        <v>32</v>
      </c>
      <c r="MQ92" s="20">
        <f ca="1">INDEX(OFFSET(TST!HeadRow,ROW()-ROW(TST!HeadRow),0,1,COLUMNS(TST!HeadRow)),1,MATCH(MQ$5,TST!HeadRow,0))/MQ$8</f>
        <v>13338.500903070439</v>
      </c>
      <c r="MR92" s="278">
        <f ca="1">$A92 - TST!Ireland100dt + 1</f>
        <v>32</v>
      </c>
      <c r="MS92" s="20">
        <f ca="1">INDEX(OFFSET(TST!HeadRow,ROW()-ROW(TST!HeadRow),0,1,COLUMNS(TST!HeadRow)),1,MATCH(MS$5,TST!HeadRow,0))/MS$8</f>
        <v>21728.571428571428</v>
      </c>
      <c r="MT92" s="278">
        <f ca="1">$A92 - TST!Italy100dt + 1</f>
        <v>47</v>
      </c>
      <c r="MU92" s="20">
        <f ca="1">INDEX(OFFSET(TST!HeadRow,ROW()-ROW(TST!HeadRow),0,1,COLUMNS(TST!HeadRow)),1,MATCH(MU$5,TST!HeadRow,0))/MU$8</f>
        <v>26372.819707365463</v>
      </c>
      <c r="MV92" s="278">
        <f ca="1">$A92 - TST!US100dt + 1</f>
        <v>30</v>
      </c>
      <c r="MW92" s="20">
        <f ca="1">INDEX(OFFSET(TST!HeadRow,ROW()-ROW(TST!HeadRow),0,1,COLUMNS(TST!HeadRow)),1,MATCH(MW$5,TST!HeadRow,0))/MW$8</f>
        <v>17635.78577608705</v>
      </c>
      <c r="MX92" s="278">
        <f ca="1">$A92 - TST!AustraliaSum100dt + 1</f>
        <v>30</v>
      </c>
      <c r="MY92" s="366">
        <f t="shared" si="9"/>
        <v>2503.9425958050779</v>
      </c>
      <c r="MZ92" s="278">
        <f ca="1">$A92 - TST!NewSouthWales100dt + 1</f>
        <v>32</v>
      </c>
      <c r="NA92" s="366">
        <f ca="1">INDEX(OFFSET(TST!HeadRow,ROW()-ROW(TST!HeadRow),0,1,COLUMNS(TST!HeadRow)),1,MATCH(NA$5,TST!HeadRow,0))/NA$8</f>
        <v>3543.3168316831679</v>
      </c>
      <c r="NB92" s="278">
        <f ca="1">$A92 - TST!Taiwan100dt + 1</f>
        <v>19</v>
      </c>
      <c r="NC92" s="366">
        <f ca="1">INDEX(OFFSET(TST!HeadRow,ROW()-ROW(TST!HeadRow),0,1,COLUMNS(TST!HeadRow)),1,MATCH(NC$5,TST!HeadRow,0))/NC$8</f>
        <v>165.07554285281284</v>
      </c>
      <c r="ND92" s="20">
        <f ca="1">$A92 - TST!Hubei100dt + 1</f>
        <v>80</v>
      </c>
      <c r="NE92" s="20">
        <f ca="1">INDEX(OFFSET(TST!HeadRow,ROW()-ROW(TST!HeadRow),0,1,COLUMNS(TST!HeadRow)),1,MATCH(NE$5,TST!HeadRow,0))/NE$8</f>
        <v>11590.25641025641</v>
      </c>
      <c r="NF92" s="20">
        <f ca="1">$A92 - TST!HongKong100dt + 1</f>
        <v>50</v>
      </c>
      <c r="NG92" s="20">
        <f ca="1">INDEX(OFFSET(TST!HeadRow,ROW()-ROW(TST!HeadRow),0,1,COLUMNS(TST!HeadRow)),1,MATCH(NG$5,TST!HeadRow,0))/NG$8</f>
        <v>1354.1806468930345</v>
      </c>
    </row>
    <row r="93" spans="1:371" x14ac:dyDescent="0.25">
      <c r="A93" s="345">
        <v>43935</v>
      </c>
      <c r="B93" s="275">
        <v>714</v>
      </c>
      <c r="C93" s="275">
        <v>475</v>
      </c>
      <c r="D93" s="275">
        <v>2070</v>
      </c>
      <c r="E93" s="275">
        <v>659</v>
      </c>
      <c r="F93" s="275">
        <v>19</v>
      </c>
      <c r="G93" s="275">
        <v>23</v>
      </c>
      <c r="H93" s="275">
        <v>2277</v>
      </c>
      <c r="I93" s="275">
        <v>1067</v>
      </c>
      <c r="J93" s="275">
        <v>103</v>
      </c>
      <c r="K93" s="294">
        <v>2870</v>
      </c>
      <c r="L93" s="275">
        <v>28</v>
      </c>
      <c r="M93" s="291">
        <v>998</v>
      </c>
      <c r="N93" s="275">
        <v>433</v>
      </c>
      <c r="O93" s="385">
        <v>165</v>
      </c>
      <c r="P93" s="288">
        <v>1291</v>
      </c>
      <c r="Q93" s="275">
        <v>527</v>
      </c>
      <c r="R93" s="275">
        <v>14226</v>
      </c>
      <c r="S93" s="275">
        <v>1197</v>
      </c>
      <c r="T93" s="275">
        <v>49</v>
      </c>
      <c r="U93" s="275">
        <v>1528</v>
      </c>
      <c r="V93" s="275">
        <v>1012</v>
      </c>
      <c r="W93" s="275">
        <v>72</v>
      </c>
      <c r="X93" s="275">
        <v>3281</v>
      </c>
      <c r="Y93" s="275">
        <v>31119</v>
      </c>
      <c r="Z93" s="275">
        <v>35</v>
      </c>
      <c r="AA93" s="275">
        <v>5</v>
      </c>
      <c r="AB93" s="275">
        <v>354</v>
      </c>
      <c r="AC93" s="275">
        <v>1083</v>
      </c>
      <c r="AD93" s="275">
        <v>25262</v>
      </c>
      <c r="AE93" s="275">
        <v>136</v>
      </c>
      <c r="AF93" s="275">
        <v>713</v>
      </c>
      <c r="AG93" s="275">
        <v>528</v>
      </c>
      <c r="AH93" s="275">
        <v>11</v>
      </c>
      <c r="AI93" s="275">
        <v>122</v>
      </c>
      <c r="AJ93" s="275">
        <v>848</v>
      </c>
      <c r="AK93" s="275">
        <v>1870</v>
      </c>
      <c r="AL93" s="275">
        <v>1490</v>
      </c>
      <c r="AM93" s="275">
        <v>13</v>
      </c>
      <c r="AN93" s="275">
        <v>246</v>
      </c>
      <c r="AO93" s="275">
        <v>116</v>
      </c>
      <c r="AP93" s="275">
        <v>244</v>
      </c>
      <c r="AQ93" s="275">
        <v>517</v>
      </c>
      <c r="AR93" s="275">
        <v>7953</v>
      </c>
      <c r="AS93" s="275">
        <v>25</v>
      </c>
      <c r="AT93" s="275">
        <v>14248</v>
      </c>
      <c r="AU93" s="275">
        <v>300</v>
      </c>
      <c r="AV93" s="275">
        <v>11</v>
      </c>
      <c r="AW93" s="275">
        <v>23</v>
      </c>
      <c r="AX93" s="275">
        <v>7917</v>
      </c>
      <c r="AY93" s="275">
        <v>991</v>
      </c>
      <c r="AZ93" s="275">
        <v>589</v>
      </c>
      <c r="BA93" s="275">
        <v>579</v>
      </c>
      <c r="BB93" s="275">
        <v>353</v>
      </c>
      <c r="BC93" s="275">
        <v>139</v>
      </c>
      <c r="BD93" s="275">
        <v>1564</v>
      </c>
      <c r="BE93" s="275">
        <v>254</v>
      </c>
      <c r="BF93" s="275">
        <v>146</v>
      </c>
      <c r="BG93" s="275">
        <v>168</v>
      </c>
      <c r="BH93" s="275">
        <v>327</v>
      </c>
      <c r="BI93" s="275">
        <v>819</v>
      </c>
      <c r="BJ93" s="275">
        <v>1276</v>
      </c>
      <c r="BK93" s="275">
        <v>1012</v>
      </c>
      <c r="BL93" s="275">
        <v>67803</v>
      </c>
      <c r="BM93" s="275">
        <v>1019</v>
      </c>
      <c r="BN93" s="275">
        <v>190</v>
      </c>
      <c r="BO93" s="275">
        <v>653</v>
      </c>
      <c r="BP93" s="275">
        <v>937</v>
      </c>
      <c r="BQ93" s="275">
        <v>100</v>
      </c>
      <c r="BR93" s="275">
        <v>145</v>
      </c>
      <c r="BS93" s="275">
        <v>45</v>
      </c>
      <c r="BT93" s="275">
        <v>75</v>
      </c>
      <c r="BU93" s="275">
        <v>18</v>
      </c>
      <c r="BV93" s="275">
        <v>256</v>
      </c>
      <c r="BW93" s="275">
        <v>784</v>
      </c>
      <c r="BX93" s="275">
        <v>618</v>
      </c>
      <c r="BY93" s="275">
        <v>173</v>
      </c>
      <c r="BZ93" s="275">
        <v>560</v>
      </c>
      <c r="CA93" s="275">
        <v>185</v>
      </c>
      <c r="CB93" s="275">
        <v>1</v>
      </c>
      <c r="CC93" s="275">
        <v>76</v>
      </c>
      <c r="CD93" s="275">
        <v>184</v>
      </c>
      <c r="CE93" s="275">
        <v>1267</v>
      </c>
      <c r="CF93" s="275">
        <v>2979</v>
      </c>
      <c r="CG93" s="275">
        <v>60</v>
      </c>
      <c r="CH93" s="275">
        <v>241</v>
      </c>
      <c r="CI93" s="275">
        <v>618</v>
      </c>
      <c r="CJ93" s="275">
        <v>638</v>
      </c>
      <c r="CK93" s="275">
        <v>1704</v>
      </c>
      <c r="CL93" s="275">
        <v>712</v>
      </c>
      <c r="CM93" s="275">
        <v>766</v>
      </c>
      <c r="CN93" s="275">
        <v>695</v>
      </c>
      <c r="CO93" s="275">
        <v>6111</v>
      </c>
      <c r="CP93" s="275">
        <v>184</v>
      </c>
      <c r="CQ93" s="275">
        <v>11</v>
      </c>
      <c r="CR93" s="275">
        <v>6511</v>
      </c>
      <c r="CS93" s="275">
        <v>363</v>
      </c>
      <c r="CT93" s="275">
        <v>3286</v>
      </c>
      <c r="CU93" s="275">
        <v>7603</v>
      </c>
      <c r="CV93" s="275">
        <v>2350</v>
      </c>
      <c r="CW93" s="275">
        <v>149</v>
      </c>
      <c r="CX93" s="275">
        <v>41</v>
      </c>
      <c r="CY93" s="275">
        <v>34</v>
      </c>
      <c r="CZ93" s="275">
        <v>1373</v>
      </c>
      <c r="DA93" s="275">
        <v>15</v>
      </c>
      <c r="DB93" s="275">
        <v>82</v>
      </c>
      <c r="DC93" s="275">
        <v>16</v>
      </c>
      <c r="DD93" s="275">
        <v>3161</v>
      </c>
      <c r="DE93" s="275">
        <v>86</v>
      </c>
      <c r="DF93" s="275">
        <v>55</v>
      </c>
      <c r="DG93" s="275">
        <v>145</v>
      </c>
      <c r="DH93" s="275">
        <v>217</v>
      </c>
      <c r="DI93" s="275">
        <v>18</v>
      </c>
      <c r="DJ93" s="275">
        <v>391</v>
      </c>
      <c r="DK93" s="275">
        <v>6</v>
      </c>
      <c r="DL93" s="275">
        <v>32</v>
      </c>
      <c r="DM93" s="275">
        <v>157</v>
      </c>
      <c r="DN93" s="275">
        <v>129257</v>
      </c>
      <c r="DO93" s="275">
        <v>57</v>
      </c>
      <c r="DP93" s="275">
        <v>9</v>
      </c>
      <c r="DQ93" s="275">
        <v>300</v>
      </c>
      <c r="DR93" s="275">
        <v>131359</v>
      </c>
      <c r="DS93" s="275">
        <v>636</v>
      </c>
      <c r="DT93" s="275">
        <v>2170</v>
      </c>
      <c r="DU93" s="275">
        <v>167</v>
      </c>
      <c r="DV93" s="275">
        <v>363</v>
      </c>
      <c r="DW93" s="275">
        <v>47</v>
      </c>
      <c r="DX93" s="275">
        <v>40</v>
      </c>
      <c r="DY93" s="275">
        <v>8</v>
      </c>
      <c r="DZ93" s="275">
        <v>407</v>
      </c>
      <c r="EA93" s="275">
        <v>1512</v>
      </c>
      <c r="EB93" s="275">
        <v>1720</v>
      </c>
      <c r="EC93" s="275">
        <v>11487</v>
      </c>
      <c r="ED93" s="275">
        <v>4839</v>
      </c>
      <c r="EE93" s="275">
        <v>74877</v>
      </c>
      <c r="EF93" s="275">
        <v>1400</v>
      </c>
      <c r="EG93" s="275">
        <v>11479</v>
      </c>
      <c r="EH93" s="275">
        <v>12046</v>
      </c>
      <c r="EI93" s="275">
        <v>162488</v>
      </c>
      <c r="EJ93" s="275">
        <v>73</v>
      </c>
      <c r="EK93" s="275">
        <v>7645</v>
      </c>
      <c r="EL93" s="275">
        <v>397</v>
      </c>
      <c r="EM93" s="275">
        <v>1232</v>
      </c>
      <c r="EN93" s="275">
        <v>216</v>
      </c>
      <c r="EO93" s="275">
        <v>10564</v>
      </c>
      <c r="EP93" s="275">
        <v>1355</v>
      </c>
      <c r="EQ93" s="275">
        <v>430</v>
      </c>
      <c r="ER93" s="275">
        <v>657</v>
      </c>
      <c r="ES93" s="275">
        <v>641</v>
      </c>
      <c r="ET93" s="275">
        <v>59</v>
      </c>
      <c r="EU93" s="275">
        <v>79</v>
      </c>
      <c r="EV93" s="275">
        <v>1070</v>
      </c>
      <c r="EW93" s="275">
        <v>3307</v>
      </c>
      <c r="EX93" s="275">
        <v>108</v>
      </c>
      <c r="EY93" s="275">
        <v>4987</v>
      </c>
      <c r="EZ93" s="275">
        <v>20</v>
      </c>
      <c r="FA93" s="275">
        <v>393</v>
      </c>
      <c r="FB93" s="275">
        <v>7</v>
      </c>
      <c r="FC93" s="275">
        <v>324</v>
      </c>
      <c r="FD93" s="275">
        <v>5399</v>
      </c>
      <c r="FE93" s="275">
        <v>1934</v>
      </c>
      <c r="FF93" s="275">
        <v>93</v>
      </c>
      <c r="FG93" s="275">
        <v>30</v>
      </c>
      <c r="FH93" s="275">
        <v>283</v>
      </c>
      <c r="FI93" s="275">
        <v>1888</v>
      </c>
      <c r="FJ93" s="275">
        <v>16</v>
      </c>
      <c r="FK93" s="275">
        <v>16</v>
      </c>
      <c r="FL93" s="275">
        <v>92</v>
      </c>
      <c r="FM93" s="275">
        <v>14</v>
      </c>
      <c r="FN93" s="275">
        <v>52</v>
      </c>
      <c r="FO93" s="275">
        <v>27419</v>
      </c>
      <c r="FP93" s="275">
        <v>1366</v>
      </c>
      <c r="FQ93" s="275">
        <v>9</v>
      </c>
      <c r="FR93" s="275">
        <v>570</v>
      </c>
      <c r="FS93" s="275">
        <v>373</v>
      </c>
      <c r="FT93" s="275">
        <v>908</v>
      </c>
      <c r="FU93" s="275">
        <v>6623</v>
      </c>
      <c r="FV93" s="275">
        <v>813</v>
      </c>
      <c r="FW93" s="275">
        <v>5837</v>
      </c>
      <c r="FX93" s="275">
        <v>3472</v>
      </c>
      <c r="FY93" s="275">
        <v>2</v>
      </c>
      <c r="FZ93" s="275">
        <v>159</v>
      </c>
      <c r="GA93" s="275">
        <v>10303</v>
      </c>
      <c r="GB93" s="275">
        <v>5223</v>
      </c>
      <c r="GC93" s="275">
        <v>7202</v>
      </c>
      <c r="GD93" s="275">
        <v>17448</v>
      </c>
      <c r="GE93" s="275">
        <v>3428</v>
      </c>
      <c r="GF93" s="275">
        <v>6879</v>
      </c>
      <c r="GG93" s="275">
        <v>21102</v>
      </c>
      <c r="GH93" s="275">
        <v>134</v>
      </c>
      <c r="GI93" s="275">
        <v>15</v>
      </c>
      <c r="GJ93" s="275">
        <v>12</v>
      </c>
      <c r="GK93" s="275">
        <v>371</v>
      </c>
      <c r="GL93" s="275">
        <v>5369</v>
      </c>
      <c r="GM93" s="275">
        <v>299</v>
      </c>
      <c r="GN93" s="275">
        <v>4465</v>
      </c>
      <c r="GO93" s="275">
        <v>11</v>
      </c>
      <c r="GP93" s="275">
        <v>3252</v>
      </c>
      <c r="GQ93" s="275">
        <v>835</v>
      </c>
      <c r="GR93" s="275">
        <v>1220</v>
      </c>
      <c r="GS93" s="275">
        <v>60</v>
      </c>
      <c r="GT93" s="275">
        <v>2415</v>
      </c>
      <c r="GU93" s="275">
        <v>172541</v>
      </c>
      <c r="GV93" s="275">
        <v>233</v>
      </c>
      <c r="GW93" s="275">
        <v>32</v>
      </c>
      <c r="GX93" s="275">
        <v>10</v>
      </c>
      <c r="GY93" s="275">
        <v>11445</v>
      </c>
      <c r="GZ93" s="275">
        <v>25936</v>
      </c>
      <c r="HA93" s="275">
        <v>393</v>
      </c>
      <c r="HB93" s="275">
        <v>53</v>
      </c>
      <c r="HC93" s="275">
        <v>2613</v>
      </c>
      <c r="HD93" s="275">
        <v>77</v>
      </c>
      <c r="HE93" s="275">
        <v>113</v>
      </c>
      <c r="HF93" s="275">
        <v>747</v>
      </c>
      <c r="HG93" s="275">
        <v>65111</v>
      </c>
      <c r="HH93" s="275">
        <v>55</v>
      </c>
      <c r="HI93" s="275">
        <v>3372</v>
      </c>
      <c r="HJ93" s="275">
        <v>4933</v>
      </c>
      <c r="HK93" s="275">
        <v>57</v>
      </c>
      <c r="HL93" s="275">
        <v>54</v>
      </c>
      <c r="HM93" s="275">
        <v>440</v>
      </c>
      <c r="HN93" s="275">
        <v>129</v>
      </c>
      <c r="HO93" s="275">
        <v>254</v>
      </c>
      <c r="HP93" s="275">
        <v>11</v>
      </c>
      <c r="HQ93" s="275">
        <v>93873</v>
      </c>
      <c r="HR93" s="275">
        <v>483</v>
      </c>
      <c r="HS93" s="275">
        <v>607670</v>
      </c>
      <c r="HT93" s="275">
        <v>1165</v>
      </c>
      <c r="HU93" s="275">
        <v>189</v>
      </c>
      <c r="HV93" s="275">
        <v>266</v>
      </c>
      <c r="HW93" s="275">
        <v>45</v>
      </c>
      <c r="HX93" s="275">
        <v>17</v>
      </c>
      <c r="HY93" s="275">
        <v>0</v>
      </c>
      <c r="HZ93" s="275">
        <v>16</v>
      </c>
      <c r="IA93" s="275">
        <v>14</v>
      </c>
      <c r="IB93" s="275">
        <v>28</v>
      </c>
      <c r="IC93" s="275">
        <v>29</v>
      </c>
      <c r="ID93" s="275">
        <v>6</v>
      </c>
      <c r="IE93" s="275">
        <v>18</v>
      </c>
      <c r="IF93" s="275">
        <v>0</v>
      </c>
      <c r="IG93" s="275">
        <v>19</v>
      </c>
      <c r="IH93" s="275">
        <v>35</v>
      </c>
      <c r="II93" s="275">
        <v>308</v>
      </c>
      <c r="IJ93" s="275">
        <v>38</v>
      </c>
      <c r="IK93" s="275">
        <v>144</v>
      </c>
      <c r="IL93" s="275">
        <v>14</v>
      </c>
      <c r="IM93" s="275">
        <v>5</v>
      </c>
      <c r="IN93" s="275">
        <v>8</v>
      </c>
      <c r="IO93" s="275">
        <v>387</v>
      </c>
      <c r="IP93" s="275">
        <v>63</v>
      </c>
      <c r="IQ93" s="275">
        <v>3</v>
      </c>
      <c r="IR93" s="275">
        <v>3</v>
      </c>
      <c r="IS93" s="275">
        <v>10</v>
      </c>
      <c r="IT93" s="275">
        <v>9</v>
      </c>
      <c r="IU93" s="275">
        <v>13</v>
      </c>
      <c r="IV93" s="275">
        <v>5</v>
      </c>
      <c r="IW93" s="275">
        <v>11</v>
      </c>
      <c r="IX93" s="25">
        <v>3</v>
      </c>
      <c r="IY93" s="275">
        <v>16</v>
      </c>
      <c r="IZ93" s="275">
        <v>11</v>
      </c>
      <c r="JA93" s="275">
        <v>1</v>
      </c>
      <c r="JB93" s="275">
        <v>4</v>
      </c>
      <c r="JC93" s="275">
        <v>6</v>
      </c>
      <c r="JD93" s="275">
        <v>4</v>
      </c>
      <c r="JE93" s="275">
        <v>1</v>
      </c>
      <c r="JF93" s="193">
        <v>0</v>
      </c>
      <c r="JG93" s="193">
        <v>0</v>
      </c>
      <c r="JH93" s="193">
        <v>0</v>
      </c>
      <c r="JI93" s="193">
        <v>133</v>
      </c>
      <c r="JJ93" s="193">
        <v>11</v>
      </c>
      <c r="JK93" s="193">
        <v>923</v>
      </c>
      <c r="JL93" s="193">
        <v>51</v>
      </c>
      <c r="JM93" s="193">
        <v>3953</v>
      </c>
      <c r="JN93" s="193">
        <v>285</v>
      </c>
      <c r="JO93" s="193">
        <v>3809</v>
      </c>
      <c r="JP93" s="193">
        <v>1498</v>
      </c>
      <c r="JQ93" s="193">
        <v>25356</v>
      </c>
      <c r="JR93" s="193">
        <v>7950</v>
      </c>
      <c r="JS93" s="193">
        <v>13989</v>
      </c>
      <c r="JT93" s="193">
        <v>1926</v>
      </c>
      <c r="JU93" s="193">
        <v>2058</v>
      </c>
      <c r="JV93" s="193">
        <v>21628</v>
      </c>
      <c r="JW93" s="193">
        <v>14578</v>
      </c>
      <c r="JX93" s="193">
        <v>511</v>
      </c>
      <c r="JY93" s="193">
        <v>1464</v>
      </c>
      <c r="JZ93" s="193">
        <v>23248</v>
      </c>
      <c r="KA93" s="193">
        <v>8527</v>
      </c>
      <c r="KB93" s="193">
        <v>1899</v>
      </c>
      <c r="KC93" s="193">
        <v>1441</v>
      </c>
      <c r="KD93" s="193">
        <v>2048</v>
      </c>
      <c r="KE93" s="193">
        <v>21518</v>
      </c>
      <c r="KF93" s="193">
        <v>735</v>
      </c>
      <c r="KG93" s="193">
        <v>9472</v>
      </c>
      <c r="KH93" s="193">
        <v>28164</v>
      </c>
      <c r="KI93" s="193">
        <v>27001</v>
      </c>
      <c r="KJ93" s="193">
        <v>1695</v>
      </c>
      <c r="KK93" s="193">
        <v>3087</v>
      </c>
      <c r="KL93" s="193">
        <v>4746</v>
      </c>
      <c r="KM93" s="193">
        <v>399</v>
      </c>
      <c r="KN93" s="193">
        <v>897</v>
      </c>
      <c r="KO93" s="193">
        <v>3134</v>
      </c>
      <c r="KP93" s="193">
        <v>922</v>
      </c>
      <c r="KQ93" s="193">
        <v>68824</v>
      </c>
      <c r="KR93" s="193">
        <v>1345</v>
      </c>
      <c r="KS93" s="193">
        <v>203020</v>
      </c>
      <c r="KT93" s="193">
        <v>5113</v>
      </c>
      <c r="KU93" s="193">
        <v>341</v>
      </c>
      <c r="KV93" s="193">
        <v>7285</v>
      </c>
      <c r="KW93" s="193">
        <v>2184</v>
      </c>
      <c r="KX93" s="193">
        <v>1633</v>
      </c>
      <c r="KY93" s="193">
        <v>25465</v>
      </c>
      <c r="KZ93" s="193">
        <v>3251</v>
      </c>
      <c r="LA93" s="193">
        <v>3553</v>
      </c>
      <c r="LB93" s="193">
        <v>988</v>
      </c>
      <c r="LC93" s="193">
        <v>5827</v>
      </c>
      <c r="LD93" s="193">
        <v>15006</v>
      </c>
      <c r="LE93" s="193">
        <v>2417</v>
      </c>
      <c r="LF93" s="193">
        <v>752</v>
      </c>
      <c r="LG93" s="193">
        <v>6182</v>
      </c>
      <c r="LH93" s="193">
        <v>10799</v>
      </c>
      <c r="LI93" s="193">
        <v>640</v>
      </c>
      <c r="LJ93" s="193">
        <v>3555</v>
      </c>
      <c r="LK93" s="193">
        <v>282</v>
      </c>
      <c r="LL93" s="193">
        <v>49</v>
      </c>
      <c r="LM93" s="193">
        <v>103</v>
      </c>
      <c r="LN93" s="278">
        <f ca="1">$A93 - TST!Sweden100dt + 1</f>
        <v>39</v>
      </c>
      <c r="LO93" s="20">
        <f ca="1">INDEX(OFFSET(TST!HeadRow,ROW()-ROW(TST!HeadRow),0,1,COLUMNS(TST!HeadRow)),1,MATCH(LO$5,TST!HeadRow,0))/LO$8</f>
        <v>11187.683284457478</v>
      </c>
      <c r="LP93" s="278">
        <f ca="1">$A93 - TST!Spain100dt + 1</f>
        <v>39</v>
      </c>
      <c r="LQ93" s="20">
        <f ca="1">INDEX(OFFSET(TST!HeadRow,ROW()-ROW(TST!HeadRow),0,1,COLUMNS(TST!HeadRow)),1,MATCH(LQ$5,TST!HeadRow,0))/LQ$8</f>
        <v>36757.775884107374</v>
      </c>
      <c r="LR93" s="285">
        <f ca="1">$A93 - TST!Victoria100dt + 1</f>
        <v>30</v>
      </c>
      <c r="LS93" s="20">
        <f ca="1">INDEX(OFFSET(TST!HeadRow,ROW()-ROW(TST!HeadRow),0,1,COLUMNS(TST!HeadRow)),1,MATCH(LS$5,TST!HeadRow,0))/LS$8</f>
        <v>1947.5033941771005</v>
      </c>
      <c r="LT93" s="278">
        <f ca="1">$A93 - TST!Iran100dt + 1</f>
        <v>45</v>
      </c>
      <c r="LU93" s="20">
        <f ca="1">INDEX(OFFSET(TST!HeadRow,ROW()-ROW(TST!HeadRow),0,1,COLUMNS(TST!HeadRow)),1,MATCH(LU$5,TST!HeadRow,0))/LU$8</f>
        <v>8938.0826758024668</v>
      </c>
      <c r="LV93" s="278">
        <f ca="1">$A93 - TST!Japan100dt + 1</f>
        <v>21</v>
      </c>
      <c r="LW93" s="20">
        <f ca="1">INDEX(OFFSET(TST!HeadRow,ROW()-ROW(TST!HeadRow),0,1,COLUMNS(TST!HeadRow)),1,MATCH(LW$5,TST!HeadRow,0))/LW$8</f>
        <v>604.08898470167765</v>
      </c>
      <c r="LX93" s="278">
        <f ca="1">$A93 - TST!Queensland100dt + 1</f>
        <v>31</v>
      </c>
      <c r="LY93" s="20">
        <f ca="1">INDEX(OFFSET(TST!HeadRow,ROW()-ROW(TST!HeadRow),0,1,COLUMNS(TST!HeadRow)),1,MATCH(LY$5,TST!HeadRow,0))/LY$8</f>
        <v>1950.9521252378336</v>
      </c>
      <c r="LZ93" s="278">
        <f ca="1">$A93 - TST!Tasmania100dt + 1</f>
        <v>31</v>
      </c>
      <c r="MA93" s="20">
        <f ca="1">INDEX(OFFSET(TST!HeadRow,ROW()-ROW(TST!HeadRow),0,1,COLUMNS(TST!HeadRow)),1,MATCH(MA$5,TST!HeadRow,0))/MA$8</f>
        <v>3203.8834951456311</v>
      </c>
      <c r="MB93" s="278">
        <f ca="1">$A93 - TST!SouthAustralia100dt + 1</f>
        <v>32</v>
      </c>
      <c r="MC93" s="20">
        <f ca="1">INDEX(OFFSET(TST!HeadRow,ROW()-ROW(TST!HeadRow),0,1,COLUMNS(TST!HeadRow)),1,MATCH(MC$5,TST!HeadRow,0))/MC$8</f>
        <v>2592.8143712574847</v>
      </c>
      <c r="MD93" s="278">
        <f ca="1">$A93 - TST!AustralianCapitalTerritory100dt + 1</f>
        <v>26</v>
      </c>
      <c r="ME93" s="20">
        <f ca="1">INDEX(OFFSET(TST!HeadRow,ROW()-ROW(TST!HeadRow),0,1,COLUMNS(TST!HeadRow)),1,MATCH(ME$5,TST!HeadRow,0))/ME$8</f>
        <v>2406.2047376536002</v>
      </c>
      <c r="MF93" s="278">
        <f ca="1">$A93 - TST!NorthernTerritory100dt + 1</f>
        <v>26</v>
      </c>
      <c r="MG93" s="20">
        <f ca="1">INDEX(OFFSET(TST!HeadRow,ROW()-ROW(TST!HeadRow),0,1,COLUMNS(TST!HeadRow)),1,MATCH(MG$5,TST!HeadRow,0))/MG$8</f>
        <v>1321.0974545282972</v>
      </c>
      <c r="MH93" s="278">
        <f ca="1">$A93 - TST!WesternAustralia100dt + 1</f>
        <v>30</v>
      </c>
      <c r="MI93" s="20">
        <f ca="1">INDEX(OFFSET(TST!HeadRow,ROW()-ROW(TST!HeadRow),0,1,COLUMNS(TST!HeadRow)),1,MATCH(MI$5,TST!HeadRow,0))/MI$8</f>
        <v>2035.5349555813054</v>
      </c>
      <c r="MJ93" s="278">
        <f ca="1">$A93 - TST!Germany100dt + 1</f>
        <v>38</v>
      </c>
      <c r="MK93" s="20">
        <f ca="1">INDEX(OFFSET(TST!HeadRow,ROW()-ROW(TST!HeadRow),0,1,COLUMNS(TST!HeadRow)),1,MATCH(MK$5,TST!HeadRow,0))/MK$8</f>
        <v>15822.572874006264</v>
      </c>
      <c r="ML93" s="278">
        <f ca="1">$A93 - TST!Denmark100dt + 1</f>
        <v>37</v>
      </c>
      <c r="MM93" s="20">
        <f ca="1">INDEX(OFFSET(TST!HeadRow,ROW()-ROW(TST!HeadRow),0,1,COLUMNS(TST!HeadRow)),1,MATCH(MM$5,TST!HeadRow,0))/MM$8</f>
        <v>11214.261109197381</v>
      </c>
      <c r="MN93" s="278">
        <f ca="1">$A93 - TST!SouthAfrica100dt + 1</f>
        <v>21</v>
      </c>
      <c r="MO93" s="20">
        <f ca="1">INDEX(OFFSET(TST!HeadRow,ROW()-ROW(TST!HeadRow),0,1,COLUMNS(TST!HeadRow)),1,MATCH(MO$5,TST!HeadRow,0))/MO$8</f>
        <v>417.96469366562826</v>
      </c>
      <c r="MP93" s="278">
        <f ca="1">$A93 - TST!UnitedKingdom100dt + 1</f>
        <v>33</v>
      </c>
      <c r="MQ93" s="20">
        <f ca="1">INDEX(OFFSET(TST!HeadRow,ROW()-ROW(TST!HeadRow),0,1,COLUMNS(TST!HeadRow)),1,MATCH(MQ$5,TST!HeadRow,0))/MQ$8</f>
        <v>14128.988561107766</v>
      </c>
      <c r="MR93" s="278">
        <f ca="1">$A93 - TST!Ireland100dt + 1</f>
        <v>33</v>
      </c>
      <c r="MS93" s="20">
        <f ca="1">INDEX(OFFSET(TST!HeadRow,ROW()-ROW(TST!HeadRow),0,1,COLUMNS(TST!HeadRow)),1,MATCH(MS$5,TST!HeadRow,0))/MS$8</f>
        <v>23426.5306122449</v>
      </c>
      <c r="MT93" s="278">
        <f ca="1">$A93 - TST!Italy100dt + 1</f>
        <v>48</v>
      </c>
      <c r="MU93" s="20">
        <f ca="1">INDEX(OFFSET(TST!HeadRow,ROW()-ROW(TST!HeadRow),0,1,COLUMNS(TST!HeadRow)),1,MATCH(MU$5,TST!HeadRow,0))/MU$8</f>
        <v>26864.181201950898</v>
      </c>
      <c r="MV93" s="278">
        <f ca="1">$A93 - TST!US100dt + 1</f>
        <v>31</v>
      </c>
      <c r="MW93" s="20">
        <f ca="1">INDEX(OFFSET(TST!HeadRow,ROW()-ROW(TST!HeadRow),0,1,COLUMNS(TST!HeadRow)),1,MATCH(MW$5,TST!HeadRow,0))/MW$8</f>
        <v>18457.435844426065</v>
      </c>
      <c r="MX93" s="278">
        <f ca="1">$A93 - TST!AustraliaSum100dt + 1</f>
        <v>31</v>
      </c>
      <c r="MY93" s="366">
        <f t="shared" si="9"/>
        <v>2529.1752089575775</v>
      </c>
      <c r="MZ93" s="278">
        <f ca="1">$A93 - TST!NewSouthWales100dt + 1</f>
        <v>33</v>
      </c>
      <c r="NA93" s="366">
        <f ca="1">INDEX(OFFSET(TST!HeadRow,ROW()-ROW(TST!HeadRow),0,1,COLUMNS(TST!HeadRow)),1,MATCH(NA$5,TST!HeadRow,0))/NA$8</f>
        <v>3551.9801980198017</v>
      </c>
      <c r="NB93" s="278">
        <f ca="1">$A93 - TST!Taiwan100dt + 1</f>
        <v>20</v>
      </c>
      <c r="NC93" s="366">
        <f ca="1">INDEX(OFFSET(TST!HeadRow,ROW()-ROW(TST!HeadRow),0,1,COLUMNS(TST!HeadRow)),1,MATCH(NC$5,TST!HeadRow,0))/NC$8</f>
        <v>165.07554285281284</v>
      </c>
      <c r="ND93" s="20">
        <f ca="1">$A93 - TST!Hubei100dt + 1</f>
        <v>81</v>
      </c>
      <c r="NE93" s="20">
        <f ca="1">INDEX(OFFSET(TST!HeadRow,ROW()-ROW(TST!HeadRow),0,1,COLUMNS(TST!HeadRow)),1,MATCH(NE$5,TST!HeadRow,0))/NE$8</f>
        <v>11590.25641025641</v>
      </c>
      <c r="NF93" s="20">
        <f ca="1">$A93 - TST!HongKong100dt + 1</f>
        <v>51</v>
      </c>
      <c r="NG93" s="20">
        <f ca="1">INDEX(OFFSET(TST!HeadRow,ROW()-ROW(TST!HeadRow),0,1,COLUMNS(TST!HeadRow)),1,MATCH(NG$5,TST!HeadRow,0))/NG$8</f>
        <v>1358.2069520869682</v>
      </c>
    </row>
    <row r="94" spans="1:371" x14ac:dyDescent="0.25">
      <c r="A94" s="156">
        <v>43936</v>
      </c>
      <c r="B94" s="25">
        <v>784</v>
      </c>
      <c r="C94" s="25">
        <v>494</v>
      </c>
      <c r="D94" s="25">
        <v>2160</v>
      </c>
      <c r="E94" s="25">
        <v>673</v>
      </c>
      <c r="F94" s="25">
        <v>19</v>
      </c>
      <c r="G94" s="25">
        <v>23</v>
      </c>
      <c r="H94" s="25">
        <v>2443</v>
      </c>
      <c r="I94" s="25">
        <v>1111</v>
      </c>
      <c r="J94" s="25">
        <v>103</v>
      </c>
      <c r="K94" s="292">
        <v>2886</v>
      </c>
      <c r="L94" s="25">
        <v>28</v>
      </c>
      <c r="M94" s="289">
        <v>999</v>
      </c>
      <c r="N94" s="25">
        <v>433</v>
      </c>
      <c r="O94" s="40">
        <v>165</v>
      </c>
      <c r="P94" s="286">
        <v>1299</v>
      </c>
      <c r="Q94" s="25">
        <v>527</v>
      </c>
      <c r="R94" s="25">
        <v>14336</v>
      </c>
      <c r="S94" s="25">
        <v>1253</v>
      </c>
      <c r="T94" s="25">
        <v>49</v>
      </c>
      <c r="U94" s="25">
        <v>1671</v>
      </c>
      <c r="V94" s="25">
        <v>1231</v>
      </c>
      <c r="W94" s="25">
        <v>73</v>
      </c>
      <c r="X94" s="25">
        <v>3728</v>
      </c>
      <c r="Y94" s="25">
        <v>33573</v>
      </c>
      <c r="Z94" s="25">
        <v>35</v>
      </c>
      <c r="AA94" s="25">
        <v>5</v>
      </c>
      <c r="AB94" s="25">
        <v>397</v>
      </c>
      <c r="AC94" s="25">
        <v>1110</v>
      </c>
      <c r="AD94" s="25">
        <v>28320</v>
      </c>
      <c r="AE94" s="25">
        <v>136</v>
      </c>
      <c r="AF94" s="25">
        <v>747</v>
      </c>
      <c r="AG94" s="25">
        <v>542</v>
      </c>
      <c r="AH94" s="25">
        <v>56</v>
      </c>
      <c r="AI94" s="25">
        <v>122</v>
      </c>
      <c r="AJ94" s="25">
        <v>848</v>
      </c>
      <c r="AK94" s="25">
        <v>1870</v>
      </c>
      <c r="AL94" s="25">
        <v>1517</v>
      </c>
      <c r="AM94" s="25">
        <v>13</v>
      </c>
      <c r="AN94" s="25">
        <v>246</v>
      </c>
      <c r="AO94" s="25">
        <v>117</v>
      </c>
      <c r="AP94" s="25">
        <v>247</v>
      </c>
      <c r="AQ94" s="25">
        <v>549</v>
      </c>
      <c r="AR94" s="25">
        <v>8447</v>
      </c>
      <c r="AS94" s="25">
        <v>26</v>
      </c>
      <c r="AT94" s="25">
        <v>14860</v>
      </c>
      <c r="AU94" s="25">
        <v>304</v>
      </c>
      <c r="AV94" s="25">
        <v>12</v>
      </c>
      <c r="AW94" s="25">
        <v>23</v>
      </c>
      <c r="AX94" s="25">
        <v>8273</v>
      </c>
      <c r="AY94" s="25">
        <v>991</v>
      </c>
      <c r="AZ94" s="25">
        <v>590</v>
      </c>
      <c r="BA94" s="25">
        <v>579</v>
      </c>
      <c r="BB94" s="25">
        <v>353</v>
      </c>
      <c r="BC94" s="25">
        <v>139</v>
      </c>
      <c r="BD94" s="25">
        <v>1566</v>
      </c>
      <c r="BE94" s="25">
        <v>254</v>
      </c>
      <c r="BF94" s="25">
        <v>146</v>
      </c>
      <c r="BG94" s="25">
        <v>168</v>
      </c>
      <c r="BH94" s="25">
        <v>327</v>
      </c>
      <c r="BI94" s="25">
        <v>841</v>
      </c>
      <c r="BJ94" s="25">
        <v>1276</v>
      </c>
      <c r="BK94" s="25">
        <v>1017</v>
      </c>
      <c r="BL94" s="25">
        <v>67803</v>
      </c>
      <c r="BM94" s="25">
        <v>1019</v>
      </c>
      <c r="BN94" s="25">
        <v>190</v>
      </c>
      <c r="BO94" s="25">
        <v>653</v>
      </c>
      <c r="BP94" s="25">
        <v>937</v>
      </c>
      <c r="BQ94" s="25">
        <v>102</v>
      </c>
      <c r="BR94" s="25">
        <v>145</v>
      </c>
      <c r="BS94" s="25">
        <v>45</v>
      </c>
      <c r="BT94" s="25">
        <v>75</v>
      </c>
      <c r="BU94" s="25">
        <v>18</v>
      </c>
      <c r="BV94" s="25">
        <v>256</v>
      </c>
      <c r="BW94" s="25">
        <v>784</v>
      </c>
      <c r="BX94" s="25">
        <v>622</v>
      </c>
      <c r="BY94" s="25">
        <v>186</v>
      </c>
      <c r="BZ94" s="25">
        <v>560</v>
      </c>
      <c r="CA94" s="25">
        <v>185</v>
      </c>
      <c r="CB94" s="25">
        <v>1</v>
      </c>
      <c r="CC94" s="25">
        <v>76</v>
      </c>
      <c r="CD94" s="25">
        <v>184</v>
      </c>
      <c r="CE94" s="25">
        <v>1268</v>
      </c>
      <c r="CF94" s="25">
        <v>3105</v>
      </c>
      <c r="CG94" s="25">
        <v>117</v>
      </c>
      <c r="CH94" s="25">
        <v>254</v>
      </c>
      <c r="CI94" s="25">
        <v>626</v>
      </c>
      <c r="CJ94" s="25">
        <v>638</v>
      </c>
      <c r="CK94" s="25">
        <v>1741</v>
      </c>
      <c r="CL94" s="25">
        <v>712</v>
      </c>
      <c r="CM94" s="25">
        <v>814</v>
      </c>
      <c r="CN94" s="25">
        <v>715</v>
      </c>
      <c r="CO94" s="25">
        <v>6216</v>
      </c>
      <c r="CP94" s="25">
        <v>184</v>
      </c>
      <c r="CQ94" s="25">
        <v>11</v>
      </c>
      <c r="CR94" s="25">
        <v>6681</v>
      </c>
      <c r="CS94" s="25">
        <v>435</v>
      </c>
      <c r="CT94" s="25">
        <v>3614</v>
      </c>
      <c r="CU94" s="25">
        <v>7858</v>
      </c>
      <c r="CV94" s="25">
        <v>2505</v>
      </c>
      <c r="CW94" s="25">
        <v>159</v>
      </c>
      <c r="CX94" s="25">
        <v>51</v>
      </c>
      <c r="CY94" s="25">
        <v>35</v>
      </c>
      <c r="CZ94" s="25">
        <v>1400</v>
      </c>
      <c r="DA94" s="25">
        <v>15</v>
      </c>
      <c r="DB94" s="25">
        <v>85</v>
      </c>
      <c r="DC94" s="25">
        <v>16</v>
      </c>
      <c r="DD94" s="25">
        <v>3237</v>
      </c>
      <c r="DE94" s="25">
        <v>86</v>
      </c>
      <c r="DF94" s="25">
        <v>55</v>
      </c>
      <c r="DG94" s="25">
        <v>145</v>
      </c>
      <c r="DH94" s="25">
        <v>217</v>
      </c>
      <c r="DI94" s="25">
        <v>18</v>
      </c>
      <c r="DJ94" s="25">
        <v>391</v>
      </c>
      <c r="DK94" s="25">
        <v>6</v>
      </c>
      <c r="DL94" s="25">
        <v>35</v>
      </c>
      <c r="DM94" s="25">
        <v>158</v>
      </c>
      <c r="DN94" s="25">
        <v>132473</v>
      </c>
      <c r="DO94" s="25">
        <v>80</v>
      </c>
      <c r="DP94" s="25">
        <v>9</v>
      </c>
      <c r="DQ94" s="25">
        <v>306</v>
      </c>
      <c r="DR94" s="25">
        <v>134753</v>
      </c>
      <c r="DS94" s="25">
        <v>636</v>
      </c>
      <c r="DT94" s="25">
        <v>2192</v>
      </c>
      <c r="DU94" s="25">
        <v>180</v>
      </c>
      <c r="DV94" s="25">
        <v>404</v>
      </c>
      <c r="DW94" s="25">
        <v>55</v>
      </c>
      <c r="DX94" s="25">
        <v>41</v>
      </c>
      <c r="DY94" s="25">
        <v>8</v>
      </c>
      <c r="DZ94" s="25">
        <v>419</v>
      </c>
      <c r="EA94" s="25">
        <v>1579</v>
      </c>
      <c r="EB94" s="25">
        <v>1727</v>
      </c>
      <c r="EC94" s="25">
        <v>12322</v>
      </c>
      <c r="ED94" s="25">
        <v>5136</v>
      </c>
      <c r="EE94" s="25">
        <v>76389</v>
      </c>
      <c r="EF94" s="25">
        <v>1415</v>
      </c>
      <c r="EG94" s="25">
        <v>12547</v>
      </c>
      <c r="EH94" s="25">
        <v>12501</v>
      </c>
      <c r="EI94" s="25">
        <v>165155</v>
      </c>
      <c r="EJ94" s="25">
        <v>125</v>
      </c>
      <c r="EK94" s="25">
        <v>8100</v>
      </c>
      <c r="EL94" s="25">
        <v>401</v>
      </c>
      <c r="EM94" s="25">
        <v>1295</v>
      </c>
      <c r="EN94" s="25">
        <v>225</v>
      </c>
      <c r="EO94" s="25">
        <v>10591</v>
      </c>
      <c r="EP94" s="25">
        <v>1405</v>
      </c>
      <c r="EQ94" s="25">
        <v>449</v>
      </c>
      <c r="ER94" s="25">
        <v>666</v>
      </c>
      <c r="ES94" s="25">
        <v>658</v>
      </c>
      <c r="ET94" s="25">
        <v>59</v>
      </c>
      <c r="EU94" s="25">
        <v>79</v>
      </c>
      <c r="EV94" s="25">
        <v>1091</v>
      </c>
      <c r="EW94" s="25">
        <v>3373</v>
      </c>
      <c r="EX94" s="25">
        <v>110</v>
      </c>
      <c r="EY94" s="25">
        <v>5072</v>
      </c>
      <c r="EZ94" s="25">
        <v>22</v>
      </c>
      <c r="FA94" s="25">
        <v>399</v>
      </c>
      <c r="FB94" s="25">
        <v>7</v>
      </c>
      <c r="FC94" s="25">
        <v>324</v>
      </c>
      <c r="FD94" s="25">
        <v>5847</v>
      </c>
      <c r="FE94" s="25">
        <v>2049</v>
      </c>
      <c r="FF94" s="25">
        <v>93</v>
      </c>
      <c r="FG94" s="25">
        <v>30</v>
      </c>
      <c r="FH94" s="25">
        <v>288</v>
      </c>
      <c r="FI94" s="25">
        <v>2024</v>
      </c>
      <c r="FJ94" s="25">
        <v>16</v>
      </c>
      <c r="FK94" s="25">
        <v>16</v>
      </c>
      <c r="FL94" s="25">
        <v>93</v>
      </c>
      <c r="FM94" s="25">
        <v>14</v>
      </c>
      <c r="FN94" s="25">
        <v>53</v>
      </c>
      <c r="FO94" s="25">
        <v>28153</v>
      </c>
      <c r="FP94" s="25">
        <v>1386</v>
      </c>
      <c r="FQ94" s="25">
        <v>9</v>
      </c>
      <c r="FR94" s="25">
        <v>584</v>
      </c>
      <c r="FS94" s="25">
        <v>407</v>
      </c>
      <c r="FT94" s="25">
        <v>974</v>
      </c>
      <c r="FU94" s="25">
        <v>6740</v>
      </c>
      <c r="FV94" s="25">
        <v>910</v>
      </c>
      <c r="FW94" s="25">
        <v>6383</v>
      </c>
      <c r="FX94" s="25">
        <v>3574</v>
      </c>
      <c r="FY94" s="25">
        <v>2</v>
      </c>
      <c r="FZ94" s="25">
        <v>161</v>
      </c>
      <c r="GA94" s="25">
        <v>11475</v>
      </c>
      <c r="GB94" s="25">
        <v>5453</v>
      </c>
      <c r="GC94" s="25">
        <v>7582</v>
      </c>
      <c r="GD94" s="25">
        <v>18091</v>
      </c>
      <c r="GE94" s="25">
        <v>3711</v>
      </c>
      <c r="GF94" s="25">
        <v>7216</v>
      </c>
      <c r="GG94" s="25">
        <v>24490</v>
      </c>
      <c r="GH94" s="25">
        <v>136</v>
      </c>
      <c r="GI94" s="25">
        <v>15</v>
      </c>
      <c r="GJ94" s="25">
        <v>12</v>
      </c>
      <c r="GK94" s="25">
        <v>372</v>
      </c>
      <c r="GL94" s="25">
        <v>5862</v>
      </c>
      <c r="GM94" s="25">
        <v>314</v>
      </c>
      <c r="GN94" s="25">
        <v>4873</v>
      </c>
      <c r="GO94" s="25">
        <v>11</v>
      </c>
      <c r="GP94" s="25">
        <v>3699</v>
      </c>
      <c r="GQ94" s="25">
        <v>863</v>
      </c>
      <c r="GR94" s="25">
        <v>1248</v>
      </c>
      <c r="GS94" s="25">
        <v>80</v>
      </c>
      <c r="GT94" s="25">
        <v>2506</v>
      </c>
      <c r="GU94" s="25">
        <v>177644</v>
      </c>
      <c r="GV94" s="25">
        <v>238</v>
      </c>
      <c r="GW94" s="25">
        <v>32</v>
      </c>
      <c r="GX94" s="25">
        <v>10</v>
      </c>
      <c r="GY94" s="25">
        <v>11927</v>
      </c>
      <c r="GZ94" s="25">
        <v>26336</v>
      </c>
      <c r="HA94" s="25">
        <v>395</v>
      </c>
      <c r="HB94" s="25">
        <v>88</v>
      </c>
      <c r="HC94" s="25">
        <v>2643</v>
      </c>
      <c r="HD94" s="25">
        <v>81</v>
      </c>
      <c r="HE94" s="25">
        <v>114</v>
      </c>
      <c r="HF94" s="25">
        <v>780</v>
      </c>
      <c r="HG94" s="25">
        <v>69392</v>
      </c>
      <c r="HH94" s="25">
        <v>55</v>
      </c>
      <c r="HI94" s="25">
        <v>3764</v>
      </c>
      <c r="HJ94" s="25">
        <v>5365</v>
      </c>
      <c r="HK94" s="25">
        <v>81</v>
      </c>
      <c r="HL94" s="25">
        <v>54</v>
      </c>
      <c r="HM94" s="25">
        <v>447</v>
      </c>
      <c r="HN94" s="25">
        <v>131</v>
      </c>
      <c r="HO94" s="25">
        <v>256</v>
      </c>
      <c r="HP94" s="25">
        <v>11</v>
      </c>
      <c r="HQ94" s="25">
        <v>98476</v>
      </c>
      <c r="HR94" s="25">
        <v>492</v>
      </c>
      <c r="HS94" s="25">
        <v>636350</v>
      </c>
      <c r="HT94" s="25">
        <v>1302</v>
      </c>
      <c r="HU94" s="25">
        <v>197</v>
      </c>
      <c r="HV94" s="25">
        <v>267</v>
      </c>
      <c r="HW94" s="25">
        <v>48</v>
      </c>
      <c r="HX94" s="25">
        <v>23</v>
      </c>
      <c r="HY94" s="25">
        <v>0</v>
      </c>
      <c r="HZ94" s="25">
        <v>16</v>
      </c>
      <c r="IA94" s="25">
        <v>14</v>
      </c>
      <c r="IB94" s="25">
        <v>29</v>
      </c>
      <c r="IC94" s="25">
        <v>33</v>
      </c>
      <c r="ID94" s="25">
        <v>8</v>
      </c>
      <c r="IE94" s="25">
        <v>18</v>
      </c>
      <c r="IF94" s="25">
        <v>0</v>
      </c>
      <c r="IG94" s="25">
        <v>19</v>
      </c>
      <c r="IH94" s="25">
        <v>48</v>
      </c>
      <c r="II94" s="25">
        <v>374</v>
      </c>
      <c r="IJ94" s="25">
        <v>43</v>
      </c>
      <c r="IK94" s="25">
        <v>148</v>
      </c>
      <c r="IL94" s="25">
        <v>14</v>
      </c>
      <c r="IM94" s="25">
        <v>5</v>
      </c>
      <c r="IN94" s="25">
        <v>8</v>
      </c>
      <c r="IO94" s="25">
        <v>387</v>
      </c>
      <c r="IP94" s="25">
        <v>74</v>
      </c>
      <c r="IQ94" s="25">
        <v>3</v>
      </c>
      <c r="IR94" s="25">
        <v>3</v>
      </c>
      <c r="IS94" s="25">
        <v>10</v>
      </c>
      <c r="IT94" s="25">
        <v>9</v>
      </c>
      <c r="IU94" s="25">
        <v>13</v>
      </c>
      <c r="IV94" s="25">
        <v>5</v>
      </c>
      <c r="IW94" s="25">
        <v>13</v>
      </c>
      <c r="IX94" s="25">
        <v>3</v>
      </c>
      <c r="IY94" s="25">
        <v>16</v>
      </c>
      <c r="IZ94" s="25">
        <v>11</v>
      </c>
      <c r="JA94" s="25">
        <v>1</v>
      </c>
      <c r="JB94" s="25">
        <v>4</v>
      </c>
      <c r="JC94" s="25">
        <v>6</v>
      </c>
      <c r="JD94" s="25">
        <v>4</v>
      </c>
      <c r="JE94" s="25">
        <v>1</v>
      </c>
      <c r="JF94" s="25">
        <v>0</v>
      </c>
      <c r="JG94" s="25">
        <v>0</v>
      </c>
      <c r="JH94" s="25">
        <v>0</v>
      </c>
      <c r="JI94" s="25">
        <v>135</v>
      </c>
      <c r="JJ94" s="25">
        <v>13</v>
      </c>
      <c r="JK94" s="25">
        <v>974</v>
      </c>
      <c r="JL94" s="25">
        <v>51</v>
      </c>
      <c r="JM94" s="25">
        <v>4075</v>
      </c>
      <c r="JN94" s="25">
        <v>293</v>
      </c>
      <c r="JO94" s="25">
        <v>3964</v>
      </c>
      <c r="JP94" s="25">
        <v>1569</v>
      </c>
      <c r="JQ94" s="25">
        <v>26686</v>
      </c>
      <c r="JR94" s="25">
        <v>7956</v>
      </c>
      <c r="JS94" s="25">
        <v>14755</v>
      </c>
      <c r="JT94" s="25">
        <v>2014</v>
      </c>
      <c r="JU94" s="25">
        <v>2197</v>
      </c>
      <c r="JV94" s="25">
        <v>22511</v>
      </c>
      <c r="JW94" s="25">
        <v>14987</v>
      </c>
      <c r="JX94" s="25">
        <v>524</v>
      </c>
      <c r="JY94" s="25">
        <v>1473</v>
      </c>
      <c r="JZ94" s="25">
        <v>24593</v>
      </c>
      <c r="KA94" s="25">
        <v>8960</v>
      </c>
      <c r="KB94" s="25">
        <v>1995</v>
      </c>
      <c r="KC94" s="25">
        <v>1504</v>
      </c>
      <c r="KD94" s="25">
        <v>2210</v>
      </c>
      <c r="KE94" s="25">
        <v>21951</v>
      </c>
      <c r="KF94" s="25">
        <v>770</v>
      </c>
      <c r="KG94" s="25">
        <v>10032</v>
      </c>
      <c r="KH94" s="25">
        <v>29918</v>
      </c>
      <c r="KI94" s="25">
        <v>28059</v>
      </c>
      <c r="KJ94" s="25">
        <v>1809</v>
      </c>
      <c r="KK94" s="25">
        <v>3360</v>
      </c>
      <c r="KL94" s="25">
        <v>4791</v>
      </c>
      <c r="KM94" s="25">
        <v>404</v>
      </c>
      <c r="KN94" s="25">
        <v>901</v>
      </c>
      <c r="KO94" s="25">
        <v>3211</v>
      </c>
      <c r="KP94" s="25">
        <v>1139</v>
      </c>
      <c r="KQ94" s="25">
        <v>71030</v>
      </c>
      <c r="KR94" s="25">
        <v>1484</v>
      </c>
      <c r="KS94" s="25">
        <v>214454</v>
      </c>
      <c r="KT94" s="25">
        <v>5340</v>
      </c>
      <c r="KU94" s="25">
        <v>365</v>
      </c>
      <c r="KV94" s="25">
        <v>7794</v>
      </c>
      <c r="KW94" s="25">
        <v>2263</v>
      </c>
      <c r="KX94" s="25">
        <v>1663</v>
      </c>
      <c r="KY94" s="25">
        <v>26753</v>
      </c>
      <c r="KZ94" s="25">
        <v>3251</v>
      </c>
      <c r="LA94" s="25">
        <v>3656</v>
      </c>
      <c r="LB94" s="25">
        <v>1168</v>
      </c>
      <c r="LC94" s="25">
        <v>5827</v>
      </c>
      <c r="LD94" s="25">
        <v>15907</v>
      </c>
      <c r="LE94" s="25">
        <v>2548</v>
      </c>
      <c r="LF94" s="25">
        <v>759</v>
      </c>
      <c r="LG94" s="25">
        <v>6500</v>
      </c>
      <c r="LH94" s="25">
        <v>10942</v>
      </c>
      <c r="LI94" s="25">
        <v>702</v>
      </c>
      <c r="LJ94" s="25">
        <v>3721</v>
      </c>
      <c r="LK94" s="25">
        <v>287</v>
      </c>
      <c r="LL94" s="25">
        <v>49</v>
      </c>
      <c r="LM94" s="25">
        <v>103</v>
      </c>
      <c r="LN94" s="278">
        <f ca="1">$A94 - TST!Sweden100dt + 1</f>
        <v>40</v>
      </c>
      <c r="LO94" s="20">
        <f ca="1">INDEX(OFFSET(TST!HeadRow,ROW()-ROW(TST!HeadRow),0,1,COLUMNS(TST!HeadRow)),1,MATCH(LO$5,TST!HeadRow,0))/LO$8</f>
        <v>11658.846529814273</v>
      </c>
      <c r="LP94" s="278">
        <f ca="1">$A94 - TST!Spain100dt + 1</f>
        <v>40</v>
      </c>
      <c r="LQ94" s="20">
        <f ca="1">INDEX(OFFSET(TST!HeadRow,ROW()-ROW(TST!HeadRow),0,1,COLUMNS(TST!HeadRow)),1,MATCH(LQ$5,TST!HeadRow,0))/LQ$8</f>
        <v>37844.908393694081</v>
      </c>
      <c r="LR94" s="285">
        <f ca="1">$A94 - TST!Victoria100dt + 1</f>
        <v>31</v>
      </c>
      <c r="LS94" s="20">
        <f ca="1">INDEX(OFFSET(TST!HeadRow,ROW()-ROW(TST!HeadRow),0,1,COLUMNS(TST!HeadRow)),1,MATCH(LS$5,TST!HeadRow,0))/LS$8</f>
        <v>1959.571579423744</v>
      </c>
      <c r="LT94" s="278">
        <f ca="1">$A94 - TST!Iran100dt + 1</f>
        <v>46</v>
      </c>
      <c r="LU94" s="20">
        <f ca="1">INDEX(OFFSET(TST!HeadRow,ROW()-ROW(TST!HeadRow),0,1,COLUMNS(TST!HeadRow)),1,MATCH(LU$5,TST!HeadRow,0))/LU$8</f>
        <v>9118.5704224511483</v>
      </c>
      <c r="LV94" s="278">
        <f ca="1">$A94 - TST!Japan100dt + 1</f>
        <v>22</v>
      </c>
      <c r="LW94" s="20">
        <f ca="1">INDEX(OFFSET(TST!HeadRow,ROW()-ROW(TST!HeadRow),0,1,COLUMNS(TST!HeadRow)),1,MATCH(LW$5,TST!HeadRow,0))/LW$8</f>
        <v>640.0419589383373</v>
      </c>
      <c r="LX94" s="278">
        <f ca="1">$A94 - TST!Queensland100dt + 1</f>
        <v>32</v>
      </c>
      <c r="LY94" s="20">
        <f ca="1">INDEX(OFFSET(TST!HeadRow,ROW()-ROW(TST!HeadRow),0,1,COLUMNS(TST!HeadRow)),1,MATCH(LY$5,TST!HeadRow,0))/LY$8</f>
        <v>1952.9069870867693</v>
      </c>
      <c r="LZ94" s="278">
        <f ca="1">$A94 - TST!Tasmania100dt + 1</f>
        <v>32</v>
      </c>
      <c r="MA94" s="20">
        <f ca="1">INDEX(OFFSET(TST!HeadRow,ROW()-ROW(TST!HeadRow),0,1,COLUMNS(TST!HeadRow)),1,MATCH(MA$5,TST!HeadRow,0))/MA$8</f>
        <v>3203.8834951456311</v>
      </c>
      <c r="MB94" s="278">
        <f ca="1">$A94 - TST!SouthAustralia100dt + 1</f>
        <v>33</v>
      </c>
      <c r="MC94" s="20">
        <f ca="1">INDEX(OFFSET(TST!HeadRow,ROW()-ROW(TST!HeadRow),0,1,COLUMNS(TST!HeadRow)),1,MATCH(MC$5,TST!HeadRow,0))/MC$8</f>
        <v>2592.8143712574847</v>
      </c>
      <c r="MD94" s="278">
        <f ca="1">$A94 - TST!AustralianCapitalTerritory100dt + 1</f>
        <v>27</v>
      </c>
      <c r="ME94" s="20">
        <f ca="1">INDEX(OFFSET(TST!HeadRow,ROW()-ROW(TST!HeadRow),0,1,COLUMNS(TST!HeadRow)),1,MATCH(ME$5,TST!HeadRow,0))/ME$8</f>
        <v>2406.2047376536002</v>
      </c>
      <c r="MF94" s="278">
        <f ca="1">$A94 - TST!NorthernTerritory100dt + 1</f>
        <v>27</v>
      </c>
      <c r="MG94" s="20">
        <f ca="1">INDEX(OFFSET(TST!HeadRow,ROW()-ROW(TST!HeadRow),0,1,COLUMNS(TST!HeadRow)),1,MATCH(MG$5,TST!HeadRow,0))/MG$8</f>
        <v>1321.0974545282972</v>
      </c>
      <c r="MH94" s="278">
        <f ca="1">$A94 - TST!WesternAustralia100dt + 1</f>
        <v>31</v>
      </c>
      <c r="MI94" s="20">
        <f ca="1">INDEX(OFFSET(TST!HeadRow,ROW()-ROW(TST!HeadRow),0,1,COLUMNS(TST!HeadRow)),1,MATCH(MI$5,TST!HeadRow,0))/MI$8</f>
        <v>2035.5349555813054</v>
      </c>
      <c r="MJ94" s="278">
        <f ca="1">$A94 - TST!Germany100dt + 1</f>
        <v>39</v>
      </c>
      <c r="MK94" s="20">
        <f ca="1">INDEX(OFFSET(TST!HeadRow,ROW()-ROW(TST!HeadRow),0,1,COLUMNS(TST!HeadRow)),1,MATCH(MK$5,TST!HeadRow,0))/MK$8</f>
        <v>16231.390026499639</v>
      </c>
      <c r="ML94" s="278">
        <f ca="1">$A94 - TST!Denmark100dt + 1</f>
        <v>38</v>
      </c>
      <c r="MM94" s="20">
        <f ca="1">INDEX(OFFSET(TST!HeadRow,ROW()-ROW(TST!HeadRow),0,1,COLUMNS(TST!HeadRow)),1,MATCH(MM$5,TST!HeadRow,0))/MM$8</f>
        <v>11507.061660351361</v>
      </c>
      <c r="MN94" s="278">
        <f ca="1">$A94 - TST!SouthAfrica100dt + 1</f>
        <v>22</v>
      </c>
      <c r="MO94" s="20">
        <f ca="1">INDEX(OFFSET(TST!HeadRow,ROW()-ROW(TST!HeadRow),0,1,COLUMNS(TST!HeadRow)),1,MATCH(MO$5,TST!HeadRow,0))/MO$8</f>
        <v>433.71408791969543</v>
      </c>
      <c r="MP94" s="278">
        <f ca="1">$A94 - TST!UnitedKingdom100dt + 1</f>
        <v>34</v>
      </c>
      <c r="MQ94" s="20">
        <f ca="1">INDEX(OFFSET(TST!HeadRow,ROW()-ROW(TST!HeadRow),0,1,COLUMNS(TST!HeadRow)),1,MATCH(MQ$5,TST!HeadRow,0))/MQ$8</f>
        <v>14821.794099939794</v>
      </c>
      <c r="MR94" s="278">
        <f ca="1">$A94 - TST!Ireland100dt + 1</f>
        <v>34</v>
      </c>
      <c r="MS94" s="20">
        <f ca="1">INDEX(OFFSET(TST!HeadRow,ROW()-ROW(TST!HeadRow),0,1,COLUMNS(TST!HeadRow)),1,MATCH(MS$5,TST!HeadRow,0))/MS$8</f>
        <v>25606.122448979593</v>
      </c>
      <c r="MT94" s="278">
        <f ca="1">$A94 - TST!Italy100dt + 1</f>
        <v>49</v>
      </c>
      <c r="MU94" s="20">
        <f ca="1">INDEX(OFFSET(TST!HeadRow,ROW()-ROW(TST!HeadRow),0,1,COLUMNS(TST!HeadRow)),1,MATCH(MU$5,TST!HeadRow,0))/MU$8</f>
        <v>27305.116971149873</v>
      </c>
      <c r="MV94" s="278">
        <f ca="1">$A94 - TST!US100dt + 1</f>
        <v>32</v>
      </c>
      <c r="MW94" s="20">
        <f ca="1">INDEX(OFFSET(TST!HeadRow,ROW()-ROW(TST!HeadRow),0,1,COLUMNS(TST!HeadRow)),1,MATCH(MW$5,TST!HeadRow,0))/MW$8</f>
        <v>19328.565339082936</v>
      </c>
      <c r="MX94" s="278">
        <f ca="1">$A94 - TST!AustraliaSum100dt + 1</f>
        <v>32</v>
      </c>
      <c r="MY94" s="366">
        <f t="shared" si="9"/>
        <v>2539.0316984702727</v>
      </c>
      <c r="MZ94" s="278">
        <f ca="1">$A94 - TST!NewSouthWales100dt + 1</f>
        <v>34</v>
      </c>
      <c r="NA94" s="366">
        <f ca="1">INDEX(OFFSET(TST!HeadRow,ROW()-ROW(TST!HeadRow),0,1,COLUMNS(TST!HeadRow)),1,MATCH(NA$5,TST!HeadRow,0))/NA$8</f>
        <v>3571.7821782178216</v>
      </c>
      <c r="NB94" s="278">
        <f ca="1">$A94 - TST!Taiwan100dt + 1</f>
        <v>21</v>
      </c>
      <c r="NC94" s="366">
        <f ca="1">INDEX(OFFSET(TST!HeadRow,ROW()-ROW(TST!HeadRow),0,1,COLUMNS(TST!HeadRow)),1,MATCH(NC$5,TST!HeadRow,0))/NC$8</f>
        <v>165.91562195130044</v>
      </c>
      <c r="ND94" s="20">
        <f ca="1">$A94 - TST!Hubei100dt + 1</f>
        <v>82</v>
      </c>
      <c r="NE94" s="20">
        <f ca="1">INDEX(OFFSET(TST!HeadRow,ROW()-ROW(TST!HeadRow),0,1,COLUMNS(TST!HeadRow)),1,MATCH(NE$5,TST!HeadRow,0))/NE$8</f>
        <v>11590.25641025641</v>
      </c>
      <c r="NF94" s="20">
        <f ca="1">$A94 - TST!HongKong100dt + 1</f>
        <v>52</v>
      </c>
      <c r="NG94" s="20">
        <f ca="1">INDEX(OFFSET(TST!HeadRow,ROW()-ROW(TST!HeadRow),0,1,COLUMNS(TST!HeadRow)),1,MATCH(NG$5,TST!HeadRow,0))/NG$8</f>
        <v>1364.9174607435243</v>
      </c>
    </row>
    <row r="95" spans="1:371" x14ac:dyDescent="0.25">
      <c r="A95" s="156">
        <v>43937</v>
      </c>
      <c r="B95" s="25">
        <v>840</v>
      </c>
      <c r="C95" s="25">
        <v>518</v>
      </c>
      <c r="D95" s="25">
        <v>2268</v>
      </c>
      <c r="E95" s="25">
        <v>673</v>
      </c>
      <c r="F95" s="25">
        <v>19</v>
      </c>
      <c r="G95" s="25">
        <v>23</v>
      </c>
      <c r="H95" s="25">
        <v>2571</v>
      </c>
      <c r="I95" s="25">
        <v>1159</v>
      </c>
      <c r="J95" s="25">
        <v>103</v>
      </c>
      <c r="K95" s="292">
        <v>2897</v>
      </c>
      <c r="L95" s="25">
        <v>28</v>
      </c>
      <c r="M95" s="289">
        <v>1001</v>
      </c>
      <c r="N95" s="25">
        <v>433</v>
      </c>
      <c r="O95" s="40">
        <v>169</v>
      </c>
      <c r="P95" s="286">
        <v>1299</v>
      </c>
      <c r="Q95" s="25">
        <v>532</v>
      </c>
      <c r="R95" s="25">
        <v>14476</v>
      </c>
      <c r="S95" s="25">
        <v>1283</v>
      </c>
      <c r="T95" s="25">
        <v>53</v>
      </c>
      <c r="U95" s="25">
        <v>1700</v>
      </c>
      <c r="V95" s="25">
        <v>1572</v>
      </c>
      <c r="W95" s="25">
        <v>75</v>
      </c>
      <c r="X95" s="25">
        <v>4204</v>
      </c>
      <c r="Y95" s="25">
        <v>34809</v>
      </c>
      <c r="Z95" s="25">
        <v>35</v>
      </c>
      <c r="AA95" s="25">
        <v>5</v>
      </c>
      <c r="AB95" s="25">
        <v>441</v>
      </c>
      <c r="AC95" s="25">
        <v>1167</v>
      </c>
      <c r="AD95" s="25">
        <v>30425</v>
      </c>
      <c r="AE95" s="25">
        <v>136</v>
      </c>
      <c r="AF95" s="25">
        <v>800</v>
      </c>
      <c r="AG95" s="25">
        <v>546</v>
      </c>
      <c r="AH95" s="25">
        <v>56</v>
      </c>
      <c r="AI95" s="25">
        <v>122</v>
      </c>
      <c r="AJ95" s="25">
        <v>996</v>
      </c>
      <c r="AK95" s="25">
        <v>1996</v>
      </c>
      <c r="AL95" s="25">
        <v>1561</v>
      </c>
      <c r="AM95" s="25">
        <v>13</v>
      </c>
      <c r="AN95" s="25">
        <v>250</v>
      </c>
      <c r="AO95" s="25">
        <v>117</v>
      </c>
      <c r="AP95" s="25">
        <v>252</v>
      </c>
      <c r="AQ95" s="25">
        <v>579</v>
      </c>
      <c r="AR95" s="25">
        <v>9840</v>
      </c>
      <c r="AS95" s="25">
        <v>26</v>
      </c>
      <c r="AT95" s="25">
        <v>15857</v>
      </c>
      <c r="AU95" s="25">
        <v>305</v>
      </c>
      <c r="AV95" s="25">
        <v>12</v>
      </c>
      <c r="AW95" s="25">
        <v>27</v>
      </c>
      <c r="AX95" s="25">
        <v>8807</v>
      </c>
      <c r="AY95" s="25">
        <v>991</v>
      </c>
      <c r="AZ95" s="25">
        <v>593</v>
      </c>
      <c r="BA95" s="25">
        <v>579</v>
      </c>
      <c r="BB95" s="25">
        <v>353</v>
      </c>
      <c r="BC95" s="25">
        <v>139</v>
      </c>
      <c r="BD95" s="25">
        <v>1571</v>
      </c>
      <c r="BE95" s="25">
        <v>254</v>
      </c>
      <c r="BF95" s="25">
        <v>146</v>
      </c>
      <c r="BG95" s="25">
        <v>168</v>
      </c>
      <c r="BH95" s="25">
        <v>328</v>
      </c>
      <c r="BI95" s="25">
        <v>861</v>
      </c>
      <c r="BJ95" s="25">
        <v>1276</v>
      </c>
      <c r="BK95" s="25">
        <v>1017</v>
      </c>
      <c r="BL95" s="25">
        <v>67803</v>
      </c>
      <c r="BM95" s="25">
        <v>1019</v>
      </c>
      <c r="BN95" s="25">
        <v>193</v>
      </c>
      <c r="BO95" s="25">
        <v>653</v>
      </c>
      <c r="BP95" s="25">
        <v>937</v>
      </c>
      <c r="BQ95" s="25">
        <v>102</v>
      </c>
      <c r="BR95" s="25">
        <v>145</v>
      </c>
      <c r="BS95" s="25">
        <v>45</v>
      </c>
      <c r="BT95" s="25">
        <v>75</v>
      </c>
      <c r="BU95" s="25">
        <v>18</v>
      </c>
      <c r="BV95" s="25">
        <v>256</v>
      </c>
      <c r="BW95" s="25">
        <v>784</v>
      </c>
      <c r="BX95" s="25">
        <v>628</v>
      </c>
      <c r="BY95" s="25">
        <v>194</v>
      </c>
      <c r="BZ95" s="25">
        <v>560</v>
      </c>
      <c r="CA95" s="25">
        <v>186</v>
      </c>
      <c r="CB95" s="25">
        <v>1</v>
      </c>
      <c r="CC95" s="25">
        <v>76</v>
      </c>
      <c r="CD95" s="25">
        <v>184</v>
      </c>
      <c r="CE95" s="25">
        <v>1268</v>
      </c>
      <c r="CF95" s="25">
        <v>3233</v>
      </c>
      <c r="CG95" s="25">
        <v>117</v>
      </c>
      <c r="CH95" s="25">
        <v>267</v>
      </c>
      <c r="CI95" s="25">
        <v>642</v>
      </c>
      <c r="CJ95" s="25">
        <v>654</v>
      </c>
      <c r="CK95" s="25">
        <v>1791</v>
      </c>
      <c r="CL95" s="25">
        <v>712</v>
      </c>
      <c r="CM95" s="25">
        <v>862</v>
      </c>
      <c r="CN95" s="25">
        <v>735</v>
      </c>
      <c r="CO95" s="25">
        <v>6433</v>
      </c>
      <c r="CP95" s="25">
        <v>184</v>
      </c>
      <c r="CQ95" s="25">
        <v>11</v>
      </c>
      <c r="CR95" s="25">
        <v>6879</v>
      </c>
      <c r="CS95" s="25">
        <v>591</v>
      </c>
      <c r="CT95" s="25">
        <v>3755</v>
      </c>
      <c r="CU95" s="25">
        <v>8225</v>
      </c>
      <c r="CV95" s="25">
        <v>2673</v>
      </c>
      <c r="CW95" s="25">
        <v>164</v>
      </c>
      <c r="CX95" s="25">
        <v>51</v>
      </c>
      <c r="CY95" s="25">
        <v>35</v>
      </c>
      <c r="CZ95" s="25">
        <v>1434</v>
      </c>
      <c r="DA95" s="25">
        <v>16</v>
      </c>
      <c r="DB95" s="25">
        <v>92</v>
      </c>
      <c r="DC95" s="25">
        <v>17</v>
      </c>
      <c r="DD95" s="25">
        <v>3369</v>
      </c>
      <c r="DE95" s="25">
        <v>86</v>
      </c>
      <c r="DF95" s="25">
        <v>55</v>
      </c>
      <c r="DG95" s="25">
        <v>145</v>
      </c>
      <c r="DH95" s="25">
        <v>233</v>
      </c>
      <c r="DI95" s="25">
        <v>18</v>
      </c>
      <c r="DJ95" s="25">
        <v>394</v>
      </c>
      <c r="DK95" s="25">
        <v>6</v>
      </c>
      <c r="DL95" s="25">
        <v>35</v>
      </c>
      <c r="DM95" s="25">
        <v>158</v>
      </c>
      <c r="DN95" s="25">
        <v>144944</v>
      </c>
      <c r="DO95" s="25">
        <v>80</v>
      </c>
      <c r="DP95" s="25">
        <v>9</v>
      </c>
      <c r="DQ95" s="25">
        <v>348</v>
      </c>
      <c r="DR95" s="25">
        <v>137698</v>
      </c>
      <c r="DS95" s="25">
        <v>641</v>
      </c>
      <c r="DT95" s="25">
        <v>2207</v>
      </c>
      <c r="DU95" s="25">
        <v>196</v>
      </c>
      <c r="DV95" s="25">
        <v>438</v>
      </c>
      <c r="DW95" s="25">
        <v>55</v>
      </c>
      <c r="DX95" s="25">
        <v>41</v>
      </c>
      <c r="DY95" s="25">
        <v>8</v>
      </c>
      <c r="DZ95" s="25">
        <v>426</v>
      </c>
      <c r="EA95" s="25">
        <v>1652</v>
      </c>
      <c r="EB95" s="25">
        <v>1739</v>
      </c>
      <c r="EC95" s="25">
        <v>13430</v>
      </c>
      <c r="ED95" s="25">
        <v>5516</v>
      </c>
      <c r="EE95" s="25">
        <v>77995</v>
      </c>
      <c r="EF95" s="25">
        <v>1434</v>
      </c>
      <c r="EG95" s="25">
        <v>13271</v>
      </c>
      <c r="EH95" s="25">
        <v>12758</v>
      </c>
      <c r="EI95" s="25">
        <v>168941</v>
      </c>
      <c r="EJ95" s="25">
        <v>143</v>
      </c>
      <c r="EK95" s="25">
        <v>8626</v>
      </c>
      <c r="EL95" s="25">
        <v>402</v>
      </c>
      <c r="EM95" s="25">
        <v>1402</v>
      </c>
      <c r="EN95" s="25">
        <v>234</v>
      </c>
      <c r="EO95" s="25">
        <v>10613</v>
      </c>
      <c r="EP95" s="25">
        <v>1524</v>
      </c>
      <c r="EQ95" s="25">
        <v>466</v>
      </c>
      <c r="ER95" s="25">
        <v>675</v>
      </c>
      <c r="ES95" s="25">
        <v>663</v>
      </c>
      <c r="ET95" s="25">
        <v>59</v>
      </c>
      <c r="EU95" s="25">
        <v>79</v>
      </c>
      <c r="EV95" s="25">
        <v>1128</v>
      </c>
      <c r="EW95" s="25">
        <v>3444</v>
      </c>
      <c r="EX95" s="25">
        <v>111</v>
      </c>
      <c r="EY95" s="25">
        <v>5182</v>
      </c>
      <c r="EZ95" s="25">
        <v>25</v>
      </c>
      <c r="FA95" s="25">
        <v>412</v>
      </c>
      <c r="FB95" s="25">
        <v>7</v>
      </c>
      <c r="FC95" s="25">
        <v>324</v>
      </c>
      <c r="FD95" s="25">
        <v>6297</v>
      </c>
      <c r="FE95" s="25">
        <v>2154</v>
      </c>
      <c r="FF95" s="25">
        <v>93</v>
      </c>
      <c r="FG95" s="25">
        <v>31</v>
      </c>
      <c r="FH95" s="25">
        <v>303</v>
      </c>
      <c r="FI95" s="25">
        <v>2283</v>
      </c>
      <c r="FJ95" s="25">
        <v>16</v>
      </c>
      <c r="FK95" s="25">
        <v>16</v>
      </c>
      <c r="FL95" s="25">
        <v>95</v>
      </c>
      <c r="FM95" s="25">
        <v>14</v>
      </c>
      <c r="FN95" s="25">
        <v>57</v>
      </c>
      <c r="FO95" s="25">
        <v>29214</v>
      </c>
      <c r="FP95" s="25">
        <v>1401</v>
      </c>
      <c r="FQ95" s="25">
        <v>9</v>
      </c>
      <c r="FR95" s="25">
        <v>584</v>
      </c>
      <c r="FS95" s="25">
        <v>442</v>
      </c>
      <c r="FT95" s="25">
        <v>1081</v>
      </c>
      <c r="FU95" s="25">
        <v>6896</v>
      </c>
      <c r="FV95" s="25">
        <v>1019</v>
      </c>
      <c r="FW95" s="25">
        <v>6919</v>
      </c>
      <c r="FX95" s="25">
        <v>3751</v>
      </c>
      <c r="FY95" s="25">
        <v>7</v>
      </c>
      <c r="FZ95" s="25">
        <v>174</v>
      </c>
      <c r="GA95" s="25">
        <v>12491</v>
      </c>
      <c r="GB95" s="25">
        <v>5660</v>
      </c>
      <c r="GC95" s="25">
        <v>7918</v>
      </c>
      <c r="GD95" s="25">
        <v>18841</v>
      </c>
      <c r="GE95" s="25">
        <v>4103</v>
      </c>
      <c r="GF95" s="25">
        <v>7707</v>
      </c>
      <c r="GG95" s="25">
        <v>27938</v>
      </c>
      <c r="GH95" s="25">
        <v>138</v>
      </c>
      <c r="GI95" s="25">
        <v>15</v>
      </c>
      <c r="GJ95" s="25">
        <v>12</v>
      </c>
      <c r="GK95" s="25">
        <v>426</v>
      </c>
      <c r="GL95" s="25">
        <v>6380</v>
      </c>
      <c r="GM95" s="25">
        <v>335</v>
      </c>
      <c r="GN95" s="25">
        <v>5318</v>
      </c>
      <c r="GO95" s="25">
        <v>11</v>
      </c>
      <c r="GP95" s="25">
        <v>4427</v>
      </c>
      <c r="GQ95" s="25">
        <v>977</v>
      </c>
      <c r="GR95" s="25">
        <v>1268</v>
      </c>
      <c r="GS95" s="25">
        <v>80</v>
      </c>
      <c r="GT95" s="25">
        <v>2605</v>
      </c>
      <c r="GU95" s="25">
        <v>184948</v>
      </c>
      <c r="GV95" s="25">
        <v>238</v>
      </c>
      <c r="GW95" s="25">
        <v>32</v>
      </c>
      <c r="GX95" s="25">
        <v>10</v>
      </c>
      <c r="GY95" s="25">
        <v>12540</v>
      </c>
      <c r="GZ95" s="25">
        <v>26732</v>
      </c>
      <c r="HA95" s="25">
        <v>395</v>
      </c>
      <c r="HB95" s="25">
        <v>94</v>
      </c>
      <c r="HC95" s="25">
        <v>2672</v>
      </c>
      <c r="HD95" s="25">
        <v>81</v>
      </c>
      <c r="HE95" s="25">
        <v>114</v>
      </c>
      <c r="HF95" s="25">
        <v>822</v>
      </c>
      <c r="HG95" s="25">
        <v>74193</v>
      </c>
      <c r="HH95" s="25">
        <v>55</v>
      </c>
      <c r="HI95" s="25">
        <v>4161</v>
      </c>
      <c r="HJ95" s="25">
        <v>5825</v>
      </c>
      <c r="HK95" s="25">
        <v>81</v>
      </c>
      <c r="HL95" s="25">
        <v>60</v>
      </c>
      <c r="HM95" s="25">
        <v>457</v>
      </c>
      <c r="HN95" s="25">
        <v>131</v>
      </c>
      <c r="HO95" s="25">
        <v>284</v>
      </c>
      <c r="HP95" s="25">
        <v>11</v>
      </c>
      <c r="HQ95" s="25">
        <v>103093</v>
      </c>
      <c r="HR95" s="25">
        <v>502</v>
      </c>
      <c r="HS95" s="25">
        <v>667592</v>
      </c>
      <c r="HT95" s="25">
        <v>1349</v>
      </c>
      <c r="HU95" s="25">
        <v>204</v>
      </c>
      <c r="HV95" s="25">
        <v>268</v>
      </c>
      <c r="HW95" s="25">
        <v>48</v>
      </c>
      <c r="HX95" s="25">
        <v>23</v>
      </c>
      <c r="HY95" s="25">
        <v>0</v>
      </c>
      <c r="HZ95" s="25">
        <v>16</v>
      </c>
      <c r="IA95" s="25">
        <v>14</v>
      </c>
      <c r="IB95" s="25">
        <v>31</v>
      </c>
      <c r="IC95" s="25">
        <v>33</v>
      </c>
      <c r="ID95" s="25">
        <v>18</v>
      </c>
      <c r="IE95" s="25">
        <v>18</v>
      </c>
      <c r="IF95" s="25">
        <v>0</v>
      </c>
      <c r="IG95" s="25">
        <v>19</v>
      </c>
      <c r="IH95" s="25">
        <v>49</v>
      </c>
      <c r="II95" s="25">
        <v>374</v>
      </c>
      <c r="IJ95" s="25">
        <v>43</v>
      </c>
      <c r="IK95" s="25">
        <v>171</v>
      </c>
      <c r="IL95" s="25">
        <v>14</v>
      </c>
      <c r="IM95" s="25">
        <v>5</v>
      </c>
      <c r="IN95" s="25">
        <v>8</v>
      </c>
      <c r="IO95" s="25">
        <v>449</v>
      </c>
      <c r="IP95" s="25">
        <v>85</v>
      </c>
      <c r="IQ95" s="25">
        <v>3</v>
      </c>
      <c r="IR95" s="25">
        <v>3</v>
      </c>
      <c r="IS95" s="25">
        <v>11</v>
      </c>
      <c r="IT95" s="25">
        <v>9</v>
      </c>
      <c r="IU95" s="25">
        <v>15</v>
      </c>
      <c r="IV95" s="25">
        <v>5</v>
      </c>
      <c r="IW95" s="25">
        <v>15</v>
      </c>
      <c r="IX95" s="25">
        <v>3</v>
      </c>
      <c r="IY95" s="25">
        <v>16</v>
      </c>
      <c r="IZ95" s="25">
        <v>11</v>
      </c>
      <c r="JA95" s="25">
        <v>1</v>
      </c>
      <c r="JB95" s="25">
        <v>4</v>
      </c>
      <c r="JC95" s="25">
        <v>6</v>
      </c>
      <c r="JD95" s="25">
        <v>4</v>
      </c>
      <c r="JE95" s="25">
        <v>1</v>
      </c>
      <c r="JF95" s="25">
        <v>0</v>
      </c>
      <c r="JG95" s="25">
        <v>0</v>
      </c>
      <c r="JH95" s="25">
        <v>0</v>
      </c>
      <c r="JI95" s="25">
        <v>135</v>
      </c>
      <c r="JJ95" s="25">
        <v>13</v>
      </c>
      <c r="JK95" s="25">
        <v>1043</v>
      </c>
      <c r="JL95" s="25">
        <v>51</v>
      </c>
      <c r="JM95" s="25">
        <v>4345</v>
      </c>
      <c r="JN95" s="25">
        <v>300</v>
      </c>
      <c r="JO95" s="25">
        <v>4237</v>
      </c>
      <c r="JP95" s="25">
        <v>1620</v>
      </c>
      <c r="JQ95" s="25">
        <v>27677</v>
      </c>
      <c r="JR95" s="25">
        <v>8286</v>
      </c>
      <c r="JS95" s="25">
        <v>15884</v>
      </c>
      <c r="JT95" s="25">
        <v>2070</v>
      </c>
      <c r="JU95" s="25">
        <v>2350</v>
      </c>
      <c r="JV95" s="25">
        <v>23343</v>
      </c>
      <c r="JW95" s="25">
        <v>15669</v>
      </c>
      <c r="JX95" s="25">
        <v>530</v>
      </c>
      <c r="JY95" s="25">
        <v>1587</v>
      </c>
      <c r="JZ95" s="25">
        <v>25734</v>
      </c>
      <c r="KA95" s="25">
        <v>9542</v>
      </c>
      <c r="KB95" s="25">
        <v>2141</v>
      </c>
      <c r="KC95" s="25">
        <v>1615</v>
      </c>
      <c r="KD95" s="25">
        <v>2435</v>
      </c>
      <c r="KE95" s="25">
        <v>22532</v>
      </c>
      <c r="KF95" s="25">
        <v>796</v>
      </c>
      <c r="KG95" s="25">
        <v>10784</v>
      </c>
      <c r="KH95" s="25">
        <v>32181</v>
      </c>
      <c r="KI95" s="25">
        <v>28809</v>
      </c>
      <c r="KJ95" s="25">
        <v>1809</v>
      </c>
      <c r="KK95" s="25">
        <v>3624</v>
      </c>
      <c r="KL95" s="25">
        <v>5174</v>
      </c>
      <c r="KM95" s="25">
        <v>415</v>
      </c>
      <c r="KN95" s="25">
        <v>952</v>
      </c>
      <c r="KO95" s="25">
        <v>3214</v>
      </c>
      <c r="KP95" s="25">
        <v>1139</v>
      </c>
      <c r="KQ95" s="25">
        <v>75317</v>
      </c>
      <c r="KR95" s="25">
        <v>1484</v>
      </c>
      <c r="KS95" s="25">
        <v>223691</v>
      </c>
      <c r="KT95" s="25">
        <v>5639</v>
      </c>
      <c r="KU95" s="25">
        <v>393</v>
      </c>
      <c r="KV95" s="25">
        <v>8414</v>
      </c>
      <c r="KW95" s="25">
        <v>2357</v>
      </c>
      <c r="KX95" s="25">
        <v>1736</v>
      </c>
      <c r="KY95" s="25">
        <v>28258</v>
      </c>
      <c r="KZ95" s="25">
        <v>3529</v>
      </c>
      <c r="LA95" s="25">
        <v>3931</v>
      </c>
      <c r="LB95" s="25">
        <v>1311</v>
      </c>
      <c r="LC95" s="25">
        <v>6166</v>
      </c>
      <c r="LD95" s="25">
        <v>16876</v>
      </c>
      <c r="LE95" s="25">
        <v>2683</v>
      </c>
      <c r="LF95" s="25">
        <v>774</v>
      </c>
      <c r="LG95" s="25">
        <v>6889</v>
      </c>
      <c r="LH95" s="25">
        <v>11057</v>
      </c>
      <c r="LI95" s="25">
        <v>728</v>
      </c>
      <c r="LJ95" s="25">
        <v>3875</v>
      </c>
      <c r="LK95" s="25">
        <v>296</v>
      </c>
      <c r="LL95" s="25">
        <v>49</v>
      </c>
      <c r="LM95" s="25">
        <v>103</v>
      </c>
      <c r="LN95" s="278">
        <f ca="1">$A95 - TST!Sweden100dt + 1</f>
        <v>41</v>
      </c>
      <c r="LO95" s="20">
        <f ca="1">INDEX(OFFSET(TST!HeadRow,ROW()-ROW(TST!HeadRow),0,1,COLUMNS(TST!HeadRow)),1,MATCH(LO$5,TST!HeadRow,0))/LO$8</f>
        <v>12258.064516129034</v>
      </c>
      <c r="LP95" s="278">
        <f ca="1">$A95 - TST!Spain100dt + 1</f>
        <v>41</v>
      </c>
      <c r="LQ95" s="20">
        <f ca="1">INDEX(OFFSET(TST!HeadRow,ROW()-ROW(TST!HeadRow),0,1,COLUMNS(TST!HeadRow)),1,MATCH(LQ$5,TST!HeadRow,0))/LQ$8</f>
        <v>39400.9373668513</v>
      </c>
      <c r="LR95" s="285">
        <f ca="1">$A95 - TST!Victoria100dt + 1</f>
        <v>32</v>
      </c>
      <c r="LS95" s="20">
        <f ca="1">INDEX(OFFSET(TST!HeadRow,ROW()-ROW(TST!HeadRow),0,1,COLUMNS(TST!HeadRow)),1,MATCH(LS$5,TST!HeadRow,0))/LS$8</f>
        <v>1959.571579423744</v>
      </c>
      <c r="LT95" s="278">
        <f ca="1">$A95 - TST!Iran100dt + 1</f>
        <v>47</v>
      </c>
      <c r="LU95" s="20">
        <f ca="1">INDEX(OFFSET(TST!HeadRow,ROW()-ROW(TST!HeadRow),0,1,COLUMNS(TST!HeadRow)),1,MATCH(LU$5,TST!HeadRow,0))/LU$8</f>
        <v>9310.2789681639661</v>
      </c>
      <c r="LV95" s="278">
        <f ca="1">$A95 - TST!Japan100dt + 1</f>
        <v>23</v>
      </c>
      <c r="LW95" s="20">
        <f ca="1">INDEX(OFFSET(TST!HeadRow,ROW()-ROW(TST!HeadRow),0,1,COLUMNS(TST!HeadRow)),1,MATCH(LW$5,TST!HeadRow,0))/LW$8</f>
        <v>681.6051775064318</v>
      </c>
      <c r="LX95" s="278">
        <f ca="1">$A95 - TST!Queensland100dt + 1</f>
        <v>33</v>
      </c>
      <c r="LY95" s="20">
        <f ca="1">INDEX(OFFSET(TST!HeadRow,ROW()-ROW(TST!HeadRow),0,1,COLUMNS(TST!HeadRow)),1,MATCH(LY$5,TST!HeadRow,0))/LY$8</f>
        <v>1956.8167107846407</v>
      </c>
      <c r="LZ95" s="278">
        <f ca="1">$A95 - TST!Tasmania100dt + 1</f>
        <v>33</v>
      </c>
      <c r="MA95" s="20">
        <f ca="1">INDEX(OFFSET(TST!HeadRow,ROW()-ROW(TST!HeadRow),0,1,COLUMNS(TST!HeadRow)),1,MATCH(MA$5,TST!HeadRow,0))/MA$8</f>
        <v>3281.5533980582527</v>
      </c>
      <c r="MB95" s="278">
        <f ca="1">$A95 - TST!SouthAustralia100dt + 1</f>
        <v>34</v>
      </c>
      <c r="MC95" s="20">
        <f ca="1">INDEX(OFFSET(TST!HeadRow,ROW()-ROW(TST!HeadRow),0,1,COLUMNS(TST!HeadRow)),1,MATCH(MC$5,TST!HeadRow,0))/MC$8</f>
        <v>2592.8143712574847</v>
      </c>
      <c r="MD95" s="278">
        <f ca="1">$A95 - TST!AustralianCapitalTerritory100dt + 1</f>
        <v>28</v>
      </c>
      <c r="ME95" s="20">
        <f ca="1">INDEX(OFFSET(TST!HeadRow,ROW()-ROW(TST!HeadRow),0,1,COLUMNS(TST!HeadRow)),1,MATCH(ME$5,TST!HeadRow,0))/ME$8</f>
        <v>2406.2047376536002</v>
      </c>
      <c r="MF95" s="278">
        <f ca="1">$A95 - TST!NorthernTerritory100dt + 1</f>
        <v>28</v>
      </c>
      <c r="MG95" s="20">
        <f ca="1">INDEX(OFFSET(TST!HeadRow,ROW()-ROW(TST!HeadRow),0,1,COLUMNS(TST!HeadRow)),1,MATCH(MG$5,TST!HeadRow,0))/MG$8</f>
        <v>1321.0974545282972</v>
      </c>
      <c r="MH95" s="278">
        <f ca="1">$A95 - TST!WesternAustralia100dt + 1</f>
        <v>32</v>
      </c>
      <c r="MI95" s="20">
        <f ca="1">INDEX(OFFSET(TST!HeadRow,ROW()-ROW(TST!HeadRow),0,1,COLUMNS(TST!HeadRow)),1,MATCH(MI$5,TST!HeadRow,0))/MI$8</f>
        <v>2054.8474314407104</v>
      </c>
      <c r="MJ95" s="278">
        <f ca="1">$A95 - TST!Germany100dt + 1</f>
        <v>40</v>
      </c>
      <c r="MK95" s="20">
        <f ca="1">INDEX(OFFSET(TST!HeadRow,ROW()-ROW(TST!HeadRow),0,1,COLUMNS(TST!HeadRow)),1,MATCH(MK$5,TST!HeadRow,0))/MK$8</f>
        <v>16586.123825584196</v>
      </c>
      <c r="ML95" s="278">
        <f ca="1">$A95 - TST!Denmark100dt + 1</f>
        <v>39</v>
      </c>
      <c r="MM95" s="20">
        <f ca="1">INDEX(OFFSET(TST!HeadRow,ROW()-ROW(TST!HeadRow),0,1,COLUMNS(TST!HeadRow)),1,MATCH(MM$5,TST!HeadRow,0))/MM$8</f>
        <v>11848.088184636583</v>
      </c>
      <c r="MN95" s="278">
        <f ca="1">$A95 - TST!SouthAfrica100dt + 1</f>
        <v>23</v>
      </c>
      <c r="MO95" s="20">
        <f ca="1">INDEX(OFFSET(TST!HeadRow,ROW()-ROW(TST!HeadRow),0,1,COLUMNS(TST!HeadRow)),1,MATCH(MO$5,TST!HeadRow,0))/MO$8</f>
        <v>450.84804430598825</v>
      </c>
      <c r="MP95" s="278">
        <f ca="1">$A95 - TST!UnitedKingdom100dt + 1</f>
        <v>35</v>
      </c>
      <c r="MQ95" s="20">
        <f ca="1">INDEX(OFFSET(TST!HeadRow,ROW()-ROW(TST!HeadRow),0,1,COLUMNS(TST!HeadRow)),1,MATCH(MQ$5,TST!HeadRow,0))/MQ$8</f>
        <v>15516.706803130644</v>
      </c>
      <c r="MR95" s="278">
        <f ca="1">$A95 - TST!Ireland100dt + 1</f>
        <v>35</v>
      </c>
      <c r="MS95" s="20">
        <f ca="1">INDEX(OFFSET(TST!HeadRow,ROW()-ROW(TST!HeadRow),0,1,COLUMNS(TST!HeadRow)),1,MATCH(MS$5,TST!HeadRow,0))/MS$8</f>
        <v>27083.673469387755</v>
      </c>
      <c r="MT95" s="278">
        <f ca="1">$A95 - TST!Italy100dt + 1</f>
        <v>50</v>
      </c>
      <c r="MU95" s="20">
        <f ca="1">INDEX(OFFSET(TST!HeadRow,ROW()-ROW(TST!HeadRow),0,1,COLUMNS(TST!HeadRow)),1,MATCH(MU$5,TST!HeadRow,0))/MU$8</f>
        <v>27931.057286930645</v>
      </c>
      <c r="MV95" s="278">
        <f ca="1">$A95 - TST!US100dt + 1</f>
        <v>33</v>
      </c>
      <c r="MW95" s="20">
        <f ca="1">INDEX(OFFSET(TST!HeadRow,ROW()-ROW(TST!HeadRow),0,1,COLUMNS(TST!HeadRow)),1,MATCH(MW$5,TST!HeadRow,0))/MW$8</f>
        <v>20277.513305333629</v>
      </c>
      <c r="MX95" s="278">
        <f ca="1">$A95 - TST!AustraliaSum100dt + 1</f>
        <v>33</v>
      </c>
      <c r="MY95" s="366">
        <f t="shared" si="9"/>
        <v>2547.7054092414446</v>
      </c>
      <c r="MZ95" s="278">
        <f ca="1">$A95 - TST!NewSouthWales100dt + 1</f>
        <v>35</v>
      </c>
      <c r="NA95" s="366">
        <f ca="1">INDEX(OFFSET(TST!HeadRow,ROW()-ROW(TST!HeadRow),0,1,COLUMNS(TST!HeadRow)),1,MATCH(NA$5,TST!HeadRow,0))/NA$8</f>
        <v>3585.3960396039602</v>
      </c>
      <c r="NB95" s="278">
        <f ca="1">$A95 - TST!Taiwan100dt + 1</f>
        <v>22</v>
      </c>
      <c r="NC95" s="366">
        <f ca="1">INDEX(OFFSET(TST!HeadRow,ROW()-ROW(TST!HeadRow),0,1,COLUMNS(TST!HeadRow)),1,MATCH(NC$5,TST!HeadRow,0))/NC$8</f>
        <v>165.91562195130044</v>
      </c>
      <c r="ND95" s="20">
        <f ca="1">$A95 - TST!Hubei100dt + 1</f>
        <v>83</v>
      </c>
      <c r="NE95" s="20">
        <f ca="1">INDEX(OFFSET(TST!HeadRow,ROW()-ROW(TST!HeadRow),0,1,COLUMNS(TST!HeadRow)),1,MATCH(NE$5,TST!HeadRow,0))/NE$8</f>
        <v>11590.25641025641</v>
      </c>
      <c r="NF95" s="20">
        <f ca="1">$A95 - TST!HongKong100dt + 1</f>
        <v>53</v>
      </c>
      <c r="NG95" s="20">
        <f ca="1">INDEX(OFFSET(TST!HeadRow,ROW()-ROW(TST!HeadRow),0,1,COLUMNS(TST!HeadRow)),1,MATCH(NG$5,TST!HeadRow,0))/NG$8</f>
        <v>1364.9174607435243</v>
      </c>
    </row>
    <row r="96" spans="1:371" x14ac:dyDescent="0.25">
      <c r="A96" s="156">
        <v>43938</v>
      </c>
      <c r="B96" s="25">
        <v>906</v>
      </c>
      <c r="C96" s="25">
        <v>539</v>
      </c>
      <c r="D96" s="25">
        <v>2418</v>
      </c>
      <c r="E96" s="25">
        <v>696</v>
      </c>
      <c r="F96" s="25">
        <v>19</v>
      </c>
      <c r="G96" s="25">
        <v>23</v>
      </c>
      <c r="H96" s="25">
        <v>2669</v>
      </c>
      <c r="I96" s="25">
        <v>1201</v>
      </c>
      <c r="J96" s="25">
        <v>103</v>
      </c>
      <c r="K96" s="292">
        <v>2926</v>
      </c>
      <c r="L96" s="25">
        <v>28</v>
      </c>
      <c r="M96" s="289">
        <v>1007</v>
      </c>
      <c r="N96" s="25">
        <v>435</v>
      </c>
      <c r="O96" s="40">
        <v>180</v>
      </c>
      <c r="P96" s="286">
        <v>1302</v>
      </c>
      <c r="Q96" s="25">
        <v>541</v>
      </c>
      <c r="R96" s="25">
        <v>14595</v>
      </c>
      <c r="S96" s="25">
        <v>1340</v>
      </c>
      <c r="T96" s="25">
        <v>54</v>
      </c>
      <c r="U96" s="25">
        <v>1740</v>
      </c>
      <c r="V96" s="25">
        <v>1838</v>
      </c>
      <c r="W96" s="25">
        <v>75</v>
      </c>
      <c r="X96" s="25">
        <v>4779</v>
      </c>
      <c r="Y96" s="25">
        <v>36138</v>
      </c>
      <c r="Z96" s="25">
        <v>35</v>
      </c>
      <c r="AA96" s="25">
        <v>5</v>
      </c>
      <c r="AB96" s="25">
        <v>465</v>
      </c>
      <c r="AC96" s="25">
        <v>1214</v>
      </c>
      <c r="AD96" s="25">
        <v>33682</v>
      </c>
      <c r="AE96" s="25">
        <v>136</v>
      </c>
      <c r="AF96" s="25">
        <v>846</v>
      </c>
      <c r="AG96" s="25">
        <v>557</v>
      </c>
      <c r="AH96" s="25">
        <v>56</v>
      </c>
      <c r="AI96" s="25">
        <v>122</v>
      </c>
      <c r="AJ96" s="25">
        <v>996</v>
      </c>
      <c r="AK96" s="25">
        <v>2397</v>
      </c>
      <c r="AL96" s="25">
        <v>1575</v>
      </c>
      <c r="AM96" s="25">
        <v>13</v>
      </c>
      <c r="AN96" s="25">
        <v>250</v>
      </c>
      <c r="AO96" s="25">
        <v>117</v>
      </c>
      <c r="AP96" s="25">
        <v>256</v>
      </c>
      <c r="AQ96" s="25">
        <v>606</v>
      </c>
      <c r="AR96" s="25">
        <v>10456</v>
      </c>
      <c r="AS96" s="25">
        <v>26</v>
      </c>
      <c r="AT96" s="25">
        <v>16798</v>
      </c>
      <c r="AU96" s="25">
        <v>307</v>
      </c>
      <c r="AV96" s="25">
        <v>12</v>
      </c>
      <c r="AW96" s="25">
        <v>27</v>
      </c>
      <c r="AX96" s="25">
        <v>9252</v>
      </c>
      <c r="AY96" s="25">
        <v>991</v>
      </c>
      <c r="AZ96" s="25">
        <v>593</v>
      </c>
      <c r="BA96" s="25">
        <v>579</v>
      </c>
      <c r="BB96" s="25">
        <v>354</v>
      </c>
      <c r="BC96" s="25">
        <v>139</v>
      </c>
      <c r="BD96" s="25">
        <v>1577</v>
      </c>
      <c r="BE96" s="25">
        <v>254</v>
      </c>
      <c r="BF96" s="25">
        <v>146</v>
      </c>
      <c r="BG96" s="25">
        <v>168</v>
      </c>
      <c r="BH96" s="25">
        <v>328</v>
      </c>
      <c r="BI96" s="25">
        <v>872</v>
      </c>
      <c r="BJ96" s="25">
        <v>1276</v>
      </c>
      <c r="BK96" s="25">
        <v>1021</v>
      </c>
      <c r="BL96" s="25">
        <v>68128</v>
      </c>
      <c r="BM96" s="25">
        <v>1019</v>
      </c>
      <c r="BN96" s="25">
        <v>193</v>
      </c>
      <c r="BO96" s="25">
        <v>653</v>
      </c>
      <c r="BP96" s="25">
        <v>937</v>
      </c>
      <c r="BQ96" s="25">
        <v>102</v>
      </c>
      <c r="BR96" s="25">
        <v>146</v>
      </c>
      <c r="BS96" s="25">
        <v>45</v>
      </c>
      <c r="BT96" s="25">
        <v>75</v>
      </c>
      <c r="BU96" s="25">
        <v>18</v>
      </c>
      <c r="BV96" s="25">
        <v>256</v>
      </c>
      <c r="BW96" s="25">
        <v>787</v>
      </c>
      <c r="BX96" s="25">
        <v>628</v>
      </c>
      <c r="BY96" s="25">
        <v>197</v>
      </c>
      <c r="BZ96" s="25">
        <v>560</v>
      </c>
      <c r="CA96" s="25">
        <v>189</v>
      </c>
      <c r="CB96" s="25">
        <v>1</v>
      </c>
      <c r="CC96" s="25">
        <v>76</v>
      </c>
      <c r="CD96" s="25">
        <v>184</v>
      </c>
      <c r="CE96" s="25">
        <v>1268</v>
      </c>
      <c r="CF96" s="25">
        <v>3439</v>
      </c>
      <c r="CG96" s="25">
        <v>143</v>
      </c>
      <c r="CH96" s="25">
        <v>287</v>
      </c>
      <c r="CI96" s="25">
        <v>649</v>
      </c>
      <c r="CJ96" s="25">
        <v>688</v>
      </c>
      <c r="CK96" s="25">
        <v>1814</v>
      </c>
      <c r="CL96" s="25">
        <v>712</v>
      </c>
      <c r="CM96" s="25">
        <v>923</v>
      </c>
      <c r="CN96" s="25">
        <v>750</v>
      </c>
      <c r="CO96" s="25">
        <v>6549</v>
      </c>
      <c r="CP96" s="25">
        <v>184</v>
      </c>
      <c r="CQ96" s="25">
        <v>11</v>
      </c>
      <c r="CR96" s="25">
        <v>7073</v>
      </c>
      <c r="CS96" s="25">
        <v>732</v>
      </c>
      <c r="CT96" s="25">
        <v>4126</v>
      </c>
      <c r="CU96" s="25">
        <v>8450</v>
      </c>
      <c r="CV96" s="25">
        <v>2844</v>
      </c>
      <c r="CW96" s="25">
        <v>177</v>
      </c>
      <c r="CX96" s="25">
        <v>79</v>
      </c>
      <c r="CY96" s="25">
        <v>35</v>
      </c>
      <c r="CZ96" s="25">
        <v>1459</v>
      </c>
      <c r="DA96" s="25">
        <v>16</v>
      </c>
      <c r="DB96" s="25">
        <v>96</v>
      </c>
      <c r="DC96" s="25">
        <v>17</v>
      </c>
      <c r="DD96" s="25">
        <v>3489</v>
      </c>
      <c r="DE96" s="25">
        <v>96</v>
      </c>
      <c r="DF96" s="25">
        <v>55</v>
      </c>
      <c r="DG96" s="25">
        <v>145</v>
      </c>
      <c r="DH96" s="25">
        <v>245</v>
      </c>
      <c r="DI96" s="25">
        <v>18</v>
      </c>
      <c r="DJ96" s="25">
        <v>402</v>
      </c>
      <c r="DK96" s="25">
        <v>6</v>
      </c>
      <c r="DL96" s="25">
        <v>35</v>
      </c>
      <c r="DM96" s="25">
        <v>158</v>
      </c>
      <c r="DN96" s="25">
        <v>146923</v>
      </c>
      <c r="DO96" s="25">
        <v>108</v>
      </c>
      <c r="DP96" s="25">
        <v>9</v>
      </c>
      <c r="DQ96" s="25">
        <v>370</v>
      </c>
      <c r="DR96" s="25">
        <v>141397</v>
      </c>
      <c r="DS96" s="25">
        <v>641</v>
      </c>
      <c r="DT96" s="25">
        <v>2224</v>
      </c>
      <c r="DU96" s="25">
        <v>214</v>
      </c>
      <c r="DV96" s="25">
        <v>477</v>
      </c>
      <c r="DW96" s="25">
        <v>63</v>
      </c>
      <c r="DX96" s="25">
        <v>43</v>
      </c>
      <c r="DY96" s="25">
        <v>8</v>
      </c>
      <c r="DZ96" s="25">
        <v>442</v>
      </c>
      <c r="EA96" s="25">
        <v>1763</v>
      </c>
      <c r="EB96" s="25">
        <v>1754</v>
      </c>
      <c r="EC96" s="25">
        <v>14352</v>
      </c>
      <c r="ED96" s="25">
        <v>5923</v>
      </c>
      <c r="EE96" s="25">
        <v>79494</v>
      </c>
      <c r="EF96" s="25">
        <v>1482</v>
      </c>
      <c r="EG96" s="25">
        <v>13980</v>
      </c>
      <c r="EH96" s="25">
        <v>12982</v>
      </c>
      <c r="EI96" s="25">
        <v>172434</v>
      </c>
      <c r="EJ96" s="25">
        <v>143</v>
      </c>
      <c r="EK96" s="25">
        <v>9787</v>
      </c>
      <c r="EL96" s="25">
        <v>407</v>
      </c>
      <c r="EM96" s="25">
        <v>1546</v>
      </c>
      <c r="EN96" s="25">
        <v>246</v>
      </c>
      <c r="EO96" s="25">
        <v>10635</v>
      </c>
      <c r="EP96" s="25">
        <v>1658</v>
      </c>
      <c r="EQ96" s="25">
        <v>489</v>
      </c>
      <c r="ER96" s="25">
        <v>682</v>
      </c>
      <c r="ES96" s="25">
        <v>668</v>
      </c>
      <c r="ET96" s="25">
        <v>76</v>
      </c>
      <c r="EU96" s="25">
        <v>79</v>
      </c>
      <c r="EV96" s="25">
        <v>1149</v>
      </c>
      <c r="EW96" s="25">
        <v>3480</v>
      </c>
      <c r="EX96" s="25">
        <v>117</v>
      </c>
      <c r="EY96" s="25">
        <v>5251</v>
      </c>
      <c r="EZ96" s="25">
        <v>28</v>
      </c>
      <c r="FA96" s="25">
        <v>422</v>
      </c>
      <c r="FB96" s="25">
        <v>7</v>
      </c>
      <c r="FC96" s="25">
        <v>324</v>
      </c>
      <c r="FD96" s="25">
        <v>6875</v>
      </c>
      <c r="FE96" s="25">
        <v>2264</v>
      </c>
      <c r="FF96" s="25">
        <v>94</v>
      </c>
      <c r="FG96" s="25">
        <v>31</v>
      </c>
      <c r="FH96" s="25">
        <v>303</v>
      </c>
      <c r="FI96" s="25">
        <v>2564</v>
      </c>
      <c r="FJ96" s="25">
        <v>16</v>
      </c>
      <c r="FK96" s="25">
        <v>30</v>
      </c>
      <c r="FL96" s="25">
        <v>96</v>
      </c>
      <c r="FM96" s="25">
        <v>14</v>
      </c>
      <c r="FN96" s="25">
        <v>57</v>
      </c>
      <c r="FO96" s="25">
        <v>30449</v>
      </c>
      <c r="FP96" s="25">
        <v>1409</v>
      </c>
      <c r="FQ96" s="25">
        <v>9</v>
      </c>
      <c r="FR96" s="25">
        <v>627</v>
      </c>
      <c r="FS96" s="25">
        <v>493</v>
      </c>
      <c r="FT96" s="25">
        <v>1117</v>
      </c>
      <c r="FU96" s="25">
        <v>6937</v>
      </c>
      <c r="FV96" s="25">
        <v>1069</v>
      </c>
      <c r="FW96" s="25">
        <v>7025</v>
      </c>
      <c r="FX96" s="25">
        <v>4016</v>
      </c>
      <c r="FY96" s="25">
        <v>7</v>
      </c>
      <c r="FZ96" s="25">
        <v>199</v>
      </c>
      <c r="GA96" s="25">
        <v>13489</v>
      </c>
      <c r="GB96" s="25">
        <v>5878</v>
      </c>
      <c r="GC96" s="25">
        <v>8379</v>
      </c>
      <c r="GD96" s="25">
        <v>19022</v>
      </c>
      <c r="GE96" s="25">
        <v>4663</v>
      </c>
      <c r="GF96" s="25">
        <v>8067</v>
      </c>
      <c r="GG96" s="25">
        <v>32008</v>
      </c>
      <c r="GH96" s="25">
        <v>143</v>
      </c>
      <c r="GI96" s="25">
        <v>15</v>
      </c>
      <c r="GJ96" s="25">
        <v>12</v>
      </c>
      <c r="GK96" s="25">
        <v>435</v>
      </c>
      <c r="GL96" s="25">
        <v>7142</v>
      </c>
      <c r="GM96" s="25">
        <v>342</v>
      </c>
      <c r="GN96" s="25">
        <v>5690</v>
      </c>
      <c r="GO96" s="25">
        <v>11</v>
      </c>
      <c r="GP96" s="25">
        <v>5050</v>
      </c>
      <c r="GQ96" s="25">
        <v>1049</v>
      </c>
      <c r="GR96" s="25">
        <v>1304</v>
      </c>
      <c r="GS96" s="25">
        <v>116</v>
      </c>
      <c r="GT96" s="25">
        <v>2783</v>
      </c>
      <c r="GU96" s="25">
        <v>190839</v>
      </c>
      <c r="GV96" s="25">
        <v>244</v>
      </c>
      <c r="GW96" s="25">
        <v>33</v>
      </c>
      <c r="GX96" s="25">
        <v>10</v>
      </c>
      <c r="GY96" s="25">
        <v>13216</v>
      </c>
      <c r="GZ96" s="25">
        <v>27078</v>
      </c>
      <c r="HA96" s="25">
        <v>395</v>
      </c>
      <c r="HB96" s="25">
        <v>147</v>
      </c>
      <c r="HC96" s="25">
        <v>2700</v>
      </c>
      <c r="HD96" s="25">
        <v>83</v>
      </c>
      <c r="HE96" s="25">
        <v>114</v>
      </c>
      <c r="HF96" s="25">
        <v>864</v>
      </c>
      <c r="HG96" s="25">
        <v>78546</v>
      </c>
      <c r="HH96" s="25">
        <v>56</v>
      </c>
      <c r="HI96" s="25">
        <v>4662</v>
      </c>
      <c r="HJ96" s="25">
        <v>6302</v>
      </c>
      <c r="HK96" s="25">
        <v>83</v>
      </c>
      <c r="HL96" s="25">
        <v>61</v>
      </c>
      <c r="HM96" s="25">
        <v>470</v>
      </c>
      <c r="HN96" s="25">
        <v>132</v>
      </c>
      <c r="HO96" s="25">
        <v>291</v>
      </c>
      <c r="HP96" s="25">
        <v>11</v>
      </c>
      <c r="HQ96" s="25">
        <v>108692</v>
      </c>
      <c r="HR96" s="25">
        <v>502</v>
      </c>
      <c r="HS96" s="25">
        <v>699706</v>
      </c>
      <c r="HT96" s="25">
        <v>1405</v>
      </c>
      <c r="HU96" s="25">
        <v>204</v>
      </c>
      <c r="HV96" s="25">
        <v>268</v>
      </c>
      <c r="HW96" s="25">
        <v>52</v>
      </c>
      <c r="HX96" s="25">
        <v>24</v>
      </c>
      <c r="HY96" s="25">
        <v>0</v>
      </c>
      <c r="HZ96" s="25">
        <v>16</v>
      </c>
      <c r="IA96" s="25">
        <v>14</v>
      </c>
      <c r="IB96" s="25">
        <v>34</v>
      </c>
      <c r="IC96" s="25">
        <v>38</v>
      </c>
      <c r="ID96" s="25">
        <v>18</v>
      </c>
      <c r="IE96" s="25">
        <v>18</v>
      </c>
      <c r="IF96" s="25">
        <v>0</v>
      </c>
      <c r="IG96" s="25">
        <v>19</v>
      </c>
      <c r="IH96" s="25">
        <v>49</v>
      </c>
      <c r="II96" s="25">
        <v>402</v>
      </c>
      <c r="IJ96" s="25">
        <v>43</v>
      </c>
      <c r="IK96" s="25">
        <v>171</v>
      </c>
      <c r="IL96" s="25">
        <v>14</v>
      </c>
      <c r="IM96" s="25">
        <v>5</v>
      </c>
      <c r="IN96" s="25">
        <v>8</v>
      </c>
      <c r="IO96" s="25">
        <v>480</v>
      </c>
      <c r="IP96" s="25">
        <v>88</v>
      </c>
      <c r="IQ96" s="25">
        <v>3</v>
      </c>
      <c r="IR96" s="25">
        <v>4</v>
      </c>
      <c r="IS96" s="25">
        <v>11</v>
      </c>
      <c r="IT96" s="25">
        <v>9</v>
      </c>
      <c r="IU96" s="25">
        <v>15</v>
      </c>
      <c r="IV96" s="25">
        <v>5</v>
      </c>
      <c r="IW96" s="25">
        <v>26</v>
      </c>
      <c r="IX96" s="25">
        <v>3</v>
      </c>
      <c r="IY96" s="25">
        <v>17</v>
      </c>
      <c r="IZ96" s="25">
        <v>11</v>
      </c>
      <c r="JA96" s="25">
        <v>1</v>
      </c>
      <c r="JB96" s="25">
        <v>4</v>
      </c>
      <c r="JC96" s="25">
        <v>6</v>
      </c>
      <c r="JD96" s="25">
        <v>4</v>
      </c>
      <c r="JE96" s="25">
        <v>1</v>
      </c>
      <c r="JF96" s="25">
        <v>0</v>
      </c>
      <c r="JG96" s="25">
        <v>0</v>
      </c>
      <c r="JH96" s="25">
        <v>0</v>
      </c>
      <c r="JI96" s="25">
        <v>136</v>
      </c>
      <c r="JJ96" s="25">
        <v>13</v>
      </c>
      <c r="JK96" s="25">
        <v>1068</v>
      </c>
      <c r="JL96" s="25">
        <v>51</v>
      </c>
      <c r="JM96" s="25">
        <v>4571</v>
      </c>
      <c r="JN96" s="25">
        <v>309</v>
      </c>
      <c r="JO96" s="25">
        <v>4511</v>
      </c>
      <c r="JP96" s="25">
        <v>1695</v>
      </c>
      <c r="JQ96" s="25">
        <v>29157</v>
      </c>
      <c r="JR96" s="25">
        <v>8691</v>
      </c>
      <c r="JS96" s="25">
        <v>16809</v>
      </c>
      <c r="JT96" s="25">
        <v>2317</v>
      </c>
      <c r="JU96" s="25">
        <v>2476</v>
      </c>
      <c r="JV96" s="25">
        <v>24759</v>
      </c>
      <c r="JW96" s="25">
        <v>17194</v>
      </c>
      <c r="JX96" s="25">
        <v>541</v>
      </c>
      <c r="JY96" s="25">
        <v>1609</v>
      </c>
      <c r="JZ96" s="25">
        <v>27578</v>
      </c>
      <c r="KA96" s="25">
        <v>10154</v>
      </c>
      <c r="KB96" s="25">
        <v>2332</v>
      </c>
      <c r="KC96" s="25">
        <v>1730</v>
      </c>
      <c r="KD96" s="25">
        <v>2522</v>
      </c>
      <c r="KE96" s="25">
        <v>23118</v>
      </c>
      <c r="KF96" s="25">
        <v>827</v>
      </c>
      <c r="KG96" s="25">
        <v>11572</v>
      </c>
      <c r="KH96" s="25">
        <v>34402</v>
      </c>
      <c r="KI96" s="25">
        <v>30023</v>
      </c>
      <c r="KJ96" s="25">
        <v>2070</v>
      </c>
      <c r="KK96" s="25">
        <v>3793</v>
      </c>
      <c r="KL96" s="25">
        <v>5371</v>
      </c>
      <c r="KM96" s="25">
        <v>422</v>
      </c>
      <c r="KN96" s="25">
        <v>1066</v>
      </c>
      <c r="KO96" s="25">
        <v>3524</v>
      </c>
      <c r="KP96" s="25">
        <v>1287</v>
      </c>
      <c r="KQ96" s="25">
        <v>78467</v>
      </c>
      <c r="KR96" s="25">
        <v>1597</v>
      </c>
      <c r="KS96" s="25">
        <v>230597</v>
      </c>
      <c r="KT96" s="25">
        <v>6045</v>
      </c>
      <c r="KU96" s="25">
        <v>393</v>
      </c>
      <c r="KV96" s="25">
        <v>9107</v>
      </c>
      <c r="KW96" s="25">
        <v>2465</v>
      </c>
      <c r="KX96" s="25">
        <v>1785</v>
      </c>
      <c r="KY96" s="25">
        <v>29888</v>
      </c>
      <c r="KZ96" s="25">
        <v>4177</v>
      </c>
      <c r="LA96" s="25">
        <v>4099</v>
      </c>
      <c r="LB96" s="25">
        <v>1411</v>
      </c>
      <c r="LC96" s="25">
        <v>6263</v>
      </c>
      <c r="LD96" s="25">
        <v>17849</v>
      </c>
      <c r="LE96" s="25">
        <v>2793</v>
      </c>
      <c r="LF96" s="25">
        <v>779</v>
      </c>
      <c r="LG96" s="25">
        <v>7491</v>
      </c>
      <c r="LH96" s="25">
        <v>11517</v>
      </c>
      <c r="LI96" s="25">
        <v>775</v>
      </c>
      <c r="LJ96" s="25">
        <v>4053</v>
      </c>
      <c r="LK96" s="25">
        <v>305</v>
      </c>
      <c r="LL96" s="25">
        <v>49</v>
      </c>
      <c r="LM96" s="25">
        <v>103</v>
      </c>
      <c r="LN96" s="278">
        <f ca="1">$A96 - TST!Sweden100dt + 1</f>
        <v>42</v>
      </c>
      <c r="LO96" s="20">
        <f ca="1">INDEX(OFFSET(TST!HeadRow,ROW()-ROW(TST!HeadRow),0,1,COLUMNS(TST!HeadRow)),1,MATCH(LO$5,TST!HeadRow,0))/LO$8</f>
        <v>12918.866080156404</v>
      </c>
      <c r="LP96" s="278">
        <f ca="1">$A96 - TST!Spain100dt + 1</f>
        <v>42</v>
      </c>
      <c r="LQ96" s="20">
        <f ca="1">INDEX(OFFSET(TST!HeadRow,ROW()-ROW(TST!HeadRow),0,1,COLUMNS(TST!HeadRow)),1,MATCH(LQ$5,TST!HeadRow,0))/LQ$8</f>
        <v>40655.94375798892</v>
      </c>
      <c r="LR96" s="285">
        <f ca="1">$A96 - TST!Victoria100dt + 1</f>
        <v>33</v>
      </c>
      <c r="LS96" s="20">
        <f ca="1">INDEX(OFFSET(TST!HeadRow,ROW()-ROW(TST!HeadRow),0,1,COLUMNS(TST!HeadRow)),1,MATCH(LS$5,TST!HeadRow,0))/LS$8</f>
        <v>1964.0971488912353</v>
      </c>
      <c r="LT96" s="278">
        <f ca="1">$A96 - TST!Iran100dt + 1</f>
        <v>48</v>
      </c>
      <c r="LU96" s="20">
        <f ca="1">INDEX(OFFSET(TST!HeadRow,ROW()-ROW(TST!HeadRow),0,1,COLUMNS(TST!HeadRow)),1,MATCH(LU$5,TST!HeadRow,0))/LU$8</f>
        <v>9489.2149021761197</v>
      </c>
      <c r="LV96" s="278">
        <f ca="1">$A96 - TST!Japan100dt + 1</f>
        <v>24</v>
      </c>
      <c r="LW96" s="20">
        <f ca="1">INDEX(OFFSET(TST!HeadRow,ROW()-ROW(TST!HeadRow),0,1,COLUMNS(TST!HeadRow)),1,MATCH(LW$5,TST!HeadRow,0))/LW$8</f>
        <v>773.34452495426012</v>
      </c>
      <c r="LX96" s="278">
        <f ca="1">$A96 - TST!Queensland100dt + 1</f>
        <v>34</v>
      </c>
      <c r="LY96" s="20">
        <f ca="1">INDEX(OFFSET(TST!HeadRow,ROW()-ROW(TST!HeadRow),0,1,COLUMNS(TST!HeadRow)),1,MATCH(LY$5,TST!HeadRow,0))/LY$8</f>
        <v>1968.5458818782549</v>
      </c>
      <c r="LZ96" s="278">
        <f ca="1">$A96 - TST!Tasmania100dt + 1</f>
        <v>34</v>
      </c>
      <c r="MA96" s="20">
        <f ca="1">INDEX(OFFSET(TST!HeadRow,ROW()-ROW(TST!HeadRow),0,1,COLUMNS(TST!HeadRow)),1,MATCH(MA$5,TST!HeadRow,0))/MA$8</f>
        <v>3495.1456310679614</v>
      </c>
      <c r="MB96" s="278">
        <f ca="1">$A96 - TST!SouthAustralia100dt + 1</f>
        <v>35</v>
      </c>
      <c r="MC96" s="20">
        <f ca="1">INDEX(OFFSET(TST!HeadRow,ROW()-ROW(TST!HeadRow),0,1,COLUMNS(TST!HeadRow)),1,MATCH(MC$5,TST!HeadRow,0))/MC$8</f>
        <v>2604.7904191616767</v>
      </c>
      <c r="MD96" s="278">
        <f ca="1">$A96 - TST!AustralianCapitalTerritory100dt + 1</f>
        <v>29</v>
      </c>
      <c r="ME96" s="20">
        <f ca="1">INDEX(OFFSET(TST!HeadRow,ROW()-ROW(TST!HeadRow),0,1,COLUMNS(TST!HeadRow)),1,MATCH(ME$5,TST!HeadRow,0))/ME$8</f>
        <v>2406.2047376536002</v>
      </c>
      <c r="MF96" s="278">
        <f ca="1">$A96 - TST!NorthernTerritory100dt + 1</f>
        <v>29</v>
      </c>
      <c r="MG96" s="20">
        <f ca="1">INDEX(OFFSET(TST!HeadRow,ROW()-ROW(TST!HeadRow),0,1,COLUMNS(TST!HeadRow)),1,MATCH(MG$5,TST!HeadRow,0))/MG$8</f>
        <v>1321.0974545282972</v>
      </c>
      <c r="MH96" s="278">
        <f ca="1">$A96 - TST!WesternAustralia100dt + 1</f>
        <v>33</v>
      </c>
      <c r="MI96" s="20">
        <f ca="1">INDEX(OFFSET(TST!HeadRow,ROW()-ROW(TST!HeadRow),0,1,COLUMNS(TST!HeadRow)),1,MATCH(MI$5,TST!HeadRow,0))/MI$8</f>
        <v>2089.6098879876399</v>
      </c>
      <c r="MJ96" s="278">
        <f ca="1">$A96 - TST!Germany100dt + 1</f>
        <v>41</v>
      </c>
      <c r="MK96" s="20">
        <f ca="1">INDEX(OFFSET(TST!HeadRow,ROW()-ROW(TST!HeadRow),0,1,COLUMNS(TST!HeadRow)),1,MATCH(MK$5,TST!HeadRow,0))/MK$8</f>
        <v>17031.679113466635</v>
      </c>
      <c r="ML96" s="278">
        <f ca="1">$A96 - TST!Denmark100dt + 1</f>
        <v>40</v>
      </c>
      <c r="MM96" s="20">
        <f ca="1">INDEX(OFFSET(TST!HeadRow,ROW()-ROW(TST!HeadRow),0,1,COLUMNS(TST!HeadRow)),1,MATCH(MM$5,TST!HeadRow,0))/MM$8</f>
        <v>12182.225284188769</v>
      </c>
      <c r="MN96" s="278">
        <f ca="1">$A96 - TST!SouthAfrica100dt + 1</f>
        <v>24</v>
      </c>
      <c r="MO96" s="20">
        <f ca="1">INDEX(OFFSET(TST!HeadRow,ROW()-ROW(TST!HeadRow),0,1,COLUMNS(TST!HeadRow)),1,MATCH(MO$5,TST!HeadRow,0))/MO$8</f>
        <v>481.65455174800974</v>
      </c>
      <c r="MP96" s="278">
        <f ca="1">$A96 - TST!UnitedKingdom100dt + 1</f>
        <v>36</v>
      </c>
      <c r="MQ96" s="20">
        <f ca="1">INDEX(OFFSET(TST!HeadRow,ROW()-ROW(TST!HeadRow),0,1,COLUMNS(TST!HeadRow)),1,MATCH(MQ$5,TST!HeadRow,0))/MQ$8</f>
        <v>16359.422034918724</v>
      </c>
      <c r="MR96" s="278">
        <f ca="1">$A96 - TST!Ireland100dt + 1</f>
        <v>36</v>
      </c>
      <c r="MS96" s="20">
        <f ca="1">INDEX(OFFSET(TST!HeadRow,ROW()-ROW(TST!HeadRow),0,1,COLUMNS(TST!HeadRow)),1,MATCH(MS$5,TST!HeadRow,0))/MS$8</f>
        <v>28530.612244897959</v>
      </c>
      <c r="MT96" s="278">
        <f ca="1">$A96 - TST!Italy100dt + 1</f>
        <v>51</v>
      </c>
      <c r="MU96" s="20">
        <f ca="1">INDEX(OFFSET(TST!HeadRow,ROW()-ROW(TST!HeadRow),0,1,COLUMNS(TST!HeadRow)),1,MATCH(MU$5,TST!HeadRow,0))/MU$8</f>
        <v>28508.555840290981</v>
      </c>
      <c r="MV96" s="278">
        <f ca="1">$A96 - TST!US100dt + 1</f>
        <v>34</v>
      </c>
      <c r="MW96" s="20">
        <f ca="1">INDEX(OFFSET(TST!HeadRow,ROW()-ROW(TST!HeadRow),0,1,COLUMNS(TST!HeadRow)),1,MATCH(MW$5,TST!HeadRow,0))/MW$8</f>
        <v>21252.94749610806</v>
      </c>
      <c r="MX96" s="278">
        <f ca="1">$A96 - TST!AustraliaSum100dt + 1</f>
        <v>34</v>
      </c>
      <c r="MY96" s="366">
        <f t="shared" si="9"/>
        <v>2571.3609840719128</v>
      </c>
      <c r="MZ96" s="278">
        <f ca="1">$A96 - TST!NewSouthWales100dt + 1</f>
        <v>36</v>
      </c>
      <c r="NA96" s="366">
        <f ca="1">INDEX(OFFSET(TST!HeadRow,ROW()-ROW(TST!HeadRow),0,1,COLUMNS(TST!HeadRow)),1,MATCH(NA$5,TST!HeadRow,0))/NA$8</f>
        <v>3621.287128712871</v>
      </c>
      <c r="NB96" s="278">
        <f ca="1">$A96 - TST!Taiwan100dt + 1</f>
        <v>23</v>
      </c>
      <c r="NC96" s="366">
        <f ca="1">INDEX(OFFSET(TST!HeadRow,ROW()-ROW(TST!HeadRow),0,1,COLUMNS(TST!HeadRow)),1,MATCH(NC$5,TST!HeadRow,0))/NC$8</f>
        <v>165.91562195130044</v>
      </c>
      <c r="ND96" s="20">
        <f ca="1">$A96 - TST!Hubei100dt + 1</f>
        <v>84</v>
      </c>
      <c r="NE96" s="20">
        <f ca="1">INDEX(OFFSET(TST!HeadRow,ROW()-ROW(TST!HeadRow),0,1,COLUMNS(TST!HeadRow)),1,MATCH(NE$5,TST!HeadRow,0))/NE$8</f>
        <v>11645.811965811967</v>
      </c>
      <c r="NF96" s="20">
        <f ca="1">$A96 - TST!HongKong100dt + 1</f>
        <v>54</v>
      </c>
      <c r="NG96" s="20">
        <f ca="1">INDEX(OFFSET(TST!HeadRow,ROW()-ROW(TST!HeadRow),0,1,COLUMNS(TST!HeadRow)),1,MATCH(NG$5,TST!HeadRow,0))/NG$8</f>
        <v>1370.2858676687692</v>
      </c>
    </row>
    <row r="97" spans="1:371" x14ac:dyDescent="0.25">
      <c r="A97" s="156">
        <v>43939</v>
      </c>
      <c r="B97" s="25">
        <v>933</v>
      </c>
      <c r="C97" s="25">
        <v>548</v>
      </c>
      <c r="D97" s="25">
        <v>2534</v>
      </c>
      <c r="E97" s="25">
        <v>704</v>
      </c>
      <c r="F97" s="25">
        <v>24</v>
      </c>
      <c r="G97" s="25">
        <v>23</v>
      </c>
      <c r="H97" s="25">
        <v>2758</v>
      </c>
      <c r="I97" s="25">
        <v>1248</v>
      </c>
      <c r="J97" s="25">
        <v>103</v>
      </c>
      <c r="K97" s="33">
        <v>2936</v>
      </c>
      <c r="L97" s="25">
        <v>28</v>
      </c>
      <c r="M97" s="33">
        <v>1015</v>
      </c>
      <c r="N97" s="25">
        <v>435</v>
      </c>
      <c r="O97" s="40">
        <v>188</v>
      </c>
      <c r="P97" s="33">
        <v>1319</v>
      </c>
      <c r="Q97" s="25">
        <v>544</v>
      </c>
      <c r="R97" s="25">
        <v>14671</v>
      </c>
      <c r="S97" s="25">
        <v>1373</v>
      </c>
      <c r="T97" s="25">
        <v>55</v>
      </c>
      <c r="U97" s="25">
        <v>1773</v>
      </c>
      <c r="V97" s="25">
        <v>2144</v>
      </c>
      <c r="W97" s="25">
        <v>75</v>
      </c>
      <c r="X97" s="25">
        <v>4779</v>
      </c>
      <c r="Y97" s="25">
        <v>37183</v>
      </c>
      <c r="Z97" s="25">
        <v>35</v>
      </c>
      <c r="AA97" s="25">
        <v>5</v>
      </c>
      <c r="AB97" s="25">
        <v>493</v>
      </c>
      <c r="AC97" s="25">
        <v>1268</v>
      </c>
      <c r="AD97" s="25">
        <v>36658</v>
      </c>
      <c r="AE97" s="25">
        <v>137</v>
      </c>
      <c r="AF97" s="25">
        <v>878</v>
      </c>
      <c r="AG97" s="25">
        <v>565</v>
      </c>
      <c r="AH97" s="25">
        <v>58</v>
      </c>
      <c r="AI97" s="25">
        <v>122</v>
      </c>
      <c r="AJ97" s="25">
        <v>1017</v>
      </c>
      <c r="AK97" s="25">
        <v>2562</v>
      </c>
      <c r="AL97" s="25">
        <v>1618</v>
      </c>
      <c r="AM97" s="25">
        <v>13</v>
      </c>
      <c r="AN97" s="25">
        <v>253</v>
      </c>
      <c r="AO97" s="25">
        <v>117</v>
      </c>
      <c r="AP97" s="25">
        <v>257</v>
      </c>
      <c r="AQ97" s="25">
        <v>649</v>
      </c>
      <c r="AR97" s="25">
        <v>11013</v>
      </c>
      <c r="AS97" s="25">
        <v>26</v>
      </c>
      <c r="AT97" s="25">
        <v>17521</v>
      </c>
      <c r="AU97" s="25">
        <v>313</v>
      </c>
      <c r="AV97" s="25">
        <v>12</v>
      </c>
      <c r="AW97" s="25">
        <v>33</v>
      </c>
      <c r="AX97" s="25">
        <v>9730</v>
      </c>
      <c r="AY97" s="25">
        <v>991</v>
      </c>
      <c r="AZ97" s="25">
        <v>593</v>
      </c>
      <c r="BA97" s="25">
        <v>579</v>
      </c>
      <c r="BB97" s="25">
        <v>355</v>
      </c>
      <c r="BC97" s="25">
        <v>139</v>
      </c>
      <c r="BD97" s="25">
        <v>1579</v>
      </c>
      <c r="BE97" s="25">
        <v>254</v>
      </c>
      <c r="BF97" s="25">
        <v>146</v>
      </c>
      <c r="BG97" s="25">
        <v>168</v>
      </c>
      <c r="BH97" s="25">
        <v>328</v>
      </c>
      <c r="BI97" s="25">
        <v>892</v>
      </c>
      <c r="BJ97" s="25">
        <v>1276</v>
      </c>
      <c r="BK97" s="25">
        <v>1024</v>
      </c>
      <c r="BL97" s="25">
        <v>68128</v>
      </c>
      <c r="BM97" s="25">
        <v>1019</v>
      </c>
      <c r="BN97" s="25">
        <v>193</v>
      </c>
      <c r="BO97" s="25">
        <v>653</v>
      </c>
      <c r="BP97" s="25">
        <v>937</v>
      </c>
      <c r="BQ97" s="25">
        <v>102</v>
      </c>
      <c r="BR97" s="25">
        <v>146</v>
      </c>
      <c r="BS97" s="25">
        <v>45</v>
      </c>
      <c r="BT97" s="25">
        <v>75</v>
      </c>
      <c r="BU97" s="25">
        <v>18</v>
      </c>
      <c r="BV97" s="25">
        <v>256</v>
      </c>
      <c r="BW97" s="25">
        <v>787</v>
      </c>
      <c r="BX97" s="25">
        <v>628</v>
      </c>
      <c r="BY97" s="25">
        <v>197</v>
      </c>
      <c r="BZ97" s="25">
        <v>561</v>
      </c>
      <c r="CA97" s="25">
        <v>189</v>
      </c>
      <c r="CB97" s="25">
        <v>1</v>
      </c>
      <c r="CC97" s="25">
        <v>76</v>
      </c>
      <c r="CD97" s="25">
        <v>184</v>
      </c>
      <c r="CE97" s="25">
        <v>1268</v>
      </c>
      <c r="CF97" s="25">
        <v>3439</v>
      </c>
      <c r="CG97" s="25">
        <v>143</v>
      </c>
      <c r="CH97" s="25">
        <v>307</v>
      </c>
      <c r="CI97" s="25">
        <v>655</v>
      </c>
      <c r="CJ97" s="25">
        <v>801</v>
      </c>
      <c r="CK97" s="25">
        <v>1832</v>
      </c>
      <c r="CL97" s="25">
        <v>712</v>
      </c>
      <c r="CM97" s="25">
        <v>986</v>
      </c>
      <c r="CN97" s="25">
        <v>761</v>
      </c>
      <c r="CO97" s="25">
        <v>6606</v>
      </c>
      <c r="CP97" s="25">
        <v>184</v>
      </c>
      <c r="CQ97" s="25">
        <v>11</v>
      </c>
      <c r="CR97" s="25">
        <v>7242</v>
      </c>
      <c r="CS97" s="25">
        <v>732</v>
      </c>
      <c r="CT97" s="25">
        <v>4335</v>
      </c>
      <c r="CU97" s="25">
        <v>9022</v>
      </c>
      <c r="CV97" s="25">
        <v>3032</v>
      </c>
      <c r="CW97" s="25">
        <v>190</v>
      </c>
      <c r="CX97" s="25">
        <v>79</v>
      </c>
      <c r="CY97" s="25">
        <v>39</v>
      </c>
      <c r="CZ97" s="25">
        <v>1512</v>
      </c>
      <c r="DA97" s="25">
        <v>22</v>
      </c>
      <c r="DB97" s="25">
        <v>105</v>
      </c>
      <c r="DC97" s="25">
        <v>17</v>
      </c>
      <c r="DD97" s="25">
        <v>3681</v>
      </c>
      <c r="DE97" s="25">
        <v>96</v>
      </c>
      <c r="DF97" s="25">
        <v>55</v>
      </c>
      <c r="DG97" s="25">
        <v>148</v>
      </c>
      <c r="DH97" s="25">
        <v>254</v>
      </c>
      <c r="DI97" s="25">
        <v>18</v>
      </c>
      <c r="DJ97" s="25">
        <v>407</v>
      </c>
      <c r="DK97" s="25">
        <v>6</v>
      </c>
      <c r="DL97" s="25">
        <v>37</v>
      </c>
      <c r="DM97" s="25">
        <v>158</v>
      </c>
      <c r="DN97" s="25">
        <v>146906</v>
      </c>
      <c r="DO97" s="25">
        <v>108</v>
      </c>
      <c r="DP97" s="25">
        <v>9</v>
      </c>
      <c r="DQ97" s="25">
        <v>388</v>
      </c>
      <c r="DR97" s="25">
        <v>143342</v>
      </c>
      <c r="DS97" s="25">
        <v>834</v>
      </c>
      <c r="DT97" s="25">
        <v>2235</v>
      </c>
      <c r="DU97" s="25">
        <v>235</v>
      </c>
      <c r="DV97" s="25">
        <v>518</v>
      </c>
      <c r="DW97" s="25">
        <v>63</v>
      </c>
      <c r="DX97" s="25">
        <v>44</v>
      </c>
      <c r="DY97" s="25">
        <v>8</v>
      </c>
      <c r="DZ97" s="25">
        <v>457</v>
      </c>
      <c r="EA97" s="25">
        <v>1834</v>
      </c>
      <c r="EB97" s="25">
        <v>1760</v>
      </c>
      <c r="EC97" s="25">
        <v>15722</v>
      </c>
      <c r="ED97" s="25">
        <v>6248</v>
      </c>
      <c r="EE97" s="25">
        <v>80868</v>
      </c>
      <c r="EF97" s="25">
        <v>1513</v>
      </c>
      <c r="EG97" s="25">
        <v>14758</v>
      </c>
      <c r="EH97" s="25">
        <v>13265</v>
      </c>
      <c r="EI97" s="25">
        <v>175925</v>
      </c>
      <c r="EJ97" s="25">
        <v>163</v>
      </c>
      <c r="EK97" s="25">
        <v>10296</v>
      </c>
      <c r="EL97" s="25">
        <v>413</v>
      </c>
      <c r="EM97" s="25">
        <v>1615</v>
      </c>
      <c r="EN97" s="25">
        <v>262</v>
      </c>
      <c r="EO97" s="25">
        <v>10653</v>
      </c>
      <c r="EP97" s="25">
        <v>1751</v>
      </c>
      <c r="EQ97" s="25">
        <v>506</v>
      </c>
      <c r="ER97" s="25">
        <v>712</v>
      </c>
      <c r="ES97" s="25">
        <v>672</v>
      </c>
      <c r="ET97" s="25">
        <v>76</v>
      </c>
      <c r="EU97" s="25">
        <v>79</v>
      </c>
      <c r="EV97" s="25">
        <v>1239</v>
      </c>
      <c r="EW97" s="25">
        <v>3537</v>
      </c>
      <c r="EX97" s="25">
        <v>120</v>
      </c>
      <c r="EY97" s="25">
        <v>5305</v>
      </c>
      <c r="EZ97" s="25">
        <v>35</v>
      </c>
      <c r="FA97" s="25">
        <v>426</v>
      </c>
      <c r="FB97" s="25">
        <v>7</v>
      </c>
      <c r="FC97" s="25">
        <v>325</v>
      </c>
      <c r="FD97" s="25">
        <v>7497</v>
      </c>
      <c r="FE97" s="25">
        <v>2378</v>
      </c>
      <c r="FF97" s="25">
        <v>94</v>
      </c>
      <c r="FG97" s="25">
        <v>31</v>
      </c>
      <c r="FH97" s="25">
        <v>307</v>
      </c>
      <c r="FI97" s="25">
        <v>2685</v>
      </c>
      <c r="FJ97" s="25">
        <v>16</v>
      </c>
      <c r="FK97" s="25">
        <v>31</v>
      </c>
      <c r="FL97" s="25">
        <v>96</v>
      </c>
      <c r="FM97" s="25">
        <v>14</v>
      </c>
      <c r="FN97" s="25">
        <v>64</v>
      </c>
      <c r="FO97" s="25">
        <v>31589</v>
      </c>
      <c r="FP97" s="25">
        <v>1422</v>
      </c>
      <c r="FQ97" s="25">
        <v>9</v>
      </c>
      <c r="FR97" s="25">
        <v>639</v>
      </c>
      <c r="FS97" s="25">
        <v>542</v>
      </c>
      <c r="FT97" s="25">
        <v>1170</v>
      </c>
      <c r="FU97" s="25">
        <v>7036</v>
      </c>
      <c r="FV97" s="25">
        <v>1180</v>
      </c>
      <c r="FW97" s="25">
        <v>7638</v>
      </c>
      <c r="FX97" s="25">
        <v>4210</v>
      </c>
      <c r="FY97" s="25">
        <v>7</v>
      </c>
      <c r="FZ97" s="25">
        <v>202</v>
      </c>
      <c r="GA97" s="25">
        <v>14420</v>
      </c>
      <c r="GB97" s="25">
        <v>6087</v>
      </c>
      <c r="GC97" s="25">
        <v>8742</v>
      </c>
      <c r="GD97" s="25">
        <v>19685</v>
      </c>
      <c r="GE97" s="25">
        <v>5008</v>
      </c>
      <c r="GF97" s="25">
        <v>8418</v>
      </c>
      <c r="GG97" s="25">
        <v>36793</v>
      </c>
      <c r="GH97" s="25">
        <v>144</v>
      </c>
      <c r="GI97" s="25">
        <v>15</v>
      </c>
      <c r="GJ97" s="25">
        <v>12</v>
      </c>
      <c r="GK97" s="25">
        <v>455</v>
      </c>
      <c r="GL97" s="25">
        <v>8274</v>
      </c>
      <c r="GM97" s="25">
        <v>350</v>
      </c>
      <c r="GN97" s="25">
        <v>5994</v>
      </c>
      <c r="GO97" s="25">
        <v>11</v>
      </c>
      <c r="GP97" s="25">
        <v>5992</v>
      </c>
      <c r="GQ97" s="25">
        <v>1089</v>
      </c>
      <c r="GR97" s="25">
        <v>1317</v>
      </c>
      <c r="GS97" s="25">
        <v>135</v>
      </c>
      <c r="GT97" s="25">
        <v>3034</v>
      </c>
      <c r="GU97" s="25">
        <v>191726</v>
      </c>
      <c r="GV97" s="25">
        <v>254</v>
      </c>
      <c r="GW97" s="25">
        <v>66</v>
      </c>
      <c r="GX97" s="25">
        <v>10</v>
      </c>
      <c r="GY97" s="25">
        <v>13822</v>
      </c>
      <c r="GZ97" s="25">
        <v>27404</v>
      </c>
      <c r="HA97" s="25">
        <v>398</v>
      </c>
      <c r="HB97" s="25">
        <v>147</v>
      </c>
      <c r="HC97" s="25">
        <v>2733</v>
      </c>
      <c r="HD97" s="25">
        <v>84</v>
      </c>
      <c r="HE97" s="25">
        <v>114</v>
      </c>
      <c r="HF97" s="25">
        <v>864</v>
      </c>
      <c r="HG97" s="25">
        <v>82329</v>
      </c>
      <c r="HH97" s="25">
        <v>55</v>
      </c>
      <c r="HI97" s="25">
        <v>5106</v>
      </c>
      <c r="HJ97" s="25">
        <v>6302</v>
      </c>
      <c r="HK97" s="25">
        <v>83</v>
      </c>
      <c r="HL97" s="25">
        <v>61</v>
      </c>
      <c r="HM97" s="25">
        <v>484</v>
      </c>
      <c r="HN97" s="25">
        <v>132</v>
      </c>
      <c r="HO97" s="25">
        <v>297</v>
      </c>
      <c r="HP97" s="25">
        <v>11</v>
      </c>
      <c r="HQ97" s="25">
        <v>114217</v>
      </c>
      <c r="HR97" s="25">
        <v>508</v>
      </c>
      <c r="HS97" s="25">
        <v>732197</v>
      </c>
      <c r="HT97" s="25">
        <v>1490</v>
      </c>
      <c r="HU97" s="25">
        <v>227</v>
      </c>
      <c r="HV97" s="25">
        <v>268</v>
      </c>
      <c r="HW97" s="25">
        <v>57</v>
      </c>
      <c r="HX97" s="25">
        <v>25</v>
      </c>
      <c r="HY97" s="25">
        <v>0</v>
      </c>
      <c r="HZ97" s="25">
        <v>16</v>
      </c>
      <c r="IA97" s="25">
        <v>14</v>
      </c>
      <c r="IB97" s="25">
        <v>35</v>
      </c>
      <c r="IC97" s="25">
        <v>38</v>
      </c>
      <c r="ID97" s="25">
        <v>18</v>
      </c>
      <c r="IE97" s="25">
        <v>18</v>
      </c>
      <c r="IF97" s="25">
        <v>0</v>
      </c>
      <c r="IG97" s="25">
        <v>19</v>
      </c>
      <c r="IH97" s="25">
        <v>49</v>
      </c>
      <c r="II97" s="25">
        <v>418</v>
      </c>
      <c r="IJ97" s="25">
        <v>46</v>
      </c>
      <c r="IK97" s="25">
        <v>216</v>
      </c>
      <c r="IL97" s="25">
        <v>14</v>
      </c>
      <c r="IM97" s="25">
        <v>5</v>
      </c>
      <c r="IN97" s="25">
        <v>9</v>
      </c>
      <c r="IO97" s="25">
        <v>510</v>
      </c>
      <c r="IP97" s="25">
        <v>98</v>
      </c>
      <c r="IQ97" s="25">
        <v>3</v>
      </c>
      <c r="IR97" s="25">
        <v>4</v>
      </c>
      <c r="IS97" s="25">
        <v>11</v>
      </c>
      <c r="IT97" s="25">
        <v>9</v>
      </c>
      <c r="IU97" s="25">
        <v>15</v>
      </c>
      <c r="IV97" s="25">
        <v>5</v>
      </c>
      <c r="IW97" s="25">
        <v>30</v>
      </c>
      <c r="IX97" s="25">
        <v>3</v>
      </c>
      <c r="IY97" s="25">
        <v>17</v>
      </c>
      <c r="IZ97" s="25">
        <v>11</v>
      </c>
      <c r="JA97" s="25">
        <v>1</v>
      </c>
      <c r="JB97" s="25">
        <v>4</v>
      </c>
      <c r="JC97" s="25">
        <v>6</v>
      </c>
      <c r="JD97" s="25">
        <v>4</v>
      </c>
      <c r="JE97" s="25">
        <v>1</v>
      </c>
      <c r="JF97" s="25">
        <v>0</v>
      </c>
      <c r="JG97" s="25">
        <v>0</v>
      </c>
      <c r="JH97" s="25">
        <v>0</v>
      </c>
      <c r="JI97" s="25">
        <v>136</v>
      </c>
      <c r="JJ97" s="25">
        <v>14</v>
      </c>
      <c r="JK97" s="25">
        <v>1118</v>
      </c>
      <c r="JL97" s="25">
        <v>53</v>
      </c>
      <c r="JM97" s="25">
        <v>4712</v>
      </c>
      <c r="JN97" s="25">
        <v>314</v>
      </c>
      <c r="JO97" s="25">
        <v>4724</v>
      </c>
      <c r="JP97" s="25">
        <v>1744</v>
      </c>
      <c r="JQ97" s="25">
        <v>30491</v>
      </c>
      <c r="JR97" s="25">
        <v>9047</v>
      </c>
      <c r="JS97" s="25">
        <v>17550</v>
      </c>
      <c r="JT97" s="25">
        <v>2538</v>
      </c>
      <c r="JU97" s="25">
        <v>2666</v>
      </c>
      <c r="JV97" s="25">
        <v>25492</v>
      </c>
      <c r="JW97" s="25">
        <v>17669</v>
      </c>
      <c r="JX97" s="25">
        <v>574</v>
      </c>
      <c r="JY97" s="25">
        <v>1655</v>
      </c>
      <c r="JZ97" s="25">
        <v>29160</v>
      </c>
      <c r="KA97" s="25">
        <v>10641</v>
      </c>
      <c r="KB97" s="25">
        <v>2513</v>
      </c>
      <c r="KC97" s="25">
        <v>1821</v>
      </c>
      <c r="KD97" s="25">
        <v>2707</v>
      </c>
      <c r="KE97" s="25">
        <v>23580</v>
      </c>
      <c r="KF97" s="25">
        <v>847</v>
      </c>
      <c r="KG97" s="25">
        <v>12326</v>
      </c>
      <c r="KH97" s="25">
        <v>36372</v>
      </c>
      <c r="KI97" s="25">
        <v>30791</v>
      </c>
      <c r="KJ97" s="25">
        <v>2209</v>
      </c>
      <c r="KK97" s="25">
        <v>3974</v>
      </c>
      <c r="KL97" s="25">
        <v>5579</v>
      </c>
      <c r="KM97" s="25">
        <v>426</v>
      </c>
      <c r="KN97" s="25">
        <v>1249</v>
      </c>
      <c r="KO97" s="25">
        <v>3626</v>
      </c>
      <c r="KP97" s="25">
        <v>1342</v>
      </c>
      <c r="KQ97" s="25">
        <v>81420</v>
      </c>
      <c r="KR97" s="25">
        <v>1798</v>
      </c>
      <c r="KS97" s="25">
        <v>237474</v>
      </c>
      <c r="KT97" s="25">
        <v>6328</v>
      </c>
      <c r="KU97" s="25">
        <v>528</v>
      </c>
      <c r="KV97" s="25">
        <v>10222</v>
      </c>
      <c r="KW97" s="25">
        <v>2465</v>
      </c>
      <c r="KX97" s="25">
        <v>1844</v>
      </c>
      <c r="KY97" s="25">
        <v>31652</v>
      </c>
      <c r="KZ97" s="25">
        <v>4491</v>
      </c>
      <c r="LA97" s="25">
        <v>4248</v>
      </c>
      <c r="LB97" s="25">
        <v>1542</v>
      </c>
      <c r="LC97" s="25">
        <v>6589</v>
      </c>
      <c r="LD97" s="25">
        <v>18704</v>
      </c>
      <c r="LE97" s="25">
        <v>2917</v>
      </c>
      <c r="LF97" s="25">
        <v>803</v>
      </c>
      <c r="LG97" s="25">
        <v>8053</v>
      </c>
      <c r="LH97" s="25">
        <v>11776</v>
      </c>
      <c r="LI97" s="25">
        <v>785</v>
      </c>
      <c r="LJ97" s="25">
        <v>4199</v>
      </c>
      <c r="LK97" s="25">
        <v>309</v>
      </c>
      <c r="LL97" s="25">
        <v>49</v>
      </c>
      <c r="LM97" s="25">
        <v>103</v>
      </c>
      <c r="LN97" s="278">
        <f ca="1">$A97 - TST!Sweden100dt + 1</f>
        <v>43</v>
      </c>
      <c r="LO97" s="20">
        <f ca="1">INDEX(OFFSET(TST!HeadRow,ROW()-ROW(TST!HeadRow),0,1,COLUMNS(TST!HeadRow)),1,MATCH(LO$5,TST!HeadRow,0))/LO$8</f>
        <v>13511.241446725318</v>
      </c>
      <c r="LP97" s="278">
        <f ca="1">$A97 - TST!Spain100dt + 1</f>
        <v>43</v>
      </c>
      <c r="LQ97" s="20">
        <f ca="1">INDEX(OFFSET(TST!HeadRow,ROW()-ROW(TST!HeadRow),0,1,COLUMNS(TST!HeadRow)),1,MATCH(LQ$5,TST!HeadRow,0))/LQ$8</f>
        <v>40844.908393694081</v>
      </c>
      <c r="LR97" s="285">
        <f ca="1">$A97 - TST!Victoria100dt + 1</f>
        <v>34</v>
      </c>
      <c r="LS97" s="20">
        <f ca="1">INDEX(OFFSET(TST!HeadRow,ROW()-ROW(TST!HeadRow),0,1,COLUMNS(TST!HeadRow)),1,MATCH(LS$5,TST!HeadRow,0))/LS$8</f>
        <v>1989.7420425403529</v>
      </c>
      <c r="LT97" s="278">
        <f ca="1">$A97 - TST!Iran100dt + 1</f>
        <v>49</v>
      </c>
      <c r="LU97" s="20">
        <f ca="1">INDEX(OFFSET(TST!HeadRow,ROW()-ROW(TST!HeadRow),0,1,COLUMNS(TST!HeadRow)),1,MATCH(LU$5,TST!HeadRow,0))/LU$8</f>
        <v>9653.2295608370241</v>
      </c>
      <c r="LV97" s="278">
        <f ca="1">$A97 - TST!Japan100dt + 1</f>
        <v>25</v>
      </c>
      <c r="LW97" s="20">
        <f ca="1">INDEX(OFFSET(TST!HeadRow,ROW()-ROW(TST!HeadRow),0,1,COLUMNS(TST!HeadRow)),1,MATCH(LW$5,TST!HeadRow,0))/LW$8</f>
        <v>813.56444558384203</v>
      </c>
      <c r="LX97" s="278">
        <f ca="1">$A97 - TST!Queensland100dt + 1</f>
        <v>35</v>
      </c>
      <c r="LY97" s="20">
        <f ca="1">INDEX(OFFSET(TST!HeadRow,ROW()-ROW(TST!HeadRow),0,1,COLUMNS(TST!HeadRow)),1,MATCH(LY$5,TST!HeadRow,0))/LY$8</f>
        <v>1984.1847766697404</v>
      </c>
      <c r="LZ97" s="278">
        <f ca="1">$A97 - TST!Tasmania100dt + 1</f>
        <v>35</v>
      </c>
      <c r="MA97" s="20">
        <f ca="1">INDEX(OFFSET(TST!HeadRow,ROW()-ROW(TST!HeadRow),0,1,COLUMNS(TST!HeadRow)),1,MATCH(MA$5,TST!HeadRow,0))/MA$8</f>
        <v>3650.4854368932042</v>
      </c>
      <c r="MB97" s="278">
        <f ca="1">$A97 - TST!SouthAustralia100dt + 1</f>
        <v>36</v>
      </c>
      <c r="MC97" s="20">
        <f ca="1">INDEX(OFFSET(TST!HeadRow,ROW()-ROW(TST!HeadRow),0,1,COLUMNS(TST!HeadRow)),1,MATCH(MC$5,TST!HeadRow,0))/MC$8</f>
        <v>2604.7904191616767</v>
      </c>
      <c r="MD97" s="278">
        <f ca="1">$A97 - TST!AustralianCapitalTerritory100dt + 1</f>
        <v>30</v>
      </c>
      <c r="ME97" s="20">
        <f ca="1">INDEX(OFFSET(TST!HeadRow,ROW()-ROW(TST!HeadRow),0,1,COLUMNS(TST!HeadRow)),1,MATCH(ME$5,TST!HeadRow,0))/ME$8</f>
        <v>2406.2047376536002</v>
      </c>
      <c r="MF97" s="278">
        <f ca="1">$A97 - TST!NorthernTerritory100dt + 1</f>
        <v>30</v>
      </c>
      <c r="MG97" s="20">
        <f ca="1">INDEX(OFFSET(TST!HeadRow,ROW()-ROW(TST!HeadRow),0,1,COLUMNS(TST!HeadRow)),1,MATCH(MG$5,TST!HeadRow,0))/MG$8</f>
        <v>1321.0974545282972</v>
      </c>
      <c r="MH97" s="278">
        <f ca="1">$A97 - TST!WesternAustralia100dt + 1</f>
        <v>34</v>
      </c>
      <c r="MI97" s="20">
        <f ca="1">INDEX(OFFSET(TST!HeadRow,ROW()-ROW(TST!HeadRow),0,1,COLUMNS(TST!HeadRow)),1,MATCH(MI$5,TST!HeadRow,0))/MI$8</f>
        <v>2101.197373503283</v>
      </c>
      <c r="MJ97" s="278">
        <f ca="1">$A97 - TST!Germany100dt + 1</f>
        <v>42</v>
      </c>
      <c r="MK97" s="20">
        <f ca="1">INDEX(OFFSET(TST!HeadRow,ROW()-ROW(TST!HeadRow),0,1,COLUMNS(TST!HeadRow)),1,MATCH(MK$5,TST!HeadRow,0))/MK$8</f>
        <v>17265.960009636234</v>
      </c>
      <c r="ML97" s="278">
        <f ca="1">$A97 - TST!Denmark100dt + 1</f>
        <v>41</v>
      </c>
      <c r="MM97" s="20">
        <f ca="1">INDEX(OFFSET(TST!HeadRow,ROW()-ROW(TST!HeadRow),0,1,COLUMNS(TST!HeadRow)),1,MATCH(MM$5,TST!HeadRow,0))/MM$8</f>
        <v>12473.303479159491</v>
      </c>
      <c r="MN97" s="278">
        <f ca="1">$A97 - TST!SouthAfrica100dt + 1</f>
        <v>25</v>
      </c>
      <c r="MO97" s="20">
        <f ca="1">INDEX(OFFSET(TST!HeadRow,ROW()-ROW(TST!HeadRow),0,1,COLUMNS(TST!HeadRow)),1,MATCH(MO$5,TST!HeadRow,0))/MO$8</f>
        <v>525.0951886465906</v>
      </c>
      <c r="MP97" s="278">
        <f ca="1">$A97 - TST!UnitedKingdom100dt + 1</f>
        <v>37</v>
      </c>
      <c r="MQ97" s="20">
        <f ca="1">INDEX(OFFSET(TST!HeadRow,ROW()-ROW(TST!HeadRow),0,1,COLUMNS(TST!HeadRow)),1,MATCH(MQ$5,TST!HeadRow,0))/MQ$8</f>
        <v>17190.999397953041</v>
      </c>
      <c r="MR97" s="278">
        <f ca="1">$A97 - TST!Ireland100dt + 1</f>
        <v>37</v>
      </c>
      <c r="MS97" s="20">
        <f ca="1">INDEX(OFFSET(TST!HeadRow,ROW()-ROW(TST!HeadRow),0,1,COLUMNS(TST!HeadRow)),1,MATCH(MS$5,TST!HeadRow,0))/MS$8</f>
        <v>30118.367346938776</v>
      </c>
      <c r="MT97" s="278">
        <f ca="1">$A97 - TST!Italy100dt + 1</f>
        <v>52</v>
      </c>
      <c r="MU97" s="20">
        <f ca="1">INDEX(OFFSET(TST!HeadRow,ROW()-ROW(TST!HeadRow),0,1,COLUMNS(TST!HeadRow)),1,MATCH(MU$5,TST!HeadRow,0))/MU$8</f>
        <v>29085.723733156981</v>
      </c>
      <c r="MV97" s="278">
        <f ca="1">$A97 - TST!US100dt + 1</f>
        <v>35</v>
      </c>
      <c r="MW97" s="20">
        <f ca="1">INDEX(OFFSET(TST!HeadRow,ROW()-ROW(TST!HeadRow),0,1,COLUMNS(TST!HeadRow)),1,MATCH(MW$5,TST!HeadRow,0))/MW$8</f>
        <v>22239.832726613513</v>
      </c>
      <c r="MX97" s="278">
        <f ca="1">$A97 - TST!AustraliaSum100dt + 1</f>
        <v>35</v>
      </c>
      <c r="MY97" s="366">
        <f t="shared" si="9"/>
        <v>2589.496924775272</v>
      </c>
      <c r="MZ97" s="278">
        <f ca="1">$A97 - TST!NewSouthWales100dt + 1</f>
        <v>37</v>
      </c>
      <c r="NA97" s="366">
        <f ca="1">INDEX(OFFSET(TST!HeadRow,ROW()-ROW(TST!HeadRow),0,1,COLUMNS(TST!HeadRow)),1,MATCH(NA$5,TST!HeadRow,0))/NA$8</f>
        <v>3633.6633663366333</v>
      </c>
      <c r="NB97" s="278">
        <f ca="1">$A97 - TST!Taiwan100dt + 1</f>
        <v>24</v>
      </c>
      <c r="NC97" s="366">
        <f ca="1">INDEX(OFFSET(TST!HeadRow,ROW()-ROW(TST!HeadRow),0,1,COLUMNS(TST!HeadRow)),1,MATCH(NC$5,TST!HeadRow,0))/NC$8</f>
        <v>167.17574059903183</v>
      </c>
      <c r="ND97" s="20">
        <f ca="1">$A97 - TST!Hubei100dt + 1</f>
        <v>85</v>
      </c>
      <c r="NE97" s="20">
        <f ca="1">INDEX(OFFSET(TST!HeadRow,ROW()-ROW(TST!HeadRow),0,1,COLUMNS(TST!HeadRow)),1,MATCH(NE$5,TST!HeadRow,0))/NE$8</f>
        <v>11645.811965811967</v>
      </c>
      <c r="NF97" s="20">
        <f ca="1">$A97 - TST!HongKong100dt + 1</f>
        <v>55</v>
      </c>
      <c r="NG97" s="20">
        <f ca="1">INDEX(OFFSET(TST!HeadRow,ROW()-ROW(TST!HeadRow),0,1,COLUMNS(TST!HeadRow)),1,MATCH(NG$5,TST!HeadRow,0))/NG$8</f>
        <v>1374.3121728627029</v>
      </c>
    </row>
    <row r="98" spans="1:371" x14ac:dyDescent="0.25">
      <c r="A98" s="156">
        <v>43940</v>
      </c>
      <c r="B98" s="25">
        <v>996</v>
      </c>
      <c r="C98" s="25">
        <v>562</v>
      </c>
      <c r="D98" s="25">
        <v>2629</v>
      </c>
      <c r="E98" s="25">
        <v>713</v>
      </c>
      <c r="F98" s="25">
        <v>24</v>
      </c>
      <c r="G98" s="25">
        <v>23</v>
      </c>
      <c r="H98" s="25">
        <v>2839</v>
      </c>
      <c r="I98" s="25">
        <v>1291</v>
      </c>
      <c r="J98" s="25">
        <v>103</v>
      </c>
      <c r="K98" s="279">
        <v>2957</v>
      </c>
      <c r="L98" s="25">
        <v>28</v>
      </c>
      <c r="M98" s="279">
        <v>1019</v>
      </c>
      <c r="N98" s="25">
        <v>435</v>
      </c>
      <c r="O98" s="386">
        <v>195</v>
      </c>
      <c r="P98" s="279">
        <v>1328</v>
      </c>
      <c r="Q98" s="25">
        <v>545</v>
      </c>
      <c r="R98" s="25">
        <v>14749</v>
      </c>
      <c r="S98" s="25">
        <v>1398</v>
      </c>
      <c r="T98" s="25">
        <v>55</v>
      </c>
      <c r="U98" s="25">
        <v>1881</v>
      </c>
      <c r="V98" s="25">
        <v>2456</v>
      </c>
      <c r="W98" s="25">
        <v>75</v>
      </c>
      <c r="X98" s="25">
        <v>4779</v>
      </c>
      <c r="Y98" s="25">
        <v>38496</v>
      </c>
      <c r="Z98" s="25">
        <v>35</v>
      </c>
      <c r="AA98" s="25">
        <v>5</v>
      </c>
      <c r="AB98" s="25">
        <v>520</v>
      </c>
      <c r="AC98" s="25">
        <v>1285</v>
      </c>
      <c r="AD98" s="25">
        <v>38654</v>
      </c>
      <c r="AE98" s="25">
        <v>138</v>
      </c>
      <c r="AF98" s="25">
        <v>894</v>
      </c>
      <c r="AG98" s="25">
        <v>576</v>
      </c>
      <c r="AH98" s="25">
        <v>61</v>
      </c>
      <c r="AI98" s="25">
        <v>122</v>
      </c>
      <c r="AJ98" s="25">
        <v>1017</v>
      </c>
      <c r="AK98" s="25">
        <v>2803</v>
      </c>
      <c r="AL98" s="25">
        <v>1647</v>
      </c>
      <c r="AM98" s="25">
        <v>13</v>
      </c>
      <c r="AN98" s="25">
        <v>254</v>
      </c>
      <c r="AO98" s="25">
        <v>118</v>
      </c>
      <c r="AP98" s="25">
        <v>257</v>
      </c>
      <c r="AQ98" s="25">
        <v>675</v>
      </c>
      <c r="AR98" s="25">
        <v>11561</v>
      </c>
      <c r="AS98" s="25">
        <v>26</v>
      </c>
      <c r="AT98" s="25">
        <v>17950</v>
      </c>
      <c r="AU98" s="25">
        <v>315</v>
      </c>
      <c r="AV98" s="25">
        <v>12</v>
      </c>
      <c r="AW98" s="25">
        <v>33</v>
      </c>
      <c r="AX98" s="25">
        <v>10088</v>
      </c>
      <c r="AY98" s="25">
        <v>991</v>
      </c>
      <c r="AZ98" s="25">
        <v>593</v>
      </c>
      <c r="BA98" s="25">
        <v>579</v>
      </c>
      <c r="BB98" s="25">
        <v>355</v>
      </c>
      <c r="BC98" s="25">
        <v>139</v>
      </c>
      <c r="BD98" s="25">
        <v>1580</v>
      </c>
      <c r="BE98" s="25">
        <v>254</v>
      </c>
      <c r="BF98" s="25">
        <v>147</v>
      </c>
      <c r="BG98" s="25">
        <v>168</v>
      </c>
      <c r="BH98" s="25">
        <v>328</v>
      </c>
      <c r="BI98" s="25">
        <v>898</v>
      </c>
      <c r="BJ98" s="25">
        <v>1276</v>
      </c>
      <c r="BK98" s="25">
        <v>1025</v>
      </c>
      <c r="BL98" s="25">
        <v>68128</v>
      </c>
      <c r="BM98" s="25">
        <v>1019</v>
      </c>
      <c r="BN98" s="25">
        <v>193</v>
      </c>
      <c r="BO98" s="25">
        <v>653</v>
      </c>
      <c r="BP98" s="25">
        <v>937</v>
      </c>
      <c r="BQ98" s="25">
        <v>104</v>
      </c>
      <c r="BR98" s="25">
        <v>146</v>
      </c>
      <c r="BS98" s="25">
        <v>45</v>
      </c>
      <c r="BT98" s="25">
        <v>75</v>
      </c>
      <c r="BU98" s="25">
        <v>18</v>
      </c>
      <c r="BV98" s="25">
        <v>256</v>
      </c>
      <c r="BW98" s="25">
        <v>787</v>
      </c>
      <c r="BX98" s="25">
        <v>635</v>
      </c>
      <c r="BY98" s="25">
        <v>197</v>
      </c>
      <c r="BZ98" s="25">
        <v>561</v>
      </c>
      <c r="CA98" s="25">
        <v>189</v>
      </c>
      <c r="CB98" s="25">
        <v>1</v>
      </c>
      <c r="CC98" s="25">
        <v>76</v>
      </c>
      <c r="CD98" s="25">
        <v>184</v>
      </c>
      <c r="CE98" s="25">
        <v>1268</v>
      </c>
      <c r="CF98" s="25">
        <v>3792</v>
      </c>
      <c r="CG98" s="25">
        <v>143</v>
      </c>
      <c r="CH98" s="25">
        <v>327</v>
      </c>
      <c r="CI98" s="25">
        <v>660</v>
      </c>
      <c r="CJ98" s="25">
        <v>847</v>
      </c>
      <c r="CK98" s="25">
        <v>1871</v>
      </c>
      <c r="CL98" s="25">
        <v>712</v>
      </c>
      <c r="CM98" s="25">
        <v>1035</v>
      </c>
      <c r="CN98" s="25">
        <v>767</v>
      </c>
      <c r="CO98" s="25">
        <v>6746</v>
      </c>
      <c r="CP98" s="25">
        <v>185</v>
      </c>
      <c r="CQ98" s="25">
        <v>11</v>
      </c>
      <c r="CR98" s="25">
        <v>7384</v>
      </c>
      <c r="CS98" s="25">
        <v>846</v>
      </c>
      <c r="CT98" s="25">
        <v>4680</v>
      </c>
      <c r="CU98" s="25">
        <v>9468</v>
      </c>
      <c r="CV98" s="25">
        <v>3144</v>
      </c>
      <c r="CW98" s="25">
        <v>201</v>
      </c>
      <c r="CX98" s="25">
        <v>79</v>
      </c>
      <c r="CY98" s="25">
        <v>39</v>
      </c>
      <c r="CZ98" s="25">
        <v>1528</v>
      </c>
      <c r="DA98" s="25">
        <v>22</v>
      </c>
      <c r="DB98" s="25">
        <v>108</v>
      </c>
      <c r="DC98" s="25">
        <v>17</v>
      </c>
      <c r="DD98" s="25">
        <v>3783</v>
      </c>
      <c r="DE98" s="25">
        <v>96</v>
      </c>
      <c r="DF98" s="25">
        <v>55</v>
      </c>
      <c r="DG98" s="25">
        <v>148</v>
      </c>
      <c r="DH98" s="25">
        <v>271</v>
      </c>
      <c r="DI98" s="25">
        <v>18</v>
      </c>
      <c r="DJ98" s="25">
        <v>408</v>
      </c>
      <c r="DK98" s="25">
        <v>6</v>
      </c>
      <c r="DL98" s="25">
        <v>37</v>
      </c>
      <c r="DM98" s="25">
        <v>163</v>
      </c>
      <c r="DN98" s="25">
        <v>151808</v>
      </c>
      <c r="DO98" s="25">
        <v>109</v>
      </c>
      <c r="DP98" s="25">
        <v>10</v>
      </c>
      <c r="DQ98" s="25">
        <v>394</v>
      </c>
      <c r="DR98" s="25">
        <v>145184</v>
      </c>
      <c r="DS98" s="25">
        <v>1042</v>
      </c>
      <c r="DT98" s="25">
        <v>2235</v>
      </c>
      <c r="DU98" s="25">
        <v>257</v>
      </c>
      <c r="DV98" s="25">
        <v>579</v>
      </c>
      <c r="DW98" s="25">
        <v>65</v>
      </c>
      <c r="DX98" s="25">
        <v>47</v>
      </c>
      <c r="DY98" s="25">
        <v>8</v>
      </c>
      <c r="DZ98" s="25">
        <v>472</v>
      </c>
      <c r="EA98" s="25">
        <v>1916</v>
      </c>
      <c r="EB98" s="25">
        <v>1771</v>
      </c>
      <c r="EC98" s="25">
        <v>17615</v>
      </c>
      <c r="ED98" s="25">
        <v>6575</v>
      </c>
      <c r="EE98" s="25">
        <v>82211</v>
      </c>
      <c r="EF98" s="25">
        <v>1539</v>
      </c>
      <c r="EG98" s="25">
        <v>15251</v>
      </c>
      <c r="EH98" s="25">
        <v>13491</v>
      </c>
      <c r="EI98" s="25">
        <v>178972</v>
      </c>
      <c r="EJ98" s="25">
        <v>173</v>
      </c>
      <c r="EK98" s="25">
        <v>10797</v>
      </c>
      <c r="EL98" s="25">
        <v>417</v>
      </c>
      <c r="EM98" s="25">
        <v>1676</v>
      </c>
      <c r="EN98" s="25">
        <v>270</v>
      </c>
      <c r="EO98" s="25">
        <v>10661</v>
      </c>
      <c r="EP98" s="25">
        <v>1915</v>
      </c>
      <c r="EQ98" s="25">
        <v>554</v>
      </c>
      <c r="ER98" s="25">
        <v>727</v>
      </c>
      <c r="ES98" s="25">
        <v>673</v>
      </c>
      <c r="ET98" s="25">
        <v>91</v>
      </c>
      <c r="EU98" s="25">
        <v>81</v>
      </c>
      <c r="EV98" s="25">
        <v>1298</v>
      </c>
      <c r="EW98" s="25">
        <v>3550</v>
      </c>
      <c r="EX98" s="25">
        <v>121</v>
      </c>
      <c r="EY98" s="25">
        <v>5389</v>
      </c>
      <c r="EZ98" s="25">
        <v>52</v>
      </c>
      <c r="FA98" s="25">
        <v>427</v>
      </c>
      <c r="FB98" s="25">
        <v>7</v>
      </c>
      <c r="FC98" s="25">
        <v>328</v>
      </c>
      <c r="FD98" s="25">
        <v>8261</v>
      </c>
      <c r="FE98" s="25">
        <v>2472</v>
      </c>
      <c r="FF98" s="25">
        <v>94</v>
      </c>
      <c r="FG98" s="25">
        <v>32</v>
      </c>
      <c r="FH98" s="25">
        <v>308</v>
      </c>
      <c r="FI98" s="25">
        <v>2855</v>
      </c>
      <c r="FJ98" s="25">
        <v>16</v>
      </c>
      <c r="FK98" s="25">
        <v>31</v>
      </c>
      <c r="FL98" s="25">
        <v>97</v>
      </c>
      <c r="FM98" s="25">
        <v>14</v>
      </c>
      <c r="FN98" s="25">
        <v>67</v>
      </c>
      <c r="FO98" s="25">
        <v>32655</v>
      </c>
      <c r="FP98" s="25">
        <v>1431</v>
      </c>
      <c r="FQ98" s="25">
        <v>10</v>
      </c>
      <c r="FR98" s="25">
        <v>648</v>
      </c>
      <c r="FS98" s="25">
        <v>627</v>
      </c>
      <c r="FT98" s="25">
        <v>1207</v>
      </c>
      <c r="FU98" s="25">
        <v>7078</v>
      </c>
      <c r="FV98" s="25">
        <v>1266</v>
      </c>
      <c r="FW98" s="25">
        <v>8348</v>
      </c>
      <c r="FX98" s="25">
        <v>4273</v>
      </c>
      <c r="FY98" s="25">
        <v>7</v>
      </c>
      <c r="FZ98" s="25">
        <v>206</v>
      </c>
      <c r="GA98" s="25">
        <v>15628</v>
      </c>
      <c r="GB98" s="25">
        <v>6259</v>
      </c>
      <c r="GC98" s="25">
        <v>9287</v>
      </c>
      <c r="GD98" s="25">
        <v>20206</v>
      </c>
      <c r="GE98" s="25">
        <v>5448</v>
      </c>
      <c r="GF98" s="25">
        <v>8746</v>
      </c>
      <c r="GG98" s="25">
        <v>42853</v>
      </c>
      <c r="GH98" s="25">
        <v>147</v>
      </c>
      <c r="GI98" s="25">
        <v>15</v>
      </c>
      <c r="GJ98" s="25">
        <v>12</v>
      </c>
      <c r="GK98" s="25">
        <v>461</v>
      </c>
      <c r="GL98" s="25">
        <v>9362</v>
      </c>
      <c r="GM98" s="25">
        <v>367</v>
      </c>
      <c r="GN98" s="25">
        <v>6318</v>
      </c>
      <c r="GO98" s="25">
        <v>11</v>
      </c>
      <c r="GP98" s="25">
        <v>6588</v>
      </c>
      <c r="GQ98" s="25">
        <v>1161</v>
      </c>
      <c r="GR98" s="25">
        <v>1330</v>
      </c>
      <c r="GS98" s="25">
        <v>164</v>
      </c>
      <c r="GT98" s="25">
        <v>3158</v>
      </c>
      <c r="GU98" s="25">
        <v>198674</v>
      </c>
      <c r="GV98" s="25">
        <v>271</v>
      </c>
      <c r="GW98" s="25">
        <v>66</v>
      </c>
      <c r="GX98" s="25">
        <v>10</v>
      </c>
      <c r="GY98" s="25">
        <v>14385</v>
      </c>
      <c r="GZ98" s="25">
        <v>27740</v>
      </c>
      <c r="HA98" s="25">
        <v>420</v>
      </c>
      <c r="HB98" s="25">
        <v>170</v>
      </c>
      <c r="HC98" s="25">
        <v>2765</v>
      </c>
      <c r="HD98" s="25">
        <v>84</v>
      </c>
      <c r="HE98" s="25">
        <v>114</v>
      </c>
      <c r="HF98" s="25">
        <v>879</v>
      </c>
      <c r="HG98" s="25">
        <v>86306</v>
      </c>
      <c r="HH98" s="25">
        <v>55</v>
      </c>
      <c r="HI98" s="25">
        <v>5449</v>
      </c>
      <c r="HJ98" s="25">
        <v>6781</v>
      </c>
      <c r="HK98" s="25">
        <v>86</v>
      </c>
      <c r="HL98" s="25">
        <v>61</v>
      </c>
      <c r="HM98" s="25">
        <v>488</v>
      </c>
      <c r="HN98" s="25">
        <v>132</v>
      </c>
      <c r="HO98" s="25">
        <v>298</v>
      </c>
      <c r="HP98" s="25">
        <v>11</v>
      </c>
      <c r="HQ98" s="25">
        <v>120067</v>
      </c>
      <c r="HR98" s="25">
        <v>517</v>
      </c>
      <c r="HS98" s="25">
        <v>758809</v>
      </c>
      <c r="HT98" s="25">
        <v>1565</v>
      </c>
      <c r="HU98" s="25">
        <v>256</v>
      </c>
      <c r="HV98" s="25">
        <v>268</v>
      </c>
      <c r="HW98" s="25">
        <v>61</v>
      </c>
      <c r="HX98" s="25">
        <v>25</v>
      </c>
      <c r="HY98" s="25">
        <v>0</v>
      </c>
      <c r="HZ98" s="25">
        <v>16</v>
      </c>
      <c r="IA98" s="25">
        <v>14</v>
      </c>
      <c r="IB98" s="25">
        <v>39</v>
      </c>
      <c r="IC98" s="25">
        <v>39</v>
      </c>
      <c r="ID98" s="25">
        <v>19</v>
      </c>
      <c r="IE98" s="25">
        <v>18</v>
      </c>
      <c r="IF98" s="25">
        <v>0</v>
      </c>
      <c r="IG98" s="25">
        <v>19</v>
      </c>
      <c r="IH98" s="25">
        <v>51</v>
      </c>
      <c r="II98" s="25">
        <v>437</v>
      </c>
      <c r="IJ98" s="25">
        <v>50</v>
      </c>
      <c r="IK98" s="25">
        <v>224</v>
      </c>
      <c r="IL98" s="25">
        <v>14</v>
      </c>
      <c r="IM98" s="25">
        <v>5</v>
      </c>
      <c r="IN98" s="25">
        <v>9</v>
      </c>
      <c r="IO98" s="25">
        <v>561</v>
      </c>
      <c r="IP98" s="25">
        <v>111</v>
      </c>
      <c r="IQ98" s="25">
        <v>3</v>
      </c>
      <c r="IR98" s="25">
        <v>4</v>
      </c>
      <c r="IS98" s="25">
        <v>11</v>
      </c>
      <c r="IT98" s="25">
        <v>9</v>
      </c>
      <c r="IU98" s="25">
        <v>20</v>
      </c>
      <c r="IV98" s="25">
        <v>5</v>
      </c>
      <c r="IW98" s="25">
        <v>35</v>
      </c>
      <c r="IX98" s="25">
        <v>5</v>
      </c>
      <c r="IY98" s="25">
        <v>17</v>
      </c>
      <c r="IZ98" s="25">
        <v>11</v>
      </c>
      <c r="JA98" s="25">
        <v>1</v>
      </c>
      <c r="JB98" s="25">
        <v>4</v>
      </c>
      <c r="JC98" s="25">
        <v>6</v>
      </c>
      <c r="JD98" s="25">
        <v>4</v>
      </c>
      <c r="JE98" s="25">
        <v>1</v>
      </c>
      <c r="JF98" s="25">
        <v>0</v>
      </c>
      <c r="JG98" s="25">
        <v>0</v>
      </c>
      <c r="JH98" s="25">
        <v>0</v>
      </c>
      <c r="JI98" s="25">
        <v>136</v>
      </c>
      <c r="JJ98" s="25">
        <v>14</v>
      </c>
      <c r="JK98" s="25">
        <v>1213</v>
      </c>
      <c r="JL98" s="25">
        <v>53</v>
      </c>
      <c r="JM98" s="25">
        <v>4888</v>
      </c>
      <c r="JN98" s="25">
        <v>319</v>
      </c>
      <c r="JO98" s="25">
        <v>4933</v>
      </c>
      <c r="JP98" s="25">
        <v>1781</v>
      </c>
      <c r="JQ98" s="25">
        <v>31431</v>
      </c>
      <c r="JR98" s="25">
        <v>9730</v>
      </c>
      <c r="JS98" s="25">
        <v>17962</v>
      </c>
      <c r="JT98" s="25">
        <v>2538</v>
      </c>
      <c r="JU98" s="25">
        <v>2793</v>
      </c>
      <c r="JV98" s="25">
        <v>26314</v>
      </c>
      <c r="JW98" s="25">
        <v>18301</v>
      </c>
      <c r="JX98" s="25">
        <v>580</v>
      </c>
      <c r="JY98" s="25">
        <v>1668</v>
      </c>
      <c r="JZ98" s="25">
        <v>30357</v>
      </c>
      <c r="KA98" s="25">
        <v>11211</v>
      </c>
      <c r="KB98" s="25">
        <v>2902</v>
      </c>
      <c r="KC98" s="25">
        <v>1905</v>
      </c>
      <c r="KD98" s="25">
        <v>2960</v>
      </c>
      <c r="KE98" s="25">
        <v>23928</v>
      </c>
      <c r="KF98" s="25">
        <v>867</v>
      </c>
      <c r="KG98" s="25">
        <v>12847</v>
      </c>
      <c r="KH98" s="25">
        <v>38077</v>
      </c>
      <c r="KI98" s="25">
        <v>31424</v>
      </c>
      <c r="KJ98" s="25">
        <v>2356</v>
      </c>
      <c r="KK98" s="25">
        <v>4274</v>
      </c>
      <c r="KL98" s="25">
        <v>5743</v>
      </c>
      <c r="KM98" s="25">
        <v>433</v>
      </c>
      <c r="KN98" s="25">
        <v>1474</v>
      </c>
      <c r="KO98" s="25">
        <v>3728</v>
      </c>
      <c r="KP98" s="25">
        <v>1390</v>
      </c>
      <c r="KQ98" s="25">
        <v>85301</v>
      </c>
      <c r="KR98" s="25">
        <v>1845</v>
      </c>
      <c r="KS98" s="25">
        <v>243382</v>
      </c>
      <c r="KT98" s="25">
        <v>6601</v>
      </c>
      <c r="KU98" s="25">
        <v>585</v>
      </c>
      <c r="KV98" s="25">
        <v>11602</v>
      </c>
      <c r="KW98" s="25">
        <v>2567</v>
      </c>
      <c r="KX98" s="25">
        <v>1910</v>
      </c>
      <c r="KY98" s="25">
        <v>32902</v>
      </c>
      <c r="KZ98" s="25">
        <v>4706</v>
      </c>
      <c r="LA98" s="25">
        <v>4377</v>
      </c>
      <c r="LB98" s="25">
        <v>1635</v>
      </c>
      <c r="LC98" s="25">
        <v>7070</v>
      </c>
      <c r="LD98" s="25">
        <v>19260</v>
      </c>
      <c r="LE98" s="25">
        <v>3069</v>
      </c>
      <c r="LF98" s="25">
        <v>813</v>
      </c>
      <c r="LG98" s="25">
        <v>8542</v>
      </c>
      <c r="LH98" s="25">
        <v>11978</v>
      </c>
      <c r="LI98" s="25">
        <v>890</v>
      </c>
      <c r="LJ98" s="25">
        <v>4346</v>
      </c>
      <c r="LK98" s="25">
        <v>313</v>
      </c>
      <c r="LL98" s="25">
        <v>49</v>
      </c>
      <c r="LM98" s="25">
        <v>103</v>
      </c>
      <c r="LN98" s="278">
        <f ca="1">$A98 - TST!Sweden100dt + 1</f>
        <v>44</v>
      </c>
      <c r="LO98" s="20">
        <f ca="1">INDEX(OFFSET(TST!HeadRow,ROW()-ROW(TST!HeadRow),0,1,COLUMNS(TST!HeadRow)),1,MATCH(LO$5,TST!HeadRow,0))/LO$8</f>
        <v>14061.58357771261</v>
      </c>
      <c r="LP98" s="278">
        <f ca="1">$A98 - TST!Spain100dt + 1</f>
        <v>44</v>
      </c>
      <c r="LQ98" s="20">
        <f ca="1">INDEX(OFFSET(TST!HeadRow,ROW()-ROW(TST!HeadRow),0,1,COLUMNS(TST!HeadRow)),1,MATCH(LQ$5,TST!HeadRow,0))/LQ$8</f>
        <v>42325.095867064338</v>
      </c>
      <c r="LR98" s="285">
        <f ca="1">$A98 - TST!Victoria100dt + 1</f>
        <v>35</v>
      </c>
      <c r="LS98" s="20">
        <f ca="1">INDEX(OFFSET(TST!HeadRow,ROW()-ROW(TST!HeadRow),0,1,COLUMNS(TST!HeadRow)),1,MATCH(LS$5,TST!HeadRow,0))/LS$8</f>
        <v>2003.3187509428269</v>
      </c>
      <c r="LT98" s="278">
        <f ca="1">$A98 - TST!Iran100dt + 1</f>
        <v>50</v>
      </c>
      <c r="LU98" s="20">
        <f ca="1">INDEX(OFFSET(TST!HeadRow,ROW()-ROW(TST!HeadRow),0,1,COLUMNS(TST!HeadRow)),1,MATCH(LU$5,TST!HeadRow,0))/LU$8</f>
        <v>9813.5437432108192</v>
      </c>
      <c r="LV98" s="278">
        <f ca="1">$A98 - TST!Japan100dt + 1</f>
        <v>26</v>
      </c>
      <c r="LW98" s="20">
        <f ca="1">INDEX(OFFSET(TST!HeadRow,ROW()-ROW(TST!HeadRow),0,1,COLUMNS(TST!HeadRow)),1,MATCH(LW$5,TST!HeadRow,0))/LW$8</f>
        <v>853.15222600706522</v>
      </c>
      <c r="LX98" s="278">
        <f ca="1">$A98 - TST!Queensland100dt + 1</f>
        <v>36</v>
      </c>
      <c r="LY98" s="20">
        <f ca="1">INDEX(OFFSET(TST!HeadRow,ROW()-ROW(TST!HeadRow),0,1,COLUMNS(TST!HeadRow)),1,MATCH(LY$5,TST!HeadRow,0))/LY$8</f>
        <v>1992.0042240654832</v>
      </c>
      <c r="LZ98" s="278">
        <f ca="1">$A98 - TST!Tasmania100dt + 1</f>
        <v>36</v>
      </c>
      <c r="MA98" s="20">
        <f ca="1">INDEX(OFFSET(TST!HeadRow,ROW()-ROW(TST!HeadRow),0,1,COLUMNS(TST!HeadRow)),1,MATCH(MA$5,TST!HeadRow,0))/MA$8</f>
        <v>3786.4077669902913</v>
      </c>
      <c r="MB98" s="278">
        <f ca="1">$A98 - TST!SouthAustralia100dt + 1</f>
        <v>37</v>
      </c>
      <c r="MC98" s="20">
        <f ca="1">INDEX(OFFSET(TST!HeadRow,ROW()-ROW(TST!HeadRow),0,1,COLUMNS(TST!HeadRow)),1,MATCH(MC$5,TST!HeadRow,0))/MC$8</f>
        <v>2604.7904191616767</v>
      </c>
      <c r="MD98" s="278">
        <f ca="1">$A98 - TST!AustralianCapitalTerritory100dt + 1</f>
        <v>31</v>
      </c>
      <c r="ME98" s="20">
        <f ca="1">INDEX(OFFSET(TST!HeadRow,ROW()-ROW(TST!HeadRow),0,1,COLUMNS(TST!HeadRow)),1,MATCH(ME$5,TST!HeadRow,0))/ME$8</f>
        <v>2406.2047376536002</v>
      </c>
      <c r="MF98" s="278">
        <f ca="1">$A98 - TST!NorthernTerritory100dt + 1</f>
        <v>31</v>
      </c>
      <c r="MG98" s="20">
        <f ca="1">INDEX(OFFSET(TST!HeadRow,ROW()-ROW(TST!HeadRow),0,1,COLUMNS(TST!HeadRow)),1,MATCH(MG$5,TST!HeadRow,0))/MG$8</f>
        <v>1321.0974545282972</v>
      </c>
      <c r="MH98" s="278">
        <f ca="1">$A98 - TST!WesternAustralia100dt + 1</f>
        <v>35</v>
      </c>
      <c r="MI98" s="20">
        <f ca="1">INDEX(OFFSET(TST!HeadRow,ROW()-ROW(TST!HeadRow),0,1,COLUMNS(TST!HeadRow)),1,MATCH(MI$5,TST!HeadRow,0))/MI$8</f>
        <v>2105.0598686751641</v>
      </c>
      <c r="MJ98" s="278">
        <f ca="1">$A98 - TST!Germany100dt + 1</f>
        <v>43</v>
      </c>
      <c r="MK98" s="20">
        <f ca="1">INDEX(OFFSET(TST!HeadRow,ROW()-ROW(TST!HeadRow),0,1,COLUMNS(TST!HeadRow)),1,MATCH(MK$5,TST!HeadRow,0))/MK$8</f>
        <v>17487.834256805589</v>
      </c>
      <c r="ML98" s="278">
        <f ca="1">$A98 - TST!Denmark100dt + 1</f>
        <v>42</v>
      </c>
      <c r="MM98" s="20">
        <f ca="1">INDEX(OFFSET(TST!HeadRow,ROW()-ROW(TST!HeadRow),0,1,COLUMNS(TST!HeadRow)),1,MATCH(MM$5,TST!HeadRow,0))/MM$8</f>
        <v>12717.878057182224</v>
      </c>
      <c r="MN98" s="278">
        <f ca="1">$A98 - TST!SouthAfrica100dt + 1</f>
        <v>26</v>
      </c>
      <c r="MO98" s="20">
        <f ca="1">INDEX(OFFSET(TST!HeadRow,ROW()-ROW(TST!HeadRow),0,1,COLUMNS(TST!HeadRow)),1,MATCH(MO$5,TST!HeadRow,0))/MO$8</f>
        <v>546.55590169608865</v>
      </c>
      <c r="MP98" s="278">
        <f ca="1">$A98 - TST!UnitedKingdom100dt + 1</f>
        <v>38</v>
      </c>
      <c r="MQ98" s="20">
        <f ca="1">INDEX(OFFSET(TST!HeadRow,ROW()-ROW(TST!HeadRow),0,1,COLUMNS(TST!HeadRow)),1,MATCH(MQ$5,TST!HeadRow,0))/MQ$8</f>
        <v>18071.493076459963</v>
      </c>
      <c r="MR98" s="278">
        <f ca="1">$A98 - TST!Ireland100dt + 1</f>
        <v>38</v>
      </c>
      <c r="MS98" s="20">
        <f ca="1">INDEX(OFFSET(TST!HeadRow,ROW()-ROW(TST!HeadRow),0,1,COLUMNS(TST!HeadRow)),1,MATCH(MS$5,TST!HeadRow,0))/MS$8</f>
        <v>31124.489795918369</v>
      </c>
      <c r="MT98" s="278">
        <f ca="1">$A98 - TST!Italy100dt + 1</f>
        <v>53</v>
      </c>
      <c r="MU98" s="20">
        <f ca="1">INDEX(OFFSET(TST!HeadRow,ROW()-ROW(TST!HeadRow),0,1,COLUMNS(TST!HeadRow)),1,MATCH(MU$5,TST!HeadRow,0))/MU$8</f>
        <v>29589.484996280069</v>
      </c>
      <c r="MV98" s="278">
        <f ca="1">$A98 - TST!US100dt + 1</f>
        <v>36</v>
      </c>
      <c r="MW98" s="20">
        <f ca="1">INDEX(OFFSET(TST!HeadRow,ROW()-ROW(TST!HeadRow),0,1,COLUMNS(TST!HeadRow)),1,MATCH(MW$5,TST!HeadRow,0))/MW$8</f>
        <v>23048.148560358582</v>
      </c>
      <c r="MX98" s="278">
        <f ca="1">$A98 - TST!AustraliaSum100dt + 1</f>
        <v>36</v>
      </c>
      <c r="MY98" s="366">
        <f t="shared" si="9"/>
        <v>2606.0558271566001</v>
      </c>
      <c r="MZ98" s="278">
        <f ca="1">$A98 - TST!NewSouthWales100dt + 1</f>
        <v>38</v>
      </c>
      <c r="NA98" s="366">
        <f ca="1">INDEX(OFFSET(TST!HeadRow,ROW()-ROW(TST!HeadRow),0,1,COLUMNS(TST!HeadRow)),1,MATCH(NA$5,TST!HeadRow,0))/NA$8</f>
        <v>3659.6534653465346</v>
      </c>
      <c r="NB98" s="278">
        <f ca="1">$A98 - TST!Taiwan100dt + 1</f>
        <v>25</v>
      </c>
      <c r="NC98" s="366">
        <f ca="1">INDEX(OFFSET(TST!HeadRow,ROW()-ROW(TST!HeadRow),0,1,COLUMNS(TST!HeadRow)),1,MATCH(NC$5,TST!HeadRow,0))/NC$8</f>
        <v>176.4166106823954</v>
      </c>
      <c r="ND98" s="20">
        <f ca="1">$A98 - TST!Hubei100dt + 1</f>
        <v>86</v>
      </c>
      <c r="NE98" s="20">
        <f ca="1">INDEX(OFFSET(TST!HeadRow,ROW()-ROW(TST!HeadRow),0,1,COLUMNS(TST!HeadRow)),1,MATCH(NE$5,TST!HeadRow,0))/NE$8</f>
        <v>11645.811965811967</v>
      </c>
      <c r="NF98" s="20">
        <f ca="1">$A98 - TST!HongKong100dt + 1</f>
        <v>56</v>
      </c>
      <c r="NG98" s="20">
        <f ca="1">INDEX(OFFSET(TST!HeadRow,ROW()-ROW(TST!HeadRow),0,1,COLUMNS(TST!HeadRow)),1,MATCH(NG$5,TST!HeadRow,0))/NG$8</f>
        <v>1375.6542745940142</v>
      </c>
    </row>
    <row r="99" spans="1:371" x14ac:dyDescent="0.25">
      <c r="A99" s="156">
        <v>43941</v>
      </c>
      <c r="B99" s="25">
        <v>1026</v>
      </c>
      <c r="C99" s="25">
        <v>584</v>
      </c>
      <c r="D99" s="25">
        <v>2718</v>
      </c>
      <c r="E99" s="25">
        <v>717</v>
      </c>
      <c r="F99" s="25">
        <v>24</v>
      </c>
      <c r="G99" s="25">
        <v>23</v>
      </c>
      <c r="H99" s="25">
        <v>2941</v>
      </c>
      <c r="I99" s="25">
        <v>1339</v>
      </c>
      <c r="J99" s="25">
        <v>104</v>
      </c>
      <c r="K99" s="292">
        <v>2963</v>
      </c>
      <c r="L99" s="25">
        <v>28</v>
      </c>
      <c r="M99" s="289">
        <v>1019</v>
      </c>
      <c r="N99" s="25">
        <v>435</v>
      </c>
      <c r="O99" s="387">
        <v>200</v>
      </c>
      <c r="P99" s="286">
        <v>1329</v>
      </c>
      <c r="Q99" s="25">
        <v>545</v>
      </c>
      <c r="R99" s="25">
        <v>14795</v>
      </c>
      <c r="S99" s="25">
        <v>1436</v>
      </c>
      <c r="T99" s="25">
        <v>60</v>
      </c>
      <c r="U99" s="25">
        <v>1907</v>
      </c>
      <c r="V99" s="25">
        <v>2948</v>
      </c>
      <c r="W99" s="25">
        <v>75</v>
      </c>
      <c r="X99" s="25">
        <v>6264</v>
      </c>
      <c r="Y99" s="25">
        <v>39983</v>
      </c>
      <c r="Z99" s="25">
        <v>54</v>
      </c>
      <c r="AA99" s="25">
        <v>5</v>
      </c>
      <c r="AB99" s="25">
        <v>564</v>
      </c>
      <c r="AC99" s="25">
        <v>1309</v>
      </c>
      <c r="AD99" s="25">
        <v>40743</v>
      </c>
      <c r="AE99" s="25">
        <v>138</v>
      </c>
      <c r="AF99" s="25">
        <v>929</v>
      </c>
      <c r="AG99" s="25">
        <v>581</v>
      </c>
      <c r="AH99" s="25">
        <v>67</v>
      </c>
      <c r="AI99" s="25">
        <v>122</v>
      </c>
      <c r="AJ99" s="25">
        <v>1163</v>
      </c>
      <c r="AK99" s="25">
        <v>2908</v>
      </c>
      <c r="AL99" s="25">
        <v>1647</v>
      </c>
      <c r="AM99" s="25">
        <v>13</v>
      </c>
      <c r="AN99" s="25">
        <v>254</v>
      </c>
      <c r="AO99" s="25">
        <v>118</v>
      </c>
      <c r="AP99" s="25">
        <v>257</v>
      </c>
      <c r="AQ99" s="25">
        <v>721</v>
      </c>
      <c r="AR99" s="25">
        <v>12063</v>
      </c>
      <c r="AS99" s="25">
        <v>26</v>
      </c>
      <c r="AT99" s="25">
        <v>19319</v>
      </c>
      <c r="AU99" s="25">
        <v>316</v>
      </c>
      <c r="AV99" s="25">
        <v>12</v>
      </c>
      <c r="AW99" s="25">
        <v>33</v>
      </c>
      <c r="AX99" s="25">
        <v>10507</v>
      </c>
      <c r="AY99" s="25">
        <v>991</v>
      </c>
      <c r="AZ99" s="25">
        <v>593</v>
      </c>
      <c r="BA99" s="25">
        <v>579</v>
      </c>
      <c r="BB99" s="25">
        <v>355</v>
      </c>
      <c r="BC99" s="25">
        <v>139</v>
      </c>
      <c r="BD99" s="25">
        <v>1581</v>
      </c>
      <c r="BE99" s="25">
        <v>254</v>
      </c>
      <c r="BF99" s="25">
        <v>147</v>
      </c>
      <c r="BG99" s="25">
        <v>168</v>
      </c>
      <c r="BH99" s="25">
        <v>328</v>
      </c>
      <c r="BI99" s="25">
        <v>905</v>
      </c>
      <c r="BJ99" s="25">
        <v>1276</v>
      </c>
      <c r="BK99" s="25">
        <v>1025</v>
      </c>
      <c r="BL99" s="25">
        <v>68128</v>
      </c>
      <c r="BM99" s="25">
        <v>1019</v>
      </c>
      <c r="BN99" s="25">
        <v>194</v>
      </c>
      <c r="BO99" s="25">
        <v>653</v>
      </c>
      <c r="BP99" s="25">
        <v>937</v>
      </c>
      <c r="BQ99" s="25">
        <v>104</v>
      </c>
      <c r="BR99" s="25">
        <v>146</v>
      </c>
      <c r="BS99" s="25">
        <v>45</v>
      </c>
      <c r="BT99" s="25">
        <v>75</v>
      </c>
      <c r="BU99" s="25">
        <v>18</v>
      </c>
      <c r="BV99" s="25">
        <v>256</v>
      </c>
      <c r="BW99" s="25">
        <v>787</v>
      </c>
      <c r="BX99" s="25">
        <v>638</v>
      </c>
      <c r="BY99" s="25">
        <v>197</v>
      </c>
      <c r="BZ99" s="25">
        <v>561</v>
      </c>
      <c r="CA99" s="25">
        <v>189</v>
      </c>
      <c r="CB99" s="25">
        <v>1</v>
      </c>
      <c r="CC99" s="25">
        <v>76</v>
      </c>
      <c r="CD99" s="25">
        <v>184</v>
      </c>
      <c r="CE99" s="25">
        <v>1268</v>
      </c>
      <c r="CF99" s="25">
        <v>3977</v>
      </c>
      <c r="CG99" s="25">
        <v>160</v>
      </c>
      <c r="CH99" s="25">
        <v>332</v>
      </c>
      <c r="CI99" s="25">
        <v>662</v>
      </c>
      <c r="CJ99" s="25">
        <v>847</v>
      </c>
      <c r="CK99" s="25">
        <v>1881</v>
      </c>
      <c r="CL99" s="25">
        <v>712</v>
      </c>
      <c r="CM99" s="25">
        <v>1087</v>
      </c>
      <c r="CN99" s="25">
        <v>772</v>
      </c>
      <c r="CO99" s="25">
        <v>6900</v>
      </c>
      <c r="CP99" s="25">
        <v>185</v>
      </c>
      <c r="CQ99" s="25">
        <v>11</v>
      </c>
      <c r="CR99" s="25">
        <v>7515</v>
      </c>
      <c r="CS99" s="25">
        <v>846</v>
      </c>
      <c r="CT99" s="25">
        <v>4964</v>
      </c>
      <c r="CU99" s="25">
        <v>10128</v>
      </c>
      <c r="CV99" s="25">
        <v>3333</v>
      </c>
      <c r="CW99" s="25">
        <v>218</v>
      </c>
      <c r="CX99" s="25">
        <v>79</v>
      </c>
      <c r="CY99" s="25">
        <v>39</v>
      </c>
      <c r="CZ99" s="25">
        <v>1535</v>
      </c>
      <c r="DA99" s="25">
        <v>24</v>
      </c>
      <c r="DB99" s="25">
        <v>111</v>
      </c>
      <c r="DC99" s="25">
        <v>18</v>
      </c>
      <c r="DD99" s="25">
        <v>3868</v>
      </c>
      <c r="DE99" s="25">
        <v>97</v>
      </c>
      <c r="DF99" s="25">
        <v>56</v>
      </c>
      <c r="DG99" s="25">
        <v>148</v>
      </c>
      <c r="DH99" s="25">
        <v>271</v>
      </c>
      <c r="DI99" s="25">
        <v>18</v>
      </c>
      <c r="DJ99" s="25">
        <v>408</v>
      </c>
      <c r="DK99" s="25">
        <v>6</v>
      </c>
      <c r="DL99" s="25">
        <v>37</v>
      </c>
      <c r="DM99" s="25">
        <v>163</v>
      </c>
      <c r="DN99" s="25">
        <v>154188</v>
      </c>
      <c r="DO99" s="25">
        <v>120</v>
      </c>
      <c r="DP99" s="25">
        <v>10</v>
      </c>
      <c r="DQ99" s="25">
        <v>402</v>
      </c>
      <c r="DR99" s="25">
        <v>147065</v>
      </c>
      <c r="DS99" s="25">
        <v>1042</v>
      </c>
      <c r="DT99" s="25">
        <v>2245</v>
      </c>
      <c r="DU99" s="25">
        <v>289</v>
      </c>
      <c r="DV99" s="25">
        <v>622</v>
      </c>
      <c r="DW99" s="25">
        <v>65</v>
      </c>
      <c r="DX99" s="25">
        <v>57</v>
      </c>
      <c r="DY99" s="25">
        <v>9</v>
      </c>
      <c r="DZ99" s="25">
        <v>477</v>
      </c>
      <c r="EA99" s="25">
        <v>1984</v>
      </c>
      <c r="EB99" s="25">
        <v>1773</v>
      </c>
      <c r="EC99" s="25">
        <v>18539</v>
      </c>
      <c r="ED99" s="25">
        <v>6760</v>
      </c>
      <c r="EE99" s="25">
        <v>83505</v>
      </c>
      <c r="EF99" s="25">
        <v>1574</v>
      </c>
      <c r="EG99" s="25">
        <v>15652</v>
      </c>
      <c r="EH99" s="25">
        <v>13713</v>
      </c>
      <c r="EI99" s="25">
        <v>181228</v>
      </c>
      <c r="EJ99" s="25">
        <v>223</v>
      </c>
      <c r="EK99" s="25">
        <v>10797</v>
      </c>
      <c r="EL99" s="25">
        <v>425</v>
      </c>
      <c r="EM99" s="25">
        <v>1852</v>
      </c>
      <c r="EN99" s="25">
        <v>281</v>
      </c>
      <c r="EO99" s="25">
        <v>10674</v>
      </c>
      <c r="EP99" s="25">
        <v>1995</v>
      </c>
      <c r="EQ99" s="25">
        <v>568</v>
      </c>
      <c r="ER99" s="25">
        <v>739</v>
      </c>
      <c r="ES99" s="25">
        <v>677</v>
      </c>
      <c r="ET99" s="25">
        <v>99</v>
      </c>
      <c r="EU99" s="25">
        <v>81</v>
      </c>
      <c r="EV99" s="25">
        <v>1326</v>
      </c>
      <c r="EW99" s="25">
        <v>3558</v>
      </c>
      <c r="EX99" s="25">
        <v>121</v>
      </c>
      <c r="EY99" s="25">
        <v>5425</v>
      </c>
      <c r="EZ99" s="25">
        <v>69</v>
      </c>
      <c r="FA99" s="25">
        <v>431</v>
      </c>
      <c r="FB99" s="25">
        <v>7</v>
      </c>
      <c r="FC99" s="25">
        <v>328</v>
      </c>
      <c r="FD99" s="25">
        <v>8772</v>
      </c>
      <c r="FE99" s="25">
        <v>2548</v>
      </c>
      <c r="FF99" s="25">
        <v>94</v>
      </c>
      <c r="FG99" s="25">
        <v>33</v>
      </c>
      <c r="FH99" s="25">
        <v>312</v>
      </c>
      <c r="FI99" s="25">
        <v>3046</v>
      </c>
      <c r="FJ99" s="25">
        <v>16</v>
      </c>
      <c r="FK99" s="25">
        <v>31</v>
      </c>
      <c r="FL99" s="25">
        <v>97</v>
      </c>
      <c r="FM99" s="25">
        <v>14</v>
      </c>
      <c r="FN99" s="25">
        <v>67</v>
      </c>
      <c r="FO99" s="25">
        <v>33405</v>
      </c>
      <c r="FP99" s="25">
        <v>1440</v>
      </c>
      <c r="FQ99" s="25">
        <v>10</v>
      </c>
      <c r="FR99" s="25">
        <v>648</v>
      </c>
      <c r="FS99" s="25">
        <v>665</v>
      </c>
      <c r="FT99" s="25">
        <v>1225</v>
      </c>
      <c r="FU99" s="25">
        <v>7156</v>
      </c>
      <c r="FV99" s="25">
        <v>1410</v>
      </c>
      <c r="FW99" s="25">
        <v>8418</v>
      </c>
      <c r="FX99" s="25">
        <v>4467</v>
      </c>
      <c r="FY99" s="25">
        <v>7</v>
      </c>
      <c r="FZ99" s="25">
        <v>208</v>
      </c>
      <c r="GA99" s="25">
        <v>16325</v>
      </c>
      <c r="GB99" s="25">
        <v>6459</v>
      </c>
      <c r="GC99" s="25">
        <v>9593</v>
      </c>
      <c r="GD99" s="25">
        <v>20863</v>
      </c>
      <c r="GE99" s="25">
        <v>6015</v>
      </c>
      <c r="GF99" s="25">
        <v>8936</v>
      </c>
      <c r="GG99" s="25">
        <v>47121</v>
      </c>
      <c r="GH99" s="25">
        <v>147</v>
      </c>
      <c r="GI99" s="25">
        <v>15</v>
      </c>
      <c r="GJ99" s="25">
        <v>12</v>
      </c>
      <c r="GK99" s="25">
        <v>462</v>
      </c>
      <c r="GL99" s="25">
        <v>10484</v>
      </c>
      <c r="GM99" s="25">
        <v>377</v>
      </c>
      <c r="GN99" s="25">
        <v>6630</v>
      </c>
      <c r="GO99" s="25">
        <v>11</v>
      </c>
      <c r="GP99" s="25">
        <v>8014</v>
      </c>
      <c r="GQ99" s="25">
        <v>1173</v>
      </c>
      <c r="GR99" s="25">
        <v>1335</v>
      </c>
      <c r="GS99" s="25">
        <v>237</v>
      </c>
      <c r="GT99" s="25">
        <v>3300</v>
      </c>
      <c r="GU99" s="25">
        <v>200210</v>
      </c>
      <c r="GV99" s="25">
        <v>304</v>
      </c>
      <c r="GW99" s="25">
        <v>107</v>
      </c>
      <c r="GX99" s="25">
        <v>10</v>
      </c>
      <c r="GY99" s="25">
        <v>14777</v>
      </c>
      <c r="GZ99" s="25">
        <v>27944</v>
      </c>
      <c r="HA99" s="25">
        <v>422</v>
      </c>
      <c r="HB99" s="25">
        <v>254</v>
      </c>
      <c r="HC99" s="25">
        <v>2792</v>
      </c>
      <c r="HD99" s="25">
        <v>84</v>
      </c>
      <c r="HE99" s="25">
        <v>114</v>
      </c>
      <c r="HF99" s="25">
        <v>884</v>
      </c>
      <c r="HG99" s="25">
        <v>90980</v>
      </c>
      <c r="HH99" s="25">
        <v>56</v>
      </c>
      <c r="HI99" s="25">
        <v>5710</v>
      </c>
      <c r="HJ99" s="25">
        <v>7265</v>
      </c>
      <c r="HK99" s="25">
        <v>86</v>
      </c>
      <c r="HL99" s="25">
        <v>66</v>
      </c>
      <c r="HM99" s="25">
        <v>488</v>
      </c>
      <c r="HN99" s="25">
        <v>132</v>
      </c>
      <c r="HO99" s="25">
        <v>300</v>
      </c>
      <c r="HP99" s="25">
        <v>11</v>
      </c>
      <c r="HQ99" s="25">
        <v>124743</v>
      </c>
      <c r="HR99" s="25">
        <v>535</v>
      </c>
      <c r="HS99" s="25">
        <v>784326</v>
      </c>
      <c r="HT99" s="25">
        <v>1627</v>
      </c>
      <c r="HU99" s="25">
        <v>256</v>
      </c>
      <c r="HV99" s="25">
        <v>268</v>
      </c>
      <c r="HW99" s="25">
        <v>65</v>
      </c>
      <c r="HX99" s="25">
        <v>25</v>
      </c>
      <c r="HY99" s="25">
        <v>0</v>
      </c>
      <c r="HZ99" s="25">
        <v>16</v>
      </c>
      <c r="IA99" s="25">
        <v>14</v>
      </c>
      <c r="IB99" s="25">
        <v>39</v>
      </c>
      <c r="IC99" s="25">
        <v>39</v>
      </c>
      <c r="ID99" s="25">
        <v>22</v>
      </c>
      <c r="IE99" s="25">
        <v>18</v>
      </c>
      <c r="IF99" s="25">
        <v>0</v>
      </c>
      <c r="IG99" s="25">
        <v>19</v>
      </c>
      <c r="IH99" s="25">
        <v>51</v>
      </c>
      <c r="II99" s="25">
        <v>449</v>
      </c>
      <c r="IJ99" s="25">
        <v>50</v>
      </c>
      <c r="IK99" s="25">
        <v>246</v>
      </c>
      <c r="IL99" s="25">
        <v>15</v>
      </c>
      <c r="IM99" s="25">
        <v>5</v>
      </c>
      <c r="IN99" s="25">
        <v>11</v>
      </c>
      <c r="IO99" s="25">
        <v>598</v>
      </c>
      <c r="IP99" s="25">
        <v>119</v>
      </c>
      <c r="IQ99" s="25">
        <v>3</v>
      </c>
      <c r="IR99" s="25">
        <v>5</v>
      </c>
      <c r="IS99" s="25">
        <v>11</v>
      </c>
      <c r="IT99" s="25">
        <v>9</v>
      </c>
      <c r="IU99" s="25">
        <v>20</v>
      </c>
      <c r="IV99" s="25">
        <v>5</v>
      </c>
      <c r="IW99" s="25">
        <v>43</v>
      </c>
      <c r="IX99" s="25">
        <v>5</v>
      </c>
      <c r="IY99" s="25">
        <v>17</v>
      </c>
      <c r="IZ99" s="25">
        <v>11</v>
      </c>
      <c r="JA99" s="25">
        <v>1</v>
      </c>
      <c r="JB99" s="25">
        <v>4</v>
      </c>
      <c r="JC99" s="25">
        <v>6</v>
      </c>
      <c r="JD99" s="25">
        <v>4</v>
      </c>
      <c r="JE99" s="25">
        <v>1</v>
      </c>
      <c r="JF99" s="25">
        <v>0</v>
      </c>
      <c r="JG99" s="25">
        <v>0</v>
      </c>
      <c r="JH99" s="25">
        <v>0</v>
      </c>
      <c r="JI99" s="25">
        <v>136</v>
      </c>
      <c r="JJ99" s="25">
        <v>14</v>
      </c>
      <c r="JK99" s="25">
        <v>1252</v>
      </c>
      <c r="JL99" s="25">
        <v>53</v>
      </c>
      <c r="JM99" s="25">
        <v>5079</v>
      </c>
      <c r="JN99" s="25">
        <v>321</v>
      </c>
      <c r="JO99" s="25">
        <v>5068</v>
      </c>
      <c r="JP99" s="25">
        <v>1973</v>
      </c>
      <c r="JQ99" s="25">
        <v>33686</v>
      </c>
      <c r="JR99" s="25">
        <v>9730</v>
      </c>
      <c r="JS99" s="25">
        <v>19815</v>
      </c>
      <c r="JT99" s="25">
        <v>2745</v>
      </c>
      <c r="JU99" s="25">
        <v>2927</v>
      </c>
      <c r="JV99" s="25">
        <v>27059</v>
      </c>
      <c r="JW99" s="25">
        <v>19407</v>
      </c>
      <c r="JX99" s="25">
        <v>584</v>
      </c>
      <c r="JY99" s="25">
        <v>1672</v>
      </c>
      <c r="JZ99" s="25">
        <v>31513</v>
      </c>
      <c r="KA99" s="25">
        <v>11688</v>
      </c>
      <c r="KB99" s="25">
        <v>3159</v>
      </c>
      <c r="KC99" s="25">
        <v>2048</v>
      </c>
      <c r="KD99" s="25">
        <v>3050</v>
      </c>
      <c r="KE99" s="25">
        <v>24523</v>
      </c>
      <c r="KF99" s="25">
        <v>875</v>
      </c>
      <c r="KG99" s="25">
        <v>13684</v>
      </c>
      <c r="KH99" s="25">
        <v>38077</v>
      </c>
      <c r="KI99" s="25">
        <v>32000</v>
      </c>
      <c r="KJ99" s="25">
        <v>2470</v>
      </c>
      <c r="KK99" s="25">
        <v>4512</v>
      </c>
      <c r="KL99" s="25">
        <v>5890</v>
      </c>
      <c r="KM99" s="25">
        <v>433</v>
      </c>
      <c r="KN99" s="25">
        <v>1648</v>
      </c>
      <c r="KO99" s="25">
        <v>3830</v>
      </c>
      <c r="KP99" s="25">
        <v>1447</v>
      </c>
      <c r="KQ99" s="25">
        <v>88722</v>
      </c>
      <c r="KR99" s="25">
        <v>1971</v>
      </c>
      <c r="KS99" s="25">
        <v>248416</v>
      </c>
      <c r="KT99" s="25">
        <v>6895</v>
      </c>
      <c r="KU99" s="25">
        <v>627</v>
      </c>
      <c r="KV99" s="25">
        <v>12919</v>
      </c>
      <c r="KW99" s="25">
        <v>2680</v>
      </c>
      <c r="KX99" s="25">
        <v>1957</v>
      </c>
      <c r="KY99" s="25">
        <v>33914</v>
      </c>
      <c r="KZ99" s="25">
        <v>5090</v>
      </c>
      <c r="LA99" s="25">
        <v>4446</v>
      </c>
      <c r="LB99" s="25">
        <v>1685</v>
      </c>
      <c r="LC99" s="25">
        <v>7238</v>
      </c>
      <c r="LD99" s="25">
        <v>19751</v>
      </c>
      <c r="LE99" s="25">
        <v>3213</v>
      </c>
      <c r="LF99" s="25">
        <v>816</v>
      </c>
      <c r="LG99" s="25">
        <v>8990</v>
      </c>
      <c r="LH99" s="25">
        <v>12114</v>
      </c>
      <c r="LI99" s="25">
        <v>902</v>
      </c>
      <c r="LJ99" s="25">
        <v>4499</v>
      </c>
      <c r="LK99" s="25">
        <v>317</v>
      </c>
      <c r="LL99" s="25">
        <v>49</v>
      </c>
      <c r="LM99" s="25">
        <v>103</v>
      </c>
      <c r="LN99" s="278">
        <f ca="1">$A99 - TST!Sweden100dt + 1</f>
        <v>45</v>
      </c>
      <c r="LO99" s="20">
        <f ca="1">INDEX(OFFSET(TST!HeadRow,ROW()-ROW(TST!HeadRow),0,1,COLUMNS(TST!HeadRow)),1,MATCH(LO$5,TST!HeadRow,0))/LO$8</f>
        <v>14444.770283479962</v>
      </c>
      <c r="LP99" s="278">
        <f ca="1">$A99 - TST!Spain100dt + 1</f>
        <v>45</v>
      </c>
      <c r="LQ99" s="20">
        <f ca="1">INDEX(OFFSET(TST!HeadRow,ROW()-ROW(TST!HeadRow),0,1,COLUMNS(TST!HeadRow)),1,MATCH(LQ$5,TST!HeadRow,0))/LQ$8</f>
        <v>42652.322113336173</v>
      </c>
      <c r="LR99" s="285">
        <f ca="1">$A99 - TST!Victoria100dt + 1</f>
        <v>36</v>
      </c>
      <c r="LS99" s="20">
        <f ca="1">INDEX(OFFSET(TST!HeadRow,ROW()-ROW(TST!HeadRow),0,1,COLUMNS(TST!HeadRow)),1,MATCH(LS$5,TST!HeadRow,0))/LS$8</f>
        <v>2004.8272740986572</v>
      </c>
      <c r="LT99" s="278">
        <f ca="1">$A99 - TST!Iran100dt + 1</f>
        <v>51</v>
      </c>
      <c r="LU99" s="20">
        <f ca="1">INDEX(OFFSET(TST!HeadRow,ROW()-ROW(TST!HeadRow),0,1,COLUMNS(TST!HeadRow)),1,MATCH(LU$5,TST!HeadRow,0))/LU$8</f>
        <v>9968.0087856469272</v>
      </c>
      <c r="LV99" s="278">
        <f ca="1">$A99 - TST!Japan100dt + 1</f>
        <v>27</v>
      </c>
      <c r="LW99" s="20">
        <f ca="1">INDEX(OFFSET(TST!HeadRow,ROW()-ROW(TST!HeadRow),0,1,COLUMNS(TST!HeadRow)),1,MATCH(LW$5,TST!HeadRow,0))/LW$8</f>
        <v>853.15222600706522</v>
      </c>
      <c r="LX99" s="278">
        <f ca="1">$A99 - TST!Queensland100dt + 1</f>
        <v>37</v>
      </c>
      <c r="LY99" s="20">
        <f ca="1">INDEX(OFFSET(TST!HeadRow,ROW()-ROW(TST!HeadRow),0,1,COLUMNS(TST!HeadRow)),1,MATCH(LY$5,TST!HeadRow,0))/LY$8</f>
        <v>1992.0042240654832</v>
      </c>
      <c r="LZ99" s="278">
        <f ca="1">$A99 - TST!Tasmania100dt + 1</f>
        <v>37</v>
      </c>
      <c r="MA99" s="20">
        <f ca="1">INDEX(OFFSET(TST!HeadRow,ROW()-ROW(TST!HeadRow),0,1,COLUMNS(TST!HeadRow)),1,MATCH(MA$5,TST!HeadRow,0))/MA$8</f>
        <v>3883.4951456310682</v>
      </c>
      <c r="MB99" s="278">
        <f ca="1">$A99 - TST!SouthAustralia100dt + 1</f>
        <v>38</v>
      </c>
      <c r="MC99" s="20">
        <f ca="1">INDEX(OFFSET(TST!HeadRow,ROW()-ROW(TST!HeadRow),0,1,COLUMNS(TST!HeadRow)),1,MATCH(MC$5,TST!HeadRow,0))/MC$8</f>
        <v>2604.7904191616767</v>
      </c>
      <c r="MD99" s="278">
        <f ca="1">$A99 - TST!AustralianCapitalTerritory100dt + 1</f>
        <v>32</v>
      </c>
      <c r="ME99" s="20">
        <f ca="1">INDEX(OFFSET(TST!HeadRow,ROW()-ROW(TST!HeadRow),0,1,COLUMNS(TST!HeadRow)),1,MATCH(ME$5,TST!HeadRow,0))/ME$8</f>
        <v>2429.5659486987806</v>
      </c>
      <c r="MF99" s="278">
        <f ca="1">$A99 - TST!NorthernTerritory100dt + 1</f>
        <v>32</v>
      </c>
      <c r="MG99" s="20">
        <f ca="1">INDEX(OFFSET(TST!HeadRow,ROW()-ROW(TST!HeadRow),0,1,COLUMNS(TST!HeadRow)),1,MATCH(MG$5,TST!HeadRow,0))/MG$8</f>
        <v>1321.0974545282972</v>
      </c>
      <c r="MH99" s="278">
        <f ca="1">$A99 - TST!WesternAustralia100dt + 1</f>
        <v>36</v>
      </c>
      <c r="MI99" s="20">
        <f ca="1">INDEX(OFFSET(TST!HeadRow,ROW()-ROW(TST!HeadRow),0,1,COLUMNS(TST!HeadRow)),1,MATCH(MI$5,TST!HeadRow,0))/MI$8</f>
        <v>2105.0598686751641</v>
      </c>
      <c r="MJ99" s="278">
        <f ca="1">$A99 - TST!Germany100dt + 1</f>
        <v>44</v>
      </c>
      <c r="MK99" s="20">
        <f ca="1">INDEX(OFFSET(TST!HeadRow,ROW()-ROW(TST!HeadRow),0,1,COLUMNS(TST!HeadRow)),1,MATCH(MK$5,TST!HeadRow,0))/MK$8</f>
        <v>17714.40616718863</v>
      </c>
      <c r="ML99" s="278">
        <f ca="1">$A99 - TST!Denmark100dt + 1</f>
        <v>43</v>
      </c>
      <c r="MM99" s="20">
        <f ca="1">INDEX(OFFSET(TST!HeadRow,ROW()-ROW(TST!HeadRow),0,1,COLUMNS(TST!HeadRow)),1,MATCH(MM$5,TST!HeadRow,0))/MM$8</f>
        <v>12943.506717189115</v>
      </c>
      <c r="MN99" s="278">
        <f ca="1">$A99 - TST!SouthAfrica100dt + 1</f>
        <v>27</v>
      </c>
      <c r="MO99" s="20">
        <f ca="1">INDEX(OFFSET(TST!HeadRow,ROW()-ROW(TST!HeadRow),0,1,COLUMNS(TST!HeadRow)),1,MATCH(MO$5,TST!HeadRow,0))/MO$8</f>
        <v>571.13187954309456</v>
      </c>
      <c r="MP99" s="278">
        <f ca="1">$A99 - TST!UnitedKingdom100dt + 1</f>
        <v>39</v>
      </c>
      <c r="MQ99" s="20">
        <f ca="1">INDEX(OFFSET(TST!HeadRow,ROW()-ROW(TST!HeadRow),0,1,COLUMNS(TST!HeadRow)),1,MATCH(MQ$5,TST!HeadRow,0))/MQ$8</f>
        <v>18775.285972305839</v>
      </c>
      <c r="MR99" s="278">
        <f ca="1">$A99 - TST!Ireland100dt + 1</f>
        <v>39</v>
      </c>
      <c r="MS99" s="20">
        <f ca="1">INDEX(OFFSET(TST!HeadRow,ROW()-ROW(TST!HeadRow),0,1,COLUMNS(TST!HeadRow)),1,MATCH(MS$5,TST!HeadRow,0))/MS$8</f>
        <v>31942.857142857145</v>
      </c>
      <c r="MT99" s="278">
        <f ca="1">$A99 - TST!Italy100dt + 1</f>
        <v>54</v>
      </c>
      <c r="MU99" s="20">
        <f ca="1">INDEX(OFFSET(TST!HeadRow,ROW()-ROW(TST!HeadRow),0,1,COLUMNS(TST!HeadRow)),1,MATCH(MU$5,TST!HeadRow,0))/MU$8</f>
        <v>29962.470033892703</v>
      </c>
      <c r="MV99" s="278">
        <f ca="1">$A99 - TST!US100dt + 1</f>
        <v>37</v>
      </c>
      <c r="MW99" s="20">
        <f ca="1">INDEX(OFFSET(TST!HeadRow,ROW()-ROW(TST!HeadRow),0,1,COLUMNS(TST!HeadRow)),1,MATCH(MW$5,TST!HeadRow,0))/MW$8</f>
        <v>23823.204742895519</v>
      </c>
      <c r="MX99" s="278">
        <f ca="1">$A99 - TST!AustraliaSum100dt + 1</f>
        <v>37</v>
      </c>
      <c r="MY99" s="366">
        <f t="shared" si="9"/>
        <v>2611.1812017032016</v>
      </c>
      <c r="MZ99" s="278">
        <f ca="1">$A99 - TST!NewSouthWales100dt + 1</f>
        <v>39</v>
      </c>
      <c r="NA99" s="366">
        <f ca="1">INDEX(OFFSET(TST!HeadRow,ROW()-ROW(TST!HeadRow),0,1,COLUMNS(TST!HeadRow)),1,MATCH(NA$5,TST!HeadRow,0))/NA$8</f>
        <v>3667.0792079207918</v>
      </c>
      <c r="NB99" s="278">
        <f ca="1">$A99 - TST!Taiwan100dt + 1</f>
        <v>26</v>
      </c>
      <c r="NC99" s="366">
        <f ca="1">INDEX(OFFSET(TST!HeadRow,ROW()-ROW(TST!HeadRow),0,1,COLUMNS(TST!HeadRow)),1,MATCH(NC$5,TST!HeadRow,0))/NC$8</f>
        <v>177.25668978088299</v>
      </c>
      <c r="ND99" s="20">
        <f ca="1">$A99 - TST!Hubei100dt + 1</f>
        <v>87</v>
      </c>
      <c r="NE99" s="20">
        <f ca="1">INDEX(OFFSET(TST!HeadRow,ROW()-ROW(TST!HeadRow),0,1,COLUMNS(TST!HeadRow)),1,MATCH(NE$5,TST!HeadRow,0))/NE$8</f>
        <v>11645.811965811967</v>
      </c>
      <c r="NF99" s="20">
        <f ca="1">$A99 - TST!HongKong100dt + 1</f>
        <v>57</v>
      </c>
      <c r="NG99" s="20">
        <f ca="1">INDEX(OFFSET(TST!HeadRow,ROW()-ROW(TST!HeadRow),0,1,COLUMNS(TST!HeadRow)),1,MATCH(NG$5,TST!HeadRow,0))/NG$8</f>
        <v>1375.6542745940142</v>
      </c>
    </row>
    <row r="100" spans="1:371" x14ac:dyDescent="0.25">
      <c r="A100" s="156">
        <v>43942</v>
      </c>
      <c r="B100" s="25">
        <v>1092</v>
      </c>
      <c r="C100" s="25">
        <v>609</v>
      </c>
      <c r="D100" s="25">
        <v>2811</v>
      </c>
      <c r="E100" s="25">
        <v>717</v>
      </c>
      <c r="F100" s="25">
        <v>24</v>
      </c>
      <c r="G100" s="25">
        <v>23</v>
      </c>
      <c r="H100" s="25">
        <v>3031</v>
      </c>
      <c r="I100" s="25">
        <v>1401</v>
      </c>
      <c r="J100" s="25">
        <v>104</v>
      </c>
      <c r="K100" s="292">
        <v>2969</v>
      </c>
      <c r="L100" s="25">
        <v>28</v>
      </c>
      <c r="M100" s="289">
        <v>1024</v>
      </c>
      <c r="N100" s="25">
        <v>437</v>
      </c>
      <c r="O100" s="386">
        <v>201</v>
      </c>
      <c r="P100" s="286">
        <v>1336</v>
      </c>
      <c r="Q100" s="25">
        <v>546</v>
      </c>
      <c r="R100" s="25">
        <v>14873</v>
      </c>
      <c r="S100" s="25">
        <v>1480</v>
      </c>
      <c r="T100" s="25">
        <v>65</v>
      </c>
      <c r="U100" s="25">
        <v>1973</v>
      </c>
      <c r="V100" s="25">
        <v>3382</v>
      </c>
      <c r="W100" s="25">
        <v>75</v>
      </c>
      <c r="X100" s="25">
        <v>6723</v>
      </c>
      <c r="Y100" s="25">
        <v>40956</v>
      </c>
      <c r="Z100" s="25">
        <v>54</v>
      </c>
      <c r="AA100" s="25">
        <v>6</v>
      </c>
      <c r="AB100" s="25">
        <v>598</v>
      </c>
      <c r="AC100" s="25">
        <v>1342</v>
      </c>
      <c r="AD100" s="25">
        <v>43079</v>
      </c>
      <c r="AE100" s="25">
        <v>138</v>
      </c>
      <c r="AF100" s="25">
        <v>975</v>
      </c>
      <c r="AG100" s="25">
        <v>600</v>
      </c>
      <c r="AH100" s="25">
        <v>68</v>
      </c>
      <c r="AI100" s="25">
        <v>122</v>
      </c>
      <c r="AJ100" s="25">
        <v>1163</v>
      </c>
      <c r="AK100" s="25">
        <v>3095</v>
      </c>
      <c r="AL100" s="25">
        <v>1724</v>
      </c>
      <c r="AM100" s="25">
        <v>13</v>
      </c>
      <c r="AN100" s="25">
        <v>255</v>
      </c>
      <c r="AO100" s="25">
        <v>118</v>
      </c>
      <c r="AP100" s="25">
        <v>257</v>
      </c>
      <c r="AQ100" s="25">
        <v>737</v>
      </c>
      <c r="AR100" s="25">
        <v>12715</v>
      </c>
      <c r="AS100" s="25">
        <v>26</v>
      </c>
      <c r="AT100" s="25">
        <v>20126</v>
      </c>
      <c r="AU100" s="25">
        <v>320</v>
      </c>
      <c r="AV100" s="25">
        <v>14</v>
      </c>
      <c r="AW100" s="25">
        <v>33</v>
      </c>
      <c r="AX100" s="25">
        <v>10832</v>
      </c>
      <c r="AY100" s="25">
        <v>991</v>
      </c>
      <c r="AZ100" s="25">
        <v>593</v>
      </c>
      <c r="BA100" s="25">
        <v>579</v>
      </c>
      <c r="BB100" s="25">
        <v>355</v>
      </c>
      <c r="BC100" s="25">
        <v>139</v>
      </c>
      <c r="BD100" s="25">
        <v>1582</v>
      </c>
      <c r="BE100" s="25">
        <v>254</v>
      </c>
      <c r="BF100" s="25">
        <v>147</v>
      </c>
      <c r="BG100" s="25">
        <v>168</v>
      </c>
      <c r="BH100" s="25">
        <v>328</v>
      </c>
      <c r="BI100" s="25">
        <v>913</v>
      </c>
      <c r="BJ100" s="25">
        <v>1276</v>
      </c>
      <c r="BK100" s="25">
        <v>1029</v>
      </c>
      <c r="BL100" s="25">
        <v>68128</v>
      </c>
      <c r="BM100" s="25">
        <v>1019</v>
      </c>
      <c r="BN100" s="25">
        <v>194</v>
      </c>
      <c r="BO100" s="25">
        <v>653</v>
      </c>
      <c r="BP100" s="25">
        <v>937</v>
      </c>
      <c r="BQ100" s="25">
        <v>106</v>
      </c>
      <c r="BR100" s="25">
        <v>146</v>
      </c>
      <c r="BS100" s="25">
        <v>45</v>
      </c>
      <c r="BT100" s="25">
        <v>75</v>
      </c>
      <c r="BU100" s="25">
        <v>18</v>
      </c>
      <c r="BV100" s="25">
        <v>277</v>
      </c>
      <c r="BW100" s="25">
        <v>787</v>
      </c>
      <c r="BX100" s="25">
        <v>638</v>
      </c>
      <c r="BY100" s="25">
        <v>197</v>
      </c>
      <c r="BZ100" s="25">
        <v>561</v>
      </c>
      <c r="CA100" s="25">
        <v>189</v>
      </c>
      <c r="CB100" s="25">
        <v>1</v>
      </c>
      <c r="CC100" s="25">
        <v>76</v>
      </c>
      <c r="CD100" s="25">
        <v>184</v>
      </c>
      <c r="CE100" s="25">
        <v>1268</v>
      </c>
      <c r="CF100" s="25">
        <v>4149</v>
      </c>
      <c r="CG100" s="25">
        <v>165</v>
      </c>
      <c r="CH100" s="25">
        <v>350</v>
      </c>
      <c r="CI100" s="25">
        <v>669</v>
      </c>
      <c r="CJ100" s="25">
        <v>916</v>
      </c>
      <c r="CK100" s="25">
        <v>1908</v>
      </c>
      <c r="CL100" s="25">
        <v>712</v>
      </c>
      <c r="CM100" s="25">
        <v>1137</v>
      </c>
      <c r="CN100" s="25">
        <v>784</v>
      </c>
      <c r="CO100" s="25">
        <v>7033</v>
      </c>
      <c r="CP100" s="25">
        <v>185</v>
      </c>
      <c r="CQ100" s="25">
        <v>11</v>
      </c>
      <c r="CR100" s="25">
        <v>7695</v>
      </c>
      <c r="CS100" s="25">
        <v>945</v>
      </c>
      <c r="CT100" s="25">
        <v>5044</v>
      </c>
      <c r="CU100" s="25">
        <v>10398</v>
      </c>
      <c r="CV100" s="25">
        <v>3490</v>
      </c>
      <c r="CW100" s="25">
        <v>225</v>
      </c>
      <c r="CX100" s="25">
        <v>83</v>
      </c>
      <c r="CY100" s="25">
        <v>39</v>
      </c>
      <c r="CZ100" s="25">
        <v>1552</v>
      </c>
      <c r="DA100" s="25">
        <v>31</v>
      </c>
      <c r="DB100" s="25">
        <v>114</v>
      </c>
      <c r="DC100" s="25">
        <v>18</v>
      </c>
      <c r="DD100" s="25">
        <v>4014</v>
      </c>
      <c r="DE100" s="25">
        <v>97</v>
      </c>
      <c r="DF100" s="25">
        <v>56</v>
      </c>
      <c r="DG100" s="25">
        <v>148</v>
      </c>
      <c r="DH100" s="25">
        <v>311</v>
      </c>
      <c r="DI100" s="25">
        <v>18</v>
      </c>
      <c r="DJ100" s="25">
        <v>410</v>
      </c>
      <c r="DK100" s="25">
        <v>6</v>
      </c>
      <c r="DL100" s="25">
        <v>37</v>
      </c>
      <c r="DM100" s="25">
        <v>163</v>
      </c>
      <c r="DN100" s="25">
        <v>156921</v>
      </c>
      <c r="DO100" s="25">
        <v>156</v>
      </c>
      <c r="DP100" s="25">
        <v>10</v>
      </c>
      <c r="DQ100" s="25">
        <v>408</v>
      </c>
      <c r="DR100" s="25">
        <v>148291</v>
      </c>
      <c r="DS100" s="25">
        <v>1042</v>
      </c>
      <c r="DT100" s="25">
        <v>2401</v>
      </c>
      <c r="DU100" s="25">
        <v>294</v>
      </c>
      <c r="DV100" s="25">
        <v>688</v>
      </c>
      <c r="DW100" s="25">
        <v>66</v>
      </c>
      <c r="DX100" s="25">
        <v>57</v>
      </c>
      <c r="DY100" s="25">
        <v>9</v>
      </c>
      <c r="DZ100" s="25">
        <v>494</v>
      </c>
      <c r="EA100" s="25">
        <v>2098</v>
      </c>
      <c r="EB100" s="25">
        <v>1778</v>
      </c>
      <c r="EC100" s="25">
        <v>20080</v>
      </c>
      <c r="ED100" s="25">
        <v>7135</v>
      </c>
      <c r="EE100" s="25">
        <v>84802</v>
      </c>
      <c r="EF100" s="25">
        <v>1602</v>
      </c>
      <c r="EG100" s="25">
        <v>16040</v>
      </c>
      <c r="EH100" s="25">
        <v>13942</v>
      </c>
      <c r="EI100" s="25">
        <v>183957</v>
      </c>
      <c r="EJ100" s="25">
        <v>223</v>
      </c>
      <c r="EK100" s="25">
        <v>11135</v>
      </c>
      <c r="EL100" s="25">
        <v>428</v>
      </c>
      <c r="EM100" s="25">
        <v>1995</v>
      </c>
      <c r="EN100" s="25">
        <v>296</v>
      </c>
      <c r="EO100" s="25">
        <v>10683</v>
      </c>
      <c r="EP100" s="25">
        <v>2080</v>
      </c>
      <c r="EQ100" s="25">
        <v>590</v>
      </c>
      <c r="ER100" s="25">
        <v>748</v>
      </c>
      <c r="ES100" s="25">
        <v>677</v>
      </c>
      <c r="ET100" s="25">
        <v>101</v>
      </c>
      <c r="EU100" s="25">
        <v>81</v>
      </c>
      <c r="EV100" s="25">
        <v>1350</v>
      </c>
      <c r="EW100" s="25">
        <v>3618</v>
      </c>
      <c r="EX100" s="25">
        <v>121</v>
      </c>
      <c r="EY100" s="25">
        <v>5482</v>
      </c>
      <c r="EZ100" s="25">
        <v>83</v>
      </c>
      <c r="FA100" s="25">
        <v>443</v>
      </c>
      <c r="FB100" s="25">
        <v>7</v>
      </c>
      <c r="FC100" s="25">
        <v>328</v>
      </c>
      <c r="FD100" s="25">
        <v>9501</v>
      </c>
      <c r="FE100" s="25">
        <v>2614</v>
      </c>
      <c r="FF100" s="25">
        <v>94</v>
      </c>
      <c r="FG100" s="25">
        <v>34</v>
      </c>
      <c r="FH100" s="25">
        <v>313</v>
      </c>
      <c r="FI100" s="25">
        <v>3209</v>
      </c>
      <c r="FJ100" s="25">
        <v>16</v>
      </c>
      <c r="FK100" s="25">
        <v>43</v>
      </c>
      <c r="FL100" s="25">
        <v>97</v>
      </c>
      <c r="FM100" s="25">
        <v>14</v>
      </c>
      <c r="FN100" s="25">
        <v>67</v>
      </c>
      <c r="FO100" s="25">
        <v>34134</v>
      </c>
      <c r="FP100" s="25">
        <v>1445</v>
      </c>
      <c r="FQ100" s="25">
        <v>10</v>
      </c>
      <c r="FR100" s="25">
        <v>657</v>
      </c>
      <c r="FS100" s="25">
        <v>665</v>
      </c>
      <c r="FT100" s="25">
        <v>1231</v>
      </c>
      <c r="FU100" s="25">
        <v>7191</v>
      </c>
      <c r="FV100" s="25">
        <v>1508</v>
      </c>
      <c r="FW100" s="25">
        <v>9565</v>
      </c>
      <c r="FX100" s="25">
        <v>4658</v>
      </c>
      <c r="FY100" s="25">
        <v>7</v>
      </c>
      <c r="FZ100" s="25">
        <v>208</v>
      </c>
      <c r="GA100" s="25">
        <v>17837</v>
      </c>
      <c r="GB100" s="25">
        <v>6599</v>
      </c>
      <c r="GC100" s="25">
        <v>9856</v>
      </c>
      <c r="GD100" s="25">
        <v>21379</v>
      </c>
      <c r="GE100" s="25">
        <v>6533</v>
      </c>
      <c r="GF100" s="25">
        <v>9242</v>
      </c>
      <c r="GG100" s="25">
        <v>52763</v>
      </c>
      <c r="GH100" s="25">
        <v>150</v>
      </c>
      <c r="GI100" s="25">
        <v>15</v>
      </c>
      <c r="GJ100" s="25">
        <v>12</v>
      </c>
      <c r="GK100" s="25">
        <v>476</v>
      </c>
      <c r="GL100" s="25">
        <v>11631</v>
      </c>
      <c r="GM100" s="25">
        <v>412</v>
      </c>
      <c r="GN100" s="25">
        <v>6890</v>
      </c>
      <c r="GO100" s="25">
        <v>11</v>
      </c>
      <c r="GP100" s="25">
        <v>9125</v>
      </c>
      <c r="GQ100" s="25">
        <v>1199</v>
      </c>
      <c r="GR100" s="25">
        <v>1344</v>
      </c>
      <c r="GS100" s="25">
        <v>286</v>
      </c>
      <c r="GT100" s="25">
        <v>3465</v>
      </c>
      <c r="GU100" s="25">
        <v>204178</v>
      </c>
      <c r="GV100" s="25">
        <v>310</v>
      </c>
      <c r="GW100" s="25">
        <v>107</v>
      </c>
      <c r="GX100" s="25">
        <v>10</v>
      </c>
      <c r="GY100" s="25">
        <v>15322</v>
      </c>
      <c r="GZ100" s="25">
        <v>28063</v>
      </c>
      <c r="HA100" s="25">
        <v>425</v>
      </c>
      <c r="HB100" s="25">
        <v>254</v>
      </c>
      <c r="HC100" s="25">
        <v>2811</v>
      </c>
      <c r="HD100" s="25">
        <v>86</v>
      </c>
      <c r="HE100" s="25">
        <v>115</v>
      </c>
      <c r="HF100" s="25">
        <v>884</v>
      </c>
      <c r="HG100" s="25">
        <v>95591</v>
      </c>
      <c r="HH100" s="25">
        <v>61</v>
      </c>
      <c r="HI100" s="25">
        <v>6125</v>
      </c>
      <c r="HJ100" s="25">
        <v>7755</v>
      </c>
      <c r="HK100" s="25">
        <v>86</v>
      </c>
      <c r="HL100" s="25">
        <v>66</v>
      </c>
      <c r="HM100" s="25">
        <v>496</v>
      </c>
      <c r="HN100" s="25">
        <v>132</v>
      </c>
      <c r="HO100" s="25">
        <v>307</v>
      </c>
      <c r="HP100" s="25">
        <v>11</v>
      </c>
      <c r="HQ100" s="25">
        <v>129044</v>
      </c>
      <c r="HR100" s="25">
        <v>535</v>
      </c>
      <c r="HS100" s="25">
        <v>811865</v>
      </c>
      <c r="HT100" s="25">
        <v>1678</v>
      </c>
      <c r="HU100" s="25">
        <v>285</v>
      </c>
      <c r="HV100" s="25">
        <v>268</v>
      </c>
      <c r="HW100" s="25">
        <v>70</v>
      </c>
      <c r="HX100" s="25">
        <v>28</v>
      </c>
      <c r="HY100" s="25">
        <v>0</v>
      </c>
      <c r="HZ100" s="25">
        <v>16</v>
      </c>
      <c r="IA100" s="25">
        <v>14</v>
      </c>
      <c r="IB100" s="25">
        <v>39</v>
      </c>
      <c r="IC100" s="25">
        <v>42</v>
      </c>
      <c r="ID100" s="25">
        <v>23</v>
      </c>
      <c r="IE100" s="25">
        <v>18</v>
      </c>
      <c r="IF100" s="25">
        <v>0</v>
      </c>
      <c r="IG100" s="25">
        <v>19</v>
      </c>
      <c r="IH100" s="25">
        <v>51</v>
      </c>
      <c r="II100" s="25">
        <v>466</v>
      </c>
      <c r="IJ100" s="25">
        <v>50</v>
      </c>
      <c r="IK100" s="25">
        <v>258</v>
      </c>
      <c r="IL100" s="25">
        <v>15</v>
      </c>
      <c r="IM100" s="25">
        <v>5</v>
      </c>
      <c r="IN100" s="25">
        <v>11</v>
      </c>
      <c r="IO100" s="25">
        <v>604</v>
      </c>
      <c r="IP100" s="25">
        <v>121</v>
      </c>
      <c r="IQ100" s="25">
        <v>3</v>
      </c>
      <c r="IR100" s="25">
        <v>5</v>
      </c>
      <c r="IS100" s="25">
        <v>11</v>
      </c>
      <c r="IT100" s="25">
        <v>9</v>
      </c>
      <c r="IU100" s="25">
        <v>20</v>
      </c>
      <c r="IV100" s="25">
        <v>5</v>
      </c>
      <c r="IW100" s="25">
        <v>50</v>
      </c>
      <c r="IX100" s="25">
        <v>5</v>
      </c>
      <c r="IY100" s="25">
        <v>18</v>
      </c>
      <c r="IZ100" s="25">
        <v>11</v>
      </c>
      <c r="JA100" s="25">
        <v>1</v>
      </c>
      <c r="JB100" s="25">
        <v>4</v>
      </c>
      <c r="JC100" s="25">
        <v>6</v>
      </c>
      <c r="JD100" s="25">
        <v>4</v>
      </c>
      <c r="JE100" s="25">
        <v>1</v>
      </c>
      <c r="JF100" s="25">
        <v>0</v>
      </c>
      <c r="JG100" s="25">
        <v>0</v>
      </c>
      <c r="JH100" s="25">
        <v>0</v>
      </c>
      <c r="JI100" s="25">
        <v>136</v>
      </c>
      <c r="JJ100" s="25">
        <v>14</v>
      </c>
      <c r="JK100" s="25">
        <v>1298</v>
      </c>
      <c r="JL100" s="25">
        <v>53</v>
      </c>
      <c r="JM100" s="25">
        <v>5317</v>
      </c>
      <c r="JN100" s="25">
        <v>329</v>
      </c>
      <c r="JO100" s="25">
        <v>5256</v>
      </c>
      <c r="JP100" s="25">
        <v>1990</v>
      </c>
      <c r="JQ100" s="25">
        <v>35465</v>
      </c>
      <c r="JR100" s="25">
        <v>10473</v>
      </c>
      <c r="JS100" s="25">
        <v>20360</v>
      </c>
      <c r="JT100" s="25">
        <v>2931</v>
      </c>
      <c r="JU100" s="25">
        <v>3098</v>
      </c>
      <c r="JV100" s="25">
        <v>27869</v>
      </c>
      <c r="JW100" s="25">
        <v>19881</v>
      </c>
      <c r="JX100" s="25">
        <v>586</v>
      </c>
      <c r="JY100" s="25">
        <v>1736</v>
      </c>
      <c r="JZ100" s="25">
        <v>33059</v>
      </c>
      <c r="KA100" s="25">
        <v>12097</v>
      </c>
      <c r="KB100" s="25">
        <v>3641</v>
      </c>
      <c r="KC100" s="25">
        <v>2164</v>
      </c>
      <c r="KD100" s="25">
        <v>3204</v>
      </c>
      <c r="KE100" s="25">
        <v>24854</v>
      </c>
      <c r="KF100" s="25">
        <v>888</v>
      </c>
      <c r="KG100" s="25">
        <v>14193</v>
      </c>
      <c r="KH100" s="25">
        <v>41199</v>
      </c>
      <c r="KI100" s="25">
        <v>32667</v>
      </c>
      <c r="KJ100" s="25">
        <v>2567</v>
      </c>
      <c r="KK100" s="25">
        <v>4716</v>
      </c>
      <c r="KL100" s="25">
        <v>6066</v>
      </c>
      <c r="KM100" s="25">
        <v>437</v>
      </c>
      <c r="KN100" s="25">
        <v>1685</v>
      </c>
      <c r="KO100" s="25">
        <v>3937</v>
      </c>
      <c r="KP100" s="25">
        <v>1490</v>
      </c>
      <c r="KQ100" s="25">
        <v>92387</v>
      </c>
      <c r="KR100" s="25">
        <v>1971</v>
      </c>
      <c r="KS100" s="25">
        <v>253519</v>
      </c>
      <c r="KT100" s="25">
        <v>7134</v>
      </c>
      <c r="KU100" s="25">
        <v>644</v>
      </c>
      <c r="KV100" s="25">
        <v>13725</v>
      </c>
      <c r="KW100" s="25">
        <v>2807</v>
      </c>
      <c r="KX100" s="25">
        <v>2004</v>
      </c>
      <c r="KY100" s="25">
        <v>35249</v>
      </c>
      <c r="KZ100" s="25">
        <v>5500</v>
      </c>
      <c r="LA100" s="25">
        <v>4439</v>
      </c>
      <c r="LB100" s="25">
        <v>1755</v>
      </c>
      <c r="LC100" s="25">
        <v>7394</v>
      </c>
      <c r="LD100" s="25">
        <v>20574</v>
      </c>
      <c r="LE100" s="25">
        <v>3297</v>
      </c>
      <c r="LF100" s="25">
        <v>818</v>
      </c>
      <c r="LG100" s="25">
        <v>9630</v>
      </c>
      <c r="LH100" s="25">
        <v>12392</v>
      </c>
      <c r="LI100" s="25">
        <v>908</v>
      </c>
      <c r="LJ100" s="25">
        <v>4625</v>
      </c>
      <c r="LK100" s="25">
        <v>443</v>
      </c>
      <c r="LL100" s="25">
        <v>49</v>
      </c>
      <c r="LM100" s="25">
        <v>103</v>
      </c>
      <c r="LN100" s="278">
        <f ca="1">$A100 - TST!Sweden100dt + 1</f>
        <v>46</v>
      </c>
      <c r="LO100" s="20">
        <f ca="1">INDEX(OFFSET(TST!HeadRow,ROW()-ROW(TST!HeadRow),0,1,COLUMNS(TST!HeadRow)),1,MATCH(LO$5,TST!HeadRow,0))/LO$8</f>
        <v>14977.517106549365</v>
      </c>
      <c r="LP100" s="278">
        <f ca="1">$A100 - TST!Spain100dt + 1</f>
        <v>46</v>
      </c>
      <c r="LQ100" s="20">
        <f ca="1">INDEX(OFFSET(TST!HeadRow,ROW()-ROW(TST!HeadRow),0,1,COLUMNS(TST!HeadRow)),1,MATCH(LQ$5,TST!HeadRow,0))/LQ$8</f>
        <v>43497.65658287175</v>
      </c>
      <c r="LR100" s="285">
        <f ca="1">$A100 - TST!Victoria100dt + 1</f>
        <v>37</v>
      </c>
      <c r="LS100" s="20">
        <f ca="1">INDEX(OFFSET(TST!HeadRow,ROW()-ROW(TST!HeadRow),0,1,COLUMNS(TST!HeadRow)),1,MATCH(LS$5,TST!HeadRow,0))/LS$8</f>
        <v>2015.3869361894704</v>
      </c>
      <c r="LT100" s="278">
        <f ca="1">$A100 - TST!Iran100dt + 1</f>
        <v>52</v>
      </c>
      <c r="LU100" s="20">
        <f ca="1">INDEX(OFFSET(TST!HeadRow,ROW()-ROW(TST!HeadRow),0,1,COLUMNS(TST!HeadRow)),1,MATCH(LU$5,TST!HeadRow,0))/LU$8</f>
        <v>10122.831938691465</v>
      </c>
      <c r="LV100" s="278">
        <f ca="1">$A100 - TST!Japan100dt + 1</f>
        <v>28</v>
      </c>
      <c r="LW100" s="20">
        <f ca="1">INDEX(OFFSET(TST!HeadRow,ROW()-ROW(TST!HeadRow),0,1,COLUMNS(TST!HeadRow)),1,MATCH(LW$5,TST!HeadRow,0))/LW$8</f>
        <v>879.86014972572661</v>
      </c>
      <c r="LX100" s="278">
        <f ca="1">$A100 - TST!Queensland100dt + 1</f>
        <v>38</v>
      </c>
      <c r="LY100" s="20">
        <f ca="1">INDEX(OFFSET(TST!HeadRow,ROW()-ROW(TST!HeadRow),0,1,COLUMNS(TST!HeadRow)),1,MATCH(LY$5,TST!HeadRow,0))/LY$8</f>
        <v>2001.7785333101617</v>
      </c>
      <c r="LZ100" s="278">
        <f ca="1">$A100 - TST!Tasmania100dt + 1</f>
        <v>38</v>
      </c>
      <c r="MA100" s="20">
        <f ca="1">INDEX(OFFSET(TST!HeadRow,ROW()-ROW(TST!HeadRow),0,1,COLUMNS(TST!HeadRow)),1,MATCH(MA$5,TST!HeadRow,0))/MA$8</f>
        <v>3902.9126213592235</v>
      </c>
      <c r="MB100" s="278">
        <f ca="1">$A100 - TST!SouthAustralia100dt + 1</f>
        <v>39</v>
      </c>
      <c r="MC100" s="20">
        <f ca="1">INDEX(OFFSET(TST!HeadRow,ROW()-ROW(TST!HeadRow),0,1,COLUMNS(TST!HeadRow)),1,MATCH(MC$5,TST!HeadRow,0))/MC$8</f>
        <v>2616.7664670658683</v>
      </c>
      <c r="MD100" s="278">
        <f ca="1">$A100 - TST!AustralianCapitalTerritory100dt + 1</f>
        <v>33</v>
      </c>
      <c r="ME100" s="20">
        <f ca="1">INDEX(OFFSET(TST!HeadRow,ROW()-ROW(TST!HeadRow),0,1,COLUMNS(TST!HeadRow)),1,MATCH(ME$5,TST!HeadRow,0))/ME$8</f>
        <v>2429.5659486987806</v>
      </c>
      <c r="MF100" s="278">
        <f ca="1">$A100 - TST!NorthernTerritory100dt + 1</f>
        <v>33</v>
      </c>
      <c r="MG100" s="20">
        <f ca="1">INDEX(OFFSET(TST!HeadRow,ROW()-ROW(TST!HeadRow),0,1,COLUMNS(TST!HeadRow)),1,MATCH(MG$5,TST!HeadRow,0))/MG$8</f>
        <v>1321.0974545282972</v>
      </c>
      <c r="MH100" s="278">
        <f ca="1">$A100 - TST!WesternAustralia100dt + 1</f>
        <v>37</v>
      </c>
      <c r="MI100" s="20">
        <f ca="1">INDEX(OFFSET(TST!HeadRow,ROW()-ROW(TST!HeadRow),0,1,COLUMNS(TST!HeadRow)),1,MATCH(MI$5,TST!HeadRow,0))/MI$8</f>
        <v>2108.9223638470448</v>
      </c>
      <c r="MJ100" s="278">
        <f ca="1">$A100 - TST!Germany100dt + 1</f>
        <v>45</v>
      </c>
      <c r="MK100" s="20">
        <f ca="1">INDEX(OFFSET(TST!HeadRow,ROW()-ROW(TST!HeadRow),0,1,COLUMNS(TST!HeadRow)),1,MATCH(MK$5,TST!HeadRow,0))/MK$8</f>
        <v>17862.081426162371</v>
      </c>
      <c r="ML100" s="278">
        <f ca="1">$A100 - TST!Denmark100dt + 1</f>
        <v>44</v>
      </c>
      <c r="MM100" s="20">
        <f ca="1">INDEX(OFFSET(TST!HeadRow,ROW()-ROW(TST!HeadRow),0,1,COLUMNS(TST!HeadRow)),1,MATCH(MM$5,TST!HeadRow,0))/MM$8</f>
        <v>13253.53083017568</v>
      </c>
      <c r="MN100" s="278">
        <f ca="1">$A100 - TST!SouthAfrica100dt + 1</f>
        <v>28</v>
      </c>
      <c r="MO100" s="20">
        <f ca="1">INDEX(OFFSET(TST!HeadRow,ROW()-ROW(TST!HeadRow),0,1,COLUMNS(TST!HeadRow)),1,MATCH(MO$5,TST!HeadRow,0))/MO$8</f>
        <v>599.68847352024932</v>
      </c>
      <c r="MP100" s="278">
        <f ca="1">$A100 - TST!UnitedKingdom100dt + 1</f>
        <v>40</v>
      </c>
      <c r="MQ100" s="20">
        <f ca="1">INDEX(OFFSET(TST!HeadRow,ROW()-ROW(TST!HeadRow),0,1,COLUMNS(TST!HeadRow)),1,MATCH(MQ$5,TST!HeadRow,0))/MQ$8</f>
        <v>19422.636965683323</v>
      </c>
      <c r="MR100" s="278">
        <f ca="1">$A100 - TST!Ireland100dt + 1</f>
        <v>40</v>
      </c>
      <c r="MS100" s="20">
        <f ca="1">INDEX(OFFSET(TST!HeadRow,ROW()-ROW(TST!HeadRow),0,1,COLUMNS(TST!HeadRow)),1,MATCH(MS$5,TST!HeadRow,0))/MS$8</f>
        <v>32734.693877551021</v>
      </c>
      <c r="MT100" s="278">
        <f ca="1">$A100 - TST!Italy100dt + 1</f>
        <v>55</v>
      </c>
      <c r="MU100" s="20">
        <f ca="1">INDEX(OFFSET(TST!HeadRow,ROW()-ROW(TST!HeadRow),0,1,COLUMNS(TST!HeadRow)),1,MATCH(MU$5,TST!HeadRow,0))/MU$8</f>
        <v>30413.656278416136</v>
      </c>
      <c r="MV100" s="278">
        <f ca="1">$A100 - TST!US100dt + 1</f>
        <v>38</v>
      </c>
      <c r="MW100" s="20">
        <f ca="1">INDEX(OFFSET(TST!HeadRow,ROW()-ROW(TST!HeadRow),0,1,COLUMNS(TST!HeadRow)),1,MATCH(MW$5,TST!HeadRow,0))/MW$8</f>
        <v>24659.677377252403</v>
      </c>
      <c r="MX100" s="278">
        <f ca="1">$A100 - TST!AustraliaSum100dt + 1</f>
        <v>38</v>
      </c>
      <c r="MY100" s="366">
        <f t="shared" si="9"/>
        <v>2619.8549124743731</v>
      </c>
      <c r="MZ100" s="278">
        <f ca="1">$A100 - TST!NewSouthWales100dt + 1</f>
        <v>40</v>
      </c>
      <c r="NA100" s="366">
        <f ca="1">INDEX(OFFSET(TST!HeadRow,ROW()-ROW(TST!HeadRow),0,1,COLUMNS(TST!HeadRow)),1,MATCH(NA$5,TST!HeadRow,0))/NA$8</f>
        <v>3674.5049504950493</v>
      </c>
      <c r="NB100" s="278">
        <f ca="1">$A100 - TST!Taiwan100dt + 1</f>
        <v>27</v>
      </c>
      <c r="NC100" s="366">
        <f ca="1">INDEX(OFFSET(TST!HeadRow,ROW()-ROW(TST!HeadRow),0,1,COLUMNS(TST!HeadRow)),1,MATCH(NC$5,TST!HeadRow,0))/NC$8</f>
        <v>178.51680842861441</v>
      </c>
      <c r="ND100" s="20">
        <f ca="1">$A100 - TST!Hubei100dt + 1</f>
        <v>88</v>
      </c>
      <c r="NE100" s="20">
        <f ca="1">INDEX(OFFSET(TST!HeadRow,ROW()-ROW(TST!HeadRow),0,1,COLUMNS(TST!HeadRow)),1,MATCH(NE$5,TST!HeadRow,0))/NE$8</f>
        <v>11645.811965811967</v>
      </c>
      <c r="NF100" s="20">
        <f ca="1">$A100 - TST!HongKong100dt + 1</f>
        <v>58</v>
      </c>
      <c r="NG100" s="20">
        <f ca="1">INDEX(OFFSET(TST!HeadRow,ROW()-ROW(TST!HeadRow),0,1,COLUMNS(TST!HeadRow)),1,MATCH(NG$5,TST!HeadRow,0))/NG$8</f>
        <v>1381.0226815192591</v>
      </c>
    </row>
    <row r="101" spans="1:371" x14ac:dyDescent="0.25">
      <c r="A101" s="156">
        <v>43943</v>
      </c>
      <c r="B101" s="25">
        <v>1176</v>
      </c>
      <c r="C101" s="25">
        <v>634</v>
      </c>
      <c r="D101" s="25">
        <v>2910</v>
      </c>
      <c r="E101" s="25">
        <v>723</v>
      </c>
      <c r="F101" s="25">
        <v>25</v>
      </c>
      <c r="G101" s="25">
        <v>24</v>
      </c>
      <c r="H101" s="25">
        <v>3144</v>
      </c>
      <c r="I101" s="25">
        <v>1473</v>
      </c>
      <c r="J101" s="25">
        <v>104</v>
      </c>
      <c r="K101" s="292">
        <v>2971</v>
      </c>
      <c r="L101" s="25">
        <v>28</v>
      </c>
      <c r="M101" s="289">
        <v>1024</v>
      </c>
      <c r="N101" s="25">
        <v>438</v>
      </c>
      <c r="O101" s="387">
        <v>205</v>
      </c>
      <c r="P101" s="286">
        <v>1336</v>
      </c>
      <c r="Q101" s="25">
        <v>546</v>
      </c>
      <c r="R101" s="25">
        <v>14925</v>
      </c>
      <c r="S101" s="25">
        <v>1518</v>
      </c>
      <c r="T101" s="25">
        <v>65</v>
      </c>
      <c r="U101" s="25">
        <v>2027</v>
      </c>
      <c r="V101" s="25">
        <v>3772</v>
      </c>
      <c r="W101" s="25">
        <v>75</v>
      </c>
      <c r="X101" s="25">
        <v>7281</v>
      </c>
      <c r="Y101" s="25">
        <v>41889</v>
      </c>
      <c r="Z101" s="25">
        <v>54</v>
      </c>
      <c r="AA101" s="25">
        <v>6</v>
      </c>
      <c r="AB101" s="25">
        <v>609</v>
      </c>
      <c r="AC101" s="25">
        <v>1368</v>
      </c>
      <c r="AD101" s="25">
        <v>45757</v>
      </c>
      <c r="AE101" s="25">
        <v>138</v>
      </c>
      <c r="AF101" s="25">
        <v>1024</v>
      </c>
      <c r="AG101" s="25">
        <v>609</v>
      </c>
      <c r="AH101" s="25">
        <v>73</v>
      </c>
      <c r="AI101" s="25">
        <v>122</v>
      </c>
      <c r="AJ101" s="25">
        <v>1163</v>
      </c>
      <c r="AK101" s="25">
        <v>3401</v>
      </c>
      <c r="AL101" s="25">
        <v>1795</v>
      </c>
      <c r="AM101" s="25">
        <v>13</v>
      </c>
      <c r="AN101" s="25">
        <v>257</v>
      </c>
      <c r="AO101" s="25">
        <v>118</v>
      </c>
      <c r="AP101" s="25">
        <v>256</v>
      </c>
      <c r="AQ101" s="25">
        <v>772</v>
      </c>
      <c r="AR101" s="25">
        <v>13718</v>
      </c>
      <c r="AS101" s="25">
        <v>26</v>
      </c>
      <c r="AT101" s="25">
        <v>20965</v>
      </c>
      <c r="AU101" s="25">
        <v>326</v>
      </c>
      <c r="AV101" s="25">
        <v>14</v>
      </c>
      <c r="AW101" s="25">
        <v>33</v>
      </c>
      <c r="AX101" s="25">
        <v>11296</v>
      </c>
      <c r="AY101" s="25">
        <v>991</v>
      </c>
      <c r="AZ101" s="25">
        <v>593</v>
      </c>
      <c r="BA101" s="25">
        <v>579</v>
      </c>
      <c r="BB101" s="25">
        <v>355</v>
      </c>
      <c r="BC101" s="25">
        <v>139</v>
      </c>
      <c r="BD101" s="25">
        <v>1582</v>
      </c>
      <c r="BE101" s="25">
        <v>254</v>
      </c>
      <c r="BF101" s="25">
        <v>147</v>
      </c>
      <c r="BG101" s="25">
        <v>168</v>
      </c>
      <c r="BH101" s="25">
        <v>328</v>
      </c>
      <c r="BI101" s="25">
        <v>921</v>
      </c>
      <c r="BJ101" s="25">
        <v>1276</v>
      </c>
      <c r="BK101" s="25">
        <v>1033</v>
      </c>
      <c r="BL101" s="25">
        <v>68128</v>
      </c>
      <c r="BM101" s="25">
        <v>1019</v>
      </c>
      <c r="BN101" s="25">
        <v>194</v>
      </c>
      <c r="BO101" s="25">
        <v>653</v>
      </c>
      <c r="BP101" s="25">
        <v>937</v>
      </c>
      <c r="BQ101" s="25">
        <v>106</v>
      </c>
      <c r="BR101" s="25">
        <v>146</v>
      </c>
      <c r="BS101" s="25">
        <v>45</v>
      </c>
      <c r="BT101" s="25">
        <v>75</v>
      </c>
      <c r="BU101" s="25">
        <v>18</v>
      </c>
      <c r="BV101" s="25">
        <v>279</v>
      </c>
      <c r="BW101" s="25">
        <v>787</v>
      </c>
      <c r="BX101" s="25">
        <v>639</v>
      </c>
      <c r="BY101" s="25">
        <v>197</v>
      </c>
      <c r="BZ101" s="25">
        <v>561</v>
      </c>
      <c r="CA101" s="25">
        <v>189</v>
      </c>
      <c r="CB101" s="25">
        <v>1</v>
      </c>
      <c r="CC101" s="25">
        <v>76</v>
      </c>
      <c r="CD101" s="25">
        <v>184</v>
      </c>
      <c r="CE101" s="25">
        <v>1268</v>
      </c>
      <c r="CF101" s="25">
        <v>4356</v>
      </c>
      <c r="CG101" s="25">
        <v>186</v>
      </c>
      <c r="CH101" s="25">
        <v>359</v>
      </c>
      <c r="CI101" s="25">
        <v>681</v>
      </c>
      <c r="CJ101" s="25">
        <v>952</v>
      </c>
      <c r="CK101" s="25">
        <v>1950</v>
      </c>
      <c r="CL101" s="25">
        <v>712</v>
      </c>
      <c r="CM101" s="25">
        <v>1189</v>
      </c>
      <c r="CN101" s="25">
        <v>790</v>
      </c>
      <c r="CO101" s="25">
        <v>7132</v>
      </c>
      <c r="CP101" s="25">
        <v>185</v>
      </c>
      <c r="CQ101" s="25">
        <v>11</v>
      </c>
      <c r="CR101" s="25">
        <v>7912</v>
      </c>
      <c r="CS101" s="25">
        <v>974</v>
      </c>
      <c r="CT101" s="25">
        <v>5300</v>
      </c>
      <c r="CU101" s="25">
        <v>10850</v>
      </c>
      <c r="CV101" s="25">
        <v>3659</v>
      </c>
      <c r="CW101" s="25">
        <v>237</v>
      </c>
      <c r="CX101" s="25">
        <v>84</v>
      </c>
      <c r="CY101" s="25">
        <v>39</v>
      </c>
      <c r="CZ101" s="25">
        <v>1559</v>
      </c>
      <c r="DA101" s="25">
        <v>31</v>
      </c>
      <c r="DB101" s="25">
        <v>116</v>
      </c>
      <c r="DC101" s="25">
        <v>18</v>
      </c>
      <c r="DD101" s="25">
        <v>4129</v>
      </c>
      <c r="DE101" s="25">
        <v>97</v>
      </c>
      <c r="DF101" s="25">
        <v>57</v>
      </c>
      <c r="DG101" s="25">
        <v>148</v>
      </c>
      <c r="DH101" s="25">
        <v>326</v>
      </c>
      <c r="DI101" s="25">
        <v>18</v>
      </c>
      <c r="DJ101" s="25">
        <v>410</v>
      </c>
      <c r="DK101" s="25">
        <v>6</v>
      </c>
      <c r="DL101" s="25">
        <v>38</v>
      </c>
      <c r="DM101" s="25">
        <v>164</v>
      </c>
      <c r="DN101" s="25">
        <v>154715</v>
      </c>
      <c r="DO101" s="25">
        <v>166</v>
      </c>
      <c r="DP101" s="25">
        <v>10</v>
      </c>
      <c r="DQ101" s="25">
        <v>416</v>
      </c>
      <c r="DR101" s="25">
        <v>150648</v>
      </c>
      <c r="DS101" s="25">
        <v>1154</v>
      </c>
      <c r="DT101" s="25">
        <v>2408</v>
      </c>
      <c r="DU101" s="25">
        <v>316</v>
      </c>
      <c r="DV101" s="25">
        <v>761</v>
      </c>
      <c r="DW101" s="25">
        <v>67</v>
      </c>
      <c r="DX101" s="25">
        <v>62</v>
      </c>
      <c r="DY101" s="25">
        <v>9</v>
      </c>
      <c r="DZ101" s="25">
        <v>510</v>
      </c>
      <c r="EA101" s="25">
        <v>2168</v>
      </c>
      <c r="EB101" s="25">
        <v>1785</v>
      </c>
      <c r="EC101" s="25">
        <v>21370</v>
      </c>
      <c r="ED101" s="25">
        <v>7418</v>
      </c>
      <c r="EE101" s="25">
        <v>85996</v>
      </c>
      <c r="EF101" s="25">
        <v>1631</v>
      </c>
      <c r="EG101" s="25">
        <v>16671</v>
      </c>
      <c r="EH101" s="25">
        <v>14498</v>
      </c>
      <c r="EI101" s="25">
        <v>187327</v>
      </c>
      <c r="EJ101" s="25">
        <v>233</v>
      </c>
      <c r="EK101" s="25">
        <v>11512</v>
      </c>
      <c r="EL101" s="25">
        <v>435</v>
      </c>
      <c r="EM101" s="25">
        <v>2135</v>
      </c>
      <c r="EN101" s="25">
        <v>303</v>
      </c>
      <c r="EO101" s="25">
        <v>10694</v>
      </c>
      <c r="EP101" s="25">
        <v>2248</v>
      </c>
      <c r="EQ101" s="25">
        <v>612</v>
      </c>
      <c r="ER101" s="25">
        <v>761</v>
      </c>
      <c r="ES101" s="25">
        <v>682</v>
      </c>
      <c r="ET101" s="25">
        <v>101</v>
      </c>
      <c r="EU101" s="25">
        <v>81</v>
      </c>
      <c r="EV101" s="25">
        <v>1370</v>
      </c>
      <c r="EW101" s="25">
        <v>3654</v>
      </c>
      <c r="EX101" s="25">
        <v>121</v>
      </c>
      <c r="EY101" s="25">
        <v>5532</v>
      </c>
      <c r="EZ101" s="25">
        <v>86</v>
      </c>
      <c r="FA101" s="25">
        <v>444</v>
      </c>
      <c r="FB101" s="25">
        <v>7</v>
      </c>
      <c r="FC101" s="25">
        <v>329</v>
      </c>
      <c r="FD101" s="25">
        <v>10544</v>
      </c>
      <c r="FE101" s="25">
        <v>2778</v>
      </c>
      <c r="FF101" s="25">
        <v>94</v>
      </c>
      <c r="FG101" s="25">
        <v>35</v>
      </c>
      <c r="FH101" s="25">
        <v>315</v>
      </c>
      <c r="FI101" s="25">
        <v>3446</v>
      </c>
      <c r="FJ101" s="25">
        <v>16</v>
      </c>
      <c r="FK101" s="25">
        <v>45</v>
      </c>
      <c r="FL101" s="25">
        <v>100</v>
      </c>
      <c r="FM101" s="25">
        <v>14</v>
      </c>
      <c r="FN101" s="25">
        <v>71</v>
      </c>
      <c r="FO101" s="25">
        <v>34842</v>
      </c>
      <c r="FP101" s="25">
        <v>1451</v>
      </c>
      <c r="FQ101" s="25">
        <v>10</v>
      </c>
      <c r="FR101" s="25">
        <v>662</v>
      </c>
      <c r="FS101" s="25">
        <v>873</v>
      </c>
      <c r="FT101" s="25">
        <v>1259</v>
      </c>
      <c r="FU101" s="25">
        <v>7338</v>
      </c>
      <c r="FV101" s="25">
        <v>1614</v>
      </c>
      <c r="FW101" s="25">
        <v>10076</v>
      </c>
      <c r="FX101" s="25">
        <v>4821</v>
      </c>
      <c r="FY101" s="25">
        <v>8</v>
      </c>
      <c r="FZ101" s="25">
        <v>213</v>
      </c>
      <c r="GA101" s="25">
        <v>19250</v>
      </c>
      <c r="GB101" s="25">
        <v>6710</v>
      </c>
      <c r="GC101" s="25">
        <v>10169</v>
      </c>
      <c r="GD101" s="25">
        <v>21982</v>
      </c>
      <c r="GE101" s="25">
        <v>7141</v>
      </c>
      <c r="GF101" s="25">
        <v>9710</v>
      </c>
      <c r="GG101" s="25">
        <v>57999</v>
      </c>
      <c r="GH101" s="25">
        <v>153</v>
      </c>
      <c r="GI101" s="25">
        <v>15</v>
      </c>
      <c r="GJ101" s="25">
        <v>13</v>
      </c>
      <c r="GK101" s="25">
        <v>488</v>
      </c>
      <c r="GL101" s="25">
        <v>12772</v>
      </c>
      <c r="GM101" s="25">
        <v>442</v>
      </c>
      <c r="GN101" s="25">
        <v>7144</v>
      </c>
      <c r="GO101" s="25">
        <v>11</v>
      </c>
      <c r="GP101" s="25">
        <v>10141</v>
      </c>
      <c r="GQ101" s="25">
        <v>1244</v>
      </c>
      <c r="GR101" s="25">
        <v>1353</v>
      </c>
      <c r="GS101" s="25">
        <v>286</v>
      </c>
      <c r="GT101" s="25">
        <v>3635</v>
      </c>
      <c r="GU101" s="25">
        <v>208389</v>
      </c>
      <c r="GV101" s="25">
        <v>330</v>
      </c>
      <c r="GW101" s="25">
        <v>140</v>
      </c>
      <c r="GX101" s="25">
        <v>10</v>
      </c>
      <c r="GY101" s="25">
        <v>16004</v>
      </c>
      <c r="GZ101" s="25">
        <v>28268</v>
      </c>
      <c r="HA101" s="25">
        <v>426</v>
      </c>
      <c r="HB101" s="25">
        <v>284</v>
      </c>
      <c r="HC101" s="25">
        <v>2826</v>
      </c>
      <c r="HD101" s="25">
        <v>88</v>
      </c>
      <c r="HE101" s="25">
        <v>115</v>
      </c>
      <c r="HF101" s="25">
        <v>909</v>
      </c>
      <c r="HG101" s="25">
        <v>98674</v>
      </c>
      <c r="HH101" s="25">
        <v>63</v>
      </c>
      <c r="HI101" s="25">
        <v>6592</v>
      </c>
      <c r="HJ101" s="25">
        <v>8238</v>
      </c>
      <c r="HK101" s="25">
        <v>99</v>
      </c>
      <c r="HL101" s="25">
        <v>66</v>
      </c>
      <c r="HM101" s="25">
        <v>498</v>
      </c>
      <c r="HN101" s="25">
        <v>132</v>
      </c>
      <c r="HO101" s="25">
        <v>307</v>
      </c>
      <c r="HP101" s="25">
        <v>11</v>
      </c>
      <c r="HQ101" s="25">
        <v>133495</v>
      </c>
      <c r="HR101" s="25">
        <v>543</v>
      </c>
      <c r="HS101" s="25">
        <v>840351</v>
      </c>
      <c r="HT101" s="25">
        <v>1716</v>
      </c>
      <c r="HU101" s="25">
        <v>288</v>
      </c>
      <c r="HV101" s="25">
        <v>268</v>
      </c>
      <c r="HW101" s="25">
        <v>74</v>
      </c>
      <c r="HX101" s="25">
        <v>28</v>
      </c>
      <c r="HY101" s="25">
        <v>0</v>
      </c>
      <c r="HZ101" s="25">
        <v>16</v>
      </c>
      <c r="IA101" s="25">
        <v>15</v>
      </c>
      <c r="IB101" s="25">
        <v>41</v>
      </c>
      <c r="IC101" s="25">
        <v>42</v>
      </c>
      <c r="ID101" s="25">
        <v>23</v>
      </c>
      <c r="IE101" s="25">
        <v>18</v>
      </c>
      <c r="IF101" s="25">
        <v>0</v>
      </c>
      <c r="IG101" s="25">
        <v>19</v>
      </c>
      <c r="IH101" s="25">
        <v>59</v>
      </c>
      <c r="II101" s="25">
        <v>474</v>
      </c>
      <c r="IJ101" s="25">
        <v>50</v>
      </c>
      <c r="IK101" s="25">
        <v>293</v>
      </c>
      <c r="IL101" s="25">
        <v>15</v>
      </c>
      <c r="IM101" s="25">
        <v>5</v>
      </c>
      <c r="IN101" s="25">
        <v>11</v>
      </c>
      <c r="IO101" s="25">
        <v>630</v>
      </c>
      <c r="IP101" s="25">
        <v>123</v>
      </c>
      <c r="IQ101" s="25">
        <v>3</v>
      </c>
      <c r="IR101" s="25">
        <v>5</v>
      </c>
      <c r="IS101" s="25">
        <v>11</v>
      </c>
      <c r="IT101" s="25">
        <v>9</v>
      </c>
      <c r="IU101" s="25">
        <v>22</v>
      </c>
      <c r="IV101" s="25">
        <v>11</v>
      </c>
      <c r="IW101" s="25">
        <v>61</v>
      </c>
      <c r="IX101" s="25">
        <v>5</v>
      </c>
      <c r="IY101" s="25">
        <v>23</v>
      </c>
      <c r="IZ101" s="25">
        <v>11</v>
      </c>
      <c r="JA101" s="25">
        <v>1</v>
      </c>
      <c r="JB101" s="25">
        <v>4</v>
      </c>
      <c r="JC101" s="25">
        <v>6</v>
      </c>
      <c r="JD101" s="25">
        <v>4</v>
      </c>
      <c r="JE101" s="25">
        <v>1</v>
      </c>
      <c r="JF101" s="25">
        <v>0</v>
      </c>
      <c r="JG101" s="25">
        <v>0</v>
      </c>
      <c r="JH101" s="25">
        <v>0</v>
      </c>
      <c r="JI101" s="25">
        <v>136</v>
      </c>
      <c r="JJ101" s="25">
        <v>14</v>
      </c>
      <c r="JK101" s="25">
        <v>1252</v>
      </c>
      <c r="JL101" s="25">
        <v>54</v>
      </c>
      <c r="JM101" s="25">
        <v>5593</v>
      </c>
      <c r="JN101" s="25">
        <v>335</v>
      </c>
      <c r="JO101" s="25">
        <v>5473</v>
      </c>
      <c r="JP101" s="25">
        <v>2276</v>
      </c>
      <c r="JQ101" s="25">
        <v>37344</v>
      </c>
      <c r="JR101" s="25">
        <v>10891</v>
      </c>
      <c r="JS101" s="25">
        <v>22469</v>
      </c>
      <c r="JT101" s="25">
        <v>3200</v>
      </c>
      <c r="JU101" s="25">
        <v>3206</v>
      </c>
      <c r="JV101" s="25">
        <v>28309</v>
      </c>
      <c r="JW101" s="25">
        <v>21214</v>
      </c>
      <c r="JX101" s="25">
        <v>592</v>
      </c>
      <c r="JY101" s="25">
        <v>1766</v>
      </c>
      <c r="JZ101" s="25">
        <v>35107</v>
      </c>
      <c r="KA101" s="25">
        <v>12438</v>
      </c>
      <c r="KB101" s="25">
        <v>3748</v>
      </c>
      <c r="KC101" s="25">
        <v>2331</v>
      </c>
      <c r="KD101" s="25">
        <v>3378</v>
      </c>
      <c r="KE101" s="25">
        <v>25258</v>
      </c>
      <c r="KF101" s="25">
        <v>907</v>
      </c>
      <c r="KG101" s="25">
        <v>14775</v>
      </c>
      <c r="KH101" s="25">
        <v>42944</v>
      </c>
      <c r="KI101" s="25">
        <v>33966</v>
      </c>
      <c r="KJ101" s="25">
        <v>2722</v>
      </c>
      <c r="KK101" s="25">
        <v>4894</v>
      </c>
      <c r="KL101" s="25">
        <v>6277</v>
      </c>
      <c r="KM101" s="25">
        <v>439</v>
      </c>
      <c r="KN101" s="25">
        <v>1813</v>
      </c>
      <c r="KO101" s="25">
        <v>4081</v>
      </c>
      <c r="KP101" s="25">
        <v>1588</v>
      </c>
      <c r="KQ101" s="25">
        <v>95914</v>
      </c>
      <c r="KR101" s="25">
        <v>2210</v>
      </c>
      <c r="KS101" s="25">
        <v>258222</v>
      </c>
      <c r="KT101" s="25">
        <v>7495</v>
      </c>
      <c r="KU101" s="25">
        <v>679</v>
      </c>
      <c r="KV101" s="25">
        <v>14117</v>
      </c>
      <c r="KW101" s="25">
        <v>2894</v>
      </c>
      <c r="KX101" s="25">
        <v>2059</v>
      </c>
      <c r="KY101" s="25">
        <v>36082</v>
      </c>
      <c r="KZ101" s="25">
        <v>5841</v>
      </c>
      <c r="LA101" s="25">
        <v>4761</v>
      </c>
      <c r="LB101" s="25">
        <v>1858</v>
      </c>
      <c r="LC101" s="25">
        <v>7394</v>
      </c>
      <c r="LD101" s="25">
        <v>21321</v>
      </c>
      <c r="LE101" s="25">
        <v>3445</v>
      </c>
      <c r="LF101" s="25">
        <v>823</v>
      </c>
      <c r="LG101" s="25">
        <v>10266</v>
      </c>
      <c r="LH101" s="25">
        <v>12596</v>
      </c>
      <c r="LI101" s="25">
        <v>939</v>
      </c>
      <c r="LJ101" s="25">
        <v>4845</v>
      </c>
      <c r="LK101" s="25">
        <v>447</v>
      </c>
      <c r="LL101" s="25">
        <v>49</v>
      </c>
      <c r="LM101" s="25">
        <v>103</v>
      </c>
      <c r="LN101" s="278">
        <f ca="1">$A101 - TST!Sweden100dt + 1</f>
        <v>47</v>
      </c>
      <c r="LO101" s="20">
        <f ca="1">INDEX(OFFSET(TST!HeadRow,ROW()-ROW(TST!HeadRow),0,1,COLUMNS(TST!HeadRow)),1,MATCH(LO$5,TST!HeadRow,0))/LO$8</f>
        <v>15644.183773216033</v>
      </c>
      <c r="LP101" s="278">
        <f ca="1">$A101 - TST!Spain100dt + 1</f>
        <v>47</v>
      </c>
      <c r="LQ101" s="20">
        <f ca="1">INDEX(OFFSET(TST!HeadRow,ROW()-ROW(TST!HeadRow),0,1,COLUMNS(TST!HeadRow)),1,MATCH(LQ$5,TST!HeadRow,0))/LQ$8</f>
        <v>44394.759267149551</v>
      </c>
      <c r="LR101" s="285">
        <f ca="1">$A101 - TST!Victoria100dt + 1</f>
        <v>38</v>
      </c>
      <c r="LS101" s="20">
        <f ca="1">INDEX(OFFSET(TST!HeadRow,ROW()-ROW(TST!HeadRow),0,1,COLUMNS(TST!HeadRow)),1,MATCH(LS$5,TST!HeadRow,0))/LS$8</f>
        <v>2015.3869361894704</v>
      </c>
      <c r="LT101" s="278">
        <f ca="1">$A101 - TST!Iran100dt + 1</f>
        <v>53</v>
      </c>
      <c r="LU101" s="20">
        <f ca="1">INDEX(OFFSET(TST!HeadRow,ROW()-ROW(TST!HeadRow),0,1,COLUMNS(TST!HeadRow)),1,MATCH(LU$5,TST!HeadRow,0))/LU$8</f>
        <v>10265.359960846574</v>
      </c>
      <c r="LV101" s="278">
        <f ca="1">$A101 - TST!Japan100dt + 1</f>
        <v>29</v>
      </c>
      <c r="LW101" s="20">
        <f ca="1">INDEX(OFFSET(TST!HeadRow,ROW()-ROW(TST!HeadRow),0,1,COLUMNS(TST!HeadRow)),1,MATCH(LW$5,TST!HeadRow,0))/LW$8</f>
        <v>909.64975695038754</v>
      </c>
      <c r="LX101" s="278">
        <f ca="1">$A101 - TST!Queensland100dt + 1</f>
        <v>39</v>
      </c>
      <c r="LY101" s="20">
        <f ca="1">INDEX(OFFSET(TST!HeadRow,ROW()-ROW(TST!HeadRow),0,1,COLUMNS(TST!HeadRow)),1,MATCH(LY$5,TST!HeadRow,0))/LY$8</f>
        <v>2001.7785333101617</v>
      </c>
      <c r="LZ101" s="278">
        <f ca="1">$A101 - TST!Tasmania100dt + 1</f>
        <v>39</v>
      </c>
      <c r="MA101" s="20">
        <f ca="1">INDEX(OFFSET(TST!HeadRow,ROW()-ROW(TST!HeadRow),0,1,COLUMNS(TST!HeadRow)),1,MATCH(MA$5,TST!HeadRow,0))/MA$8</f>
        <v>3980.5825242718447</v>
      </c>
      <c r="MB101" s="278">
        <f ca="1">$A101 - TST!SouthAustralia100dt + 1</f>
        <v>40</v>
      </c>
      <c r="MC101" s="20">
        <f ca="1">INDEX(OFFSET(TST!HeadRow,ROW()-ROW(TST!HeadRow),0,1,COLUMNS(TST!HeadRow)),1,MATCH(MC$5,TST!HeadRow,0))/MC$8</f>
        <v>2622.754491017964</v>
      </c>
      <c r="MD101" s="278">
        <f ca="1">$A101 - TST!AustralianCapitalTerritory100dt + 1</f>
        <v>34</v>
      </c>
      <c r="ME101" s="20">
        <f ca="1">INDEX(OFFSET(TST!HeadRow,ROW()-ROW(TST!HeadRow),0,1,COLUMNS(TST!HeadRow)),1,MATCH(ME$5,TST!HeadRow,0))/ME$8</f>
        <v>2429.5659486987806</v>
      </c>
      <c r="MF101" s="278">
        <f ca="1">$A101 - TST!NorthernTerritory100dt + 1</f>
        <v>34</v>
      </c>
      <c r="MG101" s="20">
        <f ca="1">INDEX(OFFSET(TST!HeadRow,ROW()-ROW(TST!HeadRow),0,1,COLUMNS(TST!HeadRow)),1,MATCH(MG$5,TST!HeadRow,0))/MG$8</f>
        <v>1321.0974545282972</v>
      </c>
      <c r="MH101" s="278">
        <f ca="1">$A101 - TST!WesternAustralia100dt + 1</f>
        <v>38</v>
      </c>
      <c r="MI101" s="20">
        <f ca="1">INDEX(OFFSET(TST!HeadRow,ROW()-ROW(TST!HeadRow),0,1,COLUMNS(TST!HeadRow)),1,MATCH(MI$5,TST!HeadRow,0))/MI$8</f>
        <v>2108.9223638470448</v>
      </c>
      <c r="MJ101" s="278">
        <f ca="1">$A101 - TST!Germany100dt + 1</f>
        <v>46</v>
      </c>
      <c r="MK101" s="20">
        <f ca="1">INDEX(OFFSET(TST!HeadRow,ROW()-ROW(TST!HeadRow),0,1,COLUMNS(TST!HeadRow)),1,MATCH(MK$5,TST!HeadRow,0))/MK$8</f>
        <v>18145.988918332932</v>
      </c>
      <c r="ML101" s="278">
        <f ca="1">$A101 - TST!Denmark100dt + 1</f>
        <v>45</v>
      </c>
      <c r="MM101" s="20">
        <f ca="1">INDEX(OFFSET(TST!HeadRow,ROW()-ROW(TST!HeadRow),0,1,COLUMNS(TST!HeadRow)),1,MATCH(MM$5,TST!HeadRow,0))/MM$8</f>
        <v>13627.282121942817</v>
      </c>
      <c r="MN101" s="278">
        <f ca="1">$A101 - TST!SouthAfrica100dt + 1</f>
        <v>29</v>
      </c>
      <c r="MO101" s="20">
        <f ca="1">INDEX(OFFSET(TST!HeadRow,ROW()-ROW(TST!HeadRow),0,1,COLUMNS(TST!HeadRow)),1,MATCH(MO$5,TST!HeadRow,0))/MO$8</f>
        <v>629.11041883004509</v>
      </c>
      <c r="MP101" s="278">
        <f ca="1">$A101 - TST!UnitedKingdom100dt + 1</f>
        <v>41</v>
      </c>
      <c r="MQ101" s="20">
        <f ca="1">INDEX(OFFSET(TST!HeadRow,ROW()-ROW(TST!HeadRow),0,1,COLUMNS(TST!HeadRow)),1,MATCH(MQ$5,TST!HeadRow,0))/MQ$8</f>
        <v>20092.564720048162</v>
      </c>
      <c r="MR101" s="278">
        <f ca="1">$A101 - TST!Ireland100dt + 1</f>
        <v>41</v>
      </c>
      <c r="MS101" s="20">
        <f ca="1">INDEX(OFFSET(TST!HeadRow,ROW()-ROW(TST!HeadRow),0,1,COLUMNS(TST!HeadRow)),1,MATCH(MS$5,TST!HeadRow,0))/MS$8</f>
        <v>34022.448979591834</v>
      </c>
      <c r="MT101" s="278">
        <f ca="1">$A101 - TST!Italy100dt + 1</f>
        <v>56</v>
      </c>
      <c r="MU101" s="20">
        <f ca="1">INDEX(OFFSET(TST!HeadRow,ROW()-ROW(TST!HeadRow),0,1,COLUMNS(TST!HeadRow)),1,MATCH(MU$5,TST!HeadRow,0))/MU$8</f>
        <v>30970.819211374721</v>
      </c>
      <c r="MV101" s="278">
        <f ca="1">$A101 - TST!US100dt + 1</f>
        <v>39</v>
      </c>
      <c r="MW101" s="20">
        <f ca="1">INDEX(OFFSET(TST!HeadRow,ROW()-ROW(TST!HeadRow),0,1,COLUMNS(TST!HeadRow)),1,MATCH(MW$5,TST!HeadRow,0))/MW$8</f>
        <v>25524.914294434955</v>
      </c>
      <c r="MX101" s="278">
        <f ca="1">$A101 - TST!AustraliaSum100dt + 1</f>
        <v>39</v>
      </c>
      <c r="MY101" s="366">
        <f t="shared" si="9"/>
        <v>2622.6147295379278</v>
      </c>
      <c r="MZ101" s="278">
        <f ca="1">$A101 - TST!NewSouthWales100dt + 1</f>
        <v>41</v>
      </c>
      <c r="NA101" s="366">
        <f ca="1">INDEX(OFFSET(TST!HeadRow,ROW()-ROW(TST!HeadRow),0,1,COLUMNS(TST!HeadRow)),1,MATCH(NA$5,TST!HeadRow,0))/NA$8</f>
        <v>3676.9801980198017</v>
      </c>
      <c r="NB101" s="278">
        <f ca="1">$A101 - TST!Taiwan100dt + 1</f>
        <v>28</v>
      </c>
      <c r="NC101" s="366">
        <f ca="1">INDEX(OFFSET(TST!HeadRow,ROW()-ROW(TST!HeadRow),0,1,COLUMNS(TST!HeadRow)),1,MATCH(NC$5,TST!HeadRow,0))/NC$8</f>
        <v>178.93684797785821</v>
      </c>
      <c r="ND101" s="20">
        <f ca="1">$A101 - TST!Hubei100dt + 1</f>
        <v>89</v>
      </c>
      <c r="NE101" s="20">
        <f ca="1">INDEX(OFFSET(TST!HeadRow,ROW()-ROW(TST!HeadRow),0,1,COLUMNS(TST!HeadRow)),1,MATCH(NE$5,TST!HeadRow,0))/NE$8</f>
        <v>11645.811965811967</v>
      </c>
      <c r="NF101" s="20">
        <f ca="1">$A101 - TST!HongKong100dt + 1</f>
        <v>59</v>
      </c>
      <c r="NG101" s="20">
        <f ca="1">INDEX(OFFSET(TST!HeadRow,ROW()-ROW(TST!HeadRow),0,1,COLUMNS(TST!HeadRow)),1,MATCH(NG$5,TST!HeadRow,0))/NG$8</f>
        <v>1386.391088444504</v>
      </c>
    </row>
    <row r="102" spans="1:371" x14ac:dyDescent="0.25">
      <c r="A102" s="156">
        <v>43944</v>
      </c>
      <c r="B102" s="25">
        <v>1279</v>
      </c>
      <c r="C102" s="25">
        <v>663</v>
      </c>
      <c r="D102" s="25">
        <v>3007</v>
      </c>
      <c r="E102" s="25">
        <v>723</v>
      </c>
      <c r="F102" s="25">
        <v>25</v>
      </c>
      <c r="G102" s="25">
        <v>24</v>
      </c>
      <c r="H102" s="25">
        <v>3435</v>
      </c>
      <c r="I102" s="25">
        <v>1523</v>
      </c>
      <c r="J102" s="25">
        <v>104</v>
      </c>
      <c r="K102" s="292">
        <v>2976</v>
      </c>
      <c r="L102" s="25">
        <v>28</v>
      </c>
      <c r="M102" s="289">
        <v>1026</v>
      </c>
      <c r="N102" s="25">
        <v>438</v>
      </c>
      <c r="O102" s="386">
        <v>207</v>
      </c>
      <c r="P102" s="286">
        <v>1337</v>
      </c>
      <c r="Q102" s="25">
        <v>546</v>
      </c>
      <c r="R102" s="25">
        <v>15002</v>
      </c>
      <c r="S102" s="25">
        <v>1548</v>
      </c>
      <c r="T102" s="25">
        <v>72</v>
      </c>
      <c r="U102" s="25">
        <v>2217</v>
      </c>
      <c r="V102" s="25">
        <v>4186</v>
      </c>
      <c r="W102" s="25">
        <v>76</v>
      </c>
      <c r="X102" s="25">
        <v>8022</v>
      </c>
      <c r="Y102" s="25">
        <v>42797</v>
      </c>
      <c r="Z102" s="25">
        <v>54</v>
      </c>
      <c r="AA102" s="25">
        <v>7</v>
      </c>
      <c r="AB102" s="25">
        <v>703</v>
      </c>
      <c r="AC102" s="25">
        <v>1413</v>
      </c>
      <c r="AD102" s="25">
        <v>50036</v>
      </c>
      <c r="AE102" s="25">
        <v>138</v>
      </c>
      <c r="AF102" s="25">
        <v>1097</v>
      </c>
      <c r="AG102" s="25">
        <v>616</v>
      </c>
      <c r="AH102" s="25">
        <v>82</v>
      </c>
      <c r="AI102" s="25">
        <v>122</v>
      </c>
      <c r="AJ102" s="25">
        <v>1334</v>
      </c>
      <c r="AK102" s="25">
        <v>3720</v>
      </c>
      <c r="AL102" s="25">
        <v>1824</v>
      </c>
      <c r="AM102" s="25">
        <v>13</v>
      </c>
      <c r="AN102" s="25">
        <v>262</v>
      </c>
      <c r="AO102" s="25">
        <v>118</v>
      </c>
      <c r="AP102" s="25">
        <v>256</v>
      </c>
      <c r="AQ102" s="25">
        <v>827</v>
      </c>
      <c r="AR102" s="25">
        <v>14068</v>
      </c>
      <c r="AS102" s="25">
        <v>26</v>
      </c>
      <c r="AT102" s="25">
        <v>21838</v>
      </c>
      <c r="AU102" s="25">
        <v>331</v>
      </c>
      <c r="AV102" s="25">
        <v>16</v>
      </c>
      <c r="AW102" s="25">
        <v>33</v>
      </c>
      <c r="AX102" s="25">
        <v>11812</v>
      </c>
      <c r="AY102" s="25">
        <v>991</v>
      </c>
      <c r="AZ102" s="25">
        <v>593</v>
      </c>
      <c r="BA102" s="25">
        <v>579</v>
      </c>
      <c r="BB102" s="25">
        <v>355</v>
      </c>
      <c r="BC102" s="25">
        <v>139</v>
      </c>
      <c r="BD102" s="25">
        <v>1585</v>
      </c>
      <c r="BE102" s="25">
        <v>254</v>
      </c>
      <c r="BF102" s="25">
        <v>147</v>
      </c>
      <c r="BG102" s="25">
        <v>168</v>
      </c>
      <c r="BH102" s="25">
        <v>328</v>
      </c>
      <c r="BI102" s="25">
        <v>928</v>
      </c>
      <c r="BJ102" s="25">
        <v>1276</v>
      </c>
      <c r="BK102" s="25">
        <v>1035</v>
      </c>
      <c r="BL102" s="25">
        <v>68128</v>
      </c>
      <c r="BM102" s="25">
        <v>1019</v>
      </c>
      <c r="BN102" s="25">
        <v>194</v>
      </c>
      <c r="BO102" s="25">
        <v>653</v>
      </c>
      <c r="BP102" s="25">
        <v>937</v>
      </c>
      <c r="BQ102" s="25">
        <v>108</v>
      </c>
      <c r="BR102" s="25">
        <v>146</v>
      </c>
      <c r="BS102" s="25">
        <v>45</v>
      </c>
      <c r="BT102" s="25">
        <v>75</v>
      </c>
      <c r="BU102" s="25">
        <v>18</v>
      </c>
      <c r="BV102" s="25">
        <v>279</v>
      </c>
      <c r="BW102" s="25">
        <v>787</v>
      </c>
      <c r="BX102" s="25">
        <v>641</v>
      </c>
      <c r="BY102" s="25">
        <v>197</v>
      </c>
      <c r="BZ102" s="25">
        <v>561</v>
      </c>
      <c r="CA102" s="25">
        <v>189</v>
      </c>
      <c r="CB102" s="25">
        <v>1</v>
      </c>
      <c r="CC102" s="25">
        <v>76</v>
      </c>
      <c r="CD102" s="25">
        <v>184</v>
      </c>
      <c r="CE102" s="25">
        <v>1268</v>
      </c>
      <c r="CF102" s="25">
        <v>4561</v>
      </c>
      <c r="CG102" s="25">
        <v>186</v>
      </c>
      <c r="CH102" s="25">
        <v>377</v>
      </c>
      <c r="CI102" s="25">
        <v>686</v>
      </c>
      <c r="CJ102" s="25">
        <v>1004</v>
      </c>
      <c r="CK102" s="25">
        <v>1981</v>
      </c>
      <c r="CL102" s="25">
        <v>712</v>
      </c>
      <c r="CM102" s="25">
        <v>1235</v>
      </c>
      <c r="CN102" s="25">
        <v>795</v>
      </c>
      <c r="CO102" s="25">
        <v>7187</v>
      </c>
      <c r="CP102" s="25">
        <v>187</v>
      </c>
      <c r="CQ102" s="25">
        <v>11</v>
      </c>
      <c r="CR102" s="25">
        <v>8073</v>
      </c>
      <c r="CS102" s="25">
        <v>986</v>
      </c>
      <c r="CT102" s="25">
        <v>5543</v>
      </c>
      <c r="CU102" s="25">
        <v>11183</v>
      </c>
      <c r="CV102" s="25">
        <v>3891</v>
      </c>
      <c r="CW102" s="25">
        <v>250</v>
      </c>
      <c r="CX102" s="25">
        <v>84</v>
      </c>
      <c r="CY102" s="25">
        <v>39</v>
      </c>
      <c r="CZ102" s="25">
        <v>1592</v>
      </c>
      <c r="DA102" s="25">
        <v>31</v>
      </c>
      <c r="DB102" s="25">
        <v>116</v>
      </c>
      <c r="DC102" s="25">
        <v>18</v>
      </c>
      <c r="DD102" s="25">
        <v>4284</v>
      </c>
      <c r="DE102" s="25">
        <v>107</v>
      </c>
      <c r="DF102" s="25">
        <v>57</v>
      </c>
      <c r="DG102" s="25">
        <v>148</v>
      </c>
      <c r="DH102" s="25">
        <v>326</v>
      </c>
      <c r="DI102" s="25">
        <v>18</v>
      </c>
      <c r="DJ102" s="25">
        <v>412</v>
      </c>
      <c r="DK102" s="25">
        <v>6</v>
      </c>
      <c r="DL102" s="25">
        <v>38</v>
      </c>
      <c r="DM102" s="25">
        <v>164</v>
      </c>
      <c r="DN102" s="25">
        <v>157026</v>
      </c>
      <c r="DO102" s="25">
        <v>167</v>
      </c>
      <c r="DP102" s="25">
        <v>10</v>
      </c>
      <c r="DQ102" s="25">
        <v>425</v>
      </c>
      <c r="DR102" s="25">
        <v>153129</v>
      </c>
      <c r="DS102" s="25">
        <v>1154</v>
      </c>
      <c r="DT102" s="25">
        <v>2463</v>
      </c>
      <c r="DU102" s="25">
        <v>384</v>
      </c>
      <c r="DV102" s="25">
        <v>862</v>
      </c>
      <c r="DW102" s="25">
        <v>70</v>
      </c>
      <c r="DX102" s="25">
        <v>72</v>
      </c>
      <c r="DY102" s="25">
        <v>9</v>
      </c>
      <c r="DZ102" s="25">
        <v>519</v>
      </c>
      <c r="EA102" s="25">
        <v>2284</v>
      </c>
      <c r="EB102" s="25">
        <v>1789</v>
      </c>
      <c r="EC102" s="25">
        <v>23077</v>
      </c>
      <c r="ED102" s="25">
        <v>7775</v>
      </c>
      <c r="EE102" s="25">
        <v>87026</v>
      </c>
      <c r="EF102" s="25">
        <v>1677</v>
      </c>
      <c r="EG102" s="25">
        <v>17607</v>
      </c>
      <c r="EH102" s="25">
        <v>14803</v>
      </c>
      <c r="EI102" s="25">
        <v>189973</v>
      </c>
      <c r="EJ102" s="25">
        <v>257</v>
      </c>
      <c r="EK102" s="25">
        <v>12368</v>
      </c>
      <c r="EL102" s="25">
        <v>437</v>
      </c>
      <c r="EM102" s="25">
        <v>2289</v>
      </c>
      <c r="EN102" s="25">
        <v>320</v>
      </c>
      <c r="EO102" s="25">
        <v>10708</v>
      </c>
      <c r="EP102" s="25">
        <v>2399</v>
      </c>
      <c r="EQ102" s="25">
        <v>631</v>
      </c>
      <c r="ER102" s="25">
        <v>778</v>
      </c>
      <c r="ES102" s="25">
        <v>688</v>
      </c>
      <c r="ET102" s="25">
        <v>101</v>
      </c>
      <c r="EU102" s="25">
        <v>81</v>
      </c>
      <c r="EV102" s="25">
        <v>1398</v>
      </c>
      <c r="EW102" s="25">
        <v>3665</v>
      </c>
      <c r="EX102" s="25">
        <v>121</v>
      </c>
      <c r="EY102" s="25">
        <v>5603</v>
      </c>
      <c r="EZ102" s="25">
        <v>108</v>
      </c>
      <c r="FA102" s="25">
        <v>445</v>
      </c>
      <c r="FB102" s="25">
        <v>7</v>
      </c>
      <c r="FC102" s="25">
        <v>331</v>
      </c>
      <c r="FD102" s="25">
        <v>11633</v>
      </c>
      <c r="FE102" s="25">
        <v>2926</v>
      </c>
      <c r="FF102" s="25">
        <v>94</v>
      </c>
      <c r="FG102" s="25">
        <v>36</v>
      </c>
      <c r="FH102" s="25">
        <v>316</v>
      </c>
      <c r="FI102" s="25">
        <v>3568</v>
      </c>
      <c r="FJ102" s="25">
        <v>16</v>
      </c>
      <c r="FK102" s="25">
        <v>48</v>
      </c>
      <c r="FL102" s="25">
        <v>100</v>
      </c>
      <c r="FM102" s="25">
        <v>14</v>
      </c>
      <c r="FN102" s="25">
        <v>73</v>
      </c>
      <c r="FO102" s="25">
        <v>35729</v>
      </c>
      <c r="FP102" s="25">
        <v>1456</v>
      </c>
      <c r="FQ102" s="25">
        <v>11</v>
      </c>
      <c r="FR102" s="25">
        <v>671</v>
      </c>
      <c r="FS102" s="25">
        <v>981</v>
      </c>
      <c r="FT102" s="25">
        <v>1300</v>
      </c>
      <c r="FU102" s="25">
        <v>7401</v>
      </c>
      <c r="FV102" s="25">
        <v>1716</v>
      </c>
      <c r="FW102" s="25">
        <v>11155</v>
      </c>
      <c r="FX102" s="25">
        <v>5166</v>
      </c>
      <c r="FY102" s="25">
        <v>8</v>
      </c>
      <c r="FZ102" s="25">
        <v>213</v>
      </c>
      <c r="GA102" s="25">
        <v>20914</v>
      </c>
      <c r="GB102" s="25">
        <v>6981</v>
      </c>
      <c r="GC102" s="25">
        <v>10511</v>
      </c>
      <c r="GD102" s="25">
        <v>22353</v>
      </c>
      <c r="GE102" s="25">
        <v>7764</v>
      </c>
      <c r="GF102" s="25">
        <v>10096</v>
      </c>
      <c r="GG102" s="25">
        <v>62773</v>
      </c>
      <c r="GH102" s="25">
        <v>154</v>
      </c>
      <c r="GI102" s="25">
        <v>15</v>
      </c>
      <c r="GJ102" s="25">
        <v>13</v>
      </c>
      <c r="GK102" s="25">
        <v>501</v>
      </c>
      <c r="GL102" s="25">
        <v>13930</v>
      </c>
      <c r="GM102" s="25">
        <v>479</v>
      </c>
      <c r="GN102" s="25">
        <v>7276</v>
      </c>
      <c r="GO102" s="25">
        <v>11</v>
      </c>
      <c r="GP102" s="25">
        <v>11178</v>
      </c>
      <c r="GQ102" s="25">
        <v>1325</v>
      </c>
      <c r="GR102" s="25">
        <v>1366</v>
      </c>
      <c r="GS102" s="25">
        <v>328</v>
      </c>
      <c r="GT102" s="25">
        <v>3953</v>
      </c>
      <c r="GU102" s="25">
        <v>213024</v>
      </c>
      <c r="GV102" s="25">
        <v>368</v>
      </c>
      <c r="GW102" s="25">
        <v>174</v>
      </c>
      <c r="GX102" s="25">
        <v>10</v>
      </c>
      <c r="GY102" s="25">
        <v>16755</v>
      </c>
      <c r="GZ102" s="25">
        <v>28496</v>
      </c>
      <c r="HA102" s="25">
        <v>427</v>
      </c>
      <c r="HB102" s="25">
        <v>284</v>
      </c>
      <c r="HC102" s="25">
        <v>2839</v>
      </c>
      <c r="HD102" s="25">
        <v>88</v>
      </c>
      <c r="HE102" s="25">
        <v>115</v>
      </c>
      <c r="HF102" s="25">
        <v>918</v>
      </c>
      <c r="HG102" s="25">
        <v>101790</v>
      </c>
      <c r="HH102" s="25">
        <v>74</v>
      </c>
      <c r="HI102" s="25">
        <v>7170</v>
      </c>
      <c r="HJ102" s="25">
        <v>8756</v>
      </c>
      <c r="HK102" s="25">
        <v>99</v>
      </c>
      <c r="HL102" s="25">
        <v>66</v>
      </c>
      <c r="HM102" s="25">
        <v>521</v>
      </c>
      <c r="HN102" s="25">
        <v>133</v>
      </c>
      <c r="HO102" s="25">
        <v>307</v>
      </c>
      <c r="HP102" s="25">
        <v>11</v>
      </c>
      <c r="HQ102" s="25">
        <v>138078</v>
      </c>
      <c r="HR102" s="25">
        <v>557</v>
      </c>
      <c r="HS102" s="25">
        <v>869170</v>
      </c>
      <c r="HT102" s="25">
        <v>1758</v>
      </c>
      <c r="HU102" s="25">
        <v>311</v>
      </c>
      <c r="HV102" s="25">
        <v>268</v>
      </c>
      <c r="HW102" s="25">
        <v>76</v>
      </c>
      <c r="HX102" s="25">
        <v>28</v>
      </c>
      <c r="HY102" s="25">
        <v>0</v>
      </c>
      <c r="HZ102" s="25">
        <v>16</v>
      </c>
      <c r="IA102" s="25">
        <v>15</v>
      </c>
      <c r="IB102" s="25">
        <v>46</v>
      </c>
      <c r="IC102" s="25">
        <v>42</v>
      </c>
      <c r="ID102" s="25">
        <v>23</v>
      </c>
      <c r="IE102" s="25">
        <v>18</v>
      </c>
      <c r="IF102" s="25">
        <v>0</v>
      </c>
      <c r="IG102" s="25">
        <v>19</v>
      </c>
      <c r="IH102" s="25">
        <v>60</v>
      </c>
      <c r="II102" s="25">
        <v>480</v>
      </c>
      <c r="IJ102" s="25">
        <v>50</v>
      </c>
      <c r="IK102" s="25">
        <v>309</v>
      </c>
      <c r="IL102" s="25">
        <v>15</v>
      </c>
      <c r="IM102" s="25">
        <v>5</v>
      </c>
      <c r="IN102" s="25">
        <v>11</v>
      </c>
      <c r="IO102" s="25">
        <v>669</v>
      </c>
      <c r="IP102" s="25">
        <v>139</v>
      </c>
      <c r="IQ102" s="25">
        <v>3</v>
      </c>
      <c r="IR102" s="25">
        <v>5</v>
      </c>
      <c r="IS102" s="25">
        <v>11</v>
      </c>
      <c r="IT102" s="25">
        <v>9</v>
      </c>
      <c r="IU102" s="25">
        <v>22</v>
      </c>
      <c r="IV102" s="25">
        <v>11</v>
      </c>
      <c r="IW102" s="25">
        <v>64</v>
      </c>
      <c r="IX102" s="25">
        <v>5</v>
      </c>
      <c r="IY102" s="25">
        <v>33</v>
      </c>
      <c r="IZ102" s="25">
        <v>12</v>
      </c>
      <c r="JA102" s="25">
        <v>1</v>
      </c>
      <c r="JB102" s="25">
        <v>5</v>
      </c>
      <c r="JC102" s="25">
        <v>6</v>
      </c>
      <c r="JD102" s="25">
        <v>4</v>
      </c>
      <c r="JE102" s="25">
        <v>1</v>
      </c>
      <c r="JF102" s="25">
        <v>0</v>
      </c>
      <c r="JG102" s="25">
        <v>0</v>
      </c>
      <c r="JH102" s="25">
        <v>0</v>
      </c>
      <c r="JI102" s="25">
        <v>139</v>
      </c>
      <c r="JJ102" s="25">
        <v>14</v>
      </c>
      <c r="JK102" s="25">
        <v>1416</v>
      </c>
      <c r="JL102" s="25">
        <v>54</v>
      </c>
      <c r="JM102" s="25">
        <v>5832</v>
      </c>
      <c r="JN102" s="25">
        <v>337</v>
      </c>
      <c r="JO102" s="25">
        <v>5772</v>
      </c>
      <c r="JP102" s="25">
        <v>2599</v>
      </c>
      <c r="JQ102" s="25">
        <v>39561</v>
      </c>
      <c r="JR102" s="25">
        <v>11278</v>
      </c>
      <c r="JS102" s="25">
        <v>23100</v>
      </c>
      <c r="JT102" s="25">
        <v>3308</v>
      </c>
      <c r="JU102" s="25">
        <v>3361</v>
      </c>
      <c r="JV102" s="25">
        <v>29648</v>
      </c>
      <c r="JW102" s="25">
        <v>21883</v>
      </c>
      <c r="JX102" s="25">
        <v>596</v>
      </c>
      <c r="JY102" s="25">
        <v>1836</v>
      </c>
      <c r="JZ102" s="25">
        <v>36937</v>
      </c>
      <c r="KA102" s="25">
        <v>13039</v>
      </c>
      <c r="KB102" s="25">
        <v>3924</v>
      </c>
      <c r="KC102" s="25">
        <v>2721</v>
      </c>
      <c r="KD102" s="25">
        <v>3479</v>
      </c>
      <c r="KE102" s="25">
        <v>25739</v>
      </c>
      <c r="KF102" s="25">
        <v>937</v>
      </c>
      <c r="KG102" s="25">
        <v>15737</v>
      </c>
      <c r="KH102" s="25">
        <v>46023</v>
      </c>
      <c r="KI102" s="25">
        <v>35296</v>
      </c>
      <c r="KJ102" s="25">
        <v>2942</v>
      </c>
      <c r="KK102" s="25">
        <v>5153</v>
      </c>
      <c r="KL102" s="25">
        <v>6506</v>
      </c>
      <c r="KM102" s="25">
        <v>442</v>
      </c>
      <c r="KN102" s="25">
        <v>2202</v>
      </c>
      <c r="KO102" s="25">
        <v>4208</v>
      </c>
      <c r="KP102" s="25">
        <v>1670</v>
      </c>
      <c r="KQ102" s="25">
        <v>100025</v>
      </c>
      <c r="KR102" s="25">
        <v>2379</v>
      </c>
      <c r="KS102" s="25">
        <v>263460</v>
      </c>
      <c r="KT102" s="25">
        <v>7820</v>
      </c>
      <c r="KU102" s="25">
        <v>709</v>
      </c>
      <c r="KV102" s="25">
        <v>14694</v>
      </c>
      <c r="KW102" s="25">
        <v>3017</v>
      </c>
      <c r="KX102" s="25">
        <v>2127</v>
      </c>
      <c r="KY102" s="25">
        <v>38379</v>
      </c>
      <c r="KZ102" s="25">
        <v>6256</v>
      </c>
      <c r="LA102" s="25">
        <v>4917</v>
      </c>
      <c r="LB102" s="25">
        <v>1956</v>
      </c>
      <c r="LC102" s="25">
        <v>8266</v>
      </c>
      <c r="LD102" s="25">
        <v>22650</v>
      </c>
      <c r="LE102" s="25">
        <v>3612</v>
      </c>
      <c r="LF102" s="25">
        <v>825</v>
      </c>
      <c r="LG102" s="25">
        <v>10998</v>
      </c>
      <c r="LH102" s="25">
        <v>12753</v>
      </c>
      <c r="LI102" s="25">
        <v>981</v>
      </c>
      <c r="LJ102" s="25">
        <v>5052</v>
      </c>
      <c r="LK102" s="25">
        <v>453</v>
      </c>
      <c r="LL102" s="25">
        <v>49</v>
      </c>
      <c r="LM102" s="25">
        <v>103</v>
      </c>
      <c r="LN102" s="11">
        <f ca="1">$A102 - TST!Sweden100dt + 1</f>
        <v>48</v>
      </c>
      <c r="LO102" s="20">
        <f ca="1">INDEX(OFFSET(TST!HeadRow,ROW()-ROW(TST!HeadRow),0,1,COLUMNS(TST!HeadRow)),1,MATCH(LO$5,TST!HeadRow,0))/LO$8</f>
        <v>16378.299120234606</v>
      </c>
      <c r="LP102" s="278">
        <f ca="1">$A102 - TST!Spain100dt + 1</f>
        <v>48</v>
      </c>
      <c r="LQ102" s="20">
        <f ca="1">INDEX(OFFSET(TST!HeadRow,ROW()-ROW(TST!HeadRow),0,1,COLUMNS(TST!HeadRow)),1,MATCH(LQ$5,TST!HeadRow,0))/LQ$8</f>
        <v>45382.190029825309</v>
      </c>
      <c r="LR102" s="285">
        <f ca="1">$A102 - TST!Victoria100dt + 1</f>
        <v>39</v>
      </c>
      <c r="LS102" s="20">
        <f t="shared" ref="LS102:LS107" si="10">INDEX(102:102,1,LS$6)/LS$8</f>
        <v>2016.8954593453009</v>
      </c>
      <c r="LT102" s="278">
        <f ca="1">$A102 - TST!Iran100dt + 1</f>
        <v>54</v>
      </c>
      <c r="LU102" s="20">
        <f ca="1">INDEX(OFFSET(TST!HeadRow,ROW()-ROW(TST!HeadRow),0,1,COLUMNS(TST!HeadRow)),1,MATCH(LU$5,TST!HeadRow,0))/LU$8</f>
        <v>10388.311269740847</v>
      </c>
      <c r="LV102" s="278">
        <f ca="1">$A102 - TST!Japan100dt + 1</f>
        <v>30</v>
      </c>
      <c r="LW102" s="20">
        <f ca="1">INDEX(OFFSET(TST!HeadRow,ROW()-ROW(TST!HeadRow),0,1,COLUMNS(TST!HeadRow)),1,MATCH(LW$5,TST!HeadRow,0))/LW$8</f>
        <v>977.28875903078472</v>
      </c>
      <c r="LX102" s="278">
        <f ca="1">$A102 - TST!Queensland100dt + 1</f>
        <v>40</v>
      </c>
      <c r="LY102" s="20">
        <f ca="1">INDEX(OFFSET(TST!HeadRow,ROW()-ROW(TST!HeadRow),0,1,COLUMNS(TST!HeadRow)),1,MATCH(LY$5,TST!HeadRow,0))/LY$8</f>
        <v>2005.6882570080331</v>
      </c>
      <c r="LZ102" s="278">
        <f ca="1">$A102 - TST!Tasmania100dt + 1</f>
        <v>40</v>
      </c>
      <c r="MA102" s="20">
        <f ca="1">INDEX(OFFSET(TST!HeadRow,ROW()-ROW(TST!HeadRow),0,1,COLUMNS(TST!HeadRow)),1,MATCH(MA$5,TST!HeadRow,0))/MA$8</f>
        <v>4019.4174757281558</v>
      </c>
      <c r="MB102" s="278">
        <f ca="1">$A102 - TST!SouthAustralia100dt + 1</f>
        <v>41</v>
      </c>
      <c r="MC102" s="20">
        <f ca="1">INDEX(OFFSET(TST!HeadRow,ROW()-ROW(TST!HeadRow),0,1,COLUMNS(TST!HeadRow)),1,MATCH(MC$5,TST!HeadRow,0))/MC$8</f>
        <v>2622.754491017964</v>
      </c>
      <c r="MD102" s="11">
        <f ca="1">$A102 - TST!AustralianCapitalTerritory100dt + 1</f>
        <v>35</v>
      </c>
      <c r="ME102" s="20">
        <f ca="1">INDEX(OFFSET(TST!HeadRow,ROW()-ROW(TST!HeadRow),0,1,COLUMNS(TST!HeadRow)),1,MATCH(ME$5,TST!HeadRow,0))/ME$8</f>
        <v>2429.5659486987806</v>
      </c>
      <c r="MF102" s="11">
        <f ca="1">$A102 - TST!NorthernTerritory100dt + 1</f>
        <v>35</v>
      </c>
      <c r="MG102" s="20">
        <f ca="1">INDEX(OFFSET(TST!HeadRow,ROW()-ROW(TST!HeadRow),0,1,COLUMNS(TST!HeadRow)),1,MATCH(MG$5,TST!HeadRow,0))/MG$8</f>
        <v>1321.0974545282972</v>
      </c>
      <c r="MH102" s="278">
        <f ca="1">$A102 - TST!WesternAustralia100dt + 1</f>
        <v>39</v>
      </c>
      <c r="MI102" s="20">
        <f ca="1">INDEX(OFFSET(TST!HeadRow,ROW()-ROW(TST!HeadRow),0,1,COLUMNS(TST!HeadRow)),1,MATCH(MI$5,TST!HeadRow,0))/MI$8</f>
        <v>2108.9223638470448</v>
      </c>
      <c r="MJ102" s="278">
        <f ca="1">$A102 - TST!Germany100dt + 1</f>
        <v>47</v>
      </c>
      <c r="MK102" s="20">
        <f ca="1">INDEX(OFFSET(TST!HeadRow,ROW()-ROW(TST!HeadRow),0,1,COLUMNS(TST!HeadRow)),1,MATCH(MK$5,TST!HeadRow,0))/MK$8</f>
        <v>18444.832570464951</v>
      </c>
      <c r="ML102" s="278">
        <f ca="1">$A102 - TST!Denmark100dt + 1</f>
        <v>46</v>
      </c>
      <c r="MM102" s="20">
        <f ca="1">INDEX(OFFSET(TST!HeadRow,ROW()-ROW(TST!HeadRow),0,1,COLUMNS(TST!HeadRow)),1,MATCH(MM$5,TST!HeadRow,0))/MM$8</f>
        <v>13904.581467447468</v>
      </c>
      <c r="MN102" s="278">
        <f ca="1">$A102 - TST!SouthAfrica100dt + 1</f>
        <v>30</v>
      </c>
      <c r="MO102" s="20">
        <f ca="1">INDEX(OFFSET(TST!HeadRow,ROW()-ROW(TST!HeadRow),0,1,COLUMNS(TST!HeadRow)),1,MATCH(MO$5,TST!HeadRow,0))/MO$8</f>
        <v>684.14676358601594</v>
      </c>
      <c r="MP102" s="278">
        <f ca="1">$A102 - TST!UnitedKingdom100dt + 1</f>
        <v>42</v>
      </c>
      <c r="MQ102" s="20">
        <f ca="1">INDEX(OFFSET(TST!HeadRow,ROW()-ROW(TST!HeadRow),0,1,COLUMNS(TST!HeadRow)),1,MATCH(MQ$5,TST!HeadRow,0))/MQ$8</f>
        <v>20782.360024081878</v>
      </c>
      <c r="MR102" s="278">
        <f ca="1">$A102 - TST!Ireland100dt + 1</f>
        <v>42</v>
      </c>
      <c r="MS102" s="20">
        <f ca="1">INDEX(OFFSET(TST!HeadRow,ROW()-ROW(TST!HeadRow),0,1,COLUMNS(TST!HeadRow)),1,MATCH(MS$5,TST!HeadRow,0))/MS$8</f>
        <v>35932.65306122449</v>
      </c>
      <c r="MT102" s="278">
        <f ca="1">$A102 - TST!Italy100dt + 1</f>
        <v>57</v>
      </c>
      <c r="MU102" s="20">
        <f ca="1">INDEX(OFFSET(TST!HeadRow,ROW()-ROW(TST!HeadRow),0,1,COLUMNS(TST!HeadRow)),1,MATCH(MU$5,TST!HeadRow,0))/MU$8</f>
        <v>31408.283045383156</v>
      </c>
      <c r="MV102" s="20">
        <f ca="1">$A102 - TST!US100dt + 1</f>
        <v>40</v>
      </c>
      <c r="MW102" s="20">
        <f ca="1">INDEX(OFFSET(TST!HeadRow,ROW()-ROW(TST!HeadRow),0,1,COLUMNS(TST!HeadRow)),1,MATCH(MW$5,TST!HeadRow,0))/MW$8</f>
        <v>26400.265790478064</v>
      </c>
      <c r="MX102" s="278">
        <f ca="1">$A102 - TST!AustraliaSum100dt + 1</f>
        <v>40</v>
      </c>
      <c r="MY102" s="366">
        <f t="shared" si="9"/>
        <v>2626.5573253430057</v>
      </c>
      <c r="MZ102" s="278">
        <f ca="1">$A102 - TST!NewSouthWales100dt + 1</f>
        <v>42</v>
      </c>
      <c r="NA102" s="366">
        <f ca="1">INDEX(OFFSET(TST!HeadRow,ROW()-ROW(TST!HeadRow),0,1,COLUMNS(TST!HeadRow)),1,MATCH(NA$5,TST!HeadRow,0))/NA$8</f>
        <v>3683.1683168316831</v>
      </c>
      <c r="NB102" s="20">
        <f ca="1">$A102 - TST!Taiwan100dt + 1</f>
        <v>29</v>
      </c>
      <c r="NC102" s="366">
        <f ca="1">INDEX(OFFSET(TST!HeadRow,ROW()-ROW(TST!HeadRow),0,1,COLUMNS(TST!HeadRow)),1,MATCH(NC$5,TST!HeadRow,0))/NC$8</f>
        <v>179.356887527102</v>
      </c>
      <c r="ND102" s="20">
        <f ca="1">$A102 - TST!Hubei100dt + 1</f>
        <v>90</v>
      </c>
      <c r="NE102" s="20">
        <f ca="1">INDEX(OFFSET(TST!HeadRow,ROW()-ROW(TST!HeadRow),0,1,COLUMNS(TST!HeadRow)),1,MATCH(NE$5,TST!HeadRow,0))/NE$8</f>
        <v>11645.811965811967</v>
      </c>
      <c r="NF102" s="20">
        <f ca="1">$A102 - TST!HongKong100dt + 1</f>
        <v>60</v>
      </c>
      <c r="NG102" s="20">
        <f ca="1">INDEX(OFFSET(TST!HeadRow,ROW()-ROW(TST!HeadRow),0,1,COLUMNS(TST!HeadRow)),1,MATCH(NG$5,TST!HeadRow,0))/NG$8</f>
        <v>1389.0752919071265</v>
      </c>
    </row>
    <row r="103" spans="1:371" x14ac:dyDescent="0.25">
      <c r="A103" s="156">
        <v>43945</v>
      </c>
      <c r="B103" s="25">
        <v>1351</v>
      </c>
      <c r="C103" s="25">
        <v>678</v>
      </c>
      <c r="D103" s="25">
        <v>3127</v>
      </c>
      <c r="E103" s="25">
        <v>731</v>
      </c>
      <c r="F103" s="25">
        <v>25</v>
      </c>
      <c r="G103" s="25">
        <v>24</v>
      </c>
      <c r="H103" s="25">
        <v>3607</v>
      </c>
      <c r="I103" s="25">
        <v>1596</v>
      </c>
      <c r="J103" s="25">
        <v>105</v>
      </c>
      <c r="K103" s="292">
        <v>2982</v>
      </c>
      <c r="L103" s="25">
        <v>28</v>
      </c>
      <c r="M103" s="289">
        <v>1026</v>
      </c>
      <c r="N103" s="25">
        <v>438</v>
      </c>
      <c r="O103" s="40">
        <v>207</v>
      </c>
      <c r="P103" s="286">
        <v>1343</v>
      </c>
      <c r="Q103" s="25">
        <v>548</v>
      </c>
      <c r="R103" s="25">
        <v>15071</v>
      </c>
      <c r="S103" s="25">
        <v>1592</v>
      </c>
      <c r="T103" s="25">
        <v>73</v>
      </c>
      <c r="U103" s="25">
        <v>2518</v>
      </c>
      <c r="V103" s="25">
        <v>4689</v>
      </c>
      <c r="W103" s="25">
        <v>77</v>
      </c>
      <c r="X103" s="25">
        <v>8773</v>
      </c>
      <c r="Y103" s="25">
        <v>44293</v>
      </c>
      <c r="Z103" s="25">
        <v>54</v>
      </c>
      <c r="AA103" s="25">
        <v>7</v>
      </c>
      <c r="AB103" s="25">
        <v>807</v>
      </c>
      <c r="AC103" s="25">
        <v>1421</v>
      </c>
      <c r="AD103" s="25">
        <v>54043</v>
      </c>
      <c r="AE103" s="25">
        <v>138</v>
      </c>
      <c r="AF103" s="25">
        <v>1234</v>
      </c>
      <c r="AG103" s="25">
        <v>629</v>
      </c>
      <c r="AH103" s="25">
        <v>88</v>
      </c>
      <c r="AI103" s="25">
        <v>122</v>
      </c>
      <c r="AJ103" s="25">
        <v>1430</v>
      </c>
      <c r="AK103" s="25">
        <v>4017</v>
      </c>
      <c r="AL103" s="25">
        <v>1853</v>
      </c>
      <c r="AM103" s="25">
        <v>13</v>
      </c>
      <c r="AN103" s="25">
        <v>263</v>
      </c>
      <c r="AO103" s="25">
        <v>118</v>
      </c>
      <c r="AP103" s="25">
        <v>256</v>
      </c>
      <c r="AQ103" s="25">
        <v>850</v>
      </c>
      <c r="AR103" s="25">
        <v>14550</v>
      </c>
      <c r="AS103" s="25">
        <v>26</v>
      </c>
      <c r="AT103" s="25">
        <v>22616</v>
      </c>
      <c r="AU103" s="25">
        <v>341</v>
      </c>
      <c r="AV103" s="25">
        <v>16</v>
      </c>
      <c r="AW103" s="25">
        <v>40</v>
      </c>
      <c r="AX103" s="25">
        <v>12306</v>
      </c>
      <c r="AY103" s="25">
        <v>991</v>
      </c>
      <c r="AZ103" s="25">
        <v>593</v>
      </c>
      <c r="BA103" s="25">
        <v>579</v>
      </c>
      <c r="BB103" s="25">
        <v>355</v>
      </c>
      <c r="BC103" s="25">
        <v>139</v>
      </c>
      <c r="BD103" s="25">
        <v>1585</v>
      </c>
      <c r="BE103" s="25">
        <v>254</v>
      </c>
      <c r="BF103" s="25">
        <v>147</v>
      </c>
      <c r="BG103" s="25">
        <v>168</v>
      </c>
      <c r="BH103" s="25">
        <v>328</v>
      </c>
      <c r="BI103" s="25">
        <v>930</v>
      </c>
      <c r="BJ103" s="25">
        <v>1276</v>
      </c>
      <c r="BK103" s="25">
        <v>1035</v>
      </c>
      <c r="BL103" s="25">
        <v>68128</v>
      </c>
      <c r="BM103" s="25">
        <v>1019</v>
      </c>
      <c r="BN103" s="25">
        <v>197</v>
      </c>
      <c r="BO103" s="25">
        <v>653</v>
      </c>
      <c r="BP103" s="25">
        <v>937</v>
      </c>
      <c r="BQ103" s="25">
        <v>109</v>
      </c>
      <c r="BR103" s="25">
        <v>146</v>
      </c>
      <c r="BS103" s="25">
        <v>45</v>
      </c>
      <c r="BT103" s="25">
        <v>75</v>
      </c>
      <c r="BU103" s="25">
        <v>18</v>
      </c>
      <c r="BV103" s="25">
        <v>286</v>
      </c>
      <c r="BW103" s="25">
        <v>787</v>
      </c>
      <c r="BX103" s="25">
        <v>641</v>
      </c>
      <c r="BY103" s="25">
        <v>197</v>
      </c>
      <c r="BZ103" s="25">
        <v>561</v>
      </c>
      <c r="CA103" s="25">
        <v>190</v>
      </c>
      <c r="CB103" s="25">
        <v>1</v>
      </c>
      <c r="CC103" s="25">
        <v>76</v>
      </c>
      <c r="CD103" s="25">
        <v>185</v>
      </c>
      <c r="CE103" s="25">
        <v>1268</v>
      </c>
      <c r="CF103" s="25">
        <v>4881</v>
      </c>
      <c r="CG103" s="25">
        <v>200</v>
      </c>
      <c r="CH103" s="25">
        <v>394</v>
      </c>
      <c r="CI103" s="25">
        <v>687</v>
      </c>
      <c r="CJ103" s="25">
        <v>1077</v>
      </c>
      <c r="CK103" s="25">
        <v>2009</v>
      </c>
      <c r="CL103" s="25">
        <v>712</v>
      </c>
      <c r="CM103" s="25">
        <v>1285</v>
      </c>
      <c r="CN103" s="25">
        <v>804</v>
      </c>
      <c r="CO103" s="25">
        <v>7273</v>
      </c>
      <c r="CP103" s="25">
        <v>187</v>
      </c>
      <c r="CQ103" s="25">
        <v>11</v>
      </c>
      <c r="CR103" s="25">
        <v>8210</v>
      </c>
      <c r="CS103" s="25">
        <v>999</v>
      </c>
      <c r="CT103" s="25">
        <v>5749</v>
      </c>
      <c r="CU103" s="25">
        <v>22719</v>
      </c>
      <c r="CV103" s="25">
        <v>4092</v>
      </c>
      <c r="CW103" s="25">
        <v>274</v>
      </c>
      <c r="CX103" s="25">
        <v>214</v>
      </c>
      <c r="CY103" s="25">
        <v>39</v>
      </c>
      <c r="CZ103" s="25">
        <v>1605</v>
      </c>
      <c r="DA103" s="25">
        <v>36</v>
      </c>
      <c r="DB103" s="25">
        <v>117</v>
      </c>
      <c r="DC103" s="25">
        <v>18</v>
      </c>
      <c r="DD103" s="25">
        <v>4395</v>
      </c>
      <c r="DE103" s="25">
        <v>111</v>
      </c>
      <c r="DF103" s="25">
        <v>57</v>
      </c>
      <c r="DG103" s="25">
        <v>149</v>
      </c>
      <c r="DH103" s="25">
        <v>354</v>
      </c>
      <c r="DI103" s="25">
        <v>18</v>
      </c>
      <c r="DJ103" s="25">
        <v>412</v>
      </c>
      <c r="DK103" s="25">
        <v>6</v>
      </c>
      <c r="DL103" s="25">
        <v>38</v>
      </c>
      <c r="DM103" s="25">
        <v>170</v>
      </c>
      <c r="DN103" s="25">
        <v>158636</v>
      </c>
      <c r="DO103" s="25">
        <v>172</v>
      </c>
      <c r="DP103" s="25">
        <v>10</v>
      </c>
      <c r="DQ103" s="25">
        <v>444</v>
      </c>
      <c r="DR103" s="25">
        <v>154999</v>
      </c>
      <c r="DS103" s="25">
        <v>1279</v>
      </c>
      <c r="DT103" s="25">
        <v>2490</v>
      </c>
      <c r="DU103" s="25">
        <v>430</v>
      </c>
      <c r="DV103" s="25">
        <v>954</v>
      </c>
      <c r="DW103" s="25">
        <v>73</v>
      </c>
      <c r="DX103" s="25">
        <v>72</v>
      </c>
      <c r="DY103" s="25">
        <v>9</v>
      </c>
      <c r="DZ103" s="25">
        <v>591</v>
      </c>
      <c r="EA103" s="25">
        <v>2443</v>
      </c>
      <c r="EB103" s="25">
        <v>1789</v>
      </c>
      <c r="EC103" s="25">
        <v>24530</v>
      </c>
      <c r="ED103" s="25">
        <v>8211</v>
      </c>
      <c r="EE103" s="25">
        <v>88194</v>
      </c>
      <c r="EF103" s="25">
        <v>1708</v>
      </c>
      <c r="EG103" s="25">
        <v>18184</v>
      </c>
      <c r="EH103" s="25">
        <v>15058</v>
      </c>
      <c r="EI103" s="25">
        <v>192994</v>
      </c>
      <c r="EJ103" s="25">
        <v>288</v>
      </c>
      <c r="EK103" s="25">
        <v>12829</v>
      </c>
      <c r="EL103" s="25">
        <v>441</v>
      </c>
      <c r="EM103" s="25">
        <v>2482</v>
      </c>
      <c r="EN103" s="25">
        <v>336</v>
      </c>
      <c r="EO103" s="25">
        <v>10718</v>
      </c>
      <c r="EP103" s="25">
        <v>2614</v>
      </c>
      <c r="EQ103" s="25">
        <v>665</v>
      </c>
      <c r="ER103" s="25">
        <v>784</v>
      </c>
      <c r="ES103" s="25">
        <v>696</v>
      </c>
      <c r="ET103" s="25">
        <v>117</v>
      </c>
      <c r="EU103" s="25">
        <v>81</v>
      </c>
      <c r="EV103" s="25">
        <v>1410</v>
      </c>
      <c r="EW103" s="25">
        <v>3695</v>
      </c>
      <c r="EX103" s="25">
        <v>122</v>
      </c>
      <c r="EY103" s="25">
        <v>5691</v>
      </c>
      <c r="EZ103" s="25">
        <v>129</v>
      </c>
      <c r="FA103" s="25">
        <v>447</v>
      </c>
      <c r="FB103" s="25">
        <v>7</v>
      </c>
      <c r="FC103" s="25">
        <v>331</v>
      </c>
      <c r="FD103" s="25">
        <v>12872</v>
      </c>
      <c r="FE103" s="25">
        <v>3110</v>
      </c>
      <c r="FF103" s="25">
        <v>94</v>
      </c>
      <c r="FG103" s="25">
        <v>37</v>
      </c>
      <c r="FH103" s="25">
        <v>319</v>
      </c>
      <c r="FI103" s="25">
        <v>3758</v>
      </c>
      <c r="FJ103" s="25">
        <v>16</v>
      </c>
      <c r="FK103" s="25">
        <v>49</v>
      </c>
      <c r="FL103" s="25">
        <v>100</v>
      </c>
      <c r="FM103" s="25">
        <v>16</v>
      </c>
      <c r="FN103" s="25">
        <v>73</v>
      </c>
      <c r="FO103" s="25">
        <v>36535</v>
      </c>
      <c r="FP103" s="25">
        <v>1461</v>
      </c>
      <c r="FQ103" s="25">
        <v>11</v>
      </c>
      <c r="FR103" s="25">
        <v>681</v>
      </c>
      <c r="FS103" s="25">
        <v>1095</v>
      </c>
      <c r="FT103" s="25">
        <v>1326</v>
      </c>
      <c r="FU103" s="25">
        <v>7463</v>
      </c>
      <c r="FV103" s="25">
        <v>1790</v>
      </c>
      <c r="FW103" s="25">
        <v>11940</v>
      </c>
      <c r="FX103" s="25">
        <v>5338</v>
      </c>
      <c r="FY103" s="25">
        <v>8</v>
      </c>
      <c r="FZ103" s="25">
        <v>223</v>
      </c>
      <c r="GA103" s="25">
        <v>21648</v>
      </c>
      <c r="GB103" s="25">
        <v>7192</v>
      </c>
      <c r="GC103" s="25">
        <v>10892</v>
      </c>
      <c r="GD103" s="25">
        <v>22797</v>
      </c>
      <c r="GE103" s="25">
        <v>8525</v>
      </c>
      <c r="GF103" s="25">
        <v>10417</v>
      </c>
      <c r="GG103" s="25">
        <v>68622</v>
      </c>
      <c r="GH103" s="25">
        <v>176</v>
      </c>
      <c r="GI103" s="25">
        <v>15</v>
      </c>
      <c r="GJ103" s="25">
        <v>14</v>
      </c>
      <c r="GK103" s="25">
        <v>513</v>
      </c>
      <c r="GL103" s="25">
        <v>15102</v>
      </c>
      <c r="GM103" s="25">
        <v>545</v>
      </c>
      <c r="GN103" s="25">
        <v>7483</v>
      </c>
      <c r="GO103" s="25">
        <v>11</v>
      </c>
      <c r="GP103" s="25">
        <v>12075</v>
      </c>
      <c r="GQ103" s="25">
        <v>1360</v>
      </c>
      <c r="GR103" s="25">
        <v>1373</v>
      </c>
      <c r="GS103" s="25">
        <v>328</v>
      </c>
      <c r="GT103" s="25">
        <v>4220</v>
      </c>
      <c r="GU103" s="25">
        <v>202990</v>
      </c>
      <c r="GV103" s="25">
        <v>420</v>
      </c>
      <c r="GW103" s="25">
        <v>174</v>
      </c>
      <c r="GX103" s="25">
        <v>10</v>
      </c>
      <c r="GY103" s="25">
        <v>17567</v>
      </c>
      <c r="GZ103" s="25">
        <v>28677</v>
      </c>
      <c r="HA103" s="25">
        <v>428</v>
      </c>
      <c r="HB103" s="25">
        <v>299</v>
      </c>
      <c r="HC103" s="25">
        <v>2907</v>
      </c>
      <c r="HD103" s="25">
        <v>90</v>
      </c>
      <c r="HE103" s="25">
        <v>115</v>
      </c>
      <c r="HF103" s="25">
        <v>922</v>
      </c>
      <c r="HG103" s="25">
        <v>104912</v>
      </c>
      <c r="HH103" s="25">
        <v>75</v>
      </c>
      <c r="HI103" s="25">
        <v>7647</v>
      </c>
      <c r="HJ103" s="25">
        <v>9281</v>
      </c>
      <c r="HK103" s="25">
        <v>99</v>
      </c>
      <c r="HL103" s="25">
        <v>70</v>
      </c>
      <c r="HM103" s="25">
        <v>523</v>
      </c>
      <c r="HN103" s="25">
        <v>133</v>
      </c>
      <c r="HO103" s="25">
        <v>308</v>
      </c>
      <c r="HP103" s="25">
        <v>11</v>
      </c>
      <c r="HQ103" s="25">
        <v>143464</v>
      </c>
      <c r="HR103" s="25">
        <v>563</v>
      </c>
      <c r="HS103" s="25">
        <v>905358</v>
      </c>
      <c r="HT103" s="25">
        <v>1804</v>
      </c>
      <c r="HU103" s="25">
        <v>318</v>
      </c>
      <c r="HV103" s="25">
        <v>270</v>
      </c>
      <c r="HW103" s="25">
        <v>84</v>
      </c>
      <c r="HX103" s="25">
        <v>29</v>
      </c>
      <c r="HY103" s="25">
        <v>0</v>
      </c>
      <c r="HZ103" s="25">
        <v>16</v>
      </c>
      <c r="IA103" s="25">
        <v>15</v>
      </c>
      <c r="IB103" s="25">
        <v>65</v>
      </c>
      <c r="IC103" s="25">
        <v>42</v>
      </c>
      <c r="ID103" s="25">
        <v>24</v>
      </c>
      <c r="IE103" s="25">
        <v>18</v>
      </c>
      <c r="IF103" s="25">
        <v>0</v>
      </c>
      <c r="IG103" s="25">
        <v>19</v>
      </c>
      <c r="IH103" s="25">
        <v>61</v>
      </c>
      <c r="II103" s="25">
        <v>484</v>
      </c>
      <c r="IJ103" s="25">
        <v>52</v>
      </c>
      <c r="IK103" s="25">
        <v>325</v>
      </c>
      <c r="IL103" s="25">
        <v>15</v>
      </c>
      <c r="IM103" s="25">
        <v>5</v>
      </c>
      <c r="IN103" s="25">
        <v>11</v>
      </c>
      <c r="IO103" s="25">
        <v>703</v>
      </c>
      <c r="IP103" s="25">
        <v>144</v>
      </c>
      <c r="IQ103" s="25">
        <v>3</v>
      </c>
      <c r="IR103" s="25">
        <v>5</v>
      </c>
      <c r="IS103" s="25">
        <v>11</v>
      </c>
      <c r="IT103" s="25">
        <v>9</v>
      </c>
      <c r="IU103" s="25">
        <v>22</v>
      </c>
      <c r="IV103" s="25">
        <v>11</v>
      </c>
      <c r="IW103" s="25">
        <v>82</v>
      </c>
      <c r="IX103" s="25">
        <v>5</v>
      </c>
      <c r="IY103" s="25">
        <v>33</v>
      </c>
      <c r="IZ103" s="25">
        <v>13</v>
      </c>
      <c r="JA103" s="25">
        <v>1</v>
      </c>
      <c r="JB103" s="25">
        <v>5</v>
      </c>
      <c r="JC103" s="25">
        <v>6</v>
      </c>
      <c r="JD103" s="25">
        <v>4</v>
      </c>
      <c r="JE103" s="25">
        <v>1</v>
      </c>
      <c r="JF103" s="25">
        <v>0</v>
      </c>
      <c r="JG103" s="25">
        <v>0</v>
      </c>
      <c r="JH103" s="25">
        <v>0</v>
      </c>
      <c r="JI103" s="25">
        <v>141</v>
      </c>
      <c r="JJ103" s="25">
        <v>14</v>
      </c>
      <c r="JK103" s="25">
        <v>1276</v>
      </c>
      <c r="JL103" s="25">
        <v>54</v>
      </c>
      <c r="JM103" s="25">
        <v>6026</v>
      </c>
      <c r="JN103" s="25">
        <v>339</v>
      </c>
      <c r="JO103" s="25">
        <v>6045</v>
      </c>
      <c r="JP103" s="25">
        <v>2810</v>
      </c>
      <c r="JQ103" s="25">
        <v>41355</v>
      </c>
      <c r="JR103" s="25">
        <v>12256</v>
      </c>
      <c r="JS103" s="25">
        <v>23936</v>
      </c>
      <c r="JT103" s="25">
        <v>3442</v>
      </c>
      <c r="JU103" s="25">
        <v>3528</v>
      </c>
      <c r="JV103" s="25">
        <v>30533</v>
      </c>
      <c r="JW103" s="25">
        <v>22491</v>
      </c>
      <c r="JX103" s="25">
        <v>601</v>
      </c>
      <c r="JY103" s="25">
        <v>1870</v>
      </c>
      <c r="JZ103" s="25">
        <v>39658</v>
      </c>
      <c r="KA103" s="25">
        <v>13681</v>
      </c>
      <c r="KB103" s="25">
        <v>4445</v>
      </c>
      <c r="KC103" s="25">
        <v>2959</v>
      </c>
      <c r="KD103" s="25">
        <v>3779</v>
      </c>
      <c r="KE103" s="25">
        <v>26140</v>
      </c>
      <c r="KF103" s="25">
        <v>965</v>
      </c>
      <c r="KG103" s="25">
        <v>16616</v>
      </c>
      <c r="KH103" s="25">
        <v>50969</v>
      </c>
      <c r="KI103" s="25">
        <v>36666</v>
      </c>
      <c r="KJ103" s="25">
        <v>3185</v>
      </c>
      <c r="KK103" s="25">
        <v>5434</v>
      </c>
      <c r="KL103" s="25">
        <v>6788</v>
      </c>
      <c r="KM103" s="25">
        <v>444</v>
      </c>
      <c r="KN103" s="25">
        <v>2424</v>
      </c>
      <c r="KO103" s="25">
        <v>4398</v>
      </c>
      <c r="KP103" s="25">
        <v>1720</v>
      </c>
      <c r="KQ103" s="25">
        <v>102196</v>
      </c>
      <c r="KR103" s="25">
        <v>2521</v>
      </c>
      <c r="KS103" s="25">
        <v>271590</v>
      </c>
      <c r="KT103" s="25">
        <v>8290</v>
      </c>
      <c r="KU103" s="25">
        <v>748</v>
      </c>
      <c r="KV103" s="25">
        <v>15169</v>
      </c>
      <c r="KW103" s="25">
        <v>3121</v>
      </c>
      <c r="KX103" s="25">
        <v>2177</v>
      </c>
      <c r="KY103" s="25">
        <v>40208</v>
      </c>
      <c r="KZ103" s="25">
        <v>6699</v>
      </c>
      <c r="LA103" s="25">
        <v>5070</v>
      </c>
      <c r="LB103" s="25">
        <v>2040</v>
      </c>
      <c r="LC103" s="25">
        <v>8728</v>
      </c>
      <c r="LD103" s="25">
        <v>23642</v>
      </c>
      <c r="LE103" s="25">
        <v>3782</v>
      </c>
      <c r="LF103" s="25">
        <v>827</v>
      </c>
      <c r="LG103" s="25">
        <v>11594</v>
      </c>
      <c r="LH103" s="25">
        <v>12977</v>
      </c>
      <c r="LI103" s="25">
        <v>1010</v>
      </c>
      <c r="LJ103" s="25">
        <v>5356</v>
      </c>
      <c r="LK103" s="25">
        <v>473</v>
      </c>
      <c r="LL103" s="25">
        <v>49</v>
      </c>
      <c r="LM103" s="25">
        <v>103</v>
      </c>
      <c r="LN103" s="11">
        <f ca="1">$A103 - TST!Sweden100dt + 1</f>
        <v>49</v>
      </c>
      <c r="LO103" s="20">
        <f ca="1">INDEX(OFFSET(TST!HeadRow,ROW()-ROW(TST!HeadRow),0,1,COLUMNS(TST!HeadRow)),1,MATCH(LO$5,TST!HeadRow,0))/LO$8</f>
        <v>17172.043010752688</v>
      </c>
      <c r="LP103" s="278">
        <f ca="1">$A103 - TST!Spain100dt + 1</f>
        <v>49</v>
      </c>
      <c r="LQ103" s="20">
        <f ca="1">INDEX(OFFSET(TST!HeadRow,ROW()-ROW(TST!HeadRow),0,1,COLUMNS(TST!HeadRow)),1,MATCH(LQ$5,TST!HeadRow,0))/LQ$8</f>
        <v>43244.567533020876</v>
      </c>
      <c r="LR103" s="285">
        <f ca="1">$A103 - TST!Victoria100dt + 1</f>
        <v>40</v>
      </c>
      <c r="LS103" s="20">
        <f t="shared" si="10"/>
        <v>2025.9465982802835</v>
      </c>
      <c r="LT103" s="278">
        <f ca="1">$A103 - TST!Iran100dt + 1</f>
        <v>55</v>
      </c>
      <c r="LU103" s="20">
        <f ca="1">INDEX(OFFSET(TST!HeadRow,ROW()-ROW(TST!HeadRow),0,1,COLUMNS(TST!HeadRow)),1,MATCH(LU$5,TST!HeadRow,0))/LU$8</f>
        <v>10527.735666622897</v>
      </c>
      <c r="LV103" s="278">
        <f ca="1">$A103 - TST!Japan100dt + 1</f>
        <v>31</v>
      </c>
      <c r="LW103" s="20">
        <f ca="1">INDEX(OFFSET(TST!HeadRow,ROW()-ROW(TST!HeadRow),0,1,COLUMNS(TST!HeadRow)),1,MATCH(LW$5,TST!HeadRow,0))/LW$8</f>
        <v>1013.7158384222134</v>
      </c>
      <c r="LX103" s="278">
        <f ca="1">$A103 - TST!Queensland100dt + 1</f>
        <v>41</v>
      </c>
      <c r="LY103" s="20">
        <f ca="1">INDEX(OFFSET(TST!HeadRow,ROW()-ROW(TST!HeadRow),0,1,COLUMNS(TST!HeadRow)),1,MATCH(LY$5,TST!HeadRow,0))/LY$8</f>
        <v>2005.6882570080331</v>
      </c>
      <c r="LZ103" s="278">
        <f ca="1">$A103 - TST!Tasmania100dt + 1</f>
        <v>41</v>
      </c>
      <c r="MA103" s="20">
        <f ca="1">INDEX(OFFSET(TST!HeadRow,ROW()-ROW(TST!HeadRow),0,1,COLUMNS(TST!HeadRow)),1,MATCH(MA$5,TST!HeadRow,0))/MA$8</f>
        <v>4019.4174757281558</v>
      </c>
      <c r="MB103" s="278">
        <f ca="1">$A103 - TST!SouthAustralia100dt + 1</f>
        <v>42</v>
      </c>
      <c r="MC103" s="20">
        <f ca="1">INDEX(OFFSET(TST!HeadRow,ROW()-ROW(TST!HeadRow),0,1,COLUMNS(TST!HeadRow)),1,MATCH(MC$5,TST!HeadRow,0))/MC$8</f>
        <v>2622.754491017964</v>
      </c>
      <c r="MD103" s="11">
        <f ca="1">$A103 - TST!AustralianCapitalTerritory100dt + 1</f>
        <v>36</v>
      </c>
      <c r="ME103" s="20">
        <f ca="1">INDEX(OFFSET(TST!HeadRow,ROW()-ROW(TST!HeadRow),0,1,COLUMNS(TST!HeadRow)),1,MATCH(ME$5,TST!HeadRow,0))/ME$8</f>
        <v>2452.9271597439615</v>
      </c>
      <c r="MF103" s="11">
        <f ca="1">$A103 - TST!NorthernTerritory100dt + 1</f>
        <v>36</v>
      </c>
      <c r="MG103" s="20">
        <f ca="1">INDEX(OFFSET(TST!HeadRow,ROW()-ROW(TST!HeadRow),0,1,COLUMNS(TST!HeadRow)),1,MATCH(MG$5,TST!HeadRow,0))/MG$8</f>
        <v>1321.0974545282972</v>
      </c>
      <c r="MH103" s="278">
        <f ca="1">$A103 - TST!WesternAustralia100dt + 1</f>
        <v>40</v>
      </c>
      <c r="MI103" s="20">
        <f ca="1">INDEX(OFFSET(TST!HeadRow,ROW()-ROW(TST!HeadRow),0,1,COLUMNS(TST!HeadRow)),1,MATCH(MI$5,TST!HeadRow,0))/MI$8</f>
        <v>2116.6473541908072</v>
      </c>
      <c r="MJ103" s="278">
        <f ca="1">$A103 - TST!Germany100dt + 1</f>
        <v>48</v>
      </c>
      <c r="MK103" s="20">
        <f ca="1">INDEX(OFFSET(TST!HeadRow,ROW()-ROW(TST!HeadRow),0,1,COLUMNS(TST!HeadRow)),1,MATCH(MK$5,TST!HeadRow,0))/MK$8</f>
        <v>18670.079498915926</v>
      </c>
      <c r="ML103" s="278">
        <f ca="1">$A103 - TST!Denmark100dt + 1</f>
        <v>47</v>
      </c>
      <c r="MM103" s="20">
        <f ca="1">INDEX(OFFSET(TST!HeadRow,ROW()-ROW(TST!HeadRow),0,1,COLUMNS(TST!HeadRow)),1,MATCH(MM$5,TST!HeadRow,0))/MM$8</f>
        <v>14140.54426455391</v>
      </c>
      <c r="MN103" s="278">
        <f ca="1">$A103 - TST!SouthAfrica100dt + 1</f>
        <v>31</v>
      </c>
      <c r="MO103" s="20">
        <f ca="1">INDEX(OFFSET(TST!HeadRow,ROW()-ROW(TST!HeadRow),0,1,COLUMNS(TST!HeadRow)),1,MATCH(MO$5,TST!HeadRow,0))/MO$8</f>
        <v>730.35652474904816</v>
      </c>
      <c r="MP103" s="278">
        <f ca="1">$A103 - TST!UnitedKingdom100dt + 1</f>
        <v>43</v>
      </c>
      <c r="MQ103" s="20">
        <f ca="1">INDEX(OFFSET(TST!HeadRow,ROW()-ROW(TST!HeadRow),0,1,COLUMNS(TST!HeadRow)),1,MATCH(MQ$5,TST!HeadRow,0))/MQ$8</f>
        <v>21593.01625526791</v>
      </c>
      <c r="MR103" s="278">
        <f ca="1">$A103 - TST!Ireland100dt + 1</f>
        <v>43</v>
      </c>
      <c r="MS103" s="20">
        <f ca="1">INDEX(OFFSET(TST!HeadRow,ROW()-ROW(TST!HeadRow),0,1,COLUMNS(TST!HeadRow)),1,MATCH(MS$5,TST!HeadRow,0))/MS$8</f>
        <v>37110.204081632655</v>
      </c>
      <c r="MT103" s="278">
        <f ca="1">$A103 - TST!Italy100dt + 1</f>
        <v>58</v>
      </c>
      <c r="MU103" s="20">
        <f ca="1">INDEX(OFFSET(TST!HeadRow,ROW()-ROW(TST!HeadRow),0,1,COLUMNS(TST!HeadRow)),1,MATCH(MU$5,TST!HeadRow,0))/MU$8</f>
        <v>31907.745722079857</v>
      </c>
      <c r="MV103" s="20">
        <f ca="1">$A103 - TST!US100dt + 1</f>
        <v>41</v>
      </c>
      <c r="MW103" s="20">
        <f ca="1">INDEX(OFFSET(TST!HeadRow,ROW()-ROW(TST!HeadRow),0,1,COLUMNS(TST!HeadRow)),1,MATCH(MW$5,TST!HeadRow,0))/MW$8</f>
        <v>27499.444108213167</v>
      </c>
      <c r="MX103" s="278">
        <f ca="1">$A103 - TST!AustraliaSum100dt + 1</f>
        <v>41</v>
      </c>
      <c r="MY103" s="366">
        <f t="shared" si="9"/>
        <v>2632.4712190506229</v>
      </c>
      <c r="MZ103" s="278">
        <f ca="1">$A103 - TST!NewSouthWales100dt + 1</f>
        <v>43</v>
      </c>
      <c r="NA103" s="366">
        <f ca="1">INDEX(OFFSET(TST!HeadRow,ROW()-ROW(TST!HeadRow),0,1,COLUMNS(TST!HeadRow)),1,MATCH(NA$5,TST!HeadRow,0))/NA$8</f>
        <v>3690.5940594059402</v>
      </c>
      <c r="NB103" s="20">
        <f ca="1">$A103 - TST!Taiwan100dt + 1</f>
        <v>30</v>
      </c>
      <c r="NC103" s="366">
        <f ca="1">INDEX(OFFSET(TST!HeadRow,ROW()-ROW(TST!HeadRow),0,1,COLUMNS(TST!HeadRow)),1,MATCH(NC$5,TST!HeadRow,0))/NC$8</f>
        <v>179.7769270763458</v>
      </c>
      <c r="ND103" s="20">
        <f ca="1">$A103 - TST!Hubei100dt + 1</f>
        <v>91</v>
      </c>
      <c r="NE103" s="20">
        <f ca="1">INDEX(OFFSET(TST!HeadRow,ROW()-ROW(TST!HeadRow),0,1,COLUMNS(TST!HeadRow)),1,MATCH(NE$5,TST!HeadRow,0))/NE$8</f>
        <v>11645.811965811967</v>
      </c>
      <c r="NF103" s="20">
        <f ca="1">$A103 - TST!HongKong100dt + 1</f>
        <v>61</v>
      </c>
      <c r="NG103" s="20">
        <f ca="1">INDEX(OFFSET(TST!HeadRow,ROW()-ROW(TST!HeadRow),0,1,COLUMNS(TST!HeadRow)),1,MATCH(NG$5,TST!HeadRow,0))/NG$8</f>
        <v>1389.0752919071265</v>
      </c>
    </row>
    <row r="104" spans="1:371" x14ac:dyDescent="0.25">
      <c r="A104" s="156">
        <v>43946</v>
      </c>
      <c r="B104" s="25">
        <v>1463</v>
      </c>
      <c r="C104" s="25">
        <v>712</v>
      </c>
      <c r="D104" s="25">
        <v>3256</v>
      </c>
      <c r="E104" s="25">
        <v>738</v>
      </c>
      <c r="F104" s="25">
        <v>25</v>
      </c>
      <c r="G104" s="25">
        <v>24</v>
      </c>
      <c r="H104" s="25">
        <v>3780</v>
      </c>
      <c r="I104" s="25">
        <v>1677</v>
      </c>
      <c r="J104" s="25">
        <v>106</v>
      </c>
      <c r="K104" s="292">
        <v>2994</v>
      </c>
      <c r="L104" s="25">
        <v>28</v>
      </c>
      <c r="M104" s="289">
        <v>1026</v>
      </c>
      <c r="N104" s="25">
        <v>438</v>
      </c>
      <c r="O104" s="40">
        <v>207</v>
      </c>
      <c r="P104" s="286">
        <v>1346</v>
      </c>
      <c r="Q104" s="25">
        <v>549</v>
      </c>
      <c r="R104" s="25">
        <v>15148</v>
      </c>
      <c r="S104" s="25">
        <v>1617</v>
      </c>
      <c r="T104" s="25">
        <v>78</v>
      </c>
      <c r="U104" s="25">
        <v>2588</v>
      </c>
      <c r="V104" s="25">
        <v>4998</v>
      </c>
      <c r="W104" s="25">
        <v>79</v>
      </c>
      <c r="X104" s="25">
        <v>9590</v>
      </c>
      <c r="Y104" s="25">
        <v>45325</v>
      </c>
      <c r="Z104" s="25">
        <v>54</v>
      </c>
      <c r="AA104" s="25">
        <v>7</v>
      </c>
      <c r="AB104" s="25">
        <v>866</v>
      </c>
      <c r="AC104" s="25">
        <v>1486</v>
      </c>
      <c r="AD104" s="25">
        <v>59324</v>
      </c>
      <c r="AE104" s="25">
        <v>138</v>
      </c>
      <c r="AF104" s="25">
        <v>1247</v>
      </c>
      <c r="AG104" s="25">
        <v>629</v>
      </c>
      <c r="AH104" s="25">
        <v>90</v>
      </c>
      <c r="AI104" s="25">
        <v>122</v>
      </c>
      <c r="AJ104" s="25">
        <v>1518</v>
      </c>
      <c r="AK104" s="25">
        <v>4233</v>
      </c>
      <c r="AL104" s="25">
        <v>1948</v>
      </c>
      <c r="AM104" s="25">
        <v>13</v>
      </c>
      <c r="AN104" s="25">
        <v>267</v>
      </c>
      <c r="AO104" s="25">
        <v>118</v>
      </c>
      <c r="AP104" s="25">
        <v>257</v>
      </c>
      <c r="AQ104" s="25">
        <v>865</v>
      </c>
      <c r="AR104" s="25">
        <v>15012</v>
      </c>
      <c r="AS104" s="25">
        <v>26</v>
      </c>
      <c r="AT104" s="25">
        <v>23267</v>
      </c>
      <c r="AU104" s="25">
        <v>349</v>
      </c>
      <c r="AV104" s="25">
        <v>16</v>
      </c>
      <c r="AW104" s="25">
        <v>46</v>
      </c>
      <c r="AX104" s="25">
        <v>12858</v>
      </c>
      <c r="AY104" s="25">
        <v>991</v>
      </c>
      <c r="AZ104" s="25">
        <v>593</v>
      </c>
      <c r="BA104" s="25">
        <v>579</v>
      </c>
      <c r="BB104" s="25">
        <v>355</v>
      </c>
      <c r="BC104" s="25">
        <v>139</v>
      </c>
      <c r="BD104" s="25">
        <v>1586</v>
      </c>
      <c r="BE104" s="25">
        <v>254</v>
      </c>
      <c r="BF104" s="25">
        <v>147</v>
      </c>
      <c r="BG104" s="25">
        <v>168</v>
      </c>
      <c r="BH104" s="25">
        <v>328</v>
      </c>
      <c r="BI104" s="25">
        <v>935</v>
      </c>
      <c r="BJ104" s="25">
        <v>1276</v>
      </c>
      <c r="BK104" s="25">
        <v>1037</v>
      </c>
      <c r="BL104" s="25">
        <v>68128</v>
      </c>
      <c r="BM104" s="25">
        <v>1019</v>
      </c>
      <c r="BN104" s="25">
        <v>198</v>
      </c>
      <c r="BO104" s="25">
        <v>653</v>
      </c>
      <c r="BP104" s="25">
        <v>937</v>
      </c>
      <c r="BQ104" s="25">
        <v>109</v>
      </c>
      <c r="BR104" s="25">
        <v>146</v>
      </c>
      <c r="BS104" s="25">
        <v>45</v>
      </c>
      <c r="BT104" s="25">
        <v>75</v>
      </c>
      <c r="BU104" s="25">
        <v>18</v>
      </c>
      <c r="BV104" s="25">
        <v>286</v>
      </c>
      <c r="BW104" s="25">
        <v>787</v>
      </c>
      <c r="BX104" s="25">
        <v>642</v>
      </c>
      <c r="BY104" s="25">
        <v>197</v>
      </c>
      <c r="BZ104" s="25">
        <v>561</v>
      </c>
      <c r="CA104" s="25">
        <v>190</v>
      </c>
      <c r="CB104" s="25">
        <v>1</v>
      </c>
      <c r="CC104" s="25">
        <v>76</v>
      </c>
      <c r="CD104" s="25">
        <v>185</v>
      </c>
      <c r="CE104" s="25">
        <v>1268</v>
      </c>
      <c r="CF104" s="25">
        <v>5142</v>
      </c>
      <c r="CG104" s="25">
        <v>200</v>
      </c>
      <c r="CH104" s="25">
        <v>416</v>
      </c>
      <c r="CI104" s="25">
        <v>693</v>
      </c>
      <c r="CJ104" s="25">
        <v>1077</v>
      </c>
      <c r="CK104" s="25">
        <v>2016</v>
      </c>
      <c r="CL104" s="25">
        <v>712</v>
      </c>
      <c r="CM104" s="25">
        <v>1337</v>
      </c>
      <c r="CN104" s="25">
        <v>810</v>
      </c>
      <c r="CO104" s="25">
        <v>7352</v>
      </c>
      <c r="CP104" s="25">
        <v>187</v>
      </c>
      <c r="CQ104" s="25">
        <v>11</v>
      </c>
      <c r="CR104" s="25">
        <v>8445</v>
      </c>
      <c r="CS104" s="25">
        <v>1008</v>
      </c>
      <c r="CT104" s="25">
        <v>5926</v>
      </c>
      <c r="CU104" s="25">
        <v>22719</v>
      </c>
      <c r="CV104" s="25">
        <v>4319</v>
      </c>
      <c r="CW104" s="25">
        <v>274</v>
      </c>
      <c r="CX104" s="25">
        <v>258</v>
      </c>
      <c r="CY104" s="25">
        <v>39</v>
      </c>
      <c r="CZ104" s="25">
        <v>1635</v>
      </c>
      <c r="DA104" s="25">
        <v>56</v>
      </c>
      <c r="DB104" s="25">
        <v>122</v>
      </c>
      <c r="DC104" s="25">
        <v>18</v>
      </c>
      <c r="DD104" s="25">
        <v>4475</v>
      </c>
      <c r="DE104" s="25">
        <v>111</v>
      </c>
      <c r="DF104" s="25">
        <v>57</v>
      </c>
      <c r="DG104" s="25">
        <v>149</v>
      </c>
      <c r="DH104" s="25">
        <v>380</v>
      </c>
      <c r="DI104" s="25">
        <v>18</v>
      </c>
      <c r="DJ104" s="25">
        <v>417</v>
      </c>
      <c r="DK104" s="25">
        <v>6</v>
      </c>
      <c r="DL104" s="25">
        <v>38</v>
      </c>
      <c r="DM104" s="25">
        <v>175</v>
      </c>
      <c r="DN104" s="25">
        <v>160292</v>
      </c>
      <c r="DO104" s="25">
        <v>176</v>
      </c>
      <c r="DP104" s="25">
        <v>10</v>
      </c>
      <c r="DQ104" s="25">
        <v>456</v>
      </c>
      <c r="DR104" s="25">
        <v>156513</v>
      </c>
      <c r="DS104" s="25">
        <v>1279</v>
      </c>
      <c r="DT104" s="25">
        <v>2506</v>
      </c>
      <c r="DU104" s="25">
        <v>473</v>
      </c>
      <c r="DV104" s="25">
        <v>996</v>
      </c>
      <c r="DW104" s="25">
        <v>73</v>
      </c>
      <c r="DX104" s="25">
        <v>72</v>
      </c>
      <c r="DY104" s="25">
        <v>9</v>
      </c>
      <c r="DZ104" s="25">
        <v>627</v>
      </c>
      <c r="EA104" s="25">
        <v>2443</v>
      </c>
      <c r="EB104" s="25">
        <v>1790</v>
      </c>
      <c r="EC104" s="25">
        <v>26283</v>
      </c>
      <c r="ED104" s="25">
        <v>8607</v>
      </c>
      <c r="EE104" s="25">
        <v>89328</v>
      </c>
      <c r="EF104" s="25">
        <v>1763</v>
      </c>
      <c r="EG104" s="25">
        <v>18561</v>
      </c>
      <c r="EH104" s="25">
        <v>15298</v>
      </c>
      <c r="EI104" s="25">
        <v>195351</v>
      </c>
      <c r="EJ104" s="25">
        <v>305</v>
      </c>
      <c r="EK104" s="25">
        <v>13231</v>
      </c>
      <c r="EL104" s="25">
        <v>444</v>
      </c>
      <c r="EM104" s="25">
        <v>2601</v>
      </c>
      <c r="EN104" s="25">
        <v>343</v>
      </c>
      <c r="EO104" s="25">
        <v>10728</v>
      </c>
      <c r="EP104" s="25">
        <v>2892</v>
      </c>
      <c r="EQ104" s="25">
        <v>665</v>
      </c>
      <c r="ER104" s="25">
        <v>804</v>
      </c>
      <c r="ES104" s="25">
        <v>704</v>
      </c>
      <c r="ET104" s="25">
        <v>120</v>
      </c>
      <c r="EU104" s="25">
        <v>81</v>
      </c>
      <c r="EV104" s="25">
        <v>1426</v>
      </c>
      <c r="EW104" s="25">
        <v>3711</v>
      </c>
      <c r="EX104" s="25">
        <v>123</v>
      </c>
      <c r="EY104" s="25">
        <v>5742</v>
      </c>
      <c r="EZ104" s="25">
        <v>177</v>
      </c>
      <c r="FA104" s="25">
        <v>448</v>
      </c>
      <c r="FB104" s="25">
        <v>7</v>
      </c>
      <c r="FC104" s="25">
        <v>331</v>
      </c>
      <c r="FD104" s="25">
        <v>13842</v>
      </c>
      <c r="FE104" s="25">
        <v>3304</v>
      </c>
      <c r="FF104" s="25">
        <v>94</v>
      </c>
      <c r="FG104" s="25">
        <v>37</v>
      </c>
      <c r="FH104" s="25">
        <v>320</v>
      </c>
      <c r="FI104" s="25">
        <v>3897</v>
      </c>
      <c r="FJ104" s="25">
        <v>16</v>
      </c>
      <c r="FK104" s="25">
        <v>49</v>
      </c>
      <c r="FL104" s="25">
        <v>100</v>
      </c>
      <c r="FM104" s="25">
        <v>16</v>
      </c>
      <c r="FN104" s="25">
        <v>73</v>
      </c>
      <c r="FO104" s="25">
        <v>37190</v>
      </c>
      <c r="FP104" s="25">
        <v>1470</v>
      </c>
      <c r="FQ104" s="25">
        <v>12</v>
      </c>
      <c r="FR104" s="25">
        <v>684</v>
      </c>
      <c r="FS104" s="25">
        <v>1182</v>
      </c>
      <c r="FT104" s="25">
        <v>1367</v>
      </c>
      <c r="FU104" s="25">
        <v>7499</v>
      </c>
      <c r="FV104" s="25">
        <v>1905</v>
      </c>
      <c r="FW104" s="25">
        <v>12723</v>
      </c>
      <c r="FX104" s="25">
        <v>5538</v>
      </c>
      <c r="FY104" s="25">
        <v>8</v>
      </c>
      <c r="FZ104" s="25">
        <v>228</v>
      </c>
      <c r="GA104" s="25">
        <v>25331</v>
      </c>
      <c r="GB104" s="25">
        <v>7294</v>
      </c>
      <c r="GC104" s="25">
        <v>11273</v>
      </c>
      <c r="GD104" s="25">
        <v>23392</v>
      </c>
      <c r="GE104" s="25">
        <v>9358</v>
      </c>
      <c r="GF104" s="25">
        <v>10635</v>
      </c>
      <c r="GG104" s="25">
        <v>74588</v>
      </c>
      <c r="GH104" s="25">
        <v>183</v>
      </c>
      <c r="GI104" s="25">
        <v>15</v>
      </c>
      <c r="GJ104" s="25">
        <v>14</v>
      </c>
      <c r="GK104" s="25">
        <v>513</v>
      </c>
      <c r="GL104" s="25">
        <v>16299</v>
      </c>
      <c r="GM104" s="25">
        <v>614</v>
      </c>
      <c r="GN104" s="25">
        <v>7779</v>
      </c>
      <c r="GO104" s="25">
        <v>11</v>
      </c>
      <c r="GP104" s="25">
        <v>12693</v>
      </c>
      <c r="GQ104" s="25">
        <v>1373</v>
      </c>
      <c r="GR104" s="25">
        <v>1388</v>
      </c>
      <c r="GS104" s="25">
        <v>390</v>
      </c>
      <c r="GT104" s="25">
        <v>4361</v>
      </c>
      <c r="GU104" s="25">
        <v>205905</v>
      </c>
      <c r="GV104" s="25">
        <v>460</v>
      </c>
      <c r="GW104" s="25">
        <v>213</v>
      </c>
      <c r="GX104" s="25">
        <v>10</v>
      </c>
      <c r="GY104" s="25">
        <v>18177</v>
      </c>
      <c r="GZ104" s="25">
        <v>28894</v>
      </c>
      <c r="HA104" s="25">
        <v>429</v>
      </c>
      <c r="HB104" s="25">
        <v>299</v>
      </c>
      <c r="HC104" s="25">
        <v>2907</v>
      </c>
      <c r="HD104" s="25">
        <v>96</v>
      </c>
      <c r="HE104" s="25">
        <v>115</v>
      </c>
      <c r="HF104" s="25">
        <v>939</v>
      </c>
      <c r="HG104" s="25">
        <v>107773</v>
      </c>
      <c r="HH104" s="25">
        <v>75</v>
      </c>
      <c r="HI104" s="25">
        <v>8125</v>
      </c>
      <c r="HJ104" s="25">
        <v>9813</v>
      </c>
      <c r="HK104" s="25">
        <v>109</v>
      </c>
      <c r="HL104" s="25">
        <v>70</v>
      </c>
      <c r="HM104" s="25">
        <v>525</v>
      </c>
      <c r="HN104" s="25">
        <v>136</v>
      </c>
      <c r="HO104" s="25">
        <v>308</v>
      </c>
      <c r="HP104" s="25">
        <v>11</v>
      </c>
      <c r="HQ104" s="25">
        <v>148377</v>
      </c>
      <c r="HR104" s="25">
        <v>596</v>
      </c>
      <c r="HS104" s="25">
        <v>938154</v>
      </c>
      <c r="HT104" s="25">
        <v>1862</v>
      </c>
      <c r="HU104" s="25">
        <v>323</v>
      </c>
      <c r="HV104" s="25">
        <v>270</v>
      </c>
      <c r="HW104" s="25">
        <v>84</v>
      </c>
      <c r="HX104" s="25">
        <v>31</v>
      </c>
      <c r="HY104" s="25">
        <v>0</v>
      </c>
      <c r="HZ104" s="25">
        <v>16</v>
      </c>
      <c r="IA104" s="25">
        <v>18</v>
      </c>
      <c r="IB104" s="25">
        <v>70</v>
      </c>
      <c r="IC104" s="25">
        <v>42</v>
      </c>
      <c r="ID104" s="25">
        <v>24</v>
      </c>
      <c r="IE104" s="25">
        <v>18</v>
      </c>
      <c r="IF104" s="25">
        <v>0</v>
      </c>
      <c r="IG104" s="25">
        <v>19</v>
      </c>
      <c r="IH104" s="25">
        <v>61</v>
      </c>
      <c r="II104" s="25">
        <v>342</v>
      </c>
      <c r="IJ104" s="25">
        <v>52</v>
      </c>
      <c r="IK104" s="25">
        <v>370</v>
      </c>
      <c r="IL104" s="25">
        <v>15</v>
      </c>
      <c r="IM104" s="25">
        <v>5</v>
      </c>
      <c r="IN104" s="25">
        <v>11</v>
      </c>
      <c r="IO104" s="25">
        <v>731</v>
      </c>
      <c r="IP104" s="25">
        <v>146</v>
      </c>
      <c r="IQ104" s="25">
        <v>3</v>
      </c>
      <c r="IR104" s="25">
        <v>6</v>
      </c>
      <c r="IS104" s="25">
        <v>11</v>
      </c>
      <c r="IT104" s="25">
        <v>9</v>
      </c>
      <c r="IU104" s="25">
        <v>22</v>
      </c>
      <c r="IV104" s="25">
        <v>11</v>
      </c>
      <c r="IW104" s="25">
        <v>82</v>
      </c>
      <c r="IX104" s="25">
        <v>5</v>
      </c>
      <c r="IY104" s="25">
        <v>33</v>
      </c>
      <c r="IZ104" s="25">
        <v>13</v>
      </c>
      <c r="JA104" s="25">
        <v>1</v>
      </c>
      <c r="JB104" s="25">
        <v>5</v>
      </c>
      <c r="JC104" s="25">
        <v>6</v>
      </c>
      <c r="JD104" s="25">
        <v>4</v>
      </c>
      <c r="JE104" s="25">
        <v>1</v>
      </c>
      <c r="JF104" s="25">
        <v>0</v>
      </c>
      <c r="JG104" s="25">
        <v>0</v>
      </c>
      <c r="JH104" s="25">
        <v>0</v>
      </c>
      <c r="JI104" s="25">
        <v>141</v>
      </c>
      <c r="JJ104" s="25">
        <v>14</v>
      </c>
      <c r="JK104" s="25">
        <v>1307</v>
      </c>
      <c r="JL104" s="25">
        <v>55</v>
      </c>
      <c r="JM104" s="25">
        <v>6026</v>
      </c>
      <c r="JN104" s="25">
        <v>339</v>
      </c>
      <c r="JO104" s="25">
        <v>6286</v>
      </c>
      <c r="JP104" s="25">
        <v>2911</v>
      </c>
      <c r="JQ104" s="25">
        <v>42368</v>
      </c>
      <c r="JR104" s="25">
        <v>12968</v>
      </c>
      <c r="JS104" s="25">
        <v>24583</v>
      </c>
      <c r="JT104" s="25">
        <v>3576</v>
      </c>
      <c r="JU104" s="25">
        <v>3699</v>
      </c>
      <c r="JV104" s="25">
        <v>30839</v>
      </c>
      <c r="JW104" s="25">
        <v>23222</v>
      </c>
      <c r="JX104" s="25">
        <v>605</v>
      </c>
      <c r="JY104" s="25">
        <v>1887</v>
      </c>
      <c r="JZ104" s="25">
        <v>41777</v>
      </c>
      <c r="KA104" s="25">
        <v>14399</v>
      </c>
      <c r="KB104" s="25">
        <v>5092</v>
      </c>
      <c r="KC104" s="25">
        <v>3135</v>
      </c>
      <c r="KD104" s="25">
        <v>3915</v>
      </c>
      <c r="KE104" s="25">
        <v>26512</v>
      </c>
      <c r="KF104" s="25">
        <v>965</v>
      </c>
      <c r="KG104" s="25">
        <v>17766</v>
      </c>
      <c r="KH104" s="25">
        <v>53348</v>
      </c>
      <c r="KI104" s="25">
        <v>37074</v>
      </c>
      <c r="KJ104" s="25">
        <v>3446</v>
      </c>
      <c r="KK104" s="25">
        <v>5718</v>
      </c>
      <c r="KL104" s="25">
        <v>6935</v>
      </c>
      <c r="KM104" s="25">
        <v>445</v>
      </c>
      <c r="KN104" s="25">
        <v>2719</v>
      </c>
      <c r="KO104" s="25">
        <v>4539</v>
      </c>
      <c r="KP104" s="25">
        <v>1797</v>
      </c>
      <c r="KQ104" s="25">
        <v>105498</v>
      </c>
      <c r="KR104" s="25">
        <v>2660</v>
      </c>
      <c r="KS104" s="25">
        <v>282143</v>
      </c>
      <c r="KT104" s="25">
        <v>8768</v>
      </c>
      <c r="KU104" s="25">
        <v>803</v>
      </c>
      <c r="KV104" s="25">
        <v>15587</v>
      </c>
      <c r="KW104" s="25">
        <v>3194</v>
      </c>
      <c r="KX104" s="25">
        <v>2253</v>
      </c>
      <c r="KY104" s="25">
        <v>41153</v>
      </c>
      <c r="KZ104" s="25">
        <v>7129</v>
      </c>
      <c r="LA104" s="25">
        <v>5253</v>
      </c>
      <c r="LB104" s="25">
        <v>2147</v>
      </c>
      <c r="LC104" s="25">
        <v>9189</v>
      </c>
      <c r="LD104" s="25">
        <v>24153</v>
      </c>
      <c r="LE104" s="25">
        <v>3948</v>
      </c>
      <c r="LF104" s="25">
        <v>843</v>
      </c>
      <c r="LG104" s="25">
        <v>12366</v>
      </c>
      <c r="LH104" s="25">
        <v>13319</v>
      </c>
      <c r="LI104" s="25">
        <v>1010</v>
      </c>
      <c r="LJ104" s="25">
        <v>5687</v>
      </c>
      <c r="LK104" s="25">
        <v>491</v>
      </c>
      <c r="LL104" s="25">
        <v>49</v>
      </c>
      <c r="LM104" s="25">
        <v>103</v>
      </c>
      <c r="LN104" s="11">
        <f ca="1">$A104 - TST!Sweden100dt + 1</f>
        <v>50</v>
      </c>
      <c r="LO104" s="20">
        <f ca="1">INDEX(OFFSET(TST!HeadRow,ROW()-ROW(TST!HeadRow),0,1,COLUMNS(TST!HeadRow)),1,MATCH(LO$5,TST!HeadRow,0))/LO$8</f>
        <v>17768.328445747804</v>
      </c>
      <c r="LP104" s="278">
        <f ca="1">$A104 - TST!Spain100dt + 1</f>
        <v>50</v>
      </c>
      <c r="LQ104" s="20">
        <f ca="1">INDEX(OFFSET(TST!HeadRow,ROW()-ROW(TST!HeadRow),0,1,COLUMNS(TST!HeadRow)),1,MATCH(LQ$5,TST!HeadRow,0))/LQ$8</f>
        <v>43865.573072006817</v>
      </c>
      <c r="LR104" s="285">
        <f ca="1">$A104 - TST!Victoria100dt + 1</f>
        <v>41</v>
      </c>
      <c r="LS104" s="20">
        <f t="shared" si="10"/>
        <v>2030.4721677477748</v>
      </c>
      <c r="LT104" s="278">
        <f ca="1">$A104 - TST!Iran100dt + 1</f>
        <v>56</v>
      </c>
      <c r="LU104" s="20">
        <f ca="1">INDEX(OFFSET(TST!HeadRow,ROW()-ROW(TST!HeadRow),0,1,COLUMNS(TST!HeadRow)),1,MATCH(LU$5,TST!HeadRow,0))/LU$8</f>
        <v>10663.101476609409</v>
      </c>
      <c r="LV104" s="278">
        <f ca="1">$A104 - TST!Japan100dt + 1</f>
        <v>32</v>
      </c>
      <c r="LW104" s="20">
        <f ca="1">INDEX(OFFSET(TST!HeadRow,ROW()-ROW(TST!HeadRow),0,1,COLUMNS(TST!HeadRow)),1,MATCH(LW$5,TST!HeadRow,0))/LW$8</f>
        <v>1045.4808837917458</v>
      </c>
      <c r="LX104" s="278">
        <f ca="1">$A104 - TST!Queensland100dt + 1</f>
        <v>42</v>
      </c>
      <c r="LY104" s="20">
        <f ca="1">INDEX(OFFSET(TST!HeadRow,ROW()-ROW(TST!HeadRow),0,1,COLUMNS(TST!HeadRow)),1,MATCH(LY$5,TST!HeadRow,0))/LY$8</f>
        <v>2005.6882570080331</v>
      </c>
      <c r="LZ104" s="278">
        <f ca="1">$A104 - TST!Tasmania100dt + 1</f>
        <v>42</v>
      </c>
      <c r="MA104" s="20">
        <f ca="1">INDEX(OFFSET(TST!HeadRow,ROW()-ROW(TST!HeadRow),0,1,COLUMNS(TST!HeadRow)),1,MATCH(MA$5,TST!HeadRow,0))/MA$8</f>
        <v>4019.4174757281558</v>
      </c>
      <c r="MB104" s="278">
        <f ca="1">$A104 - TST!SouthAustralia100dt + 1</f>
        <v>43</v>
      </c>
      <c r="MC104" s="20">
        <f ca="1">INDEX(OFFSET(TST!HeadRow,ROW()-ROW(TST!HeadRow),0,1,COLUMNS(TST!HeadRow)),1,MATCH(MC$5,TST!HeadRow,0))/MC$8</f>
        <v>2622.754491017964</v>
      </c>
      <c r="MD104" s="11">
        <f ca="1">$A104 - TST!AustralianCapitalTerritory100dt + 1</f>
        <v>37</v>
      </c>
      <c r="ME104" s="20">
        <f ca="1">INDEX(OFFSET(TST!HeadRow,ROW()-ROW(TST!HeadRow),0,1,COLUMNS(TST!HeadRow)),1,MATCH(ME$5,TST!HeadRow,0))/ME$8</f>
        <v>2476.2883707891419</v>
      </c>
      <c r="MF104" s="11">
        <f ca="1">$A104 - TST!NorthernTerritory100dt + 1</f>
        <v>37</v>
      </c>
      <c r="MG104" s="20">
        <f ca="1">INDEX(OFFSET(TST!HeadRow,ROW()-ROW(TST!HeadRow),0,1,COLUMNS(TST!HeadRow)),1,MATCH(MG$5,TST!HeadRow,0))/MG$8</f>
        <v>1321.0974545282972</v>
      </c>
      <c r="MH104" s="278">
        <f ca="1">$A104 - TST!WesternAustralia100dt + 1</f>
        <v>41</v>
      </c>
      <c r="MI104" s="20">
        <f ca="1">INDEX(OFFSET(TST!HeadRow,ROW()-ROW(TST!HeadRow),0,1,COLUMNS(TST!HeadRow)),1,MATCH(MI$5,TST!HeadRow,0))/MI$8</f>
        <v>2120.5098493626883</v>
      </c>
      <c r="MJ104" s="278">
        <f ca="1">$A104 - TST!Germany100dt + 1</f>
        <v>49</v>
      </c>
      <c r="MK104" s="20">
        <f ca="1">INDEX(OFFSET(TST!HeadRow,ROW()-ROW(TST!HeadRow),0,1,COLUMNS(TST!HeadRow)),1,MATCH(MK$5,TST!HeadRow,0))/MK$8</f>
        <v>18852.445193929176</v>
      </c>
      <c r="ML104" s="278">
        <f ca="1">$A104 - TST!Denmark100dt + 1</f>
        <v>48</v>
      </c>
      <c r="MM104" s="20">
        <f ca="1">INDEX(OFFSET(TST!HeadRow,ROW()-ROW(TST!HeadRow),0,1,COLUMNS(TST!HeadRow)),1,MATCH(MM$5,TST!HeadRow,0))/MM$8</f>
        <v>14545.297967619703</v>
      </c>
      <c r="MN104" s="278">
        <f ca="1">$A104 - TST!SouthAfrica100dt + 1</f>
        <v>32</v>
      </c>
      <c r="MO104" s="20">
        <f ca="1">INDEX(OFFSET(TST!HeadRow,ROW()-ROW(TST!HeadRow),0,1,COLUMNS(TST!HeadRow)),1,MATCH(MO$5,TST!HeadRow,0))/MO$8</f>
        <v>754.75943232952579</v>
      </c>
      <c r="MP104" s="278">
        <f ca="1">$A104 - TST!UnitedKingdom100dt + 1</f>
        <v>44</v>
      </c>
      <c r="MQ104" s="20">
        <f ca="1">INDEX(OFFSET(TST!HeadRow,ROW()-ROW(TST!HeadRow),0,1,COLUMNS(TST!HeadRow)),1,MATCH(MQ$5,TST!HeadRow,0))/MQ$8</f>
        <v>22332.480433473811</v>
      </c>
      <c r="MR104" s="278">
        <f ca="1">$A104 - TST!Ireland100dt + 1</f>
        <v>44</v>
      </c>
      <c r="MS104" s="20">
        <f ca="1">INDEX(OFFSET(TST!HeadRow,ROW()-ROW(TST!HeadRow),0,1,COLUMNS(TST!HeadRow)),1,MATCH(MS$5,TST!HeadRow,0))/MS$8</f>
        <v>37879.591836734697</v>
      </c>
      <c r="MT104" s="278">
        <f ca="1">$A104 - TST!Italy100dt + 1</f>
        <v>59</v>
      </c>
      <c r="MU104" s="20">
        <f ca="1">INDEX(OFFSET(TST!HeadRow,ROW()-ROW(TST!HeadRow),0,1,COLUMNS(TST!HeadRow)),1,MATCH(MU$5,TST!HeadRow,0))/MU$8</f>
        <v>32297.429114656527</v>
      </c>
      <c r="MV104" s="20">
        <f ca="1">$A104 - TST!US100dt + 1</f>
        <v>42</v>
      </c>
      <c r="MW104" s="20">
        <f ca="1">INDEX(OFFSET(TST!HeadRow,ROW()-ROW(TST!HeadRow),0,1,COLUMNS(TST!HeadRow)),1,MATCH(MW$5,TST!HeadRow,0))/MW$8</f>
        <v>28495.593442479789</v>
      </c>
      <c r="MX104" s="278">
        <f ca="1">$A104 - TST!AustraliaSum100dt + 1</f>
        <v>42</v>
      </c>
      <c r="MY104" s="366">
        <f t="shared" si="9"/>
        <v>2639.1736319192555</v>
      </c>
      <c r="MZ104" s="278">
        <f ca="1">$A104 - TST!NewSouthWales100dt + 1</f>
        <v>44</v>
      </c>
      <c r="NA104" s="366">
        <f ca="1">INDEX(OFFSET(TST!HeadRow,ROW()-ROW(TST!HeadRow),0,1,COLUMNS(TST!HeadRow)),1,MATCH(NA$5,TST!HeadRow,0))/NA$8</f>
        <v>3705.4455445544554</v>
      </c>
      <c r="NB104" s="20">
        <f ca="1">$A104 - TST!Taiwan100dt + 1</f>
        <v>31</v>
      </c>
      <c r="NC104" s="366">
        <f ca="1">INDEX(OFFSET(TST!HeadRow,ROW()-ROW(TST!HeadRow),0,1,COLUMNS(TST!HeadRow)),1,MATCH(NC$5,TST!HeadRow,0))/NC$8</f>
        <v>180.1969666255896</v>
      </c>
      <c r="ND104" s="20">
        <f ca="1">$A104 - TST!Hubei100dt + 1</f>
        <v>92</v>
      </c>
      <c r="NE104" s="20">
        <f ca="1">INDEX(OFFSET(TST!HeadRow,ROW()-ROW(TST!HeadRow),0,1,COLUMNS(TST!HeadRow)),1,MATCH(NE$5,TST!HeadRow,0))/NE$8</f>
        <v>11645.811965811967</v>
      </c>
      <c r="NF104" s="20">
        <f ca="1">$A104 - TST!HongKong100dt + 1</f>
        <v>62</v>
      </c>
      <c r="NG104" s="20">
        <f ca="1">INDEX(OFFSET(TST!HeadRow,ROW()-ROW(TST!HeadRow),0,1,COLUMNS(TST!HeadRow)),1,MATCH(NG$5,TST!HeadRow,0))/NG$8</f>
        <v>1391.7594953697489</v>
      </c>
    </row>
    <row r="105" spans="1:371" x14ac:dyDescent="0.25">
      <c r="A105" s="156">
        <v>43947</v>
      </c>
      <c r="B105" s="25">
        <v>1531</v>
      </c>
      <c r="C105" s="25">
        <v>726</v>
      </c>
      <c r="D105" s="25">
        <v>3382</v>
      </c>
      <c r="E105" s="25">
        <v>738</v>
      </c>
      <c r="F105" s="25">
        <v>26</v>
      </c>
      <c r="G105" s="25">
        <v>24</v>
      </c>
      <c r="H105" s="25">
        <v>3892</v>
      </c>
      <c r="I105" s="25">
        <v>1746</v>
      </c>
      <c r="J105" s="25">
        <v>106</v>
      </c>
      <c r="K105" s="292">
        <v>3002</v>
      </c>
      <c r="L105" s="25">
        <v>28</v>
      </c>
      <c r="M105" s="289">
        <v>1030</v>
      </c>
      <c r="N105" s="25">
        <v>438</v>
      </c>
      <c r="O105" s="40">
        <v>212</v>
      </c>
      <c r="P105" s="286">
        <v>1349</v>
      </c>
      <c r="Q105" s="25">
        <v>549</v>
      </c>
      <c r="R105" s="25">
        <v>15225</v>
      </c>
      <c r="S105" s="25">
        <v>1645</v>
      </c>
      <c r="T105" s="25">
        <v>80</v>
      </c>
      <c r="U105" s="25">
        <v>2647</v>
      </c>
      <c r="V105" s="25">
        <v>5416</v>
      </c>
      <c r="W105" s="25">
        <v>79</v>
      </c>
      <c r="X105" s="25">
        <v>10463</v>
      </c>
      <c r="Y105" s="25">
        <v>46134</v>
      </c>
      <c r="Z105" s="25">
        <v>64</v>
      </c>
      <c r="AA105" s="25">
        <v>7</v>
      </c>
      <c r="AB105" s="25">
        <v>950</v>
      </c>
      <c r="AC105" s="25">
        <v>1516</v>
      </c>
      <c r="AD105" s="25">
        <v>63100</v>
      </c>
      <c r="AE105" s="25">
        <v>138</v>
      </c>
      <c r="AF105" s="25">
        <v>1300</v>
      </c>
      <c r="AG105" s="25">
        <v>632</v>
      </c>
      <c r="AH105" s="25">
        <v>106</v>
      </c>
      <c r="AI105" s="25">
        <v>122</v>
      </c>
      <c r="AJ105" s="25">
        <v>1621</v>
      </c>
      <c r="AK105" s="25">
        <v>4480</v>
      </c>
      <c r="AL105" s="25">
        <v>1948</v>
      </c>
      <c r="AM105" s="25">
        <v>13</v>
      </c>
      <c r="AN105" s="25">
        <v>271</v>
      </c>
      <c r="AO105" s="25">
        <v>118</v>
      </c>
      <c r="AP105" s="25">
        <v>258</v>
      </c>
      <c r="AQ105" s="25">
        <v>873</v>
      </c>
      <c r="AR105" s="25">
        <v>15568</v>
      </c>
      <c r="AS105" s="25">
        <v>26</v>
      </c>
      <c r="AT105" s="25">
        <v>24109</v>
      </c>
      <c r="AU105" s="25">
        <v>353</v>
      </c>
      <c r="AV105" s="25">
        <v>19</v>
      </c>
      <c r="AW105" s="25">
        <v>46</v>
      </c>
      <c r="AX105" s="25">
        <v>13331</v>
      </c>
      <c r="AY105" s="25">
        <v>991</v>
      </c>
      <c r="AZ105" s="25">
        <v>593</v>
      </c>
      <c r="BA105" s="25">
        <v>579</v>
      </c>
      <c r="BB105" s="25">
        <v>355</v>
      </c>
      <c r="BC105" s="25">
        <v>139</v>
      </c>
      <c r="BD105" s="25">
        <v>1587</v>
      </c>
      <c r="BE105" s="25">
        <v>254</v>
      </c>
      <c r="BF105" s="25">
        <v>147</v>
      </c>
      <c r="BG105" s="25">
        <v>168</v>
      </c>
      <c r="BH105" s="25">
        <v>328</v>
      </c>
      <c r="BI105" s="25">
        <v>936</v>
      </c>
      <c r="BJ105" s="25">
        <v>1276</v>
      </c>
      <c r="BK105" s="25">
        <v>1037</v>
      </c>
      <c r="BL105" s="25">
        <v>68128</v>
      </c>
      <c r="BM105" s="25">
        <v>1019</v>
      </c>
      <c r="BN105" s="25">
        <v>198</v>
      </c>
      <c r="BO105" s="25">
        <v>653</v>
      </c>
      <c r="BP105" s="25">
        <v>937</v>
      </c>
      <c r="BQ105" s="25">
        <v>110</v>
      </c>
      <c r="BR105" s="25">
        <v>146</v>
      </c>
      <c r="BS105" s="25">
        <v>45</v>
      </c>
      <c r="BT105" s="25">
        <v>75</v>
      </c>
      <c r="BU105" s="25">
        <v>18</v>
      </c>
      <c r="BV105" s="25">
        <v>286</v>
      </c>
      <c r="BW105" s="25">
        <v>787</v>
      </c>
      <c r="BX105" s="25">
        <v>642</v>
      </c>
      <c r="BY105" s="25">
        <v>197</v>
      </c>
      <c r="BZ105" s="25">
        <v>561</v>
      </c>
      <c r="CA105" s="25">
        <v>190</v>
      </c>
      <c r="CB105" s="25">
        <v>1</v>
      </c>
      <c r="CC105" s="25">
        <v>76</v>
      </c>
      <c r="CD105" s="25">
        <v>185</v>
      </c>
      <c r="CE105" s="25">
        <v>1268</v>
      </c>
      <c r="CF105" s="25">
        <v>5379</v>
      </c>
      <c r="CG105" s="25">
        <v>200</v>
      </c>
      <c r="CH105" s="25">
        <v>442</v>
      </c>
      <c r="CI105" s="25">
        <v>695</v>
      </c>
      <c r="CJ105" s="25">
        <v>1150</v>
      </c>
      <c r="CK105" s="25">
        <v>2030</v>
      </c>
      <c r="CL105" s="25">
        <v>712</v>
      </c>
      <c r="CM105" s="25">
        <v>1369</v>
      </c>
      <c r="CN105" s="25">
        <v>817</v>
      </c>
      <c r="CO105" s="25">
        <v>7404</v>
      </c>
      <c r="CP105" s="25">
        <v>187</v>
      </c>
      <c r="CQ105" s="25">
        <v>11</v>
      </c>
      <c r="CR105" s="25">
        <v>8575</v>
      </c>
      <c r="CS105" s="25">
        <v>1023</v>
      </c>
      <c r="CT105" s="25">
        <v>6135</v>
      </c>
      <c r="CU105" s="25">
        <v>22719</v>
      </c>
      <c r="CV105" s="25">
        <v>4534</v>
      </c>
      <c r="CW105" s="25">
        <v>298</v>
      </c>
      <c r="CX105" s="25">
        <v>258</v>
      </c>
      <c r="CY105" s="25">
        <v>39</v>
      </c>
      <c r="CZ105" s="25">
        <v>1643</v>
      </c>
      <c r="DA105" s="25">
        <v>59</v>
      </c>
      <c r="DB105" s="25">
        <v>123</v>
      </c>
      <c r="DC105" s="25">
        <v>18</v>
      </c>
      <c r="DD105" s="25">
        <v>4576</v>
      </c>
      <c r="DE105" s="25">
        <v>111</v>
      </c>
      <c r="DF105" s="25">
        <v>57</v>
      </c>
      <c r="DG105" s="25">
        <v>149</v>
      </c>
      <c r="DH105" s="25">
        <v>401</v>
      </c>
      <c r="DI105" s="25">
        <v>18</v>
      </c>
      <c r="DJ105" s="25">
        <v>417</v>
      </c>
      <c r="DK105" s="25">
        <v>6</v>
      </c>
      <c r="DL105" s="25">
        <v>38</v>
      </c>
      <c r="DM105" s="25">
        <v>175</v>
      </c>
      <c r="DN105" s="25">
        <v>160847</v>
      </c>
      <c r="DO105" s="25">
        <v>176</v>
      </c>
      <c r="DP105" s="25">
        <v>10</v>
      </c>
      <c r="DQ105" s="25">
        <v>486</v>
      </c>
      <c r="DR105" s="25">
        <v>157770</v>
      </c>
      <c r="DS105" s="25">
        <v>1550</v>
      </c>
      <c r="DT105" s="25">
        <v>2517</v>
      </c>
      <c r="DU105" s="25">
        <v>500</v>
      </c>
      <c r="DV105" s="25">
        <v>996</v>
      </c>
      <c r="DW105" s="25">
        <v>74</v>
      </c>
      <c r="DX105" s="25">
        <v>74</v>
      </c>
      <c r="DY105" s="25">
        <v>9</v>
      </c>
      <c r="DZ105" s="25">
        <v>627</v>
      </c>
      <c r="EA105" s="25">
        <v>2500</v>
      </c>
      <c r="EB105" s="25">
        <v>1792</v>
      </c>
      <c r="EC105" s="25">
        <v>27890</v>
      </c>
      <c r="ED105" s="25">
        <v>8882</v>
      </c>
      <c r="EE105" s="25">
        <v>90481</v>
      </c>
      <c r="EF105" s="25">
        <v>1820</v>
      </c>
      <c r="EG105" s="25">
        <v>19262</v>
      </c>
      <c r="EH105" s="25">
        <v>15443</v>
      </c>
      <c r="EI105" s="25">
        <v>197675</v>
      </c>
      <c r="EJ105" s="25">
        <v>350</v>
      </c>
      <c r="EK105" s="25">
        <v>13441</v>
      </c>
      <c r="EL105" s="25">
        <v>447</v>
      </c>
      <c r="EM105" s="25">
        <v>2717</v>
      </c>
      <c r="EN105" s="25">
        <v>355</v>
      </c>
      <c r="EO105" s="25">
        <v>10738</v>
      </c>
      <c r="EP105" s="25">
        <v>3075</v>
      </c>
      <c r="EQ105" s="25">
        <v>682</v>
      </c>
      <c r="ER105" s="25">
        <v>812</v>
      </c>
      <c r="ES105" s="25">
        <v>707</v>
      </c>
      <c r="ET105" s="25">
        <v>124</v>
      </c>
      <c r="EU105" s="25">
        <v>82</v>
      </c>
      <c r="EV105" s="25">
        <v>1438</v>
      </c>
      <c r="EW105" s="25">
        <v>3723</v>
      </c>
      <c r="EX105" s="25">
        <v>124</v>
      </c>
      <c r="EY105" s="25">
        <v>5780</v>
      </c>
      <c r="EZ105" s="25">
        <v>214</v>
      </c>
      <c r="FA105" s="25">
        <v>448</v>
      </c>
      <c r="FB105" s="25">
        <v>7</v>
      </c>
      <c r="FC105" s="25">
        <v>332</v>
      </c>
      <c r="FD105" s="25">
        <v>14677</v>
      </c>
      <c r="FE105" s="25">
        <v>3408</v>
      </c>
      <c r="FF105" s="25">
        <v>94</v>
      </c>
      <c r="FG105" s="25">
        <v>38</v>
      </c>
      <c r="FH105" s="25">
        <v>321</v>
      </c>
      <c r="FI105" s="25">
        <v>4065</v>
      </c>
      <c r="FJ105" s="25">
        <v>16</v>
      </c>
      <c r="FK105" s="25">
        <v>52</v>
      </c>
      <c r="FL105" s="25">
        <v>100</v>
      </c>
      <c r="FM105" s="25">
        <v>16</v>
      </c>
      <c r="FN105" s="25">
        <v>74</v>
      </c>
      <c r="FO105" s="25">
        <v>37845</v>
      </c>
      <c r="FP105" s="25">
        <v>1469</v>
      </c>
      <c r="FQ105" s="25">
        <v>13</v>
      </c>
      <c r="FR105" s="25">
        <v>696</v>
      </c>
      <c r="FS105" s="25">
        <v>1273</v>
      </c>
      <c r="FT105" s="25">
        <v>1386</v>
      </c>
      <c r="FU105" s="25">
        <v>7527</v>
      </c>
      <c r="FV105" s="25">
        <v>1998</v>
      </c>
      <c r="FW105" s="25">
        <v>13328</v>
      </c>
      <c r="FX105" s="25">
        <v>5779</v>
      </c>
      <c r="FY105" s="25">
        <v>8</v>
      </c>
      <c r="FZ105" s="25">
        <v>228</v>
      </c>
      <c r="GA105" s="25">
        <v>27517</v>
      </c>
      <c r="GB105" s="25">
        <v>7579</v>
      </c>
      <c r="GC105" s="25">
        <v>11617</v>
      </c>
      <c r="GD105" s="25">
        <v>23864</v>
      </c>
      <c r="GE105" s="25">
        <v>10287</v>
      </c>
      <c r="GF105" s="25">
        <v>11036</v>
      </c>
      <c r="GG105" s="25">
        <v>80949</v>
      </c>
      <c r="GH105" s="25">
        <v>191</v>
      </c>
      <c r="GI105" s="25">
        <v>15</v>
      </c>
      <c r="GJ105" s="25">
        <v>14</v>
      </c>
      <c r="GK105" s="25">
        <v>538</v>
      </c>
      <c r="GL105" s="25">
        <v>17522</v>
      </c>
      <c r="GM105" s="25">
        <v>671</v>
      </c>
      <c r="GN105" s="25">
        <v>8042</v>
      </c>
      <c r="GO105" s="25">
        <v>11</v>
      </c>
      <c r="GP105" s="25">
        <v>13624</v>
      </c>
      <c r="GQ105" s="25">
        <v>1379</v>
      </c>
      <c r="GR105" s="25">
        <v>1396</v>
      </c>
      <c r="GS105" s="25">
        <v>436</v>
      </c>
      <c r="GT105" s="25">
        <v>4546</v>
      </c>
      <c r="GU105" s="25">
        <v>207634</v>
      </c>
      <c r="GV105" s="25">
        <v>523</v>
      </c>
      <c r="GW105" s="25">
        <v>237</v>
      </c>
      <c r="GX105" s="25">
        <v>10</v>
      </c>
      <c r="GY105" s="25">
        <v>18640</v>
      </c>
      <c r="GZ105" s="25">
        <v>29061</v>
      </c>
      <c r="HA105" s="25">
        <v>429</v>
      </c>
      <c r="HB105" s="25">
        <v>299</v>
      </c>
      <c r="HC105" s="25">
        <v>2922</v>
      </c>
      <c r="HD105" s="25">
        <v>98</v>
      </c>
      <c r="HE105" s="25">
        <v>115</v>
      </c>
      <c r="HF105" s="25">
        <v>949</v>
      </c>
      <c r="HG105" s="25">
        <v>110130</v>
      </c>
      <c r="HH105" s="25">
        <v>79</v>
      </c>
      <c r="HI105" s="25">
        <v>8617</v>
      </c>
      <c r="HJ105" s="25">
        <v>10349</v>
      </c>
      <c r="HK105" s="25">
        <v>109</v>
      </c>
      <c r="HL105" s="25">
        <v>70</v>
      </c>
      <c r="HM105" s="25">
        <v>525</v>
      </c>
      <c r="HN105" s="25">
        <v>141</v>
      </c>
      <c r="HO105" s="25">
        <v>308</v>
      </c>
      <c r="HP105" s="25">
        <v>11</v>
      </c>
      <c r="HQ105" s="25">
        <v>152840</v>
      </c>
      <c r="HR105" s="25">
        <v>606</v>
      </c>
      <c r="HS105" s="25">
        <v>965785</v>
      </c>
      <c r="HT105" s="25">
        <v>1869</v>
      </c>
      <c r="HU105" s="25">
        <v>325</v>
      </c>
      <c r="HV105" s="25">
        <v>270</v>
      </c>
      <c r="HW105" s="25">
        <v>88</v>
      </c>
      <c r="HX105" s="25">
        <v>31</v>
      </c>
      <c r="HY105" s="25">
        <v>0</v>
      </c>
      <c r="HZ105" s="25">
        <v>16</v>
      </c>
      <c r="IA105" s="25">
        <v>18</v>
      </c>
      <c r="IB105" s="25">
        <v>76</v>
      </c>
      <c r="IC105" s="25">
        <v>43</v>
      </c>
      <c r="ID105" s="25">
        <v>24</v>
      </c>
      <c r="IE105" s="25">
        <v>18</v>
      </c>
      <c r="IF105" s="25">
        <v>0</v>
      </c>
      <c r="IG105" s="25">
        <v>19</v>
      </c>
      <c r="IH105" s="25">
        <v>61</v>
      </c>
      <c r="II105" s="25">
        <v>342</v>
      </c>
      <c r="IJ105" s="25">
        <v>53</v>
      </c>
      <c r="IK105" s="25">
        <v>389</v>
      </c>
      <c r="IL105" s="25">
        <v>15</v>
      </c>
      <c r="IM105" s="25">
        <v>5</v>
      </c>
      <c r="IN105" s="25">
        <v>11</v>
      </c>
      <c r="IO105" s="25">
        <v>763</v>
      </c>
      <c r="IP105" s="25">
        <v>146</v>
      </c>
      <c r="IQ105" s="25">
        <v>3</v>
      </c>
      <c r="IR105" s="25">
        <v>6</v>
      </c>
      <c r="IS105" s="25">
        <v>11</v>
      </c>
      <c r="IT105" s="25">
        <v>9</v>
      </c>
      <c r="IU105" s="25">
        <v>22</v>
      </c>
      <c r="IV105" s="25">
        <v>11</v>
      </c>
      <c r="IW105" s="25">
        <v>93</v>
      </c>
      <c r="IX105" s="25">
        <v>5</v>
      </c>
      <c r="IY105" s="25">
        <v>34</v>
      </c>
      <c r="IZ105" s="25">
        <v>13</v>
      </c>
      <c r="JA105" s="25">
        <v>1</v>
      </c>
      <c r="JB105" s="25">
        <v>6</v>
      </c>
      <c r="JC105" s="25">
        <v>6</v>
      </c>
      <c r="JD105" s="25">
        <v>4</v>
      </c>
      <c r="JE105" s="25">
        <v>1</v>
      </c>
      <c r="JF105" s="25">
        <v>0</v>
      </c>
      <c r="JG105" s="25">
        <v>0</v>
      </c>
      <c r="JH105" s="25">
        <v>0</v>
      </c>
      <c r="JI105" s="25">
        <v>141</v>
      </c>
      <c r="JJ105" s="25">
        <v>14</v>
      </c>
      <c r="JK105" s="25">
        <v>1371</v>
      </c>
      <c r="JL105" s="25">
        <v>57</v>
      </c>
      <c r="JM105" s="25">
        <v>6421</v>
      </c>
      <c r="JN105" s="25">
        <v>340</v>
      </c>
      <c r="JO105" s="25">
        <v>6534</v>
      </c>
      <c r="JP105" s="25">
        <v>3001</v>
      </c>
      <c r="JQ105" s="25">
        <v>43558</v>
      </c>
      <c r="JR105" s="25">
        <v>13441</v>
      </c>
      <c r="JS105" s="25">
        <v>25269</v>
      </c>
      <c r="JT105" s="25">
        <v>4034</v>
      </c>
      <c r="JU105" s="25">
        <v>3841</v>
      </c>
      <c r="JV105" s="25">
        <v>31532</v>
      </c>
      <c r="JW105" s="25">
        <v>23486</v>
      </c>
      <c r="JX105" s="25">
        <v>606</v>
      </c>
      <c r="JY105" s="25">
        <v>1897</v>
      </c>
      <c r="JZ105" s="25">
        <v>43903</v>
      </c>
      <c r="KA105" s="25">
        <v>15012</v>
      </c>
      <c r="KB105" s="25">
        <v>5476</v>
      </c>
      <c r="KC105" s="25">
        <v>3277</v>
      </c>
      <c r="KD105" s="25">
        <v>4085</v>
      </c>
      <c r="KE105" s="25">
        <v>26773</v>
      </c>
      <c r="KF105" s="25">
        <v>1015</v>
      </c>
      <c r="KG105" s="25">
        <v>18581</v>
      </c>
      <c r="KH105" s="25">
        <v>54938</v>
      </c>
      <c r="KI105" s="25">
        <v>37778</v>
      </c>
      <c r="KJ105" s="25">
        <v>3602</v>
      </c>
      <c r="KK105" s="25">
        <v>5911</v>
      </c>
      <c r="KL105" s="25">
        <v>7120</v>
      </c>
      <c r="KM105" s="25">
        <v>448</v>
      </c>
      <c r="KN105" s="25">
        <v>3030</v>
      </c>
      <c r="KO105" s="25">
        <v>4734</v>
      </c>
      <c r="KP105" s="25">
        <v>1864</v>
      </c>
      <c r="KQ105" s="25">
        <v>109038</v>
      </c>
      <c r="KR105" s="25">
        <v>2726</v>
      </c>
      <c r="KS105" s="25">
        <v>288045</v>
      </c>
      <c r="KT105" s="25">
        <v>8997</v>
      </c>
      <c r="KU105" s="25">
        <v>867</v>
      </c>
      <c r="KV105" s="25">
        <v>15972</v>
      </c>
      <c r="KW105" s="25">
        <v>3254</v>
      </c>
      <c r="KX105" s="25">
        <v>2311</v>
      </c>
      <c r="KY105" s="25">
        <v>42616</v>
      </c>
      <c r="KZ105" s="25">
        <v>7439</v>
      </c>
      <c r="LA105" s="25">
        <v>5498</v>
      </c>
      <c r="LB105" s="25">
        <v>2212</v>
      </c>
      <c r="LC105" s="25">
        <v>9667</v>
      </c>
      <c r="LD105" s="25">
        <v>24967</v>
      </c>
      <c r="LE105" s="25">
        <v>4123</v>
      </c>
      <c r="LF105" s="25">
        <v>851</v>
      </c>
      <c r="LG105" s="25">
        <v>12970</v>
      </c>
      <c r="LH105" s="25">
        <v>13521</v>
      </c>
      <c r="LI105" s="25">
        <v>1055</v>
      </c>
      <c r="LJ105" s="25">
        <v>5912</v>
      </c>
      <c r="LK105" s="25">
        <v>502</v>
      </c>
      <c r="LL105" s="25">
        <v>49</v>
      </c>
      <c r="LM105" s="25">
        <v>103</v>
      </c>
      <c r="LN105" s="11">
        <f ca="1">$A105 - TST!Sweden100dt + 1</f>
        <v>51</v>
      </c>
      <c r="LO105" s="20">
        <f ca="1">INDEX(OFFSET(TST!HeadRow,ROW()-ROW(TST!HeadRow),0,1,COLUMNS(TST!HeadRow)),1,MATCH(LO$5,TST!HeadRow,0))/LO$8</f>
        <v>18220.918866080159</v>
      </c>
      <c r="LP105" s="278">
        <f ca="1">$A105 - TST!Spain100dt + 1</f>
        <v>51</v>
      </c>
      <c r="LQ105" s="20">
        <f ca="1">INDEX(OFFSET(TST!HeadRow,ROW()-ROW(TST!HeadRow),0,1,COLUMNS(TST!HeadRow)),1,MATCH(LQ$5,TST!HeadRow,0))/LQ$8</f>
        <v>44233.91563698338</v>
      </c>
      <c r="LR105" s="285">
        <f ca="1">$A105 - TST!Victoria100dt + 1</f>
        <v>42</v>
      </c>
      <c r="LS105" s="20">
        <f t="shared" si="10"/>
        <v>2034.9977372152662</v>
      </c>
      <c r="LT105" s="278">
        <f ca="1">$A105 - TST!Iran100dt + 1</f>
        <v>57</v>
      </c>
      <c r="LU105" s="20">
        <f ca="1">INDEX(OFFSET(TST!HeadRow,ROW()-ROW(TST!HeadRow),0,1,COLUMNS(TST!HeadRow)),1,MATCH(LU$5,TST!HeadRow,0))/LU$8</f>
        <v>10800.73532044931</v>
      </c>
      <c r="LV105" s="278">
        <f ca="1">$A105 - TST!Japan100dt + 1</f>
        <v>33</v>
      </c>
      <c r="LW105" s="20">
        <f ca="1">INDEX(OFFSET(TST!HeadRow,ROW()-ROW(TST!HeadRow),0,1,COLUMNS(TST!HeadRow)),1,MATCH(LW$5,TST!HeadRow,0))/LW$8</f>
        <v>1062.0745642086656</v>
      </c>
      <c r="LX105" s="278">
        <f ca="1">$A105 - TST!Queensland100dt + 1</f>
        <v>43</v>
      </c>
      <c r="LY105" s="20">
        <f ca="1">INDEX(OFFSET(TST!HeadRow,ROW()-ROW(TST!HeadRow),0,1,COLUMNS(TST!HeadRow)),1,MATCH(LY$5,TST!HeadRow,0))/LY$8</f>
        <v>2013.507704403776</v>
      </c>
      <c r="LZ105" s="278">
        <f ca="1">$A105 - TST!Tasmania100dt + 1</f>
        <v>43</v>
      </c>
      <c r="MA105" s="20">
        <f ca="1">INDEX(OFFSET(TST!HeadRow,ROW()-ROW(TST!HeadRow),0,1,COLUMNS(TST!HeadRow)),1,MATCH(MA$5,TST!HeadRow,0))/MA$8</f>
        <v>4116.5048543689327</v>
      </c>
      <c r="MB105" s="278">
        <f ca="1">$A105 - TST!SouthAustralia100dt + 1</f>
        <v>44</v>
      </c>
      <c r="MC105" s="20">
        <f ca="1">INDEX(OFFSET(TST!HeadRow,ROW()-ROW(TST!HeadRow),0,1,COLUMNS(TST!HeadRow)),1,MATCH(MC$5,TST!HeadRow,0))/MC$8</f>
        <v>2622.754491017964</v>
      </c>
      <c r="MD105" s="11">
        <f ca="1">$A105 - TST!AustralianCapitalTerritory100dt + 1</f>
        <v>38</v>
      </c>
      <c r="ME105" s="20">
        <f ca="1">INDEX(OFFSET(TST!HeadRow,ROW()-ROW(TST!HeadRow),0,1,COLUMNS(TST!HeadRow)),1,MATCH(ME$5,TST!HeadRow,0))/ME$8</f>
        <v>2476.2883707891419</v>
      </c>
      <c r="MF105" s="11">
        <f ca="1">$A105 - TST!NorthernTerritory100dt + 1</f>
        <v>38</v>
      </c>
      <c r="MG105" s="20">
        <f ca="1">INDEX(OFFSET(TST!HeadRow,ROW()-ROW(TST!HeadRow),0,1,COLUMNS(TST!HeadRow)),1,MATCH(MG$5,TST!HeadRow,0))/MG$8</f>
        <v>1321.0974545282972</v>
      </c>
      <c r="MH105" s="278">
        <f ca="1">$A105 - TST!WesternAustralia100dt + 1</f>
        <v>42</v>
      </c>
      <c r="MI105" s="20">
        <f ca="1">INDEX(OFFSET(TST!HeadRow,ROW()-ROW(TST!HeadRow),0,1,COLUMNS(TST!HeadRow)),1,MATCH(MI$5,TST!HeadRow,0))/MI$8</f>
        <v>2120.5098493626883</v>
      </c>
      <c r="MJ105" s="278">
        <f ca="1">$A105 - TST!Germany100dt + 1</f>
        <v>50</v>
      </c>
      <c r="MK105" s="20">
        <f ca="1">INDEX(OFFSET(TST!HeadRow,ROW()-ROW(TST!HeadRow),0,1,COLUMNS(TST!HeadRow)),1,MATCH(MK$5,TST!HeadRow,0))/MK$8</f>
        <v>19003.854492893279</v>
      </c>
      <c r="ML105" s="278">
        <f ca="1">$A105 - TST!Denmark100dt + 1</f>
        <v>49</v>
      </c>
      <c r="MM105" s="20">
        <f ca="1">INDEX(OFFSET(TST!HeadRow,ROW()-ROW(TST!HeadRow),0,1,COLUMNS(TST!HeadRow)),1,MATCH(MM$5,TST!HeadRow,0))/MM$8</f>
        <v>14769.204271443334</v>
      </c>
      <c r="MN105" s="278">
        <f ca="1">$A105 - TST!SouthAfrica100dt + 1</f>
        <v>33</v>
      </c>
      <c r="MO105" s="20">
        <f ca="1">INDEX(OFFSET(TST!HeadRow,ROW()-ROW(TST!HeadRow),0,1,COLUMNS(TST!HeadRow)),1,MATCH(MO$5,TST!HeadRow,0))/MO$8</f>
        <v>786.77743163724483</v>
      </c>
      <c r="MP105" s="278">
        <f ca="1">$A105 - TST!UnitedKingdom100dt + 1</f>
        <v>45</v>
      </c>
      <c r="MQ105" s="20">
        <f ca="1">INDEX(OFFSET(TST!HeadRow,ROW()-ROW(TST!HeadRow),0,1,COLUMNS(TST!HeadRow)),1,MATCH(MQ$5,TST!HeadRow,0))/MQ$8</f>
        <v>23004.21432871764</v>
      </c>
      <c r="MR105" s="278">
        <f ca="1">$A105 - TST!Ireland100dt + 1</f>
        <v>45</v>
      </c>
      <c r="MS105" s="20">
        <f ca="1">INDEX(OFFSET(TST!HeadRow,ROW()-ROW(TST!HeadRow),0,1,COLUMNS(TST!HeadRow)),1,MATCH(MS$5,TST!HeadRow,0))/MS$8</f>
        <v>39310.204081632655</v>
      </c>
      <c r="MT105" s="278">
        <f ca="1">$A105 - TST!Italy100dt + 1</f>
        <v>60</v>
      </c>
      <c r="MU105" s="20">
        <f ca="1">INDEX(OFFSET(TST!HeadRow,ROW()-ROW(TST!HeadRow),0,1,COLUMNS(TST!HeadRow)),1,MATCH(MU$5,TST!HeadRow,0))/MU$8</f>
        <v>32681.656609076632</v>
      </c>
      <c r="MV105" s="20">
        <f ca="1">$A105 - TST!US100dt + 1</f>
        <v>43</v>
      </c>
      <c r="MW105" s="20">
        <f ca="1">INDEX(OFFSET(TST!HeadRow,ROW()-ROW(TST!HeadRow),0,1,COLUMNS(TST!HeadRow)),1,MATCH(MW$5,TST!HeadRow,0))/MW$8</f>
        <v>29334.86049502037</v>
      </c>
      <c r="MX105" s="278">
        <f ca="1">$A105 - TST!AustraliaSum100dt + 1</f>
        <v>43</v>
      </c>
      <c r="MY105" s="366">
        <f t="shared" si="9"/>
        <v>2647.0588235294117</v>
      </c>
      <c r="MZ105" s="278">
        <f ca="1">$A105 - TST!NewSouthWales100dt + 1</f>
        <v>45</v>
      </c>
      <c r="NA105" s="366">
        <f ca="1">INDEX(OFFSET(TST!HeadRow,ROW()-ROW(TST!HeadRow),0,1,COLUMNS(TST!HeadRow)),1,MATCH(NA$5,TST!HeadRow,0))/NA$8</f>
        <v>3715.3465346534649</v>
      </c>
      <c r="NB105" s="20">
        <f ca="1">$A105 - TST!Taiwan100dt + 1</f>
        <v>32</v>
      </c>
      <c r="NC105" s="366">
        <f ca="1">INDEX(OFFSET(TST!HeadRow,ROW()-ROW(TST!HeadRow),0,1,COLUMNS(TST!HeadRow)),1,MATCH(NC$5,TST!HeadRow,0))/NC$8</f>
        <v>180.1969666255896</v>
      </c>
      <c r="ND105" s="20">
        <f ca="1">$A105 - TST!Hubei100dt + 1</f>
        <v>93</v>
      </c>
      <c r="NE105" s="20">
        <f ca="1">INDEX(OFFSET(TST!HeadRow,ROW()-ROW(TST!HeadRow),0,1,COLUMNS(TST!HeadRow)),1,MATCH(NE$5,TST!HeadRow,0))/NE$8</f>
        <v>11645.811965811967</v>
      </c>
      <c r="NF105" s="20">
        <f ca="1">$A105 - TST!HongKong100dt + 1</f>
        <v>63</v>
      </c>
      <c r="NG105" s="20">
        <f ca="1">INDEX(OFFSET(TST!HeadRow,ROW()-ROW(TST!HeadRow),0,1,COLUMNS(TST!HeadRow)),1,MATCH(NG$5,TST!HeadRow,0))/NG$8</f>
        <v>1391.7594953697489</v>
      </c>
    </row>
    <row r="106" spans="1:371" x14ac:dyDescent="0.25">
      <c r="A106" s="156">
        <v>43948</v>
      </c>
      <c r="B106" s="25">
        <v>1703</v>
      </c>
      <c r="C106" s="25">
        <v>736</v>
      </c>
      <c r="D106" s="25">
        <v>3517</v>
      </c>
      <c r="E106" s="25">
        <v>743</v>
      </c>
      <c r="F106" s="25">
        <v>27</v>
      </c>
      <c r="G106" s="25">
        <v>24</v>
      </c>
      <c r="H106" s="25">
        <v>4003</v>
      </c>
      <c r="I106" s="25">
        <v>1808</v>
      </c>
      <c r="J106" s="25">
        <v>106</v>
      </c>
      <c r="K106" s="292">
        <v>3004</v>
      </c>
      <c r="L106" s="25">
        <v>28</v>
      </c>
      <c r="M106" s="289">
        <v>1033</v>
      </c>
      <c r="N106" s="25">
        <v>438</v>
      </c>
      <c r="O106" s="40">
        <v>214</v>
      </c>
      <c r="P106" s="286">
        <v>1349</v>
      </c>
      <c r="Q106" s="25">
        <v>549</v>
      </c>
      <c r="R106" s="25">
        <v>15274</v>
      </c>
      <c r="S106" s="25">
        <v>1678</v>
      </c>
      <c r="T106" s="25">
        <v>80</v>
      </c>
      <c r="U106" s="25">
        <v>2723</v>
      </c>
      <c r="V106" s="25">
        <v>5913</v>
      </c>
      <c r="W106" s="25">
        <v>80</v>
      </c>
      <c r="X106" s="25">
        <v>11289</v>
      </c>
      <c r="Y106" s="25">
        <v>46687</v>
      </c>
      <c r="Z106" s="25">
        <v>64</v>
      </c>
      <c r="AA106" s="25">
        <v>7</v>
      </c>
      <c r="AB106" s="25">
        <v>1014</v>
      </c>
      <c r="AC106" s="25">
        <v>1565</v>
      </c>
      <c r="AD106" s="25">
        <v>67446</v>
      </c>
      <c r="AE106" s="25">
        <v>138</v>
      </c>
      <c r="AF106" s="25">
        <v>1363</v>
      </c>
      <c r="AG106" s="25">
        <v>635</v>
      </c>
      <c r="AH106" s="25">
        <v>109</v>
      </c>
      <c r="AI106" s="25">
        <v>122</v>
      </c>
      <c r="AJ106" s="25">
        <v>1705</v>
      </c>
      <c r="AK106" s="25">
        <v>4696</v>
      </c>
      <c r="AL106" s="25">
        <v>1998</v>
      </c>
      <c r="AM106" s="25">
        <v>13</v>
      </c>
      <c r="AN106" s="25">
        <v>273</v>
      </c>
      <c r="AO106" s="25">
        <v>118</v>
      </c>
      <c r="AP106" s="25">
        <v>258</v>
      </c>
      <c r="AQ106" s="25">
        <v>900</v>
      </c>
      <c r="AR106" s="25">
        <v>15970</v>
      </c>
      <c r="AS106" s="25">
        <v>26</v>
      </c>
      <c r="AT106" s="25">
        <v>24983</v>
      </c>
      <c r="AU106" s="25">
        <v>365</v>
      </c>
      <c r="AV106" s="25">
        <v>19</v>
      </c>
      <c r="AW106" s="25">
        <v>46</v>
      </c>
      <c r="AX106" s="25">
        <v>13813</v>
      </c>
      <c r="AY106" s="25">
        <v>991</v>
      </c>
      <c r="AZ106" s="25">
        <v>593</v>
      </c>
      <c r="BA106" s="25">
        <v>579</v>
      </c>
      <c r="BB106" s="25">
        <v>355</v>
      </c>
      <c r="BC106" s="25">
        <v>139</v>
      </c>
      <c r="BD106" s="25">
        <v>1587</v>
      </c>
      <c r="BE106" s="25">
        <v>254</v>
      </c>
      <c r="BF106" s="25">
        <v>147</v>
      </c>
      <c r="BG106" s="25">
        <v>168</v>
      </c>
      <c r="BH106" s="25">
        <v>328</v>
      </c>
      <c r="BI106" s="25">
        <v>939</v>
      </c>
      <c r="BJ106" s="25">
        <v>1276</v>
      </c>
      <c r="BK106" s="25">
        <v>1037</v>
      </c>
      <c r="BL106" s="25">
        <v>68128</v>
      </c>
      <c r="BM106" s="25">
        <v>1019</v>
      </c>
      <c r="BN106" s="25">
        <v>199</v>
      </c>
      <c r="BO106" s="25">
        <v>653</v>
      </c>
      <c r="BP106" s="25">
        <v>937</v>
      </c>
      <c r="BQ106" s="25">
        <v>110</v>
      </c>
      <c r="BR106" s="25">
        <v>146</v>
      </c>
      <c r="BS106" s="25">
        <v>45</v>
      </c>
      <c r="BT106" s="25">
        <v>75</v>
      </c>
      <c r="BU106" s="25">
        <v>18</v>
      </c>
      <c r="BV106" s="25">
        <v>286</v>
      </c>
      <c r="BW106" s="25">
        <v>787</v>
      </c>
      <c r="BX106" s="25">
        <v>644</v>
      </c>
      <c r="BY106" s="25">
        <v>197</v>
      </c>
      <c r="BZ106" s="25">
        <v>561</v>
      </c>
      <c r="CA106" s="25">
        <v>190</v>
      </c>
      <c r="CB106" s="25">
        <v>1</v>
      </c>
      <c r="CC106" s="25">
        <v>76</v>
      </c>
      <c r="CD106" s="25">
        <v>185</v>
      </c>
      <c r="CE106" s="25">
        <v>1268</v>
      </c>
      <c r="CF106" s="25">
        <v>5597</v>
      </c>
      <c r="CG106" s="25">
        <v>200</v>
      </c>
      <c r="CH106" s="25">
        <v>459</v>
      </c>
      <c r="CI106" s="25">
        <v>697</v>
      </c>
      <c r="CJ106" s="25">
        <v>1164</v>
      </c>
      <c r="CK106" s="25">
        <v>2039</v>
      </c>
      <c r="CL106" s="25">
        <v>712</v>
      </c>
      <c r="CM106" s="25">
        <v>1389</v>
      </c>
      <c r="CN106" s="25">
        <v>822</v>
      </c>
      <c r="CO106" s="25">
        <v>7445</v>
      </c>
      <c r="CP106" s="25">
        <v>187</v>
      </c>
      <c r="CQ106" s="25">
        <v>11</v>
      </c>
      <c r="CR106" s="25">
        <v>8698</v>
      </c>
      <c r="CS106" s="25">
        <v>1035</v>
      </c>
      <c r="CT106" s="25">
        <v>6293</v>
      </c>
      <c r="CU106" s="25">
        <v>23240</v>
      </c>
      <c r="CV106" s="25">
        <v>4782</v>
      </c>
      <c r="CW106" s="25">
        <v>323</v>
      </c>
      <c r="CX106" s="25">
        <v>258</v>
      </c>
      <c r="CY106" s="25">
        <v>39</v>
      </c>
      <c r="CZ106" s="25">
        <v>1647</v>
      </c>
      <c r="DA106" s="25">
        <v>65</v>
      </c>
      <c r="DB106" s="25">
        <v>124</v>
      </c>
      <c r="DC106" s="25">
        <v>18</v>
      </c>
      <c r="DD106" s="25">
        <v>4695</v>
      </c>
      <c r="DE106" s="25">
        <v>111</v>
      </c>
      <c r="DF106" s="25">
        <v>57</v>
      </c>
      <c r="DG106" s="25">
        <v>149</v>
      </c>
      <c r="DH106" s="25">
        <v>401</v>
      </c>
      <c r="DI106" s="25">
        <v>18</v>
      </c>
      <c r="DJ106" s="25">
        <v>418</v>
      </c>
      <c r="DK106" s="25">
        <v>6</v>
      </c>
      <c r="DL106" s="25">
        <v>38</v>
      </c>
      <c r="DM106" s="25">
        <v>175</v>
      </c>
      <c r="DN106" s="25">
        <v>164589</v>
      </c>
      <c r="DO106" s="25">
        <v>211</v>
      </c>
      <c r="DP106" s="25">
        <v>10</v>
      </c>
      <c r="DQ106" s="25">
        <v>497</v>
      </c>
      <c r="DR106" s="25">
        <v>158758</v>
      </c>
      <c r="DS106" s="25">
        <v>1550</v>
      </c>
      <c r="DT106" s="25">
        <v>2534</v>
      </c>
      <c r="DU106" s="25">
        <v>530</v>
      </c>
      <c r="DV106" s="25">
        <v>1163</v>
      </c>
      <c r="DW106" s="25">
        <v>74</v>
      </c>
      <c r="DX106" s="25">
        <v>76</v>
      </c>
      <c r="DY106" s="25">
        <v>9</v>
      </c>
      <c r="DZ106" s="25">
        <v>661</v>
      </c>
      <c r="EA106" s="25">
        <v>2583</v>
      </c>
      <c r="EB106" s="25">
        <v>1792</v>
      </c>
      <c r="EC106" s="25">
        <v>29451</v>
      </c>
      <c r="ED106" s="25">
        <v>9096</v>
      </c>
      <c r="EE106" s="25">
        <v>91472</v>
      </c>
      <c r="EF106" s="25">
        <v>1847</v>
      </c>
      <c r="EG106" s="25">
        <v>19648</v>
      </c>
      <c r="EH106" s="25">
        <v>15555</v>
      </c>
      <c r="EI106" s="25">
        <v>199414</v>
      </c>
      <c r="EJ106" s="25">
        <v>364</v>
      </c>
      <c r="EK106" s="25">
        <v>14153</v>
      </c>
      <c r="EL106" s="25">
        <v>449</v>
      </c>
      <c r="EM106" s="25">
        <v>2835</v>
      </c>
      <c r="EN106" s="25">
        <v>363</v>
      </c>
      <c r="EO106" s="25">
        <v>10752</v>
      </c>
      <c r="EP106" s="25">
        <v>3288</v>
      </c>
      <c r="EQ106" s="25">
        <v>695</v>
      </c>
      <c r="ER106" s="25">
        <v>818</v>
      </c>
      <c r="ES106" s="25">
        <v>710</v>
      </c>
      <c r="ET106" s="25">
        <v>124</v>
      </c>
      <c r="EU106" s="25">
        <v>82</v>
      </c>
      <c r="EV106" s="25">
        <v>1449</v>
      </c>
      <c r="EW106" s="25">
        <v>3729</v>
      </c>
      <c r="EX106" s="25">
        <v>128</v>
      </c>
      <c r="EY106" s="25">
        <v>5820</v>
      </c>
      <c r="EZ106" s="25">
        <v>226</v>
      </c>
      <c r="FA106" s="25">
        <v>450</v>
      </c>
      <c r="FB106" s="25">
        <v>7</v>
      </c>
      <c r="FC106" s="25">
        <v>334</v>
      </c>
      <c r="FD106" s="25">
        <v>15529</v>
      </c>
      <c r="FE106" s="25">
        <v>3481</v>
      </c>
      <c r="FF106" s="25">
        <v>95</v>
      </c>
      <c r="FG106" s="25">
        <v>38</v>
      </c>
      <c r="FH106" s="25">
        <v>321</v>
      </c>
      <c r="FI106" s="25">
        <v>4120</v>
      </c>
      <c r="FJ106" s="25">
        <v>16</v>
      </c>
      <c r="FK106" s="25">
        <v>52</v>
      </c>
      <c r="FL106" s="25">
        <v>100</v>
      </c>
      <c r="FM106" s="25">
        <v>16</v>
      </c>
      <c r="FN106" s="25">
        <v>74</v>
      </c>
      <c r="FO106" s="25">
        <v>38245</v>
      </c>
      <c r="FP106" s="25">
        <v>1472</v>
      </c>
      <c r="FQ106" s="25">
        <v>13</v>
      </c>
      <c r="FR106" s="25">
        <v>701</v>
      </c>
      <c r="FS106" s="25">
        <v>1337</v>
      </c>
      <c r="FT106" s="25">
        <v>1399</v>
      </c>
      <c r="FU106" s="25">
        <v>7599</v>
      </c>
      <c r="FV106" s="25">
        <v>2049</v>
      </c>
      <c r="FW106" s="25">
        <v>13915</v>
      </c>
      <c r="FX106" s="25">
        <v>6021</v>
      </c>
      <c r="FY106" s="25">
        <v>8</v>
      </c>
      <c r="FZ106" s="25">
        <v>228</v>
      </c>
      <c r="GA106" s="25">
        <v>28699</v>
      </c>
      <c r="GB106" s="25">
        <v>7777</v>
      </c>
      <c r="GC106" s="25">
        <v>11902</v>
      </c>
      <c r="GD106" s="25">
        <v>24027</v>
      </c>
      <c r="GE106" s="25">
        <v>11244</v>
      </c>
      <c r="GF106" s="25">
        <v>11339</v>
      </c>
      <c r="GG106" s="25">
        <v>87147</v>
      </c>
      <c r="GH106" s="25">
        <v>207</v>
      </c>
      <c r="GI106" s="25">
        <v>15</v>
      </c>
      <c r="GJ106" s="25">
        <v>15</v>
      </c>
      <c r="GK106" s="25">
        <v>538</v>
      </c>
      <c r="GL106" s="25">
        <v>18811</v>
      </c>
      <c r="GM106" s="25">
        <v>736</v>
      </c>
      <c r="GN106" s="25">
        <v>8275</v>
      </c>
      <c r="GO106" s="25">
        <v>11</v>
      </c>
      <c r="GP106" s="25">
        <v>14423</v>
      </c>
      <c r="GQ106" s="25">
        <v>1381</v>
      </c>
      <c r="GR106" s="25">
        <v>1402</v>
      </c>
      <c r="GS106" s="25">
        <v>480</v>
      </c>
      <c r="GT106" s="25">
        <v>4793</v>
      </c>
      <c r="GU106" s="25">
        <v>209465</v>
      </c>
      <c r="GV106" s="25">
        <v>588</v>
      </c>
      <c r="GW106" s="25">
        <v>275</v>
      </c>
      <c r="GX106" s="25">
        <v>10</v>
      </c>
      <c r="GY106" s="25">
        <v>18926</v>
      </c>
      <c r="GZ106" s="25">
        <v>29164</v>
      </c>
      <c r="HA106" s="25">
        <v>429</v>
      </c>
      <c r="HB106" s="25">
        <v>299</v>
      </c>
      <c r="HC106" s="25">
        <v>2931</v>
      </c>
      <c r="HD106" s="25">
        <v>98</v>
      </c>
      <c r="HE106" s="25">
        <v>116</v>
      </c>
      <c r="HF106" s="25">
        <v>967</v>
      </c>
      <c r="HG106" s="25">
        <v>112261</v>
      </c>
      <c r="HH106" s="25">
        <v>79</v>
      </c>
      <c r="HI106" s="25">
        <v>9009</v>
      </c>
      <c r="HJ106" s="25">
        <v>10839</v>
      </c>
      <c r="HK106" s="25">
        <v>110</v>
      </c>
      <c r="HL106" s="25">
        <v>70</v>
      </c>
      <c r="HM106" s="25">
        <v>525</v>
      </c>
      <c r="HN106" s="25">
        <v>141</v>
      </c>
      <c r="HO106" s="25">
        <v>308</v>
      </c>
      <c r="HP106" s="25">
        <v>11</v>
      </c>
      <c r="HQ106" s="25">
        <v>157149</v>
      </c>
      <c r="HR106" s="25">
        <v>620</v>
      </c>
      <c r="HS106" s="25">
        <v>988197</v>
      </c>
      <c r="HT106" s="25">
        <v>1904</v>
      </c>
      <c r="HU106" s="25">
        <v>329</v>
      </c>
      <c r="HV106" s="25">
        <v>270</v>
      </c>
      <c r="HW106" s="25">
        <v>88</v>
      </c>
      <c r="HX106" s="25">
        <v>32</v>
      </c>
      <c r="HY106" s="25">
        <v>0</v>
      </c>
      <c r="HZ106" s="25">
        <v>16</v>
      </c>
      <c r="IA106" s="25">
        <v>18</v>
      </c>
      <c r="IB106" s="25">
        <v>76</v>
      </c>
      <c r="IC106" s="25">
        <v>43</v>
      </c>
      <c r="ID106" s="25">
        <v>24</v>
      </c>
      <c r="IE106" s="25">
        <v>18</v>
      </c>
      <c r="IF106" s="25">
        <v>0</v>
      </c>
      <c r="IG106" s="25">
        <v>19</v>
      </c>
      <c r="IH106" s="25">
        <v>61</v>
      </c>
      <c r="II106" s="25">
        <v>342</v>
      </c>
      <c r="IJ106" s="25">
        <v>73</v>
      </c>
      <c r="IK106" s="25">
        <v>408</v>
      </c>
      <c r="IL106" s="25">
        <v>15</v>
      </c>
      <c r="IM106" s="25">
        <v>5</v>
      </c>
      <c r="IN106" s="25">
        <v>11</v>
      </c>
      <c r="IO106" s="25">
        <v>780</v>
      </c>
      <c r="IP106" s="25">
        <v>146</v>
      </c>
      <c r="IQ106" s="25">
        <v>3</v>
      </c>
      <c r="IR106" s="25">
        <v>6</v>
      </c>
      <c r="IS106" s="25">
        <v>12</v>
      </c>
      <c r="IT106" s="25">
        <v>9</v>
      </c>
      <c r="IU106" s="25">
        <v>22</v>
      </c>
      <c r="IV106" s="25">
        <v>11</v>
      </c>
      <c r="IW106" s="25">
        <v>93</v>
      </c>
      <c r="IX106" s="25">
        <v>5</v>
      </c>
      <c r="IY106" s="25">
        <v>36</v>
      </c>
      <c r="IZ106" s="25">
        <v>13</v>
      </c>
      <c r="JA106" s="25">
        <v>1</v>
      </c>
      <c r="JB106" s="25">
        <v>6</v>
      </c>
      <c r="JC106" s="25">
        <v>6</v>
      </c>
      <c r="JD106" s="25">
        <v>4</v>
      </c>
      <c r="JE106" s="25">
        <v>1</v>
      </c>
      <c r="JF106" s="25">
        <v>0</v>
      </c>
      <c r="JG106" s="25">
        <v>0</v>
      </c>
      <c r="JH106" s="25">
        <v>0</v>
      </c>
      <c r="JI106" s="25">
        <v>141</v>
      </c>
      <c r="JJ106" s="25">
        <v>14</v>
      </c>
      <c r="JK106" s="25">
        <v>1389</v>
      </c>
      <c r="JL106" s="25">
        <v>57</v>
      </c>
      <c r="JM106" s="25">
        <v>6539</v>
      </c>
      <c r="JN106" s="25">
        <v>345</v>
      </c>
      <c r="JO106" s="25">
        <v>6725</v>
      </c>
      <c r="JP106" s="25">
        <v>3069</v>
      </c>
      <c r="JQ106" s="25">
        <v>44966</v>
      </c>
      <c r="JR106" s="25">
        <v>13879</v>
      </c>
      <c r="JS106" s="25">
        <v>25997</v>
      </c>
      <c r="JT106" s="25">
        <v>4162</v>
      </c>
      <c r="JU106" s="25">
        <v>3892</v>
      </c>
      <c r="JV106" s="25">
        <v>32138</v>
      </c>
      <c r="JW106" s="25">
        <v>24302</v>
      </c>
      <c r="JX106" s="25">
        <v>607</v>
      </c>
      <c r="JY106" s="25">
        <v>1897</v>
      </c>
      <c r="JZ106" s="25">
        <v>45883</v>
      </c>
      <c r="KA106" s="25">
        <v>15961</v>
      </c>
      <c r="KB106" s="25">
        <v>5868</v>
      </c>
      <c r="KC106" s="25">
        <v>3473</v>
      </c>
      <c r="KD106" s="25">
        <v>4156</v>
      </c>
      <c r="KE106" s="25">
        <v>27068</v>
      </c>
      <c r="KF106" s="25">
        <v>1023</v>
      </c>
      <c r="KG106" s="25">
        <v>19487</v>
      </c>
      <c r="KH106" s="25">
        <v>56462</v>
      </c>
      <c r="KI106" s="25">
        <v>38210</v>
      </c>
      <c r="KJ106" s="25">
        <v>3811</v>
      </c>
      <c r="KK106" s="25">
        <v>6094</v>
      </c>
      <c r="KL106" s="25">
        <v>7305</v>
      </c>
      <c r="KM106" s="25">
        <v>449</v>
      </c>
      <c r="KN106" s="25">
        <v>3358</v>
      </c>
      <c r="KO106" s="25">
        <v>4700</v>
      </c>
      <c r="KP106" s="25">
        <v>1938</v>
      </c>
      <c r="KQ106" s="25">
        <v>111188</v>
      </c>
      <c r="KR106" s="25">
        <v>2825</v>
      </c>
      <c r="KS106" s="25">
        <v>291996</v>
      </c>
      <c r="KT106" s="25">
        <v>9428</v>
      </c>
      <c r="KU106" s="25">
        <v>942</v>
      </c>
      <c r="KV106" s="25">
        <v>16325</v>
      </c>
      <c r="KW106" s="25">
        <v>3281</v>
      </c>
      <c r="KX106" s="25">
        <v>2354</v>
      </c>
      <c r="KY106" s="25">
        <v>43558</v>
      </c>
      <c r="KZ106" s="25">
        <v>7708</v>
      </c>
      <c r="LA106" s="25">
        <v>5613</v>
      </c>
      <c r="LB106" s="25">
        <v>2244</v>
      </c>
      <c r="LC106" s="25">
        <v>9918</v>
      </c>
      <c r="LD106" s="25">
        <v>25321</v>
      </c>
      <c r="LE106" s="25">
        <v>4236</v>
      </c>
      <c r="LF106" s="25">
        <v>855</v>
      </c>
      <c r="LG106" s="25">
        <v>13538</v>
      </c>
      <c r="LH106" s="25">
        <v>13686</v>
      </c>
      <c r="LI106" s="25">
        <v>1063</v>
      </c>
      <c r="LJ106" s="25">
        <v>6081</v>
      </c>
      <c r="LK106" s="25">
        <v>520</v>
      </c>
      <c r="LL106" s="25">
        <v>49</v>
      </c>
      <c r="LM106" s="25">
        <v>103</v>
      </c>
      <c r="LN106" s="11">
        <f ca="1">$A106 - TST!Sweden100dt + 1</f>
        <v>52</v>
      </c>
      <c r="LO106" s="20">
        <f ca="1">INDEX(OFFSET(TST!HeadRow,ROW()-ROW(TST!HeadRow),0,1,COLUMNS(TST!HeadRow)),1,MATCH(LO$5,TST!HeadRow,0))/LO$8</f>
        <v>18500.488758553278</v>
      </c>
      <c r="LP106" s="278">
        <f ca="1">$A106 - TST!Spain100dt + 1</f>
        <v>52</v>
      </c>
      <c r="LQ106" s="20">
        <f ca="1">INDEX(OFFSET(TST!HeadRow,ROW()-ROW(TST!HeadRow),0,1,COLUMNS(TST!HeadRow)),1,MATCH(LQ$5,TST!HeadRow,0))/LQ$8</f>
        <v>44623.988069876439</v>
      </c>
      <c r="LR106" s="285">
        <f ca="1">$A106 - TST!Victoria100dt + 1</f>
        <v>43</v>
      </c>
      <c r="LS106" s="20">
        <f t="shared" si="10"/>
        <v>2034.9977372152662</v>
      </c>
      <c r="LT106" s="278">
        <f ca="1">$A106 - TST!Iran100dt + 1</f>
        <v>58</v>
      </c>
      <c r="LU106" s="20">
        <f ca="1">INDEX(OFFSET(TST!HeadRow,ROW()-ROW(TST!HeadRow),0,1,COLUMNS(TST!HeadRow)),1,MATCH(LU$5,TST!HeadRow,0))/LU$8</f>
        <v>10919.031191433995</v>
      </c>
      <c r="LV106" s="278">
        <f ca="1">$A106 - TST!Japan100dt + 1</f>
        <v>34</v>
      </c>
      <c r="LW106" s="20">
        <f ca="1">INDEX(OFFSET(TST!HeadRow,ROW()-ROW(TST!HeadRow),0,1,COLUMNS(TST!HeadRow)),1,MATCH(LW$5,TST!HeadRow,0))/LW$8</f>
        <v>1118.3350425746034</v>
      </c>
      <c r="LX106" s="278">
        <f ca="1">$A106 - TST!Queensland100dt + 1</f>
        <v>44</v>
      </c>
      <c r="LY106" s="20">
        <f ca="1">INDEX(OFFSET(TST!HeadRow,ROW()-ROW(TST!HeadRow),0,1,COLUMNS(TST!HeadRow)),1,MATCH(LY$5,TST!HeadRow,0))/LY$8</f>
        <v>2019.3722899505831</v>
      </c>
      <c r="LZ106" s="278">
        <f ca="1">$A106 - TST!Tasmania100dt + 1</f>
        <v>44</v>
      </c>
      <c r="MA106" s="20">
        <f ca="1">INDEX(OFFSET(TST!HeadRow,ROW()-ROW(TST!HeadRow),0,1,COLUMNS(TST!HeadRow)),1,MATCH(MA$5,TST!HeadRow,0))/MA$8</f>
        <v>4155.3398058252433</v>
      </c>
      <c r="MB106" s="278">
        <f ca="1">$A106 - TST!SouthAustralia100dt + 1</f>
        <v>45</v>
      </c>
      <c r="MC106" s="20">
        <f ca="1">INDEX(OFFSET(TST!HeadRow,ROW()-ROW(TST!HeadRow),0,1,COLUMNS(TST!HeadRow)),1,MATCH(MC$5,TST!HeadRow,0))/MC$8</f>
        <v>2622.754491017964</v>
      </c>
      <c r="MD106" s="11">
        <f ca="1">$A106 - TST!AustralianCapitalTerritory100dt + 1</f>
        <v>39</v>
      </c>
      <c r="ME106" s="20">
        <f ca="1">INDEX(OFFSET(TST!HeadRow,ROW()-ROW(TST!HeadRow),0,1,COLUMNS(TST!HeadRow)),1,MATCH(ME$5,TST!HeadRow,0))/ME$8</f>
        <v>2476.2883707891419</v>
      </c>
      <c r="MF106" s="11">
        <f ca="1">$A106 - TST!NorthernTerritory100dt + 1</f>
        <v>39</v>
      </c>
      <c r="MG106" s="20">
        <f ca="1">INDEX(OFFSET(TST!HeadRow,ROW()-ROW(TST!HeadRow),0,1,COLUMNS(TST!HeadRow)),1,MATCH(MG$5,TST!HeadRow,0))/MG$8</f>
        <v>1321.0974545282972</v>
      </c>
      <c r="MH106" s="278">
        <f ca="1">$A106 - TST!WesternAustralia100dt + 1</f>
        <v>43</v>
      </c>
      <c r="MI106" s="20">
        <f ca="1">INDEX(OFFSET(TST!HeadRow,ROW()-ROW(TST!HeadRow),0,1,COLUMNS(TST!HeadRow)),1,MATCH(MI$5,TST!HeadRow,0))/MI$8</f>
        <v>2120.5098493626883</v>
      </c>
      <c r="MJ106" s="278">
        <f ca="1">$A106 - TST!Germany100dt + 1</f>
        <v>51</v>
      </c>
      <c r="MK106" s="20">
        <f ca="1">INDEX(OFFSET(TST!HeadRow,ROW()-ROW(TST!HeadRow),0,1,COLUMNS(TST!HeadRow)),1,MATCH(MK$5,TST!HeadRow,0))/MK$8</f>
        <v>19122.86196097326</v>
      </c>
      <c r="ML106" s="278">
        <f ca="1">$A106 - TST!Denmark100dt + 1</f>
        <v>50</v>
      </c>
      <c r="MM106" s="20">
        <f ca="1">INDEX(OFFSET(TST!HeadRow,ROW()-ROW(TST!HeadRow),0,1,COLUMNS(TST!HeadRow)),1,MATCH(MM$5,TST!HeadRow,0))/MM$8</f>
        <v>14981.054081984154</v>
      </c>
      <c r="MN106" s="278">
        <f ca="1">$A106 - TST!SouthAfrica100dt + 1</f>
        <v>34</v>
      </c>
      <c r="MO106" s="20">
        <f ca="1">INDEX(OFFSET(TST!HeadRow,ROW()-ROW(TST!HeadRow),0,1,COLUMNS(TST!HeadRow)),1,MATCH(MO$5,TST!HeadRow,0))/MO$8</f>
        <v>829.52578746971278</v>
      </c>
      <c r="MP106" s="278">
        <f ca="1">$A106 - TST!UnitedKingdom100dt + 1</f>
        <v>46</v>
      </c>
      <c r="MQ106" s="20">
        <f ca="1">INDEX(OFFSET(TST!HeadRow,ROW()-ROW(TST!HeadRow),0,1,COLUMNS(TST!HeadRow)),1,MATCH(MQ$5,TST!HeadRow,0))/MQ$8</f>
        <v>23652.769416014449</v>
      </c>
      <c r="MR106" s="278">
        <f ca="1">$A106 - TST!Ireland100dt + 1</f>
        <v>46</v>
      </c>
      <c r="MS106" s="20">
        <f ca="1">INDEX(OFFSET(TST!HeadRow,ROW()-ROW(TST!HeadRow),0,1,COLUMNS(TST!HeadRow)),1,MATCH(MS$5,TST!HeadRow,0))/MS$8</f>
        <v>40097.959183673469</v>
      </c>
      <c r="MT106" s="278">
        <f ca="1">$A106 - TST!Italy100dt + 1</f>
        <v>61</v>
      </c>
      <c r="MU106" s="20">
        <f ca="1">INDEX(OFFSET(TST!HeadRow,ROW()-ROW(TST!HeadRow),0,1,COLUMNS(TST!HeadRow)),1,MATCH(MU$5,TST!HeadRow,0))/MU$8</f>
        <v>32969.165908903036</v>
      </c>
      <c r="MV106" s="20">
        <f ca="1">$A106 - TST!US100dt + 1</f>
        <v>44</v>
      </c>
      <c r="MW106" s="20">
        <f ca="1">INDEX(OFFSET(TST!HeadRow,ROW()-ROW(TST!HeadRow),0,1,COLUMNS(TST!HeadRow)),1,MATCH(MW$5,TST!HeadRow,0))/MW$8</f>
        <v>30015.605063857533</v>
      </c>
      <c r="MX106" s="278">
        <f ca="1">$A106 - TST!AustraliaSum100dt + 1</f>
        <v>44</v>
      </c>
      <c r="MY106" s="366">
        <f t="shared" si="9"/>
        <v>2649.8186405929664</v>
      </c>
      <c r="MZ106" s="278">
        <f ca="1">$A106 - TST!NewSouthWales100dt + 1</f>
        <v>46</v>
      </c>
      <c r="NA106" s="366">
        <f ca="1">INDEX(OFFSET(TST!HeadRow,ROW()-ROW(TST!HeadRow),0,1,COLUMNS(TST!HeadRow)),1,MATCH(NA$5,TST!HeadRow,0))/NA$8</f>
        <v>3717.8217821782177</v>
      </c>
      <c r="NB106" s="20">
        <f ca="1">$A106 - TST!Taiwan100dt + 1</f>
        <v>33</v>
      </c>
      <c r="NC106" s="366">
        <f ca="1">INDEX(OFFSET(TST!HeadRow,ROW()-ROW(TST!HeadRow),0,1,COLUMNS(TST!HeadRow)),1,MATCH(NC$5,TST!HeadRow,0))/NC$8</f>
        <v>180.1969666255896</v>
      </c>
      <c r="ND106" s="20">
        <f ca="1">$A106 - TST!Hubei100dt + 1</f>
        <v>94</v>
      </c>
      <c r="NE106" s="20">
        <f ca="1">INDEX(OFFSET(TST!HeadRow,ROW()-ROW(TST!HeadRow),0,1,COLUMNS(TST!HeadRow)),1,MATCH(NE$5,TST!HeadRow,0))/NE$8</f>
        <v>11645.811965811967</v>
      </c>
      <c r="NF106" s="20">
        <f ca="1">$A106 - TST!HongKong100dt + 1</f>
        <v>64</v>
      </c>
      <c r="NG106" s="20">
        <f ca="1">INDEX(OFFSET(TST!HeadRow,ROW()-ROW(TST!HeadRow),0,1,COLUMNS(TST!HeadRow)),1,MATCH(NG$5,TST!HeadRow,0))/NG$8</f>
        <v>1391.7594953697489</v>
      </c>
    </row>
    <row r="107" spans="1:371" x14ac:dyDescent="0.25">
      <c r="A107" s="156">
        <v>43949</v>
      </c>
      <c r="B107" s="25">
        <v>1828</v>
      </c>
      <c r="C107" s="25">
        <v>750</v>
      </c>
      <c r="D107" s="25">
        <v>3649</v>
      </c>
      <c r="E107" s="25">
        <v>743</v>
      </c>
      <c r="F107" s="25">
        <v>27</v>
      </c>
      <c r="G107" s="25">
        <v>24</v>
      </c>
      <c r="H107" s="25">
        <v>4127</v>
      </c>
      <c r="I107" s="25">
        <v>1867</v>
      </c>
      <c r="J107" s="25">
        <v>106</v>
      </c>
      <c r="K107" s="292">
        <v>3016</v>
      </c>
      <c r="L107" s="25">
        <v>28</v>
      </c>
      <c r="M107" s="289">
        <v>1034</v>
      </c>
      <c r="N107" s="25">
        <v>438</v>
      </c>
      <c r="O107" s="40">
        <v>218</v>
      </c>
      <c r="P107" s="286">
        <v>1354</v>
      </c>
      <c r="Q107" s="25">
        <v>550</v>
      </c>
      <c r="R107" s="25">
        <v>15357</v>
      </c>
      <c r="S107" s="25">
        <v>1717</v>
      </c>
      <c r="T107" s="25">
        <v>80</v>
      </c>
      <c r="U107" s="25">
        <v>2811</v>
      </c>
      <c r="V107" s="25">
        <v>6462</v>
      </c>
      <c r="W107" s="25">
        <v>80</v>
      </c>
      <c r="X107" s="25">
        <v>12208</v>
      </c>
      <c r="Y107" s="25">
        <v>47334</v>
      </c>
      <c r="Z107" s="25">
        <v>64</v>
      </c>
      <c r="AA107" s="25">
        <v>7</v>
      </c>
      <c r="AB107" s="25">
        <v>1014</v>
      </c>
      <c r="AC107" s="25">
        <v>1585</v>
      </c>
      <c r="AD107" s="25">
        <v>73235</v>
      </c>
      <c r="AE107" s="25">
        <v>138</v>
      </c>
      <c r="AF107" s="25">
        <v>1399</v>
      </c>
      <c r="AG107" s="25">
        <v>638</v>
      </c>
      <c r="AH107" s="25">
        <v>114</v>
      </c>
      <c r="AI107" s="25">
        <v>122</v>
      </c>
      <c r="AJ107" s="25">
        <v>1705</v>
      </c>
      <c r="AK107" s="25">
        <v>4850</v>
      </c>
      <c r="AL107" s="25">
        <v>2053</v>
      </c>
      <c r="AM107" s="25">
        <v>13</v>
      </c>
      <c r="AN107" s="25">
        <v>273</v>
      </c>
      <c r="AO107" s="25">
        <v>118</v>
      </c>
      <c r="AP107" s="25">
        <v>258</v>
      </c>
      <c r="AQ107" s="25">
        <v>915</v>
      </c>
      <c r="AR107" s="25">
        <v>16500</v>
      </c>
      <c r="AS107" s="25">
        <v>27</v>
      </c>
      <c r="AT107" s="25">
        <v>25761</v>
      </c>
      <c r="AU107" s="25">
        <v>366</v>
      </c>
      <c r="AV107" s="25">
        <v>50</v>
      </c>
      <c r="AW107" s="25">
        <v>52</v>
      </c>
      <c r="AX107" s="25">
        <v>14365</v>
      </c>
      <c r="AY107" s="25">
        <v>991</v>
      </c>
      <c r="AZ107" s="25">
        <v>593</v>
      </c>
      <c r="BA107" s="25">
        <v>579</v>
      </c>
      <c r="BB107" s="25">
        <v>355</v>
      </c>
      <c r="BC107" s="25">
        <v>139</v>
      </c>
      <c r="BD107" s="25">
        <v>1588</v>
      </c>
      <c r="BE107" s="25">
        <v>254</v>
      </c>
      <c r="BF107" s="25">
        <v>147</v>
      </c>
      <c r="BG107" s="25">
        <v>168</v>
      </c>
      <c r="BH107" s="25">
        <v>328</v>
      </c>
      <c r="BI107" s="25">
        <v>939</v>
      </c>
      <c r="BJ107" s="25">
        <v>1276</v>
      </c>
      <c r="BK107" s="25">
        <v>1037</v>
      </c>
      <c r="BL107" s="25">
        <v>68128</v>
      </c>
      <c r="BM107" s="25">
        <v>1019</v>
      </c>
      <c r="BN107" s="25">
        <v>199</v>
      </c>
      <c r="BO107" s="25">
        <v>653</v>
      </c>
      <c r="BP107" s="25">
        <v>937</v>
      </c>
      <c r="BQ107" s="25">
        <v>110</v>
      </c>
      <c r="BR107" s="25">
        <v>146</v>
      </c>
      <c r="BS107" s="25">
        <v>45</v>
      </c>
      <c r="BT107" s="25">
        <v>75</v>
      </c>
      <c r="BU107" s="25">
        <v>18</v>
      </c>
      <c r="BV107" s="25">
        <v>306</v>
      </c>
      <c r="BW107" s="25">
        <v>787</v>
      </c>
      <c r="BX107" s="25">
        <v>645</v>
      </c>
      <c r="BY107" s="25">
        <v>197</v>
      </c>
      <c r="BZ107" s="25">
        <v>561</v>
      </c>
      <c r="CA107" s="25">
        <v>190</v>
      </c>
      <c r="CB107" s="25">
        <v>1</v>
      </c>
      <c r="CC107" s="25">
        <v>76</v>
      </c>
      <c r="CD107" s="25">
        <v>185</v>
      </c>
      <c r="CE107" s="25">
        <v>1268</v>
      </c>
      <c r="CF107" s="25">
        <v>5949</v>
      </c>
      <c r="CG107" s="25">
        <v>207</v>
      </c>
      <c r="CH107" s="25">
        <v>471</v>
      </c>
      <c r="CI107" s="25">
        <v>705</v>
      </c>
      <c r="CJ107" s="25">
        <v>1183</v>
      </c>
      <c r="CK107" s="25">
        <v>2047</v>
      </c>
      <c r="CL107" s="25">
        <v>712</v>
      </c>
      <c r="CM107" s="25">
        <v>1437</v>
      </c>
      <c r="CN107" s="25">
        <v>837</v>
      </c>
      <c r="CO107" s="25">
        <v>7504</v>
      </c>
      <c r="CP107" s="25">
        <v>187</v>
      </c>
      <c r="CQ107" s="25">
        <v>11</v>
      </c>
      <c r="CR107" s="25">
        <v>8851</v>
      </c>
      <c r="CS107" s="25">
        <v>1072</v>
      </c>
      <c r="CT107" s="25">
        <v>6416</v>
      </c>
      <c r="CU107" s="25">
        <v>24258</v>
      </c>
      <c r="CV107" s="25">
        <v>5042</v>
      </c>
      <c r="CW107" s="25">
        <v>345</v>
      </c>
      <c r="CX107" s="25">
        <v>315</v>
      </c>
      <c r="CY107" s="25">
        <v>39</v>
      </c>
      <c r="CZ107" s="25">
        <v>1660</v>
      </c>
      <c r="DA107" s="25">
        <v>71</v>
      </c>
      <c r="DB107" s="25">
        <v>126</v>
      </c>
      <c r="DC107" s="25">
        <v>18</v>
      </c>
      <c r="DD107" s="25">
        <v>4740</v>
      </c>
      <c r="DE107" s="25">
        <v>125</v>
      </c>
      <c r="DF107" s="25">
        <v>58</v>
      </c>
      <c r="DG107" s="25">
        <v>149</v>
      </c>
      <c r="DH107" s="25">
        <v>460</v>
      </c>
      <c r="DI107" s="25">
        <v>18</v>
      </c>
      <c r="DJ107" s="25">
        <v>418</v>
      </c>
      <c r="DK107" s="25">
        <v>6</v>
      </c>
      <c r="DL107" s="25">
        <v>38</v>
      </c>
      <c r="DM107" s="25">
        <v>175</v>
      </c>
      <c r="DN107" s="25">
        <v>167605</v>
      </c>
      <c r="DO107" s="25">
        <v>238</v>
      </c>
      <c r="DP107" s="25">
        <v>10</v>
      </c>
      <c r="DQ107" s="25">
        <v>511</v>
      </c>
      <c r="DR107" s="25">
        <v>159912</v>
      </c>
      <c r="DS107" s="25">
        <v>1671</v>
      </c>
      <c r="DT107" s="25">
        <v>2566</v>
      </c>
      <c r="DU107" s="25">
        <v>530</v>
      </c>
      <c r="DV107" s="25">
        <v>1240</v>
      </c>
      <c r="DW107" s="25">
        <v>74</v>
      </c>
      <c r="DX107" s="25">
        <v>76</v>
      </c>
      <c r="DY107" s="25">
        <v>10</v>
      </c>
      <c r="DZ107" s="25">
        <v>702</v>
      </c>
      <c r="EA107" s="25">
        <v>2649</v>
      </c>
      <c r="EB107" s="25">
        <v>1795</v>
      </c>
      <c r="EC107" s="25">
        <v>31324</v>
      </c>
      <c r="ED107" s="25">
        <v>9511</v>
      </c>
      <c r="EE107" s="25">
        <v>92584</v>
      </c>
      <c r="EF107" s="25">
        <v>1928</v>
      </c>
      <c r="EG107" s="25">
        <v>19877</v>
      </c>
      <c r="EH107" s="25">
        <v>15728</v>
      </c>
      <c r="EI107" s="25">
        <v>201505</v>
      </c>
      <c r="EJ107" s="25">
        <v>364</v>
      </c>
      <c r="EK107" s="25">
        <v>13736</v>
      </c>
      <c r="EL107" s="25">
        <v>449</v>
      </c>
      <c r="EM107" s="25">
        <v>3027</v>
      </c>
      <c r="EN107" s="25">
        <v>374</v>
      </c>
      <c r="EO107" s="25">
        <v>10761</v>
      </c>
      <c r="EP107" s="25">
        <v>3440</v>
      </c>
      <c r="EQ107" s="25">
        <v>708</v>
      </c>
      <c r="ER107" s="25">
        <v>836</v>
      </c>
      <c r="ES107" s="25">
        <v>717</v>
      </c>
      <c r="ET107" s="25">
        <v>141</v>
      </c>
      <c r="EU107" s="25">
        <v>82</v>
      </c>
      <c r="EV107" s="25">
        <v>1344</v>
      </c>
      <c r="EW107" s="25">
        <v>3741</v>
      </c>
      <c r="EX107" s="25">
        <v>128</v>
      </c>
      <c r="EY107" s="25">
        <v>5851</v>
      </c>
      <c r="EZ107" s="25">
        <v>250</v>
      </c>
      <c r="FA107" s="25">
        <v>458</v>
      </c>
      <c r="FB107" s="25">
        <v>7</v>
      </c>
      <c r="FC107" s="25">
        <v>334</v>
      </c>
      <c r="FD107" s="25">
        <v>16752</v>
      </c>
      <c r="FE107" s="25">
        <v>3638</v>
      </c>
      <c r="FF107" s="25">
        <v>95</v>
      </c>
      <c r="FG107" s="25">
        <v>38</v>
      </c>
      <c r="FH107" s="25">
        <v>321</v>
      </c>
      <c r="FI107" s="25">
        <v>4252</v>
      </c>
      <c r="FJ107" s="25">
        <v>16</v>
      </c>
      <c r="FK107" s="25">
        <v>54</v>
      </c>
      <c r="FL107" s="25">
        <v>100</v>
      </c>
      <c r="FM107" s="25">
        <v>16</v>
      </c>
      <c r="FN107" s="25">
        <v>75</v>
      </c>
      <c r="FO107" s="25">
        <v>38416</v>
      </c>
      <c r="FP107" s="25">
        <v>1474</v>
      </c>
      <c r="FQ107" s="25">
        <v>13</v>
      </c>
      <c r="FR107" s="25">
        <v>709</v>
      </c>
      <c r="FS107" s="25">
        <v>1532</v>
      </c>
      <c r="FT107" s="25">
        <v>1421</v>
      </c>
      <c r="FU107" s="25">
        <v>7660</v>
      </c>
      <c r="FV107" s="25">
        <v>2131</v>
      </c>
      <c r="FW107" s="25">
        <v>14612</v>
      </c>
      <c r="FX107" s="25">
        <v>6021</v>
      </c>
      <c r="FY107" s="25">
        <v>8</v>
      </c>
      <c r="FZ107" s="25">
        <v>239</v>
      </c>
      <c r="GA107" s="25">
        <v>31190</v>
      </c>
      <c r="GB107" s="25">
        <v>7958</v>
      </c>
      <c r="GC107" s="25">
        <v>12218</v>
      </c>
      <c r="GD107" s="25">
        <v>24322</v>
      </c>
      <c r="GE107" s="25">
        <v>11921</v>
      </c>
      <c r="GF107" s="25">
        <v>11616</v>
      </c>
      <c r="GG107" s="25">
        <v>93558</v>
      </c>
      <c r="GH107" s="25">
        <v>212</v>
      </c>
      <c r="GI107" s="25">
        <v>15</v>
      </c>
      <c r="GJ107" s="25">
        <v>15</v>
      </c>
      <c r="GK107" s="25">
        <v>553</v>
      </c>
      <c r="GL107" s="25">
        <v>20077</v>
      </c>
      <c r="GM107" s="25">
        <v>823</v>
      </c>
      <c r="GN107" s="25">
        <v>8497</v>
      </c>
      <c r="GO107" s="25">
        <v>11</v>
      </c>
      <c r="GP107" s="25">
        <v>14951</v>
      </c>
      <c r="GQ107" s="25">
        <v>1384</v>
      </c>
      <c r="GR107" s="25">
        <v>1408</v>
      </c>
      <c r="GS107" s="25">
        <v>528</v>
      </c>
      <c r="GT107" s="25">
        <v>4996</v>
      </c>
      <c r="GU107" s="25">
        <v>210773</v>
      </c>
      <c r="GV107" s="25">
        <v>619</v>
      </c>
      <c r="GW107" s="25">
        <v>318</v>
      </c>
      <c r="GX107" s="25">
        <v>10</v>
      </c>
      <c r="GY107" s="25">
        <v>19621</v>
      </c>
      <c r="GZ107" s="25">
        <v>29264</v>
      </c>
      <c r="HA107" s="25">
        <v>429</v>
      </c>
      <c r="HB107" s="25">
        <v>299</v>
      </c>
      <c r="HC107" s="25">
        <v>2938</v>
      </c>
      <c r="HD107" s="25">
        <v>99</v>
      </c>
      <c r="HE107" s="25">
        <v>116</v>
      </c>
      <c r="HF107" s="25">
        <v>975</v>
      </c>
      <c r="HG107" s="25">
        <v>114653</v>
      </c>
      <c r="HH107" s="25">
        <v>79</v>
      </c>
      <c r="HI107" s="25">
        <v>9410</v>
      </c>
      <c r="HJ107" s="25">
        <v>11380</v>
      </c>
      <c r="HK107" s="25">
        <v>110</v>
      </c>
      <c r="HL107" s="25">
        <v>70</v>
      </c>
      <c r="HM107" s="25">
        <v>530</v>
      </c>
      <c r="HN107" s="25">
        <v>141</v>
      </c>
      <c r="HO107" s="25">
        <v>309</v>
      </c>
      <c r="HP107" s="25">
        <v>11</v>
      </c>
      <c r="HQ107" s="25">
        <v>161145</v>
      </c>
      <c r="HR107" s="25">
        <v>625</v>
      </c>
      <c r="HS107" s="25">
        <v>1012582</v>
      </c>
      <c r="HT107" s="25">
        <v>1939</v>
      </c>
      <c r="HU107" s="25">
        <v>329</v>
      </c>
      <c r="HV107" s="25">
        <v>270</v>
      </c>
      <c r="HW107" s="25">
        <v>95</v>
      </c>
      <c r="HX107" s="25">
        <v>32</v>
      </c>
      <c r="HY107" s="25">
        <v>0</v>
      </c>
      <c r="HZ107" s="25">
        <v>16</v>
      </c>
      <c r="IA107" s="25">
        <v>19</v>
      </c>
      <c r="IB107" s="25">
        <v>76</v>
      </c>
      <c r="IC107" s="25">
        <v>43</v>
      </c>
      <c r="ID107" s="25">
        <v>24</v>
      </c>
      <c r="IE107" s="25">
        <v>18</v>
      </c>
      <c r="IF107" s="25">
        <v>0</v>
      </c>
      <c r="IG107" s="25">
        <v>19</v>
      </c>
      <c r="IH107" s="25">
        <v>61</v>
      </c>
      <c r="II107" s="25">
        <v>343</v>
      </c>
      <c r="IJ107" s="25">
        <v>73</v>
      </c>
      <c r="IK107" s="25">
        <v>424</v>
      </c>
      <c r="IL107" s="25">
        <v>15</v>
      </c>
      <c r="IM107" s="25">
        <v>5</v>
      </c>
      <c r="IN107" s="25">
        <v>11</v>
      </c>
      <c r="IO107" s="25">
        <v>790</v>
      </c>
      <c r="IP107" s="25">
        <v>150</v>
      </c>
      <c r="IQ107" s="25">
        <v>3</v>
      </c>
      <c r="IR107" s="25">
        <v>6</v>
      </c>
      <c r="IS107" s="25">
        <v>12</v>
      </c>
      <c r="IT107" s="25">
        <v>9</v>
      </c>
      <c r="IU107" s="25">
        <v>23</v>
      </c>
      <c r="IV107" s="25">
        <v>11</v>
      </c>
      <c r="IW107" s="25">
        <v>104</v>
      </c>
      <c r="IX107" s="25">
        <v>5</v>
      </c>
      <c r="IY107" s="25">
        <v>36</v>
      </c>
      <c r="IZ107" s="25">
        <v>13</v>
      </c>
      <c r="JA107" s="25">
        <v>1</v>
      </c>
      <c r="JB107" s="25">
        <v>34</v>
      </c>
      <c r="JC107" s="25">
        <v>6</v>
      </c>
      <c r="JD107" s="25">
        <v>8</v>
      </c>
      <c r="JE107" s="25">
        <v>1</v>
      </c>
      <c r="JF107" s="25">
        <v>0</v>
      </c>
      <c r="JG107" s="25">
        <v>0</v>
      </c>
      <c r="JH107" s="25">
        <v>0</v>
      </c>
      <c r="JI107" s="25">
        <v>141</v>
      </c>
      <c r="JJ107" s="25">
        <v>14</v>
      </c>
      <c r="JK107" s="25">
        <v>1400</v>
      </c>
      <c r="JL107" s="25">
        <v>57</v>
      </c>
      <c r="JM107" s="25">
        <v>6750</v>
      </c>
      <c r="JN107" s="25">
        <v>351</v>
      </c>
      <c r="JO107" s="25">
        <v>6955</v>
      </c>
      <c r="JP107" s="25">
        <v>3127</v>
      </c>
      <c r="JQ107" s="25">
        <v>46164</v>
      </c>
      <c r="JR107" s="25">
        <v>14316</v>
      </c>
      <c r="JS107" s="25">
        <v>26312</v>
      </c>
      <c r="JT107" s="25">
        <v>4575</v>
      </c>
      <c r="JU107" s="25">
        <v>3994</v>
      </c>
      <c r="JV107" s="25">
        <v>32848</v>
      </c>
      <c r="JW107" s="25">
        <v>24922</v>
      </c>
      <c r="JX107" s="25">
        <v>609</v>
      </c>
      <c r="JY107" s="25">
        <v>1952</v>
      </c>
      <c r="JZ107" s="25">
        <v>48102</v>
      </c>
      <c r="KA107" s="25">
        <v>16588</v>
      </c>
      <c r="KB107" s="25">
        <v>6376</v>
      </c>
      <c r="KC107" s="25">
        <v>3652</v>
      </c>
      <c r="KD107" s="25">
        <v>4375</v>
      </c>
      <c r="KE107" s="25">
        <v>27286</v>
      </c>
      <c r="KF107" s="25">
        <v>1040</v>
      </c>
      <c r="KG107" s="25">
        <v>20113</v>
      </c>
      <c r="KH107" s="25">
        <v>58302</v>
      </c>
      <c r="KI107" s="25">
        <v>39262</v>
      </c>
      <c r="KJ107" s="25">
        <v>4181</v>
      </c>
      <c r="KK107" s="25">
        <v>6342</v>
      </c>
      <c r="KL107" s="25">
        <v>7450</v>
      </c>
      <c r="KM107" s="25">
        <v>451</v>
      </c>
      <c r="KN107" s="25">
        <v>3517</v>
      </c>
      <c r="KO107" s="25">
        <v>4821</v>
      </c>
      <c r="KP107" s="25">
        <v>2010</v>
      </c>
      <c r="KQ107" s="25">
        <v>113856</v>
      </c>
      <c r="KR107" s="25">
        <v>2974</v>
      </c>
      <c r="KS107" s="25">
        <v>295106</v>
      </c>
      <c r="KT107" s="25">
        <v>9755</v>
      </c>
      <c r="KU107" s="25">
        <v>991</v>
      </c>
      <c r="KV107" s="25">
        <v>16769</v>
      </c>
      <c r="KW107" s="25">
        <v>3410</v>
      </c>
      <c r="KX107" s="25">
        <v>2385</v>
      </c>
      <c r="KY107" s="25">
        <v>45137</v>
      </c>
      <c r="KZ107" s="25">
        <v>7927</v>
      </c>
      <c r="LA107" s="25">
        <v>5735</v>
      </c>
      <c r="LB107" s="25">
        <v>2313</v>
      </c>
      <c r="LC107" s="25">
        <v>10052</v>
      </c>
      <c r="LD107" s="25">
        <v>26357</v>
      </c>
      <c r="LE107" s="25">
        <v>4345</v>
      </c>
      <c r="LF107" s="25">
        <v>862</v>
      </c>
      <c r="LG107" s="25">
        <v>14339</v>
      </c>
      <c r="LH107" s="25">
        <v>13842</v>
      </c>
      <c r="LI107" s="25">
        <v>1095</v>
      </c>
      <c r="LJ107" s="25">
        <v>6289</v>
      </c>
      <c r="LK107" s="25">
        <v>536</v>
      </c>
      <c r="LL107" s="25">
        <v>49</v>
      </c>
      <c r="LM107" s="25">
        <v>103</v>
      </c>
      <c r="LN107" s="11">
        <f ca="1">$A107 - TST!Sweden100dt + 1</f>
        <v>53</v>
      </c>
      <c r="LO107" s="20">
        <f ca="1">INDEX(OFFSET(TST!HeadRow,ROW()-ROW(TST!HeadRow),0,1,COLUMNS(TST!HeadRow)),1,MATCH(LO$5,TST!HeadRow,0))/LO$8</f>
        <v>19179.863147605083</v>
      </c>
      <c r="LP107" s="278">
        <f ca="1">$A107 - TST!Spain100dt + 1</f>
        <v>53</v>
      </c>
      <c r="LQ107" s="20">
        <f ca="1">INDEX(OFFSET(TST!HeadRow,ROW()-ROW(TST!HeadRow),0,1,COLUMNS(TST!HeadRow)),1,MATCH(LQ$5,TST!HeadRow,0))/LQ$8</f>
        <v>44902.641670217301</v>
      </c>
      <c r="LR107" s="285">
        <f ca="1">$A107 - TST!Victoria100dt + 1</f>
        <v>44</v>
      </c>
      <c r="LS107" s="20">
        <f t="shared" si="10"/>
        <v>2042.5403529944183</v>
      </c>
      <c r="LT107" s="278">
        <f ca="1">$A107 - TST!Iran100dt + 1</f>
        <v>59</v>
      </c>
      <c r="LU107" s="20">
        <f ca="1">INDEX(OFFSET(TST!HeadRow,ROW()-ROW(TST!HeadRow),0,1,COLUMNS(TST!HeadRow)),1,MATCH(LU$5,TST!HeadRow,0))/LU$8</f>
        <v>11051.770856958687</v>
      </c>
      <c r="LV107" s="278">
        <f ca="1">$A107 - TST!Japan100dt + 1</f>
        <v>35</v>
      </c>
      <c r="LW107" s="20">
        <f ca="1">INDEX(OFFSET(TST!HeadRow,ROW()-ROW(TST!HeadRow),0,1,COLUMNS(TST!HeadRow)),1,MATCH(LW$5,TST!HeadRow,0))/LW$8</f>
        <v>1085.3847343181483</v>
      </c>
      <c r="LX107" s="278">
        <f ca="1">$A107 - TST!Queensland100dt + 1</f>
        <v>45</v>
      </c>
      <c r="LY107" s="20">
        <f ca="1">INDEX(OFFSET(TST!HeadRow,ROW()-ROW(TST!HeadRow),0,1,COLUMNS(TST!HeadRow)),1,MATCH(LY$5,TST!HeadRow,0))/LY$8</f>
        <v>2021.3271517995188</v>
      </c>
      <c r="LZ107" s="278">
        <f ca="1">$A107 - TST!Tasmania100dt + 1</f>
        <v>45</v>
      </c>
      <c r="MA107" s="20">
        <f ca="1">INDEX(OFFSET(TST!HeadRow,ROW()-ROW(TST!HeadRow),0,1,COLUMNS(TST!HeadRow)),1,MATCH(MA$5,TST!HeadRow,0))/MA$8</f>
        <v>4233.0097087378645</v>
      </c>
      <c r="MB107" s="278">
        <f ca="1">$A107 - TST!SouthAustralia100dt + 1</f>
        <v>46</v>
      </c>
      <c r="MC107" s="20">
        <f ca="1">INDEX(OFFSET(TST!HeadRow,ROW()-ROW(TST!HeadRow),0,1,COLUMNS(TST!HeadRow)),1,MATCH(MC$5,TST!HeadRow,0))/MC$8</f>
        <v>2622.754491017964</v>
      </c>
      <c r="MD107" s="11">
        <f ca="1">$A107 - TST!AustralianCapitalTerritory100dt + 1</f>
        <v>40</v>
      </c>
      <c r="ME107" s="20">
        <f ca="1">INDEX(OFFSET(TST!HeadRow,ROW()-ROW(TST!HeadRow),0,1,COLUMNS(TST!HeadRow)),1,MATCH(ME$5,TST!HeadRow,0))/ME$8</f>
        <v>2476.2883707891419</v>
      </c>
      <c r="MF107" s="11">
        <f ca="1">$A107 - TST!NorthernTerritory100dt + 1</f>
        <v>40</v>
      </c>
      <c r="MG107" s="20">
        <f ca="1">INDEX(OFFSET(TST!HeadRow,ROW()-ROW(TST!HeadRow),0,1,COLUMNS(TST!HeadRow)),1,MATCH(MG$5,TST!HeadRow,0))/MG$8</f>
        <v>1321.0974545282972</v>
      </c>
      <c r="MH107" s="278">
        <f ca="1">$A107 - TST!WesternAustralia100dt + 1</f>
        <v>44</v>
      </c>
      <c r="MI107" s="20">
        <f ca="1">INDEX(OFFSET(TST!HeadRow,ROW()-ROW(TST!HeadRow),0,1,COLUMNS(TST!HeadRow)),1,MATCH(MI$5,TST!HeadRow,0))/MI$8</f>
        <v>2124.372344534569</v>
      </c>
      <c r="MJ107" s="278">
        <f ca="1">$A107 - TST!Germany100dt + 1</f>
        <v>52</v>
      </c>
      <c r="MK107" s="20">
        <f ca="1">INDEX(OFFSET(TST!HeadRow,ROW()-ROW(TST!HeadRow),0,1,COLUMNS(TST!HeadRow)),1,MATCH(MK$5,TST!HeadRow,0))/MK$8</f>
        <v>19261.864610937126</v>
      </c>
      <c r="ML107" s="278">
        <f ca="1">$A107 - TST!Denmark100dt + 1</f>
        <v>51</v>
      </c>
      <c r="MM107" s="20">
        <f ca="1">INDEX(OFFSET(TST!HeadRow,ROW()-ROW(TST!HeadRow),0,1,COLUMNS(TST!HeadRow)),1,MATCH(MM$5,TST!HeadRow,0))/MM$8</f>
        <v>15244.574578022735</v>
      </c>
      <c r="MN107" s="278">
        <f ca="1">$A107 - TST!SouthAfrica100dt + 1</f>
        <v>35</v>
      </c>
      <c r="MO107" s="20">
        <f ca="1">INDEX(OFFSET(TST!HeadRow,ROW()-ROW(TST!HeadRow),0,1,COLUMNS(TST!HeadRow)),1,MATCH(MO$5,TST!HeadRow,0))/MO$8</f>
        <v>864.65905157493944</v>
      </c>
      <c r="MP107" s="278">
        <f ca="1">$A107 - TST!UnitedKingdom100dt + 1</f>
        <v>47</v>
      </c>
      <c r="MQ107" s="20">
        <f ca="1">INDEX(OFFSET(TST!HeadRow,ROW()-ROW(TST!HeadRow),0,1,COLUMNS(TST!HeadRow)),1,MATCH(MQ$5,TST!HeadRow,0))/MQ$8</f>
        <v>24254.21432871764</v>
      </c>
      <c r="MR107" s="278">
        <f ca="1">$A107 - TST!Ireland100dt + 1</f>
        <v>47</v>
      </c>
      <c r="MS107" s="20">
        <f ca="1">INDEX(OFFSET(TST!HeadRow,ROW()-ROW(TST!HeadRow),0,1,COLUMNS(TST!HeadRow)),1,MATCH(MS$5,TST!HeadRow,0))/MS$8</f>
        <v>40565.306122448979</v>
      </c>
      <c r="MT107" s="278">
        <f ca="1">$A107 - TST!Italy100dt + 1</f>
        <v>62</v>
      </c>
      <c r="MU107" s="20">
        <f ca="1">INDEX(OFFSET(TST!HeadRow,ROW()-ROW(TST!HeadRow),0,1,COLUMNS(TST!HeadRow)),1,MATCH(MU$5,TST!HeadRow,0))/MU$8</f>
        <v>33314.871455732828</v>
      </c>
      <c r="MV107" s="20">
        <f ca="1">$A107 - TST!US100dt + 1</f>
        <v>45</v>
      </c>
      <c r="MW107" s="20">
        <f ca="1">INDEX(OFFSET(TST!HeadRow,ROW()-ROW(TST!HeadRow),0,1,COLUMNS(TST!HeadRow)),1,MATCH(MW$5,TST!HeadRow,0))/MW$8</f>
        <v>30756.277753090715</v>
      </c>
      <c r="MX107" s="278">
        <f ca="1">$A107 - TST!AustraliaSum100dt + 1</f>
        <v>45</v>
      </c>
      <c r="MY107" s="366">
        <f t="shared" si="9"/>
        <v>2658.8866109446458</v>
      </c>
      <c r="MZ107" s="278">
        <f ca="1">$A107 - TST!NewSouthWales100dt + 1</f>
        <v>47</v>
      </c>
      <c r="NA107" s="366">
        <f ca="1">INDEX(OFFSET(TST!HeadRow,ROW()-ROW(TST!HeadRow),0,1,COLUMNS(TST!HeadRow)),1,MATCH(NA$5,TST!HeadRow,0))/NA$8</f>
        <v>3732.6732673267325</v>
      </c>
      <c r="NB107" s="20">
        <f ca="1">$A107 - TST!Taiwan100dt + 1</f>
        <v>34</v>
      </c>
      <c r="NC107" s="366">
        <f ca="1">INDEX(OFFSET(TST!HeadRow,ROW()-ROW(TST!HeadRow),0,1,COLUMNS(TST!HeadRow)),1,MATCH(NC$5,TST!HeadRow,0))/NC$8</f>
        <v>180.1969666255896</v>
      </c>
      <c r="ND107" s="20">
        <f ca="1">$A107 - TST!Hubei100dt + 1</f>
        <v>95</v>
      </c>
      <c r="NE107" s="20">
        <f ca="1">INDEX(OFFSET(TST!HeadRow,ROW()-ROW(TST!HeadRow),0,1,COLUMNS(TST!HeadRow)),1,MATCH(NE$5,TST!HeadRow,0))/NE$8</f>
        <v>11645.811965811967</v>
      </c>
      <c r="NF107" s="20">
        <f ca="1">$A107 - TST!HongKong100dt + 1</f>
        <v>65</v>
      </c>
      <c r="NG107" s="20">
        <f ca="1">INDEX(OFFSET(TST!HeadRow,ROW()-ROW(TST!HeadRow),0,1,COLUMNS(TST!HeadRow)),1,MATCH(NG$5,TST!HeadRow,0))/NG$8</f>
        <v>1391.7594953697489</v>
      </c>
    </row>
    <row r="108" spans="1:371" x14ac:dyDescent="0.25">
      <c r="A108" s="156">
        <v>43950</v>
      </c>
      <c r="B108" s="25">
        <v>1939</v>
      </c>
      <c r="C108" s="25">
        <v>766</v>
      </c>
      <c r="D108" s="25">
        <v>3848</v>
      </c>
      <c r="E108" s="25">
        <v>743</v>
      </c>
      <c r="F108" s="25">
        <v>27</v>
      </c>
      <c r="G108" s="25">
        <v>24</v>
      </c>
      <c r="H108" s="25">
        <v>4285</v>
      </c>
      <c r="I108" s="25">
        <v>1932</v>
      </c>
      <c r="J108" s="25">
        <v>106</v>
      </c>
      <c r="K108" s="292">
        <v>3016</v>
      </c>
      <c r="L108" s="25">
        <v>28</v>
      </c>
      <c r="M108" s="289">
        <v>1033</v>
      </c>
      <c r="N108" s="25">
        <v>438</v>
      </c>
      <c r="O108" s="40">
        <v>219</v>
      </c>
      <c r="P108" s="286">
        <v>1361</v>
      </c>
      <c r="Q108" s="25">
        <v>551</v>
      </c>
      <c r="R108" s="25">
        <v>15402</v>
      </c>
      <c r="S108" s="25">
        <v>1766</v>
      </c>
      <c r="T108" s="25">
        <v>80</v>
      </c>
      <c r="U108" s="25">
        <v>2921</v>
      </c>
      <c r="V108" s="25">
        <v>7103</v>
      </c>
      <c r="W108" s="25">
        <v>80</v>
      </c>
      <c r="X108" s="25">
        <v>13181</v>
      </c>
      <c r="Y108" s="25">
        <v>47859</v>
      </c>
      <c r="Z108" s="25">
        <v>64</v>
      </c>
      <c r="AA108" s="25">
        <v>7</v>
      </c>
      <c r="AB108" s="25">
        <v>1110</v>
      </c>
      <c r="AC108" s="25">
        <v>1677</v>
      </c>
      <c r="AD108" s="25">
        <v>79685</v>
      </c>
      <c r="AE108" s="25">
        <v>138</v>
      </c>
      <c r="AF108" s="25">
        <v>1447</v>
      </c>
      <c r="AG108" s="25">
        <v>641</v>
      </c>
      <c r="AH108" s="25">
        <v>114</v>
      </c>
      <c r="AI108" s="25">
        <v>122</v>
      </c>
      <c r="AJ108" s="25">
        <v>1832</v>
      </c>
      <c r="AK108" s="25">
        <v>5165</v>
      </c>
      <c r="AL108" s="25">
        <v>2087</v>
      </c>
      <c r="AM108" s="25">
        <v>13</v>
      </c>
      <c r="AN108" s="25">
        <v>275</v>
      </c>
      <c r="AO108" s="25">
        <v>118</v>
      </c>
      <c r="AP108" s="25">
        <v>258</v>
      </c>
      <c r="AQ108" s="25">
        <v>935</v>
      </c>
      <c r="AR108" s="25">
        <v>16978</v>
      </c>
      <c r="AS108" s="25">
        <v>27</v>
      </c>
      <c r="AT108" s="25">
        <v>26610</v>
      </c>
      <c r="AU108" s="25">
        <v>383</v>
      </c>
      <c r="AV108" s="25">
        <v>50</v>
      </c>
      <c r="AW108" s="25">
        <v>52</v>
      </c>
      <c r="AX108" s="25">
        <v>14885</v>
      </c>
      <c r="AY108" s="25">
        <v>991</v>
      </c>
      <c r="AZ108" s="25">
        <v>593</v>
      </c>
      <c r="BA108" s="25">
        <v>579</v>
      </c>
      <c r="BB108" s="25">
        <v>355</v>
      </c>
      <c r="BC108" s="25">
        <v>139</v>
      </c>
      <c r="BD108" s="25">
        <v>1588</v>
      </c>
      <c r="BE108" s="25">
        <v>254</v>
      </c>
      <c r="BF108" s="25">
        <v>147</v>
      </c>
      <c r="BG108" s="25">
        <v>168</v>
      </c>
      <c r="BH108" s="25">
        <v>328</v>
      </c>
      <c r="BI108" s="25">
        <v>939</v>
      </c>
      <c r="BJ108" s="25">
        <v>1276</v>
      </c>
      <c r="BK108" s="25">
        <v>1037</v>
      </c>
      <c r="BL108" s="25">
        <v>68128</v>
      </c>
      <c r="BM108" s="25">
        <v>1019</v>
      </c>
      <c r="BN108" s="25">
        <v>200</v>
      </c>
      <c r="BO108" s="25">
        <v>653</v>
      </c>
      <c r="BP108" s="25">
        <v>937</v>
      </c>
      <c r="BQ108" s="25">
        <v>111</v>
      </c>
      <c r="BR108" s="25">
        <v>146</v>
      </c>
      <c r="BS108" s="25">
        <v>45</v>
      </c>
      <c r="BT108" s="25">
        <v>75</v>
      </c>
      <c r="BU108" s="25">
        <v>18</v>
      </c>
      <c r="BV108" s="25">
        <v>306</v>
      </c>
      <c r="BW108" s="25">
        <v>787</v>
      </c>
      <c r="BX108" s="25">
        <v>647</v>
      </c>
      <c r="BY108" s="25">
        <v>197</v>
      </c>
      <c r="BZ108" s="25">
        <v>561</v>
      </c>
      <c r="CA108" s="25">
        <v>190</v>
      </c>
      <c r="CB108" s="25">
        <v>1</v>
      </c>
      <c r="CC108" s="25">
        <v>76</v>
      </c>
      <c r="CD108" s="25">
        <v>185</v>
      </c>
      <c r="CE108" s="25">
        <v>1268</v>
      </c>
      <c r="CF108" s="25">
        <v>6207</v>
      </c>
      <c r="CG108" s="25">
        <v>207</v>
      </c>
      <c r="CH108" s="25">
        <v>491</v>
      </c>
      <c r="CI108" s="25">
        <v>713</v>
      </c>
      <c r="CJ108" s="25">
        <v>1238</v>
      </c>
      <c r="CK108" s="25">
        <v>2062</v>
      </c>
      <c r="CL108" s="25">
        <v>712</v>
      </c>
      <c r="CM108" s="25">
        <v>1467</v>
      </c>
      <c r="CN108" s="25">
        <v>843</v>
      </c>
      <c r="CO108" s="25">
        <v>7579</v>
      </c>
      <c r="CP108" s="25">
        <v>187</v>
      </c>
      <c r="CQ108" s="25">
        <v>11</v>
      </c>
      <c r="CR108" s="25">
        <v>9008</v>
      </c>
      <c r="CS108" s="25">
        <v>1077</v>
      </c>
      <c r="CT108" s="25">
        <v>6652</v>
      </c>
      <c r="CU108" s="25">
        <v>24675</v>
      </c>
      <c r="CV108" s="25">
        <v>5268</v>
      </c>
      <c r="CW108" s="25">
        <v>377</v>
      </c>
      <c r="CX108" s="25">
        <v>315</v>
      </c>
      <c r="CY108" s="25">
        <v>39</v>
      </c>
      <c r="CZ108" s="25">
        <v>1666</v>
      </c>
      <c r="DA108" s="25">
        <v>91</v>
      </c>
      <c r="DB108" s="25">
        <v>130</v>
      </c>
      <c r="DC108" s="25">
        <v>18</v>
      </c>
      <c r="DD108" s="25">
        <v>4906</v>
      </c>
      <c r="DE108" s="25">
        <v>125</v>
      </c>
      <c r="DF108" s="25">
        <v>58</v>
      </c>
      <c r="DG108" s="25">
        <v>149</v>
      </c>
      <c r="DH108" s="25">
        <v>460</v>
      </c>
      <c r="DI108" s="25">
        <v>18</v>
      </c>
      <c r="DJ108" s="25">
        <v>420</v>
      </c>
      <c r="DK108" s="25">
        <v>6</v>
      </c>
      <c r="DL108" s="25">
        <v>38</v>
      </c>
      <c r="DM108" s="25">
        <v>175</v>
      </c>
      <c r="DN108" s="25">
        <v>165093</v>
      </c>
      <c r="DO108" s="25">
        <v>276</v>
      </c>
      <c r="DP108" s="25">
        <v>10</v>
      </c>
      <c r="DQ108" s="25">
        <v>517</v>
      </c>
      <c r="DR108" s="25">
        <v>161539</v>
      </c>
      <c r="DS108" s="25">
        <v>1671</v>
      </c>
      <c r="DT108" s="25">
        <v>2576</v>
      </c>
      <c r="DU108" s="25">
        <v>557</v>
      </c>
      <c r="DV108" s="25">
        <v>1351</v>
      </c>
      <c r="DW108" s="25">
        <v>78</v>
      </c>
      <c r="DX108" s="25">
        <v>76</v>
      </c>
      <c r="DY108" s="25">
        <v>10</v>
      </c>
      <c r="DZ108" s="25">
        <v>738</v>
      </c>
      <c r="EA108" s="25">
        <v>2727</v>
      </c>
      <c r="EB108" s="25">
        <v>1797</v>
      </c>
      <c r="EC108" s="25">
        <v>33062</v>
      </c>
      <c r="ED108" s="25">
        <v>9771</v>
      </c>
      <c r="EE108" s="25">
        <v>93657</v>
      </c>
      <c r="EF108" s="25">
        <v>2003</v>
      </c>
      <c r="EG108" s="25">
        <v>20253</v>
      </c>
      <c r="EH108" s="25">
        <v>15834</v>
      </c>
      <c r="EI108" s="25">
        <v>203591</v>
      </c>
      <c r="EJ108" s="25">
        <v>396</v>
      </c>
      <c r="EK108" s="25">
        <v>13895</v>
      </c>
      <c r="EL108" s="25">
        <v>451</v>
      </c>
      <c r="EM108" s="25">
        <v>3138</v>
      </c>
      <c r="EN108" s="25">
        <v>384</v>
      </c>
      <c r="EO108" s="25">
        <v>10765</v>
      </c>
      <c r="EP108" s="25">
        <v>3740</v>
      </c>
      <c r="EQ108" s="25">
        <v>729</v>
      </c>
      <c r="ER108" s="25">
        <v>849</v>
      </c>
      <c r="ES108" s="25">
        <v>721</v>
      </c>
      <c r="ET108" s="25">
        <v>141</v>
      </c>
      <c r="EU108" s="25">
        <v>82</v>
      </c>
      <c r="EV108" s="25">
        <v>1375</v>
      </c>
      <c r="EW108" s="25">
        <v>3769</v>
      </c>
      <c r="EX108" s="25">
        <v>128</v>
      </c>
      <c r="EY108" s="25">
        <v>5945</v>
      </c>
      <c r="EZ108" s="25">
        <v>278</v>
      </c>
      <c r="FA108" s="25">
        <v>463</v>
      </c>
      <c r="FB108" s="25">
        <v>8</v>
      </c>
      <c r="FC108" s="25">
        <v>332</v>
      </c>
      <c r="FD108" s="25">
        <v>17799</v>
      </c>
      <c r="FE108" s="25">
        <v>3771</v>
      </c>
      <c r="FF108" s="25">
        <v>95</v>
      </c>
      <c r="FG108" s="25">
        <v>38</v>
      </c>
      <c r="FH108" s="25">
        <v>322</v>
      </c>
      <c r="FI108" s="25">
        <v>4321</v>
      </c>
      <c r="FJ108" s="25">
        <v>16</v>
      </c>
      <c r="FK108" s="25">
        <v>57</v>
      </c>
      <c r="FL108" s="25">
        <v>100</v>
      </c>
      <c r="FM108" s="25">
        <v>16</v>
      </c>
      <c r="FN108" s="25">
        <v>75</v>
      </c>
      <c r="FO108" s="25">
        <v>38802</v>
      </c>
      <c r="FP108" s="25">
        <v>1476</v>
      </c>
      <c r="FQ108" s="25">
        <v>13</v>
      </c>
      <c r="FR108" s="25">
        <v>713</v>
      </c>
      <c r="FS108" s="25">
        <v>1728</v>
      </c>
      <c r="FT108" s="25">
        <v>1442</v>
      </c>
      <c r="FU108" s="25">
        <v>7710</v>
      </c>
      <c r="FV108" s="25">
        <v>2274</v>
      </c>
      <c r="FW108" s="25">
        <v>15525</v>
      </c>
      <c r="FX108" s="25">
        <v>6378</v>
      </c>
      <c r="FY108" s="25">
        <v>8</v>
      </c>
      <c r="FZ108" s="25">
        <v>239</v>
      </c>
      <c r="GA108" s="25">
        <v>33931</v>
      </c>
      <c r="GB108" s="25">
        <v>8212</v>
      </c>
      <c r="GC108" s="25">
        <v>12640</v>
      </c>
      <c r="GD108" s="25">
        <v>24505</v>
      </c>
      <c r="GE108" s="25">
        <v>12564</v>
      </c>
      <c r="GF108" s="25">
        <v>11978</v>
      </c>
      <c r="GG108" s="25">
        <v>99399</v>
      </c>
      <c r="GH108" s="25">
        <v>225</v>
      </c>
      <c r="GI108" s="25">
        <v>17</v>
      </c>
      <c r="GJ108" s="25">
        <v>16</v>
      </c>
      <c r="GK108" s="25">
        <v>563</v>
      </c>
      <c r="GL108" s="25">
        <v>21402</v>
      </c>
      <c r="GM108" s="25">
        <v>882</v>
      </c>
      <c r="GN108" s="25">
        <v>8724</v>
      </c>
      <c r="GO108" s="25">
        <v>11</v>
      </c>
      <c r="GP108" s="25">
        <v>15641</v>
      </c>
      <c r="GQ108" s="25">
        <v>1391</v>
      </c>
      <c r="GR108" s="25">
        <v>1418</v>
      </c>
      <c r="GS108" s="25">
        <v>582</v>
      </c>
      <c r="GT108" s="25">
        <v>5350</v>
      </c>
      <c r="GU108" s="25">
        <v>212917</v>
      </c>
      <c r="GV108" s="25">
        <v>649</v>
      </c>
      <c r="GW108" s="25">
        <v>375</v>
      </c>
      <c r="GX108" s="25">
        <v>10</v>
      </c>
      <c r="GY108" s="25">
        <v>20302</v>
      </c>
      <c r="GZ108" s="25">
        <v>29407</v>
      </c>
      <c r="HA108" s="25">
        <v>429</v>
      </c>
      <c r="HB108" s="25">
        <v>480</v>
      </c>
      <c r="HC108" s="25">
        <v>2947</v>
      </c>
      <c r="HD108" s="25">
        <v>109</v>
      </c>
      <c r="HE108" s="25">
        <v>116</v>
      </c>
      <c r="HF108" s="25">
        <v>980</v>
      </c>
      <c r="HG108" s="25">
        <v>117589</v>
      </c>
      <c r="HH108" s="25">
        <v>81</v>
      </c>
      <c r="HI108" s="25">
        <v>9866</v>
      </c>
      <c r="HJ108" s="25">
        <v>11929</v>
      </c>
      <c r="HK108" s="25">
        <v>111</v>
      </c>
      <c r="HL108" s="25">
        <v>73</v>
      </c>
      <c r="HM108" s="25">
        <v>537</v>
      </c>
      <c r="HN108" s="25">
        <v>141</v>
      </c>
      <c r="HO108" s="25">
        <v>313</v>
      </c>
      <c r="HP108" s="25">
        <v>11</v>
      </c>
      <c r="HQ108" s="25">
        <v>165221</v>
      </c>
      <c r="HR108" s="25">
        <v>630</v>
      </c>
      <c r="HS108" s="25">
        <v>1039909</v>
      </c>
      <c r="HT108" s="25">
        <v>2002</v>
      </c>
      <c r="HU108" s="25">
        <v>331</v>
      </c>
      <c r="HV108" s="25">
        <v>270</v>
      </c>
      <c r="HW108" s="25">
        <v>97</v>
      </c>
      <c r="HX108" s="25">
        <v>32</v>
      </c>
      <c r="HY108" s="25">
        <v>0</v>
      </c>
      <c r="HZ108" s="25">
        <v>16</v>
      </c>
      <c r="IA108" s="25">
        <v>20</v>
      </c>
      <c r="IB108" s="25">
        <v>76</v>
      </c>
      <c r="IC108" s="25">
        <v>43</v>
      </c>
      <c r="ID108" s="25">
        <v>24</v>
      </c>
      <c r="IE108" s="25">
        <v>18</v>
      </c>
      <c r="IF108" s="25">
        <v>0</v>
      </c>
      <c r="IG108" s="25">
        <v>19</v>
      </c>
      <c r="IH108" s="25">
        <v>61</v>
      </c>
      <c r="II108" s="25">
        <v>344</v>
      </c>
      <c r="IJ108" s="25">
        <v>205</v>
      </c>
      <c r="IK108" s="25">
        <v>482</v>
      </c>
      <c r="IL108" s="25">
        <v>15</v>
      </c>
      <c r="IM108" s="25">
        <v>5</v>
      </c>
      <c r="IN108" s="25">
        <v>11</v>
      </c>
      <c r="IO108" s="25">
        <v>799</v>
      </c>
      <c r="IP108" s="25">
        <v>150</v>
      </c>
      <c r="IQ108" s="25">
        <v>3</v>
      </c>
      <c r="IR108" s="25">
        <v>6</v>
      </c>
      <c r="IS108" s="25">
        <v>12</v>
      </c>
      <c r="IT108" s="25">
        <v>9</v>
      </c>
      <c r="IU108" s="25">
        <v>23</v>
      </c>
      <c r="IV108" s="25">
        <v>11</v>
      </c>
      <c r="IW108" s="25">
        <v>104</v>
      </c>
      <c r="IX108" s="25">
        <v>5</v>
      </c>
      <c r="IY108" s="25">
        <v>36</v>
      </c>
      <c r="IZ108" s="25">
        <v>13</v>
      </c>
      <c r="JA108" s="25">
        <v>1</v>
      </c>
      <c r="JB108" s="25">
        <v>34</v>
      </c>
      <c r="JC108" s="25">
        <v>6</v>
      </c>
      <c r="JD108" s="25">
        <v>8</v>
      </c>
      <c r="JE108" s="25">
        <v>6</v>
      </c>
      <c r="JF108" s="25">
        <v>0</v>
      </c>
      <c r="JG108" s="25">
        <v>0</v>
      </c>
      <c r="JH108" s="25">
        <v>0</v>
      </c>
      <c r="JI108" s="25">
        <v>141</v>
      </c>
      <c r="JJ108" s="25">
        <v>14</v>
      </c>
      <c r="JK108" s="25">
        <v>1433</v>
      </c>
      <c r="JL108" s="25">
        <v>57</v>
      </c>
      <c r="JM108" s="25">
        <v>6912</v>
      </c>
      <c r="JN108" s="25">
        <v>355</v>
      </c>
      <c r="JO108" s="25">
        <v>7209</v>
      </c>
      <c r="JP108" s="25">
        <v>3193</v>
      </c>
      <c r="JQ108" s="25">
        <v>48747</v>
      </c>
      <c r="JR108" s="25">
        <v>14758</v>
      </c>
      <c r="JS108" s="25">
        <v>26767</v>
      </c>
      <c r="JT108" s="25">
        <v>4655</v>
      </c>
      <c r="JU108" s="25">
        <v>4106</v>
      </c>
      <c r="JV108" s="25">
        <v>33193</v>
      </c>
      <c r="JW108" s="25">
        <v>25775</v>
      </c>
      <c r="JX108" s="25">
        <v>613</v>
      </c>
      <c r="JY108" s="25">
        <v>1952</v>
      </c>
      <c r="JZ108" s="25">
        <v>50358</v>
      </c>
      <c r="KA108" s="25">
        <v>17182</v>
      </c>
      <c r="KB108" s="25">
        <v>6843</v>
      </c>
      <c r="KC108" s="25">
        <v>3839</v>
      </c>
      <c r="KD108" s="25">
        <v>4537</v>
      </c>
      <c r="KE108" s="25">
        <v>27660</v>
      </c>
      <c r="KF108" s="25">
        <v>1056</v>
      </c>
      <c r="KG108" s="25">
        <v>20849</v>
      </c>
      <c r="KH108" s="25">
        <v>60265</v>
      </c>
      <c r="KI108" s="25">
        <v>40399</v>
      </c>
      <c r="KJ108" s="25">
        <v>4644</v>
      </c>
      <c r="KK108" s="25">
        <v>6569</v>
      </c>
      <c r="KL108" s="25">
        <v>7660</v>
      </c>
      <c r="KM108" s="25">
        <v>451</v>
      </c>
      <c r="KN108" s="25">
        <v>3851</v>
      </c>
      <c r="KO108" s="25">
        <v>4934</v>
      </c>
      <c r="KP108" s="25">
        <v>2058</v>
      </c>
      <c r="KQ108" s="25">
        <v>116365</v>
      </c>
      <c r="KR108" s="25">
        <v>3213</v>
      </c>
      <c r="KS108" s="25">
        <v>299691</v>
      </c>
      <c r="KT108" s="25">
        <v>10180</v>
      </c>
      <c r="KU108" s="25">
        <v>1033</v>
      </c>
      <c r="KV108" s="25">
        <v>17303</v>
      </c>
      <c r="KW108" s="25">
        <v>3473</v>
      </c>
      <c r="KX108" s="25">
        <v>2446</v>
      </c>
      <c r="KY108" s="25">
        <v>46327</v>
      </c>
      <c r="KZ108" s="25">
        <v>8247</v>
      </c>
      <c r="LA108" s="25">
        <v>5882</v>
      </c>
      <c r="LB108" s="25">
        <v>2373</v>
      </c>
      <c r="LC108" s="25">
        <v>10366</v>
      </c>
      <c r="LD108" s="25">
        <v>27257</v>
      </c>
      <c r="LE108" s="25">
        <v>4497</v>
      </c>
      <c r="LF108" s="25">
        <v>862</v>
      </c>
      <c r="LG108" s="25">
        <v>14962</v>
      </c>
      <c r="LH108" s="25">
        <v>14070</v>
      </c>
      <c r="LI108" s="25">
        <v>1110</v>
      </c>
      <c r="LJ108" s="25">
        <v>6520</v>
      </c>
      <c r="LK108" s="25">
        <v>545</v>
      </c>
      <c r="LL108" s="25">
        <v>49</v>
      </c>
      <c r="LM108" s="25">
        <v>103</v>
      </c>
      <c r="LN108" s="11">
        <f ca="1">$A108 - TST!Sweden100dt + 1</f>
        <v>54</v>
      </c>
      <c r="LO108" s="20">
        <f ca="1">INDEX(OFFSET(TST!HeadRow,ROW()-ROW(TST!HeadRow),0,1,COLUMNS(TST!HeadRow)),1,MATCH(LO$5,TST!HeadRow,0))/LO$8</f>
        <v>19845.552297165203</v>
      </c>
      <c r="LP108" s="278">
        <f ca="1">$A108 - TST!Spain100dt + 1</f>
        <v>54</v>
      </c>
      <c r="LQ108" s="20">
        <f ca="1">INDEX(OFFSET(TST!HeadRow,ROW()-ROW(TST!HeadRow),0,1,COLUMNS(TST!HeadRow)),1,MATCH(LQ$5,TST!HeadRow,0))/LQ$8</f>
        <v>45359.394972305068</v>
      </c>
      <c r="LR108" s="285">
        <f ca="1">$A108 - TST!Victoria100dt + 1</f>
        <v>45</v>
      </c>
      <c r="LS108" s="20">
        <f t="shared" ref="LS108:LS111" si="11">INDEX(108:108,1,LS$6)/LS$8</f>
        <v>2053.1000150852315</v>
      </c>
      <c r="LT108" s="278">
        <f ca="1">$A108 - TST!Iran100dt + 1</f>
        <v>60</v>
      </c>
      <c r="LU108" s="20">
        <f ca="1">INDEX(OFFSET(TST!HeadRow,ROW()-ROW(TST!HeadRow),0,1,COLUMNS(TST!HeadRow)),1,MATCH(LU$5,TST!HeadRow,0))/LU$8</f>
        <v>11179.855084573788</v>
      </c>
      <c r="LV108" s="278">
        <f ca="1">$A108 - TST!Japan100dt + 1</f>
        <v>36</v>
      </c>
      <c r="LW108" s="20">
        <f ca="1">INDEX(OFFSET(TST!HeadRow,ROW()-ROW(TST!HeadRow),0,1,COLUMNS(TST!HeadRow)),1,MATCH(LW$5,TST!HeadRow,0))/LW$8</f>
        <v>1097.9485209195304</v>
      </c>
      <c r="LX108" s="278">
        <f ca="1">$A108 - TST!Queensland100dt + 1</f>
        <v>46</v>
      </c>
      <c r="LY108" s="20">
        <f ca="1">INDEX(OFFSET(TST!HeadRow,ROW()-ROW(TST!HeadRow),0,1,COLUMNS(TST!HeadRow)),1,MATCH(LY$5,TST!HeadRow,0))/LY$8</f>
        <v>2019.3722899505831</v>
      </c>
      <c r="LZ108" s="278">
        <f ca="1">$A108 - TST!Tasmania100dt + 1</f>
        <v>46</v>
      </c>
      <c r="MA108" s="20">
        <f ca="1">INDEX(OFFSET(TST!HeadRow,ROW()-ROW(TST!HeadRow),0,1,COLUMNS(TST!HeadRow)),1,MATCH(MA$5,TST!HeadRow,0))/MA$8</f>
        <v>4252.4271844660198</v>
      </c>
      <c r="MB108" s="278">
        <f ca="1">$A108 - TST!SouthAustralia100dt + 1</f>
        <v>47</v>
      </c>
      <c r="MC108" s="20">
        <f ca="1">INDEX(OFFSET(TST!HeadRow,ROW()-ROW(TST!HeadRow),0,1,COLUMNS(TST!HeadRow)),1,MATCH(MC$5,TST!HeadRow,0))/MC$8</f>
        <v>2622.754491017964</v>
      </c>
      <c r="MD108" s="11">
        <f ca="1">$A108 - TST!AustralianCapitalTerritory100dt + 1</f>
        <v>41</v>
      </c>
      <c r="ME108" s="20">
        <f ca="1">INDEX(OFFSET(TST!HeadRow,ROW()-ROW(TST!HeadRow),0,1,COLUMNS(TST!HeadRow)),1,MATCH(ME$5,TST!HeadRow,0))/ME$8</f>
        <v>2476.2883707891419</v>
      </c>
      <c r="MF108" s="11">
        <f ca="1">$A108 - TST!NorthernTerritory100dt + 1</f>
        <v>41</v>
      </c>
      <c r="MG108" s="20">
        <f ca="1">INDEX(OFFSET(TST!HeadRow,ROW()-ROW(TST!HeadRow),0,1,COLUMNS(TST!HeadRow)),1,MATCH(MG$5,TST!HeadRow,0))/MG$8</f>
        <v>1321.0974545282972</v>
      </c>
      <c r="MH108" s="278">
        <f ca="1">$A108 - TST!WesternAustralia100dt + 1</f>
        <v>45</v>
      </c>
      <c r="MI108" s="20">
        <f ca="1">INDEX(OFFSET(TST!HeadRow,ROW()-ROW(TST!HeadRow),0,1,COLUMNS(TST!HeadRow)),1,MATCH(MI$5,TST!HeadRow,0))/MI$8</f>
        <v>2128.2348397064502</v>
      </c>
      <c r="MJ108" s="278">
        <f ca="1">$A108 - TST!Germany100dt + 1</f>
        <v>53</v>
      </c>
      <c r="MK108" s="20">
        <f ca="1">INDEX(OFFSET(TST!HeadRow,ROW()-ROW(TST!HeadRow),0,1,COLUMNS(TST!HeadRow)),1,MATCH(MK$5,TST!HeadRow,0))/MK$8</f>
        <v>19457.841483979766</v>
      </c>
      <c r="ML108" s="278">
        <f ca="1">$A108 - TST!Denmark100dt + 1</f>
        <v>52</v>
      </c>
      <c r="MM108" s="20">
        <f ca="1">INDEX(OFFSET(TST!HeadRow,ROW()-ROW(TST!HeadRow),0,1,COLUMNS(TST!HeadRow)),1,MATCH(MM$5,TST!HeadRow,0))/MM$8</f>
        <v>15514.984498794351</v>
      </c>
      <c r="MN108" s="278">
        <f ca="1">$A108 - TST!SouthAfrica100dt + 1</f>
        <v>36</v>
      </c>
      <c r="MO108" s="20">
        <f ca="1">INDEX(OFFSET(TST!HeadRow,ROW()-ROW(TST!HeadRow),0,1,COLUMNS(TST!HeadRow)),1,MATCH(MO$5,TST!HeadRow,0))/MO$8</f>
        <v>925.92592592592598</v>
      </c>
      <c r="MP108" s="278">
        <f ca="1">$A108 - TST!UnitedKingdom100dt + 1</f>
        <v>48</v>
      </c>
      <c r="MQ108" s="20">
        <f ca="1">INDEX(OFFSET(TST!HeadRow,ROW()-ROW(TST!HeadRow),0,1,COLUMNS(TST!HeadRow)),1,MATCH(MQ$5,TST!HeadRow,0))/MQ$8</f>
        <v>24867.700180614087</v>
      </c>
      <c r="MR108" s="278">
        <f ca="1">$A108 - TST!Ireland100dt + 1</f>
        <v>48</v>
      </c>
      <c r="MS108" s="20">
        <f ca="1">INDEX(OFFSET(TST!HeadRow,ROW()-ROW(TST!HeadRow),0,1,COLUMNS(TST!HeadRow)),1,MATCH(MS$5,TST!HeadRow,0))/MS$8</f>
        <v>41332.65306122449</v>
      </c>
      <c r="MT108" s="278">
        <f ca="1">$A108 - TST!Italy100dt + 1</f>
        <v>63</v>
      </c>
      <c r="MU108" s="20">
        <f ca="1">INDEX(OFFSET(TST!HeadRow,ROW()-ROW(TST!HeadRow),0,1,COLUMNS(TST!HeadRow)),1,MATCH(MU$5,TST!HeadRow,0))/MU$8</f>
        <v>33659.750351326773</v>
      </c>
      <c r="MV108" s="20">
        <f ca="1">$A108 - TST!US100dt + 1</f>
        <v>46</v>
      </c>
      <c r="MW108" s="20">
        <f ca="1">INDEX(OFFSET(TST!HeadRow,ROW()-ROW(TST!HeadRow),0,1,COLUMNS(TST!HeadRow)),1,MATCH(MW$5,TST!HeadRow,0))/MW$8</f>
        <v>31586.311075980822</v>
      </c>
      <c r="MX108" s="278">
        <f ca="1">$A108 - TST!AustraliaSum100dt + 1</f>
        <v>46</v>
      </c>
      <c r="MY108" s="366">
        <f t="shared" ref="MY108:MY111" si="12">SUM($J108:$Q108)/$MY$8</f>
        <v>2662.0406875887084</v>
      </c>
      <c r="MZ108" s="278">
        <f ca="1">$A108 - TST!NewSouthWales100dt + 1</f>
        <v>48</v>
      </c>
      <c r="NA108" s="366">
        <f ca="1">INDEX(OFFSET(TST!HeadRow,ROW()-ROW(TST!HeadRow),0,1,COLUMNS(TST!HeadRow)),1,MATCH(NA$5,TST!HeadRow,0))/NA$8</f>
        <v>3732.6732673267325</v>
      </c>
      <c r="NB108" s="20">
        <f ca="1">$A108 - TST!Taiwan100dt + 1</f>
        <v>35</v>
      </c>
      <c r="NC108" s="366">
        <f ca="1">INDEX(OFFSET(TST!HeadRow,ROW()-ROW(TST!HeadRow),0,1,COLUMNS(TST!HeadRow)),1,MATCH(NC$5,TST!HeadRow,0))/NC$8</f>
        <v>180.1969666255896</v>
      </c>
      <c r="ND108" s="20">
        <f ca="1">$A108 - TST!Hubei100dt + 1</f>
        <v>96</v>
      </c>
      <c r="NE108" s="20">
        <f ca="1">INDEX(OFFSET(TST!HeadRow,ROW()-ROW(TST!HeadRow),0,1,COLUMNS(TST!HeadRow)),1,MATCH(NE$5,TST!HeadRow,0))/NE$8</f>
        <v>11645.811965811967</v>
      </c>
      <c r="NF108" s="20">
        <f ca="1">$A108 - TST!HongKong100dt + 1</f>
        <v>66</v>
      </c>
      <c r="NG108" s="20">
        <f ca="1">INDEX(OFFSET(TST!HeadRow,ROW()-ROW(TST!HeadRow),0,1,COLUMNS(TST!HeadRow)),1,MATCH(NG$5,TST!HeadRow,0))/NG$8</f>
        <v>1391.7594953697489</v>
      </c>
    </row>
    <row r="109" spans="1:371" x14ac:dyDescent="0.25">
      <c r="A109" s="156">
        <v>43951</v>
      </c>
      <c r="B109" s="25">
        <v>2171</v>
      </c>
      <c r="C109" s="25">
        <v>773</v>
      </c>
      <c r="D109" s="25">
        <v>4006</v>
      </c>
      <c r="E109" s="25">
        <v>745</v>
      </c>
      <c r="F109" s="25">
        <v>27</v>
      </c>
      <c r="G109" s="25">
        <v>24</v>
      </c>
      <c r="H109" s="25">
        <v>4428</v>
      </c>
      <c r="I109" s="25">
        <v>2066</v>
      </c>
      <c r="J109" s="25">
        <v>106</v>
      </c>
      <c r="K109" s="292">
        <v>3025</v>
      </c>
      <c r="L109" s="25">
        <v>28</v>
      </c>
      <c r="M109" s="289">
        <v>1033</v>
      </c>
      <c r="N109" s="25">
        <v>438</v>
      </c>
      <c r="O109" s="40">
        <v>221</v>
      </c>
      <c r="P109" s="286">
        <v>1364</v>
      </c>
      <c r="Q109" s="25">
        <v>551</v>
      </c>
      <c r="R109" s="25">
        <v>15452</v>
      </c>
      <c r="S109" s="25">
        <v>1804</v>
      </c>
      <c r="T109" s="25">
        <v>81</v>
      </c>
      <c r="U109" s="25">
        <v>3040</v>
      </c>
      <c r="V109" s="25">
        <v>7667</v>
      </c>
      <c r="W109" s="25">
        <v>81</v>
      </c>
      <c r="X109" s="25">
        <v>14027</v>
      </c>
      <c r="Y109" s="25">
        <v>48519</v>
      </c>
      <c r="Z109" s="25">
        <v>64</v>
      </c>
      <c r="AA109" s="25">
        <v>7</v>
      </c>
      <c r="AB109" s="25">
        <v>1110</v>
      </c>
      <c r="AC109" s="25">
        <v>1757</v>
      </c>
      <c r="AD109" s="25">
        <v>87187</v>
      </c>
      <c r="AE109" s="25">
        <v>138</v>
      </c>
      <c r="AF109" s="25">
        <v>1506</v>
      </c>
      <c r="AG109" s="25">
        <v>645</v>
      </c>
      <c r="AH109" s="25">
        <v>121</v>
      </c>
      <c r="AI109" s="25">
        <v>122</v>
      </c>
      <c r="AJ109" s="25">
        <v>1832</v>
      </c>
      <c r="AK109" s="25">
        <v>5355</v>
      </c>
      <c r="AL109" s="25">
        <v>2112</v>
      </c>
      <c r="AM109" s="25">
        <v>13</v>
      </c>
      <c r="AN109" s="25">
        <v>277</v>
      </c>
      <c r="AO109" s="25">
        <v>118</v>
      </c>
      <c r="AP109" s="25">
        <v>258</v>
      </c>
      <c r="AQ109" s="25">
        <v>947</v>
      </c>
      <c r="AR109" s="25">
        <v>17395</v>
      </c>
      <c r="AS109" s="25">
        <v>27</v>
      </c>
      <c r="AT109" s="25">
        <v>27550</v>
      </c>
      <c r="AU109" s="25">
        <v>389</v>
      </c>
      <c r="AV109" s="25">
        <v>50</v>
      </c>
      <c r="AW109" s="25">
        <v>73</v>
      </c>
      <c r="AX109" s="25">
        <v>16023</v>
      </c>
      <c r="AY109" s="25">
        <v>991</v>
      </c>
      <c r="AZ109" s="25">
        <v>593</v>
      </c>
      <c r="BA109" s="25">
        <v>579</v>
      </c>
      <c r="BB109" s="25">
        <v>356</v>
      </c>
      <c r="BC109" s="25">
        <v>139</v>
      </c>
      <c r="BD109" s="25">
        <v>1588</v>
      </c>
      <c r="BE109" s="25">
        <v>254</v>
      </c>
      <c r="BF109" s="25">
        <v>147</v>
      </c>
      <c r="BG109" s="25">
        <v>168</v>
      </c>
      <c r="BH109" s="25">
        <v>328</v>
      </c>
      <c r="BI109" s="25">
        <v>944</v>
      </c>
      <c r="BJ109" s="25">
        <v>1276</v>
      </c>
      <c r="BK109" s="25">
        <v>1037</v>
      </c>
      <c r="BL109" s="25">
        <v>68128</v>
      </c>
      <c r="BM109" s="25">
        <v>1019</v>
      </c>
      <c r="BN109" s="25">
        <v>201</v>
      </c>
      <c r="BO109" s="25">
        <v>653</v>
      </c>
      <c r="BP109" s="25">
        <v>937</v>
      </c>
      <c r="BQ109" s="25">
        <v>111</v>
      </c>
      <c r="BR109" s="25">
        <v>146</v>
      </c>
      <c r="BS109" s="25">
        <v>45</v>
      </c>
      <c r="BT109" s="25">
        <v>75</v>
      </c>
      <c r="BU109" s="25">
        <v>18</v>
      </c>
      <c r="BV109" s="25">
        <v>306</v>
      </c>
      <c r="BW109" s="25">
        <v>787</v>
      </c>
      <c r="BX109" s="25">
        <v>652</v>
      </c>
      <c r="BY109" s="25">
        <v>197</v>
      </c>
      <c r="BZ109" s="25">
        <v>561</v>
      </c>
      <c r="CA109" s="25">
        <v>190</v>
      </c>
      <c r="CB109" s="25">
        <v>1</v>
      </c>
      <c r="CC109" s="25">
        <v>76</v>
      </c>
      <c r="CD109" s="25">
        <v>185</v>
      </c>
      <c r="CE109" s="25">
        <v>1268</v>
      </c>
      <c r="CF109" s="25">
        <v>6507</v>
      </c>
      <c r="CG109" s="25">
        <v>220</v>
      </c>
      <c r="CH109" s="25">
        <v>572</v>
      </c>
      <c r="CI109" s="25">
        <v>719</v>
      </c>
      <c r="CJ109" s="25">
        <v>1275</v>
      </c>
      <c r="CK109" s="25">
        <v>2076</v>
      </c>
      <c r="CL109" s="25">
        <v>712</v>
      </c>
      <c r="CM109" s="25">
        <v>1501</v>
      </c>
      <c r="CN109" s="25">
        <v>850</v>
      </c>
      <c r="CO109" s="25">
        <v>7682</v>
      </c>
      <c r="CP109" s="25">
        <v>187</v>
      </c>
      <c r="CQ109" s="25">
        <v>11</v>
      </c>
      <c r="CR109" s="25">
        <v>9158</v>
      </c>
      <c r="CS109" s="25">
        <v>1089</v>
      </c>
      <c r="CT109" s="25">
        <v>6972</v>
      </c>
      <c r="CU109" s="25">
        <v>24934</v>
      </c>
      <c r="CV109" s="25">
        <v>5537</v>
      </c>
      <c r="CW109" s="25">
        <v>395</v>
      </c>
      <c r="CX109" s="25">
        <v>315</v>
      </c>
      <c r="CY109" s="25">
        <v>39</v>
      </c>
      <c r="CZ109" s="25">
        <v>1689</v>
      </c>
      <c r="DA109" s="25">
        <v>100</v>
      </c>
      <c r="DB109" s="25">
        <v>131</v>
      </c>
      <c r="DC109" s="25">
        <v>18</v>
      </c>
      <c r="DD109" s="25">
        <v>4995</v>
      </c>
      <c r="DE109" s="25">
        <v>126</v>
      </c>
      <c r="DF109" s="25">
        <v>58</v>
      </c>
      <c r="DG109" s="25">
        <v>151</v>
      </c>
      <c r="DH109" s="25">
        <v>539</v>
      </c>
      <c r="DI109" s="25">
        <v>18</v>
      </c>
      <c r="DJ109" s="25">
        <v>420</v>
      </c>
      <c r="DK109" s="25">
        <v>6</v>
      </c>
      <c r="DL109" s="25">
        <v>38</v>
      </c>
      <c r="DM109" s="25">
        <v>178</v>
      </c>
      <c r="DN109" s="25">
        <v>165764</v>
      </c>
      <c r="DO109" s="25">
        <v>276</v>
      </c>
      <c r="DP109" s="25">
        <v>11</v>
      </c>
      <c r="DQ109" s="25">
        <v>539</v>
      </c>
      <c r="DR109" s="25">
        <v>163009</v>
      </c>
      <c r="DS109" s="25">
        <v>2074</v>
      </c>
      <c r="DT109" s="25">
        <v>2591</v>
      </c>
      <c r="DU109" s="25">
        <v>599</v>
      </c>
      <c r="DV109" s="25">
        <v>1495</v>
      </c>
      <c r="DW109" s="25">
        <v>82</v>
      </c>
      <c r="DX109" s="25">
        <v>81</v>
      </c>
      <c r="DY109" s="25">
        <v>11</v>
      </c>
      <c r="DZ109" s="25">
        <v>771</v>
      </c>
      <c r="EA109" s="25">
        <v>2775</v>
      </c>
      <c r="EB109" s="25">
        <v>1797</v>
      </c>
      <c r="EC109" s="25">
        <v>34863</v>
      </c>
      <c r="ED109" s="25">
        <v>10118</v>
      </c>
      <c r="EE109" s="25">
        <v>94640</v>
      </c>
      <c r="EF109" s="25">
        <v>2085</v>
      </c>
      <c r="EG109" s="25">
        <v>20612</v>
      </c>
      <c r="EH109" s="25">
        <v>15946</v>
      </c>
      <c r="EI109" s="25">
        <v>205463</v>
      </c>
      <c r="EJ109" s="25">
        <v>422</v>
      </c>
      <c r="EK109" s="25">
        <v>14088</v>
      </c>
      <c r="EL109" s="25">
        <v>453</v>
      </c>
      <c r="EM109" s="25">
        <v>3402</v>
      </c>
      <c r="EN109" s="25">
        <v>396</v>
      </c>
      <c r="EO109" s="25">
        <v>10774</v>
      </c>
      <c r="EP109" s="25">
        <v>4024</v>
      </c>
      <c r="EQ109" s="25">
        <v>746</v>
      </c>
      <c r="ER109" s="25">
        <v>858</v>
      </c>
      <c r="ES109" s="25">
        <v>725</v>
      </c>
      <c r="ET109" s="25">
        <v>141</v>
      </c>
      <c r="EU109" s="25">
        <v>82</v>
      </c>
      <c r="EV109" s="25">
        <v>1385</v>
      </c>
      <c r="EW109" s="25">
        <v>3784</v>
      </c>
      <c r="EX109" s="25">
        <v>128</v>
      </c>
      <c r="EY109" s="25">
        <v>6002</v>
      </c>
      <c r="EZ109" s="25">
        <v>468</v>
      </c>
      <c r="FA109" s="25">
        <v>465</v>
      </c>
      <c r="FB109" s="25">
        <v>8</v>
      </c>
      <c r="FC109" s="25">
        <v>332</v>
      </c>
      <c r="FD109" s="25">
        <v>19224</v>
      </c>
      <c r="FE109" s="25">
        <v>3897</v>
      </c>
      <c r="FF109" s="25">
        <v>95</v>
      </c>
      <c r="FG109" s="25">
        <v>38</v>
      </c>
      <c r="FH109" s="25">
        <v>322</v>
      </c>
      <c r="FI109" s="25">
        <v>4423</v>
      </c>
      <c r="FJ109" s="25">
        <v>16</v>
      </c>
      <c r="FK109" s="25">
        <v>57</v>
      </c>
      <c r="FL109" s="25">
        <v>100</v>
      </c>
      <c r="FM109" s="25">
        <v>16</v>
      </c>
      <c r="FN109" s="25">
        <v>75</v>
      </c>
      <c r="FO109" s="25">
        <v>39316</v>
      </c>
      <c r="FP109" s="25">
        <v>1479</v>
      </c>
      <c r="FQ109" s="25">
        <v>14</v>
      </c>
      <c r="FR109" s="25">
        <v>719</v>
      </c>
      <c r="FS109" s="25">
        <v>1932</v>
      </c>
      <c r="FT109" s="25">
        <v>1465</v>
      </c>
      <c r="FU109" s="25">
        <v>7738</v>
      </c>
      <c r="FV109" s="25">
        <v>2348</v>
      </c>
      <c r="FW109" s="25">
        <v>16817</v>
      </c>
      <c r="FX109" s="25">
        <v>6532</v>
      </c>
      <c r="FY109" s="25">
        <v>8</v>
      </c>
      <c r="FZ109" s="25">
        <v>266</v>
      </c>
      <c r="GA109" s="25">
        <v>36976</v>
      </c>
      <c r="GB109" s="25">
        <v>8488</v>
      </c>
      <c r="GC109" s="25">
        <v>12877</v>
      </c>
      <c r="GD109" s="25">
        <v>25045</v>
      </c>
      <c r="GE109" s="25">
        <v>13409</v>
      </c>
      <c r="GF109" s="25">
        <v>12240</v>
      </c>
      <c r="GG109" s="25">
        <v>106498</v>
      </c>
      <c r="GH109" s="25">
        <v>243</v>
      </c>
      <c r="GI109" s="25">
        <v>17</v>
      </c>
      <c r="GJ109" s="25">
        <v>16</v>
      </c>
      <c r="GK109" s="25">
        <v>569</v>
      </c>
      <c r="GL109" s="25">
        <v>22753</v>
      </c>
      <c r="GM109" s="25">
        <v>933</v>
      </c>
      <c r="GN109" s="25">
        <v>9009</v>
      </c>
      <c r="GO109" s="25">
        <v>11</v>
      </c>
      <c r="GP109" s="25">
        <v>16169</v>
      </c>
      <c r="GQ109" s="25">
        <v>1396</v>
      </c>
      <c r="GR109" s="25">
        <v>1429</v>
      </c>
      <c r="GS109" s="25">
        <v>601</v>
      </c>
      <c r="GT109" s="25">
        <v>5647</v>
      </c>
      <c r="GU109" s="25">
        <v>213435</v>
      </c>
      <c r="GV109" s="25">
        <v>663</v>
      </c>
      <c r="GW109" s="25">
        <v>442</v>
      </c>
      <c r="GX109" s="25">
        <v>10</v>
      </c>
      <c r="GY109" s="25">
        <v>21092</v>
      </c>
      <c r="GZ109" s="25">
        <v>29586</v>
      </c>
      <c r="HA109" s="25">
        <v>429</v>
      </c>
      <c r="HB109" s="25">
        <v>480</v>
      </c>
      <c r="HC109" s="25">
        <v>2954</v>
      </c>
      <c r="HD109" s="25">
        <v>116</v>
      </c>
      <c r="HE109" s="25">
        <v>116</v>
      </c>
      <c r="HF109" s="25">
        <v>994</v>
      </c>
      <c r="HG109" s="25">
        <v>120204</v>
      </c>
      <c r="HH109" s="25">
        <v>83</v>
      </c>
      <c r="HI109" s="25">
        <v>10406</v>
      </c>
      <c r="HJ109" s="25">
        <v>12481</v>
      </c>
      <c r="HK109" s="25">
        <v>114</v>
      </c>
      <c r="HL109" s="25">
        <v>73</v>
      </c>
      <c r="HM109" s="25">
        <v>537</v>
      </c>
      <c r="HN109" s="25">
        <v>144</v>
      </c>
      <c r="HO109" s="25">
        <v>315</v>
      </c>
      <c r="HP109" s="25">
        <v>11</v>
      </c>
      <c r="HQ109" s="25">
        <v>171253</v>
      </c>
      <c r="HR109" s="25">
        <v>643</v>
      </c>
      <c r="HS109" s="25">
        <v>1069424</v>
      </c>
      <c r="HT109" s="25">
        <v>2039</v>
      </c>
      <c r="HU109" s="25">
        <v>333</v>
      </c>
      <c r="HV109" s="25">
        <v>270</v>
      </c>
      <c r="HW109" s="25">
        <v>106</v>
      </c>
      <c r="HX109" s="25">
        <v>40</v>
      </c>
      <c r="HY109" s="25">
        <v>0</v>
      </c>
      <c r="HZ109" s="25">
        <v>16</v>
      </c>
      <c r="IA109" s="25">
        <v>20</v>
      </c>
      <c r="IB109" s="25">
        <v>76</v>
      </c>
      <c r="IC109" s="25">
        <v>43</v>
      </c>
      <c r="ID109" s="25">
        <v>24</v>
      </c>
      <c r="IE109" s="25">
        <v>18</v>
      </c>
      <c r="IF109" s="25">
        <v>0</v>
      </c>
      <c r="IG109" s="25">
        <v>19</v>
      </c>
      <c r="IH109" s="25">
        <v>61</v>
      </c>
      <c r="II109" s="25">
        <v>344</v>
      </c>
      <c r="IJ109" s="25">
        <v>205</v>
      </c>
      <c r="IK109" s="25">
        <v>490</v>
      </c>
      <c r="IL109" s="25">
        <v>15</v>
      </c>
      <c r="IM109" s="25">
        <v>5</v>
      </c>
      <c r="IN109" s="25">
        <v>11</v>
      </c>
      <c r="IO109" s="25">
        <v>806</v>
      </c>
      <c r="IP109" s="25">
        <v>151</v>
      </c>
      <c r="IQ109" s="25">
        <v>3</v>
      </c>
      <c r="IR109" s="25">
        <v>6</v>
      </c>
      <c r="IS109" s="25">
        <v>12</v>
      </c>
      <c r="IT109" s="25">
        <v>9</v>
      </c>
      <c r="IU109" s="25">
        <v>23</v>
      </c>
      <c r="IV109" s="25">
        <v>11</v>
      </c>
      <c r="IW109" s="25">
        <v>124</v>
      </c>
      <c r="IX109" s="25">
        <v>5</v>
      </c>
      <c r="IY109" s="25">
        <v>37</v>
      </c>
      <c r="IZ109" s="25">
        <v>13</v>
      </c>
      <c r="JA109" s="25">
        <v>1</v>
      </c>
      <c r="JB109" s="25">
        <v>35</v>
      </c>
      <c r="JC109" s="25">
        <v>6</v>
      </c>
      <c r="JD109" s="25">
        <v>14</v>
      </c>
      <c r="JE109" s="25">
        <v>6</v>
      </c>
      <c r="JF109" s="25">
        <v>1</v>
      </c>
      <c r="JG109" s="25">
        <v>15</v>
      </c>
      <c r="JH109" s="25">
        <v>0</v>
      </c>
      <c r="JI109" s="25">
        <v>145</v>
      </c>
      <c r="JJ109" s="25">
        <v>14</v>
      </c>
      <c r="JK109" s="25">
        <v>1539</v>
      </c>
      <c r="JL109" s="25">
        <v>66</v>
      </c>
      <c r="JM109" s="25">
        <v>7088</v>
      </c>
      <c r="JN109" s="25">
        <v>355</v>
      </c>
      <c r="JO109" s="25">
        <v>7655</v>
      </c>
      <c r="JP109" s="25">
        <v>3281</v>
      </c>
      <c r="JQ109" s="25">
        <v>50130</v>
      </c>
      <c r="JR109" s="25">
        <v>15284</v>
      </c>
      <c r="JS109" s="25">
        <v>27700</v>
      </c>
      <c r="JT109" s="25">
        <v>4734</v>
      </c>
      <c r="JU109" s="25">
        <v>4323</v>
      </c>
      <c r="JV109" s="25">
        <v>33690</v>
      </c>
      <c r="JW109" s="25">
        <v>26264</v>
      </c>
      <c r="JX109" s="25">
        <v>618</v>
      </c>
      <c r="JY109" s="25">
        <v>1984</v>
      </c>
      <c r="JZ109" s="25">
        <v>52918</v>
      </c>
      <c r="KA109" s="25">
        <v>17835</v>
      </c>
      <c r="KB109" s="25">
        <v>7145</v>
      </c>
      <c r="KC109" s="25">
        <v>4413</v>
      </c>
      <c r="KD109" s="25">
        <v>4708</v>
      </c>
      <c r="KE109" s="25">
        <v>28001</v>
      </c>
      <c r="KF109" s="25">
        <v>1095</v>
      </c>
      <c r="KG109" s="25">
        <v>21742</v>
      </c>
      <c r="KH109" s="25">
        <v>62205</v>
      </c>
      <c r="KI109" s="25">
        <v>41379</v>
      </c>
      <c r="KJ109" s="25">
        <v>5136</v>
      </c>
      <c r="KK109" s="25">
        <v>6815</v>
      </c>
      <c r="KL109" s="25">
        <v>7818</v>
      </c>
      <c r="KM109" s="25">
        <v>453</v>
      </c>
      <c r="KN109" s="25">
        <v>4281</v>
      </c>
      <c r="KO109" s="25">
        <v>5053</v>
      </c>
      <c r="KP109" s="25">
        <v>2146</v>
      </c>
      <c r="KQ109" s="25">
        <v>118652</v>
      </c>
      <c r="KR109" s="25">
        <v>3411</v>
      </c>
      <c r="KS109" s="25">
        <v>304372</v>
      </c>
      <c r="KT109" s="25">
        <v>10754</v>
      </c>
      <c r="KU109" s="25">
        <v>1067</v>
      </c>
      <c r="KV109" s="25">
        <v>18027</v>
      </c>
      <c r="KW109" s="25">
        <v>3618</v>
      </c>
      <c r="KX109" s="25">
        <v>2510</v>
      </c>
      <c r="KY109" s="25">
        <v>47971</v>
      </c>
      <c r="KZ109" s="25">
        <v>8621</v>
      </c>
      <c r="LA109" s="25">
        <v>6095</v>
      </c>
      <c r="LB109" s="25">
        <v>2449</v>
      </c>
      <c r="LC109" s="25">
        <v>10735</v>
      </c>
      <c r="LD109" s="25">
        <v>28727</v>
      </c>
      <c r="LE109" s="25">
        <v>4672</v>
      </c>
      <c r="LF109" s="25">
        <v>866</v>
      </c>
      <c r="LG109" s="25">
        <v>15847</v>
      </c>
      <c r="LH109" s="25">
        <v>14327</v>
      </c>
      <c r="LI109" s="25">
        <v>1125</v>
      </c>
      <c r="LJ109" s="25">
        <v>6854</v>
      </c>
      <c r="LK109" s="25">
        <v>559</v>
      </c>
      <c r="LL109" s="25">
        <v>49</v>
      </c>
      <c r="LM109" s="25">
        <v>103</v>
      </c>
      <c r="LN109" s="11">
        <f ca="1">$A109 - TST!Sweden100dt + 1</f>
        <v>55</v>
      </c>
      <c r="LO109" s="20">
        <f ca="1">INDEX(OFFSET(TST!HeadRow,ROW()-ROW(TST!HeadRow),0,1,COLUMNS(TST!HeadRow)),1,MATCH(LO$5,TST!HeadRow,0))/LO$8</f>
        <v>20617.7908113392</v>
      </c>
      <c r="LP109" s="278">
        <f ca="1">$A109 - TST!Spain100dt + 1</f>
        <v>55</v>
      </c>
      <c r="LQ109" s="20">
        <f ca="1">INDEX(OFFSET(TST!HeadRow,ROW()-ROW(TST!HeadRow),0,1,COLUMNS(TST!HeadRow)),1,MATCH(LQ$5,TST!HeadRow,0))/LQ$8</f>
        <v>45469.748615253513</v>
      </c>
      <c r="LR109" s="285">
        <f ca="1">$A109 - TST!Victoria100dt + 1</f>
        <v>46</v>
      </c>
      <c r="LS109" s="20">
        <f t="shared" si="11"/>
        <v>2057.6255845527226</v>
      </c>
      <c r="LT109" s="278">
        <f ca="1">$A109 - TST!Iran100dt + 1</f>
        <v>61</v>
      </c>
      <c r="LU109" s="20">
        <f ca="1">INDEX(OFFSET(TST!HeadRow,ROW()-ROW(TST!HeadRow),0,1,COLUMNS(TST!HeadRow)),1,MATCH(LU$5,TST!HeadRow,0))/LU$8</f>
        <v>11297.195993935993</v>
      </c>
      <c r="LV109" s="278">
        <f ca="1">$A109 - TST!Japan100dt + 1</f>
        <v>37</v>
      </c>
      <c r="LW109" s="20">
        <f ca="1">INDEX(OFFSET(TST!HeadRow,ROW()-ROW(TST!HeadRow),0,1,COLUMNS(TST!HeadRow)),1,MATCH(LW$5,TST!HeadRow,0))/LW$8</f>
        <v>1113.1989033979378</v>
      </c>
      <c r="LX109" s="278">
        <f ca="1">$A109 - TST!Queensland100dt + 1</f>
        <v>47</v>
      </c>
      <c r="LY109" s="20">
        <f ca="1">INDEX(OFFSET(TST!HeadRow,ROW()-ROW(TST!HeadRow),0,1,COLUMNS(TST!HeadRow)),1,MATCH(LY$5,TST!HeadRow,0))/LY$8</f>
        <v>2019.3722899505831</v>
      </c>
      <c r="LZ109" s="278">
        <f ca="1">$A109 - TST!Tasmania100dt + 1</f>
        <v>47</v>
      </c>
      <c r="MA109" s="20">
        <f ca="1">INDEX(OFFSET(TST!HeadRow,ROW()-ROW(TST!HeadRow),0,1,COLUMNS(TST!HeadRow)),1,MATCH(MA$5,TST!HeadRow,0))/MA$8</f>
        <v>4291.2621359223303</v>
      </c>
      <c r="MB109" s="278">
        <f ca="1">$A109 - TST!SouthAustralia100dt + 1</f>
        <v>48</v>
      </c>
      <c r="MC109" s="20">
        <f ca="1">INDEX(OFFSET(TST!HeadRow,ROW()-ROW(TST!HeadRow),0,1,COLUMNS(TST!HeadRow)),1,MATCH(MC$5,TST!HeadRow,0))/MC$8</f>
        <v>2622.754491017964</v>
      </c>
      <c r="MD109" s="11">
        <f ca="1">$A109 - TST!AustralianCapitalTerritory100dt + 1</f>
        <v>42</v>
      </c>
      <c r="ME109" s="20">
        <f ca="1">INDEX(OFFSET(TST!HeadRow,ROW()-ROW(TST!HeadRow),0,1,COLUMNS(TST!HeadRow)),1,MATCH(ME$5,TST!HeadRow,0))/ME$8</f>
        <v>2476.2883707891419</v>
      </c>
      <c r="MF109" s="11">
        <f ca="1">$A109 - TST!NorthernTerritory100dt + 1</f>
        <v>42</v>
      </c>
      <c r="MG109" s="20">
        <f ca="1">INDEX(OFFSET(TST!HeadRow,ROW()-ROW(TST!HeadRow),0,1,COLUMNS(TST!HeadRow)),1,MATCH(MG$5,TST!HeadRow,0))/MG$8</f>
        <v>1321.0974545282972</v>
      </c>
      <c r="MH109" s="278">
        <f ca="1">$A109 - TST!WesternAustralia100dt + 1</f>
        <v>46</v>
      </c>
      <c r="MI109" s="20">
        <f ca="1">INDEX(OFFSET(TST!HeadRow,ROW()-ROW(TST!HeadRow),0,1,COLUMNS(TST!HeadRow)),1,MATCH(MI$5,TST!HeadRow,0))/MI$8</f>
        <v>2128.2348397064502</v>
      </c>
      <c r="MJ109" s="278">
        <f ca="1">$A109 - TST!Germany100dt + 1</f>
        <v>54</v>
      </c>
      <c r="MK109" s="20">
        <f ca="1">INDEX(OFFSET(TST!HeadRow,ROW()-ROW(TST!HeadRow),0,1,COLUMNS(TST!HeadRow)),1,MATCH(MK$5,TST!HeadRow,0))/MK$8</f>
        <v>19634.907251264758</v>
      </c>
      <c r="ML109" s="278">
        <f ca="1">$A109 - TST!Denmark100dt + 1</f>
        <v>53</v>
      </c>
      <c r="MM109" s="20">
        <f ca="1">INDEX(OFFSET(TST!HeadRow,ROW()-ROW(TST!HeadRow),0,1,COLUMNS(TST!HeadRow)),1,MATCH(MM$5,TST!HeadRow,0))/MM$8</f>
        <v>15773.337926283155</v>
      </c>
      <c r="MN109" s="278">
        <f ca="1">$A109 - TST!SouthAfrica100dt + 1</f>
        <v>37</v>
      </c>
      <c r="MO109" s="20">
        <f ca="1">INDEX(OFFSET(TST!HeadRow,ROW()-ROW(TST!HeadRow),0,1,COLUMNS(TST!HeadRow)),1,MATCH(MO$5,TST!HeadRow,0))/MO$8</f>
        <v>977.32779508480451</v>
      </c>
      <c r="MP109" s="278">
        <f ca="1">$A109 - TST!UnitedKingdom100dt + 1</f>
        <v>49</v>
      </c>
      <c r="MQ109" s="20">
        <f ca="1">INDEX(OFFSET(TST!HeadRow,ROW()-ROW(TST!HeadRow),0,1,COLUMNS(TST!HeadRow)),1,MATCH(MQ$5,TST!HeadRow,0))/MQ$8</f>
        <v>25775.58699578567</v>
      </c>
      <c r="MR109" s="278">
        <f ca="1">$A109 - TST!Ireland100dt + 1</f>
        <v>49</v>
      </c>
      <c r="MS109" s="20">
        <f ca="1">INDEX(OFFSET(TST!HeadRow,ROW()-ROW(TST!HeadRow),0,1,COLUMNS(TST!HeadRow)),1,MATCH(MS$5,TST!HeadRow,0))/MS$8</f>
        <v>42065.306122448979</v>
      </c>
      <c r="MT109" s="278">
        <f ca="1">$A109 - TST!Italy100dt + 1</f>
        <v>64</v>
      </c>
      <c r="MU109" s="20">
        <f ca="1">INDEX(OFFSET(TST!HeadRow,ROW()-ROW(TST!HeadRow),0,1,COLUMNS(TST!HeadRow)),1,MATCH(MU$5,TST!HeadRow,0))/MU$8</f>
        <v>33969.24857402662</v>
      </c>
      <c r="MV109" s="20">
        <f ca="1">$A109 - TST!US100dt + 1</f>
        <v>47</v>
      </c>
      <c r="MW109" s="20">
        <f ca="1">INDEX(OFFSET(TST!HeadRow,ROW()-ROW(TST!HeadRow),0,1,COLUMNS(TST!HeadRow)),1,MATCH(MW$5,TST!HeadRow,0))/MW$8</f>
        <v>32482.802953065813</v>
      </c>
      <c r="MX109" s="278">
        <f ca="1">$A109 - TST!AustraliaSum100dt + 1</f>
        <v>47</v>
      </c>
      <c r="MY109" s="366">
        <f t="shared" si="12"/>
        <v>2667.5603217158177</v>
      </c>
      <c r="MZ109" s="278">
        <f ca="1">$A109 - TST!NewSouthWales100dt + 1</f>
        <v>49</v>
      </c>
      <c r="NA109" s="366">
        <f ca="1">INDEX(OFFSET(TST!HeadRow,ROW()-ROW(TST!HeadRow),0,1,COLUMNS(TST!HeadRow)),1,MATCH(NA$5,TST!HeadRow,0))/NA$8</f>
        <v>3743.8118811881186</v>
      </c>
      <c r="NB109" s="20">
        <f ca="1">$A109 - TST!Taiwan100dt + 1</f>
        <v>36</v>
      </c>
      <c r="NC109" s="366">
        <f ca="1">INDEX(OFFSET(TST!HeadRow,ROW()-ROW(TST!HeadRow),0,1,COLUMNS(TST!HeadRow)),1,MATCH(NC$5,TST!HeadRow,0))/NC$8</f>
        <v>180.1969666255896</v>
      </c>
      <c r="ND109" s="20">
        <f ca="1">$A109 - TST!Hubei100dt + 1</f>
        <v>97</v>
      </c>
      <c r="NE109" s="20">
        <f ca="1">INDEX(OFFSET(TST!HeadRow,ROW()-ROW(TST!HeadRow),0,1,COLUMNS(TST!HeadRow)),1,MATCH(NE$5,TST!HeadRow,0))/NE$8</f>
        <v>11645.811965811967</v>
      </c>
      <c r="NF109" s="20">
        <f ca="1">$A109 - TST!HongKong100dt + 1</f>
        <v>67</v>
      </c>
      <c r="NG109" s="20">
        <f ca="1">INDEX(OFFSET(TST!HeadRow,ROW()-ROW(TST!HeadRow),0,1,COLUMNS(TST!HeadRow)),1,MATCH(NG$5,TST!HeadRow,0))/NG$8</f>
        <v>1391.7594953697489</v>
      </c>
    </row>
    <row r="110" spans="1:371" x14ac:dyDescent="0.25">
      <c r="A110" s="156">
        <v>43952</v>
      </c>
      <c r="B110" s="25">
        <v>2335</v>
      </c>
      <c r="C110" s="25">
        <v>782</v>
      </c>
      <c r="D110" s="25">
        <v>4154</v>
      </c>
      <c r="E110" s="25">
        <v>745</v>
      </c>
      <c r="F110" s="25">
        <v>30</v>
      </c>
      <c r="G110" s="25">
        <v>25</v>
      </c>
      <c r="H110" s="25">
        <v>4532</v>
      </c>
      <c r="I110" s="25">
        <v>2148</v>
      </c>
      <c r="J110" s="25">
        <v>106</v>
      </c>
      <c r="K110" s="292">
        <v>3030</v>
      </c>
      <c r="L110" s="25">
        <v>27</v>
      </c>
      <c r="M110" s="289">
        <v>1034</v>
      </c>
      <c r="N110" s="25">
        <v>438</v>
      </c>
      <c r="O110" s="40">
        <v>221</v>
      </c>
      <c r="P110" s="286">
        <v>1371</v>
      </c>
      <c r="Q110" s="25">
        <v>551</v>
      </c>
      <c r="R110" s="25">
        <v>15531</v>
      </c>
      <c r="S110" s="25">
        <v>1854</v>
      </c>
      <c r="T110" s="25">
        <v>81</v>
      </c>
      <c r="U110" s="25">
        <v>3170</v>
      </c>
      <c r="V110" s="25">
        <v>8238</v>
      </c>
      <c r="W110" s="25">
        <v>81</v>
      </c>
      <c r="X110" s="25">
        <v>14917</v>
      </c>
      <c r="Y110" s="25">
        <v>49032</v>
      </c>
      <c r="Z110" s="25">
        <v>90</v>
      </c>
      <c r="AA110" s="25">
        <v>7</v>
      </c>
      <c r="AB110" s="25">
        <v>1229</v>
      </c>
      <c r="AC110" s="25">
        <v>1781</v>
      </c>
      <c r="AD110" s="25">
        <v>92202</v>
      </c>
      <c r="AE110" s="25">
        <v>138</v>
      </c>
      <c r="AF110" s="25">
        <v>1555</v>
      </c>
      <c r="AG110" s="25">
        <v>649</v>
      </c>
      <c r="AH110" s="25">
        <v>122</v>
      </c>
      <c r="AI110" s="25">
        <v>122</v>
      </c>
      <c r="AJ110" s="25">
        <v>1832</v>
      </c>
      <c r="AK110" s="25">
        <v>5573</v>
      </c>
      <c r="AL110" s="25">
        <v>2145</v>
      </c>
      <c r="AM110" s="25">
        <v>13</v>
      </c>
      <c r="AN110" s="25">
        <v>281</v>
      </c>
      <c r="AO110" s="25">
        <v>118</v>
      </c>
      <c r="AP110" s="25">
        <v>259</v>
      </c>
      <c r="AQ110" s="25">
        <v>959</v>
      </c>
      <c r="AR110" s="25">
        <v>17880</v>
      </c>
      <c r="AS110" s="25">
        <v>27</v>
      </c>
      <c r="AT110" s="25">
        <v>28656</v>
      </c>
      <c r="AU110" s="25">
        <v>415</v>
      </c>
      <c r="AV110" s="25">
        <v>72</v>
      </c>
      <c r="AW110" s="25">
        <v>73</v>
      </c>
      <c r="AX110" s="25">
        <v>17008</v>
      </c>
      <c r="AY110" s="25">
        <v>991</v>
      </c>
      <c r="AZ110" s="25">
        <v>593</v>
      </c>
      <c r="BA110" s="25">
        <v>579</v>
      </c>
      <c r="BB110" s="25">
        <v>356</v>
      </c>
      <c r="BC110" s="25">
        <v>139</v>
      </c>
      <c r="BD110" s="25">
        <v>1588</v>
      </c>
      <c r="BE110" s="25">
        <v>254</v>
      </c>
      <c r="BF110" s="25">
        <v>147</v>
      </c>
      <c r="BG110" s="25">
        <v>168</v>
      </c>
      <c r="BH110" s="25">
        <v>328</v>
      </c>
      <c r="BI110" s="25">
        <v>944</v>
      </c>
      <c r="BJ110" s="25">
        <v>1276</v>
      </c>
      <c r="BK110" s="25">
        <v>1039</v>
      </c>
      <c r="BL110" s="25">
        <v>68128</v>
      </c>
      <c r="BM110" s="25">
        <v>1019</v>
      </c>
      <c r="BN110" s="25">
        <v>201</v>
      </c>
      <c r="BO110" s="25">
        <v>653</v>
      </c>
      <c r="BP110" s="25">
        <v>937</v>
      </c>
      <c r="BQ110" s="25">
        <v>112</v>
      </c>
      <c r="BR110" s="25">
        <v>146</v>
      </c>
      <c r="BS110" s="25">
        <v>45</v>
      </c>
      <c r="BT110" s="25">
        <v>75</v>
      </c>
      <c r="BU110" s="25">
        <v>18</v>
      </c>
      <c r="BV110" s="25">
        <v>306</v>
      </c>
      <c r="BW110" s="25">
        <v>787</v>
      </c>
      <c r="BX110" s="25">
        <v>652</v>
      </c>
      <c r="BY110" s="25">
        <v>197</v>
      </c>
      <c r="BZ110" s="25">
        <v>561</v>
      </c>
      <c r="CA110" s="25">
        <v>190</v>
      </c>
      <c r="CB110" s="25">
        <v>1</v>
      </c>
      <c r="CC110" s="25">
        <v>76</v>
      </c>
      <c r="CD110" s="25">
        <v>185</v>
      </c>
      <c r="CE110" s="25">
        <v>1268</v>
      </c>
      <c r="CF110" s="25">
        <v>7006</v>
      </c>
      <c r="CG110" s="25">
        <v>229</v>
      </c>
      <c r="CH110" s="25">
        <v>604</v>
      </c>
      <c r="CI110" s="25">
        <v>725</v>
      </c>
      <c r="CJ110" s="25">
        <v>1333</v>
      </c>
      <c r="CK110" s="25">
        <v>2085</v>
      </c>
      <c r="CL110" s="25">
        <v>712</v>
      </c>
      <c r="CM110" s="25">
        <v>1537</v>
      </c>
      <c r="CN110" s="25">
        <v>857</v>
      </c>
      <c r="CO110" s="25">
        <v>7737</v>
      </c>
      <c r="CP110" s="25">
        <v>187</v>
      </c>
      <c r="CQ110" s="25">
        <v>11</v>
      </c>
      <c r="CR110" s="25">
        <v>9311</v>
      </c>
      <c r="CS110" s="25">
        <v>1097</v>
      </c>
      <c r="CT110" s="25">
        <v>7288</v>
      </c>
      <c r="CU110" s="25">
        <v>26336</v>
      </c>
      <c r="CV110" s="25">
        <v>5895</v>
      </c>
      <c r="CW110" s="25">
        <v>424</v>
      </c>
      <c r="CX110" s="25">
        <v>315</v>
      </c>
      <c r="CY110" s="25">
        <v>39</v>
      </c>
      <c r="CZ110" s="25">
        <v>1694</v>
      </c>
      <c r="DA110" s="25">
        <v>106</v>
      </c>
      <c r="DB110" s="25">
        <v>133</v>
      </c>
      <c r="DC110" s="25">
        <v>18</v>
      </c>
      <c r="DD110" s="25">
        <v>5051</v>
      </c>
      <c r="DE110" s="25">
        <v>128</v>
      </c>
      <c r="DF110" s="25">
        <v>58</v>
      </c>
      <c r="DG110" s="25">
        <v>152</v>
      </c>
      <c r="DH110" s="25">
        <v>539</v>
      </c>
      <c r="DI110" s="25">
        <v>18</v>
      </c>
      <c r="DJ110" s="25">
        <v>422</v>
      </c>
      <c r="DK110" s="25">
        <v>6</v>
      </c>
      <c r="DL110" s="25">
        <v>38</v>
      </c>
      <c r="DM110" s="25">
        <v>179</v>
      </c>
      <c r="DN110" s="25">
        <v>165764</v>
      </c>
      <c r="DO110" s="25">
        <v>276</v>
      </c>
      <c r="DP110" s="25">
        <v>12</v>
      </c>
      <c r="DQ110" s="25">
        <v>566</v>
      </c>
      <c r="DR110" s="25">
        <v>164077</v>
      </c>
      <c r="DS110" s="25">
        <v>2074</v>
      </c>
      <c r="DT110" s="25">
        <v>2612</v>
      </c>
      <c r="DU110" s="25">
        <v>644</v>
      </c>
      <c r="DV110" s="25">
        <v>1537</v>
      </c>
      <c r="DW110" s="25">
        <v>82</v>
      </c>
      <c r="DX110" s="25">
        <v>85</v>
      </c>
      <c r="DY110" s="25">
        <v>11</v>
      </c>
      <c r="DZ110" s="25">
        <v>804</v>
      </c>
      <c r="EA110" s="25">
        <v>2863</v>
      </c>
      <c r="EB110" s="25">
        <v>1798</v>
      </c>
      <c r="EC110" s="25">
        <v>37257</v>
      </c>
      <c r="ED110" s="25">
        <v>10551</v>
      </c>
      <c r="EE110" s="25">
        <v>95646</v>
      </c>
      <c r="EF110" s="25">
        <v>2153</v>
      </c>
      <c r="EG110" s="25">
        <v>20833</v>
      </c>
      <c r="EH110" s="25">
        <v>16101</v>
      </c>
      <c r="EI110" s="25">
        <v>207428</v>
      </c>
      <c r="EJ110" s="25">
        <v>432</v>
      </c>
      <c r="EK110" s="25">
        <v>14305</v>
      </c>
      <c r="EL110" s="25">
        <v>459</v>
      </c>
      <c r="EM110" s="25">
        <v>3597</v>
      </c>
      <c r="EN110" s="25">
        <v>411</v>
      </c>
      <c r="EO110" s="25">
        <v>10780</v>
      </c>
      <c r="EP110" s="25">
        <v>4377</v>
      </c>
      <c r="EQ110" s="25">
        <v>756</v>
      </c>
      <c r="ER110" s="25">
        <v>870</v>
      </c>
      <c r="ES110" s="25">
        <v>729</v>
      </c>
      <c r="ET110" s="25">
        <v>152</v>
      </c>
      <c r="EU110" s="25">
        <v>82</v>
      </c>
      <c r="EV110" s="25">
        <v>1399</v>
      </c>
      <c r="EW110" s="25">
        <v>3802</v>
      </c>
      <c r="EX110" s="25">
        <v>132</v>
      </c>
      <c r="EY110" s="25">
        <v>6071</v>
      </c>
      <c r="EZ110" s="25">
        <v>491</v>
      </c>
      <c r="FA110" s="25">
        <v>467</v>
      </c>
      <c r="FB110" s="25">
        <v>8</v>
      </c>
      <c r="FC110" s="25">
        <v>332</v>
      </c>
      <c r="FD110" s="25">
        <v>20739</v>
      </c>
      <c r="FE110" s="25">
        <v>3980</v>
      </c>
      <c r="FF110" s="25">
        <v>95</v>
      </c>
      <c r="FG110" s="25">
        <v>38</v>
      </c>
      <c r="FH110" s="25">
        <v>322</v>
      </c>
      <c r="FI110" s="25">
        <v>4569</v>
      </c>
      <c r="FJ110" s="25">
        <v>16</v>
      </c>
      <c r="FK110" s="25">
        <v>59</v>
      </c>
      <c r="FL110" s="25">
        <v>100</v>
      </c>
      <c r="FM110" s="25">
        <v>16</v>
      </c>
      <c r="FN110" s="25">
        <v>76</v>
      </c>
      <c r="FO110" s="25">
        <v>39791</v>
      </c>
      <c r="FP110" s="25">
        <v>1485</v>
      </c>
      <c r="FQ110" s="25">
        <v>14</v>
      </c>
      <c r="FR110" s="25">
        <v>728</v>
      </c>
      <c r="FS110" s="25">
        <v>2170</v>
      </c>
      <c r="FT110" s="25">
        <v>1494</v>
      </c>
      <c r="FU110" s="25">
        <v>7783</v>
      </c>
      <c r="FV110" s="25">
        <v>2447</v>
      </c>
      <c r="FW110" s="25">
        <v>18114</v>
      </c>
      <c r="FX110" s="25">
        <v>6720</v>
      </c>
      <c r="FY110" s="25">
        <v>8</v>
      </c>
      <c r="FZ110" s="25">
        <v>333</v>
      </c>
      <c r="GA110" s="25">
        <v>40459</v>
      </c>
      <c r="GB110" s="25">
        <v>8772</v>
      </c>
      <c r="GC110" s="25">
        <v>13105</v>
      </c>
      <c r="GD110" s="25">
        <v>25351</v>
      </c>
      <c r="GE110" s="25">
        <v>14096</v>
      </c>
      <c r="GF110" s="25">
        <v>12567</v>
      </c>
      <c r="GG110" s="25">
        <v>114431</v>
      </c>
      <c r="GH110" s="25">
        <v>249</v>
      </c>
      <c r="GI110" s="25">
        <v>17</v>
      </c>
      <c r="GJ110" s="25">
        <v>16</v>
      </c>
      <c r="GK110" s="25">
        <v>580</v>
      </c>
      <c r="GL110" s="25">
        <v>24097</v>
      </c>
      <c r="GM110" s="25">
        <v>1024</v>
      </c>
      <c r="GN110" s="25">
        <v>9009</v>
      </c>
      <c r="GO110" s="25">
        <v>11</v>
      </c>
      <c r="GP110" s="25">
        <v>17101</v>
      </c>
      <c r="GQ110" s="25">
        <v>1403</v>
      </c>
      <c r="GR110" s="25">
        <v>1434</v>
      </c>
      <c r="GS110" s="25">
        <v>601</v>
      </c>
      <c r="GT110" s="25">
        <v>5951</v>
      </c>
      <c r="GU110" s="25">
        <v>213435</v>
      </c>
      <c r="GV110" s="25">
        <v>690</v>
      </c>
      <c r="GW110" s="25">
        <v>533</v>
      </c>
      <c r="GX110" s="25">
        <v>10</v>
      </c>
      <c r="GY110" s="25">
        <v>21520</v>
      </c>
      <c r="GZ110" s="25">
        <v>29705</v>
      </c>
      <c r="HA110" s="25">
        <v>429</v>
      </c>
      <c r="HB110" s="25">
        <v>480</v>
      </c>
      <c r="HC110" s="25">
        <v>2960</v>
      </c>
      <c r="HD110" s="25">
        <v>123</v>
      </c>
      <c r="HE110" s="25">
        <v>116</v>
      </c>
      <c r="HF110" s="25">
        <v>998</v>
      </c>
      <c r="HG110" s="25">
        <v>122392</v>
      </c>
      <c r="HH110" s="25">
        <v>85</v>
      </c>
      <c r="HI110" s="25">
        <v>10861</v>
      </c>
      <c r="HJ110" s="25">
        <v>13038</v>
      </c>
      <c r="HK110" s="25">
        <v>114</v>
      </c>
      <c r="HL110" s="25">
        <v>74</v>
      </c>
      <c r="HM110" s="25">
        <v>538</v>
      </c>
      <c r="HN110" s="25">
        <v>144</v>
      </c>
      <c r="HO110" s="25">
        <v>316</v>
      </c>
      <c r="HP110" s="25">
        <v>11</v>
      </c>
      <c r="HQ110" s="25">
        <v>177454</v>
      </c>
      <c r="HR110" s="25">
        <v>648</v>
      </c>
      <c r="HS110" s="25">
        <v>1103461</v>
      </c>
      <c r="HT110" s="25">
        <v>2086</v>
      </c>
      <c r="HU110" s="25">
        <v>335</v>
      </c>
      <c r="HV110" s="25">
        <v>270</v>
      </c>
      <c r="HW110" s="25">
        <v>109</v>
      </c>
      <c r="HX110" s="25">
        <v>40</v>
      </c>
      <c r="HY110" s="25">
        <v>1</v>
      </c>
      <c r="HZ110" s="25">
        <v>16</v>
      </c>
      <c r="IA110" s="25">
        <v>20</v>
      </c>
      <c r="IB110" s="25">
        <v>79</v>
      </c>
      <c r="IC110" s="25">
        <v>44</v>
      </c>
      <c r="ID110" s="25">
        <v>24</v>
      </c>
      <c r="IE110" s="25">
        <v>18</v>
      </c>
      <c r="IF110" s="25">
        <v>0</v>
      </c>
      <c r="IG110" s="25">
        <v>19</v>
      </c>
      <c r="IH110" s="25">
        <v>63</v>
      </c>
      <c r="II110" s="25">
        <v>353</v>
      </c>
      <c r="IJ110" s="25">
        <v>257</v>
      </c>
      <c r="IK110" s="25">
        <v>508</v>
      </c>
      <c r="IL110" s="25">
        <v>15</v>
      </c>
      <c r="IM110" s="25">
        <v>5</v>
      </c>
      <c r="IN110" s="25">
        <v>11</v>
      </c>
      <c r="IO110" s="25">
        <v>806</v>
      </c>
      <c r="IP110" s="25">
        <v>151</v>
      </c>
      <c r="IQ110" s="25">
        <v>3</v>
      </c>
      <c r="IR110" s="25">
        <v>6</v>
      </c>
      <c r="IS110" s="25">
        <v>12</v>
      </c>
      <c r="IT110" s="25">
        <v>9</v>
      </c>
      <c r="IU110" s="25">
        <v>23</v>
      </c>
      <c r="IV110" s="25">
        <v>11</v>
      </c>
      <c r="IW110" s="25">
        <v>136</v>
      </c>
      <c r="IX110" s="25">
        <v>6</v>
      </c>
      <c r="IY110" s="25">
        <v>37</v>
      </c>
      <c r="IZ110" s="25">
        <v>13</v>
      </c>
      <c r="JA110" s="25">
        <v>1</v>
      </c>
      <c r="JB110" s="25">
        <v>45</v>
      </c>
      <c r="JC110" s="25">
        <v>6</v>
      </c>
      <c r="JD110" s="25">
        <v>16</v>
      </c>
      <c r="JE110" s="25">
        <v>7</v>
      </c>
      <c r="JF110" s="25">
        <v>1</v>
      </c>
      <c r="JG110" s="25">
        <v>15</v>
      </c>
      <c r="JH110" s="25">
        <v>0</v>
      </c>
      <c r="JI110" s="25">
        <v>145</v>
      </c>
      <c r="JJ110" s="25">
        <v>14</v>
      </c>
      <c r="JK110" s="25">
        <v>1575</v>
      </c>
      <c r="JL110" s="25">
        <v>66</v>
      </c>
      <c r="JM110" s="25">
        <v>7294</v>
      </c>
      <c r="JN110" s="25">
        <v>364</v>
      </c>
      <c r="JO110" s="25">
        <v>7969</v>
      </c>
      <c r="JP110" s="25">
        <v>3337</v>
      </c>
      <c r="JQ110" s="25">
        <v>52026</v>
      </c>
      <c r="JR110" s="25">
        <v>15793</v>
      </c>
      <c r="JS110" s="25">
        <v>28764</v>
      </c>
      <c r="JT110" s="25">
        <v>4918</v>
      </c>
      <c r="JU110" s="25">
        <v>4658</v>
      </c>
      <c r="JV110" s="25">
        <v>34728</v>
      </c>
      <c r="JW110" s="25">
        <v>27489</v>
      </c>
      <c r="JX110" s="25">
        <v>619</v>
      </c>
      <c r="JY110" s="25">
        <v>2015</v>
      </c>
      <c r="JZ110" s="25">
        <v>56055</v>
      </c>
      <c r="KA110" s="25">
        <v>18630</v>
      </c>
      <c r="KB110" s="25">
        <v>7884</v>
      </c>
      <c r="KC110" s="25">
        <v>4634</v>
      </c>
      <c r="KD110" s="25">
        <v>4882</v>
      </c>
      <c r="KE110" s="25">
        <v>28711</v>
      </c>
      <c r="KF110" s="25">
        <v>1123</v>
      </c>
      <c r="KG110" s="25">
        <v>23472</v>
      </c>
      <c r="KH110" s="25">
        <v>64311</v>
      </c>
      <c r="KI110" s="25">
        <v>42356</v>
      </c>
      <c r="KJ110" s="25">
        <v>5730</v>
      </c>
      <c r="KK110" s="25">
        <v>7212</v>
      </c>
      <c r="KL110" s="25">
        <v>8067</v>
      </c>
      <c r="KM110" s="25">
        <v>453</v>
      </c>
      <c r="KN110" s="25">
        <v>5008</v>
      </c>
      <c r="KO110" s="25">
        <v>5248</v>
      </c>
      <c r="KP110" s="25">
        <v>2310</v>
      </c>
      <c r="KQ110" s="25">
        <v>121190</v>
      </c>
      <c r="KR110" s="25">
        <v>3513</v>
      </c>
      <c r="KS110" s="25">
        <v>308314</v>
      </c>
      <c r="KT110" s="25">
        <v>11070</v>
      </c>
      <c r="KU110" s="25">
        <v>1107</v>
      </c>
      <c r="KV110" s="25">
        <v>18743</v>
      </c>
      <c r="KW110" s="25">
        <v>3748</v>
      </c>
      <c r="KX110" s="25">
        <v>2579</v>
      </c>
      <c r="KY110" s="25">
        <v>49579</v>
      </c>
      <c r="KZ110" s="25">
        <v>8962</v>
      </c>
      <c r="LA110" s="25">
        <v>6258</v>
      </c>
      <c r="LB110" s="25">
        <v>2525</v>
      </c>
      <c r="LC110" s="25">
        <v>11891</v>
      </c>
      <c r="LD110" s="25">
        <v>29692</v>
      </c>
      <c r="LE110" s="25">
        <v>4828</v>
      </c>
      <c r="LF110" s="25">
        <v>879</v>
      </c>
      <c r="LG110" s="25">
        <v>16902</v>
      </c>
      <c r="LH110" s="25">
        <v>14637</v>
      </c>
      <c r="LI110" s="25">
        <v>1152</v>
      </c>
      <c r="LJ110" s="25">
        <v>7314</v>
      </c>
      <c r="LK110" s="25">
        <v>566</v>
      </c>
      <c r="LL110" s="25">
        <v>49</v>
      </c>
      <c r="LM110" s="25">
        <v>103</v>
      </c>
      <c r="LN110" s="11">
        <f ca="1">$A110 - TST!Sweden100dt + 1</f>
        <v>56</v>
      </c>
      <c r="LO110" s="20">
        <f ca="1">INDEX(OFFSET(TST!HeadRow,ROW()-ROW(TST!HeadRow),0,1,COLUMNS(TST!HeadRow)),1,MATCH(LO$5,TST!HeadRow,0))/LO$8</f>
        <v>21036.16813294233</v>
      </c>
      <c r="LP110" s="278">
        <f ca="1">$A110 - TST!Spain100dt + 1</f>
        <v>56</v>
      </c>
      <c r="LQ110" s="20">
        <f ca="1">INDEX(OFFSET(TST!HeadRow,ROW()-ROW(TST!HeadRow),0,1,COLUMNS(TST!HeadRow)),1,MATCH(LQ$5,TST!HeadRow,0))/LQ$8</f>
        <v>45469.748615253513</v>
      </c>
      <c r="LR110" s="285">
        <f ca="1">$A110 - TST!Victoria100dt + 1</f>
        <v>47</v>
      </c>
      <c r="LS110" s="20">
        <f t="shared" si="11"/>
        <v>2068.1852466435357</v>
      </c>
      <c r="LT110" s="278">
        <f ca="1">$A110 - TST!Iran100dt + 1</f>
        <v>62</v>
      </c>
      <c r="LU110" s="20">
        <f ca="1">INDEX(OFFSET(TST!HeadRow,ROW()-ROW(TST!HeadRow),0,1,COLUMNS(TST!HeadRow)),1,MATCH(LU$5,TST!HeadRow,0))/LU$8</f>
        <v>11417.282417962828</v>
      </c>
      <c r="LV110" s="278">
        <f ca="1">$A110 - TST!Japan100dt + 1</f>
        <v>38</v>
      </c>
      <c r="LW110" s="20">
        <f ca="1">INDEX(OFFSET(TST!HeadRow,ROW()-ROW(TST!HeadRow),0,1,COLUMNS(TST!HeadRow)),1,MATCH(LW$5,TST!HeadRow,0))/LW$8</f>
        <v>1130.3457064954216</v>
      </c>
      <c r="LX110" s="278">
        <f ca="1">$A110 - TST!Queensland100dt + 1</f>
        <v>48</v>
      </c>
      <c r="LY110" s="20">
        <f ca="1">INDEX(OFFSET(TST!HeadRow,ROW()-ROW(TST!HeadRow),0,1,COLUMNS(TST!HeadRow)),1,MATCH(LY$5,TST!HeadRow,0))/LY$8</f>
        <v>2021.3271517995188</v>
      </c>
      <c r="LZ110" s="278">
        <f ca="1">$A110 - TST!Tasmania100dt + 1</f>
        <v>48</v>
      </c>
      <c r="MA110" s="20">
        <f ca="1">INDEX(OFFSET(TST!HeadRow,ROW()-ROW(TST!HeadRow),0,1,COLUMNS(TST!HeadRow)),1,MATCH(MA$5,TST!HeadRow,0))/MA$8</f>
        <v>4291.2621359223303</v>
      </c>
      <c r="MB110" s="278">
        <f ca="1">$A110 - TST!SouthAustralia100dt + 1</f>
        <v>49</v>
      </c>
      <c r="MC110" s="20">
        <f ca="1">INDEX(OFFSET(TST!HeadRow,ROW()-ROW(TST!HeadRow),0,1,COLUMNS(TST!HeadRow)),1,MATCH(MC$5,TST!HeadRow,0))/MC$8</f>
        <v>2622.754491017964</v>
      </c>
      <c r="MD110" s="11">
        <f ca="1">$A110 - TST!AustralianCapitalTerritory100dt + 1</f>
        <v>43</v>
      </c>
      <c r="ME110" s="20">
        <f ca="1">INDEX(OFFSET(TST!HeadRow,ROW()-ROW(TST!HeadRow),0,1,COLUMNS(TST!HeadRow)),1,MATCH(ME$5,TST!HeadRow,0))/ME$8</f>
        <v>2476.2883707891419</v>
      </c>
      <c r="MF110" s="11">
        <f ca="1">$A110 - TST!NorthernTerritory100dt + 1</f>
        <v>43</v>
      </c>
      <c r="MG110" s="20">
        <f ca="1">INDEX(OFFSET(TST!HeadRow,ROW()-ROW(TST!HeadRow),0,1,COLUMNS(TST!HeadRow)),1,MATCH(MG$5,TST!HeadRow,0))/MG$8</f>
        <v>1273.9154025808582</v>
      </c>
      <c r="MH110" s="278">
        <f ca="1">$A110 - TST!WesternAustralia100dt + 1</f>
        <v>47</v>
      </c>
      <c r="MI110" s="20">
        <f ca="1">INDEX(OFFSET(TST!HeadRow,ROW()-ROW(TST!HeadRow),0,1,COLUMNS(TST!HeadRow)),1,MATCH(MI$5,TST!HeadRow,0))/MI$8</f>
        <v>2128.2348397064502</v>
      </c>
      <c r="MJ110" s="278">
        <f ca="1">$A110 - TST!Germany100dt + 1</f>
        <v>55</v>
      </c>
      <c r="MK110" s="20">
        <f ca="1">INDEX(OFFSET(TST!HeadRow,ROW()-ROW(TST!HeadRow),0,1,COLUMNS(TST!HeadRow)),1,MATCH(MK$5,TST!HeadRow,0))/MK$8</f>
        <v>19763.550951577934</v>
      </c>
      <c r="ML110" s="278">
        <f ca="1">$A110 - TST!Denmark100dt + 1</f>
        <v>54</v>
      </c>
      <c r="MM110" s="20">
        <f ca="1">INDEX(OFFSET(TST!HeadRow,ROW()-ROW(TST!HeadRow),0,1,COLUMNS(TST!HeadRow)),1,MATCH(MM$5,TST!HeadRow,0))/MM$8</f>
        <v>16036.858422321737</v>
      </c>
      <c r="MN110" s="278">
        <f ca="1">$A110 - TST!SouthAfrica100dt + 1</f>
        <v>38</v>
      </c>
      <c r="MO110" s="20">
        <f ca="1">INDEX(OFFSET(TST!HeadRow,ROW()-ROW(TST!HeadRow),0,1,COLUMNS(TST!HeadRow)),1,MATCH(MO$5,TST!HeadRow,0))/MO$8</f>
        <v>1029.9411561093805</v>
      </c>
      <c r="MP110" s="278">
        <f ca="1">$A110 - TST!UnitedKingdom100dt + 1</f>
        <v>50</v>
      </c>
      <c r="MQ110" s="20">
        <f ca="1">INDEX(OFFSET(TST!HeadRow,ROW()-ROW(TST!HeadRow),0,1,COLUMNS(TST!HeadRow)),1,MATCH(MQ$5,TST!HeadRow,0))/MQ$8</f>
        <v>26708.91029500301</v>
      </c>
      <c r="MR110" s="278">
        <f ca="1">$A110 - TST!Ireland100dt + 1</f>
        <v>50</v>
      </c>
      <c r="MS110" s="20">
        <f ca="1">INDEX(OFFSET(TST!HeadRow,ROW()-ROW(TST!HeadRow),0,1,COLUMNS(TST!HeadRow)),1,MATCH(MS$5,TST!HeadRow,0))/MS$8</f>
        <v>42516.326530612248</v>
      </c>
      <c r="MT110" s="278">
        <f ca="1">$A110 - TST!Italy100dt + 1</f>
        <v>65</v>
      </c>
      <c r="MU110" s="20">
        <f ca="1">INDEX(OFFSET(TST!HeadRow,ROW()-ROW(TST!HeadRow),0,1,COLUMNS(TST!HeadRow)),1,MATCH(MU$5,TST!HeadRow,0))/MU$8</f>
        <v>34294.122509713154</v>
      </c>
      <c r="MV110" s="20">
        <f ca="1">$A110 - TST!US100dt + 1</f>
        <v>48</v>
      </c>
      <c r="MW110" s="20">
        <f ca="1">INDEX(OFFSET(TST!HeadRow,ROW()-ROW(TST!HeadRow),0,1,COLUMNS(TST!HeadRow)),1,MATCH(MW$5,TST!HeadRow,0))/MW$8</f>
        <v>33516.64655870165</v>
      </c>
      <c r="MX110" s="278">
        <f ca="1">$A110 - TST!AustraliaSum100dt + 1</f>
        <v>48</v>
      </c>
      <c r="MY110" s="366">
        <f t="shared" si="12"/>
        <v>2672.2914366819114</v>
      </c>
      <c r="MZ110" s="278">
        <f ca="1">$A110 - TST!NewSouthWales100dt + 1</f>
        <v>50</v>
      </c>
      <c r="NA110" s="366">
        <f ca="1">INDEX(OFFSET(TST!HeadRow,ROW()-ROW(TST!HeadRow),0,1,COLUMNS(TST!HeadRow)),1,MATCH(NA$5,TST!HeadRow,0))/NA$8</f>
        <v>3749.9999999999995</v>
      </c>
      <c r="NB110" s="20">
        <f ca="1">$A110 - TST!Taiwan100dt + 1</f>
        <v>37</v>
      </c>
      <c r="NC110" s="366">
        <f ca="1">INDEX(OFFSET(TST!HeadRow,ROW()-ROW(TST!HeadRow),0,1,COLUMNS(TST!HeadRow)),1,MATCH(NC$5,TST!HeadRow,0))/NC$8</f>
        <v>180.1969666255896</v>
      </c>
      <c r="ND110" s="20">
        <f ca="1">$A110 - TST!Hubei100dt + 1</f>
        <v>98</v>
      </c>
      <c r="NE110" s="20">
        <f ca="1">INDEX(OFFSET(TST!HeadRow,ROW()-ROW(TST!HeadRow),0,1,COLUMNS(TST!HeadRow)),1,MATCH(NE$5,TST!HeadRow,0))/NE$8</f>
        <v>11645.811965811967</v>
      </c>
      <c r="NF110" s="20">
        <f ca="1">$A110 - TST!HongKong100dt + 1</f>
        <v>68</v>
      </c>
      <c r="NG110" s="20">
        <f ca="1">INDEX(OFFSET(TST!HeadRow,ROW()-ROW(TST!HeadRow),0,1,COLUMNS(TST!HeadRow)),1,MATCH(NG$5,TST!HeadRow,0))/NG$8</f>
        <v>1394.4436988323714</v>
      </c>
    </row>
    <row r="111" spans="1:371" x14ac:dyDescent="0.25">
      <c r="A111" s="156">
        <v>43953</v>
      </c>
      <c r="B111" s="25">
        <v>2469</v>
      </c>
      <c r="C111" s="25">
        <v>789</v>
      </c>
      <c r="D111" s="25">
        <v>4295</v>
      </c>
      <c r="E111" s="25">
        <v>747</v>
      </c>
      <c r="F111" s="25">
        <v>35</v>
      </c>
      <c r="G111" s="25">
        <v>25</v>
      </c>
      <c r="H111" s="25">
        <v>4681</v>
      </c>
      <c r="I111" s="25">
        <v>2273</v>
      </c>
      <c r="J111" s="25">
        <v>106</v>
      </c>
      <c r="K111" s="292">
        <v>3035</v>
      </c>
      <c r="L111" s="25">
        <v>29</v>
      </c>
      <c r="M111" s="289">
        <v>1035</v>
      </c>
      <c r="N111" s="25">
        <v>438</v>
      </c>
      <c r="O111" s="40">
        <v>221</v>
      </c>
      <c r="P111" s="286">
        <v>1384</v>
      </c>
      <c r="Q111" s="25">
        <v>551</v>
      </c>
      <c r="R111" s="25">
        <v>15558</v>
      </c>
      <c r="S111" s="25">
        <v>1894</v>
      </c>
      <c r="T111" s="25">
        <v>83</v>
      </c>
      <c r="U111" s="25">
        <v>3284</v>
      </c>
      <c r="V111" s="25">
        <v>8790</v>
      </c>
      <c r="W111" s="25">
        <v>81</v>
      </c>
      <c r="X111" s="25">
        <v>15828</v>
      </c>
      <c r="Y111" s="25">
        <v>49517</v>
      </c>
      <c r="Z111" s="25">
        <v>90</v>
      </c>
      <c r="AA111" s="25">
        <v>7</v>
      </c>
      <c r="AB111" s="25">
        <v>1229</v>
      </c>
      <c r="AC111" s="25">
        <v>1839</v>
      </c>
      <c r="AD111" s="25">
        <v>97100</v>
      </c>
      <c r="AE111" s="25">
        <v>138</v>
      </c>
      <c r="AF111" s="25">
        <v>1594</v>
      </c>
      <c r="AG111" s="25">
        <v>652</v>
      </c>
      <c r="AH111" s="25">
        <v>152</v>
      </c>
      <c r="AI111" s="25">
        <v>122</v>
      </c>
      <c r="AJ111" s="25">
        <v>2077</v>
      </c>
      <c r="AK111" s="25">
        <v>5670</v>
      </c>
      <c r="AL111" s="25">
        <v>2171</v>
      </c>
      <c r="AM111" s="25">
        <v>13</v>
      </c>
      <c r="AN111" s="25">
        <v>282</v>
      </c>
      <c r="AO111" s="25">
        <v>118</v>
      </c>
      <c r="AP111" s="25">
        <v>259</v>
      </c>
      <c r="AQ111" s="25">
        <v>963</v>
      </c>
      <c r="AR111" s="25">
        <v>18321</v>
      </c>
      <c r="AS111" s="25">
        <v>27</v>
      </c>
      <c r="AT111" s="25">
        <v>29664</v>
      </c>
      <c r="AU111" s="25">
        <v>421</v>
      </c>
      <c r="AV111" s="25">
        <v>72</v>
      </c>
      <c r="AW111" s="25">
        <v>117</v>
      </c>
      <c r="AX111" s="25">
        <v>18435</v>
      </c>
      <c r="AY111" s="25">
        <v>991</v>
      </c>
      <c r="AZ111" s="25">
        <v>593</v>
      </c>
      <c r="BA111" s="25">
        <v>579</v>
      </c>
      <c r="BB111" s="25">
        <v>356</v>
      </c>
      <c r="BC111" s="25">
        <v>139</v>
      </c>
      <c r="BD111" s="25">
        <v>1588</v>
      </c>
      <c r="BE111" s="25">
        <v>254</v>
      </c>
      <c r="BF111" s="25">
        <v>147</v>
      </c>
      <c r="BG111" s="25">
        <v>168</v>
      </c>
      <c r="BH111" s="25">
        <v>328</v>
      </c>
      <c r="BI111" s="25">
        <v>944</v>
      </c>
      <c r="BJ111" s="25">
        <v>1276</v>
      </c>
      <c r="BK111" s="25">
        <v>1039</v>
      </c>
      <c r="BL111" s="25">
        <v>68128</v>
      </c>
      <c r="BM111" s="25">
        <v>1019</v>
      </c>
      <c r="BN111" s="25">
        <v>201</v>
      </c>
      <c r="BO111" s="25">
        <v>653</v>
      </c>
      <c r="BP111" s="25">
        <v>937</v>
      </c>
      <c r="BQ111" s="25">
        <v>112</v>
      </c>
      <c r="BR111" s="25">
        <v>146</v>
      </c>
      <c r="BS111" s="25">
        <v>45</v>
      </c>
      <c r="BT111" s="25">
        <v>75</v>
      </c>
      <c r="BU111" s="25">
        <v>18</v>
      </c>
      <c r="BV111" s="25">
        <v>306</v>
      </c>
      <c r="BW111" s="25">
        <v>787</v>
      </c>
      <c r="BX111" s="25">
        <v>652</v>
      </c>
      <c r="BY111" s="25">
        <v>197</v>
      </c>
      <c r="BZ111" s="25">
        <v>561</v>
      </c>
      <c r="CA111" s="25">
        <v>190</v>
      </c>
      <c r="CB111" s="25">
        <v>1</v>
      </c>
      <c r="CC111" s="25">
        <v>76</v>
      </c>
      <c r="CD111" s="25">
        <v>185</v>
      </c>
      <c r="CE111" s="25">
        <v>1268</v>
      </c>
      <c r="CF111" s="25">
        <v>7285</v>
      </c>
      <c r="CG111" s="25">
        <v>229</v>
      </c>
      <c r="CH111" s="25">
        <v>674</v>
      </c>
      <c r="CI111" s="25">
        <v>733</v>
      </c>
      <c r="CJ111" s="25">
        <v>1362</v>
      </c>
      <c r="CK111" s="25">
        <v>2088</v>
      </c>
      <c r="CL111" s="25">
        <v>712</v>
      </c>
      <c r="CM111" s="25">
        <v>1611</v>
      </c>
      <c r="CN111" s="25">
        <v>864</v>
      </c>
      <c r="CO111" s="25">
        <v>7755</v>
      </c>
      <c r="CP111" s="25">
        <v>187</v>
      </c>
      <c r="CQ111" s="25">
        <v>11</v>
      </c>
      <c r="CR111" s="25">
        <v>9407</v>
      </c>
      <c r="CS111" s="25">
        <v>1112</v>
      </c>
      <c r="CT111" s="25">
        <v>7578</v>
      </c>
      <c r="CU111" s="25">
        <v>27464</v>
      </c>
      <c r="CV111" s="25">
        <v>6193</v>
      </c>
      <c r="CW111" s="25">
        <v>446</v>
      </c>
      <c r="CX111" s="25">
        <v>315</v>
      </c>
      <c r="CY111" s="25">
        <v>39</v>
      </c>
      <c r="CZ111" s="25">
        <v>1699</v>
      </c>
      <c r="DA111" s="25">
        <v>108</v>
      </c>
      <c r="DB111" s="25">
        <v>133</v>
      </c>
      <c r="DC111" s="25">
        <v>18</v>
      </c>
      <c r="DD111" s="25">
        <v>5176</v>
      </c>
      <c r="DE111" s="25">
        <v>128</v>
      </c>
      <c r="DF111" s="25">
        <v>58</v>
      </c>
      <c r="DG111" s="25">
        <v>152</v>
      </c>
      <c r="DH111" s="25">
        <v>539</v>
      </c>
      <c r="DI111" s="25">
        <v>18</v>
      </c>
      <c r="DJ111" s="25">
        <v>423</v>
      </c>
      <c r="DK111" s="25">
        <v>6</v>
      </c>
      <c r="DL111" s="25">
        <v>38</v>
      </c>
      <c r="DM111" s="25">
        <v>179</v>
      </c>
      <c r="DN111" s="25">
        <v>166976</v>
      </c>
      <c r="DO111" s="25">
        <v>335</v>
      </c>
      <c r="DP111" s="25">
        <v>17</v>
      </c>
      <c r="DQ111" s="25">
        <v>582</v>
      </c>
      <c r="DR111" s="25">
        <v>164967</v>
      </c>
      <c r="DS111" s="25">
        <v>2169</v>
      </c>
      <c r="DT111" s="25">
        <v>2620</v>
      </c>
      <c r="DU111" s="25">
        <v>688</v>
      </c>
      <c r="DV111" s="25">
        <v>1586</v>
      </c>
      <c r="DW111" s="25">
        <v>82</v>
      </c>
      <c r="DX111" s="25">
        <v>85</v>
      </c>
      <c r="DY111" s="25">
        <v>11</v>
      </c>
      <c r="DZ111" s="25">
        <v>1010</v>
      </c>
      <c r="EA111" s="25">
        <v>2942</v>
      </c>
      <c r="EB111" s="25">
        <v>1798</v>
      </c>
      <c r="EC111" s="25">
        <v>39699</v>
      </c>
      <c r="ED111" s="25">
        <v>10843</v>
      </c>
      <c r="EE111" s="25">
        <v>96448</v>
      </c>
      <c r="EF111" s="25">
        <v>2219</v>
      </c>
      <c r="EG111" s="25">
        <v>21176</v>
      </c>
      <c r="EH111" s="25">
        <v>16185</v>
      </c>
      <c r="EI111" s="25">
        <v>209328</v>
      </c>
      <c r="EJ111" s="25">
        <v>463</v>
      </c>
      <c r="EK111" s="25">
        <v>14571</v>
      </c>
      <c r="EL111" s="25">
        <v>460</v>
      </c>
      <c r="EM111" s="25">
        <v>3857</v>
      </c>
      <c r="EN111" s="25">
        <v>435</v>
      </c>
      <c r="EO111" s="25">
        <v>10793</v>
      </c>
      <c r="EP111" s="25">
        <v>4619</v>
      </c>
      <c r="EQ111" s="25">
        <v>769</v>
      </c>
      <c r="ER111" s="25">
        <v>871</v>
      </c>
      <c r="ES111" s="25">
        <v>733</v>
      </c>
      <c r="ET111" s="25">
        <v>154</v>
      </c>
      <c r="EU111" s="25">
        <v>82</v>
      </c>
      <c r="EV111" s="25">
        <v>1406</v>
      </c>
      <c r="EW111" s="25">
        <v>3812</v>
      </c>
      <c r="EX111" s="25">
        <v>135</v>
      </c>
      <c r="EY111" s="25">
        <v>6176</v>
      </c>
      <c r="EZ111" s="25">
        <v>519</v>
      </c>
      <c r="FA111" s="25">
        <v>468</v>
      </c>
      <c r="FB111" s="25">
        <v>8</v>
      </c>
      <c r="FC111" s="25">
        <v>332</v>
      </c>
      <c r="FD111" s="25">
        <v>22088</v>
      </c>
      <c r="FE111" s="25">
        <v>4052</v>
      </c>
      <c r="FF111" s="25">
        <v>95</v>
      </c>
      <c r="FG111" s="25">
        <v>39</v>
      </c>
      <c r="FH111" s="25">
        <v>322</v>
      </c>
      <c r="FI111" s="25">
        <v>4729</v>
      </c>
      <c r="FJ111" s="25">
        <v>16</v>
      </c>
      <c r="FK111" s="25">
        <v>59</v>
      </c>
      <c r="FL111" s="25">
        <v>100</v>
      </c>
      <c r="FM111" s="25">
        <v>16</v>
      </c>
      <c r="FN111" s="25">
        <v>76</v>
      </c>
      <c r="FO111" s="25">
        <v>40236</v>
      </c>
      <c r="FP111" s="25">
        <v>1487</v>
      </c>
      <c r="FQ111" s="25">
        <v>14</v>
      </c>
      <c r="FR111" s="25">
        <v>736</v>
      </c>
      <c r="FS111" s="25">
        <v>2388</v>
      </c>
      <c r="FT111" s="25">
        <v>1506</v>
      </c>
      <c r="FU111" s="25">
        <v>7809</v>
      </c>
      <c r="FV111" s="25">
        <v>2483</v>
      </c>
      <c r="FW111" s="25">
        <v>19103</v>
      </c>
      <c r="FX111" s="25">
        <v>7090</v>
      </c>
      <c r="FY111" s="25">
        <v>8</v>
      </c>
      <c r="FZ111" s="25">
        <v>370</v>
      </c>
      <c r="GA111" s="25">
        <v>42534</v>
      </c>
      <c r="GB111" s="25">
        <v>8928</v>
      </c>
      <c r="GC111" s="25">
        <v>13375</v>
      </c>
      <c r="GD111" s="25">
        <v>25190</v>
      </c>
      <c r="GE111" s="25">
        <v>14872</v>
      </c>
      <c r="GF111" s="25">
        <v>12732</v>
      </c>
      <c r="GG111" s="25">
        <v>124054</v>
      </c>
      <c r="GH111" s="25">
        <v>255</v>
      </c>
      <c r="GI111" s="25">
        <v>17</v>
      </c>
      <c r="GJ111" s="25">
        <v>16</v>
      </c>
      <c r="GK111" s="25">
        <v>580</v>
      </c>
      <c r="GL111" s="25">
        <v>25459</v>
      </c>
      <c r="GM111" s="25">
        <v>1115</v>
      </c>
      <c r="GN111" s="25">
        <v>9362</v>
      </c>
      <c r="GO111" s="25">
        <v>11</v>
      </c>
      <c r="GP111" s="25">
        <v>17548</v>
      </c>
      <c r="GQ111" s="25">
        <v>1407</v>
      </c>
      <c r="GR111" s="25">
        <v>1439</v>
      </c>
      <c r="GS111" s="25">
        <v>671</v>
      </c>
      <c r="GT111" s="25">
        <v>6336</v>
      </c>
      <c r="GU111" s="25">
        <v>216582</v>
      </c>
      <c r="GV111" s="25">
        <v>705</v>
      </c>
      <c r="GW111" s="25">
        <v>592</v>
      </c>
      <c r="GX111" s="25">
        <v>10</v>
      </c>
      <c r="GY111" s="25">
        <v>22082</v>
      </c>
      <c r="GZ111" s="25">
        <v>29817</v>
      </c>
      <c r="HA111" s="25">
        <v>432</v>
      </c>
      <c r="HB111" s="25">
        <v>480</v>
      </c>
      <c r="HC111" s="25">
        <v>2966</v>
      </c>
      <c r="HD111" s="25">
        <v>123</v>
      </c>
      <c r="HE111" s="25">
        <v>116</v>
      </c>
      <c r="HF111" s="25">
        <v>1009</v>
      </c>
      <c r="HG111" s="25">
        <v>124375</v>
      </c>
      <c r="HH111" s="25">
        <v>88</v>
      </c>
      <c r="HI111" s="25">
        <v>11411</v>
      </c>
      <c r="HJ111" s="25">
        <v>13599</v>
      </c>
      <c r="HK111" s="25">
        <v>114</v>
      </c>
      <c r="HL111" s="25">
        <v>74</v>
      </c>
      <c r="HM111" s="25">
        <v>543</v>
      </c>
      <c r="HN111" s="25">
        <v>144</v>
      </c>
      <c r="HO111" s="25">
        <v>320</v>
      </c>
      <c r="HP111" s="25">
        <v>11</v>
      </c>
      <c r="HQ111" s="25">
        <v>182260</v>
      </c>
      <c r="HR111" s="25">
        <v>652</v>
      </c>
      <c r="HS111" s="25">
        <v>1132539</v>
      </c>
      <c r="HT111" s="25">
        <v>2118</v>
      </c>
      <c r="HU111" s="25">
        <v>345</v>
      </c>
      <c r="HV111" s="25">
        <v>270</v>
      </c>
      <c r="HW111" s="25">
        <v>119</v>
      </c>
      <c r="HX111" s="25">
        <v>34</v>
      </c>
      <c r="HY111" s="25">
        <v>1</v>
      </c>
      <c r="HZ111" s="25">
        <v>16</v>
      </c>
      <c r="IA111" s="25">
        <v>21</v>
      </c>
      <c r="IB111" s="25">
        <v>79</v>
      </c>
      <c r="IC111" s="25">
        <v>44</v>
      </c>
      <c r="ID111" s="25">
        <v>24</v>
      </c>
      <c r="IE111" s="25">
        <v>18</v>
      </c>
      <c r="IF111" s="25">
        <v>0</v>
      </c>
      <c r="IG111" s="25">
        <v>19</v>
      </c>
      <c r="IH111" s="25">
        <v>63</v>
      </c>
      <c r="II111" s="25">
        <v>353</v>
      </c>
      <c r="IJ111" s="25">
        <v>257</v>
      </c>
      <c r="IK111" s="25">
        <v>544</v>
      </c>
      <c r="IL111" s="25">
        <v>15</v>
      </c>
      <c r="IM111" s="25">
        <v>5</v>
      </c>
      <c r="IN111" s="25">
        <v>11</v>
      </c>
      <c r="IO111" s="25">
        <v>823</v>
      </c>
      <c r="IP111" s="25">
        <v>151</v>
      </c>
      <c r="IQ111" s="25">
        <v>3</v>
      </c>
      <c r="IR111" s="25">
        <v>6</v>
      </c>
      <c r="IS111" s="25">
        <v>12</v>
      </c>
      <c r="IT111" s="25">
        <v>9</v>
      </c>
      <c r="IU111" s="25">
        <v>23</v>
      </c>
      <c r="IV111" s="25">
        <v>15</v>
      </c>
      <c r="IW111" s="25">
        <v>155</v>
      </c>
      <c r="IX111" s="25">
        <v>6</v>
      </c>
      <c r="IY111" s="25">
        <v>38</v>
      </c>
      <c r="IZ111" s="25">
        <v>13</v>
      </c>
      <c r="JA111" s="25">
        <v>1</v>
      </c>
      <c r="JB111" s="25">
        <v>45</v>
      </c>
      <c r="JC111" s="25">
        <v>6</v>
      </c>
      <c r="JD111" s="25">
        <v>16</v>
      </c>
      <c r="JE111" s="25">
        <v>10</v>
      </c>
      <c r="JF111" s="25">
        <v>3</v>
      </c>
      <c r="JG111" s="25">
        <v>76</v>
      </c>
      <c r="JH111" s="25">
        <v>0</v>
      </c>
      <c r="JI111" s="25">
        <v>145</v>
      </c>
      <c r="JJ111" s="25">
        <v>14</v>
      </c>
      <c r="JK111" s="25">
        <v>1757</v>
      </c>
      <c r="JL111" s="25">
        <v>66</v>
      </c>
      <c r="JM111" s="25">
        <v>7611</v>
      </c>
      <c r="JN111" s="25">
        <v>365</v>
      </c>
      <c r="JO111" s="25">
        <v>8364</v>
      </c>
      <c r="JP111" s="25">
        <v>3372</v>
      </c>
      <c r="JQ111" s="25">
        <v>53347</v>
      </c>
      <c r="JR111" s="25">
        <v>16225</v>
      </c>
      <c r="JS111" s="25">
        <v>29287</v>
      </c>
      <c r="JT111" s="25">
        <v>5038</v>
      </c>
      <c r="JU111" s="25">
        <v>4797</v>
      </c>
      <c r="JV111" s="25">
        <v>35463</v>
      </c>
      <c r="JW111" s="25">
        <v>28331</v>
      </c>
      <c r="JX111" s="25">
        <v>620</v>
      </c>
      <c r="JY111" s="25">
        <v>2061</v>
      </c>
      <c r="JZ111" s="25">
        <v>58505</v>
      </c>
      <c r="KA111" s="25">
        <v>19295</v>
      </c>
      <c r="KB111" s="25">
        <v>8643</v>
      </c>
      <c r="KC111" s="25">
        <v>4885</v>
      </c>
      <c r="KD111" s="25">
        <v>4879</v>
      </c>
      <c r="KE111" s="25">
        <v>29140</v>
      </c>
      <c r="KF111" s="25">
        <v>1153</v>
      </c>
      <c r="KG111" s="25">
        <v>24473</v>
      </c>
      <c r="KH111" s="25">
        <v>66263</v>
      </c>
      <c r="KI111" s="25">
        <v>43207</v>
      </c>
      <c r="KJ111" s="25">
        <v>6232</v>
      </c>
      <c r="KK111" s="25">
        <v>7441</v>
      </c>
      <c r="KL111" s="25">
        <v>8356</v>
      </c>
      <c r="KM111" s="25">
        <v>455</v>
      </c>
      <c r="KN111" s="25">
        <v>5317</v>
      </c>
      <c r="KO111" s="25">
        <v>5389</v>
      </c>
      <c r="KP111" s="25">
        <v>2429</v>
      </c>
      <c r="KQ111" s="25">
        <v>123717</v>
      </c>
      <c r="KR111" s="25">
        <v>3732</v>
      </c>
      <c r="KS111" s="25">
        <v>312977</v>
      </c>
      <c r="KT111" s="25">
        <v>11588</v>
      </c>
      <c r="KU111" s="25">
        <v>1153</v>
      </c>
      <c r="KV111" s="25">
        <v>19335</v>
      </c>
      <c r="KW111" s="25">
        <v>3851</v>
      </c>
      <c r="KX111" s="25">
        <v>2635</v>
      </c>
      <c r="KY111" s="25">
        <v>50494</v>
      </c>
      <c r="KZ111" s="25">
        <v>9289</v>
      </c>
      <c r="LA111" s="25">
        <v>6489</v>
      </c>
      <c r="LB111" s="25">
        <v>2588</v>
      </c>
      <c r="LC111" s="25">
        <v>12661</v>
      </c>
      <c r="LD111" s="25">
        <v>30917</v>
      </c>
      <c r="LE111" s="25">
        <v>4985</v>
      </c>
      <c r="LF111" s="25">
        <v>886</v>
      </c>
      <c r="LG111" s="25">
        <v>17738</v>
      </c>
      <c r="LH111" s="25">
        <v>15003</v>
      </c>
      <c r="LI111" s="25">
        <v>1185</v>
      </c>
      <c r="LJ111" s="25">
        <v>7660</v>
      </c>
      <c r="LK111" s="25">
        <v>579</v>
      </c>
      <c r="LL111" s="25">
        <v>49</v>
      </c>
      <c r="LM111" s="25">
        <v>103</v>
      </c>
      <c r="LN111" s="11">
        <f ca="1">$A111 - TST!Sweden100dt + 1</f>
        <v>57</v>
      </c>
      <c r="LO111" s="20">
        <f ca="1">INDEX(OFFSET(TST!HeadRow,ROW()-ROW(TST!HeadRow),0,1,COLUMNS(TST!HeadRow)),1,MATCH(LO$5,TST!HeadRow,0))/LO$8</f>
        <v>21585.532746823072</v>
      </c>
      <c r="LP111" s="278">
        <f ca="1">$A111 - TST!Spain100dt + 1</f>
        <v>57</v>
      </c>
      <c r="LQ111" s="20">
        <f ca="1">INDEX(OFFSET(TST!HeadRow,ROW()-ROW(TST!HeadRow),0,1,COLUMNS(TST!HeadRow)),1,MATCH(LQ$5,TST!HeadRow,0))/LQ$8</f>
        <v>46140.178951853428</v>
      </c>
      <c r="LR111" s="285">
        <f ca="1">$A111 - TST!Victoria100dt + 1</f>
        <v>48</v>
      </c>
      <c r="LS111" s="20">
        <f t="shared" si="11"/>
        <v>2087.7960476693315</v>
      </c>
      <c r="LT111" s="278">
        <f ca="1">$A111 - TST!Iran100dt + 1</f>
        <v>63</v>
      </c>
      <c r="LU111" s="20">
        <f ca="1">INDEX(OFFSET(TST!HeadRow,ROW()-ROW(TST!HeadRow),0,1,COLUMNS(TST!HeadRow)),1,MATCH(LU$5,TST!HeadRow,0))/LU$8</f>
        <v>11513.017320616427</v>
      </c>
      <c r="LV111" s="278">
        <f ca="1">$A111 - TST!Japan100dt + 1</f>
        <v>39</v>
      </c>
      <c r="LW111" s="20">
        <f ca="1">INDEX(OFFSET(TST!HeadRow,ROW()-ROW(TST!HeadRow),0,1,COLUMNS(TST!HeadRow)),1,MATCH(LW$5,TST!HeadRow,0))/LW$8</f>
        <v>1151.3643683568534</v>
      </c>
      <c r="LX111" s="278">
        <f ca="1">$A111 - TST!Queensland100dt + 1</f>
        <v>49</v>
      </c>
      <c r="LY111" s="20">
        <f ca="1">INDEX(OFFSET(TST!HeadRow,ROW()-ROW(TST!HeadRow),0,1,COLUMNS(TST!HeadRow)),1,MATCH(LY$5,TST!HeadRow,0))/LY$8</f>
        <v>2023.2820136484545</v>
      </c>
      <c r="LZ111" s="278">
        <f ca="1">$A111 - TST!Tasmania100dt + 1</f>
        <v>49</v>
      </c>
      <c r="MA111" s="20">
        <f ca="1">INDEX(OFFSET(TST!HeadRow,ROW()-ROW(TST!HeadRow),0,1,COLUMNS(TST!HeadRow)),1,MATCH(MA$5,TST!HeadRow,0))/MA$8</f>
        <v>4291.2621359223303</v>
      </c>
      <c r="MB111" s="278">
        <f ca="1">$A111 - TST!SouthAustralia100dt + 1</f>
        <v>50</v>
      </c>
      <c r="MC111" s="20">
        <f ca="1">INDEX(OFFSET(TST!HeadRow,ROW()-ROW(TST!HeadRow),0,1,COLUMNS(TST!HeadRow)),1,MATCH(MC$5,TST!HeadRow,0))/MC$8</f>
        <v>2622.754491017964</v>
      </c>
      <c r="MD111" s="11">
        <f ca="1">$A111 - TST!AustralianCapitalTerritory100dt + 1</f>
        <v>44</v>
      </c>
      <c r="ME111" s="20">
        <f ca="1">INDEX(OFFSET(TST!HeadRow,ROW()-ROW(TST!HeadRow),0,1,COLUMNS(TST!HeadRow)),1,MATCH(ME$5,TST!HeadRow,0))/ME$8</f>
        <v>2476.2883707891419</v>
      </c>
      <c r="MF111" s="11">
        <f ca="1">$A111 - TST!NorthernTerritory100dt + 1</f>
        <v>44</v>
      </c>
      <c r="MG111" s="20">
        <f ca="1">INDEX(OFFSET(TST!HeadRow,ROW()-ROW(TST!HeadRow),0,1,COLUMNS(TST!HeadRow)),1,MATCH(MG$5,TST!HeadRow,0))/MG$8</f>
        <v>1368.2795064757365</v>
      </c>
      <c r="MH111" s="278">
        <f ca="1">$A111 - TST!WesternAustralia100dt + 1</f>
        <v>48</v>
      </c>
      <c r="MI111" s="20">
        <f ca="1">INDEX(OFFSET(TST!HeadRow,ROW()-ROW(TST!HeadRow),0,1,COLUMNS(TST!HeadRow)),1,MATCH(MI$5,TST!HeadRow,0))/MI$8</f>
        <v>2128.2348397064502</v>
      </c>
      <c r="MJ111" s="278">
        <f ca="1">$A111 - TST!Germany100dt + 1</f>
        <v>56</v>
      </c>
      <c r="MK111" s="20">
        <f ca="1">INDEX(OFFSET(TST!HeadRow,ROW()-ROW(TST!HeadRow),0,1,COLUMNS(TST!HeadRow)),1,MATCH(MK$5,TST!HeadRow,0))/MK$8</f>
        <v>19870.754035172249</v>
      </c>
      <c r="ML111" s="278">
        <f ca="1">$A111 - TST!Denmark100dt + 1</f>
        <v>55</v>
      </c>
      <c r="MM111" s="20">
        <f ca="1">INDEX(OFFSET(TST!HeadRow,ROW()-ROW(TST!HeadRow),0,1,COLUMNS(TST!HeadRow)),1,MATCH(MM$5,TST!HeadRow,0))/MM$8</f>
        <v>16202.20461591457</v>
      </c>
      <c r="MN111" s="278">
        <f ca="1">$A111 - TST!SouthAfrica100dt + 1</f>
        <v>39</v>
      </c>
      <c r="MO111" s="20">
        <f ca="1">INDEX(OFFSET(TST!HeadRow,ROW()-ROW(TST!HeadRow),0,1,COLUMNS(TST!HeadRow)),1,MATCH(MO$5,TST!HeadRow,0))/MO$8</f>
        <v>1096.5732087227416</v>
      </c>
      <c r="MP111" s="278">
        <f ca="1">$A111 - TST!UnitedKingdom100dt + 1</f>
        <v>51</v>
      </c>
      <c r="MQ111" s="20">
        <f ca="1">INDEX(OFFSET(TST!HeadRow,ROW()-ROW(TST!HeadRow),0,1,COLUMNS(TST!HeadRow)),1,MATCH(MQ$5,TST!HeadRow,0))/MQ$8</f>
        <v>27432.269717037929</v>
      </c>
      <c r="MR111" s="278">
        <f ca="1">$A111 - TST!Ireland100dt + 1</f>
        <v>51</v>
      </c>
      <c r="MS111" s="20">
        <f ca="1">INDEX(OFFSET(TST!HeadRow,ROW()-ROW(TST!HeadRow),0,1,COLUMNS(TST!HeadRow)),1,MATCH(MS$5,TST!HeadRow,0))/MS$8</f>
        <v>43216.326530612248</v>
      </c>
      <c r="MT111" s="278">
        <f ca="1">$A111 - TST!Italy100dt + 1</f>
        <v>66</v>
      </c>
      <c r="MU111" s="20">
        <f ca="1">INDEX(OFFSET(TST!HeadRow,ROW()-ROW(TST!HeadRow),0,1,COLUMNS(TST!HeadRow)),1,MATCH(MU$5,TST!HeadRow,0))/MU$8</f>
        <v>34608.249979333719</v>
      </c>
      <c r="MV111" s="20">
        <f ca="1">$A111 - TST!US100dt + 1</f>
        <v>49</v>
      </c>
      <c r="MW111" s="20">
        <f ca="1">INDEX(OFFSET(TST!HeadRow,ROW()-ROW(TST!HeadRow),0,1,COLUMNS(TST!HeadRow)),1,MATCH(MW$5,TST!HeadRow,0))/MW$8</f>
        <v>34399.864949414077</v>
      </c>
      <c r="MX111" s="278">
        <f ca="1">$A111 - TST!AustraliaSum100dt + 1</f>
        <v>49</v>
      </c>
      <c r="MY111" s="366">
        <f t="shared" si="12"/>
        <v>2680.5708878725754</v>
      </c>
      <c r="MZ111" s="278">
        <f ca="1">$A111 - TST!NewSouthWales100dt + 1</f>
        <v>51</v>
      </c>
      <c r="NA111" s="366">
        <f ca="1">INDEX(OFFSET(TST!HeadRow,ROW()-ROW(TST!HeadRow),0,1,COLUMNS(TST!HeadRow)),1,MATCH(NA$5,TST!HeadRow,0))/NA$8</f>
        <v>3756.1881188118809</v>
      </c>
      <c r="NB111" s="20">
        <f ca="1">$A111 - TST!Taiwan100dt + 1</f>
        <v>38</v>
      </c>
      <c r="NC111" s="366">
        <f ca="1">INDEX(OFFSET(TST!HeadRow,ROW()-ROW(TST!HeadRow),0,1,COLUMNS(TST!HeadRow)),1,MATCH(NC$5,TST!HeadRow,0))/NC$8</f>
        <v>181.45708527332098</v>
      </c>
      <c r="ND111" s="20">
        <f ca="1">$A111 - TST!Hubei100dt + 1</f>
        <v>99</v>
      </c>
      <c r="NE111" s="20">
        <f ca="1">INDEX(OFFSET(TST!HeadRow,ROW()-ROW(TST!HeadRow),0,1,COLUMNS(TST!HeadRow)),1,MATCH(NE$5,TST!HeadRow,0))/NE$8</f>
        <v>11645.811965811967</v>
      </c>
      <c r="NF111" s="20">
        <f ca="1">$A111 - TST!HongKong100dt + 1</f>
        <v>69</v>
      </c>
      <c r="NG111" s="20">
        <f ca="1">INDEX(OFFSET(TST!HeadRow,ROW()-ROW(TST!HeadRow),0,1,COLUMNS(TST!HeadRow)),1,MATCH(NG$5,TST!HeadRow,0))/NG$8</f>
        <v>1394.4436988323714</v>
      </c>
    </row>
    <row r="112" spans="1:371" x14ac:dyDescent="0.25">
      <c r="LU112" s="20"/>
    </row>
    <row r="113" spans="333:333" x14ac:dyDescent="0.25">
      <c r="LU113" s="20"/>
    </row>
    <row r="114" spans="333:333" x14ac:dyDescent="0.25">
      <c r="LU114" s="20"/>
    </row>
    <row r="115" spans="333:333" x14ac:dyDescent="0.25">
      <c r="LU115" s="20"/>
    </row>
    <row r="116" spans="333:333" x14ac:dyDescent="0.25">
      <c r="LU116" s="20"/>
    </row>
    <row r="117" spans="333:333" x14ac:dyDescent="0.25">
      <c r="LU117" s="20"/>
    </row>
    <row r="118" spans="333:333" x14ac:dyDescent="0.25">
      <c r="LU118" s="20"/>
    </row>
    <row r="119" spans="333:333" x14ac:dyDescent="0.25">
      <c r="LU119" s="20"/>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I112"/>
  <sheetViews>
    <sheetView zoomScale="106" zoomScaleNormal="106" workbookViewId="0">
      <selection activeCell="B5" sqref="B5"/>
    </sheetView>
  </sheetViews>
  <sheetFormatPr defaultRowHeight="15" x14ac:dyDescent="0.25"/>
  <cols>
    <col min="1" max="1" width="15.140625" style="156" bestFit="1" customWidth="1"/>
    <col min="207" max="207" width="9.140625" style="46"/>
    <col min="266" max="266" width="15.140625" style="25" customWidth="1"/>
    <col min="267" max="267" width="11.28515625" style="25" customWidth="1"/>
    <col min="268" max="325" width="9.140625" style="25"/>
    <col min="326" max="343" width="12.7109375" customWidth="1"/>
    <col min="345" max="345" width="14" customWidth="1"/>
    <col min="347" max="347" width="11.28515625" customWidth="1"/>
    <col min="349" max="349" width="11.7109375" customWidth="1"/>
    <col min="351" max="351" width="12.85546875" customWidth="1"/>
    <col min="353" max="353" width="9.5703125" bestFit="1" customWidth="1"/>
    <col min="355" max="355" width="10.140625" bestFit="1" customWidth="1"/>
    <col min="357" max="357" width="10.140625" bestFit="1" customWidth="1"/>
    <col min="359" max="359" width="10.140625" bestFit="1" customWidth="1"/>
    <col min="361" max="361" width="10.140625" bestFit="1" customWidth="1"/>
    <col min="363" max="363" width="10.140625" bestFit="1" customWidth="1"/>
    <col min="365" max="365" width="10.140625" bestFit="1" customWidth="1"/>
    <col min="371" max="371" width="10.140625" bestFit="1" customWidth="1"/>
  </cols>
  <sheetData>
    <row r="1" spans="1:373" x14ac:dyDescent="0.25">
      <c r="NC1" t="str">
        <f>SUBSTITUTE(NC$10," Sum","")&amp;"xx"</f>
        <v>Australiaxx</v>
      </c>
    </row>
    <row r="2" spans="1:373" x14ac:dyDescent="0.25">
      <c r="LS2" s="19">
        <f ca="1">MAX(tblDeath100[Victoria])</f>
        <v>25.644893649117513</v>
      </c>
      <c r="LX2" t="s">
        <v>3315</v>
      </c>
      <c r="LY2" s="315">
        <f ca="1">MAX(tblDeath100[Queensland])</f>
        <v>11.72917109361423</v>
      </c>
      <c r="MA2" s="19">
        <f ca="1">MAX(tblDeath100[Tasmania])</f>
        <v>213.59223300970876</v>
      </c>
      <c r="MB2" s="19"/>
      <c r="MC2" s="19">
        <f ca="1">MAX(tblDeath100[South Australia])</f>
        <v>23.95209580838323</v>
      </c>
      <c r="MD2" s="19"/>
      <c r="ME2" s="19">
        <f ca="1">MAX(tblDeath100[Western Australia])</f>
        <v>30.899961375048278</v>
      </c>
      <c r="MF2" s="19"/>
      <c r="MG2" s="19">
        <f ca="1">MAX(tblDeath100[New South Wales])</f>
        <v>42.079207920792079</v>
      </c>
      <c r="MM2" s="19">
        <f ca="1">MAX(tblDeath100[Australian Capital Territory])</f>
        <v>70.083633135541746</v>
      </c>
      <c r="MO2" s="315">
        <f ca="1">MAX(tblDeath100[Northern Territory])</f>
        <v>0</v>
      </c>
      <c r="MQ2" s="19">
        <f ca="1">MAX(tblDeath100[South Africa])</f>
        <v>15.057113187954311</v>
      </c>
      <c r="MS2" s="19">
        <f ca="1">MAX(tblDeath100[Germany])</f>
        <v>719.8265478198025</v>
      </c>
      <c r="MU2" s="19">
        <f ca="1">MAX(tblDeath100[Ireland])</f>
        <v>2218.3673469387754</v>
      </c>
      <c r="MW2" s="19">
        <f ca="1">MAX(tblDeath100[United Kingdom])</f>
        <v>3620.5599036724866</v>
      </c>
      <c r="NA2" s="20">
        <f ca="1">MAX(tblDeath100[US])</f>
        <v>1666.9615689073789</v>
      </c>
      <c r="NE2" s="20">
        <f ca="1">MAX(tblDeath100[Taiwan])</f>
        <v>2.5202372954627914</v>
      </c>
      <c r="NG2" s="19">
        <f ca="1">MAX(tblDeath100[Hubei])</f>
        <v>771.28205128205138</v>
      </c>
    </row>
    <row r="4" spans="1:373" x14ac:dyDescent="0.25">
      <c r="LO4" t="str">
        <f ca="1">SwedenCapita &amp; " from " &amp; TEXT(Sweden100dt,"dd-mmm")</f>
        <v>Sweden from 19-Mar</v>
      </c>
      <c r="LQ4" t="str">
        <f ca="1">SpainCapita &amp; " from " &amp; TEXT(Spain100dt,"dd-mmm")</f>
        <v>Spain from 11-Mar</v>
      </c>
      <c r="LS4" t="str">
        <f ca="1">VictoriaCapita &amp; " from " &amp; TEXT(Victoria100dt,"dd-mmm")</f>
        <v>Victoria from 03-Apr</v>
      </c>
      <c r="LU4" t="str">
        <f ca="1">IranCapita &amp; " from " &amp; TEXT(Iran100dt,"dd-mmm")</f>
        <v>Iran from 04-Mar</v>
      </c>
      <c r="LW4" t="str">
        <f ca="1">JapanCapita &amp; " from " &amp; TEXT(Japan100dt,"dd-mmm")</f>
        <v>Japan from 14-Apr</v>
      </c>
      <c r="LY4" t="str">
        <f ca="1">QueenslandCapita &amp; " from " &amp; TEXT(Queensland100dt,"dd-mmm")</f>
        <v>Queensland from 18-Apr</v>
      </c>
      <c r="MA4" t="str">
        <f ca="1">TasmaniaCapita &amp; " from " &amp; TEXT(Tasmania100dt,"dd-mmm")</f>
        <v>Tasmania from 31-Mar</v>
      </c>
      <c r="MC4" t="str">
        <f ca="1">SouthAustraliaCapita &amp; " from " &amp; TEXT(SouthAustralia100dt,"dd-mmm")</f>
        <v>South Australia from 08-Apr</v>
      </c>
      <c r="ME4" t="str">
        <f ca="1">WesternAustraliaCapita &amp; " from " &amp; TEXT(WesternAustralia100dt,"dd-mmm")</f>
        <v>Western Australia from 05-Apr</v>
      </c>
      <c r="MG4" t="str">
        <f ca="1">NewSouthWalesCapita &amp; " from " &amp; TEXT(NewSouthWales100dt,"dd-mmm")</f>
        <v>New South Wales from 01-Apr</v>
      </c>
      <c r="MI4" t="str">
        <f ca="1">NewYorkCapita &amp; " from " &amp; TEXT(NewYork100dt,"dd-mmm")</f>
        <v>New York from 16-Mar</v>
      </c>
      <c r="MK4" t="str">
        <f ca="1">ItalyCapita &amp; " from " &amp; TEXT(Italy100dt,"dd-mmm")</f>
        <v>Italy from 03-Mar</v>
      </c>
      <c r="MM4" t="str">
        <f ca="1">AustralianCapitalTerritoryCapita &amp; " from " &amp; TEXT(AustralianCapitalTerritory100dt,"dd-mmm")</f>
        <v>Australian Capital Territory from 30-Mar</v>
      </c>
      <c r="MO4" t="str">
        <f ca="1">NorthernTerritoryCapita &amp; " from " &amp; TEXT(NorthernTerritory100dt,"dd-mmm")</f>
        <v>Northern Territory from 27-Apr</v>
      </c>
      <c r="MQ4" t="str">
        <f ca="1">SouthAfricaCapita &amp; " from " &amp; TEXT(SouthAfrica100dt,"dd-mmm")</f>
        <v>South Africa from 20-Apr</v>
      </c>
      <c r="MS4" t="str">
        <f ca="1">GermanyCapita &amp; " from " &amp; TEXT(Germany100dt,"dd-mmm")</f>
        <v>Germany from 21-Mar</v>
      </c>
      <c r="MU4" t="str">
        <f ca="1">IrelandCapita &amp; " from " &amp; TEXT(Ireland100dt,"dd-mmm")</f>
        <v>Ireland from 23-Mar</v>
      </c>
      <c r="MW4" t="str">
        <f ca="1">UnitedKingdomCapita &amp; " from " &amp; TEXT(UnitedKingdom100dt,"dd-mmm")</f>
        <v>United Kingdom from 17-Mar</v>
      </c>
      <c r="MY4" t="str">
        <f ca="1">DenmarkCapita &amp; " from " &amp; TEXT(Denmark100dt,"dd-mmm")</f>
        <v>Denmark from 19-Mar</v>
      </c>
      <c r="NA4" t="str">
        <f ca="1">USCapita &amp; " from " &amp; TEXT(US100dt,"dd-mmm")</f>
        <v>US from 20-Mar</v>
      </c>
      <c r="NC4" t="str">
        <f ca="1">AustraliaSumCapita &amp; " from " &amp; TEXT(AustraliaSum100dt,"dd-mmm")</f>
        <v>Australia Sum from 26-Mar</v>
      </c>
      <c r="NE4" t="str">
        <f ca="1">TaiwanCapita &amp; " from " &amp; TEXT(Taiwan100dt,"dd-mmm")</f>
        <v>Taiwan from 27-Apr</v>
      </c>
      <c r="NG4" t="str">
        <f ca="1">HubeiCapita &amp; " from " &amp; TEXT(Hubei100dt,"dd-mmm")</f>
        <v>Hubei from 27-Jan</v>
      </c>
      <c r="NI4" t="str">
        <f ca="1">HongKongCapita &amp; " from " &amp; TEXT(HongKong100dt,"dd-mmm")</f>
        <v>Hong Kong from 27-Apr</v>
      </c>
    </row>
    <row r="5" spans="1:373" x14ac:dyDescent="0.25">
      <c r="A5" s="156" t="s">
        <v>2430</v>
      </c>
      <c r="B5" t="str">
        <f>B6&amp;" - "&amp;B7</f>
        <v xml:space="preserve"> - Afghanistan</v>
      </c>
      <c r="C5" s="25" t="str">
        <f t="shared" ref="C5:BN5" si="0">C6&amp;" - "&amp;C7</f>
        <v xml:space="preserve"> - Albania</v>
      </c>
      <c r="D5" s="25" t="str">
        <f t="shared" si="0"/>
        <v xml:space="preserve"> - Algeria</v>
      </c>
      <c r="E5" s="25" t="str">
        <f t="shared" si="0"/>
        <v xml:space="preserve"> - Andorra</v>
      </c>
      <c r="F5" s="25" t="str">
        <f t="shared" si="0"/>
        <v xml:space="preserve"> - Angola</v>
      </c>
      <c r="G5" s="25" t="str">
        <f t="shared" si="0"/>
        <v xml:space="preserve"> - Antigua and Barbuda</v>
      </c>
      <c r="H5" s="25" t="str">
        <f t="shared" si="0"/>
        <v xml:space="preserve"> - Argentina</v>
      </c>
      <c r="I5" s="25" t="str">
        <f t="shared" si="0"/>
        <v xml:space="preserve"> - Armenia</v>
      </c>
      <c r="J5" s="25" t="str">
        <f t="shared" si="0"/>
        <v>Australian Capital Territory - Australia</v>
      </c>
      <c r="K5" s="25" t="str">
        <f t="shared" si="0"/>
        <v>New South Wales - Australia</v>
      </c>
      <c r="L5" s="25" t="str">
        <f t="shared" si="0"/>
        <v>Northern Territory - Australia</v>
      </c>
      <c r="M5" s="25" t="str">
        <f t="shared" si="0"/>
        <v>Queensland - Australia</v>
      </c>
      <c r="N5" s="25" t="str">
        <f t="shared" si="0"/>
        <v>South Australia - Australia</v>
      </c>
      <c r="O5" s="25" t="str">
        <f t="shared" si="0"/>
        <v>Tasmania - Australia</v>
      </c>
      <c r="P5" s="25" t="str">
        <f t="shared" si="0"/>
        <v>Victoria - Australia</v>
      </c>
      <c r="Q5" s="25" t="str">
        <f t="shared" si="0"/>
        <v>Western Australia - Australia</v>
      </c>
      <c r="R5" s="25" t="str">
        <f t="shared" si="0"/>
        <v xml:space="preserve"> - Austria</v>
      </c>
      <c r="S5" s="25" t="str">
        <f t="shared" si="0"/>
        <v xml:space="preserve"> - Azerbaijan</v>
      </c>
      <c r="T5" s="25" t="str">
        <f t="shared" si="0"/>
        <v xml:space="preserve"> - Bahamas</v>
      </c>
      <c r="U5" s="25" t="str">
        <f t="shared" si="0"/>
        <v xml:space="preserve"> - Bahrain</v>
      </c>
      <c r="V5" s="25" t="str">
        <f t="shared" si="0"/>
        <v xml:space="preserve"> - Bangladesh</v>
      </c>
      <c r="W5" s="25" t="str">
        <f t="shared" si="0"/>
        <v xml:space="preserve"> - Barbados</v>
      </c>
      <c r="X5" s="25" t="str">
        <f t="shared" si="0"/>
        <v xml:space="preserve"> - Belarus</v>
      </c>
      <c r="Y5" s="25" t="str">
        <f t="shared" si="0"/>
        <v xml:space="preserve"> - Belgium</v>
      </c>
      <c r="Z5" s="25" t="str">
        <f t="shared" si="0"/>
        <v xml:space="preserve"> - Benin</v>
      </c>
      <c r="AA5" s="25" t="str">
        <f t="shared" si="0"/>
        <v xml:space="preserve"> - Bhutan</v>
      </c>
      <c r="AB5" s="25" t="str">
        <f t="shared" si="0"/>
        <v xml:space="preserve"> - Bolivia</v>
      </c>
      <c r="AC5" s="25" t="str">
        <f t="shared" si="0"/>
        <v xml:space="preserve"> - Bosnia and Herzegovina</v>
      </c>
      <c r="AD5" s="25" t="str">
        <f t="shared" si="0"/>
        <v xml:space="preserve"> - Brazil</v>
      </c>
      <c r="AE5" s="25" t="str">
        <f t="shared" si="0"/>
        <v xml:space="preserve"> - Brunei</v>
      </c>
      <c r="AF5" s="25" t="str">
        <f t="shared" si="0"/>
        <v xml:space="preserve"> - Bulgaria</v>
      </c>
      <c r="AG5" s="25" t="str">
        <f t="shared" si="0"/>
        <v xml:space="preserve"> - Burkina Faso</v>
      </c>
      <c r="AH5" s="25" t="str">
        <f t="shared" si="0"/>
        <v xml:space="preserve"> - Cabo Verde</v>
      </c>
      <c r="AI5" s="25" t="str">
        <f t="shared" si="0"/>
        <v xml:space="preserve"> - Cambodia</v>
      </c>
      <c r="AJ5" s="25" t="str">
        <f t="shared" si="0"/>
        <v xml:space="preserve"> - Cameroon</v>
      </c>
      <c r="AK5" s="25" t="str">
        <f t="shared" si="0"/>
        <v>Alberta - Canada</v>
      </c>
      <c r="AL5" s="25" t="str">
        <f t="shared" si="0"/>
        <v>British Columbia - Canada</v>
      </c>
      <c r="AM5" s="25" t="str">
        <f t="shared" si="0"/>
        <v>Grand Princess - Canada</v>
      </c>
      <c r="AN5" s="25" t="str">
        <f t="shared" si="0"/>
        <v>Manitoba - Canada</v>
      </c>
      <c r="AO5" s="25" t="str">
        <f t="shared" si="0"/>
        <v>New Brunswick - Canada</v>
      </c>
      <c r="AP5" s="25" t="str">
        <f t="shared" si="0"/>
        <v>Newfoundland and Labrador - Canada</v>
      </c>
      <c r="AQ5" s="25" t="str">
        <f t="shared" si="0"/>
        <v>Nova Scotia - Canada</v>
      </c>
      <c r="AR5" s="25" t="str">
        <f t="shared" si="0"/>
        <v>Ontario - Canada</v>
      </c>
      <c r="AS5" s="25" t="str">
        <f t="shared" si="0"/>
        <v>Prince Edward Island - Canada</v>
      </c>
      <c r="AT5" s="25" t="str">
        <f t="shared" si="0"/>
        <v>Quebec - Canada</v>
      </c>
      <c r="AU5" s="25" t="str">
        <f t="shared" si="0"/>
        <v>Saskatchewan - Canada</v>
      </c>
      <c r="AV5" s="25" t="str">
        <f t="shared" si="0"/>
        <v xml:space="preserve"> - Central African Republic</v>
      </c>
      <c r="AW5" s="25" t="str">
        <f t="shared" si="0"/>
        <v xml:space="preserve"> - Chad</v>
      </c>
      <c r="AX5" s="25" t="str">
        <f t="shared" si="0"/>
        <v xml:space="preserve"> - Chile</v>
      </c>
      <c r="AY5" s="25" t="str">
        <f t="shared" si="0"/>
        <v>Anhui - China</v>
      </c>
      <c r="AZ5" s="25" t="str">
        <f t="shared" si="0"/>
        <v>Beijing - China</v>
      </c>
      <c r="BA5" s="25" t="str">
        <f t="shared" si="0"/>
        <v>Chongqing - China</v>
      </c>
      <c r="BB5" s="25" t="str">
        <f t="shared" si="0"/>
        <v>Fujian - China</v>
      </c>
      <c r="BC5" s="25" t="str">
        <f t="shared" si="0"/>
        <v>Gansu - China</v>
      </c>
      <c r="BD5" s="25" t="str">
        <f t="shared" si="0"/>
        <v>Guangdong - China</v>
      </c>
      <c r="BE5" s="25" t="str">
        <f t="shared" si="0"/>
        <v>Guangxi - China</v>
      </c>
      <c r="BF5" s="25" t="str">
        <f t="shared" si="0"/>
        <v>Guizhou - China</v>
      </c>
      <c r="BG5" s="25" t="str">
        <f t="shared" si="0"/>
        <v>Hainan - China</v>
      </c>
      <c r="BH5" s="25" t="str">
        <f t="shared" si="0"/>
        <v>Hebei - China</v>
      </c>
      <c r="BI5" s="25" t="str">
        <f t="shared" si="0"/>
        <v>Heilongjiang - China</v>
      </c>
      <c r="BJ5" s="25" t="str">
        <f t="shared" si="0"/>
        <v>Henan - China</v>
      </c>
      <c r="BK5" s="25" t="str">
        <f t="shared" si="0"/>
        <v>Hong Kong - China</v>
      </c>
      <c r="BL5" s="25" t="str">
        <f t="shared" si="0"/>
        <v>Hubei - China</v>
      </c>
      <c r="BM5" s="25" t="str">
        <f t="shared" si="0"/>
        <v>Hunan - China</v>
      </c>
      <c r="BN5" s="25" t="str">
        <f t="shared" si="0"/>
        <v>Inner Mongolia - China</v>
      </c>
      <c r="BO5" s="25" t="str">
        <f t="shared" ref="BO5:DZ5" si="1">BO6&amp;" - "&amp;BO7</f>
        <v>Jiangsu - China</v>
      </c>
      <c r="BP5" s="25" t="str">
        <f t="shared" si="1"/>
        <v>Jiangxi - China</v>
      </c>
      <c r="BQ5" s="25" t="str">
        <f t="shared" si="1"/>
        <v>Jilin - China</v>
      </c>
      <c r="BR5" s="25" t="str">
        <f t="shared" si="1"/>
        <v>Liaoning - China</v>
      </c>
      <c r="BS5" s="25" t="str">
        <f t="shared" si="1"/>
        <v>Macau - China</v>
      </c>
      <c r="BT5" s="25" t="str">
        <f t="shared" si="1"/>
        <v>Ningxia - China</v>
      </c>
      <c r="BU5" s="25" t="str">
        <f t="shared" si="1"/>
        <v>Qinghai - China</v>
      </c>
      <c r="BV5" s="25" t="str">
        <f t="shared" si="1"/>
        <v>Shaanxi - China</v>
      </c>
      <c r="BW5" s="25" t="str">
        <f t="shared" si="1"/>
        <v>Shandong - China</v>
      </c>
      <c r="BX5" s="25" t="str">
        <f t="shared" si="1"/>
        <v>Shanghai - China</v>
      </c>
      <c r="BY5" s="25" t="str">
        <f t="shared" si="1"/>
        <v>Shanxi - China</v>
      </c>
      <c r="BZ5" s="25" t="str">
        <f t="shared" si="1"/>
        <v>Sichuan - China</v>
      </c>
      <c r="CA5" s="25" t="str">
        <f t="shared" si="1"/>
        <v>Tianjin - China</v>
      </c>
      <c r="CB5" s="25" t="str">
        <f t="shared" si="1"/>
        <v>Tibet - China</v>
      </c>
      <c r="CC5" s="25" t="str">
        <f t="shared" si="1"/>
        <v>Xinjiang - China</v>
      </c>
      <c r="CD5" s="25" t="str">
        <f t="shared" si="1"/>
        <v>Yunnan - China</v>
      </c>
      <c r="CE5" s="25" t="str">
        <f t="shared" si="1"/>
        <v>Zhejiang - China</v>
      </c>
      <c r="CF5" s="25" t="str">
        <f t="shared" si="1"/>
        <v xml:space="preserve"> - Colombia</v>
      </c>
      <c r="CG5" s="25" t="str">
        <f t="shared" si="1"/>
        <v xml:space="preserve"> - Congo (Brazzaville)</v>
      </c>
      <c r="CH5" s="25" t="str">
        <f t="shared" si="1"/>
        <v xml:space="preserve"> - Congo (Kinshasa)</v>
      </c>
      <c r="CI5" s="25" t="str">
        <f t="shared" si="1"/>
        <v xml:space="preserve"> - Costa Rica</v>
      </c>
      <c r="CJ5" s="25" t="str">
        <f t="shared" si="1"/>
        <v xml:space="preserve"> - Cote d'Ivoire</v>
      </c>
      <c r="CK5" s="25" t="str">
        <f t="shared" si="1"/>
        <v xml:space="preserve"> - Croatia</v>
      </c>
      <c r="CL5" s="25" t="str">
        <f t="shared" si="1"/>
        <v xml:space="preserve"> - Diamond Princess</v>
      </c>
      <c r="CM5" s="25" t="str">
        <f t="shared" si="1"/>
        <v xml:space="preserve"> - Cuba</v>
      </c>
      <c r="CN5" s="25" t="str">
        <f t="shared" si="1"/>
        <v xml:space="preserve"> - Cyprus</v>
      </c>
      <c r="CO5" s="25" t="str">
        <f t="shared" si="1"/>
        <v xml:space="preserve"> - Czechia</v>
      </c>
      <c r="CP5" s="25" t="str">
        <f t="shared" si="1"/>
        <v>Faroe Islands - Denmark</v>
      </c>
      <c r="CQ5" s="25" t="str">
        <f t="shared" si="1"/>
        <v>Greenland - Denmark</v>
      </c>
      <c r="CR5" s="25" t="str">
        <f t="shared" si="1"/>
        <v xml:space="preserve"> - Denmark</v>
      </c>
      <c r="CS5" s="25" t="str">
        <f t="shared" si="1"/>
        <v xml:space="preserve"> - Djibouti</v>
      </c>
      <c r="CT5" s="25" t="str">
        <f t="shared" si="1"/>
        <v xml:space="preserve"> - Dominican Republic</v>
      </c>
      <c r="CU5" s="25" t="str">
        <f t="shared" si="1"/>
        <v xml:space="preserve"> - Ecuador</v>
      </c>
      <c r="CV5" s="25" t="str">
        <f t="shared" si="1"/>
        <v xml:space="preserve"> - Egypt</v>
      </c>
      <c r="CW5" s="25" t="str">
        <f t="shared" si="1"/>
        <v xml:space="preserve"> - El Salvador</v>
      </c>
      <c r="CX5" s="25" t="str">
        <f t="shared" si="1"/>
        <v xml:space="preserve"> - Equatorial Guinea</v>
      </c>
      <c r="CY5" s="25" t="str">
        <f t="shared" si="1"/>
        <v xml:space="preserve"> - Eritrea</v>
      </c>
      <c r="CZ5" s="25" t="str">
        <f t="shared" si="1"/>
        <v xml:space="preserve"> - Estonia</v>
      </c>
      <c r="DA5" s="25" t="str">
        <f t="shared" si="1"/>
        <v xml:space="preserve"> - Eswatini</v>
      </c>
      <c r="DB5" s="25" t="str">
        <f t="shared" si="1"/>
        <v xml:space="preserve"> - Ethiopia</v>
      </c>
      <c r="DC5" s="25" t="str">
        <f t="shared" si="1"/>
        <v xml:space="preserve"> - Fiji</v>
      </c>
      <c r="DD5" s="25" t="str">
        <f t="shared" si="1"/>
        <v xml:space="preserve"> - Finland</v>
      </c>
      <c r="DE5" s="25" t="str">
        <f t="shared" si="1"/>
        <v>French Guiana - France</v>
      </c>
      <c r="DF5" s="25" t="str">
        <f t="shared" si="1"/>
        <v>French Polynesia - France</v>
      </c>
      <c r="DG5" s="25" t="str">
        <f t="shared" si="1"/>
        <v>Guadeloupe - France</v>
      </c>
      <c r="DH5" s="25" t="str">
        <f t="shared" si="1"/>
        <v>Mayotte - France</v>
      </c>
      <c r="DI5" s="25" t="str">
        <f t="shared" si="1"/>
        <v>New Caledonia - France</v>
      </c>
      <c r="DJ5" s="25" t="str">
        <f t="shared" si="1"/>
        <v>Reunion - France</v>
      </c>
      <c r="DK5" s="25" t="str">
        <f t="shared" si="1"/>
        <v>Saint Barthelemy - France</v>
      </c>
      <c r="DL5" s="25" t="str">
        <f t="shared" si="1"/>
        <v>St Martin - France</v>
      </c>
      <c r="DM5" s="25" t="str">
        <f t="shared" si="1"/>
        <v>Martinique - France</v>
      </c>
      <c r="DN5" s="25" t="str">
        <f t="shared" si="1"/>
        <v xml:space="preserve"> - France</v>
      </c>
      <c r="DO5" s="25" t="str">
        <f t="shared" si="1"/>
        <v xml:space="preserve"> - Gabon</v>
      </c>
      <c r="DP5" s="25" t="str">
        <f t="shared" si="1"/>
        <v xml:space="preserve"> - Gambia</v>
      </c>
      <c r="DQ5" s="25" t="str">
        <f t="shared" si="1"/>
        <v xml:space="preserve"> - Georgia</v>
      </c>
      <c r="DR5" s="25" t="str">
        <f t="shared" si="1"/>
        <v xml:space="preserve"> - Germany</v>
      </c>
      <c r="DS5" s="25" t="str">
        <f t="shared" si="1"/>
        <v xml:space="preserve"> - Ghana</v>
      </c>
      <c r="DT5" s="25" t="str">
        <f t="shared" si="1"/>
        <v xml:space="preserve"> - Greece</v>
      </c>
      <c r="DU5" s="25" t="str">
        <f t="shared" si="1"/>
        <v xml:space="preserve"> - Guatemala</v>
      </c>
      <c r="DV5" s="25" t="str">
        <f t="shared" si="1"/>
        <v xml:space="preserve"> - Guinea</v>
      </c>
      <c r="DW5" s="25" t="str">
        <f t="shared" si="1"/>
        <v xml:space="preserve"> - Guyana</v>
      </c>
      <c r="DX5" s="25" t="str">
        <f t="shared" si="1"/>
        <v xml:space="preserve"> - Haiti</v>
      </c>
      <c r="DY5" s="25" t="str">
        <f t="shared" si="1"/>
        <v xml:space="preserve"> - Holy See</v>
      </c>
      <c r="DZ5" s="25" t="str">
        <f t="shared" si="1"/>
        <v xml:space="preserve"> - Honduras</v>
      </c>
      <c r="EA5" s="25" t="str">
        <f t="shared" ref="EA5:GL5" si="2">EA6&amp;" - "&amp;EA7</f>
        <v xml:space="preserve"> - Hungary</v>
      </c>
      <c r="EB5" s="25" t="str">
        <f t="shared" si="2"/>
        <v xml:space="preserve"> - Iceland</v>
      </c>
      <c r="EC5" s="25" t="str">
        <f t="shared" si="2"/>
        <v xml:space="preserve"> - India</v>
      </c>
      <c r="ED5" s="25" t="str">
        <f t="shared" si="2"/>
        <v xml:space="preserve"> - Indonesia</v>
      </c>
      <c r="EE5" s="25" t="str">
        <f t="shared" si="2"/>
        <v xml:space="preserve"> - Iran</v>
      </c>
      <c r="EF5" s="25" t="str">
        <f t="shared" si="2"/>
        <v xml:space="preserve"> - Iraq</v>
      </c>
      <c r="EG5" s="25" t="str">
        <f t="shared" si="2"/>
        <v xml:space="preserve"> - Ireland</v>
      </c>
      <c r="EH5" s="25" t="str">
        <f t="shared" si="2"/>
        <v xml:space="preserve"> - Israel</v>
      </c>
      <c r="EI5" s="25" t="str">
        <f t="shared" si="2"/>
        <v xml:space="preserve"> - Italy</v>
      </c>
      <c r="EJ5" s="25" t="str">
        <f t="shared" si="2"/>
        <v xml:space="preserve"> - Jamaica</v>
      </c>
      <c r="EK5" s="25" t="str">
        <f t="shared" si="2"/>
        <v xml:space="preserve"> - Japan</v>
      </c>
      <c r="EL5" s="25" t="str">
        <f t="shared" si="2"/>
        <v xml:space="preserve"> - Jordan</v>
      </c>
      <c r="EM5" s="25" t="str">
        <f t="shared" si="2"/>
        <v xml:space="preserve"> - Kazakhstan</v>
      </c>
      <c r="EN5" s="25" t="str">
        <f t="shared" si="2"/>
        <v xml:space="preserve"> - Kenya</v>
      </c>
      <c r="EO5" s="25" t="str">
        <f t="shared" si="2"/>
        <v xml:space="preserve"> - Korea South</v>
      </c>
      <c r="EP5" s="25" t="str">
        <f t="shared" si="2"/>
        <v xml:space="preserve"> - Kuwait</v>
      </c>
      <c r="EQ5" s="25" t="str">
        <f t="shared" si="2"/>
        <v xml:space="preserve"> - Kyrgyzstan</v>
      </c>
      <c r="ER5" s="25" t="str">
        <f t="shared" si="2"/>
        <v xml:space="preserve"> - Latvia</v>
      </c>
      <c r="ES5" s="25" t="str">
        <f t="shared" si="2"/>
        <v xml:space="preserve"> - Lebanon</v>
      </c>
      <c r="ET5" s="25" t="str">
        <f t="shared" si="2"/>
        <v xml:space="preserve"> - Liberia</v>
      </c>
      <c r="EU5" s="25" t="str">
        <f t="shared" si="2"/>
        <v xml:space="preserve"> - Liechtenstein</v>
      </c>
      <c r="EV5" s="25" t="str">
        <f t="shared" si="2"/>
        <v xml:space="preserve"> - Lithuania</v>
      </c>
      <c r="EW5" s="25" t="str">
        <f t="shared" si="2"/>
        <v xml:space="preserve"> - Luxembourg</v>
      </c>
      <c r="EX5" s="25" t="str">
        <f t="shared" si="2"/>
        <v xml:space="preserve"> - Madagascar</v>
      </c>
      <c r="EY5" s="25" t="str">
        <f t="shared" si="2"/>
        <v xml:space="preserve"> - Malaysia</v>
      </c>
      <c r="EZ5" s="25" t="str">
        <f t="shared" si="2"/>
        <v xml:space="preserve"> - Maldives</v>
      </c>
      <c r="FA5" s="25" t="str">
        <f t="shared" si="2"/>
        <v xml:space="preserve"> - Malta</v>
      </c>
      <c r="FB5" s="25" t="str">
        <f t="shared" si="2"/>
        <v xml:space="preserve"> - Mauritania</v>
      </c>
      <c r="FC5" s="25" t="str">
        <f t="shared" si="2"/>
        <v xml:space="preserve"> - Mauritius</v>
      </c>
      <c r="FD5" s="25" t="str">
        <f t="shared" si="2"/>
        <v xml:space="preserve"> - Mexico</v>
      </c>
      <c r="FE5" s="25" t="str">
        <f t="shared" si="2"/>
        <v xml:space="preserve"> - Moldova</v>
      </c>
      <c r="FF5" s="25" t="str">
        <f t="shared" si="2"/>
        <v xml:space="preserve"> - Monaco</v>
      </c>
      <c r="FG5" s="25" t="str">
        <f t="shared" si="2"/>
        <v xml:space="preserve"> - Mongolia</v>
      </c>
      <c r="FH5" s="25" t="str">
        <f t="shared" si="2"/>
        <v xml:space="preserve"> - Montenegro</v>
      </c>
      <c r="FI5" s="25" t="str">
        <f t="shared" si="2"/>
        <v xml:space="preserve"> - Morocco</v>
      </c>
      <c r="FJ5" s="25" t="str">
        <f t="shared" si="2"/>
        <v xml:space="preserve"> - Namibia</v>
      </c>
      <c r="FK5" s="25" t="str">
        <f t="shared" si="2"/>
        <v xml:space="preserve"> - Nepal</v>
      </c>
      <c r="FL5" s="25" t="str">
        <f t="shared" si="2"/>
        <v>Aruba - Netherlands</v>
      </c>
      <c r="FM5" s="25" t="str">
        <f t="shared" si="2"/>
        <v>Curacao - Netherlands</v>
      </c>
      <c r="FN5" s="25" t="str">
        <f t="shared" si="2"/>
        <v>Sint Maarten - Netherlands</v>
      </c>
      <c r="FO5" s="25" t="str">
        <f t="shared" si="2"/>
        <v xml:space="preserve"> - Netherlands</v>
      </c>
      <c r="FP5" s="25" t="str">
        <f t="shared" si="2"/>
        <v xml:space="preserve"> - New Zealand</v>
      </c>
      <c r="FQ5" s="25" t="str">
        <f t="shared" si="2"/>
        <v xml:space="preserve"> - Nicaragua</v>
      </c>
      <c r="FR5" s="25" t="str">
        <f t="shared" si="2"/>
        <v xml:space="preserve"> - Niger</v>
      </c>
      <c r="FS5" s="25" t="str">
        <f t="shared" si="2"/>
        <v xml:space="preserve"> - Nigeria</v>
      </c>
      <c r="FT5" s="25" t="str">
        <f t="shared" si="2"/>
        <v xml:space="preserve"> - North Macedonia</v>
      </c>
      <c r="FU5" s="25" t="str">
        <f t="shared" si="2"/>
        <v xml:space="preserve"> - Norway</v>
      </c>
      <c r="FV5" s="25" t="str">
        <f t="shared" si="2"/>
        <v xml:space="preserve"> - Oman</v>
      </c>
      <c r="FW5" s="25" t="str">
        <f t="shared" si="2"/>
        <v xml:space="preserve"> - Pakistan</v>
      </c>
      <c r="FX5" s="25" t="str">
        <f t="shared" si="2"/>
        <v xml:space="preserve"> - Panama</v>
      </c>
      <c r="FY5" s="25" t="str">
        <f t="shared" si="2"/>
        <v xml:space="preserve"> - Papua New Guinea</v>
      </c>
      <c r="FZ5" s="25" t="str">
        <f t="shared" si="2"/>
        <v xml:space="preserve"> - Paraguay</v>
      </c>
      <c r="GA5" s="25" t="str">
        <f t="shared" si="2"/>
        <v xml:space="preserve"> - Peru</v>
      </c>
      <c r="GB5" s="25" t="str">
        <f t="shared" si="2"/>
        <v xml:space="preserve"> - Philippines</v>
      </c>
      <c r="GC5" s="25" t="str">
        <f t="shared" si="2"/>
        <v xml:space="preserve"> - Poland</v>
      </c>
      <c r="GD5" s="25" t="str">
        <f t="shared" si="2"/>
        <v xml:space="preserve"> - Portugal</v>
      </c>
      <c r="GE5" s="25" t="str">
        <f t="shared" si="2"/>
        <v xml:space="preserve"> - Qatar</v>
      </c>
      <c r="GF5" s="25" t="str">
        <f t="shared" si="2"/>
        <v xml:space="preserve"> - Romania</v>
      </c>
      <c r="GG5" s="25" t="str">
        <f t="shared" si="2"/>
        <v xml:space="preserve"> - Russia</v>
      </c>
      <c r="GH5" s="25" t="str">
        <f t="shared" si="2"/>
        <v xml:space="preserve"> - Rwanda</v>
      </c>
      <c r="GI5" s="25" t="str">
        <f t="shared" si="2"/>
        <v xml:space="preserve"> - Saint Lucia</v>
      </c>
      <c r="GJ5" s="25" t="str">
        <f t="shared" si="2"/>
        <v xml:space="preserve"> - Saint Vincent and the Grenadines</v>
      </c>
      <c r="GK5" s="25" t="str">
        <f t="shared" si="2"/>
        <v xml:space="preserve"> - San Marino</v>
      </c>
      <c r="GL5" s="25" t="str">
        <f t="shared" si="2"/>
        <v xml:space="preserve"> - Saudi Arabia</v>
      </c>
      <c r="GM5" s="25" t="str">
        <f t="shared" ref="GM5:IX5" si="3">GM6&amp;" - "&amp;GM7</f>
        <v xml:space="preserve"> - Senegal</v>
      </c>
      <c r="GN5" s="25" t="str">
        <f t="shared" si="3"/>
        <v xml:space="preserve"> - Serbia</v>
      </c>
      <c r="GO5" s="25" t="str">
        <f t="shared" si="3"/>
        <v xml:space="preserve"> - Seychelles</v>
      </c>
      <c r="GP5" s="25" t="str">
        <f t="shared" si="3"/>
        <v xml:space="preserve"> - Singapore</v>
      </c>
      <c r="GQ5" s="25" t="str">
        <f t="shared" si="3"/>
        <v xml:space="preserve"> - Slovakia</v>
      </c>
      <c r="GR5" s="25" t="str">
        <f t="shared" si="3"/>
        <v xml:space="preserve"> - Slovenia</v>
      </c>
      <c r="GS5" s="25" t="str">
        <f t="shared" si="3"/>
        <v xml:space="preserve"> - Somalia</v>
      </c>
      <c r="GT5" s="25" t="str">
        <f t="shared" si="3"/>
        <v xml:space="preserve"> - South Africa</v>
      </c>
      <c r="GU5" s="25" t="str">
        <f t="shared" si="3"/>
        <v xml:space="preserve"> - Spain</v>
      </c>
      <c r="GV5" s="25" t="str">
        <f t="shared" si="3"/>
        <v xml:space="preserve"> - Sri Lanka</v>
      </c>
      <c r="GW5" s="25" t="str">
        <f t="shared" si="3"/>
        <v xml:space="preserve"> - Sudan</v>
      </c>
      <c r="GX5" s="25" t="str">
        <f t="shared" si="3"/>
        <v xml:space="preserve"> - Suriname</v>
      </c>
      <c r="GY5" s="25" t="str">
        <f t="shared" si="3"/>
        <v xml:space="preserve"> - Sweden</v>
      </c>
      <c r="GZ5" s="25" t="str">
        <f t="shared" si="3"/>
        <v xml:space="preserve"> - Switzerland</v>
      </c>
      <c r="HA5" s="25" t="str">
        <f t="shared" si="3"/>
        <v xml:space="preserve"> - Taiwan</v>
      </c>
      <c r="HB5" s="25" t="str">
        <f t="shared" si="3"/>
        <v xml:space="preserve"> - Tanzania</v>
      </c>
      <c r="HC5" s="25" t="str">
        <f t="shared" si="3"/>
        <v xml:space="preserve"> - Thailand</v>
      </c>
      <c r="HD5" s="25" t="str">
        <f t="shared" si="3"/>
        <v xml:space="preserve"> - Togo</v>
      </c>
      <c r="HE5" s="25" t="str">
        <f t="shared" si="3"/>
        <v xml:space="preserve"> - Trinidad and Tobago</v>
      </c>
      <c r="HF5" s="25" t="str">
        <f t="shared" si="3"/>
        <v xml:space="preserve"> - Tunisia</v>
      </c>
      <c r="HG5" s="25" t="str">
        <f t="shared" si="3"/>
        <v xml:space="preserve"> - Turkey</v>
      </c>
      <c r="HH5" s="25" t="str">
        <f t="shared" si="3"/>
        <v xml:space="preserve"> - Uganda</v>
      </c>
      <c r="HI5" s="25" t="str">
        <f t="shared" si="3"/>
        <v xml:space="preserve"> - Ukraine</v>
      </c>
      <c r="HJ5" s="25" t="str">
        <f t="shared" si="3"/>
        <v xml:space="preserve"> - United Arab Emirates</v>
      </c>
      <c r="HK5" s="25" t="str">
        <f t="shared" si="3"/>
        <v>Bermuda - United Kingdom</v>
      </c>
      <c r="HL5" s="25" t="str">
        <f t="shared" si="3"/>
        <v>Cayman Islands - United Kingdom</v>
      </c>
      <c r="HM5" s="25" t="str">
        <f t="shared" si="3"/>
        <v>Channel Islands - United Kingdom</v>
      </c>
      <c r="HN5" s="25" t="str">
        <f t="shared" si="3"/>
        <v>Gibraltar - United Kingdom</v>
      </c>
      <c r="HO5" s="25" t="str">
        <f t="shared" si="3"/>
        <v>Isle of Man - United Kingdom</v>
      </c>
      <c r="HP5" s="25" t="str">
        <f t="shared" si="3"/>
        <v>Montserrat - United Kingdom</v>
      </c>
      <c r="HQ5" s="25" t="str">
        <f t="shared" si="3"/>
        <v xml:space="preserve"> - United Kingdom</v>
      </c>
      <c r="HR5" s="25" t="str">
        <f t="shared" si="3"/>
        <v xml:space="preserve"> - Uruguay</v>
      </c>
      <c r="HS5" s="25" t="str">
        <f t="shared" si="3"/>
        <v xml:space="preserve"> - US</v>
      </c>
      <c r="HT5" s="25" t="str">
        <f t="shared" si="3"/>
        <v xml:space="preserve"> - Uzbekistan</v>
      </c>
      <c r="HU5" s="25" t="str">
        <f t="shared" si="3"/>
        <v xml:space="preserve"> - Venezuela</v>
      </c>
      <c r="HV5" s="25" t="str">
        <f t="shared" si="3"/>
        <v xml:space="preserve"> - Vietnam</v>
      </c>
      <c r="HW5" s="25" t="str">
        <f t="shared" si="3"/>
        <v xml:space="preserve"> - Zambia</v>
      </c>
      <c r="HX5" s="25" t="str">
        <f t="shared" si="3"/>
        <v xml:space="preserve"> - Zimbabwe</v>
      </c>
      <c r="HY5" s="25" t="str">
        <f t="shared" si="3"/>
        <v>Diamond Princess - Canada</v>
      </c>
      <c r="HZ5" s="25" t="str">
        <f t="shared" si="3"/>
        <v xml:space="preserve"> - Dominica</v>
      </c>
      <c r="IA5" s="25" t="str">
        <f t="shared" si="3"/>
        <v xml:space="preserve"> - Grenada</v>
      </c>
      <c r="IB5" s="25" t="str">
        <f t="shared" si="3"/>
        <v xml:space="preserve"> - Mozambique</v>
      </c>
      <c r="IC5" s="25" t="str">
        <f t="shared" si="3"/>
        <v xml:space="preserve"> - Syria</v>
      </c>
      <c r="ID5" s="25" t="str">
        <f t="shared" si="3"/>
        <v xml:space="preserve"> - Timor-Leste</v>
      </c>
      <c r="IE5" s="25" t="str">
        <f t="shared" si="3"/>
        <v xml:space="preserve"> - Belize</v>
      </c>
      <c r="IF5" s="25" t="str">
        <f t="shared" si="3"/>
        <v>Recovered - Canada</v>
      </c>
      <c r="IG5" s="25" t="str">
        <f t="shared" si="3"/>
        <v xml:space="preserve"> - Laos</v>
      </c>
      <c r="IH5" s="25" t="str">
        <f t="shared" si="3"/>
        <v xml:space="preserve"> - Libya</v>
      </c>
      <c r="II5" s="25" t="str">
        <f t="shared" si="3"/>
        <v xml:space="preserve"> - West Bank and Gaza</v>
      </c>
      <c r="IJ5" s="25" t="str">
        <f t="shared" si="3"/>
        <v xml:space="preserve"> - Guinea-Bissau</v>
      </c>
      <c r="IK5" s="25" t="str">
        <f t="shared" si="3"/>
        <v xml:space="preserve"> - Mali</v>
      </c>
      <c r="IL5" s="25" t="str">
        <f t="shared" si="3"/>
        <v xml:space="preserve"> - Saint Kitts and Nevis</v>
      </c>
      <c r="IM5" s="25" t="str">
        <f t="shared" si="3"/>
        <v>Northwest Territories - Canada</v>
      </c>
      <c r="IN5" s="25" t="str">
        <f t="shared" si="3"/>
        <v>Yukon - Canada</v>
      </c>
      <c r="IO5" s="25" t="str">
        <f t="shared" si="3"/>
        <v xml:space="preserve"> - Kosovo</v>
      </c>
      <c r="IP5" s="25" t="str">
        <f t="shared" si="3"/>
        <v xml:space="preserve"> - Burma</v>
      </c>
      <c r="IQ5" s="25" t="str">
        <f t="shared" si="3"/>
        <v>Anguilla - United Kingdom</v>
      </c>
      <c r="IR5" s="25" t="str">
        <f t="shared" si="3"/>
        <v>British Virgin Islands - United Kingdom</v>
      </c>
      <c r="IS5" s="25" t="str">
        <f t="shared" si="3"/>
        <v>Turks and Caicos Islands - United Kingdom</v>
      </c>
      <c r="IT5" s="25" t="str">
        <f t="shared" si="3"/>
        <v xml:space="preserve"> - MS Zaandam</v>
      </c>
      <c r="IU5" s="25" t="str">
        <f t="shared" si="3"/>
        <v xml:space="preserve"> - Botswana</v>
      </c>
      <c r="IV5" s="25" t="str">
        <f t="shared" si="3"/>
        <v xml:space="preserve"> - Burundi</v>
      </c>
      <c r="IW5" s="25" t="str">
        <f t="shared" si="3"/>
        <v xml:space="preserve"> - Sierra Leone</v>
      </c>
      <c r="IX5" s="25" t="str">
        <f t="shared" si="3"/>
        <v>BES Islands - Netherlands</v>
      </c>
      <c r="IY5" s="25" t="str">
        <f t="shared" ref="IY5:LJ5" si="4">IY6&amp;" - "&amp;IY7</f>
        <v xml:space="preserve"> - Malawi</v>
      </c>
      <c r="IZ5" s="25" t="str">
        <f t="shared" si="4"/>
        <v>Falkland Islands (Malvinas) - United Kingdom</v>
      </c>
      <c r="JA5" s="25" t="str">
        <f t="shared" si="4"/>
        <v>Saint Pierre and Miquelon - France</v>
      </c>
      <c r="JB5" s="25" t="str">
        <f t="shared" si="4"/>
        <v xml:space="preserve"> - South Sudan</v>
      </c>
      <c r="JC5" s="25" t="str">
        <f t="shared" si="4"/>
        <v xml:space="preserve"> - Western Sahara</v>
      </c>
      <c r="JD5" s="25" t="str">
        <f t="shared" si="4"/>
        <v xml:space="preserve"> - Sao Tome and Principe</v>
      </c>
      <c r="JE5" s="25" t="str">
        <f t="shared" si="4"/>
        <v xml:space="preserve"> - Yemen</v>
      </c>
      <c r="JF5" s="25" t="str">
        <f t="shared" si="4"/>
        <v xml:space="preserve"> - Comoros</v>
      </c>
      <c r="JG5" s="25" t="str">
        <f t="shared" si="4"/>
        <v xml:space="preserve"> - Tajikistan</v>
      </c>
      <c r="JH5" s="25" t="str">
        <f t="shared" si="4"/>
        <v>American Samoa - US</v>
      </c>
      <c r="JI5" s="25" t="str">
        <f t="shared" si="4"/>
        <v>Guam - US</v>
      </c>
      <c r="JJ5" s="25" t="str">
        <f t="shared" si="4"/>
        <v>Northern Mariana Islands - US</v>
      </c>
      <c r="JK5" s="25" t="str">
        <f t="shared" si="4"/>
        <v>Puerto Rico - US</v>
      </c>
      <c r="JL5" s="25" t="str">
        <f t="shared" si="4"/>
        <v>Virgin Islands - US</v>
      </c>
      <c r="JM5" s="25" t="str">
        <f t="shared" si="4"/>
        <v>Alabama - US</v>
      </c>
      <c r="JN5" s="25" t="str">
        <f t="shared" si="4"/>
        <v>Alaska - US</v>
      </c>
      <c r="JO5" s="25" t="str">
        <f t="shared" si="4"/>
        <v>Arizona - US</v>
      </c>
      <c r="JP5" s="25" t="str">
        <f t="shared" si="4"/>
        <v>Arkansas - US</v>
      </c>
      <c r="JQ5" s="25" t="str">
        <f t="shared" si="4"/>
        <v>California - US</v>
      </c>
      <c r="JR5" s="25" t="str">
        <f t="shared" si="4"/>
        <v>Colorado - US</v>
      </c>
      <c r="JS5" s="25" t="str">
        <f t="shared" si="4"/>
        <v>Connecticut - US</v>
      </c>
      <c r="JT5" s="25" t="str">
        <f t="shared" si="4"/>
        <v>Delaware - US</v>
      </c>
      <c r="JU5" s="25" t="str">
        <f t="shared" si="4"/>
        <v>District of Columbia - US</v>
      </c>
      <c r="JV5" s="25" t="str">
        <f t="shared" si="4"/>
        <v>Florida - US</v>
      </c>
      <c r="JW5" s="25" t="str">
        <f t="shared" si="4"/>
        <v>Georgia - US</v>
      </c>
      <c r="JX5" s="25" t="str">
        <f t="shared" si="4"/>
        <v>Hawaii - US</v>
      </c>
      <c r="JY5" s="25" t="str">
        <f t="shared" si="4"/>
        <v>Idaho - US</v>
      </c>
      <c r="JZ5" s="25" t="str">
        <f t="shared" si="4"/>
        <v>Illinois - US</v>
      </c>
      <c r="KA5" s="25" t="str">
        <f t="shared" si="4"/>
        <v>Indiana - US</v>
      </c>
      <c r="KB5" s="25" t="str">
        <f t="shared" si="4"/>
        <v>Iowa - US</v>
      </c>
      <c r="KC5" s="25" t="str">
        <f t="shared" si="4"/>
        <v>Kansas - US</v>
      </c>
      <c r="KD5" s="25" t="str">
        <f t="shared" si="4"/>
        <v>Kentucky - US</v>
      </c>
      <c r="KE5" s="25" t="str">
        <f t="shared" si="4"/>
        <v>Louisiana - US</v>
      </c>
      <c r="KF5" s="25" t="str">
        <f t="shared" si="4"/>
        <v>Maine - US</v>
      </c>
      <c r="KG5" s="25" t="str">
        <f t="shared" si="4"/>
        <v>Maryland - US</v>
      </c>
      <c r="KH5" s="25" t="str">
        <f t="shared" si="4"/>
        <v>Massachusetts - US</v>
      </c>
      <c r="KI5" s="25" t="str">
        <f t="shared" si="4"/>
        <v>Michigan - US</v>
      </c>
      <c r="KJ5" s="25" t="str">
        <f t="shared" si="4"/>
        <v>Minnesota - US</v>
      </c>
      <c r="KK5" s="25" t="str">
        <f t="shared" si="4"/>
        <v>Mississippi - US</v>
      </c>
      <c r="KL5" s="25" t="str">
        <f t="shared" si="4"/>
        <v>Missouri - US</v>
      </c>
      <c r="KM5" s="25" t="str">
        <f t="shared" si="4"/>
        <v>Montana - US</v>
      </c>
      <c r="KN5" s="25" t="str">
        <f t="shared" si="4"/>
        <v>Nebraska - US</v>
      </c>
      <c r="KO5" s="25" t="str">
        <f t="shared" si="4"/>
        <v>Nevada - US</v>
      </c>
      <c r="KP5" s="25" t="str">
        <f t="shared" si="4"/>
        <v>New Hampshire - US</v>
      </c>
      <c r="KQ5" s="25" t="str">
        <f t="shared" si="4"/>
        <v>New Jersey - US</v>
      </c>
      <c r="KR5" s="25" t="str">
        <f t="shared" si="4"/>
        <v>New Mexico - US</v>
      </c>
      <c r="KS5" s="25" t="str">
        <f t="shared" si="4"/>
        <v>New York - US</v>
      </c>
      <c r="KT5" s="25" t="str">
        <f t="shared" si="4"/>
        <v>North Carolina - US</v>
      </c>
      <c r="KU5" s="25" t="str">
        <f t="shared" si="4"/>
        <v>North Dakota - US</v>
      </c>
      <c r="KV5" s="25" t="str">
        <f t="shared" si="4"/>
        <v>Ohio - US</v>
      </c>
      <c r="KW5" s="25" t="str">
        <f t="shared" si="4"/>
        <v>Oklahoma - US</v>
      </c>
      <c r="KX5" s="25" t="str">
        <f t="shared" si="4"/>
        <v>Oregon - US</v>
      </c>
      <c r="KY5" s="25" t="str">
        <f t="shared" si="4"/>
        <v>Pennsylvania - US</v>
      </c>
      <c r="KZ5" s="25" t="str">
        <f t="shared" si="4"/>
        <v>Rhode Island - US</v>
      </c>
      <c r="LA5" s="25" t="str">
        <f t="shared" si="4"/>
        <v>South Carolina - US</v>
      </c>
      <c r="LB5" s="25" t="str">
        <f t="shared" si="4"/>
        <v>South Dakota - US</v>
      </c>
      <c r="LC5" s="25" t="str">
        <f t="shared" si="4"/>
        <v>Tennessee - US</v>
      </c>
      <c r="LD5" s="25" t="str">
        <f t="shared" si="4"/>
        <v>Texas - US</v>
      </c>
      <c r="LE5" s="25" t="str">
        <f t="shared" si="4"/>
        <v>Utah - US</v>
      </c>
      <c r="LF5" s="25" t="str">
        <f t="shared" si="4"/>
        <v>Vermont - US</v>
      </c>
      <c r="LG5" s="25" t="str">
        <f t="shared" si="4"/>
        <v>Virginia - US</v>
      </c>
      <c r="LH5" s="25" t="str">
        <f t="shared" si="4"/>
        <v>Washington - US</v>
      </c>
      <c r="LI5" s="25" t="str">
        <f t="shared" si="4"/>
        <v>West Virginia - US</v>
      </c>
      <c r="LJ5" s="25" t="str">
        <f t="shared" si="4"/>
        <v>Wisconsin - US</v>
      </c>
      <c r="LK5" s="25" t="str">
        <f t="shared" ref="LK5:LM5" si="5">LK6&amp;" - "&amp;LK7</f>
        <v>Wyoming - US</v>
      </c>
      <c r="LL5" s="25" t="str">
        <f t="shared" si="5"/>
        <v>Diamond Princess - US</v>
      </c>
      <c r="LM5" s="25" t="str">
        <f t="shared" si="5"/>
        <v>Grand Princess - US</v>
      </c>
      <c r="LN5" s="25" t="s">
        <v>2509</v>
      </c>
      <c r="LO5" t="s">
        <v>2513</v>
      </c>
      <c r="LQ5" t="s">
        <v>3310</v>
      </c>
      <c r="LS5" t="s">
        <v>2511</v>
      </c>
      <c r="LU5" t="s">
        <v>2512</v>
      </c>
      <c r="LW5" t="s">
        <v>2886</v>
      </c>
      <c r="LY5" t="s">
        <v>3000</v>
      </c>
      <c r="MA5" t="s">
        <v>3007</v>
      </c>
      <c r="MC5" t="s">
        <v>3014</v>
      </c>
      <c r="ME5" t="s">
        <v>3015</v>
      </c>
      <c r="MG5" t="s">
        <v>3312</v>
      </c>
      <c r="MI5" t="s">
        <v>3389</v>
      </c>
      <c r="MK5" t="s">
        <v>3391</v>
      </c>
      <c r="MM5" t="s">
        <v>3396</v>
      </c>
      <c r="MO5" t="s">
        <v>3398</v>
      </c>
      <c r="MQ5" t="s">
        <v>3467</v>
      </c>
      <c r="MS5" t="s">
        <v>3463</v>
      </c>
      <c r="MU5" t="s">
        <v>3471</v>
      </c>
      <c r="MW5" t="s">
        <v>3469</v>
      </c>
      <c r="MY5" t="s">
        <v>3465</v>
      </c>
      <c r="NA5" t="s">
        <v>3479</v>
      </c>
      <c r="NC5" t="s">
        <v>3486</v>
      </c>
      <c r="NE5" t="s">
        <v>3487</v>
      </c>
      <c r="NG5" t="s">
        <v>3491</v>
      </c>
      <c r="NI5" t="s">
        <v>3492</v>
      </c>
    </row>
    <row r="6" spans="1:373" x14ac:dyDescent="0.25">
      <c r="A6" s="156" t="s">
        <v>0</v>
      </c>
      <c r="B6" s="25"/>
      <c r="C6" s="25"/>
      <c r="D6" s="25"/>
      <c r="E6" s="25"/>
      <c r="F6" s="25"/>
      <c r="G6" s="25"/>
      <c r="H6" s="25"/>
      <c r="I6" s="25"/>
      <c r="J6" s="25" t="s">
        <v>196</v>
      </c>
      <c r="K6" s="25" t="s">
        <v>47</v>
      </c>
      <c r="L6" s="25" t="s">
        <v>117</v>
      </c>
      <c r="M6" s="25" t="s">
        <v>50</v>
      </c>
      <c r="N6" s="25" t="s">
        <v>62</v>
      </c>
      <c r="O6" s="25" t="s">
        <v>106</v>
      </c>
      <c r="P6" s="25" t="s">
        <v>49</v>
      </c>
      <c r="Q6" s="25" t="s">
        <v>95</v>
      </c>
      <c r="R6" s="25"/>
      <c r="S6" s="25"/>
      <c r="T6" s="25"/>
      <c r="U6" s="25"/>
      <c r="V6" s="25"/>
      <c r="W6" s="25"/>
      <c r="X6" s="25"/>
      <c r="Y6" s="25"/>
      <c r="Z6" s="25"/>
      <c r="AA6" s="25"/>
      <c r="AB6" s="25"/>
      <c r="AC6" s="25"/>
      <c r="AD6" s="25"/>
      <c r="AE6" s="25"/>
      <c r="AF6" s="25"/>
      <c r="AG6" s="25"/>
      <c r="AH6" s="25"/>
      <c r="AI6" s="25"/>
      <c r="AJ6" s="25"/>
      <c r="AK6" s="25" t="s">
        <v>142</v>
      </c>
      <c r="AL6" s="25" t="s">
        <v>45</v>
      </c>
      <c r="AM6" s="25" t="s">
        <v>148</v>
      </c>
      <c r="AN6" s="25" t="s">
        <v>200</v>
      </c>
      <c r="AO6" s="25" t="s">
        <v>181</v>
      </c>
      <c r="AP6" s="25" t="s">
        <v>488</v>
      </c>
      <c r="AQ6" s="25" t="s">
        <v>660</v>
      </c>
      <c r="AR6" s="25" t="s">
        <v>141</v>
      </c>
      <c r="AS6" s="25" t="s">
        <v>489</v>
      </c>
      <c r="AT6" s="25" t="s">
        <v>143</v>
      </c>
      <c r="AU6" s="25" t="s">
        <v>201</v>
      </c>
      <c r="AV6" s="25"/>
      <c r="AW6" s="25"/>
      <c r="AX6" s="25"/>
      <c r="AY6" s="25" t="s">
        <v>4</v>
      </c>
      <c r="AZ6" s="25" t="s">
        <v>5</v>
      </c>
      <c r="BA6" s="25" t="s">
        <v>6</v>
      </c>
      <c r="BB6" s="25" t="s">
        <v>7</v>
      </c>
      <c r="BC6" s="25" t="s">
        <v>8</v>
      </c>
      <c r="BD6" s="25" t="s">
        <v>9</v>
      </c>
      <c r="BE6" s="25" t="s">
        <v>10</v>
      </c>
      <c r="BF6" s="25" t="s">
        <v>11</v>
      </c>
      <c r="BG6" s="25" t="s">
        <v>12</v>
      </c>
      <c r="BH6" s="25" t="s">
        <v>13</v>
      </c>
      <c r="BI6" s="25" t="s">
        <v>14</v>
      </c>
      <c r="BJ6" s="25" t="s">
        <v>15</v>
      </c>
      <c r="BK6" s="25" t="s">
        <v>39</v>
      </c>
      <c r="BL6" s="25" t="s">
        <v>16</v>
      </c>
      <c r="BM6" s="25" t="s">
        <v>17</v>
      </c>
      <c r="BN6" s="25" t="s">
        <v>18</v>
      </c>
      <c r="BO6" s="25" t="s">
        <v>19</v>
      </c>
      <c r="BP6" s="25" t="s">
        <v>20</v>
      </c>
      <c r="BQ6" s="25" t="s">
        <v>21</v>
      </c>
      <c r="BR6" s="25" t="s">
        <v>22</v>
      </c>
      <c r="BS6" s="25" t="s">
        <v>38</v>
      </c>
      <c r="BT6" s="25" t="s">
        <v>23</v>
      </c>
      <c r="BU6" s="25" t="s">
        <v>24</v>
      </c>
      <c r="BV6" s="25" t="s">
        <v>25</v>
      </c>
      <c r="BW6" s="25" t="s">
        <v>26</v>
      </c>
      <c r="BX6" s="25" t="s">
        <v>27</v>
      </c>
      <c r="BY6" s="25" t="s">
        <v>28</v>
      </c>
      <c r="BZ6" s="25" t="s">
        <v>29</v>
      </c>
      <c r="CA6" s="25" t="s">
        <v>30</v>
      </c>
      <c r="CB6" s="25" t="s">
        <v>31</v>
      </c>
      <c r="CC6" s="25" t="s">
        <v>32</v>
      </c>
      <c r="CD6" s="25" t="s">
        <v>33</v>
      </c>
      <c r="CE6" s="25" t="s">
        <v>34</v>
      </c>
      <c r="CF6" s="25"/>
      <c r="CG6" s="25"/>
      <c r="CH6" s="25"/>
      <c r="CI6" s="25"/>
      <c r="CJ6" s="25"/>
      <c r="CK6" s="25"/>
      <c r="CL6" s="25"/>
      <c r="CM6" s="25"/>
      <c r="CN6" s="25"/>
      <c r="CO6" s="25"/>
      <c r="CP6" s="25" t="s">
        <v>118</v>
      </c>
      <c r="CQ6" s="25" t="s">
        <v>662</v>
      </c>
      <c r="CR6" s="25"/>
      <c r="CS6" s="25"/>
      <c r="CT6" s="25"/>
      <c r="CU6" s="25"/>
      <c r="CV6" s="25"/>
      <c r="CW6" s="25"/>
      <c r="CX6" s="25"/>
      <c r="CY6" s="25"/>
      <c r="CZ6" s="25"/>
      <c r="DA6" s="25"/>
      <c r="DB6" s="25"/>
      <c r="DC6" s="25"/>
      <c r="DD6" s="25"/>
      <c r="DE6" s="25" t="s">
        <v>133</v>
      </c>
      <c r="DF6" s="25" t="s">
        <v>198</v>
      </c>
      <c r="DG6" s="25" t="s">
        <v>199</v>
      </c>
      <c r="DH6" s="25" t="s">
        <v>493</v>
      </c>
      <c r="DI6" s="25" t="s">
        <v>733</v>
      </c>
      <c r="DJ6" s="25" t="s">
        <v>185</v>
      </c>
      <c r="DK6" s="25" t="s">
        <v>115</v>
      </c>
      <c r="DL6" s="25" t="s">
        <v>179</v>
      </c>
      <c r="DM6" s="25" t="s">
        <v>135</v>
      </c>
      <c r="DN6" s="25"/>
      <c r="DO6" s="25"/>
      <c r="DP6" s="25"/>
      <c r="DQ6" s="25"/>
      <c r="DR6" s="25"/>
      <c r="DS6" s="25"/>
      <c r="DT6" s="25"/>
      <c r="DU6" s="25"/>
      <c r="DV6" s="25"/>
      <c r="DW6" s="25"/>
      <c r="DX6" s="25"/>
      <c r="DY6" s="25"/>
      <c r="DZ6" s="25"/>
      <c r="EA6" s="25"/>
      <c r="EB6" s="25"/>
      <c r="EC6" s="25"/>
      <c r="ED6" s="25"/>
      <c r="EE6" s="25"/>
      <c r="EF6" s="25"/>
      <c r="EG6" s="25"/>
      <c r="EH6" s="25"/>
      <c r="EI6" s="25"/>
      <c r="EJ6" s="25"/>
      <c r="EK6" s="25"/>
      <c r="EL6" s="25"/>
      <c r="EM6" s="25"/>
      <c r="EN6" s="25"/>
      <c r="EO6" s="25"/>
      <c r="EP6" s="25"/>
      <c r="EQ6" s="25"/>
      <c r="ER6" s="25"/>
      <c r="ES6" s="25"/>
      <c r="ET6" s="25"/>
      <c r="EU6" s="25"/>
      <c r="EV6" s="25"/>
      <c r="EW6" s="25"/>
      <c r="EX6" s="25"/>
      <c r="EY6" s="25"/>
      <c r="EZ6" s="25"/>
      <c r="FA6" s="25"/>
      <c r="FB6" s="25"/>
      <c r="FC6" s="25"/>
      <c r="FD6" s="25"/>
      <c r="FE6" s="25"/>
      <c r="FF6" s="25"/>
      <c r="FG6" s="25"/>
      <c r="FH6" s="25"/>
      <c r="FI6" s="25"/>
      <c r="FJ6" s="25"/>
      <c r="FK6" s="25"/>
      <c r="FL6" s="25" t="s">
        <v>205</v>
      </c>
      <c r="FM6" s="25" t="s">
        <v>362</v>
      </c>
      <c r="FN6" s="25" t="s">
        <v>743</v>
      </c>
      <c r="FO6" s="25"/>
      <c r="FP6" s="25"/>
      <c r="FQ6" s="25"/>
      <c r="FR6" s="25"/>
      <c r="FS6" s="25"/>
      <c r="FT6" s="25"/>
      <c r="FU6" s="25"/>
      <c r="FV6" s="25"/>
      <c r="FW6" s="25"/>
      <c r="FX6" s="25"/>
      <c r="FY6" s="25"/>
      <c r="FZ6" s="25"/>
      <c r="GA6" s="25"/>
      <c r="GB6" s="25"/>
      <c r="GC6" s="25"/>
      <c r="GD6" s="25"/>
      <c r="GE6" s="25"/>
      <c r="GF6" s="25"/>
      <c r="GG6" s="25"/>
      <c r="GH6" s="25"/>
      <c r="GI6" s="25"/>
      <c r="GJ6" s="25"/>
      <c r="GK6" s="25"/>
      <c r="GL6" s="25"/>
      <c r="GM6" s="25"/>
      <c r="GN6" s="25"/>
      <c r="GO6" s="25"/>
      <c r="GP6" s="25"/>
      <c r="GQ6" s="25"/>
      <c r="GR6" s="25"/>
      <c r="GS6" s="25"/>
      <c r="GT6" s="25"/>
      <c r="GU6" s="25"/>
      <c r="GV6" s="25"/>
      <c r="GW6" s="25"/>
      <c r="GX6" s="25"/>
      <c r="GZ6" s="25"/>
      <c r="HA6" s="25"/>
      <c r="HB6" s="25"/>
      <c r="HC6" s="25"/>
      <c r="HD6" s="25"/>
      <c r="HE6" s="25"/>
      <c r="HF6" s="25"/>
      <c r="HG6" s="25"/>
      <c r="HH6" s="25"/>
      <c r="HI6" s="25"/>
      <c r="HJ6" s="25"/>
      <c r="HK6" s="25" t="s">
        <v>734</v>
      </c>
      <c r="HL6" s="25" t="s">
        <v>731</v>
      </c>
      <c r="HM6" s="25" t="s">
        <v>729</v>
      </c>
      <c r="HN6" s="25" t="s">
        <v>730</v>
      </c>
      <c r="HO6" s="25" t="s">
        <v>746</v>
      </c>
      <c r="HP6" s="25" t="s">
        <v>732</v>
      </c>
      <c r="HQ6" s="25"/>
      <c r="HR6" s="25"/>
      <c r="HS6" s="25"/>
      <c r="HT6" s="25"/>
      <c r="HU6" s="25"/>
      <c r="HV6" s="25"/>
      <c r="HW6" s="25"/>
      <c r="HX6" s="25"/>
      <c r="HY6" s="25" t="s">
        <v>147</v>
      </c>
      <c r="HZ6" s="25"/>
      <c r="IA6" s="25"/>
      <c r="IB6" s="25"/>
      <c r="IC6" s="25"/>
      <c r="ID6" s="25"/>
      <c r="IE6" s="25"/>
      <c r="IF6" s="25" t="s">
        <v>1133</v>
      </c>
      <c r="IG6" s="25"/>
      <c r="IH6" s="25"/>
      <c r="II6" s="25"/>
      <c r="IJ6" s="25"/>
      <c r="IK6" s="25"/>
      <c r="IL6" s="25"/>
      <c r="IM6" s="25" t="s">
        <v>1233</v>
      </c>
      <c r="IN6" s="25" t="s">
        <v>1234</v>
      </c>
      <c r="IO6" s="25"/>
      <c r="IP6" s="25"/>
      <c r="IQ6" s="25" t="s">
        <v>1410</v>
      </c>
      <c r="IR6" s="25" t="s">
        <v>1411</v>
      </c>
      <c r="IS6" s="25" t="s">
        <v>1412</v>
      </c>
      <c r="IT6" s="25"/>
      <c r="IU6" s="25"/>
      <c r="IV6" s="25"/>
      <c r="IW6" s="25"/>
      <c r="IX6" s="25" t="s">
        <v>2943</v>
      </c>
      <c r="IY6" s="25"/>
      <c r="IZ6" s="25" t="s">
        <v>2006</v>
      </c>
      <c r="JA6" s="25" t="s">
        <v>1909</v>
      </c>
      <c r="JB6" s="25"/>
      <c r="JC6" s="25"/>
      <c r="JD6" s="25"/>
      <c r="JE6" s="25"/>
      <c r="JH6" s="25" t="s">
        <v>2944</v>
      </c>
      <c r="JI6" s="25" t="s">
        <v>2945</v>
      </c>
      <c r="JJ6" s="25" t="s">
        <v>2946</v>
      </c>
      <c r="JK6" s="25" t="s">
        <v>2947</v>
      </c>
      <c r="JL6" s="25" t="s">
        <v>2948</v>
      </c>
      <c r="JM6" s="25" t="s">
        <v>2949</v>
      </c>
      <c r="JN6" s="25" t="s">
        <v>2950</v>
      </c>
      <c r="JO6" s="25" t="s">
        <v>2951</v>
      </c>
      <c r="JP6" s="25" t="s">
        <v>2952</v>
      </c>
      <c r="JQ6" s="25" t="s">
        <v>2953</v>
      </c>
      <c r="JR6" s="25" t="s">
        <v>2954</v>
      </c>
      <c r="JS6" s="25" t="s">
        <v>2955</v>
      </c>
      <c r="JT6" s="25" t="s">
        <v>2956</v>
      </c>
      <c r="JU6" s="25" t="s">
        <v>2957</v>
      </c>
      <c r="JV6" s="25" t="s">
        <v>2958</v>
      </c>
      <c r="JW6" s="25" t="s">
        <v>80</v>
      </c>
      <c r="JX6" s="25" t="s">
        <v>2959</v>
      </c>
      <c r="JY6" s="25" t="s">
        <v>2960</v>
      </c>
      <c r="JZ6" s="25" t="s">
        <v>2961</v>
      </c>
      <c r="KA6" s="25" t="s">
        <v>2962</v>
      </c>
      <c r="KB6" s="25" t="s">
        <v>2963</v>
      </c>
      <c r="KC6" s="25" t="s">
        <v>2964</v>
      </c>
      <c r="KD6" s="25" t="s">
        <v>2965</v>
      </c>
      <c r="KE6" s="25" t="s">
        <v>2966</v>
      </c>
      <c r="KF6" s="25" t="s">
        <v>2967</v>
      </c>
      <c r="KG6" s="25" t="s">
        <v>2968</v>
      </c>
      <c r="KH6" s="25" t="s">
        <v>2969</v>
      </c>
      <c r="KI6" s="25" t="s">
        <v>2970</v>
      </c>
      <c r="KJ6" s="25" t="s">
        <v>2971</v>
      </c>
      <c r="KK6" s="25" t="s">
        <v>2972</v>
      </c>
      <c r="KL6" s="25" t="s">
        <v>2973</v>
      </c>
      <c r="KM6" s="25" t="s">
        <v>2974</v>
      </c>
      <c r="KN6" s="25" t="s">
        <v>2975</v>
      </c>
      <c r="KO6" s="25" t="s">
        <v>2976</v>
      </c>
      <c r="KP6" s="25" t="s">
        <v>2977</v>
      </c>
      <c r="KQ6" s="25" t="s">
        <v>2978</v>
      </c>
      <c r="KR6" s="25" t="s">
        <v>2979</v>
      </c>
      <c r="KS6" s="25" t="s">
        <v>2980</v>
      </c>
      <c r="KT6" s="25" t="s">
        <v>2981</v>
      </c>
      <c r="KU6" s="25" t="s">
        <v>2982</v>
      </c>
      <c r="KV6" s="25" t="s">
        <v>2983</v>
      </c>
      <c r="KW6" s="25" t="s">
        <v>2984</v>
      </c>
      <c r="KX6" s="25" t="s">
        <v>2985</v>
      </c>
      <c r="KY6" s="25" t="s">
        <v>2986</v>
      </c>
      <c r="KZ6" s="25" t="s">
        <v>2987</v>
      </c>
      <c r="LA6" s="25" t="s">
        <v>2988</v>
      </c>
      <c r="LB6" s="25" t="s">
        <v>2989</v>
      </c>
      <c r="LC6" s="25" t="s">
        <v>2990</v>
      </c>
      <c r="LD6" s="25" t="s">
        <v>2991</v>
      </c>
      <c r="LE6" s="25" t="s">
        <v>2992</v>
      </c>
      <c r="LF6" s="25" t="s">
        <v>2993</v>
      </c>
      <c r="LG6" s="25" t="s">
        <v>2994</v>
      </c>
      <c r="LH6" s="25" t="s">
        <v>2995</v>
      </c>
      <c r="LI6" s="25" t="s">
        <v>2996</v>
      </c>
      <c r="LJ6" s="25" t="s">
        <v>2997</v>
      </c>
      <c r="LK6" s="25" t="s">
        <v>2998</v>
      </c>
      <c r="LL6" s="25" t="s">
        <v>147</v>
      </c>
      <c r="LM6" s="25" t="s">
        <v>148</v>
      </c>
      <c r="LO6">
        <f>MATCH(LO$5,DeathsTimeS!HeadRow,0)</f>
        <v>207</v>
      </c>
      <c r="LQ6">
        <f>MATCH(LQ$5,DeathsTimeS!HeadRow,0)</f>
        <v>203</v>
      </c>
      <c r="LS6">
        <f>MATCH(LS$5,DeathsTimeS!HeadRow,0)</f>
        <v>16</v>
      </c>
      <c r="LU6">
        <f>MATCH(LU$5,DeathsTimeS!HeadRow,0)</f>
        <v>135</v>
      </c>
      <c r="LW6">
        <f>MATCH(LW$5,DeathsTimeS!HeadRow,0)</f>
        <v>141</v>
      </c>
      <c r="LY6">
        <f>MATCH(LY$5,DeathsTimeS!HeadRow,0)</f>
        <v>13</v>
      </c>
      <c r="MA6">
        <f>MATCH(MA$5,DeathsTimeS!HeadRow,0)</f>
        <v>15</v>
      </c>
      <c r="MC6">
        <f>MATCH(MC$5,DeathsTimeS!HeadRow,0)</f>
        <v>14</v>
      </c>
      <c r="ME6">
        <f>MATCH(ME$5,DeathsTimeS!HeadRow,0)</f>
        <v>17</v>
      </c>
      <c r="MG6">
        <f>MATCH(MG$5,DeathsTimeS!HeadRow,0)</f>
        <v>11</v>
      </c>
      <c r="MI6">
        <f>MATCH(MI$5,DeathsTimeS!HeadRow,0)</f>
        <v>305</v>
      </c>
      <c r="MK6">
        <f>MATCH(MK$5,DeathsTimeS!HeadRow,0)</f>
        <v>139</v>
      </c>
      <c r="MM6">
        <f>MATCH(MM$5,DeathsTimeS!HeadRow,0)</f>
        <v>10</v>
      </c>
      <c r="MO6">
        <f>MATCH(MO$5,DeathsTimeS!HeadRow,0)</f>
        <v>12</v>
      </c>
      <c r="MQ6">
        <f>MATCH(MQ$5,DeathsTimeS!HeadRow,0)</f>
        <v>202</v>
      </c>
      <c r="MS6">
        <f>MATCH(MS$5,DeathsTimeS!HeadRow,0)</f>
        <v>122</v>
      </c>
      <c r="MU6">
        <f>MATCH(MU$5,DeathsTimeS!HeadRow,0)</f>
        <v>137</v>
      </c>
      <c r="MW6">
        <f>MATCH(MW$5,DeathsTimeS!HeadRow,0)</f>
        <v>225</v>
      </c>
      <c r="MY6">
        <f>MATCH(MY$5,DeathsTimeS!HeadRow,0)</f>
        <v>96</v>
      </c>
      <c r="NA6">
        <f>MATCH(NA$5,DeathsTimeS!HeadRow,0)</f>
        <v>227</v>
      </c>
      <c r="NC6" t="e">
        <f>MATCH(NC$5,DeathsTimeS!HeadRow,0)</f>
        <v>#N/A</v>
      </c>
      <c r="NE6">
        <f>MATCH(NE$5,DeathsTimeS!HeadRow,0)</f>
        <v>209</v>
      </c>
      <c r="NG6">
        <f>MATCH(NG$5,DeathsTimeS!HeadRow,0)</f>
        <v>64</v>
      </c>
      <c r="NI6">
        <f>MATCH(NI$5,DeathsTimeS!HeadRow,0)</f>
        <v>63</v>
      </c>
    </row>
    <row r="7" spans="1:373" x14ac:dyDescent="0.25">
      <c r="A7" s="156" t="s">
        <v>1</v>
      </c>
      <c r="B7" s="25" t="s">
        <v>70</v>
      </c>
      <c r="C7" s="25" t="s">
        <v>144</v>
      </c>
      <c r="D7" s="25" t="s">
        <v>73</v>
      </c>
      <c r="E7" s="25" t="s">
        <v>105</v>
      </c>
      <c r="F7" s="25" t="s">
        <v>741</v>
      </c>
      <c r="G7" s="25" t="s">
        <v>207</v>
      </c>
      <c r="H7" s="25" t="s">
        <v>111</v>
      </c>
      <c r="I7" s="25" t="s">
        <v>101</v>
      </c>
      <c r="J7" s="25" t="s">
        <v>48</v>
      </c>
      <c r="K7" s="25" t="s">
        <v>48</v>
      </c>
      <c r="L7" s="25" t="s">
        <v>48</v>
      </c>
      <c r="M7" s="25" t="s">
        <v>48</v>
      </c>
      <c r="N7" s="25" t="s">
        <v>48</v>
      </c>
      <c r="O7" s="25" t="s">
        <v>48</v>
      </c>
      <c r="P7" s="25" t="s">
        <v>48</v>
      </c>
      <c r="Q7" s="25" t="s">
        <v>48</v>
      </c>
      <c r="R7" s="25" t="s">
        <v>76</v>
      </c>
      <c r="S7" s="25" t="s">
        <v>100</v>
      </c>
      <c r="T7" s="25" t="s">
        <v>1130</v>
      </c>
      <c r="U7" s="25" t="s">
        <v>71</v>
      </c>
      <c r="V7" s="25" t="s">
        <v>138</v>
      </c>
      <c r="W7" s="25" t="s">
        <v>666</v>
      </c>
      <c r="X7" s="25" t="s">
        <v>89</v>
      </c>
      <c r="Y7" s="25" t="s">
        <v>63</v>
      </c>
      <c r="Z7" s="25" t="s">
        <v>661</v>
      </c>
      <c r="AA7" s="25" t="s">
        <v>125</v>
      </c>
      <c r="AB7" s="25" t="s">
        <v>178</v>
      </c>
      <c r="AC7" s="25" t="s">
        <v>122</v>
      </c>
      <c r="AD7" s="25" t="s">
        <v>79</v>
      </c>
      <c r="AE7" s="25" t="s">
        <v>146</v>
      </c>
      <c r="AF7" s="25" t="s">
        <v>136</v>
      </c>
      <c r="AG7" s="25" t="s">
        <v>149</v>
      </c>
      <c r="AH7" s="25" t="s">
        <v>742</v>
      </c>
      <c r="AI7" s="25" t="s">
        <v>51</v>
      </c>
      <c r="AJ7" s="25" t="s">
        <v>126</v>
      </c>
      <c r="AK7" s="25" t="s">
        <v>46</v>
      </c>
      <c r="AL7" s="25" t="s">
        <v>46</v>
      </c>
      <c r="AM7" s="25" t="s">
        <v>46</v>
      </c>
      <c r="AN7" s="25" t="s">
        <v>46</v>
      </c>
      <c r="AO7" s="25" t="s">
        <v>46</v>
      </c>
      <c r="AP7" s="25" t="s">
        <v>46</v>
      </c>
      <c r="AQ7" s="25" t="s">
        <v>46</v>
      </c>
      <c r="AR7" s="25" t="s">
        <v>46</v>
      </c>
      <c r="AS7" s="25" t="s">
        <v>46</v>
      </c>
      <c r="AT7" s="25" t="s">
        <v>46</v>
      </c>
      <c r="AU7" s="25" t="s">
        <v>46</v>
      </c>
      <c r="AV7" s="25" t="s">
        <v>490</v>
      </c>
      <c r="AW7" s="25" t="s">
        <v>735</v>
      </c>
      <c r="AX7" s="25" t="s">
        <v>112</v>
      </c>
      <c r="AY7" s="25" t="s">
        <v>176</v>
      </c>
      <c r="AZ7" s="25" t="s">
        <v>176</v>
      </c>
      <c r="BA7" s="25" t="s">
        <v>176</v>
      </c>
      <c r="BB7" s="25" t="s">
        <v>176</v>
      </c>
      <c r="BC7" s="25" t="s">
        <v>176</v>
      </c>
      <c r="BD7" s="25" t="s">
        <v>176</v>
      </c>
      <c r="BE7" s="25" t="s">
        <v>176</v>
      </c>
      <c r="BF7" s="25" t="s">
        <v>176</v>
      </c>
      <c r="BG7" s="25" t="s">
        <v>176</v>
      </c>
      <c r="BH7" s="25" t="s">
        <v>176</v>
      </c>
      <c r="BI7" s="25" t="s">
        <v>176</v>
      </c>
      <c r="BJ7" s="25" t="s">
        <v>176</v>
      </c>
      <c r="BK7" s="25" t="s">
        <v>176</v>
      </c>
      <c r="BL7" s="25" t="s">
        <v>176</v>
      </c>
      <c r="BM7" s="25" t="s">
        <v>176</v>
      </c>
      <c r="BN7" s="25" t="s">
        <v>176</v>
      </c>
      <c r="BO7" s="25" t="s">
        <v>176</v>
      </c>
      <c r="BP7" s="25" t="s">
        <v>176</v>
      </c>
      <c r="BQ7" s="25" t="s">
        <v>176</v>
      </c>
      <c r="BR7" s="25" t="s">
        <v>176</v>
      </c>
      <c r="BS7" s="25" t="s">
        <v>176</v>
      </c>
      <c r="BT7" s="25" t="s">
        <v>176</v>
      </c>
      <c r="BU7" s="25" t="s">
        <v>176</v>
      </c>
      <c r="BV7" s="25" t="s">
        <v>176</v>
      </c>
      <c r="BW7" s="25" t="s">
        <v>176</v>
      </c>
      <c r="BX7" s="25" t="s">
        <v>176</v>
      </c>
      <c r="BY7" s="25" t="s">
        <v>176</v>
      </c>
      <c r="BZ7" s="25" t="s">
        <v>176</v>
      </c>
      <c r="CA7" s="25" t="s">
        <v>176</v>
      </c>
      <c r="CB7" s="25" t="s">
        <v>176</v>
      </c>
      <c r="CC7" s="25" t="s">
        <v>176</v>
      </c>
      <c r="CD7" s="25" t="s">
        <v>176</v>
      </c>
      <c r="CE7" s="25" t="s">
        <v>176</v>
      </c>
      <c r="CF7" s="25" t="s">
        <v>127</v>
      </c>
      <c r="CG7" s="25" t="s">
        <v>491</v>
      </c>
      <c r="CH7" s="25" t="s">
        <v>182</v>
      </c>
      <c r="CI7" s="25" t="s">
        <v>128</v>
      </c>
      <c r="CJ7" s="25" t="s">
        <v>183</v>
      </c>
      <c r="CK7" s="25" t="s">
        <v>74</v>
      </c>
      <c r="CL7" s="25" t="s">
        <v>147</v>
      </c>
      <c r="CM7" s="25" t="s">
        <v>194</v>
      </c>
      <c r="CN7" s="25" t="s">
        <v>145</v>
      </c>
      <c r="CO7" s="25" t="s">
        <v>177</v>
      </c>
      <c r="CP7" s="25" t="s">
        <v>85</v>
      </c>
      <c r="CQ7" s="25" t="s">
        <v>85</v>
      </c>
      <c r="CR7" s="25" t="s">
        <v>85</v>
      </c>
      <c r="CS7" s="25" t="s">
        <v>671</v>
      </c>
      <c r="CT7" s="25" t="s">
        <v>102</v>
      </c>
      <c r="CU7" s="25" t="s">
        <v>99</v>
      </c>
      <c r="CV7" s="25" t="s">
        <v>64</v>
      </c>
      <c r="CW7" s="25" t="s">
        <v>736</v>
      </c>
      <c r="CX7" s="25" t="s">
        <v>492</v>
      </c>
      <c r="CY7" s="25" t="s">
        <v>804</v>
      </c>
      <c r="CZ7" s="25" t="s">
        <v>86</v>
      </c>
      <c r="DA7" s="25" t="s">
        <v>363</v>
      </c>
      <c r="DB7" s="25" t="s">
        <v>202</v>
      </c>
      <c r="DC7" s="25" t="s">
        <v>737</v>
      </c>
      <c r="DD7" s="25" t="s">
        <v>54</v>
      </c>
      <c r="DE7" s="25" t="s">
        <v>42</v>
      </c>
      <c r="DF7" s="25" t="s">
        <v>42</v>
      </c>
      <c r="DG7" s="25" t="s">
        <v>42</v>
      </c>
      <c r="DH7" s="25" t="s">
        <v>42</v>
      </c>
      <c r="DI7" s="25" t="s">
        <v>42</v>
      </c>
      <c r="DJ7" s="25" t="s">
        <v>42</v>
      </c>
      <c r="DK7" s="25" t="s">
        <v>42</v>
      </c>
      <c r="DL7" s="25" t="s">
        <v>42</v>
      </c>
      <c r="DM7" s="25" t="s">
        <v>42</v>
      </c>
      <c r="DN7" s="25" t="s">
        <v>42</v>
      </c>
      <c r="DO7" s="25" t="s">
        <v>364</v>
      </c>
      <c r="DP7" s="25" t="s">
        <v>1131</v>
      </c>
      <c r="DQ7" s="25" t="s">
        <v>80</v>
      </c>
      <c r="DR7" s="25" t="s">
        <v>53</v>
      </c>
      <c r="DS7" s="25" t="s">
        <v>357</v>
      </c>
      <c r="DT7" s="25" t="s">
        <v>81</v>
      </c>
      <c r="DU7" s="25" t="s">
        <v>365</v>
      </c>
      <c r="DV7" s="25" t="s">
        <v>204</v>
      </c>
      <c r="DW7" s="25" t="s">
        <v>195</v>
      </c>
      <c r="DX7" s="25" t="s">
        <v>740</v>
      </c>
      <c r="DY7" s="25" t="s">
        <v>150</v>
      </c>
      <c r="DZ7" s="25" t="s">
        <v>180</v>
      </c>
      <c r="EA7" s="25" t="s">
        <v>116</v>
      </c>
      <c r="EB7" s="25" t="s">
        <v>90</v>
      </c>
      <c r="EC7" s="25" t="s">
        <v>57</v>
      </c>
      <c r="ED7" s="25" t="s">
        <v>103</v>
      </c>
      <c r="EE7" s="25" t="s">
        <v>65</v>
      </c>
      <c r="EF7" s="25" t="s">
        <v>68</v>
      </c>
      <c r="EG7" s="25" t="s">
        <v>659</v>
      </c>
      <c r="EH7" s="25" t="s">
        <v>77</v>
      </c>
      <c r="EI7" s="25" t="s">
        <v>58</v>
      </c>
      <c r="EJ7" s="25" t="s">
        <v>184</v>
      </c>
      <c r="EK7" s="25" t="s">
        <v>36</v>
      </c>
      <c r="EL7" s="25" t="s">
        <v>113</v>
      </c>
      <c r="EM7" s="25" t="s">
        <v>197</v>
      </c>
      <c r="EN7" s="25" t="s">
        <v>206</v>
      </c>
      <c r="EO7" s="25" t="s">
        <v>193</v>
      </c>
      <c r="EP7" s="25" t="s">
        <v>72</v>
      </c>
      <c r="EQ7" s="25" t="s">
        <v>668</v>
      </c>
      <c r="ER7" s="25" t="s">
        <v>107</v>
      </c>
      <c r="ES7" s="25" t="s">
        <v>67</v>
      </c>
      <c r="ET7" s="25" t="s">
        <v>663</v>
      </c>
      <c r="EU7" s="25" t="s">
        <v>119</v>
      </c>
      <c r="EV7" s="25" t="s">
        <v>91</v>
      </c>
      <c r="EW7" s="25" t="s">
        <v>96</v>
      </c>
      <c r="EX7" s="25" t="s">
        <v>739</v>
      </c>
      <c r="EY7" s="25" t="s">
        <v>44</v>
      </c>
      <c r="EZ7" s="25" t="s">
        <v>137</v>
      </c>
      <c r="FA7" s="25" t="s">
        <v>134</v>
      </c>
      <c r="FB7" s="25" t="s">
        <v>366</v>
      </c>
      <c r="FC7" s="25" t="s">
        <v>669</v>
      </c>
      <c r="FD7" s="25" t="s">
        <v>92</v>
      </c>
      <c r="FE7" s="25" t="s">
        <v>139</v>
      </c>
      <c r="FF7" s="25" t="s">
        <v>97</v>
      </c>
      <c r="FG7" s="25" t="s">
        <v>151</v>
      </c>
      <c r="FH7" s="25" t="s">
        <v>667</v>
      </c>
      <c r="FI7" s="25" t="s">
        <v>108</v>
      </c>
      <c r="FJ7" s="25" t="s">
        <v>358</v>
      </c>
      <c r="FK7" s="25" t="s">
        <v>43</v>
      </c>
      <c r="FL7" s="25" t="s">
        <v>87</v>
      </c>
      <c r="FM7" s="25" t="s">
        <v>87</v>
      </c>
      <c r="FN7" s="25" t="s">
        <v>87</v>
      </c>
      <c r="FO7" s="25" t="s">
        <v>87</v>
      </c>
      <c r="FP7" s="25" t="s">
        <v>93</v>
      </c>
      <c r="FQ7" s="25" t="s">
        <v>738</v>
      </c>
      <c r="FR7" s="25" t="s">
        <v>744</v>
      </c>
      <c r="FS7" s="25" t="s">
        <v>94</v>
      </c>
      <c r="FT7" s="25" t="s">
        <v>82</v>
      </c>
      <c r="FU7" s="25" t="s">
        <v>83</v>
      </c>
      <c r="FV7" s="25" t="s">
        <v>69</v>
      </c>
      <c r="FW7" s="25" t="s">
        <v>78</v>
      </c>
      <c r="FX7" s="25" t="s">
        <v>152</v>
      </c>
      <c r="FY7" s="25" t="s">
        <v>745</v>
      </c>
      <c r="FZ7" s="25" t="s">
        <v>140</v>
      </c>
      <c r="GA7" s="25" t="s">
        <v>129</v>
      </c>
      <c r="GB7" s="25" t="s">
        <v>56</v>
      </c>
      <c r="GC7" s="25" t="s">
        <v>120</v>
      </c>
      <c r="GD7" s="25" t="s">
        <v>104</v>
      </c>
      <c r="GE7" s="25" t="s">
        <v>98</v>
      </c>
      <c r="GF7" s="25" t="s">
        <v>84</v>
      </c>
      <c r="GG7" s="25" t="s">
        <v>59</v>
      </c>
      <c r="GH7" s="25" t="s">
        <v>367</v>
      </c>
      <c r="GI7" s="25" t="s">
        <v>368</v>
      </c>
      <c r="GJ7" s="25" t="s">
        <v>369</v>
      </c>
      <c r="GK7" s="25" t="s">
        <v>88</v>
      </c>
      <c r="GL7" s="25" t="s">
        <v>109</v>
      </c>
      <c r="GM7" s="25" t="s">
        <v>110</v>
      </c>
      <c r="GN7" s="25" t="s">
        <v>130</v>
      </c>
      <c r="GO7" s="25" t="s">
        <v>359</v>
      </c>
      <c r="GP7" s="25" t="s">
        <v>40</v>
      </c>
      <c r="GQ7" s="25" t="s">
        <v>131</v>
      </c>
      <c r="GR7" s="25" t="s">
        <v>123</v>
      </c>
      <c r="GS7" s="25" t="s">
        <v>664</v>
      </c>
      <c r="GT7" s="25" t="s">
        <v>124</v>
      </c>
      <c r="GU7" s="25" t="s">
        <v>61</v>
      </c>
      <c r="GV7" s="25" t="s">
        <v>52</v>
      </c>
      <c r="GW7" s="25" t="s">
        <v>203</v>
      </c>
      <c r="GX7" s="25" t="s">
        <v>370</v>
      </c>
      <c r="GY7" s="46" t="s">
        <v>60</v>
      </c>
      <c r="GZ7" s="25" t="s">
        <v>75</v>
      </c>
      <c r="HA7" s="25" t="s">
        <v>2133</v>
      </c>
      <c r="HB7" s="25" t="s">
        <v>665</v>
      </c>
      <c r="HC7" s="25" t="s">
        <v>35</v>
      </c>
      <c r="HD7" s="25" t="s">
        <v>132</v>
      </c>
      <c r="HE7" s="25" t="s">
        <v>360</v>
      </c>
      <c r="HF7" s="25" t="s">
        <v>121</v>
      </c>
      <c r="HG7" s="25" t="s">
        <v>186</v>
      </c>
      <c r="HH7" s="25" t="s">
        <v>805</v>
      </c>
      <c r="HI7" s="25" t="s">
        <v>114</v>
      </c>
      <c r="HJ7" s="25" t="s">
        <v>55</v>
      </c>
      <c r="HK7" s="25" t="s">
        <v>609</v>
      </c>
      <c r="HL7" s="25" t="s">
        <v>609</v>
      </c>
      <c r="HM7" s="25" t="s">
        <v>609</v>
      </c>
      <c r="HN7" s="25" t="s">
        <v>609</v>
      </c>
      <c r="HO7" s="25" t="s">
        <v>609</v>
      </c>
      <c r="HP7" s="25" t="s">
        <v>609</v>
      </c>
      <c r="HQ7" s="25" t="s">
        <v>609</v>
      </c>
      <c r="HR7" s="25" t="s">
        <v>356</v>
      </c>
      <c r="HS7" s="25" t="s">
        <v>37</v>
      </c>
      <c r="HT7" s="25" t="s">
        <v>494</v>
      </c>
      <c r="HU7" s="25" t="s">
        <v>361</v>
      </c>
      <c r="HV7" s="25" t="s">
        <v>41</v>
      </c>
      <c r="HW7" s="25" t="s">
        <v>670</v>
      </c>
      <c r="HX7" s="25" t="s">
        <v>747</v>
      </c>
      <c r="HY7" s="25" t="s">
        <v>46</v>
      </c>
      <c r="HZ7" s="25" t="s">
        <v>977</v>
      </c>
      <c r="IA7" s="25" t="s">
        <v>978</v>
      </c>
      <c r="IB7" s="25" t="s">
        <v>979</v>
      </c>
      <c r="IC7" s="25" t="s">
        <v>980</v>
      </c>
      <c r="ID7" s="25" t="s">
        <v>981</v>
      </c>
      <c r="IE7" s="25" t="s">
        <v>1132</v>
      </c>
      <c r="IF7" s="25" t="s">
        <v>46</v>
      </c>
      <c r="IG7" s="25" t="s">
        <v>1134</v>
      </c>
      <c r="IH7" s="25" t="s">
        <v>1135</v>
      </c>
      <c r="II7" s="25" t="s">
        <v>1229</v>
      </c>
      <c r="IJ7" s="25" t="s">
        <v>1230</v>
      </c>
      <c r="IK7" s="25" t="s">
        <v>1231</v>
      </c>
      <c r="IL7" s="25" t="s">
        <v>1232</v>
      </c>
      <c r="IM7" s="25" t="s">
        <v>46</v>
      </c>
      <c r="IN7" s="25" t="s">
        <v>46</v>
      </c>
      <c r="IO7" s="25" t="s">
        <v>1235</v>
      </c>
      <c r="IP7" s="25" t="s">
        <v>1333</v>
      </c>
      <c r="IQ7" s="25" t="s">
        <v>609</v>
      </c>
      <c r="IR7" s="25" t="s">
        <v>609</v>
      </c>
      <c r="IS7" s="25" t="s">
        <v>609</v>
      </c>
      <c r="IT7" s="25" t="s">
        <v>1413</v>
      </c>
      <c r="IU7" s="25" t="s">
        <v>1482</v>
      </c>
      <c r="IV7" s="25" t="s">
        <v>1532</v>
      </c>
      <c r="IW7" s="25" t="s">
        <v>1533</v>
      </c>
      <c r="IX7" s="25" t="s">
        <v>87</v>
      </c>
      <c r="IY7" s="25" t="s">
        <v>1633</v>
      </c>
      <c r="IZ7" s="25" t="s">
        <v>609</v>
      </c>
      <c r="JA7" s="25" t="s">
        <v>42</v>
      </c>
      <c r="JB7" s="25" t="s">
        <v>1910</v>
      </c>
      <c r="JC7" s="25" t="s">
        <v>1911</v>
      </c>
      <c r="JD7" s="25" t="s">
        <v>1963</v>
      </c>
      <c r="JE7" s="25" t="s">
        <v>2202</v>
      </c>
      <c r="JF7" s="25" t="s">
        <v>3737</v>
      </c>
      <c r="JG7" s="25" t="s">
        <v>3738</v>
      </c>
      <c r="JH7" s="25" t="s">
        <v>37</v>
      </c>
      <c r="JI7" s="25" t="s">
        <v>37</v>
      </c>
      <c r="JJ7" s="25" t="s">
        <v>37</v>
      </c>
      <c r="JK7" s="25" t="s">
        <v>37</v>
      </c>
      <c r="JL7" s="25" t="s">
        <v>37</v>
      </c>
      <c r="JM7" s="25" t="s">
        <v>37</v>
      </c>
      <c r="JN7" s="25" t="s">
        <v>37</v>
      </c>
      <c r="JO7" s="25" t="s">
        <v>37</v>
      </c>
      <c r="JP7" s="25" t="s">
        <v>37</v>
      </c>
      <c r="JQ7" s="25" t="s">
        <v>37</v>
      </c>
      <c r="JR7" s="25" t="s">
        <v>37</v>
      </c>
      <c r="JS7" s="25" t="s">
        <v>37</v>
      </c>
      <c r="JT7" s="25" t="s">
        <v>37</v>
      </c>
      <c r="JU7" s="25" t="s">
        <v>37</v>
      </c>
      <c r="JV7" s="25" t="s">
        <v>37</v>
      </c>
      <c r="JW7" s="25" t="s">
        <v>37</v>
      </c>
      <c r="JX7" s="25" t="s">
        <v>37</v>
      </c>
      <c r="JY7" s="25" t="s">
        <v>37</v>
      </c>
      <c r="JZ7" s="25" t="s">
        <v>37</v>
      </c>
      <c r="KA7" s="25" t="s">
        <v>37</v>
      </c>
      <c r="KB7" s="25" t="s">
        <v>37</v>
      </c>
      <c r="KC7" s="25" t="s">
        <v>37</v>
      </c>
      <c r="KD7" s="25" t="s">
        <v>37</v>
      </c>
      <c r="KE7" s="25" t="s">
        <v>37</v>
      </c>
      <c r="KF7" s="25" t="s">
        <v>37</v>
      </c>
      <c r="KG7" s="25" t="s">
        <v>37</v>
      </c>
      <c r="KH7" s="25" t="s">
        <v>37</v>
      </c>
      <c r="KI7" s="25" t="s">
        <v>37</v>
      </c>
      <c r="KJ7" s="25" t="s">
        <v>37</v>
      </c>
      <c r="KK7" s="25" t="s">
        <v>37</v>
      </c>
      <c r="KL7" s="25" t="s">
        <v>37</v>
      </c>
      <c r="KM7" s="25" t="s">
        <v>37</v>
      </c>
      <c r="KN7" s="25" t="s">
        <v>37</v>
      </c>
      <c r="KO7" s="25" t="s">
        <v>37</v>
      </c>
      <c r="KP7" s="25" t="s">
        <v>37</v>
      </c>
      <c r="KQ7" s="25" t="s">
        <v>37</v>
      </c>
      <c r="KR7" s="25" t="s">
        <v>37</v>
      </c>
      <c r="KS7" s="25" t="s">
        <v>37</v>
      </c>
      <c r="KT7" s="25" t="s">
        <v>37</v>
      </c>
      <c r="KU7" s="25" t="s">
        <v>37</v>
      </c>
      <c r="KV7" s="25" t="s">
        <v>37</v>
      </c>
      <c r="KW7" s="25" t="s">
        <v>37</v>
      </c>
      <c r="KX7" s="25" t="s">
        <v>37</v>
      </c>
      <c r="KY7" s="25" t="s">
        <v>37</v>
      </c>
      <c r="KZ7" s="25" t="s">
        <v>37</v>
      </c>
      <c r="LA7" s="25" t="s">
        <v>37</v>
      </c>
      <c r="LB7" s="25" t="s">
        <v>37</v>
      </c>
      <c r="LC7" s="25" t="s">
        <v>37</v>
      </c>
      <c r="LD7" s="25" t="s">
        <v>37</v>
      </c>
      <c r="LE7" s="25" t="s">
        <v>37</v>
      </c>
      <c r="LF7" s="25" t="s">
        <v>37</v>
      </c>
      <c r="LG7" s="25" t="s">
        <v>37</v>
      </c>
      <c r="LH7" s="25" t="s">
        <v>37</v>
      </c>
      <c r="LI7" s="25" t="s">
        <v>37</v>
      </c>
      <c r="LJ7" s="25" t="s">
        <v>37</v>
      </c>
      <c r="LK7" s="25" t="s">
        <v>37</v>
      </c>
      <c r="LL7" s="25" t="s">
        <v>37</v>
      </c>
      <c r="LM7" s="25" t="s">
        <v>37</v>
      </c>
      <c r="LN7" s="25" t="s">
        <v>2509</v>
      </c>
      <c r="LO7" t="str">
        <f>ColIxToLetter($LO$6)</f>
        <v>GY</v>
      </c>
      <c r="LQ7" t="str">
        <f>ColIxToLetter($LQ$6)</f>
        <v>GU</v>
      </c>
      <c r="LS7" t="str">
        <f>ColIxToLetter($LS$6)</f>
        <v>P</v>
      </c>
      <c r="LU7" t="str">
        <f>ColIxToLetter($LU$6)</f>
        <v>EE</v>
      </c>
      <c r="LW7" t="str">
        <f>ColIxToLetter($LW$6)</f>
        <v>EK</v>
      </c>
      <c r="LY7" t="str">
        <f>ColIxToLetter($LY$6)</f>
        <v>M</v>
      </c>
      <c r="MA7" t="str">
        <f>ColIxToLetter($MA$6)</f>
        <v>O</v>
      </c>
      <c r="MC7" t="str">
        <f>ColIxToLetter($MC$6)</f>
        <v>N</v>
      </c>
      <c r="ME7" t="str">
        <f>ColIxToLetter($ME$6)</f>
        <v>Q</v>
      </c>
      <c r="MG7" t="str">
        <f>ColIxToLetter($MG$6)</f>
        <v>K</v>
      </c>
      <c r="MI7" t="str">
        <f>ColIxToLetter($MI$6)</f>
        <v>KS</v>
      </c>
      <c r="MK7" t="str">
        <f>ColIxToLetter($MK$6)</f>
        <v>EI</v>
      </c>
      <c r="MM7" t="str">
        <f>ColIxToLetter($MM$6)</f>
        <v>J</v>
      </c>
      <c r="MO7" t="str">
        <f>ColIxToLetter($MO$6)</f>
        <v>L</v>
      </c>
      <c r="MQ7" t="str">
        <f>ColIxToLetter($MQ$6)</f>
        <v>GT</v>
      </c>
      <c r="MS7" t="str">
        <f>ColIxToLetter($MS$6)</f>
        <v>DR</v>
      </c>
      <c r="MU7" t="str">
        <f>ColIxToLetter($MU$6)</f>
        <v>EG</v>
      </c>
      <c r="MW7" t="str">
        <f>ColIxToLetter($MW$6)</f>
        <v>HQ</v>
      </c>
      <c r="MY7" t="str">
        <f>ColIxToLetter($MY$6)</f>
        <v>CR</v>
      </c>
      <c r="NA7" t="str">
        <f>ColIxToLetter($NA$6)</f>
        <v>HS</v>
      </c>
      <c r="NC7" t="e">
        <f>ColIxToLetter($NC$6)</f>
        <v>#VALUE!</v>
      </c>
      <c r="NE7" t="str">
        <f>ColIxToLetter($NE$6)</f>
        <v>HA</v>
      </c>
      <c r="NG7" t="str">
        <f>ColIxToLetter($NG$6)</f>
        <v>BL</v>
      </c>
      <c r="NI7" t="str">
        <f>ColIxToLetter($NI$6)</f>
        <v>BK</v>
      </c>
    </row>
    <row r="8" spans="1:373" s="25" customFormat="1" x14ac:dyDescent="0.25">
      <c r="A8" s="156" t="s">
        <v>2</v>
      </c>
      <c r="B8" s="25">
        <v>33</v>
      </c>
      <c r="C8" s="25">
        <v>41.153300000000002</v>
      </c>
      <c r="D8" s="25">
        <v>28.033899999999999</v>
      </c>
      <c r="E8" s="25">
        <v>42.506300000000003</v>
      </c>
      <c r="F8" s="25">
        <v>-11.2027</v>
      </c>
      <c r="G8" s="25">
        <v>17.0608</v>
      </c>
      <c r="H8" s="25">
        <v>-38.4161</v>
      </c>
      <c r="I8" s="25">
        <v>40.069099999999999</v>
      </c>
      <c r="J8" s="25">
        <v>-35.473500000000001</v>
      </c>
      <c r="K8" s="25">
        <v>-33.8688</v>
      </c>
      <c r="L8" s="25">
        <v>-12.4634</v>
      </c>
      <c r="M8" s="25">
        <v>-28.0167</v>
      </c>
      <c r="N8" s="25">
        <v>-34.9285</v>
      </c>
      <c r="O8" s="25">
        <v>-41.454500000000003</v>
      </c>
      <c r="P8" s="25">
        <v>-37.813600000000001</v>
      </c>
      <c r="Q8" s="25">
        <v>-31.950500000000002</v>
      </c>
      <c r="R8" s="25">
        <v>47.516199999999998</v>
      </c>
      <c r="S8" s="25">
        <v>40.143099999999997</v>
      </c>
      <c r="T8" s="25">
        <v>25.034300000000002</v>
      </c>
      <c r="U8" s="25">
        <v>26.0275</v>
      </c>
      <c r="V8" s="25">
        <v>23.684999999999999</v>
      </c>
      <c r="W8" s="25">
        <v>13.193899999999999</v>
      </c>
      <c r="X8" s="25">
        <v>53.709800000000001</v>
      </c>
      <c r="Y8" s="25">
        <v>50.833300000000001</v>
      </c>
      <c r="Z8" s="25">
        <v>9.3077000000000005</v>
      </c>
      <c r="AA8" s="25">
        <v>27.514199999999999</v>
      </c>
      <c r="AB8" s="25">
        <v>-16.290199999999999</v>
      </c>
      <c r="AC8" s="25">
        <v>43.915900000000001</v>
      </c>
      <c r="AD8" s="25">
        <v>-14.234999999999999</v>
      </c>
      <c r="AE8" s="25">
        <v>4.5353000000000003</v>
      </c>
      <c r="AF8" s="25">
        <v>42.733899999999998</v>
      </c>
      <c r="AG8" s="25">
        <v>12.238300000000001</v>
      </c>
      <c r="AH8" s="25">
        <v>16.538799999999998</v>
      </c>
      <c r="AI8" s="25">
        <v>11.55</v>
      </c>
      <c r="AJ8" s="25">
        <v>3.8480000000000003</v>
      </c>
      <c r="AK8" s="25">
        <v>53.933300000000003</v>
      </c>
      <c r="AL8" s="25">
        <v>49.282699999999998</v>
      </c>
      <c r="AM8" s="25">
        <v>37.648899999999998</v>
      </c>
      <c r="AN8" s="25">
        <v>53.760899999999999</v>
      </c>
      <c r="AO8" s="25">
        <v>46.565300000000001</v>
      </c>
      <c r="AP8" s="25">
        <v>53.1355</v>
      </c>
      <c r="AQ8" s="25">
        <v>44.681999999999995</v>
      </c>
      <c r="AR8" s="25">
        <v>51.253799999999998</v>
      </c>
      <c r="AS8" s="25">
        <v>46.5107</v>
      </c>
      <c r="AT8" s="25">
        <v>52.939900000000002</v>
      </c>
      <c r="AU8" s="25">
        <v>52.939900000000002</v>
      </c>
      <c r="AV8" s="25">
        <v>6.6111000000000004</v>
      </c>
      <c r="AW8" s="25">
        <v>15.4542</v>
      </c>
      <c r="AX8" s="25">
        <v>-35.6751</v>
      </c>
      <c r="AY8" s="25">
        <v>31.825700000000001</v>
      </c>
      <c r="AZ8" s="25">
        <v>40.182400000000001</v>
      </c>
      <c r="BA8" s="25">
        <v>30.057200000000002</v>
      </c>
      <c r="BB8" s="25">
        <v>26.078900000000001</v>
      </c>
      <c r="BC8" s="25">
        <v>37.809899999999999</v>
      </c>
      <c r="BD8" s="25">
        <v>23.341699999999999</v>
      </c>
      <c r="BE8" s="25">
        <v>23.829799999999999</v>
      </c>
      <c r="BF8" s="25">
        <v>26.8154</v>
      </c>
      <c r="BG8" s="25">
        <v>19.195900000000002</v>
      </c>
      <c r="BH8" s="25">
        <v>39.548999999999999</v>
      </c>
      <c r="BI8" s="25">
        <v>47.861999999999995</v>
      </c>
      <c r="BJ8" s="25">
        <v>33.881999999999998</v>
      </c>
      <c r="BK8" s="25">
        <v>22.3</v>
      </c>
      <c r="BL8" s="25">
        <v>30.9756</v>
      </c>
      <c r="BM8" s="25">
        <v>27.610399999999998</v>
      </c>
      <c r="BN8" s="25">
        <v>44.093499999999999</v>
      </c>
      <c r="BO8" s="25">
        <v>32.9711</v>
      </c>
      <c r="BP8" s="25">
        <v>27.614000000000001</v>
      </c>
      <c r="BQ8" s="25">
        <v>43.6661</v>
      </c>
      <c r="BR8" s="25">
        <v>41.2956</v>
      </c>
      <c r="BS8" s="25">
        <v>22.166699999999999</v>
      </c>
      <c r="BT8" s="25">
        <v>37.269199999999998</v>
      </c>
      <c r="BU8" s="25">
        <v>35.745199999999997</v>
      </c>
      <c r="BV8" s="25">
        <v>35.191699999999997</v>
      </c>
      <c r="BW8" s="25">
        <v>36.342700000000001</v>
      </c>
      <c r="BX8" s="25">
        <v>31.201999999999998</v>
      </c>
      <c r="BY8" s="25">
        <v>37.5777</v>
      </c>
      <c r="BZ8" s="25">
        <v>30.617100000000001</v>
      </c>
      <c r="CA8" s="25">
        <v>39.305399999999999</v>
      </c>
      <c r="CB8" s="25">
        <v>31.692699999999999</v>
      </c>
      <c r="CC8" s="25">
        <v>41.112900000000003</v>
      </c>
      <c r="CD8" s="25">
        <v>24.974</v>
      </c>
      <c r="CE8" s="25">
        <v>29.183199999999999</v>
      </c>
      <c r="CF8" s="25">
        <v>4.5709</v>
      </c>
      <c r="CG8" s="25">
        <v>-4.0382999999999996</v>
      </c>
      <c r="CH8" s="25">
        <v>-4.0382999999999996</v>
      </c>
      <c r="CI8" s="25">
        <v>9.7489000000000008</v>
      </c>
      <c r="CJ8" s="25">
        <v>7.54</v>
      </c>
      <c r="CK8" s="25">
        <v>45.1</v>
      </c>
      <c r="CL8" s="25">
        <v>0</v>
      </c>
      <c r="CM8" s="25">
        <v>22</v>
      </c>
      <c r="CN8" s="25">
        <v>35.126399999999997</v>
      </c>
      <c r="CO8" s="25">
        <v>49.817500000000003</v>
      </c>
      <c r="CP8" s="25">
        <v>61.892600000000002</v>
      </c>
      <c r="CQ8" s="25">
        <v>71.706900000000005</v>
      </c>
      <c r="CR8" s="25">
        <v>56.2639</v>
      </c>
      <c r="CS8" s="25">
        <v>11.825100000000001</v>
      </c>
      <c r="CT8" s="25">
        <v>18.735700000000001</v>
      </c>
      <c r="CU8" s="25">
        <v>-1.8311999999999999</v>
      </c>
      <c r="CV8" s="25">
        <v>26</v>
      </c>
      <c r="CW8" s="25">
        <v>13.7942</v>
      </c>
      <c r="CX8" s="25">
        <v>1.5</v>
      </c>
      <c r="CY8" s="25">
        <v>15.179399999999999</v>
      </c>
      <c r="CZ8" s="25">
        <v>58.595300000000002</v>
      </c>
      <c r="DA8" s="25">
        <v>-26.522500000000001</v>
      </c>
      <c r="DB8" s="25">
        <v>9.1449999999999996</v>
      </c>
      <c r="DC8" s="25">
        <v>-17.7134</v>
      </c>
      <c r="DD8" s="25">
        <v>64</v>
      </c>
      <c r="DE8" s="25">
        <v>3.9339</v>
      </c>
      <c r="DF8" s="25">
        <v>-17.6797</v>
      </c>
      <c r="DG8" s="25">
        <v>16.25</v>
      </c>
      <c r="DH8" s="25">
        <v>-12.827500000000001</v>
      </c>
      <c r="DI8" s="25">
        <v>-20.904299999999999</v>
      </c>
      <c r="DJ8" s="25">
        <v>-21.135100000000001</v>
      </c>
      <c r="DK8" s="25">
        <v>17.899999999999999</v>
      </c>
      <c r="DL8" s="25">
        <v>18.070799999999998</v>
      </c>
      <c r="DM8" s="25">
        <v>14.641500000000001</v>
      </c>
      <c r="DN8" s="25">
        <v>46.227600000000002</v>
      </c>
      <c r="DO8" s="25">
        <v>-0.80369999999999997</v>
      </c>
      <c r="DP8" s="25">
        <v>13.443199999999999</v>
      </c>
      <c r="DQ8" s="25">
        <v>42.315399999999997</v>
      </c>
      <c r="DR8" s="25">
        <v>51</v>
      </c>
      <c r="DS8" s="25">
        <v>7.9465000000000003</v>
      </c>
      <c r="DT8" s="25">
        <v>39.074199999999998</v>
      </c>
      <c r="DU8" s="25">
        <v>15.7835</v>
      </c>
      <c r="DV8" s="25">
        <v>9.9456000000000007</v>
      </c>
      <c r="DW8" s="25">
        <v>5</v>
      </c>
      <c r="DX8" s="25">
        <v>18.9712</v>
      </c>
      <c r="DY8" s="25">
        <v>41.902900000000002</v>
      </c>
      <c r="DZ8" s="25">
        <v>15.2</v>
      </c>
      <c r="EA8" s="25">
        <v>47.162500000000001</v>
      </c>
      <c r="EB8" s="25">
        <v>64.963099999999997</v>
      </c>
      <c r="EC8" s="25">
        <v>21</v>
      </c>
      <c r="ED8" s="25">
        <v>-0.7893</v>
      </c>
      <c r="EE8" s="25">
        <v>32</v>
      </c>
      <c r="EF8" s="25">
        <v>33</v>
      </c>
      <c r="EG8" s="25">
        <v>53.142400000000002</v>
      </c>
      <c r="EH8" s="25">
        <v>31</v>
      </c>
      <c r="EI8" s="25">
        <v>43</v>
      </c>
      <c r="EJ8" s="25">
        <v>18.1096</v>
      </c>
      <c r="EK8" s="25">
        <v>36</v>
      </c>
      <c r="EL8" s="25">
        <v>31.24</v>
      </c>
      <c r="EM8" s="25">
        <v>48.019599999999997</v>
      </c>
      <c r="EN8" s="25">
        <v>-2.3599999999999999E-2</v>
      </c>
      <c r="EO8" s="25">
        <v>36</v>
      </c>
      <c r="EP8" s="25">
        <v>29.5</v>
      </c>
      <c r="EQ8" s="25">
        <v>41.2044</v>
      </c>
      <c r="ER8" s="25">
        <v>56.879600000000003</v>
      </c>
      <c r="ES8" s="25">
        <v>33.854700000000001</v>
      </c>
      <c r="ET8" s="25">
        <v>6.4280999999999997</v>
      </c>
      <c r="EU8" s="25">
        <v>47.14</v>
      </c>
      <c r="EV8" s="25">
        <v>55.169400000000003</v>
      </c>
      <c r="EW8" s="25">
        <v>49.815300000000001</v>
      </c>
      <c r="EX8" s="25">
        <v>-18.7669</v>
      </c>
      <c r="EY8" s="25">
        <v>2.5</v>
      </c>
      <c r="EZ8" s="25">
        <v>3.2027999999999999</v>
      </c>
      <c r="FA8" s="25">
        <v>35.9375</v>
      </c>
      <c r="FB8" s="25">
        <v>21.007899999999999</v>
      </c>
      <c r="FC8" s="25">
        <v>-20.2</v>
      </c>
      <c r="FD8" s="25">
        <v>23.634499999999999</v>
      </c>
      <c r="FE8" s="25">
        <v>47.4116</v>
      </c>
      <c r="FF8" s="25">
        <v>43.7333</v>
      </c>
      <c r="FG8" s="25">
        <v>46.862499999999997</v>
      </c>
      <c r="FH8" s="25">
        <v>42.5</v>
      </c>
      <c r="FI8" s="25">
        <v>31.791699999999999</v>
      </c>
      <c r="FJ8" s="25">
        <v>-22.957599999999999</v>
      </c>
      <c r="FK8" s="25">
        <v>28.166699999999999</v>
      </c>
      <c r="FL8" s="25">
        <v>12.518599999999999</v>
      </c>
      <c r="FM8" s="25">
        <v>12.169600000000001</v>
      </c>
      <c r="FN8" s="25">
        <v>18.0425</v>
      </c>
      <c r="FO8" s="25">
        <v>52.132599999999996</v>
      </c>
      <c r="FP8" s="25">
        <v>-40.900599999999997</v>
      </c>
      <c r="FQ8" s="25">
        <v>12.865399999999999</v>
      </c>
      <c r="FR8" s="25">
        <v>17.607800000000001</v>
      </c>
      <c r="FS8" s="25">
        <v>9.0820000000000007</v>
      </c>
      <c r="FT8" s="25">
        <v>41.608600000000003</v>
      </c>
      <c r="FU8" s="25">
        <v>60.472000000000001</v>
      </c>
      <c r="FV8" s="25">
        <v>21</v>
      </c>
      <c r="FW8" s="25">
        <v>30.375299999999999</v>
      </c>
      <c r="FX8" s="25">
        <v>8.5380000000000003</v>
      </c>
      <c r="FY8" s="25">
        <v>-6.3150000000000004</v>
      </c>
      <c r="FZ8" s="25">
        <v>-23.442499999999999</v>
      </c>
      <c r="GA8" s="25">
        <v>-9.19</v>
      </c>
      <c r="GB8" s="25">
        <v>13</v>
      </c>
      <c r="GC8" s="25">
        <v>51.919400000000003</v>
      </c>
      <c r="GD8" s="25">
        <v>39.399900000000002</v>
      </c>
      <c r="GE8" s="25">
        <v>25.354800000000001</v>
      </c>
      <c r="GF8" s="25">
        <v>45.943199999999997</v>
      </c>
      <c r="GG8" s="25">
        <v>60</v>
      </c>
      <c r="GH8" s="25">
        <v>-1.9402999999999999</v>
      </c>
      <c r="GI8" s="25">
        <v>13.9094</v>
      </c>
      <c r="GJ8" s="25">
        <v>12.984299999999999</v>
      </c>
      <c r="GK8" s="25">
        <v>43.942399999999999</v>
      </c>
      <c r="GL8" s="25">
        <v>24</v>
      </c>
      <c r="GM8" s="25">
        <v>14.497400000000001</v>
      </c>
      <c r="GN8" s="25">
        <v>44.016500000000001</v>
      </c>
      <c r="GO8" s="25">
        <v>-4.6795999999999998</v>
      </c>
      <c r="GP8" s="25">
        <v>1.2833000000000001</v>
      </c>
      <c r="GQ8" s="25">
        <v>48.668999999999997</v>
      </c>
      <c r="GR8" s="25">
        <v>46.151200000000003</v>
      </c>
      <c r="GS8" s="25">
        <v>5.1520999999999999</v>
      </c>
      <c r="GT8" s="25">
        <v>-30.5595</v>
      </c>
      <c r="GU8" s="25">
        <v>40</v>
      </c>
      <c r="GV8" s="25">
        <v>7</v>
      </c>
      <c r="GW8" s="25">
        <v>12.8628</v>
      </c>
      <c r="GX8" s="25">
        <v>3.9192999999999998</v>
      </c>
      <c r="GY8" s="46">
        <v>63</v>
      </c>
      <c r="GZ8" s="25">
        <v>46.818199999999997</v>
      </c>
      <c r="HA8" s="25">
        <v>23.7</v>
      </c>
      <c r="HB8" s="25">
        <v>-6.3689999999999998</v>
      </c>
      <c r="HC8" s="25">
        <v>15</v>
      </c>
      <c r="HD8" s="25">
        <v>8.6195000000000004</v>
      </c>
      <c r="HE8" s="25">
        <v>10.691800000000001</v>
      </c>
      <c r="HF8" s="25">
        <v>34</v>
      </c>
      <c r="HG8" s="25">
        <v>38.963700000000003</v>
      </c>
      <c r="HH8" s="25">
        <v>1</v>
      </c>
      <c r="HI8" s="25">
        <v>48.379399999999997</v>
      </c>
      <c r="HJ8" s="25">
        <v>24</v>
      </c>
      <c r="HK8" s="25">
        <v>32.3078</v>
      </c>
      <c r="HL8" s="25">
        <v>19.313300000000002</v>
      </c>
      <c r="HM8" s="25">
        <v>49.372300000000003</v>
      </c>
      <c r="HN8" s="25">
        <v>36.140799999999999</v>
      </c>
      <c r="HO8" s="25">
        <v>54.2361</v>
      </c>
      <c r="HP8" s="25">
        <v>16.7425</v>
      </c>
      <c r="HQ8" s="25">
        <v>55.378100000000003</v>
      </c>
      <c r="HR8" s="25">
        <v>-32.522799999999997</v>
      </c>
      <c r="HS8" s="25">
        <v>37.090200000000003</v>
      </c>
      <c r="HT8" s="25">
        <v>41.377499999999998</v>
      </c>
      <c r="HU8" s="25">
        <v>6.4238</v>
      </c>
      <c r="HV8" s="25">
        <v>16</v>
      </c>
      <c r="HW8" s="25">
        <v>-15.416700000000001</v>
      </c>
      <c r="HX8" s="25">
        <v>-20</v>
      </c>
      <c r="HY8" s="25">
        <v>0</v>
      </c>
      <c r="HZ8" s="25">
        <v>15.414999999999999</v>
      </c>
      <c r="IA8" s="25">
        <v>12.1165</v>
      </c>
      <c r="IB8" s="25">
        <v>-18.665694999999999</v>
      </c>
      <c r="IC8" s="25">
        <v>34.802075000000002</v>
      </c>
      <c r="ID8" s="25">
        <v>-8.8742169999999998</v>
      </c>
      <c r="IE8" s="25">
        <v>13.193899999999999</v>
      </c>
      <c r="IF8" s="25">
        <v>0</v>
      </c>
      <c r="IG8" s="25">
        <v>19.856270000000002</v>
      </c>
      <c r="IH8" s="25">
        <v>26.335100000000001</v>
      </c>
      <c r="II8" s="25">
        <v>31.952200000000001</v>
      </c>
      <c r="IJ8" s="25">
        <v>11.803699999999999</v>
      </c>
      <c r="IK8" s="25">
        <v>17.570692000000001</v>
      </c>
      <c r="IL8" s="25">
        <v>17.357821999999999</v>
      </c>
      <c r="IM8" s="25">
        <v>64.825500000000005</v>
      </c>
      <c r="IN8" s="25">
        <v>64.282300000000006</v>
      </c>
      <c r="IO8" s="25">
        <v>42.602635999999997</v>
      </c>
      <c r="IP8" s="25">
        <v>21.9162</v>
      </c>
      <c r="IQ8" s="25">
        <v>18.220600000000001</v>
      </c>
      <c r="IR8" s="25">
        <v>18.4207</v>
      </c>
      <c r="IS8" s="25">
        <v>21.69400000000001</v>
      </c>
      <c r="IT8" s="25">
        <v>0</v>
      </c>
      <c r="IU8" s="25">
        <v>-22.328499999999998</v>
      </c>
      <c r="IV8" s="25">
        <v>-3.3731</v>
      </c>
      <c r="IW8" s="25">
        <v>8.4605550000000012</v>
      </c>
      <c r="IX8" s="25">
        <v>12.1784</v>
      </c>
      <c r="IY8" s="25">
        <v>-13.254307999999998</v>
      </c>
      <c r="IZ8" s="25">
        <v>-51.796300000000002</v>
      </c>
      <c r="JA8" s="25">
        <v>46.885199999999998</v>
      </c>
      <c r="JB8" s="25">
        <v>6.8770000000000024</v>
      </c>
      <c r="JC8" s="25">
        <v>24.215499999999999</v>
      </c>
      <c r="JD8" s="25">
        <v>0.18636</v>
      </c>
      <c r="JE8" s="25">
        <v>15.552726999999999</v>
      </c>
      <c r="JF8" s="25">
        <v>-11.6455</v>
      </c>
      <c r="JG8" s="25">
        <v>38.861033999999997</v>
      </c>
      <c r="JH8" s="25">
        <v>-14.270999999999999</v>
      </c>
      <c r="JI8" s="25">
        <v>13.4443</v>
      </c>
      <c r="JJ8" s="25">
        <v>15.097899999999999</v>
      </c>
      <c r="JK8" s="25">
        <v>18.220800000000001</v>
      </c>
      <c r="JL8" s="25">
        <v>18.335799999999999</v>
      </c>
      <c r="JM8" s="25">
        <v>2203.24678369</v>
      </c>
      <c r="JN8" s="25">
        <v>1747.5798765500003</v>
      </c>
      <c r="JO8" s="25">
        <v>505.13855462999999</v>
      </c>
      <c r="JP8" s="25">
        <v>2618.39170427</v>
      </c>
      <c r="JQ8" s="25">
        <v>2194.9497754700001</v>
      </c>
      <c r="JR8" s="25">
        <v>2491.870365929999</v>
      </c>
      <c r="JS8" s="25">
        <v>332.90944112</v>
      </c>
      <c r="JT8" s="25">
        <v>117.32783047000001</v>
      </c>
      <c r="JU8" s="25">
        <v>38.904177730000001</v>
      </c>
      <c r="JV8" s="25">
        <v>1939.0305769000004</v>
      </c>
      <c r="JW8" s="25">
        <v>5216.5566110300015</v>
      </c>
      <c r="JX8" s="25">
        <v>105.14141503</v>
      </c>
      <c r="JY8" s="25">
        <v>1947.5896553700004</v>
      </c>
      <c r="JZ8" s="25">
        <v>4064.0490055300002</v>
      </c>
      <c r="KA8" s="25">
        <v>3665.0364912399991</v>
      </c>
      <c r="KB8" s="25">
        <v>4160.9610923300015</v>
      </c>
      <c r="KC8" s="25">
        <v>4040.9647841699993</v>
      </c>
      <c r="KD8" s="25">
        <v>4514.6572620000006</v>
      </c>
      <c r="KE8" s="25">
        <v>1989.9153525399995</v>
      </c>
      <c r="KF8" s="25">
        <v>715.00301449999995</v>
      </c>
      <c r="KG8" s="25">
        <v>936.35809657000004</v>
      </c>
      <c r="KH8" s="25">
        <v>630.99414890999992</v>
      </c>
      <c r="KI8" s="25">
        <v>3655.6204674499986</v>
      </c>
      <c r="KJ8" s="25">
        <v>3963.0251292199996</v>
      </c>
      <c r="KK8" s="25">
        <v>2689.00357846</v>
      </c>
      <c r="KL8" s="25">
        <v>4460.9847262700005</v>
      </c>
      <c r="KM8" s="25">
        <v>2630.5827033899996</v>
      </c>
      <c r="KN8" s="25">
        <v>3842.9269300899973</v>
      </c>
      <c r="KO8" s="25">
        <v>667.35194466000007</v>
      </c>
      <c r="KP8" s="25">
        <v>434.78972876</v>
      </c>
      <c r="KQ8" s="25">
        <v>846.01525913000012</v>
      </c>
      <c r="KR8" s="25">
        <v>1140.1288462999999</v>
      </c>
      <c r="KS8" s="25">
        <v>2637.7373826599996</v>
      </c>
      <c r="KT8" s="25">
        <v>3562.4209710000009</v>
      </c>
      <c r="KU8" s="25">
        <v>2511.8558565800004</v>
      </c>
      <c r="KV8" s="25">
        <v>3547.3389435400018</v>
      </c>
      <c r="KW8" s="25">
        <v>2733.6474108000002</v>
      </c>
      <c r="KX8" s="25">
        <v>1601.7264242899996</v>
      </c>
      <c r="KY8" s="25">
        <v>2734.8112497699994</v>
      </c>
      <c r="KZ8" s="25">
        <v>208.27571053</v>
      </c>
      <c r="LA8" s="25">
        <v>1562.0437180300005</v>
      </c>
      <c r="LB8" s="25">
        <v>2921.9978651999995</v>
      </c>
      <c r="LC8" s="25">
        <v>3409.0847101599993</v>
      </c>
      <c r="LD8" s="25">
        <v>8041.8034343399986</v>
      </c>
      <c r="LE8" s="25">
        <v>1388.55098628</v>
      </c>
      <c r="LF8" s="25">
        <v>618.23294118000013</v>
      </c>
      <c r="LG8" s="25">
        <v>4996.2979932599992</v>
      </c>
      <c r="LH8" s="25">
        <v>1842.1176703799999</v>
      </c>
      <c r="LI8" s="25">
        <v>2134.78395387</v>
      </c>
      <c r="LJ8" s="25">
        <v>3196.4503316300011</v>
      </c>
      <c r="LK8" s="25">
        <v>990.99836662000007</v>
      </c>
      <c r="LL8" s="25">
        <v>0</v>
      </c>
      <c r="LM8" s="25">
        <v>0</v>
      </c>
      <c r="LN8"/>
      <c r="LO8">
        <f>INDEX(tblPopulation[Population],MATCH(LO$10,tblPopulation[CtryAbbrev],0))/myData!PerPerson</f>
        <v>1.0229999999999999</v>
      </c>
      <c r="LP8"/>
      <c r="LQ8">
        <f>INDEX(tblPopulation[Population],MATCH(LQ$10,tblPopulation[CtryAbbrev],0))/myData!PerPerson</f>
        <v>4.694</v>
      </c>
      <c r="LR8"/>
      <c r="LS8">
        <f>INDEX(tblPopulation[Population],MATCH(LS$10,tblPopulation[CtryAbbrev],0))/myData!PerPerson</f>
        <v>0.66290000000000004</v>
      </c>
      <c r="LT8"/>
      <c r="LU8">
        <f>INDEX(tblPopulation[Population],MATCH(LU$10,tblPopulation[CtryAbbrev],0))/myData!PerPerson</f>
        <v>8.3773</v>
      </c>
      <c r="LV8"/>
      <c r="LW8">
        <f>INDEX(tblPopulation[Population],MATCH(LW$10,tblPopulation[CtryAbbrev],0))/myData!PerPerson</f>
        <v>12.655420299999999</v>
      </c>
      <c r="LX8"/>
      <c r="LY8">
        <f>INDEX(tblPopulation[Population],MATCH(LY$10,tblPopulation[CtryAbbrev],0))/myData!PerPerson</f>
        <v>0.51154509999999997</v>
      </c>
      <c r="LZ8"/>
      <c r="MA8">
        <f>INDEX(tblPopulation[Population],MATCH(MA$10,tblPopulation[CtryAbbrev],0))/myData!PerPerson</f>
        <v>5.1499999999999997E-2</v>
      </c>
      <c r="MB8"/>
      <c r="MC8">
        <f>INDEX(tblPopulation[Population],MATCH(MC$10,tblPopulation[CtryAbbrev],0))/myData!PerPerson</f>
        <v>0.16700000000000001</v>
      </c>
      <c r="MD8"/>
      <c r="ME8">
        <f>INDEX(tblPopulation[Population],MATCH(ME$10,tblPopulation[CtryAbbrev],0))/myData!PerPerson</f>
        <v>0.25890000000000002</v>
      </c>
      <c r="MF8"/>
      <c r="MG8">
        <f>INDEX(tblPopulation[Population],MATCH(MG$10,tblPopulation[CtryAbbrev],0))/myData!PerPerson</f>
        <v>0.80800000000000005</v>
      </c>
      <c r="MI8" s="25">
        <f>INDEX(tblPopulation[Population],MATCH(MI$10,tblPopulation[CtryAbbrev],0))/myData!PerPerson</f>
        <v>2.3628065</v>
      </c>
      <c r="MK8" s="25">
        <f>INDEX(tblPopulation[Population],MATCH(MK$10,tblPopulation[CtryAbbrev],0))/myData!PerPerson</f>
        <v>6.0484999999999998</v>
      </c>
      <c r="MM8" s="25">
        <f>INDEX(tblPopulation[Population],MATCH(MM$10,tblPopulation[CtryAbbrev],0))/myData!PerPerson</f>
        <v>4.2805999999999997E-2</v>
      </c>
      <c r="MO8" s="25">
        <f>INDEX(tblPopulation[Population],MATCH(MO$10,tblPopulation[CtryAbbrev],0))/myData!PerPerson</f>
        <v>2.1194500000000002E-2</v>
      </c>
      <c r="MQ8" s="25">
        <f>INDEX(tblPopulation[Population],MATCH(MQ$10,tblPopulation[CtryAbbrev],0))/myData!PerPerson</f>
        <v>5.7779999999999996</v>
      </c>
      <c r="MS8" s="25">
        <f>INDEX(tblPopulation[Population],MATCH(MS$10,tblPopulation[CtryAbbrev],0))/myData!PerPerson</f>
        <v>8.3019999999999996</v>
      </c>
      <c r="MU8" s="25">
        <f>INDEX(tblPopulation[Population],MATCH(MU$10,tblPopulation[CtryAbbrev],0))/myData!PerPerson</f>
        <v>0.49</v>
      </c>
      <c r="MW8" s="25">
        <f>INDEX(tblPopulation[Population],MATCH(MW$10,tblPopulation[CtryAbbrev],0))/myData!PerPerson</f>
        <v>6.6440000000000001</v>
      </c>
      <c r="MY8" s="25">
        <f>INDEX(tblPopulation[Population],MATCH(MY$10,tblPopulation[CtryAbbrev],0))/myData!PerPerson</f>
        <v>0.5806</v>
      </c>
      <c r="NA8" s="25">
        <f>INDEX(tblPopulation[Population],MATCH(NA$10,tblPopulation[CtryAbbrev],0))/myData!PerPerson</f>
        <v>32.922774599999997</v>
      </c>
      <c r="NC8" s="25">
        <f>INDEX(tblPopulation[Population],MATCH(SUBSTITUTE(NC$10," Sum",""),tblPopulation[Country],0))/myData!PerPerson</f>
        <v>2.5364</v>
      </c>
      <c r="NE8" s="25">
        <f>INDEX(tblPopulation[Population],MATCH(NE$10,tblPopulation[CtryAbbrev],0))/myData!PerPerson</f>
        <v>2.3807282000000001</v>
      </c>
      <c r="NG8" s="25">
        <f>INDEX(tblPopulation[Population],MATCH(NG$10,tblPopulation[CtryAbbrev],0))/myData!PerPerson</f>
        <v>5.85</v>
      </c>
      <c r="NI8" s="25">
        <f>INDEX(tblPopulation[Population],MATCH(NI$10,tblPopulation[CtryAbbrev],0))/myData!PerPerson</f>
        <v>0.74509999999999998</v>
      </c>
    </row>
    <row r="9" spans="1:373" x14ac:dyDescent="0.25">
      <c r="A9" s="343" t="s">
        <v>3</v>
      </c>
      <c r="B9" s="14">
        <v>65</v>
      </c>
      <c r="C9" s="14">
        <v>20.168299999999999</v>
      </c>
      <c r="D9" s="14">
        <v>1.6596</v>
      </c>
      <c r="E9" s="14">
        <v>1.5218</v>
      </c>
      <c r="F9" s="14">
        <v>17.873899999999999</v>
      </c>
      <c r="G9" s="14">
        <v>-61.796399999999998</v>
      </c>
      <c r="H9" s="14">
        <v>-63.616700000000002</v>
      </c>
      <c r="I9" s="14">
        <v>45.038200000000003</v>
      </c>
      <c r="J9" s="14">
        <v>149.01240000000001</v>
      </c>
      <c r="K9" s="14">
        <v>151.20930000000001</v>
      </c>
      <c r="L9" s="14">
        <v>130.84559999999999</v>
      </c>
      <c r="M9" s="14">
        <v>153.4</v>
      </c>
      <c r="N9" s="14">
        <v>138.60069999999999</v>
      </c>
      <c r="O9" s="14">
        <v>145.97069999999999</v>
      </c>
      <c r="P9" s="14">
        <v>144.9631</v>
      </c>
      <c r="Q9" s="14">
        <v>115.8605</v>
      </c>
      <c r="R9" s="14">
        <v>14.5501</v>
      </c>
      <c r="S9" s="14">
        <v>47.576900000000002</v>
      </c>
      <c r="T9" s="14">
        <v>-77.396299999999997</v>
      </c>
      <c r="U9" s="14">
        <v>50.55</v>
      </c>
      <c r="V9" s="14">
        <v>90.356300000000005</v>
      </c>
      <c r="W9" s="14">
        <v>-59.543199999999999</v>
      </c>
      <c r="X9" s="14">
        <v>27.953399999999998</v>
      </c>
      <c r="Y9" s="14">
        <v>4</v>
      </c>
      <c r="Z9" s="14">
        <v>2.3157999999999999</v>
      </c>
      <c r="AA9" s="14">
        <v>90.433599999999998</v>
      </c>
      <c r="AB9" s="14">
        <v>-63.588700000000003</v>
      </c>
      <c r="AC9" s="14">
        <v>17.679099999999998</v>
      </c>
      <c r="AD9" s="14">
        <v>-51.9253</v>
      </c>
      <c r="AE9" s="14">
        <v>114.7277</v>
      </c>
      <c r="AF9" s="14">
        <v>25.485800000000001</v>
      </c>
      <c r="AG9" s="14">
        <v>-1.5616000000000001</v>
      </c>
      <c r="AH9" s="14">
        <v>-23.041799999999999</v>
      </c>
      <c r="AI9" s="14">
        <v>104.91670000000001</v>
      </c>
      <c r="AJ9" s="14">
        <v>11.5021</v>
      </c>
      <c r="AK9" s="14">
        <v>-116.5765</v>
      </c>
      <c r="AL9" s="14">
        <v>-123.1207</v>
      </c>
      <c r="AM9" s="14">
        <v>-122.66549999999999</v>
      </c>
      <c r="AN9" s="14">
        <v>-98.813900000000004</v>
      </c>
      <c r="AO9" s="14">
        <v>-66.4619</v>
      </c>
      <c r="AP9" s="14">
        <v>-57.660400000000003</v>
      </c>
      <c r="AQ9" s="14">
        <v>-63.744300000000003</v>
      </c>
      <c r="AR9" s="14">
        <v>-85.3232</v>
      </c>
      <c r="AS9" s="14">
        <v>-63.416800000000002</v>
      </c>
      <c r="AT9" s="14">
        <v>-73.549099999999996</v>
      </c>
      <c r="AU9" s="14">
        <v>-106.4509</v>
      </c>
      <c r="AV9" s="14">
        <v>20.939399999999999</v>
      </c>
      <c r="AW9" s="14">
        <v>18.732199999999999</v>
      </c>
      <c r="AX9" s="14">
        <v>-71.543000000000006</v>
      </c>
      <c r="AY9" s="14">
        <v>117.2264</v>
      </c>
      <c r="AZ9" s="14">
        <v>116.41419999999999</v>
      </c>
      <c r="BA9" s="14">
        <v>107.874</v>
      </c>
      <c r="BB9" s="14">
        <v>117.98739999999999</v>
      </c>
      <c r="BC9" s="14">
        <v>101.0583</v>
      </c>
      <c r="BD9" s="14">
        <v>113.42440000000001</v>
      </c>
      <c r="BE9" s="14">
        <v>108.7881</v>
      </c>
      <c r="BF9" s="14">
        <v>106.87479999999999</v>
      </c>
      <c r="BG9" s="14">
        <v>109.7453</v>
      </c>
      <c r="BH9" s="14">
        <v>116.1306</v>
      </c>
      <c r="BI9" s="14">
        <v>127.7615</v>
      </c>
      <c r="BJ9" s="14">
        <v>113.61399999999999</v>
      </c>
      <c r="BK9" s="14">
        <v>114.2</v>
      </c>
      <c r="BL9" s="14">
        <v>112.27070000000001</v>
      </c>
      <c r="BM9" s="14">
        <v>111.7088</v>
      </c>
      <c r="BN9" s="14">
        <v>113.9448</v>
      </c>
      <c r="BO9" s="14">
        <v>119.455</v>
      </c>
      <c r="BP9" s="14">
        <v>115.7221</v>
      </c>
      <c r="BQ9" s="14">
        <v>126.1923</v>
      </c>
      <c r="BR9" s="14">
        <v>122.60850000000001</v>
      </c>
      <c r="BS9" s="14">
        <v>113.55</v>
      </c>
      <c r="BT9" s="14">
        <v>106.16549999999999</v>
      </c>
      <c r="BU9" s="14">
        <v>95.995599999999996</v>
      </c>
      <c r="BV9" s="14">
        <v>108.87009999999999</v>
      </c>
      <c r="BW9" s="14">
        <v>118.1498</v>
      </c>
      <c r="BX9" s="14">
        <v>121.4491</v>
      </c>
      <c r="BY9" s="14">
        <v>112.29219999999999</v>
      </c>
      <c r="BZ9" s="14">
        <v>102.7103</v>
      </c>
      <c r="CA9" s="14">
        <v>117.32299999999999</v>
      </c>
      <c r="CB9" s="14">
        <v>88.092399999999998</v>
      </c>
      <c r="CC9" s="14">
        <v>85.240099999999998</v>
      </c>
      <c r="CD9" s="14">
        <v>101.48700000000001</v>
      </c>
      <c r="CE9" s="14">
        <v>120.0934</v>
      </c>
      <c r="CF9" s="14">
        <v>-74.297300000000007</v>
      </c>
      <c r="CG9" s="14">
        <v>21.758700000000001</v>
      </c>
      <c r="CH9" s="14">
        <v>21.758700000000001</v>
      </c>
      <c r="CI9" s="14">
        <v>-83.753399999999999</v>
      </c>
      <c r="CJ9" s="14">
        <v>-5.5471000000000004</v>
      </c>
      <c r="CK9" s="14">
        <v>15.2</v>
      </c>
      <c r="CL9" s="14">
        <v>0</v>
      </c>
      <c r="CM9" s="14">
        <v>-80</v>
      </c>
      <c r="CN9" s="14">
        <v>33.429900000000004</v>
      </c>
      <c r="CO9" s="14">
        <v>15.472999999999999</v>
      </c>
      <c r="CP9" s="14">
        <v>-6.9118000000000004</v>
      </c>
      <c r="CQ9" s="14">
        <v>-42.604300000000002</v>
      </c>
      <c r="CR9" s="14">
        <v>9.5017999999999994</v>
      </c>
      <c r="CS9" s="14">
        <v>42.590299999999999</v>
      </c>
      <c r="CT9" s="14">
        <v>-70.162700000000001</v>
      </c>
      <c r="CU9" s="14">
        <v>-78.183400000000006</v>
      </c>
      <c r="CV9" s="14">
        <v>30</v>
      </c>
      <c r="CW9" s="14">
        <v>-88.896500000000003</v>
      </c>
      <c r="CX9" s="14">
        <v>10</v>
      </c>
      <c r="CY9" s="14">
        <v>39.782299999999999</v>
      </c>
      <c r="CZ9" s="14">
        <v>25.0136</v>
      </c>
      <c r="DA9" s="14">
        <v>31.465900000000001</v>
      </c>
      <c r="DB9" s="14">
        <v>40.489699999999999</v>
      </c>
      <c r="DC9" s="14">
        <v>178.065</v>
      </c>
      <c r="DD9" s="14">
        <v>26</v>
      </c>
      <c r="DE9" s="14">
        <v>-53.125799999999998</v>
      </c>
      <c r="DF9" s="14">
        <v>149.4068</v>
      </c>
      <c r="DG9" s="14">
        <v>-61.583300000000001</v>
      </c>
      <c r="DH9" s="14">
        <v>45.166200000000003</v>
      </c>
      <c r="DI9" s="14">
        <v>165.61799999999999</v>
      </c>
      <c r="DJ9" s="14">
        <v>55.247100000000003</v>
      </c>
      <c r="DK9" s="14">
        <v>-62.833300000000001</v>
      </c>
      <c r="DL9" s="14">
        <v>-63.0501</v>
      </c>
      <c r="DM9" s="14">
        <v>-61.0242</v>
      </c>
      <c r="DN9" s="14">
        <v>2.2136999999999998</v>
      </c>
      <c r="DO9" s="14">
        <v>11.609400000000001</v>
      </c>
      <c r="DP9" s="14">
        <v>-15.3101</v>
      </c>
      <c r="DQ9" s="14">
        <v>43.356900000000003</v>
      </c>
      <c r="DR9" s="14">
        <v>9</v>
      </c>
      <c r="DS9" s="14">
        <v>-1.0232000000000001</v>
      </c>
      <c r="DT9" s="14">
        <v>21.824300000000001</v>
      </c>
      <c r="DU9" s="14">
        <v>-90.230800000000002</v>
      </c>
      <c r="DV9" s="14">
        <v>-9.6966000000000001</v>
      </c>
      <c r="DW9" s="14">
        <v>-58.75</v>
      </c>
      <c r="DX9" s="14">
        <v>-72.285200000000003</v>
      </c>
      <c r="DY9" s="14">
        <v>12.4534</v>
      </c>
      <c r="DZ9" s="14">
        <v>-86.241900000000001</v>
      </c>
      <c r="EA9" s="14">
        <v>19.503299999999999</v>
      </c>
      <c r="EB9" s="14">
        <v>-19.020800000000001</v>
      </c>
      <c r="EC9" s="14">
        <v>78</v>
      </c>
      <c r="ED9" s="14">
        <v>113.9213</v>
      </c>
      <c r="EE9" s="14">
        <v>53</v>
      </c>
      <c r="EF9" s="14">
        <v>44</v>
      </c>
      <c r="EG9" s="14">
        <v>-7.6920999999999999</v>
      </c>
      <c r="EH9" s="14">
        <v>35</v>
      </c>
      <c r="EI9" s="14">
        <v>12</v>
      </c>
      <c r="EJ9" s="14">
        <v>-77.297499999999999</v>
      </c>
      <c r="EK9" s="14">
        <v>138</v>
      </c>
      <c r="EL9" s="14">
        <v>36.51</v>
      </c>
      <c r="EM9" s="14">
        <v>66.923699999999997</v>
      </c>
      <c r="EN9" s="14">
        <v>37.906199999999998</v>
      </c>
      <c r="EO9" s="14">
        <v>128</v>
      </c>
      <c r="EP9" s="14">
        <v>47.75</v>
      </c>
      <c r="EQ9" s="14">
        <v>74.766099999999994</v>
      </c>
      <c r="ER9" s="14">
        <v>24.603200000000001</v>
      </c>
      <c r="ES9" s="14">
        <v>35.862299999999998</v>
      </c>
      <c r="ET9" s="14">
        <v>-9.4295000000000009</v>
      </c>
      <c r="EU9" s="14">
        <v>9.5500000000000007</v>
      </c>
      <c r="EV9" s="14">
        <v>23.8813</v>
      </c>
      <c r="EW9" s="14">
        <v>6.1295999999999999</v>
      </c>
      <c r="EX9" s="14">
        <v>46.869100000000003</v>
      </c>
      <c r="EY9" s="14">
        <v>112.5</v>
      </c>
      <c r="EZ9" s="14">
        <v>73.220699999999994</v>
      </c>
      <c r="FA9" s="14">
        <v>14.375400000000001</v>
      </c>
      <c r="FB9" s="14">
        <v>10.940799999999999</v>
      </c>
      <c r="FC9" s="14">
        <v>57.5</v>
      </c>
      <c r="FD9" s="14">
        <v>-102.5528</v>
      </c>
      <c r="FE9" s="14">
        <v>28.369900000000001</v>
      </c>
      <c r="FF9" s="14">
        <v>7.4166999999999996</v>
      </c>
      <c r="FG9" s="14">
        <v>103.8467</v>
      </c>
      <c r="FH9" s="14">
        <v>19.3</v>
      </c>
      <c r="FI9" s="14">
        <v>-7.0926</v>
      </c>
      <c r="FJ9" s="14">
        <v>18.490400000000001</v>
      </c>
      <c r="FK9" s="14">
        <v>84.25</v>
      </c>
      <c r="FL9" s="14">
        <v>-70.035799999999995</v>
      </c>
      <c r="FM9" s="14">
        <v>-68.989999999999995</v>
      </c>
      <c r="FN9" s="14">
        <v>-63.0548</v>
      </c>
      <c r="FO9" s="14">
        <v>5.2912999999999997</v>
      </c>
      <c r="FP9" s="14">
        <v>174.886</v>
      </c>
      <c r="FQ9" s="14">
        <v>-85.2072</v>
      </c>
      <c r="FR9" s="14">
        <v>8.0816999999999997</v>
      </c>
      <c r="FS9" s="14">
        <v>8.6753</v>
      </c>
      <c r="FT9" s="14">
        <v>21.7453</v>
      </c>
      <c r="FU9" s="14">
        <v>8.4688999999999997</v>
      </c>
      <c r="FV9" s="14">
        <v>57</v>
      </c>
      <c r="FW9" s="14">
        <v>69.345100000000002</v>
      </c>
      <c r="FX9" s="14">
        <v>-80.7821</v>
      </c>
      <c r="FY9" s="14">
        <v>143.9555</v>
      </c>
      <c r="FZ9" s="14">
        <v>-58.443800000000003</v>
      </c>
      <c r="GA9" s="14">
        <v>-75.015199999999993</v>
      </c>
      <c r="GB9" s="14">
        <v>122</v>
      </c>
      <c r="GC9" s="14">
        <v>19.145099999999999</v>
      </c>
      <c r="GD9" s="14">
        <v>-8.2245000000000008</v>
      </c>
      <c r="GE9" s="14">
        <v>51.183900000000001</v>
      </c>
      <c r="GF9" s="14">
        <v>24.966799999999999</v>
      </c>
      <c r="GG9" s="14">
        <v>90</v>
      </c>
      <c r="GH9" s="14">
        <v>29.873899999999999</v>
      </c>
      <c r="GI9" s="14">
        <v>-60.978900000000003</v>
      </c>
      <c r="GJ9" s="14">
        <v>-61.287199999999999</v>
      </c>
      <c r="GK9" s="14">
        <v>12.457800000000001</v>
      </c>
      <c r="GL9" s="14">
        <v>45</v>
      </c>
      <c r="GM9" s="14">
        <v>-14.452400000000001</v>
      </c>
      <c r="GN9" s="14">
        <v>21.0059</v>
      </c>
      <c r="GO9" s="14">
        <v>55.491999999999997</v>
      </c>
      <c r="GP9" s="14">
        <v>103.83329999999999</v>
      </c>
      <c r="GQ9" s="14">
        <v>19.699000000000002</v>
      </c>
      <c r="GR9" s="14">
        <v>14.9955</v>
      </c>
      <c r="GS9" s="14">
        <v>46.199599999999997</v>
      </c>
      <c r="GT9" s="14">
        <v>22.9375</v>
      </c>
      <c r="GU9" s="14">
        <v>-4</v>
      </c>
      <c r="GV9" s="14">
        <v>81</v>
      </c>
      <c r="GW9" s="14">
        <v>30.217600000000001</v>
      </c>
      <c r="GX9" s="14">
        <v>-56.027799999999999</v>
      </c>
      <c r="GY9" s="344">
        <v>16</v>
      </c>
      <c r="GZ9" s="14">
        <v>8.2274999999999991</v>
      </c>
      <c r="HA9" s="14">
        <v>121</v>
      </c>
      <c r="HB9" s="14">
        <v>34.888800000000003</v>
      </c>
      <c r="HC9" s="14">
        <v>101</v>
      </c>
      <c r="HD9" s="14">
        <v>0.82479999999999998</v>
      </c>
      <c r="HE9" s="14">
        <v>-61.222499999999997</v>
      </c>
      <c r="HF9" s="14">
        <v>9</v>
      </c>
      <c r="HG9" s="14">
        <v>35.243299999999998</v>
      </c>
      <c r="HH9" s="14">
        <v>32</v>
      </c>
      <c r="HI9" s="14">
        <v>31.165600000000001</v>
      </c>
      <c r="HJ9" s="14">
        <v>54</v>
      </c>
      <c r="HK9" s="14">
        <v>-64.750500000000002</v>
      </c>
      <c r="HL9" s="14">
        <v>-81.254599999999996</v>
      </c>
      <c r="HM9" s="14">
        <v>-2.3643999999999998</v>
      </c>
      <c r="HN9" s="14">
        <v>-5.3536000000000001</v>
      </c>
      <c r="HO9" s="14">
        <v>-4.5480999999999998</v>
      </c>
      <c r="HP9" s="14">
        <v>-62.187399999999997</v>
      </c>
      <c r="HQ9" s="14">
        <v>-3.4360000000000004</v>
      </c>
      <c r="HR9" s="14">
        <v>-55.765799999999999</v>
      </c>
      <c r="HS9" s="14">
        <v>-95.712900000000005</v>
      </c>
      <c r="HT9" s="14">
        <v>64.585300000000004</v>
      </c>
      <c r="HU9" s="14">
        <v>-66.589699999999993</v>
      </c>
      <c r="HV9" s="14">
        <v>108</v>
      </c>
      <c r="HW9" s="14">
        <v>28.283300000000001</v>
      </c>
      <c r="HX9" s="14">
        <v>30</v>
      </c>
      <c r="HY9" s="14">
        <v>0</v>
      </c>
      <c r="HZ9" s="14">
        <v>-61.371000000000002</v>
      </c>
      <c r="IA9" s="14">
        <v>-61.678999999999995</v>
      </c>
      <c r="IB9" s="14">
        <v>35.529561999999999</v>
      </c>
      <c r="IC9" s="14">
        <v>38.996815000000012</v>
      </c>
      <c r="ID9" s="14">
        <v>125.72753899999999</v>
      </c>
      <c r="IE9" s="14">
        <v>-59.543199999999999</v>
      </c>
      <c r="IF9" s="14">
        <v>0</v>
      </c>
      <c r="IG9" s="14">
        <v>102.495496</v>
      </c>
      <c r="IH9" s="14">
        <v>17.228331000000001</v>
      </c>
      <c r="II9" s="14">
        <v>35.233199999999997</v>
      </c>
      <c r="IJ9" s="14">
        <v>-15.180400000000001</v>
      </c>
      <c r="IK9" s="14">
        <v>-3.996166000000001</v>
      </c>
      <c r="IL9" s="14">
        <v>-62.782997999999999</v>
      </c>
      <c r="IM9" s="14">
        <v>-124.84569999999999</v>
      </c>
      <c r="IN9" s="14">
        <v>-135</v>
      </c>
      <c r="IO9" s="14">
        <v>20.902977</v>
      </c>
      <c r="IP9" s="14">
        <v>95.956000000000003</v>
      </c>
      <c r="IQ9" s="14">
        <v>-63.068600000000004</v>
      </c>
      <c r="IR9" s="14">
        <v>-64.64</v>
      </c>
      <c r="IS9" s="14">
        <v>-71.797899999999998</v>
      </c>
      <c r="IT9" s="14">
        <v>0</v>
      </c>
      <c r="IU9" s="14">
        <v>24.684899999999999</v>
      </c>
      <c r="IV9" s="14">
        <v>29.918900000000001</v>
      </c>
      <c r="IW9" s="14">
        <v>-11.779889000000001</v>
      </c>
      <c r="IX9" s="14">
        <v>-68.238500000000002</v>
      </c>
      <c r="IY9" s="14">
        <v>34.301524999999998</v>
      </c>
      <c r="IZ9" s="14">
        <v>-59.523600000000002</v>
      </c>
      <c r="JA9" s="14">
        <v>-56.315899999999999</v>
      </c>
      <c r="JB9" s="14">
        <v>31.306999999999999</v>
      </c>
      <c r="JC9" s="14">
        <v>-12.8858</v>
      </c>
      <c r="JD9" s="14">
        <v>6.6130810000000002</v>
      </c>
      <c r="JE9" s="14">
        <v>48.516387999999999</v>
      </c>
      <c r="JF9" s="14">
        <v>43.333300000000001</v>
      </c>
      <c r="JG9" s="14">
        <v>71.276093000000003</v>
      </c>
      <c r="JH9" s="14">
        <v>-170.13200000000001</v>
      </c>
      <c r="JI9" s="14">
        <v>144.7937</v>
      </c>
      <c r="JJ9" s="14">
        <v>145.6739</v>
      </c>
      <c r="JK9" s="14">
        <v>-66.590100000000007</v>
      </c>
      <c r="JL9" s="14">
        <v>-64.896299999999997</v>
      </c>
      <c r="JM9" s="14">
        <v>-5809.5781992500024</v>
      </c>
      <c r="JN9" s="14">
        <v>-4229.3193343000003</v>
      </c>
      <c r="JO9" s="14">
        <v>-1671.9484818999999</v>
      </c>
      <c r="JP9" s="14">
        <v>-6932.5483701299991</v>
      </c>
      <c r="JQ9" s="14">
        <v>-7002.2584614999987</v>
      </c>
      <c r="JR9" s="14">
        <v>-6751.1193573999981</v>
      </c>
      <c r="JS9" s="14">
        <v>-581.25463743</v>
      </c>
      <c r="JT9" s="14">
        <v>-226.59971236999996</v>
      </c>
      <c r="JU9" s="14">
        <v>-77.016559920000006</v>
      </c>
      <c r="JV9" s="14">
        <v>-5540.9498419200008</v>
      </c>
      <c r="JW9" s="14">
        <v>-13288.811358250005</v>
      </c>
      <c r="JX9" s="14">
        <v>-786.61618239999996</v>
      </c>
      <c r="JY9" s="14">
        <v>-5036.245496399999</v>
      </c>
      <c r="JZ9" s="14">
        <v>-9096.1896670999995</v>
      </c>
      <c r="KA9" s="14">
        <v>-7932.1082973199955</v>
      </c>
      <c r="KB9" s="14">
        <v>-9253.0864229199997</v>
      </c>
      <c r="KC9" s="14">
        <v>-10298.87791087</v>
      </c>
      <c r="KD9" s="14">
        <v>-10223.986874159998</v>
      </c>
      <c r="KE9" s="14">
        <v>-5876.7479459900014</v>
      </c>
      <c r="KF9" s="14">
        <v>-1112.38029805</v>
      </c>
      <c r="KG9" s="14">
        <v>-1840.2112226099998</v>
      </c>
      <c r="KH9" s="14">
        <v>-1071.2770314100001</v>
      </c>
      <c r="KI9" s="14">
        <v>-7070.0807294400029</v>
      </c>
      <c r="KJ9" s="14">
        <v>-8215.4929133399983</v>
      </c>
      <c r="KK9" s="14">
        <v>-7350.9495156400008</v>
      </c>
      <c r="KL9" s="14">
        <v>-10729.940478620003</v>
      </c>
      <c r="KM9" s="14">
        <v>-6143.222113400001</v>
      </c>
      <c r="KN9" s="14">
        <v>-9210.6281368199998</v>
      </c>
      <c r="KO9" s="14">
        <v>-1998.5878900999996</v>
      </c>
      <c r="KP9" s="14">
        <v>-715.77656705000004</v>
      </c>
      <c r="KQ9" s="14">
        <v>-1567.0714440100001</v>
      </c>
      <c r="KR9" s="14">
        <v>-3494.2745445</v>
      </c>
      <c r="KS9" s="14">
        <v>-4679.3993650800003</v>
      </c>
      <c r="KT9" s="14">
        <v>-7950.1098739600029</v>
      </c>
      <c r="KU9" s="14">
        <v>-5313.2178520900006</v>
      </c>
      <c r="KV9" s="14">
        <v>-7289.5159045800001</v>
      </c>
      <c r="KW9" s="14">
        <v>-7488.3577667199997</v>
      </c>
      <c r="KX9" s="14">
        <v>-4373.1691055000001</v>
      </c>
      <c r="KY9" s="14">
        <v>-5200.2262951800003</v>
      </c>
      <c r="KZ9" s="14">
        <v>-357.32052549000002</v>
      </c>
      <c r="LA9" s="14">
        <v>-3725.2363858399995</v>
      </c>
      <c r="LB9" s="14">
        <v>-6554.5019881099997</v>
      </c>
      <c r="LC9" s="14">
        <v>-8180.3286839199982</v>
      </c>
      <c r="LD9" s="14">
        <v>-25057.879425249983</v>
      </c>
      <c r="LE9" s="14">
        <v>-3904.519943400001</v>
      </c>
      <c r="LF9" s="14">
        <v>-1017.58132988</v>
      </c>
      <c r="LG9" s="14">
        <v>-10442.323660759994</v>
      </c>
      <c r="LH9" s="14">
        <v>-4708.0495962000014</v>
      </c>
      <c r="LI9" s="14">
        <v>-4433.9599982299987</v>
      </c>
      <c r="LJ9" s="14">
        <v>-6465.4545586299992</v>
      </c>
      <c r="LK9" s="14">
        <v>-2464.5245706999999</v>
      </c>
      <c r="LL9" s="14">
        <v>0</v>
      </c>
      <c r="LM9" s="14">
        <v>0</v>
      </c>
    </row>
    <row r="10" spans="1:373" s="14" customFormat="1" ht="60" x14ac:dyDescent="0.25">
      <c r="A10" s="343" t="s">
        <v>503</v>
      </c>
      <c r="GY10" s="344"/>
      <c r="JH10" s="14">
        <v>55641</v>
      </c>
      <c r="JI10" s="14">
        <v>164229</v>
      </c>
      <c r="JJ10" s="14">
        <v>55144</v>
      </c>
      <c r="JK10" s="14">
        <v>2933408</v>
      </c>
      <c r="JL10" s="14">
        <v>107268</v>
      </c>
      <c r="JM10" s="14">
        <v>4903185</v>
      </c>
      <c r="JN10" s="14">
        <v>731545</v>
      </c>
      <c r="JO10" s="14">
        <v>7278717</v>
      </c>
      <c r="JP10" s="14">
        <v>3017804</v>
      </c>
      <c r="JQ10" s="14">
        <v>39512223</v>
      </c>
      <c r="JR10" s="14">
        <v>5758736</v>
      </c>
      <c r="JS10" s="14">
        <v>3565287</v>
      </c>
      <c r="JT10" s="14">
        <v>973764</v>
      </c>
      <c r="JU10" s="14">
        <v>705749</v>
      </c>
      <c r="JV10" s="14">
        <v>21477737</v>
      </c>
      <c r="JW10" s="14">
        <v>10617423</v>
      </c>
      <c r="JX10" s="14">
        <v>1415872</v>
      </c>
      <c r="JY10" s="14">
        <v>1787065</v>
      </c>
      <c r="JZ10" s="14">
        <v>12671821</v>
      </c>
      <c r="KA10" s="14">
        <v>6732219</v>
      </c>
      <c r="KB10" s="14">
        <v>3155070</v>
      </c>
      <c r="KC10" s="14">
        <v>2913314</v>
      </c>
      <c r="KD10" s="14">
        <v>4467673</v>
      </c>
      <c r="KE10" s="14">
        <v>4648794</v>
      </c>
      <c r="KF10" s="14">
        <v>1344212</v>
      </c>
      <c r="KG10" s="14">
        <v>6045680</v>
      </c>
      <c r="KH10" s="14">
        <v>6892503</v>
      </c>
      <c r="KI10" s="14">
        <v>9986857</v>
      </c>
      <c r="KJ10" s="14">
        <v>5639632</v>
      </c>
      <c r="KK10" s="14">
        <v>2976149</v>
      </c>
      <c r="KL10" s="14">
        <v>6626371</v>
      </c>
      <c r="KM10" s="14">
        <v>1068778</v>
      </c>
      <c r="KN10" s="14">
        <v>1934408</v>
      </c>
      <c r="KO10" s="14">
        <v>3080156</v>
      </c>
      <c r="KP10" s="14">
        <v>1359711</v>
      </c>
      <c r="KQ10" s="14">
        <v>8882190</v>
      </c>
      <c r="KR10" s="14">
        <v>2096829</v>
      </c>
      <c r="KS10" s="14">
        <v>23628065</v>
      </c>
      <c r="KT10" s="14">
        <v>10488084</v>
      </c>
      <c r="KU10" s="14">
        <v>762062</v>
      </c>
      <c r="KV10" s="14">
        <v>11689100</v>
      </c>
      <c r="KW10" s="14">
        <v>3956971</v>
      </c>
      <c r="KX10" s="14">
        <v>4217737</v>
      </c>
      <c r="KY10" s="14">
        <v>12801989</v>
      </c>
      <c r="KZ10" s="14">
        <v>1059361</v>
      </c>
      <c r="LA10" s="14">
        <v>5148714</v>
      </c>
      <c r="LB10" s="14">
        <v>884659</v>
      </c>
      <c r="LC10" s="14">
        <v>6829174</v>
      </c>
      <c r="LD10" s="14">
        <v>28995881</v>
      </c>
      <c r="LE10" s="14">
        <v>3205958</v>
      </c>
      <c r="LF10" s="14">
        <v>623989</v>
      </c>
      <c r="LG10" s="14">
        <v>8535519</v>
      </c>
      <c r="LH10" s="14">
        <v>7614893</v>
      </c>
      <c r="LI10" s="14">
        <v>1792147</v>
      </c>
      <c r="LJ10" s="14">
        <v>5822434</v>
      </c>
      <c r="LK10" s="14">
        <v>578759</v>
      </c>
      <c r="LL10" s="14">
        <v>0</v>
      </c>
      <c r="LM10" s="14">
        <v>0</v>
      </c>
      <c r="LN10" s="370" t="s">
        <v>2431</v>
      </c>
      <c r="LO10" s="14" t="s">
        <v>60</v>
      </c>
      <c r="LP10" s="370" t="s">
        <v>2494</v>
      </c>
      <c r="LQ10" s="14" t="s">
        <v>61</v>
      </c>
      <c r="LR10" s="284" t="s">
        <v>2510</v>
      </c>
      <c r="LS10" s="367" t="s">
        <v>49</v>
      </c>
      <c r="LT10" s="277" t="s">
        <v>2496</v>
      </c>
      <c r="LU10" s="14" t="s">
        <v>65</v>
      </c>
      <c r="LV10" s="277" t="s">
        <v>2887</v>
      </c>
      <c r="LW10" s="14" t="s">
        <v>36</v>
      </c>
      <c r="LX10" s="277" t="s">
        <v>3001</v>
      </c>
      <c r="LY10" s="14" t="s">
        <v>50</v>
      </c>
      <c r="LZ10" s="277" t="s">
        <v>3008</v>
      </c>
      <c r="MA10" s="14" t="s">
        <v>106</v>
      </c>
      <c r="MB10" s="277" t="s">
        <v>3018</v>
      </c>
      <c r="MC10" s="14" t="s">
        <v>62</v>
      </c>
      <c r="MD10" s="277" t="s">
        <v>3017</v>
      </c>
      <c r="ME10" s="14" t="s">
        <v>95</v>
      </c>
      <c r="MF10" s="277" t="s">
        <v>3311</v>
      </c>
      <c r="MG10" s="14" t="s">
        <v>47</v>
      </c>
      <c r="MH10" s="277" t="s">
        <v>3388</v>
      </c>
      <c r="MI10" s="14" t="s">
        <v>2980</v>
      </c>
      <c r="MJ10" s="277" t="s">
        <v>3392</v>
      </c>
      <c r="MK10" s="14" t="s">
        <v>58</v>
      </c>
      <c r="ML10" s="277" t="s">
        <v>3397</v>
      </c>
      <c r="MM10" s="14" t="s">
        <v>196</v>
      </c>
      <c r="MN10" s="277" t="s">
        <v>3399</v>
      </c>
      <c r="MO10" s="14" t="s">
        <v>117</v>
      </c>
      <c r="MP10" s="277" t="s">
        <v>3468</v>
      </c>
      <c r="MQ10" s="14" t="s">
        <v>124</v>
      </c>
      <c r="MR10" s="277" t="s">
        <v>3464</v>
      </c>
      <c r="MS10" s="14" t="s">
        <v>53</v>
      </c>
      <c r="MT10" s="277" t="s">
        <v>3472</v>
      </c>
      <c r="MU10" s="14" t="s">
        <v>659</v>
      </c>
      <c r="MV10" s="277" t="s">
        <v>3470</v>
      </c>
      <c r="MW10" s="14" t="s">
        <v>609</v>
      </c>
      <c r="MX10" s="277" t="s">
        <v>3466</v>
      </c>
      <c r="MY10" s="14" t="s">
        <v>85</v>
      </c>
      <c r="MZ10" s="277" t="s">
        <v>3480</v>
      </c>
      <c r="NA10" s="14" t="s">
        <v>37</v>
      </c>
      <c r="NB10" s="277" t="s">
        <v>3485</v>
      </c>
      <c r="NC10" s="14" t="s">
        <v>3482</v>
      </c>
      <c r="ND10" s="277" t="s">
        <v>3488</v>
      </c>
      <c r="NE10" s="14" t="s">
        <v>2133</v>
      </c>
      <c r="NF10" s="277" t="s">
        <v>3489</v>
      </c>
      <c r="NG10" s="14" t="s">
        <v>16</v>
      </c>
      <c r="NH10" s="277" t="s">
        <v>3490</v>
      </c>
      <c r="NI10" s="14" t="s">
        <v>39</v>
      </c>
    </row>
    <row r="11" spans="1:373" x14ac:dyDescent="0.25">
      <c r="A11" s="156">
        <v>43852</v>
      </c>
      <c r="B11" s="25">
        <v>0</v>
      </c>
      <c r="C11" s="25">
        <v>0</v>
      </c>
      <c r="D11" s="25">
        <v>0</v>
      </c>
      <c r="E11" s="25">
        <v>0</v>
      </c>
      <c r="F11" s="25">
        <v>0</v>
      </c>
      <c r="G11" s="25">
        <v>0</v>
      </c>
      <c r="H11" s="25">
        <v>0</v>
      </c>
      <c r="I11" s="25">
        <v>0</v>
      </c>
      <c r="J11" s="25">
        <v>0</v>
      </c>
      <c r="K11" s="25">
        <v>0</v>
      </c>
      <c r="L11" s="25">
        <v>0</v>
      </c>
      <c r="M11" s="25">
        <v>0</v>
      </c>
      <c r="N11" s="25">
        <v>0</v>
      </c>
      <c r="O11" s="25">
        <v>0</v>
      </c>
      <c r="P11" s="25">
        <v>0</v>
      </c>
      <c r="Q11" s="25">
        <v>0</v>
      </c>
      <c r="R11" s="25">
        <v>0</v>
      </c>
      <c r="S11" s="25">
        <v>0</v>
      </c>
      <c r="T11" s="25">
        <v>0</v>
      </c>
      <c r="U11" s="25">
        <v>0</v>
      </c>
      <c r="V11" s="25">
        <v>0</v>
      </c>
      <c r="W11" s="25">
        <v>0</v>
      </c>
      <c r="X11" s="25">
        <v>0</v>
      </c>
      <c r="Y11" s="25">
        <v>0</v>
      </c>
      <c r="Z11" s="25">
        <v>0</v>
      </c>
      <c r="AA11" s="25">
        <v>0</v>
      </c>
      <c r="AB11" s="25">
        <v>0</v>
      </c>
      <c r="AC11" s="25">
        <v>0</v>
      </c>
      <c r="AD11" s="25">
        <v>0</v>
      </c>
      <c r="AE11" s="25">
        <v>0</v>
      </c>
      <c r="AF11" s="25">
        <v>0</v>
      </c>
      <c r="AG11" s="25">
        <v>0</v>
      </c>
      <c r="AH11" s="25">
        <v>0</v>
      </c>
      <c r="AI11" s="25">
        <v>0</v>
      </c>
      <c r="AJ11" s="25">
        <v>0</v>
      </c>
      <c r="AK11" s="25">
        <v>0</v>
      </c>
      <c r="AL11" s="25">
        <v>0</v>
      </c>
      <c r="AM11" s="25">
        <v>0</v>
      </c>
      <c r="AN11" s="25">
        <v>0</v>
      </c>
      <c r="AO11" s="25">
        <v>0</v>
      </c>
      <c r="AP11" s="25">
        <v>0</v>
      </c>
      <c r="AQ11" s="25">
        <v>0</v>
      </c>
      <c r="AR11" s="25">
        <v>0</v>
      </c>
      <c r="AS11" s="25">
        <v>0</v>
      </c>
      <c r="AT11" s="25">
        <v>0</v>
      </c>
      <c r="AU11" s="25">
        <v>0</v>
      </c>
      <c r="AV11" s="25">
        <v>0</v>
      </c>
      <c r="AW11" s="25">
        <v>0</v>
      </c>
      <c r="AX11" s="25">
        <v>0</v>
      </c>
      <c r="AY11" s="25">
        <v>0</v>
      </c>
      <c r="AZ11" s="25">
        <v>0</v>
      </c>
      <c r="BA11" s="25">
        <v>0</v>
      </c>
      <c r="BB11" s="25">
        <v>0</v>
      </c>
      <c r="BC11" s="25">
        <v>0</v>
      </c>
      <c r="BD11" s="25">
        <v>0</v>
      </c>
      <c r="BE11" s="25">
        <v>0</v>
      </c>
      <c r="BF11" s="25">
        <v>0</v>
      </c>
      <c r="BG11" s="25">
        <v>0</v>
      </c>
      <c r="BH11" s="25">
        <v>0</v>
      </c>
      <c r="BI11" s="25">
        <v>0</v>
      </c>
      <c r="BJ11" s="25">
        <v>0</v>
      </c>
      <c r="BK11" s="25">
        <v>0</v>
      </c>
      <c r="BL11" s="25">
        <v>17</v>
      </c>
      <c r="BM11" s="25">
        <v>0</v>
      </c>
      <c r="BN11" s="25">
        <v>0</v>
      </c>
      <c r="BO11" s="25">
        <v>0</v>
      </c>
      <c r="BP11" s="25">
        <v>0</v>
      </c>
      <c r="BQ11" s="25">
        <v>0</v>
      </c>
      <c r="BR11" s="25">
        <v>0</v>
      </c>
      <c r="BS11" s="25">
        <v>0</v>
      </c>
      <c r="BT11" s="25">
        <v>0</v>
      </c>
      <c r="BU11" s="25">
        <v>0</v>
      </c>
      <c r="BV11" s="25">
        <v>0</v>
      </c>
      <c r="BW11" s="25">
        <v>0</v>
      </c>
      <c r="BX11" s="25">
        <v>0</v>
      </c>
      <c r="BY11" s="25">
        <v>0</v>
      </c>
      <c r="BZ11" s="25">
        <v>0</v>
      </c>
      <c r="CA11" s="25">
        <v>0</v>
      </c>
      <c r="CB11" s="25">
        <v>0</v>
      </c>
      <c r="CC11" s="25">
        <v>0</v>
      </c>
      <c r="CD11" s="25">
        <v>0</v>
      </c>
      <c r="CE11" s="25">
        <v>0</v>
      </c>
      <c r="CF11" s="25">
        <v>0</v>
      </c>
      <c r="CG11" s="25">
        <v>0</v>
      </c>
      <c r="CH11" s="25">
        <v>0</v>
      </c>
      <c r="CI11" s="25">
        <v>0</v>
      </c>
      <c r="CJ11" s="25">
        <v>0</v>
      </c>
      <c r="CK11" s="25">
        <v>0</v>
      </c>
      <c r="CL11" s="25">
        <v>0</v>
      </c>
      <c r="CM11" s="25">
        <v>0</v>
      </c>
      <c r="CN11" s="25">
        <v>0</v>
      </c>
      <c r="CO11" s="25">
        <v>0</v>
      </c>
      <c r="CP11" s="25">
        <v>0</v>
      </c>
      <c r="CQ11" s="25">
        <v>0</v>
      </c>
      <c r="CR11" s="25">
        <v>0</v>
      </c>
      <c r="CS11" s="25">
        <v>0</v>
      </c>
      <c r="CT11" s="25">
        <v>0</v>
      </c>
      <c r="CU11" s="25">
        <v>0</v>
      </c>
      <c r="CV11" s="25">
        <v>0</v>
      </c>
      <c r="CW11" s="25">
        <v>0</v>
      </c>
      <c r="CX11" s="25">
        <v>0</v>
      </c>
      <c r="CY11" s="25">
        <v>0</v>
      </c>
      <c r="CZ11" s="25">
        <v>0</v>
      </c>
      <c r="DA11" s="25">
        <v>0</v>
      </c>
      <c r="DB11" s="25">
        <v>0</v>
      </c>
      <c r="DC11" s="25">
        <v>0</v>
      </c>
      <c r="DD11" s="25">
        <v>0</v>
      </c>
      <c r="DE11" s="25">
        <v>0</v>
      </c>
      <c r="DF11" s="25">
        <v>0</v>
      </c>
      <c r="DG11" s="25">
        <v>0</v>
      </c>
      <c r="DH11" s="25">
        <v>0</v>
      </c>
      <c r="DI11" s="25">
        <v>0</v>
      </c>
      <c r="DJ11" s="25">
        <v>0</v>
      </c>
      <c r="DK11" s="25">
        <v>0</v>
      </c>
      <c r="DL11" s="25">
        <v>0</v>
      </c>
      <c r="DM11" s="25">
        <v>0</v>
      </c>
      <c r="DN11" s="25">
        <v>0</v>
      </c>
      <c r="DO11" s="25">
        <v>0</v>
      </c>
      <c r="DP11" s="25">
        <v>0</v>
      </c>
      <c r="DQ11" s="25">
        <v>0</v>
      </c>
      <c r="DR11" s="25">
        <v>0</v>
      </c>
      <c r="DS11" s="25">
        <v>0</v>
      </c>
      <c r="DT11" s="25">
        <v>0</v>
      </c>
      <c r="DU11" s="25">
        <v>0</v>
      </c>
      <c r="DV11" s="25">
        <v>0</v>
      </c>
      <c r="DW11" s="25">
        <v>0</v>
      </c>
      <c r="DX11" s="25">
        <v>0</v>
      </c>
      <c r="DY11" s="25">
        <v>0</v>
      </c>
      <c r="DZ11" s="25">
        <v>0</v>
      </c>
      <c r="EA11" s="25">
        <v>0</v>
      </c>
      <c r="EB11" s="25">
        <v>0</v>
      </c>
      <c r="EC11" s="25">
        <v>0</v>
      </c>
      <c r="ED11" s="25">
        <v>0</v>
      </c>
      <c r="EE11" s="25">
        <v>0</v>
      </c>
      <c r="EF11" s="25">
        <v>0</v>
      </c>
      <c r="EG11" s="25">
        <v>0</v>
      </c>
      <c r="EH11" s="25">
        <v>0</v>
      </c>
      <c r="EI11" s="25">
        <v>0</v>
      </c>
      <c r="EJ11" s="25">
        <v>0</v>
      </c>
      <c r="EK11" s="25">
        <v>0</v>
      </c>
      <c r="EL11" s="25">
        <v>0</v>
      </c>
      <c r="EM11" s="25">
        <v>0</v>
      </c>
      <c r="EN11" s="25">
        <v>0</v>
      </c>
      <c r="EO11" s="25">
        <v>0</v>
      </c>
      <c r="EP11" s="25">
        <v>0</v>
      </c>
      <c r="EQ11" s="25">
        <v>0</v>
      </c>
      <c r="ER11" s="25">
        <v>0</v>
      </c>
      <c r="ES11" s="25">
        <v>0</v>
      </c>
      <c r="ET11" s="25">
        <v>0</v>
      </c>
      <c r="EU11" s="25">
        <v>0</v>
      </c>
      <c r="EV11" s="25">
        <v>0</v>
      </c>
      <c r="EW11" s="25">
        <v>0</v>
      </c>
      <c r="EX11" s="25">
        <v>0</v>
      </c>
      <c r="EY11" s="25">
        <v>0</v>
      </c>
      <c r="EZ11" s="25">
        <v>0</v>
      </c>
      <c r="FA11" s="25">
        <v>0</v>
      </c>
      <c r="FB11" s="25">
        <v>0</v>
      </c>
      <c r="FC11" s="25">
        <v>0</v>
      </c>
      <c r="FD11" s="25">
        <v>0</v>
      </c>
      <c r="FE11" s="25">
        <v>0</v>
      </c>
      <c r="FF11" s="25">
        <v>0</v>
      </c>
      <c r="FG11" s="25">
        <v>0</v>
      </c>
      <c r="FH11" s="25">
        <v>0</v>
      </c>
      <c r="FI11" s="25">
        <v>0</v>
      </c>
      <c r="FJ11" s="25">
        <v>0</v>
      </c>
      <c r="FK11" s="25">
        <v>0</v>
      </c>
      <c r="FL11" s="25">
        <v>0</v>
      </c>
      <c r="FM11" s="25">
        <v>0</v>
      </c>
      <c r="FN11" s="25">
        <v>0</v>
      </c>
      <c r="FO11" s="25">
        <v>0</v>
      </c>
      <c r="FP11" s="25">
        <v>0</v>
      </c>
      <c r="FQ11" s="25">
        <v>0</v>
      </c>
      <c r="FR11" s="25">
        <v>0</v>
      </c>
      <c r="FS11" s="25">
        <v>0</v>
      </c>
      <c r="FT11" s="25">
        <v>0</v>
      </c>
      <c r="FU11" s="25">
        <v>0</v>
      </c>
      <c r="FV11" s="25">
        <v>0</v>
      </c>
      <c r="FW11" s="25">
        <v>0</v>
      </c>
      <c r="FX11" s="25">
        <v>0</v>
      </c>
      <c r="FY11" s="25">
        <v>0</v>
      </c>
      <c r="FZ11" s="25">
        <v>0</v>
      </c>
      <c r="GA11" s="25">
        <v>0</v>
      </c>
      <c r="GB11" s="25">
        <v>0</v>
      </c>
      <c r="GC11" s="25">
        <v>0</v>
      </c>
      <c r="GD11" s="25">
        <v>0</v>
      </c>
      <c r="GE11" s="25">
        <v>0</v>
      </c>
      <c r="GF11" s="25">
        <v>0</v>
      </c>
      <c r="GG11" s="25">
        <v>0</v>
      </c>
      <c r="GH11" s="25">
        <v>0</v>
      </c>
      <c r="GI11" s="25">
        <v>0</v>
      </c>
      <c r="GJ11" s="25">
        <v>0</v>
      </c>
      <c r="GK11" s="25">
        <v>0</v>
      </c>
      <c r="GL11" s="25">
        <v>0</v>
      </c>
      <c r="GM11" s="25">
        <v>0</v>
      </c>
      <c r="GN11" s="25">
        <v>0</v>
      </c>
      <c r="GO11" s="25">
        <v>0</v>
      </c>
      <c r="GP11" s="25">
        <v>0</v>
      </c>
      <c r="GQ11" s="25">
        <v>0</v>
      </c>
      <c r="GR11" s="25">
        <v>0</v>
      </c>
      <c r="GS11" s="25">
        <v>0</v>
      </c>
      <c r="GT11" s="25">
        <v>0</v>
      </c>
      <c r="GU11" s="25">
        <v>0</v>
      </c>
      <c r="GV11" s="25">
        <v>0</v>
      </c>
      <c r="GW11" s="25">
        <v>0</v>
      </c>
      <c r="GX11" s="25">
        <v>0</v>
      </c>
      <c r="GY11" s="46">
        <v>0</v>
      </c>
      <c r="GZ11" s="25">
        <v>0</v>
      </c>
      <c r="HA11" s="25">
        <v>0</v>
      </c>
      <c r="HB11" s="25">
        <v>0</v>
      </c>
      <c r="HC11" s="25">
        <v>0</v>
      </c>
      <c r="HD11" s="25">
        <v>0</v>
      </c>
      <c r="HE11" s="25">
        <v>0</v>
      </c>
      <c r="HF11" s="25">
        <v>0</v>
      </c>
      <c r="HG11" s="25">
        <v>0</v>
      </c>
      <c r="HH11" s="25">
        <v>0</v>
      </c>
      <c r="HI11" s="25">
        <v>0</v>
      </c>
      <c r="HJ11" s="25">
        <v>0</v>
      </c>
      <c r="HK11" s="25">
        <v>0</v>
      </c>
      <c r="HL11" s="25">
        <v>0</v>
      </c>
      <c r="HM11" s="25">
        <v>0</v>
      </c>
      <c r="HN11" s="25">
        <v>0</v>
      </c>
      <c r="HO11" s="25">
        <v>0</v>
      </c>
      <c r="HP11" s="25">
        <v>0</v>
      </c>
      <c r="HQ11" s="25">
        <v>0</v>
      </c>
      <c r="HR11" s="25">
        <v>0</v>
      </c>
      <c r="HS11" s="25">
        <v>0</v>
      </c>
      <c r="HT11" s="25">
        <v>0</v>
      </c>
      <c r="HU11" s="25">
        <v>0</v>
      </c>
      <c r="HV11" s="25">
        <v>0</v>
      </c>
      <c r="HW11" s="25">
        <v>0</v>
      </c>
      <c r="HX11" s="25">
        <v>0</v>
      </c>
      <c r="HY11" s="25">
        <v>0</v>
      </c>
      <c r="HZ11" s="25">
        <v>0</v>
      </c>
      <c r="IA11" s="25">
        <v>0</v>
      </c>
      <c r="IB11" s="25">
        <v>0</v>
      </c>
      <c r="IC11" s="25">
        <v>0</v>
      </c>
      <c r="ID11" s="25">
        <v>0</v>
      </c>
      <c r="IE11" s="25">
        <v>0</v>
      </c>
      <c r="IF11" s="25">
        <v>0</v>
      </c>
      <c r="IG11" s="25">
        <v>0</v>
      </c>
      <c r="IH11" s="25">
        <v>0</v>
      </c>
      <c r="II11" s="25">
        <v>0</v>
      </c>
      <c r="IJ11" s="25">
        <v>0</v>
      </c>
      <c r="IK11" s="25">
        <v>0</v>
      </c>
      <c r="IL11" s="25">
        <v>0</v>
      </c>
      <c r="IM11" s="25">
        <v>0</v>
      </c>
      <c r="IN11" s="25">
        <v>0</v>
      </c>
      <c r="IO11" s="25">
        <v>0</v>
      </c>
      <c r="IP11" s="25">
        <v>0</v>
      </c>
      <c r="IQ11" s="25">
        <v>0</v>
      </c>
      <c r="IR11" s="25">
        <v>0</v>
      </c>
      <c r="IS11" s="25">
        <v>0</v>
      </c>
      <c r="IT11" s="25">
        <v>0</v>
      </c>
      <c r="IU11" s="25">
        <v>0</v>
      </c>
      <c r="IV11" s="25">
        <v>0</v>
      </c>
      <c r="IW11" s="25">
        <v>0</v>
      </c>
      <c r="IX11" s="25">
        <v>0</v>
      </c>
      <c r="IY11" s="25">
        <v>0</v>
      </c>
      <c r="IZ11" s="25">
        <v>0</v>
      </c>
      <c r="JA11" s="25">
        <v>0</v>
      </c>
      <c r="JB11" s="25">
        <v>0</v>
      </c>
      <c r="JC11" s="25">
        <v>0</v>
      </c>
      <c r="JD11" s="25">
        <v>0</v>
      </c>
      <c r="JE11" s="25">
        <v>0</v>
      </c>
      <c r="JF11" s="25">
        <v>0</v>
      </c>
      <c r="JG11" s="25">
        <v>0</v>
      </c>
      <c r="JH11" s="25">
        <v>0</v>
      </c>
      <c r="JI11" s="25">
        <v>0</v>
      </c>
      <c r="JJ11" s="25">
        <v>0</v>
      </c>
      <c r="JK11" s="25">
        <v>0</v>
      </c>
      <c r="JL11" s="25">
        <v>0</v>
      </c>
      <c r="JM11" s="25">
        <v>0</v>
      </c>
      <c r="JN11" s="25">
        <v>0</v>
      </c>
      <c r="JO11" s="25">
        <v>0</v>
      </c>
      <c r="JP11" s="25">
        <v>0</v>
      </c>
      <c r="JQ11" s="25">
        <v>0</v>
      </c>
      <c r="JR11" s="25">
        <v>0</v>
      </c>
      <c r="JS11" s="25">
        <v>0</v>
      </c>
      <c r="JT11" s="25">
        <v>0</v>
      </c>
      <c r="JU11" s="25">
        <v>0</v>
      </c>
      <c r="JV11" s="25">
        <v>0</v>
      </c>
      <c r="JW11" s="25">
        <v>0</v>
      </c>
      <c r="JX11" s="25">
        <v>0</v>
      </c>
      <c r="JY11" s="25">
        <v>0</v>
      </c>
      <c r="JZ11" s="25">
        <v>0</v>
      </c>
      <c r="KA11" s="25">
        <v>0</v>
      </c>
      <c r="KB11" s="25">
        <v>0</v>
      </c>
      <c r="KC11" s="25">
        <v>0</v>
      </c>
      <c r="KD11" s="25">
        <v>0</v>
      </c>
      <c r="KE11" s="25">
        <v>0</v>
      </c>
      <c r="KF11" s="25">
        <v>0</v>
      </c>
      <c r="KG11" s="25">
        <v>0</v>
      </c>
      <c r="KH11" s="25">
        <v>0</v>
      </c>
      <c r="KI11" s="25">
        <v>0</v>
      </c>
      <c r="KJ11" s="25">
        <v>0</v>
      </c>
      <c r="KK11" s="25">
        <v>0</v>
      </c>
      <c r="KL11" s="25">
        <v>0</v>
      </c>
      <c r="KM11" s="25">
        <v>0</v>
      </c>
      <c r="KN11" s="25">
        <v>0</v>
      </c>
      <c r="KO11" s="25">
        <v>0</v>
      </c>
      <c r="KP11" s="25">
        <v>0</v>
      </c>
      <c r="KQ11" s="25">
        <v>0</v>
      </c>
      <c r="KR11" s="25">
        <v>0</v>
      </c>
      <c r="KS11" s="25">
        <v>0</v>
      </c>
      <c r="KT11" s="25">
        <v>0</v>
      </c>
      <c r="KU11" s="25">
        <v>0</v>
      </c>
      <c r="KV11" s="25">
        <v>0</v>
      </c>
      <c r="KW11" s="25">
        <v>0</v>
      </c>
      <c r="KX11" s="25">
        <v>0</v>
      </c>
      <c r="KY11" s="25">
        <v>0</v>
      </c>
      <c r="KZ11" s="25">
        <v>0</v>
      </c>
      <c r="LA11" s="25">
        <v>0</v>
      </c>
      <c r="LB11" s="25">
        <v>0</v>
      </c>
      <c r="LC11" s="25">
        <v>0</v>
      </c>
      <c r="LD11" s="25">
        <v>0</v>
      </c>
      <c r="LE11" s="25">
        <v>0</v>
      </c>
      <c r="LF11" s="25">
        <v>0</v>
      </c>
      <c r="LG11" s="25">
        <v>0</v>
      </c>
      <c r="LH11" s="25">
        <v>0</v>
      </c>
      <c r="LI11" s="25">
        <v>0</v>
      </c>
      <c r="LJ11" s="25">
        <v>0</v>
      </c>
      <c r="LK11" s="25">
        <v>0</v>
      </c>
      <c r="LL11" s="25">
        <v>0</v>
      </c>
      <c r="LM11" s="25">
        <v>0</v>
      </c>
      <c r="LN11" s="278">
        <f ca="1">$A11 - DeathsTimeS!Sweden100dt + 1</f>
        <v>-56</v>
      </c>
      <c r="LO11" s="366">
        <f ca="1">INDEX(OFFSET(DeathsTimeS!HeadRow,ROW()-ROW(DeathsTimeS!HeadRow),0,1,COLUMNS(DeathsTimeS!HeadRow)),1,MATCH(LO$5,DeathsTimeS!HeadRow,0))/LO$8</f>
        <v>0</v>
      </c>
      <c r="LP11" s="278">
        <f ca="1">$A11 - DeathsTimeS!Spain100dt + 1</f>
        <v>-48</v>
      </c>
      <c r="LQ11" s="11">
        <f ca="1">INDEX(OFFSET(DeathsTimeS!HeadRow,ROW()-ROW(DeathsTimeS!HeadRow),0,1,COLUMNS(DeathsTimeS!HeadRow)),1,MATCH(LQ$5,DeathsTimeS!HeadRow,0))/LQ$8</f>
        <v>0</v>
      </c>
      <c r="LR11" s="278">
        <f ca="1">$A11 - DeathsTimeS!Victoria100dt + 1</f>
        <v>-71</v>
      </c>
      <c r="LS11" s="11">
        <f ca="1">INDEX(OFFSET(DeathsTimeS!HeadRow,ROW()-ROW(DeathsTimeS!HeadRow),0,1,COLUMNS(DeathsTimeS!HeadRow)),1,MATCH(LS$5,DeathsTimeS!HeadRow,0))/LS$8</f>
        <v>0</v>
      </c>
      <c r="LT11" s="278">
        <f ca="1">$A11 - DeathsTimeS!Iran100dt + 1</f>
        <v>-41</v>
      </c>
      <c r="LU11" s="11">
        <f ca="1">INDEX(OFFSET(DeathsTimeS!HeadRow,ROW()-ROW(DeathsTimeS!HeadRow),0,1,COLUMNS(DeathsTimeS!HeadRow)),1,MATCH(LU$5,DeathsTimeS!HeadRow,0))/LU$8</f>
        <v>0</v>
      </c>
      <c r="LV11" s="278">
        <f ca="1">$A11 - DeathsTimeS!Japan100dt + 1</f>
        <v>-82</v>
      </c>
      <c r="LW11" s="11">
        <f ca="1">INDEX(OFFSET(DeathsTimeS!HeadRow,ROW()-ROW(DeathsTimeS!HeadRow),0,1,COLUMNS(DeathsTimeS!HeadRow)),1,MATCH(LW$5,DeathsTimeS!HeadRow,0))/LW$8</f>
        <v>0</v>
      </c>
      <c r="LX11" s="278">
        <f ca="1">$A11 - DeathsTimeS!Queensland100dt + 1</f>
        <v>-86</v>
      </c>
      <c r="LY11" s="11">
        <f ca="1">INDEX(OFFSET(DeathsTimeS!HeadRow,ROW()-ROW(DeathsTimeS!HeadRow),0,1,COLUMNS(DeathsTimeS!HeadRow)),1,MATCH(LY$5,DeathsTimeS!HeadRow,0))/LY$8</f>
        <v>0</v>
      </c>
      <c r="LZ11" s="278">
        <f ca="1">$A11 - DeathsTimeS!Tasmania100dt + 1</f>
        <v>-68</v>
      </c>
      <c r="MA11" s="11">
        <f ca="1">INDEX(OFFSET(DeathsTimeS!HeadRow,ROW()-ROW(DeathsTimeS!HeadRow),0,1,COLUMNS(DeathsTimeS!HeadRow)),1,MATCH(MA$5,DeathsTimeS!HeadRow,0))/MA$8</f>
        <v>0</v>
      </c>
      <c r="MB11" s="278">
        <f ca="1">$A11 - DeathsTimeS!SouthAustralia100dt + 1</f>
        <v>-76</v>
      </c>
      <c r="MC11" s="11">
        <f ca="1">INDEX(OFFSET(DeathsTimeS!HeadRow,ROW()-ROW(DeathsTimeS!HeadRow),0,1,COLUMNS(DeathsTimeS!HeadRow)),1,MATCH(MC$5,DeathsTimeS!HeadRow,0))/MC$8</f>
        <v>0</v>
      </c>
      <c r="MD11" s="278">
        <f ca="1">$A11 - DeathsTimeS!WesternAustralia100dt + 1</f>
        <v>-73</v>
      </c>
      <c r="ME11" s="11">
        <f ca="1">INDEX(OFFSET(DeathsTimeS!HeadRow,ROW()-ROW(DeathsTimeS!HeadRow),0,1,COLUMNS(DeathsTimeS!HeadRow)),1,MATCH(ME$5,DeathsTimeS!HeadRow,0))/ME$8</f>
        <v>0</v>
      </c>
      <c r="MF11" s="278">
        <f ca="1">$A11 - DeathsTimeS!NewSouthWales100dt + 1</f>
        <v>-69</v>
      </c>
      <c r="MG11" s="11">
        <f ca="1">INDEX(OFFSET(DeathsTimeS!HeadRow,ROW()-ROW(DeathsTimeS!HeadRow),0,1,COLUMNS(DeathsTimeS!HeadRow)),1,MATCH(MG$5,DeathsTimeS!HeadRow,0))/MG$8</f>
        <v>0</v>
      </c>
      <c r="MH11" s="278">
        <f ca="1">$A11 - DeathsTimeS!NewYork100dt + 1</f>
        <v>-53</v>
      </c>
      <c r="MI11" s="11">
        <f ca="1">INDEX(OFFSET(DeathsTimeS!HeadRow,ROW()-ROW(DeathsTimeS!HeadRow),0,1,COLUMNS(DeathsTimeS!HeadRow)),1,MATCH(MI$5,DeathsTimeS!HeadRow,0))/MI$8</f>
        <v>0</v>
      </c>
      <c r="MJ11" s="278">
        <f ca="1">$A11 - DeathsTimeS!Italy100dt + 1</f>
        <v>-40</v>
      </c>
      <c r="MK11" s="11">
        <f ca="1">INDEX(OFFSET(DeathsTimeS!HeadRow,ROW()-ROW(DeathsTimeS!HeadRow),0,1,COLUMNS(DeathsTimeS!HeadRow)),1,MATCH(MK$5,DeathsTimeS!HeadRow,0))/MK$8</f>
        <v>0</v>
      </c>
      <c r="ML11" s="278">
        <f ca="1">$A11 - DeathsTimeS!AustralianCapitalTerritory100dt + 1</f>
        <v>-67</v>
      </c>
      <c r="MM11" s="11">
        <f ca="1">INDEX(OFFSET(DeathsTimeS!HeadRow,ROW()-ROW(DeathsTimeS!HeadRow),0,1,COLUMNS(DeathsTimeS!HeadRow)),1,MATCH(MM$5,DeathsTimeS!HeadRow,0))/MM$8</f>
        <v>0</v>
      </c>
      <c r="MN11" s="278">
        <f ca="1">IF(DeathsTimeS!NorthernTerritory100dt + 1&gt;0,$A11 - DeathsTimeS!NorthernTerritory100dt + 1,"")</f>
        <v>-95</v>
      </c>
      <c r="MO11" s="11">
        <f ca="1">INDEX(OFFSET(DeathsTimeS!HeadRow,ROW()-ROW(DeathsTimeS!HeadRow),0,1,COLUMNS(DeathsTimeS!HeadRow)),1,MATCH(MO$5,DeathsTimeS!HeadRow,0))/MO$8</f>
        <v>0</v>
      </c>
      <c r="MP11" s="278">
        <f ca="1">$A11 - DeathsTimeS!SouthAfrica100dt + 1</f>
        <v>-88</v>
      </c>
      <c r="MQ11" s="20">
        <f ca="1">INDEX(OFFSET(DeathsTimeS!HeadRow,ROW()-ROW(DeathsTimeS!HeadRow),0,1,COLUMNS(DeathsTimeS!HeadRow)),1,MATCH(MQ$5,DeathsTimeS!HeadRow,0))/MQ$8</f>
        <v>0</v>
      </c>
      <c r="MR11" s="278">
        <f ca="1">$A11 - DeathsTimeS!Germany100dt + 1</f>
        <v>-58</v>
      </c>
      <c r="MS11" s="20">
        <f ca="1">INDEX(OFFSET(DeathsTimeS!HeadRow,ROW()-ROW(DeathsTimeS!HeadRow),0,1,COLUMNS(DeathsTimeS!HeadRow)),1,MATCH(MS$5,DeathsTimeS!HeadRow,0))/MS$8</f>
        <v>0</v>
      </c>
      <c r="MT11" s="278">
        <f ca="1">$A11 - DeathsTimeS!Ireland100dt + 1</f>
        <v>-60</v>
      </c>
      <c r="MU11" s="73">
        <f ca="1">INDEX(OFFSET(DeathsTimeS!HeadRow,ROW()-ROW(DeathsTimeS!HeadRow),0,1,COLUMNS(DeathsTimeS!HeadRow)),1,MATCH(MU$5,DeathsTimeS!HeadRow,0))/MU$8</f>
        <v>0</v>
      </c>
      <c r="MV11" s="278">
        <f ca="1">$A11 - DeathsTimeS!UnitedKingdom100dt + 1</f>
        <v>-54</v>
      </c>
      <c r="MW11" s="73">
        <f ca="1">INDEX(OFFSET(DeathsTimeS!HeadRow,ROW()-ROW(DeathsTimeS!HeadRow),0,1,COLUMNS(DeathsTimeS!HeadRow)),1,MATCH(MW$5,DeathsTimeS!HeadRow,0))/MW$8</f>
        <v>0</v>
      </c>
      <c r="MX11" s="278">
        <f ca="1">$A11 - DeathsTimeS!Denmark100dt + 1</f>
        <v>-56</v>
      </c>
      <c r="MY11" s="73">
        <f ca="1">INDEX(OFFSET(DeathsTimeS!HeadRow,ROW()-ROW(DeathsTimeS!HeadRow),0,1,COLUMNS(DeathsTimeS!HeadRow)),1,MATCH(MY$5,DeathsTimeS!HeadRow,0))/MY$8</f>
        <v>0</v>
      </c>
      <c r="MZ11" s="278">
        <f ca="1">$A11 - DeathsTimeS!US100dt + 1</f>
        <v>-57</v>
      </c>
      <c r="NA11" s="73">
        <f ca="1">INDEX(OFFSET(DeathsTimeS!HeadRow,ROW()-ROW(DeathsTimeS!HeadRow),0,1,COLUMNS(DeathsTimeS!HeadRow)),1,MATCH(NA$5,DeathsTimeS!HeadRow,0))/NA$8</f>
        <v>0</v>
      </c>
      <c r="NB11" s="278">
        <f ca="1">$A11 - DeathsTimeS!AustraliaSum100dt + 1</f>
        <v>-63</v>
      </c>
      <c r="NC11" s="366">
        <f t="shared" ref="NC11:NC74" si="6">SUM($J11:$Q11)</f>
        <v>0</v>
      </c>
      <c r="ND11" s="278">
        <f ca="1">$A11 - DeathsTimeS!Taiwan100dt + 1</f>
        <v>-95</v>
      </c>
      <c r="NE11" s="366">
        <f ca="1">INDEX(OFFSET(DeathsTimeS!HeadRow,ROW()-ROW(DeathsTimeS!HeadRow),0,1,COLUMNS(DeathsTimeS!HeadRow)),1,MATCH(NE$5,DeathsTimeS!HeadRow,0))/NE$8</f>
        <v>0</v>
      </c>
      <c r="NF11" s="278">
        <f ca="1">$A11 - DeathsTimeS!Hubei100dt + 1</f>
        <v>-4</v>
      </c>
      <c r="NG11" s="366">
        <f ca="1">INDEX(OFFSET(DeathsTimeS!HeadRow,ROW()-ROW(DeathsTimeS!HeadRow),0,1,COLUMNS(DeathsTimeS!HeadRow)),1,MATCH(NG$5,DeathsTimeS!HeadRow,0))/NG$8</f>
        <v>2.9059829059829063</v>
      </c>
      <c r="NH11" s="278">
        <f ca="1">$A11 - DeathsTimeS!HongKong100dt + 1</f>
        <v>-95</v>
      </c>
      <c r="NI11" s="366">
        <f ca="1">INDEX(OFFSET(DeathsTimeS!HeadRow,ROW()-ROW(DeathsTimeS!HeadRow),0,1,COLUMNS(DeathsTimeS!HeadRow)),1,MATCH(NI$5,DeathsTimeS!HeadRow,0))/NI$8</f>
        <v>0</v>
      </c>
    </row>
    <row r="12" spans="1:373" x14ac:dyDescent="0.25">
      <c r="A12" s="156">
        <v>43853</v>
      </c>
      <c r="B12" s="25">
        <v>0</v>
      </c>
      <c r="C12" s="25">
        <v>0</v>
      </c>
      <c r="D12" s="25">
        <v>0</v>
      </c>
      <c r="E12" s="25">
        <v>0</v>
      </c>
      <c r="F12" s="25">
        <v>0</v>
      </c>
      <c r="G12" s="25">
        <v>0</v>
      </c>
      <c r="H12" s="25">
        <v>0</v>
      </c>
      <c r="I12" s="25">
        <v>0</v>
      </c>
      <c r="J12" s="25">
        <v>0</v>
      </c>
      <c r="K12" s="25">
        <v>0</v>
      </c>
      <c r="L12" s="25">
        <v>0</v>
      </c>
      <c r="M12" s="25">
        <v>0</v>
      </c>
      <c r="N12" s="25">
        <v>0</v>
      </c>
      <c r="O12" s="25">
        <v>0</v>
      </c>
      <c r="P12" s="25">
        <v>0</v>
      </c>
      <c r="Q12" s="25">
        <v>0</v>
      </c>
      <c r="R12" s="25">
        <v>0</v>
      </c>
      <c r="S12" s="25">
        <v>0</v>
      </c>
      <c r="T12" s="25">
        <v>0</v>
      </c>
      <c r="U12" s="25">
        <v>0</v>
      </c>
      <c r="V12" s="25">
        <v>0</v>
      </c>
      <c r="W12" s="25">
        <v>0</v>
      </c>
      <c r="X12" s="25">
        <v>0</v>
      </c>
      <c r="Y12" s="25">
        <v>0</v>
      </c>
      <c r="Z12" s="25">
        <v>0</v>
      </c>
      <c r="AA12" s="25">
        <v>0</v>
      </c>
      <c r="AB12" s="25">
        <v>0</v>
      </c>
      <c r="AC12" s="25">
        <v>0</v>
      </c>
      <c r="AD12" s="25">
        <v>0</v>
      </c>
      <c r="AE12" s="25">
        <v>0</v>
      </c>
      <c r="AF12" s="25">
        <v>0</v>
      </c>
      <c r="AG12" s="25">
        <v>0</v>
      </c>
      <c r="AH12" s="25">
        <v>0</v>
      </c>
      <c r="AI12" s="25">
        <v>0</v>
      </c>
      <c r="AJ12" s="25">
        <v>0</v>
      </c>
      <c r="AK12" s="25">
        <v>0</v>
      </c>
      <c r="AL12" s="25">
        <v>0</v>
      </c>
      <c r="AM12" s="25">
        <v>0</v>
      </c>
      <c r="AN12" s="25">
        <v>0</v>
      </c>
      <c r="AO12" s="25">
        <v>0</v>
      </c>
      <c r="AP12" s="25">
        <v>0</v>
      </c>
      <c r="AQ12" s="25">
        <v>0</v>
      </c>
      <c r="AR12" s="25">
        <v>0</v>
      </c>
      <c r="AS12" s="25">
        <v>0</v>
      </c>
      <c r="AT12" s="25">
        <v>0</v>
      </c>
      <c r="AU12" s="25">
        <v>0</v>
      </c>
      <c r="AV12" s="25">
        <v>0</v>
      </c>
      <c r="AW12" s="25">
        <v>0</v>
      </c>
      <c r="AX12" s="25">
        <v>0</v>
      </c>
      <c r="AY12" s="25">
        <v>0</v>
      </c>
      <c r="AZ12" s="25">
        <v>0</v>
      </c>
      <c r="BA12" s="25">
        <v>0</v>
      </c>
      <c r="BB12" s="25">
        <v>0</v>
      </c>
      <c r="BC12" s="25">
        <v>0</v>
      </c>
      <c r="BD12" s="25">
        <v>0</v>
      </c>
      <c r="BE12" s="25">
        <v>0</v>
      </c>
      <c r="BF12" s="25">
        <v>0</v>
      </c>
      <c r="BG12" s="25">
        <v>0</v>
      </c>
      <c r="BH12" s="25">
        <v>1</v>
      </c>
      <c r="BI12" s="25">
        <v>0</v>
      </c>
      <c r="BJ12" s="25">
        <v>0</v>
      </c>
      <c r="BK12" s="25">
        <v>0</v>
      </c>
      <c r="BL12" s="25">
        <v>17</v>
      </c>
      <c r="BM12" s="25">
        <v>0</v>
      </c>
      <c r="BN12" s="25">
        <v>0</v>
      </c>
      <c r="BO12" s="25">
        <v>0</v>
      </c>
      <c r="BP12" s="25">
        <v>0</v>
      </c>
      <c r="BQ12" s="25">
        <v>0</v>
      </c>
      <c r="BR12" s="25">
        <v>0</v>
      </c>
      <c r="BS12" s="25">
        <v>0</v>
      </c>
      <c r="BT12" s="25">
        <v>0</v>
      </c>
      <c r="BU12" s="25">
        <v>0</v>
      </c>
      <c r="BV12" s="25">
        <v>0</v>
      </c>
      <c r="BW12" s="25">
        <v>0</v>
      </c>
      <c r="BX12" s="25">
        <v>0</v>
      </c>
      <c r="BY12" s="25">
        <v>0</v>
      </c>
      <c r="BZ12" s="25">
        <v>0</v>
      </c>
      <c r="CA12" s="25">
        <v>0</v>
      </c>
      <c r="CB12" s="25">
        <v>0</v>
      </c>
      <c r="CC12" s="25">
        <v>0</v>
      </c>
      <c r="CD12" s="25">
        <v>0</v>
      </c>
      <c r="CE12" s="25">
        <v>0</v>
      </c>
      <c r="CF12" s="25">
        <v>0</v>
      </c>
      <c r="CG12" s="25">
        <v>0</v>
      </c>
      <c r="CH12" s="25">
        <v>0</v>
      </c>
      <c r="CI12" s="25">
        <v>0</v>
      </c>
      <c r="CJ12" s="25">
        <v>0</v>
      </c>
      <c r="CK12" s="25">
        <v>0</v>
      </c>
      <c r="CL12" s="25">
        <v>0</v>
      </c>
      <c r="CM12" s="25">
        <v>0</v>
      </c>
      <c r="CN12" s="25">
        <v>0</v>
      </c>
      <c r="CO12" s="25">
        <v>0</v>
      </c>
      <c r="CP12" s="25">
        <v>0</v>
      </c>
      <c r="CQ12" s="25">
        <v>0</v>
      </c>
      <c r="CR12" s="25">
        <v>0</v>
      </c>
      <c r="CS12" s="25">
        <v>0</v>
      </c>
      <c r="CT12" s="25">
        <v>0</v>
      </c>
      <c r="CU12" s="25">
        <v>0</v>
      </c>
      <c r="CV12" s="25">
        <v>0</v>
      </c>
      <c r="CW12" s="25">
        <v>0</v>
      </c>
      <c r="CX12" s="25">
        <v>0</v>
      </c>
      <c r="CY12" s="25">
        <v>0</v>
      </c>
      <c r="CZ12" s="25">
        <v>0</v>
      </c>
      <c r="DA12" s="25">
        <v>0</v>
      </c>
      <c r="DB12" s="25">
        <v>0</v>
      </c>
      <c r="DC12" s="25">
        <v>0</v>
      </c>
      <c r="DD12" s="25">
        <v>0</v>
      </c>
      <c r="DE12" s="25">
        <v>0</v>
      </c>
      <c r="DF12" s="25">
        <v>0</v>
      </c>
      <c r="DG12" s="25">
        <v>0</v>
      </c>
      <c r="DH12" s="25">
        <v>0</v>
      </c>
      <c r="DI12" s="25">
        <v>0</v>
      </c>
      <c r="DJ12" s="25">
        <v>0</v>
      </c>
      <c r="DK12" s="25">
        <v>0</v>
      </c>
      <c r="DL12" s="25">
        <v>0</v>
      </c>
      <c r="DM12" s="25">
        <v>0</v>
      </c>
      <c r="DN12" s="25">
        <v>0</v>
      </c>
      <c r="DO12" s="25">
        <v>0</v>
      </c>
      <c r="DP12" s="25">
        <v>0</v>
      </c>
      <c r="DQ12" s="25">
        <v>0</v>
      </c>
      <c r="DR12" s="25">
        <v>0</v>
      </c>
      <c r="DS12" s="25">
        <v>0</v>
      </c>
      <c r="DT12" s="25">
        <v>0</v>
      </c>
      <c r="DU12" s="25">
        <v>0</v>
      </c>
      <c r="DV12" s="25">
        <v>0</v>
      </c>
      <c r="DW12" s="25">
        <v>0</v>
      </c>
      <c r="DX12" s="25">
        <v>0</v>
      </c>
      <c r="DY12" s="25">
        <v>0</v>
      </c>
      <c r="DZ12" s="25">
        <v>0</v>
      </c>
      <c r="EA12" s="25">
        <v>0</v>
      </c>
      <c r="EB12" s="25">
        <v>0</v>
      </c>
      <c r="EC12" s="25">
        <v>0</v>
      </c>
      <c r="ED12" s="25">
        <v>0</v>
      </c>
      <c r="EE12" s="25">
        <v>0</v>
      </c>
      <c r="EF12" s="25">
        <v>0</v>
      </c>
      <c r="EG12" s="25">
        <v>0</v>
      </c>
      <c r="EH12" s="25">
        <v>0</v>
      </c>
      <c r="EI12" s="25">
        <v>0</v>
      </c>
      <c r="EJ12" s="25">
        <v>0</v>
      </c>
      <c r="EK12" s="25">
        <v>0</v>
      </c>
      <c r="EL12" s="25">
        <v>0</v>
      </c>
      <c r="EM12" s="25">
        <v>0</v>
      </c>
      <c r="EN12" s="25">
        <v>0</v>
      </c>
      <c r="EO12" s="25">
        <v>0</v>
      </c>
      <c r="EP12" s="25">
        <v>0</v>
      </c>
      <c r="EQ12" s="25">
        <v>0</v>
      </c>
      <c r="ER12" s="25">
        <v>0</v>
      </c>
      <c r="ES12" s="25">
        <v>0</v>
      </c>
      <c r="ET12" s="25">
        <v>0</v>
      </c>
      <c r="EU12" s="25">
        <v>0</v>
      </c>
      <c r="EV12" s="25">
        <v>0</v>
      </c>
      <c r="EW12" s="25">
        <v>0</v>
      </c>
      <c r="EX12" s="25">
        <v>0</v>
      </c>
      <c r="EY12" s="25">
        <v>0</v>
      </c>
      <c r="EZ12" s="25">
        <v>0</v>
      </c>
      <c r="FA12" s="25">
        <v>0</v>
      </c>
      <c r="FB12" s="25">
        <v>0</v>
      </c>
      <c r="FC12" s="25">
        <v>0</v>
      </c>
      <c r="FD12" s="25">
        <v>0</v>
      </c>
      <c r="FE12" s="25">
        <v>0</v>
      </c>
      <c r="FF12" s="25">
        <v>0</v>
      </c>
      <c r="FG12" s="25">
        <v>0</v>
      </c>
      <c r="FH12" s="25">
        <v>0</v>
      </c>
      <c r="FI12" s="25">
        <v>0</v>
      </c>
      <c r="FJ12" s="25">
        <v>0</v>
      </c>
      <c r="FK12" s="25">
        <v>0</v>
      </c>
      <c r="FL12" s="25">
        <v>0</v>
      </c>
      <c r="FM12" s="25">
        <v>0</v>
      </c>
      <c r="FN12" s="25">
        <v>0</v>
      </c>
      <c r="FO12" s="25">
        <v>0</v>
      </c>
      <c r="FP12" s="25">
        <v>0</v>
      </c>
      <c r="FQ12" s="25">
        <v>0</v>
      </c>
      <c r="FR12" s="25">
        <v>0</v>
      </c>
      <c r="FS12" s="25">
        <v>0</v>
      </c>
      <c r="FT12" s="25">
        <v>0</v>
      </c>
      <c r="FU12" s="25">
        <v>0</v>
      </c>
      <c r="FV12" s="25">
        <v>0</v>
      </c>
      <c r="FW12" s="25">
        <v>0</v>
      </c>
      <c r="FX12" s="25">
        <v>0</v>
      </c>
      <c r="FY12" s="25">
        <v>0</v>
      </c>
      <c r="FZ12" s="25">
        <v>0</v>
      </c>
      <c r="GA12" s="25">
        <v>0</v>
      </c>
      <c r="GB12" s="25">
        <v>0</v>
      </c>
      <c r="GC12" s="25">
        <v>0</v>
      </c>
      <c r="GD12" s="25">
        <v>0</v>
      </c>
      <c r="GE12" s="25">
        <v>0</v>
      </c>
      <c r="GF12" s="25">
        <v>0</v>
      </c>
      <c r="GG12" s="25">
        <v>0</v>
      </c>
      <c r="GH12" s="25">
        <v>0</v>
      </c>
      <c r="GI12" s="25">
        <v>0</v>
      </c>
      <c r="GJ12" s="25">
        <v>0</v>
      </c>
      <c r="GK12" s="25">
        <v>0</v>
      </c>
      <c r="GL12" s="25">
        <v>0</v>
      </c>
      <c r="GM12" s="25">
        <v>0</v>
      </c>
      <c r="GN12" s="25">
        <v>0</v>
      </c>
      <c r="GO12" s="25">
        <v>0</v>
      </c>
      <c r="GP12" s="25">
        <v>0</v>
      </c>
      <c r="GQ12" s="25">
        <v>0</v>
      </c>
      <c r="GR12" s="25">
        <v>0</v>
      </c>
      <c r="GS12" s="25">
        <v>0</v>
      </c>
      <c r="GT12" s="25">
        <v>0</v>
      </c>
      <c r="GU12" s="25">
        <v>0</v>
      </c>
      <c r="GV12" s="25">
        <v>0</v>
      </c>
      <c r="GW12" s="25">
        <v>0</v>
      </c>
      <c r="GX12" s="25">
        <v>0</v>
      </c>
      <c r="GY12" s="46">
        <v>0</v>
      </c>
      <c r="GZ12" s="25">
        <v>0</v>
      </c>
      <c r="HA12" s="25">
        <v>0</v>
      </c>
      <c r="HB12" s="25">
        <v>0</v>
      </c>
      <c r="HC12" s="25">
        <v>0</v>
      </c>
      <c r="HD12" s="25">
        <v>0</v>
      </c>
      <c r="HE12" s="25">
        <v>0</v>
      </c>
      <c r="HF12" s="25">
        <v>0</v>
      </c>
      <c r="HG12" s="25">
        <v>0</v>
      </c>
      <c r="HH12" s="25">
        <v>0</v>
      </c>
      <c r="HI12" s="25">
        <v>0</v>
      </c>
      <c r="HJ12" s="25">
        <v>0</v>
      </c>
      <c r="HK12" s="25">
        <v>0</v>
      </c>
      <c r="HL12" s="25">
        <v>0</v>
      </c>
      <c r="HM12" s="25">
        <v>0</v>
      </c>
      <c r="HN12" s="25">
        <v>0</v>
      </c>
      <c r="HO12" s="25">
        <v>0</v>
      </c>
      <c r="HP12" s="25">
        <v>0</v>
      </c>
      <c r="HQ12" s="25">
        <v>0</v>
      </c>
      <c r="HR12" s="25">
        <v>0</v>
      </c>
      <c r="HS12" s="25">
        <v>0</v>
      </c>
      <c r="HT12" s="25">
        <v>0</v>
      </c>
      <c r="HU12" s="25">
        <v>0</v>
      </c>
      <c r="HV12" s="25">
        <v>0</v>
      </c>
      <c r="HW12" s="25">
        <v>0</v>
      </c>
      <c r="HX12" s="25">
        <v>0</v>
      </c>
      <c r="HY12" s="25">
        <v>0</v>
      </c>
      <c r="HZ12" s="25">
        <v>0</v>
      </c>
      <c r="IA12" s="25">
        <v>0</v>
      </c>
      <c r="IB12" s="25">
        <v>0</v>
      </c>
      <c r="IC12" s="25">
        <v>0</v>
      </c>
      <c r="ID12" s="25">
        <v>0</v>
      </c>
      <c r="IE12" s="25">
        <v>0</v>
      </c>
      <c r="IF12" s="25">
        <v>0</v>
      </c>
      <c r="IG12" s="25">
        <v>0</v>
      </c>
      <c r="IH12" s="25">
        <v>0</v>
      </c>
      <c r="II12" s="25">
        <v>0</v>
      </c>
      <c r="IJ12" s="25">
        <v>0</v>
      </c>
      <c r="IK12" s="25">
        <v>0</v>
      </c>
      <c r="IL12" s="25">
        <v>0</v>
      </c>
      <c r="IM12" s="25">
        <v>0</v>
      </c>
      <c r="IN12" s="25">
        <v>0</v>
      </c>
      <c r="IO12" s="25">
        <v>0</v>
      </c>
      <c r="IP12" s="25">
        <v>0</v>
      </c>
      <c r="IQ12" s="25">
        <v>0</v>
      </c>
      <c r="IR12" s="25">
        <v>0</v>
      </c>
      <c r="IS12" s="25">
        <v>0</v>
      </c>
      <c r="IT12" s="25">
        <v>0</v>
      </c>
      <c r="IU12" s="25">
        <v>0</v>
      </c>
      <c r="IV12" s="25">
        <v>0</v>
      </c>
      <c r="IW12" s="25">
        <v>0</v>
      </c>
      <c r="IX12" s="25">
        <v>0</v>
      </c>
      <c r="IY12" s="25">
        <v>0</v>
      </c>
      <c r="IZ12" s="25">
        <v>0</v>
      </c>
      <c r="JA12" s="25">
        <v>0</v>
      </c>
      <c r="JB12" s="25">
        <v>0</v>
      </c>
      <c r="JC12" s="25">
        <v>0</v>
      </c>
      <c r="JD12" s="25">
        <v>0</v>
      </c>
      <c r="JE12" s="25">
        <v>0</v>
      </c>
      <c r="JF12" s="25">
        <v>0</v>
      </c>
      <c r="JG12" s="25">
        <v>0</v>
      </c>
      <c r="JH12" s="25">
        <v>0</v>
      </c>
      <c r="JI12" s="25">
        <v>0</v>
      </c>
      <c r="JJ12" s="25">
        <v>0</v>
      </c>
      <c r="JK12" s="25">
        <v>0</v>
      </c>
      <c r="JL12" s="25">
        <v>0</v>
      </c>
      <c r="JM12" s="25">
        <v>0</v>
      </c>
      <c r="JN12" s="25">
        <v>0</v>
      </c>
      <c r="JO12" s="25">
        <v>0</v>
      </c>
      <c r="JP12" s="25">
        <v>0</v>
      </c>
      <c r="JQ12" s="25">
        <v>0</v>
      </c>
      <c r="JR12" s="25">
        <v>0</v>
      </c>
      <c r="JS12" s="25">
        <v>0</v>
      </c>
      <c r="JT12" s="25">
        <v>0</v>
      </c>
      <c r="JU12" s="25">
        <v>0</v>
      </c>
      <c r="JV12" s="25">
        <v>0</v>
      </c>
      <c r="JW12" s="25">
        <v>0</v>
      </c>
      <c r="JX12" s="25">
        <v>0</v>
      </c>
      <c r="JY12" s="25">
        <v>0</v>
      </c>
      <c r="JZ12" s="25">
        <v>0</v>
      </c>
      <c r="KA12" s="25">
        <v>0</v>
      </c>
      <c r="KB12" s="25">
        <v>0</v>
      </c>
      <c r="KC12" s="25">
        <v>0</v>
      </c>
      <c r="KD12" s="25">
        <v>0</v>
      </c>
      <c r="KE12" s="25">
        <v>0</v>
      </c>
      <c r="KF12" s="25">
        <v>0</v>
      </c>
      <c r="KG12" s="25">
        <v>0</v>
      </c>
      <c r="KH12" s="25">
        <v>0</v>
      </c>
      <c r="KI12" s="25">
        <v>0</v>
      </c>
      <c r="KJ12" s="25">
        <v>0</v>
      </c>
      <c r="KK12" s="25">
        <v>0</v>
      </c>
      <c r="KL12" s="25">
        <v>0</v>
      </c>
      <c r="KM12" s="25">
        <v>0</v>
      </c>
      <c r="KN12" s="25">
        <v>0</v>
      </c>
      <c r="KO12" s="25">
        <v>0</v>
      </c>
      <c r="KP12" s="25">
        <v>0</v>
      </c>
      <c r="KQ12" s="25">
        <v>0</v>
      </c>
      <c r="KR12" s="25">
        <v>0</v>
      </c>
      <c r="KS12" s="25">
        <v>0</v>
      </c>
      <c r="KT12" s="25">
        <v>0</v>
      </c>
      <c r="KU12" s="25">
        <v>0</v>
      </c>
      <c r="KV12" s="25">
        <v>0</v>
      </c>
      <c r="KW12" s="25">
        <v>0</v>
      </c>
      <c r="KX12" s="25">
        <v>0</v>
      </c>
      <c r="KY12" s="25">
        <v>0</v>
      </c>
      <c r="KZ12" s="25">
        <v>0</v>
      </c>
      <c r="LA12" s="25">
        <v>0</v>
      </c>
      <c r="LB12" s="25">
        <v>0</v>
      </c>
      <c r="LC12" s="25">
        <v>0</v>
      </c>
      <c r="LD12" s="25">
        <v>0</v>
      </c>
      <c r="LE12" s="25">
        <v>0</v>
      </c>
      <c r="LF12" s="25">
        <v>0</v>
      </c>
      <c r="LG12" s="25">
        <v>0</v>
      </c>
      <c r="LH12" s="25">
        <v>0</v>
      </c>
      <c r="LI12" s="25">
        <v>0</v>
      </c>
      <c r="LJ12" s="25">
        <v>0</v>
      </c>
      <c r="LK12" s="25">
        <v>0</v>
      </c>
      <c r="LL12" s="25">
        <v>0</v>
      </c>
      <c r="LM12" s="25">
        <v>0</v>
      </c>
      <c r="LN12" s="278">
        <f ca="1">$A12 - DeathsTimeS!Sweden100dt + 1</f>
        <v>-55</v>
      </c>
      <c r="LO12" s="366">
        <f ca="1">INDEX(OFFSET(DeathsTimeS!HeadRow,ROW()-ROW(DeathsTimeS!HeadRow),0,1,COLUMNS(DeathsTimeS!HeadRow)),1,MATCH(LO$5,DeathsTimeS!HeadRow,0))/LO$8</f>
        <v>0</v>
      </c>
      <c r="LP12" s="278">
        <f ca="1">$A12 - DeathsTimeS!Spain100dt</f>
        <v>-48</v>
      </c>
      <c r="LQ12" s="11">
        <f ca="1">INDEX(OFFSET(DeathsTimeS!HeadRow,ROW()-ROW(DeathsTimeS!HeadRow),0,1,COLUMNS(DeathsTimeS!HeadRow)),1,MATCH(LQ$5,DeathsTimeS!HeadRow,0))/LQ$8</f>
        <v>0</v>
      </c>
      <c r="LR12" s="278">
        <f ca="1">$A12 - DeathsTimeS!Victoria100dt</f>
        <v>-71</v>
      </c>
      <c r="LS12" s="11">
        <f ca="1">INDEX(OFFSET(DeathsTimeS!HeadRow,ROW()-ROW(DeathsTimeS!HeadRow),0,1,COLUMNS(DeathsTimeS!HeadRow)),1,MATCH(LS$5,DeathsTimeS!HeadRow,0))/LS$8</f>
        <v>0</v>
      </c>
      <c r="LT12" s="278">
        <f ca="1">$A12 - DeathsTimeS!Iran100dt</f>
        <v>-41</v>
      </c>
      <c r="LU12" s="11">
        <f ca="1">INDEX(OFFSET(DeathsTimeS!HeadRow,ROW()-ROW(DeathsTimeS!HeadRow),0,1,COLUMNS(DeathsTimeS!HeadRow)),1,MATCH(LU$5,DeathsTimeS!HeadRow,0))/LU$8</f>
        <v>0</v>
      </c>
      <c r="LV12" s="278">
        <f ca="1">$A12 - DeathsTimeS!Japan100dt</f>
        <v>-82</v>
      </c>
      <c r="LW12" s="11">
        <f ca="1">INDEX(OFFSET(DeathsTimeS!HeadRow,ROW()-ROW(DeathsTimeS!HeadRow),0,1,COLUMNS(DeathsTimeS!HeadRow)),1,MATCH(LW$5,DeathsTimeS!HeadRow,0))/LW$8</f>
        <v>0</v>
      </c>
      <c r="LX12" s="278">
        <f ca="1">$A12 - DeathsTimeS!Queensland100dt</f>
        <v>-86</v>
      </c>
      <c r="LY12" s="11">
        <f ca="1">INDEX(OFFSET(DeathsTimeS!HeadRow,ROW()-ROW(DeathsTimeS!HeadRow),0,1,COLUMNS(DeathsTimeS!HeadRow)),1,MATCH(LY$5,DeathsTimeS!HeadRow,0))/LY$8</f>
        <v>0</v>
      </c>
      <c r="LZ12" s="278">
        <f ca="1">$A12 - DeathsTimeS!Tasmania100dt</f>
        <v>-68</v>
      </c>
      <c r="MA12" s="11">
        <f ca="1">INDEX(OFFSET(DeathsTimeS!HeadRow,ROW()-ROW(DeathsTimeS!HeadRow),0,1,COLUMNS(DeathsTimeS!HeadRow)),1,MATCH(MA$5,DeathsTimeS!HeadRow,0))/MA$8</f>
        <v>0</v>
      </c>
      <c r="MB12" s="278">
        <f ca="1">$A12 - DeathsTimeS!SouthAustralia100dt</f>
        <v>-76</v>
      </c>
      <c r="MC12" s="11">
        <f ca="1">INDEX(OFFSET(DeathsTimeS!HeadRow,ROW()-ROW(DeathsTimeS!HeadRow),0,1,COLUMNS(DeathsTimeS!HeadRow)),1,MATCH(MC$5,DeathsTimeS!HeadRow,0))/MC$8</f>
        <v>0</v>
      </c>
      <c r="MD12" s="278">
        <f ca="1">$A12 - DeathsTimeS!WesternAustralia100dt</f>
        <v>-73</v>
      </c>
      <c r="ME12" s="11">
        <f ca="1">INDEX(OFFSET(DeathsTimeS!HeadRow,ROW()-ROW(DeathsTimeS!HeadRow),0,1,COLUMNS(DeathsTimeS!HeadRow)),1,MATCH(ME$5,DeathsTimeS!HeadRow,0))/ME$8</f>
        <v>0</v>
      </c>
      <c r="MF12" s="278">
        <f ca="1">$A12 - DeathsTimeS!NewSouthWales100dt</f>
        <v>-69</v>
      </c>
      <c r="MG12" s="11">
        <f ca="1">INDEX(OFFSET(DeathsTimeS!HeadRow,ROW()-ROW(DeathsTimeS!HeadRow),0,1,COLUMNS(DeathsTimeS!HeadRow)),1,MATCH(MG$5,DeathsTimeS!HeadRow,0))/MG$8</f>
        <v>0</v>
      </c>
      <c r="MH12" s="278">
        <f ca="1">$A12 - DeathsTimeS!NewYork100dt</f>
        <v>-53</v>
      </c>
      <c r="MI12" s="11">
        <f ca="1">INDEX(OFFSET(DeathsTimeS!HeadRow,ROW()-ROW(DeathsTimeS!HeadRow),0,1,COLUMNS(DeathsTimeS!HeadRow)),1,MATCH(MI$5,DeathsTimeS!HeadRow,0))/MI$8</f>
        <v>0</v>
      </c>
      <c r="MJ12" s="278">
        <f ca="1">$A12 - DeathsTimeS!Italy100dt</f>
        <v>-40</v>
      </c>
      <c r="MK12" s="11">
        <f ca="1">INDEX(OFFSET(DeathsTimeS!HeadRow,ROW()-ROW(DeathsTimeS!HeadRow),0,1,COLUMNS(DeathsTimeS!HeadRow)),1,MATCH(MK$5,DeathsTimeS!HeadRow,0))/MK$8</f>
        <v>0</v>
      </c>
      <c r="ML12" s="278">
        <f ca="1">$A12 - DeathsTimeS!AustralianCapitalTerritory100dt</f>
        <v>-67</v>
      </c>
      <c r="MM12" s="11">
        <f ca="1">INDEX(OFFSET(DeathsTimeS!HeadRow,ROW()-ROW(DeathsTimeS!HeadRow),0,1,COLUMNS(DeathsTimeS!HeadRow)),1,MATCH(MM$5,DeathsTimeS!HeadRow,0))/MM$8</f>
        <v>0</v>
      </c>
      <c r="MN12" s="278">
        <f ca="1">IF(DeathsTimeS!NorthernTerritory100dt&gt;0,$A12 - DeathsTimeS!NorthernTerritory100dt,"")</f>
        <v>-95</v>
      </c>
      <c r="MO12" s="11">
        <f ca="1">INDEX(OFFSET(DeathsTimeS!HeadRow,ROW()-ROW(DeathsTimeS!HeadRow),0,1,COLUMNS(DeathsTimeS!HeadRow)),1,MATCH(MO$5,DeathsTimeS!HeadRow,0))/MO$8</f>
        <v>0</v>
      </c>
      <c r="MP12" s="278">
        <f ca="1">$A12 - DeathsTimeS!SouthAfrica100dt + 1</f>
        <v>-87</v>
      </c>
      <c r="MQ12" s="20">
        <f ca="1">INDEX(OFFSET(DeathsTimeS!HeadRow,ROW()-ROW(DeathsTimeS!HeadRow),0,1,COLUMNS(DeathsTimeS!HeadRow)),1,MATCH(MQ$5,DeathsTimeS!HeadRow,0))/MQ$8</f>
        <v>0</v>
      </c>
      <c r="MR12" s="278">
        <f ca="1">$A12 - DeathsTimeS!Germany100dt + 1</f>
        <v>-57</v>
      </c>
      <c r="MS12" s="20">
        <f ca="1">INDEX(OFFSET(DeathsTimeS!HeadRow,ROW()-ROW(DeathsTimeS!HeadRow),0,1,COLUMNS(DeathsTimeS!HeadRow)),1,MATCH(MS$5,DeathsTimeS!HeadRow,0))/MS$8</f>
        <v>0</v>
      </c>
      <c r="MT12" s="278">
        <f ca="1">$A12 - DeathsTimeS!Ireland100dt + 1</f>
        <v>-59</v>
      </c>
      <c r="MU12" s="73">
        <f ca="1">INDEX(OFFSET(DeathsTimeS!HeadRow,ROW()-ROW(DeathsTimeS!HeadRow),0,1,COLUMNS(DeathsTimeS!HeadRow)),1,MATCH(MU$5,DeathsTimeS!HeadRow,0))/MU$8</f>
        <v>0</v>
      </c>
      <c r="MV12" s="278">
        <f ca="1">$A12 - DeathsTimeS!UnitedKingdom100dt + 1</f>
        <v>-53</v>
      </c>
      <c r="MW12" s="73">
        <f ca="1">INDEX(OFFSET(DeathsTimeS!HeadRow,ROW()-ROW(DeathsTimeS!HeadRow),0,1,COLUMNS(DeathsTimeS!HeadRow)),1,MATCH(MW$5,DeathsTimeS!HeadRow,0))/MW$8</f>
        <v>0</v>
      </c>
      <c r="MX12" s="278">
        <f ca="1">$A12 - DeathsTimeS!Denmark100dt + 1</f>
        <v>-55</v>
      </c>
      <c r="MY12" s="73">
        <f ca="1">INDEX(OFFSET(DeathsTimeS!HeadRow,ROW()-ROW(DeathsTimeS!HeadRow),0,1,COLUMNS(DeathsTimeS!HeadRow)),1,MATCH(MY$5,DeathsTimeS!HeadRow,0))/MY$8</f>
        <v>0</v>
      </c>
      <c r="MZ12" s="278">
        <f ca="1">$A12 - DeathsTimeS!US100dt + 1</f>
        <v>-56</v>
      </c>
      <c r="NA12" s="73">
        <f ca="1">INDEX(OFFSET(DeathsTimeS!HeadRow,ROW()-ROW(DeathsTimeS!HeadRow),0,1,COLUMNS(DeathsTimeS!HeadRow)),1,MATCH(NA$5,DeathsTimeS!HeadRow,0))/NA$8</f>
        <v>0</v>
      </c>
      <c r="NB12" s="278">
        <f ca="1">$A12 - DeathsTimeS!AustraliaSum100dt + 1</f>
        <v>-62</v>
      </c>
      <c r="NC12" s="366">
        <f t="shared" si="6"/>
        <v>0</v>
      </c>
      <c r="ND12" s="278">
        <f ca="1">$A12 - DeathsTimeS!Taiwan100dt + 1</f>
        <v>-94</v>
      </c>
      <c r="NE12" s="366">
        <f ca="1">INDEX(OFFSET(DeathsTimeS!HeadRow,ROW()-ROW(DeathsTimeS!HeadRow),0,1,COLUMNS(DeathsTimeS!HeadRow)),1,MATCH(NE$5,DeathsTimeS!HeadRow,0))/NE$8</f>
        <v>0</v>
      </c>
      <c r="NF12" s="278">
        <f ca="1">$A12 - DeathsTimeS!Hubei100dt + 1</f>
        <v>-3</v>
      </c>
      <c r="NG12" s="366">
        <f ca="1">INDEX(OFFSET(DeathsTimeS!HeadRow,ROW()-ROW(DeathsTimeS!HeadRow),0,1,COLUMNS(DeathsTimeS!HeadRow)),1,MATCH(NG$5,DeathsTimeS!HeadRow,0))/NG$8</f>
        <v>2.9059829059829063</v>
      </c>
      <c r="NH12" s="278">
        <f ca="1">$A12 - DeathsTimeS!HongKong100dt + 1</f>
        <v>-94</v>
      </c>
      <c r="NI12" s="366">
        <f ca="1">INDEX(OFFSET(DeathsTimeS!HeadRow,ROW()-ROW(DeathsTimeS!HeadRow),0,1,COLUMNS(DeathsTimeS!HeadRow)),1,MATCH(NI$5,DeathsTimeS!HeadRow,0))/NI$8</f>
        <v>0</v>
      </c>
    </row>
    <row r="13" spans="1:373" x14ac:dyDescent="0.25">
      <c r="A13" s="156">
        <v>43854</v>
      </c>
      <c r="B13" s="25">
        <v>0</v>
      </c>
      <c r="C13" s="25">
        <v>0</v>
      </c>
      <c r="D13" s="25">
        <v>0</v>
      </c>
      <c r="E13" s="25">
        <v>0</v>
      </c>
      <c r="F13" s="25">
        <v>0</v>
      </c>
      <c r="G13" s="25">
        <v>0</v>
      </c>
      <c r="H13" s="25">
        <v>0</v>
      </c>
      <c r="I13" s="25">
        <v>0</v>
      </c>
      <c r="J13" s="25">
        <v>0</v>
      </c>
      <c r="K13" s="25">
        <v>0</v>
      </c>
      <c r="L13" s="25">
        <v>0</v>
      </c>
      <c r="M13" s="25">
        <v>0</v>
      </c>
      <c r="N13" s="25">
        <v>0</v>
      </c>
      <c r="O13" s="25">
        <v>0</v>
      </c>
      <c r="P13" s="25">
        <v>0</v>
      </c>
      <c r="Q13" s="25">
        <v>0</v>
      </c>
      <c r="R13" s="25">
        <v>0</v>
      </c>
      <c r="S13" s="25">
        <v>0</v>
      </c>
      <c r="T13" s="25">
        <v>0</v>
      </c>
      <c r="U13" s="25">
        <v>0</v>
      </c>
      <c r="V13" s="25">
        <v>0</v>
      </c>
      <c r="W13" s="25">
        <v>0</v>
      </c>
      <c r="X13" s="25">
        <v>0</v>
      </c>
      <c r="Y13" s="25">
        <v>0</v>
      </c>
      <c r="Z13" s="25">
        <v>0</v>
      </c>
      <c r="AA13" s="25">
        <v>0</v>
      </c>
      <c r="AB13" s="25">
        <v>0</v>
      </c>
      <c r="AC13" s="25">
        <v>0</v>
      </c>
      <c r="AD13" s="25">
        <v>0</v>
      </c>
      <c r="AE13" s="25">
        <v>0</v>
      </c>
      <c r="AF13" s="25">
        <v>0</v>
      </c>
      <c r="AG13" s="25">
        <v>0</v>
      </c>
      <c r="AH13" s="25">
        <v>0</v>
      </c>
      <c r="AI13" s="25">
        <v>0</v>
      </c>
      <c r="AJ13" s="25">
        <v>0</v>
      </c>
      <c r="AK13" s="25">
        <v>0</v>
      </c>
      <c r="AL13" s="25">
        <v>0</v>
      </c>
      <c r="AM13" s="25">
        <v>0</v>
      </c>
      <c r="AN13" s="25">
        <v>0</v>
      </c>
      <c r="AO13" s="25">
        <v>0</v>
      </c>
      <c r="AP13" s="25">
        <v>0</v>
      </c>
      <c r="AQ13" s="25">
        <v>0</v>
      </c>
      <c r="AR13" s="25">
        <v>0</v>
      </c>
      <c r="AS13" s="25">
        <v>0</v>
      </c>
      <c r="AT13" s="25">
        <v>0</v>
      </c>
      <c r="AU13" s="25">
        <v>0</v>
      </c>
      <c r="AV13" s="25">
        <v>0</v>
      </c>
      <c r="AW13" s="25">
        <v>0</v>
      </c>
      <c r="AX13" s="25">
        <v>0</v>
      </c>
      <c r="AY13" s="25">
        <v>0</v>
      </c>
      <c r="AZ13" s="25">
        <v>0</v>
      </c>
      <c r="BA13" s="25">
        <v>0</v>
      </c>
      <c r="BB13" s="25">
        <v>0</v>
      </c>
      <c r="BC13" s="25">
        <v>0</v>
      </c>
      <c r="BD13" s="25">
        <v>0</v>
      </c>
      <c r="BE13" s="25">
        <v>0</v>
      </c>
      <c r="BF13" s="25">
        <v>0</v>
      </c>
      <c r="BG13" s="25">
        <v>0</v>
      </c>
      <c r="BH13" s="25">
        <v>1</v>
      </c>
      <c r="BI13" s="25">
        <v>1</v>
      </c>
      <c r="BJ13" s="25">
        <v>0</v>
      </c>
      <c r="BK13" s="25">
        <v>0</v>
      </c>
      <c r="BL13" s="25">
        <v>24</v>
      </c>
      <c r="BM13" s="25">
        <v>0</v>
      </c>
      <c r="BN13" s="25">
        <v>0</v>
      </c>
      <c r="BO13" s="25">
        <v>0</v>
      </c>
      <c r="BP13" s="25">
        <v>0</v>
      </c>
      <c r="BQ13" s="25">
        <v>0</v>
      </c>
      <c r="BR13" s="25">
        <v>0</v>
      </c>
      <c r="BS13" s="25">
        <v>0</v>
      </c>
      <c r="BT13" s="25">
        <v>0</v>
      </c>
      <c r="BU13" s="25">
        <v>0</v>
      </c>
      <c r="BV13" s="25">
        <v>0</v>
      </c>
      <c r="BW13" s="25">
        <v>0</v>
      </c>
      <c r="BX13" s="25">
        <v>0</v>
      </c>
      <c r="BY13" s="25">
        <v>0</v>
      </c>
      <c r="BZ13" s="25">
        <v>0</v>
      </c>
      <c r="CA13" s="25">
        <v>0</v>
      </c>
      <c r="CB13" s="25">
        <v>0</v>
      </c>
      <c r="CC13" s="25">
        <v>0</v>
      </c>
      <c r="CD13" s="25">
        <v>0</v>
      </c>
      <c r="CE13" s="25">
        <v>0</v>
      </c>
      <c r="CF13" s="25">
        <v>0</v>
      </c>
      <c r="CG13" s="25">
        <v>0</v>
      </c>
      <c r="CH13" s="25">
        <v>0</v>
      </c>
      <c r="CI13" s="25">
        <v>0</v>
      </c>
      <c r="CJ13" s="25">
        <v>0</v>
      </c>
      <c r="CK13" s="25">
        <v>0</v>
      </c>
      <c r="CL13" s="25">
        <v>0</v>
      </c>
      <c r="CM13" s="25">
        <v>0</v>
      </c>
      <c r="CN13" s="25">
        <v>0</v>
      </c>
      <c r="CO13" s="25">
        <v>0</v>
      </c>
      <c r="CP13" s="25">
        <v>0</v>
      </c>
      <c r="CQ13" s="25">
        <v>0</v>
      </c>
      <c r="CR13" s="25">
        <v>0</v>
      </c>
      <c r="CS13" s="25">
        <v>0</v>
      </c>
      <c r="CT13" s="25">
        <v>0</v>
      </c>
      <c r="CU13" s="25">
        <v>0</v>
      </c>
      <c r="CV13" s="25">
        <v>0</v>
      </c>
      <c r="CW13" s="25">
        <v>0</v>
      </c>
      <c r="CX13" s="25">
        <v>0</v>
      </c>
      <c r="CY13" s="25">
        <v>0</v>
      </c>
      <c r="CZ13" s="25">
        <v>0</v>
      </c>
      <c r="DA13" s="25">
        <v>0</v>
      </c>
      <c r="DB13" s="25">
        <v>0</v>
      </c>
      <c r="DC13" s="25">
        <v>0</v>
      </c>
      <c r="DD13" s="25">
        <v>0</v>
      </c>
      <c r="DE13" s="25">
        <v>0</v>
      </c>
      <c r="DF13" s="25">
        <v>0</v>
      </c>
      <c r="DG13" s="25">
        <v>0</v>
      </c>
      <c r="DH13" s="25">
        <v>0</v>
      </c>
      <c r="DI13" s="25">
        <v>0</v>
      </c>
      <c r="DJ13" s="25">
        <v>0</v>
      </c>
      <c r="DK13" s="25">
        <v>0</v>
      </c>
      <c r="DL13" s="25">
        <v>0</v>
      </c>
      <c r="DM13" s="25">
        <v>0</v>
      </c>
      <c r="DN13" s="25">
        <v>0</v>
      </c>
      <c r="DO13" s="25">
        <v>0</v>
      </c>
      <c r="DP13" s="25">
        <v>0</v>
      </c>
      <c r="DQ13" s="25">
        <v>0</v>
      </c>
      <c r="DR13" s="25">
        <v>0</v>
      </c>
      <c r="DS13" s="25">
        <v>0</v>
      </c>
      <c r="DT13" s="25">
        <v>0</v>
      </c>
      <c r="DU13" s="25">
        <v>0</v>
      </c>
      <c r="DV13" s="25">
        <v>0</v>
      </c>
      <c r="DW13" s="25">
        <v>0</v>
      </c>
      <c r="DX13" s="25">
        <v>0</v>
      </c>
      <c r="DY13" s="25">
        <v>0</v>
      </c>
      <c r="DZ13" s="25">
        <v>0</v>
      </c>
      <c r="EA13" s="25">
        <v>0</v>
      </c>
      <c r="EB13" s="25">
        <v>0</v>
      </c>
      <c r="EC13" s="25">
        <v>0</v>
      </c>
      <c r="ED13" s="25">
        <v>0</v>
      </c>
      <c r="EE13" s="25">
        <v>0</v>
      </c>
      <c r="EF13" s="25">
        <v>0</v>
      </c>
      <c r="EG13" s="25">
        <v>0</v>
      </c>
      <c r="EH13" s="25">
        <v>0</v>
      </c>
      <c r="EI13" s="25">
        <v>0</v>
      </c>
      <c r="EJ13" s="25">
        <v>0</v>
      </c>
      <c r="EK13" s="25">
        <v>0</v>
      </c>
      <c r="EL13" s="25">
        <v>0</v>
      </c>
      <c r="EM13" s="25">
        <v>0</v>
      </c>
      <c r="EN13" s="25">
        <v>0</v>
      </c>
      <c r="EO13" s="25">
        <v>0</v>
      </c>
      <c r="EP13" s="25">
        <v>0</v>
      </c>
      <c r="EQ13" s="25">
        <v>0</v>
      </c>
      <c r="ER13" s="25">
        <v>0</v>
      </c>
      <c r="ES13" s="25">
        <v>0</v>
      </c>
      <c r="ET13" s="25">
        <v>0</v>
      </c>
      <c r="EU13" s="25">
        <v>0</v>
      </c>
      <c r="EV13" s="25">
        <v>0</v>
      </c>
      <c r="EW13" s="25">
        <v>0</v>
      </c>
      <c r="EX13" s="25">
        <v>0</v>
      </c>
      <c r="EY13" s="25">
        <v>0</v>
      </c>
      <c r="EZ13" s="25">
        <v>0</v>
      </c>
      <c r="FA13" s="25">
        <v>0</v>
      </c>
      <c r="FB13" s="25">
        <v>0</v>
      </c>
      <c r="FC13" s="25">
        <v>0</v>
      </c>
      <c r="FD13" s="25">
        <v>0</v>
      </c>
      <c r="FE13" s="25">
        <v>0</v>
      </c>
      <c r="FF13" s="25">
        <v>0</v>
      </c>
      <c r="FG13" s="25">
        <v>0</v>
      </c>
      <c r="FH13" s="25">
        <v>0</v>
      </c>
      <c r="FI13" s="25">
        <v>0</v>
      </c>
      <c r="FJ13" s="25">
        <v>0</v>
      </c>
      <c r="FK13" s="25">
        <v>0</v>
      </c>
      <c r="FL13" s="25">
        <v>0</v>
      </c>
      <c r="FM13" s="25">
        <v>0</v>
      </c>
      <c r="FN13" s="25">
        <v>0</v>
      </c>
      <c r="FO13" s="25">
        <v>0</v>
      </c>
      <c r="FP13" s="25">
        <v>0</v>
      </c>
      <c r="FQ13" s="25">
        <v>0</v>
      </c>
      <c r="FR13" s="25">
        <v>0</v>
      </c>
      <c r="FS13" s="25">
        <v>0</v>
      </c>
      <c r="FT13" s="25">
        <v>0</v>
      </c>
      <c r="FU13" s="25">
        <v>0</v>
      </c>
      <c r="FV13" s="25">
        <v>0</v>
      </c>
      <c r="FW13" s="25">
        <v>0</v>
      </c>
      <c r="FX13" s="25">
        <v>0</v>
      </c>
      <c r="FY13" s="25">
        <v>0</v>
      </c>
      <c r="FZ13" s="25">
        <v>0</v>
      </c>
      <c r="GA13" s="25">
        <v>0</v>
      </c>
      <c r="GB13" s="25">
        <v>0</v>
      </c>
      <c r="GC13" s="25">
        <v>0</v>
      </c>
      <c r="GD13" s="25">
        <v>0</v>
      </c>
      <c r="GE13" s="25">
        <v>0</v>
      </c>
      <c r="GF13" s="25">
        <v>0</v>
      </c>
      <c r="GG13" s="25">
        <v>0</v>
      </c>
      <c r="GH13" s="25">
        <v>0</v>
      </c>
      <c r="GI13" s="25">
        <v>0</v>
      </c>
      <c r="GJ13" s="25">
        <v>0</v>
      </c>
      <c r="GK13" s="25">
        <v>0</v>
      </c>
      <c r="GL13" s="25">
        <v>0</v>
      </c>
      <c r="GM13" s="25">
        <v>0</v>
      </c>
      <c r="GN13" s="25">
        <v>0</v>
      </c>
      <c r="GO13" s="25">
        <v>0</v>
      </c>
      <c r="GP13" s="25">
        <v>0</v>
      </c>
      <c r="GQ13" s="25">
        <v>0</v>
      </c>
      <c r="GR13" s="25">
        <v>0</v>
      </c>
      <c r="GS13" s="25">
        <v>0</v>
      </c>
      <c r="GT13" s="25">
        <v>0</v>
      </c>
      <c r="GU13" s="25">
        <v>0</v>
      </c>
      <c r="GV13" s="25">
        <v>0</v>
      </c>
      <c r="GW13" s="25">
        <v>0</v>
      </c>
      <c r="GX13" s="25">
        <v>0</v>
      </c>
      <c r="GY13" s="46">
        <v>0</v>
      </c>
      <c r="GZ13" s="25">
        <v>0</v>
      </c>
      <c r="HA13" s="25">
        <v>0</v>
      </c>
      <c r="HB13" s="25">
        <v>0</v>
      </c>
      <c r="HC13" s="25">
        <v>0</v>
      </c>
      <c r="HD13" s="25">
        <v>0</v>
      </c>
      <c r="HE13" s="25">
        <v>0</v>
      </c>
      <c r="HF13" s="25">
        <v>0</v>
      </c>
      <c r="HG13" s="25">
        <v>0</v>
      </c>
      <c r="HH13" s="25">
        <v>0</v>
      </c>
      <c r="HI13" s="25">
        <v>0</v>
      </c>
      <c r="HJ13" s="25">
        <v>0</v>
      </c>
      <c r="HK13" s="25">
        <v>0</v>
      </c>
      <c r="HL13" s="25">
        <v>0</v>
      </c>
      <c r="HM13" s="25">
        <v>0</v>
      </c>
      <c r="HN13" s="25">
        <v>0</v>
      </c>
      <c r="HO13" s="25">
        <v>0</v>
      </c>
      <c r="HP13" s="25">
        <v>0</v>
      </c>
      <c r="HQ13" s="25">
        <v>0</v>
      </c>
      <c r="HR13" s="25">
        <v>0</v>
      </c>
      <c r="HS13" s="25">
        <v>0</v>
      </c>
      <c r="HT13" s="25">
        <v>0</v>
      </c>
      <c r="HU13" s="25">
        <v>0</v>
      </c>
      <c r="HV13" s="25">
        <v>0</v>
      </c>
      <c r="HW13" s="25">
        <v>0</v>
      </c>
      <c r="HX13" s="25">
        <v>0</v>
      </c>
      <c r="HY13" s="25">
        <v>0</v>
      </c>
      <c r="HZ13" s="25">
        <v>0</v>
      </c>
      <c r="IA13" s="25">
        <v>0</v>
      </c>
      <c r="IB13" s="25">
        <v>0</v>
      </c>
      <c r="IC13" s="25">
        <v>0</v>
      </c>
      <c r="ID13" s="25">
        <v>0</v>
      </c>
      <c r="IE13" s="25">
        <v>0</v>
      </c>
      <c r="IF13" s="25">
        <v>0</v>
      </c>
      <c r="IG13" s="25">
        <v>0</v>
      </c>
      <c r="IH13" s="25">
        <v>0</v>
      </c>
      <c r="II13" s="25">
        <v>0</v>
      </c>
      <c r="IJ13" s="25">
        <v>0</v>
      </c>
      <c r="IK13" s="25">
        <v>0</v>
      </c>
      <c r="IL13" s="25">
        <v>0</v>
      </c>
      <c r="IM13" s="25">
        <v>0</v>
      </c>
      <c r="IN13" s="25">
        <v>0</v>
      </c>
      <c r="IO13" s="25">
        <v>0</v>
      </c>
      <c r="IP13" s="25">
        <v>0</v>
      </c>
      <c r="IQ13" s="25">
        <v>0</v>
      </c>
      <c r="IR13" s="25">
        <v>0</v>
      </c>
      <c r="IS13" s="25">
        <v>0</v>
      </c>
      <c r="IT13" s="25">
        <v>0</v>
      </c>
      <c r="IU13" s="25">
        <v>0</v>
      </c>
      <c r="IV13" s="25">
        <v>0</v>
      </c>
      <c r="IW13" s="25">
        <v>0</v>
      </c>
      <c r="IX13" s="25">
        <v>0</v>
      </c>
      <c r="IY13" s="25">
        <v>0</v>
      </c>
      <c r="IZ13" s="25">
        <v>0</v>
      </c>
      <c r="JA13" s="25">
        <v>0</v>
      </c>
      <c r="JB13" s="25">
        <v>0</v>
      </c>
      <c r="JC13" s="25">
        <v>0</v>
      </c>
      <c r="JD13" s="25">
        <v>0</v>
      </c>
      <c r="JE13" s="25">
        <v>0</v>
      </c>
      <c r="JF13" s="25">
        <v>0</v>
      </c>
      <c r="JG13" s="25">
        <v>0</v>
      </c>
      <c r="JH13" s="25">
        <v>0</v>
      </c>
      <c r="JI13" s="25">
        <v>0</v>
      </c>
      <c r="JJ13" s="25">
        <v>0</v>
      </c>
      <c r="JK13" s="25">
        <v>0</v>
      </c>
      <c r="JL13" s="25">
        <v>0</v>
      </c>
      <c r="JM13" s="25">
        <v>0</v>
      </c>
      <c r="JN13" s="25">
        <v>0</v>
      </c>
      <c r="JO13" s="25">
        <v>0</v>
      </c>
      <c r="JP13" s="25">
        <v>0</v>
      </c>
      <c r="JQ13" s="25">
        <v>0</v>
      </c>
      <c r="JR13" s="25">
        <v>0</v>
      </c>
      <c r="JS13" s="25">
        <v>0</v>
      </c>
      <c r="JT13" s="25">
        <v>0</v>
      </c>
      <c r="JU13" s="25">
        <v>0</v>
      </c>
      <c r="JV13" s="25">
        <v>0</v>
      </c>
      <c r="JW13" s="25">
        <v>0</v>
      </c>
      <c r="JX13" s="25">
        <v>0</v>
      </c>
      <c r="JY13" s="25">
        <v>0</v>
      </c>
      <c r="JZ13" s="25">
        <v>0</v>
      </c>
      <c r="KA13" s="25">
        <v>0</v>
      </c>
      <c r="KB13" s="25">
        <v>0</v>
      </c>
      <c r="KC13" s="25">
        <v>0</v>
      </c>
      <c r="KD13" s="25">
        <v>0</v>
      </c>
      <c r="KE13" s="25">
        <v>0</v>
      </c>
      <c r="KF13" s="25">
        <v>0</v>
      </c>
      <c r="KG13" s="25">
        <v>0</v>
      </c>
      <c r="KH13" s="25">
        <v>0</v>
      </c>
      <c r="KI13" s="25">
        <v>0</v>
      </c>
      <c r="KJ13" s="25">
        <v>0</v>
      </c>
      <c r="KK13" s="25">
        <v>0</v>
      </c>
      <c r="KL13" s="25">
        <v>0</v>
      </c>
      <c r="KM13" s="25">
        <v>0</v>
      </c>
      <c r="KN13" s="25">
        <v>0</v>
      </c>
      <c r="KO13" s="25">
        <v>0</v>
      </c>
      <c r="KP13" s="25">
        <v>0</v>
      </c>
      <c r="KQ13" s="25">
        <v>0</v>
      </c>
      <c r="KR13" s="25">
        <v>0</v>
      </c>
      <c r="KS13" s="25">
        <v>0</v>
      </c>
      <c r="KT13" s="25">
        <v>0</v>
      </c>
      <c r="KU13" s="25">
        <v>0</v>
      </c>
      <c r="KV13" s="25">
        <v>0</v>
      </c>
      <c r="KW13" s="25">
        <v>0</v>
      </c>
      <c r="KX13" s="25">
        <v>0</v>
      </c>
      <c r="KY13" s="25">
        <v>0</v>
      </c>
      <c r="KZ13" s="25">
        <v>0</v>
      </c>
      <c r="LA13" s="25">
        <v>0</v>
      </c>
      <c r="LB13" s="25">
        <v>0</v>
      </c>
      <c r="LC13" s="25">
        <v>0</v>
      </c>
      <c r="LD13" s="25">
        <v>0</v>
      </c>
      <c r="LE13" s="25">
        <v>0</v>
      </c>
      <c r="LF13" s="25">
        <v>0</v>
      </c>
      <c r="LG13" s="25">
        <v>0</v>
      </c>
      <c r="LH13" s="25">
        <v>0</v>
      </c>
      <c r="LI13" s="25">
        <v>0</v>
      </c>
      <c r="LJ13" s="25">
        <v>0</v>
      </c>
      <c r="LK13" s="25">
        <v>0</v>
      </c>
      <c r="LL13" s="25">
        <v>0</v>
      </c>
      <c r="LM13" s="25">
        <v>0</v>
      </c>
      <c r="LN13" s="278">
        <f ca="1">$A13 - DeathsTimeS!Sweden100dt + 1</f>
        <v>-54</v>
      </c>
      <c r="LO13" s="366">
        <f ca="1">INDEX(OFFSET(DeathsTimeS!HeadRow,ROW()-ROW(DeathsTimeS!HeadRow),0,1,COLUMNS(DeathsTimeS!HeadRow)),1,MATCH(LO$5,DeathsTimeS!HeadRow,0))/LO$8</f>
        <v>0</v>
      </c>
      <c r="LP13" s="278">
        <f ca="1">$A13 - DeathsTimeS!Spain100dt</f>
        <v>-47</v>
      </c>
      <c r="LQ13" s="11">
        <f ca="1">INDEX(OFFSET(DeathsTimeS!HeadRow,ROW()-ROW(DeathsTimeS!HeadRow),0,1,COLUMNS(DeathsTimeS!HeadRow)),1,MATCH(LQ$5,DeathsTimeS!HeadRow,0))/LQ$8</f>
        <v>0</v>
      </c>
      <c r="LR13" s="278">
        <f ca="1">$A13 - DeathsTimeS!Victoria100dt</f>
        <v>-70</v>
      </c>
      <c r="LS13" s="11">
        <f ca="1">INDEX(OFFSET(DeathsTimeS!HeadRow,ROW()-ROW(DeathsTimeS!HeadRow),0,1,COLUMNS(DeathsTimeS!HeadRow)),1,MATCH(LS$5,DeathsTimeS!HeadRow,0))/LS$8</f>
        <v>0</v>
      </c>
      <c r="LT13" s="278">
        <f ca="1">$A13 - DeathsTimeS!Iran100dt</f>
        <v>-40</v>
      </c>
      <c r="LU13" s="11">
        <f ca="1">INDEX(OFFSET(DeathsTimeS!HeadRow,ROW()-ROW(DeathsTimeS!HeadRow),0,1,COLUMNS(DeathsTimeS!HeadRow)),1,MATCH(LU$5,DeathsTimeS!HeadRow,0))/LU$8</f>
        <v>0</v>
      </c>
      <c r="LV13" s="278">
        <f ca="1">$A13 - DeathsTimeS!Japan100dt</f>
        <v>-81</v>
      </c>
      <c r="LW13" s="11">
        <f ca="1">INDEX(OFFSET(DeathsTimeS!HeadRow,ROW()-ROW(DeathsTimeS!HeadRow),0,1,COLUMNS(DeathsTimeS!HeadRow)),1,MATCH(LW$5,DeathsTimeS!HeadRow,0))/LW$8</f>
        <v>0</v>
      </c>
      <c r="LX13" s="278">
        <f ca="1">$A13 - DeathsTimeS!Queensland100dt</f>
        <v>-85</v>
      </c>
      <c r="LY13" s="11">
        <f ca="1">INDEX(OFFSET(DeathsTimeS!HeadRow,ROW()-ROW(DeathsTimeS!HeadRow),0,1,COLUMNS(DeathsTimeS!HeadRow)),1,MATCH(LY$5,DeathsTimeS!HeadRow,0))/LY$8</f>
        <v>0</v>
      </c>
      <c r="LZ13" s="278">
        <f ca="1">$A13 - DeathsTimeS!Tasmania100dt</f>
        <v>-67</v>
      </c>
      <c r="MA13" s="11">
        <f ca="1">INDEX(OFFSET(DeathsTimeS!HeadRow,ROW()-ROW(DeathsTimeS!HeadRow),0,1,COLUMNS(DeathsTimeS!HeadRow)),1,MATCH(MA$5,DeathsTimeS!HeadRow,0))/MA$8</f>
        <v>0</v>
      </c>
      <c r="MB13" s="278">
        <f ca="1">$A13 - DeathsTimeS!SouthAustralia100dt</f>
        <v>-75</v>
      </c>
      <c r="MC13" s="11">
        <f ca="1">INDEX(OFFSET(DeathsTimeS!HeadRow,ROW()-ROW(DeathsTimeS!HeadRow),0,1,COLUMNS(DeathsTimeS!HeadRow)),1,MATCH(MC$5,DeathsTimeS!HeadRow,0))/MC$8</f>
        <v>0</v>
      </c>
      <c r="MD13" s="278">
        <f ca="1">$A13 - DeathsTimeS!WesternAustralia100dt</f>
        <v>-72</v>
      </c>
      <c r="ME13" s="11">
        <f ca="1">INDEX(OFFSET(DeathsTimeS!HeadRow,ROW()-ROW(DeathsTimeS!HeadRow),0,1,COLUMNS(DeathsTimeS!HeadRow)),1,MATCH(ME$5,DeathsTimeS!HeadRow,0))/ME$8</f>
        <v>0</v>
      </c>
      <c r="MF13" s="278">
        <f ca="1">$A13 - DeathsTimeS!NewSouthWales100dt</f>
        <v>-68</v>
      </c>
      <c r="MG13" s="11">
        <f ca="1">INDEX(OFFSET(DeathsTimeS!HeadRow,ROW()-ROW(DeathsTimeS!HeadRow),0,1,COLUMNS(DeathsTimeS!HeadRow)),1,MATCH(MG$5,DeathsTimeS!HeadRow,0))/MG$8</f>
        <v>0</v>
      </c>
      <c r="MH13" s="278">
        <f ca="1">$A13 - DeathsTimeS!NewYork100dt</f>
        <v>-52</v>
      </c>
      <c r="MI13" s="11">
        <f ca="1">INDEX(OFFSET(DeathsTimeS!HeadRow,ROW()-ROW(DeathsTimeS!HeadRow),0,1,COLUMNS(DeathsTimeS!HeadRow)),1,MATCH(MI$5,DeathsTimeS!HeadRow,0))/MI$8</f>
        <v>0</v>
      </c>
      <c r="MJ13" s="278">
        <f ca="1">$A13 - DeathsTimeS!Italy100dt</f>
        <v>-39</v>
      </c>
      <c r="MK13" s="11">
        <f ca="1">INDEX(OFFSET(DeathsTimeS!HeadRow,ROW()-ROW(DeathsTimeS!HeadRow),0,1,COLUMNS(DeathsTimeS!HeadRow)),1,MATCH(MK$5,DeathsTimeS!HeadRow,0))/MK$8</f>
        <v>0</v>
      </c>
      <c r="ML13" s="278">
        <f ca="1">$A13 - DeathsTimeS!AustralianCapitalTerritory100dt</f>
        <v>-66</v>
      </c>
      <c r="MM13" s="11">
        <f ca="1">INDEX(OFFSET(DeathsTimeS!HeadRow,ROW()-ROW(DeathsTimeS!HeadRow),0,1,COLUMNS(DeathsTimeS!HeadRow)),1,MATCH(MM$5,DeathsTimeS!HeadRow,0))/MM$8</f>
        <v>0</v>
      </c>
      <c r="MN13" s="278">
        <f ca="1">IF(DeathsTimeS!NorthernTerritory100dt&gt;0,$A13 - DeathsTimeS!NorthernTerritory100dt,"")</f>
        <v>-94</v>
      </c>
      <c r="MO13" s="11">
        <f ca="1">INDEX(OFFSET(DeathsTimeS!HeadRow,ROW()-ROW(DeathsTimeS!HeadRow),0,1,COLUMNS(DeathsTimeS!HeadRow)),1,MATCH(MO$5,DeathsTimeS!HeadRow,0))/MO$8</f>
        <v>0</v>
      </c>
      <c r="MP13" s="278">
        <f ca="1">$A13 - DeathsTimeS!SouthAfrica100dt + 1</f>
        <v>-86</v>
      </c>
      <c r="MQ13" s="20">
        <f ca="1">INDEX(OFFSET(DeathsTimeS!HeadRow,ROW()-ROW(DeathsTimeS!HeadRow),0,1,COLUMNS(DeathsTimeS!HeadRow)),1,MATCH(MQ$5,DeathsTimeS!HeadRow,0))/MQ$8</f>
        <v>0</v>
      </c>
      <c r="MR13" s="278">
        <f ca="1">$A13 - DeathsTimeS!Germany100dt + 1</f>
        <v>-56</v>
      </c>
      <c r="MS13" s="20">
        <f ca="1">INDEX(OFFSET(DeathsTimeS!HeadRow,ROW()-ROW(DeathsTimeS!HeadRow),0,1,COLUMNS(DeathsTimeS!HeadRow)),1,MATCH(MS$5,DeathsTimeS!HeadRow,0))/MS$8</f>
        <v>0</v>
      </c>
      <c r="MT13" s="278">
        <f ca="1">$A13 - DeathsTimeS!Ireland100dt + 1</f>
        <v>-58</v>
      </c>
      <c r="MU13" s="73">
        <f ca="1">INDEX(OFFSET(DeathsTimeS!HeadRow,ROW()-ROW(DeathsTimeS!HeadRow),0,1,COLUMNS(DeathsTimeS!HeadRow)),1,MATCH(MU$5,DeathsTimeS!HeadRow,0))/MU$8</f>
        <v>0</v>
      </c>
      <c r="MV13" s="278">
        <f ca="1">$A13 - DeathsTimeS!UnitedKingdom100dt + 1</f>
        <v>-52</v>
      </c>
      <c r="MW13" s="73">
        <f ca="1">INDEX(OFFSET(DeathsTimeS!HeadRow,ROW()-ROW(DeathsTimeS!HeadRow),0,1,COLUMNS(DeathsTimeS!HeadRow)),1,MATCH(MW$5,DeathsTimeS!HeadRow,0))/MW$8</f>
        <v>0</v>
      </c>
      <c r="MX13" s="278">
        <f ca="1">$A13 - DeathsTimeS!Denmark100dt + 1</f>
        <v>-54</v>
      </c>
      <c r="MY13" s="73">
        <f ca="1">INDEX(OFFSET(DeathsTimeS!HeadRow,ROW()-ROW(DeathsTimeS!HeadRow),0,1,COLUMNS(DeathsTimeS!HeadRow)),1,MATCH(MY$5,DeathsTimeS!HeadRow,0))/MY$8</f>
        <v>0</v>
      </c>
      <c r="MZ13" s="278">
        <f ca="1">$A13 - DeathsTimeS!US100dt + 1</f>
        <v>-55</v>
      </c>
      <c r="NA13" s="73">
        <f ca="1">INDEX(OFFSET(DeathsTimeS!HeadRow,ROW()-ROW(DeathsTimeS!HeadRow),0,1,COLUMNS(DeathsTimeS!HeadRow)),1,MATCH(NA$5,DeathsTimeS!HeadRow,0))/NA$8</f>
        <v>0</v>
      </c>
      <c r="NB13" s="278">
        <f ca="1">$A13 - DeathsTimeS!AustraliaSum100dt + 1</f>
        <v>-61</v>
      </c>
      <c r="NC13" s="366">
        <f t="shared" si="6"/>
        <v>0</v>
      </c>
      <c r="ND13" s="278">
        <f ca="1">$A13 - DeathsTimeS!Taiwan100dt + 1</f>
        <v>-93</v>
      </c>
      <c r="NE13" s="366">
        <f ca="1">INDEX(OFFSET(DeathsTimeS!HeadRow,ROW()-ROW(DeathsTimeS!HeadRow),0,1,COLUMNS(DeathsTimeS!HeadRow)),1,MATCH(NE$5,DeathsTimeS!HeadRow,0))/NE$8</f>
        <v>0</v>
      </c>
      <c r="NF13" s="278">
        <f ca="1">$A13 - DeathsTimeS!Hubei100dt + 1</f>
        <v>-2</v>
      </c>
      <c r="NG13" s="366">
        <f ca="1">INDEX(OFFSET(DeathsTimeS!HeadRow,ROW()-ROW(DeathsTimeS!HeadRow),0,1,COLUMNS(DeathsTimeS!HeadRow)),1,MATCH(NG$5,DeathsTimeS!HeadRow,0))/NG$8</f>
        <v>4.1025641025641031</v>
      </c>
      <c r="NH13" s="278">
        <f ca="1">$A13 - DeathsTimeS!HongKong100dt + 1</f>
        <v>-93</v>
      </c>
      <c r="NI13" s="366">
        <f ca="1">INDEX(OFFSET(DeathsTimeS!HeadRow,ROW()-ROW(DeathsTimeS!HeadRow),0,1,COLUMNS(DeathsTimeS!HeadRow)),1,MATCH(NI$5,DeathsTimeS!HeadRow,0))/NI$8</f>
        <v>0</v>
      </c>
    </row>
    <row r="14" spans="1:373" x14ac:dyDescent="0.25">
      <c r="A14" s="156">
        <v>43855</v>
      </c>
      <c r="B14" s="25">
        <v>0</v>
      </c>
      <c r="C14" s="25">
        <v>0</v>
      </c>
      <c r="D14" s="25">
        <v>0</v>
      </c>
      <c r="E14" s="25">
        <v>0</v>
      </c>
      <c r="F14" s="25">
        <v>0</v>
      </c>
      <c r="G14" s="25">
        <v>0</v>
      </c>
      <c r="H14" s="25">
        <v>0</v>
      </c>
      <c r="I14" s="25">
        <v>0</v>
      </c>
      <c r="J14" s="25">
        <v>0</v>
      </c>
      <c r="K14" s="25">
        <v>0</v>
      </c>
      <c r="L14" s="25">
        <v>0</v>
      </c>
      <c r="M14" s="25">
        <v>0</v>
      </c>
      <c r="N14" s="25">
        <v>0</v>
      </c>
      <c r="O14" s="25">
        <v>0</v>
      </c>
      <c r="P14" s="25">
        <v>0</v>
      </c>
      <c r="Q14" s="25">
        <v>0</v>
      </c>
      <c r="R14" s="25">
        <v>0</v>
      </c>
      <c r="S14" s="25">
        <v>0</v>
      </c>
      <c r="T14" s="25">
        <v>0</v>
      </c>
      <c r="U14" s="25">
        <v>0</v>
      </c>
      <c r="V14" s="25">
        <v>0</v>
      </c>
      <c r="W14" s="25">
        <v>0</v>
      </c>
      <c r="X14" s="25">
        <v>0</v>
      </c>
      <c r="Y14" s="25">
        <v>0</v>
      </c>
      <c r="Z14" s="25">
        <v>0</v>
      </c>
      <c r="AA14" s="25">
        <v>0</v>
      </c>
      <c r="AB14" s="25">
        <v>0</v>
      </c>
      <c r="AC14" s="25">
        <v>0</v>
      </c>
      <c r="AD14" s="25">
        <v>0</v>
      </c>
      <c r="AE14" s="25">
        <v>0</v>
      </c>
      <c r="AF14" s="25">
        <v>0</v>
      </c>
      <c r="AG14" s="25">
        <v>0</v>
      </c>
      <c r="AH14" s="25">
        <v>0</v>
      </c>
      <c r="AI14" s="25">
        <v>0</v>
      </c>
      <c r="AJ14" s="25">
        <v>0</v>
      </c>
      <c r="AK14" s="25">
        <v>0</v>
      </c>
      <c r="AL14" s="25">
        <v>0</v>
      </c>
      <c r="AM14" s="25">
        <v>0</v>
      </c>
      <c r="AN14" s="25">
        <v>0</v>
      </c>
      <c r="AO14" s="25">
        <v>0</v>
      </c>
      <c r="AP14" s="25">
        <v>0</v>
      </c>
      <c r="AQ14" s="25">
        <v>0</v>
      </c>
      <c r="AR14" s="25">
        <v>0</v>
      </c>
      <c r="AS14" s="25">
        <v>0</v>
      </c>
      <c r="AT14" s="25">
        <v>0</v>
      </c>
      <c r="AU14" s="25">
        <v>0</v>
      </c>
      <c r="AV14" s="25">
        <v>0</v>
      </c>
      <c r="AW14" s="25">
        <v>0</v>
      </c>
      <c r="AX14" s="25">
        <v>0</v>
      </c>
      <c r="AY14" s="25">
        <v>0</v>
      </c>
      <c r="AZ14" s="25">
        <v>0</v>
      </c>
      <c r="BA14" s="25">
        <v>0</v>
      </c>
      <c r="BB14" s="25">
        <v>0</v>
      </c>
      <c r="BC14" s="25">
        <v>0</v>
      </c>
      <c r="BD14" s="25">
        <v>0</v>
      </c>
      <c r="BE14" s="25">
        <v>0</v>
      </c>
      <c r="BF14" s="25">
        <v>0</v>
      </c>
      <c r="BG14" s="25">
        <v>0</v>
      </c>
      <c r="BH14" s="25">
        <v>1</v>
      </c>
      <c r="BI14" s="25">
        <v>1</v>
      </c>
      <c r="BJ14" s="25">
        <v>0</v>
      </c>
      <c r="BK14" s="25">
        <v>0</v>
      </c>
      <c r="BL14" s="25">
        <v>40</v>
      </c>
      <c r="BM14" s="25">
        <v>0</v>
      </c>
      <c r="BN14" s="25">
        <v>0</v>
      </c>
      <c r="BO14" s="25">
        <v>0</v>
      </c>
      <c r="BP14" s="25">
        <v>0</v>
      </c>
      <c r="BQ14" s="25">
        <v>0</v>
      </c>
      <c r="BR14" s="25">
        <v>0</v>
      </c>
      <c r="BS14" s="25">
        <v>0</v>
      </c>
      <c r="BT14" s="25">
        <v>0</v>
      </c>
      <c r="BU14" s="25">
        <v>0</v>
      </c>
      <c r="BV14" s="25">
        <v>0</v>
      </c>
      <c r="BW14" s="25">
        <v>0</v>
      </c>
      <c r="BX14" s="25">
        <v>0</v>
      </c>
      <c r="BY14" s="25">
        <v>0</v>
      </c>
      <c r="BZ14" s="25">
        <v>0</v>
      </c>
      <c r="CA14" s="25">
        <v>0</v>
      </c>
      <c r="CB14" s="25">
        <v>0</v>
      </c>
      <c r="CC14" s="25">
        <v>0</v>
      </c>
      <c r="CD14" s="25">
        <v>0</v>
      </c>
      <c r="CE14" s="25">
        <v>0</v>
      </c>
      <c r="CF14" s="25">
        <v>0</v>
      </c>
      <c r="CG14" s="25">
        <v>0</v>
      </c>
      <c r="CH14" s="25">
        <v>0</v>
      </c>
      <c r="CI14" s="25">
        <v>0</v>
      </c>
      <c r="CJ14" s="25">
        <v>0</v>
      </c>
      <c r="CK14" s="25">
        <v>0</v>
      </c>
      <c r="CL14" s="25">
        <v>0</v>
      </c>
      <c r="CM14" s="25">
        <v>0</v>
      </c>
      <c r="CN14" s="25">
        <v>0</v>
      </c>
      <c r="CO14" s="25">
        <v>0</v>
      </c>
      <c r="CP14" s="25">
        <v>0</v>
      </c>
      <c r="CQ14" s="25">
        <v>0</v>
      </c>
      <c r="CR14" s="25">
        <v>0</v>
      </c>
      <c r="CS14" s="25">
        <v>0</v>
      </c>
      <c r="CT14" s="25">
        <v>0</v>
      </c>
      <c r="CU14" s="25">
        <v>0</v>
      </c>
      <c r="CV14" s="25">
        <v>0</v>
      </c>
      <c r="CW14" s="25">
        <v>0</v>
      </c>
      <c r="CX14" s="25">
        <v>0</v>
      </c>
      <c r="CY14" s="25">
        <v>0</v>
      </c>
      <c r="CZ14" s="25">
        <v>0</v>
      </c>
      <c r="DA14" s="25">
        <v>0</v>
      </c>
      <c r="DB14" s="25">
        <v>0</v>
      </c>
      <c r="DC14" s="25">
        <v>0</v>
      </c>
      <c r="DD14" s="25">
        <v>0</v>
      </c>
      <c r="DE14" s="25">
        <v>0</v>
      </c>
      <c r="DF14" s="25">
        <v>0</v>
      </c>
      <c r="DG14" s="25">
        <v>0</v>
      </c>
      <c r="DH14" s="25">
        <v>0</v>
      </c>
      <c r="DI14" s="25">
        <v>0</v>
      </c>
      <c r="DJ14" s="25">
        <v>0</v>
      </c>
      <c r="DK14" s="25">
        <v>0</v>
      </c>
      <c r="DL14" s="25">
        <v>0</v>
      </c>
      <c r="DM14" s="25">
        <v>0</v>
      </c>
      <c r="DN14" s="25">
        <v>0</v>
      </c>
      <c r="DO14" s="25">
        <v>0</v>
      </c>
      <c r="DP14" s="25">
        <v>0</v>
      </c>
      <c r="DQ14" s="25">
        <v>0</v>
      </c>
      <c r="DR14" s="25">
        <v>0</v>
      </c>
      <c r="DS14" s="25">
        <v>0</v>
      </c>
      <c r="DT14" s="25">
        <v>0</v>
      </c>
      <c r="DU14" s="25">
        <v>0</v>
      </c>
      <c r="DV14" s="25">
        <v>0</v>
      </c>
      <c r="DW14" s="25">
        <v>0</v>
      </c>
      <c r="DX14" s="25">
        <v>0</v>
      </c>
      <c r="DY14" s="25">
        <v>0</v>
      </c>
      <c r="DZ14" s="25">
        <v>0</v>
      </c>
      <c r="EA14" s="25">
        <v>0</v>
      </c>
      <c r="EB14" s="25">
        <v>0</v>
      </c>
      <c r="EC14" s="25">
        <v>0</v>
      </c>
      <c r="ED14" s="25">
        <v>0</v>
      </c>
      <c r="EE14" s="25">
        <v>0</v>
      </c>
      <c r="EF14" s="25">
        <v>0</v>
      </c>
      <c r="EG14" s="25">
        <v>0</v>
      </c>
      <c r="EH14" s="25">
        <v>0</v>
      </c>
      <c r="EI14" s="25">
        <v>0</v>
      </c>
      <c r="EJ14" s="25">
        <v>0</v>
      </c>
      <c r="EK14" s="25">
        <v>0</v>
      </c>
      <c r="EL14" s="25">
        <v>0</v>
      </c>
      <c r="EM14" s="25">
        <v>0</v>
      </c>
      <c r="EN14" s="25">
        <v>0</v>
      </c>
      <c r="EO14" s="25">
        <v>0</v>
      </c>
      <c r="EP14" s="25">
        <v>0</v>
      </c>
      <c r="EQ14" s="25">
        <v>0</v>
      </c>
      <c r="ER14" s="25">
        <v>0</v>
      </c>
      <c r="ES14" s="25">
        <v>0</v>
      </c>
      <c r="ET14" s="25">
        <v>0</v>
      </c>
      <c r="EU14" s="25">
        <v>0</v>
      </c>
      <c r="EV14" s="25">
        <v>0</v>
      </c>
      <c r="EW14" s="25">
        <v>0</v>
      </c>
      <c r="EX14" s="25">
        <v>0</v>
      </c>
      <c r="EY14" s="25">
        <v>0</v>
      </c>
      <c r="EZ14" s="25">
        <v>0</v>
      </c>
      <c r="FA14" s="25">
        <v>0</v>
      </c>
      <c r="FB14" s="25">
        <v>0</v>
      </c>
      <c r="FC14" s="25">
        <v>0</v>
      </c>
      <c r="FD14" s="25">
        <v>0</v>
      </c>
      <c r="FE14" s="25">
        <v>0</v>
      </c>
      <c r="FF14" s="25">
        <v>0</v>
      </c>
      <c r="FG14" s="25">
        <v>0</v>
      </c>
      <c r="FH14" s="25">
        <v>0</v>
      </c>
      <c r="FI14" s="25">
        <v>0</v>
      </c>
      <c r="FJ14" s="25">
        <v>0</v>
      </c>
      <c r="FK14" s="25">
        <v>0</v>
      </c>
      <c r="FL14" s="25">
        <v>0</v>
      </c>
      <c r="FM14" s="25">
        <v>0</v>
      </c>
      <c r="FN14" s="25">
        <v>0</v>
      </c>
      <c r="FO14" s="25">
        <v>0</v>
      </c>
      <c r="FP14" s="25">
        <v>0</v>
      </c>
      <c r="FQ14" s="25">
        <v>0</v>
      </c>
      <c r="FR14" s="25">
        <v>0</v>
      </c>
      <c r="FS14" s="25">
        <v>0</v>
      </c>
      <c r="FT14" s="25">
        <v>0</v>
      </c>
      <c r="FU14" s="25">
        <v>0</v>
      </c>
      <c r="FV14" s="25">
        <v>0</v>
      </c>
      <c r="FW14" s="25">
        <v>0</v>
      </c>
      <c r="FX14" s="25">
        <v>0</v>
      </c>
      <c r="FY14" s="25">
        <v>0</v>
      </c>
      <c r="FZ14" s="25">
        <v>0</v>
      </c>
      <c r="GA14" s="25">
        <v>0</v>
      </c>
      <c r="GB14" s="25">
        <v>0</v>
      </c>
      <c r="GC14" s="25">
        <v>0</v>
      </c>
      <c r="GD14" s="25">
        <v>0</v>
      </c>
      <c r="GE14" s="25">
        <v>0</v>
      </c>
      <c r="GF14" s="25">
        <v>0</v>
      </c>
      <c r="GG14" s="25">
        <v>0</v>
      </c>
      <c r="GH14" s="25">
        <v>0</v>
      </c>
      <c r="GI14" s="25">
        <v>0</v>
      </c>
      <c r="GJ14" s="25">
        <v>0</v>
      </c>
      <c r="GK14" s="25">
        <v>0</v>
      </c>
      <c r="GL14" s="25">
        <v>0</v>
      </c>
      <c r="GM14" s="25">
        <v>0</v>
      </c>
      <c r="GN14" s="25">
        <v>0</v>
      </c>
      <c r="GO14" s="25">
        <v>0</v>
      </c>
      <c r="GP14" s="25">
        <v>0</v>
      </c>
      <c r="GQ14" s="25">
        <v>0</v>
      </c>
      <c r="GR14" s="25">
        <v>0</v>
      </c>
      <c r="GS14" s="25">
        <v>0</v>
      </c>
      <c r="GT14" s="25">
        <v>0</v>
      </c>
      <c r="GU14" s="25">
        <v>0</v>
      </c>
      <c r="GV14" s="25">
        <v>0</v>
      </c>
      <c r="GW14" s="25">
        <v>0</v>
      </c>
      <c r="GX14" s="25">
        <v>0</v>
      </c>
      <c r="GY14" s="46">
        <v>0</v>
      </c>
      <c r="GZ14" s="25">
        <v>0</v>
      </c>
      <c r="HA14" s="25">
        <v>0</v>
      </c>
      <c r="HB14" s="25">
        <v>0</v>
      </c>
      <c r="HC14" s="25">
        <v>0</v>
      </c>
      <c r="HD14" s="25">
        <v>0</v>
      </c>
      <c r="HE14" s="25">
        <v>0</v>
      </c>
      <c r="HF14" s="25">
        <v>0</v>
      </c>
      <c r="HG14" s="25">
        <v>0</v>
      </c>
      <c r="HH14" s="25">
        <v>0</v>
      </c>
      <c r="HI14" s="25">
        <v>0</v>
      </c>
      <c r="HJ14" s="25">
        <v>0</v>
      </c>
      <c r="HK14" s="25">
        <v>0</v>
      </c>
      <c r="HL14" s="25">
        <v>0</v>
      </c>
      <c r="HM14" s="25">
        <v>0</v>
      </c>
      <c r="HN14" s="25">
        <v>0</v>
      </c>
      <c r="HO14" s="25">
        <v>0</v>
      </c>
      <c r="HP14" s="25">
        <v>0</v>
      </c>
      <c r="HQ14" s="25">
        <v>0</v>
      </c>
      <c r="HR14" s="25">
        <v>0</v>
      </c>
      <c r="HS14" s="25">
        <v>0</v>
      </c>
      <c r="HT14" s="25">
        <v>0</v>
      </c>
      <c r="HU14" s="25">
        <v>0</v>
      </c>
      <c r="HV14" s="25">
        <v>0</v>
      </c>
      <c r="HW14" s="25">
        <v>0</v>
      </c>
      <c r="HX14" s="25">
        <v>0</v>
      </c>
      <c r="HY14" s="25">
        <v>0</v>
      </c>
      <c r="HZ14" s="25">
        <v>0</v>
      </c>
      <c r="IA14" s="25">
        <v>0</v>
      </c>
      <c r="IB14" s="25">
        <v>0</v>
      </c>
      <c r="IC14" s="25">
        <v>0</v>
      </c>
      <c r="ID14" s="25">
        <v>0</v>
      </c>
      <c r="IE14" s="25">
        <v>0</v>
      </c>
      <c r="IF14" s="25">
        <v>0</v>
      </c>
      <c r="IG14" s="25">
        <v>0</v>
      </c>
      <c r="IH14" s="25">
        <v>0</v>
      </c>
      <c r="II14" s="25">
        <v>0</v>
      </c>
      <c r="IJ14" s="25">
        <v>0</v>
      </c>
      <c r="IK14" s="25">
        <v>0</v>
      </c>
      <c r="IL14" s="25">
        <v>0</v>
      </c>
      <c r="IM14" s="25">
        <v>0</v>
      </c>
      <c r="IN14" s="25">
        <v>0</v>
      </c>
      <c r="IO14" s="25">
        <v>0</v>
      </c>
      <c r="IP14" s="25">
        <v>0</v>
      </c>
      <c r="IQ14" s="25">
        <v>0</v>
      </c>
      <c r="IR14" s="25">
        <v>0</v>
      </c>
      <c r="IS14" s="25">
        <v>0</v>
      </c>
      <c r="IT14" s="25">
        <v>0</v>
      </c>
      <c r="IU14" s="25">
        <v>0</v>
      </c>
      <c r="IV14" s="25">
        <v>0</v>
      </c>
      <c r="IW14" s="25">
        <v>0</v>
      </c>
      <c r="IX14" s="25">
        <v>0</v>
      </c>
      <c r="IY14" s="25">
        <v>0</v>
      </c>
      <c r="IZ14" s="25">
        <v>0</v>
      </c>
      <c r="JA14" s="25">
        <v>0</v>
      </c>
      <c r="JB14" s="25">
        <v>0</v>
      </c>
      <c r="JC14" s="25">
        <v>0</v>
      </c>
      <c r="JD14" s="25">
        <v>0</v>
      </c>
      <c r="JE14" s="25">
        <v>0</v>
      </c>
      <c r="JF14" s="25">
        <v>0</v>
      </c>
      <c r="JG14" s="25">
        <v>0</v>
      </c>
      <c r="JH14" s="25">
        <v>0</v>
      </c>
      <c r="JI14" s="25">
        <v>0</v>
      </c>
      <c r="JJ14" s="25">
        <v>0</v>
      </c>
      <c r="JK14" s="25">
        <v>0</v>
      </c>
      <c r="JL14" s="25">
        <v>0</v>
      </c>
      <c r="JM14" s="25">
        <v>0</v>
      </c>
      <c r="JN14" s="25">
        <v>0</v>
      </c>
      <c r="JO14" s="25">
        <v>0</v>
      </c>
      <c r="JP14" s="25">
        <v>0</v>
      </c>
      <c r="JQ14" s="25">
        <v>0</v>
      </c>
      <c r="JR14" s="25">
        <v>0</v>
      </c>
      <c r="JS14" s="25">
        <v>0</v>
      </c>
      <c r="JT14" s="25">
        <v>0</v>
      </c>
      <c r="JU14" s="25">
        <v>0</v>
      </c>
      <c r="JV14" s="25">
        <v>0</v>
      </c>
      <c r="JW14" s="25">
        <v>0</v>
      </c>
      <c r="JX14" s="25">
        <v>0</v>
      </c>
      <c r="JY14" s="25">
        <v>0</v>
      </c>
      <c r="JZ14" s="25">
        <v>0</v>
      </c>
      <c r="KA14" s="25">
        <v>0</v>
      </c>
      <c r="KB14" s="25">
        <v>0</v>
      </c>
      <c r="KC14" s="25">
        <v>0</v>
      </c>
      <c r="KD14" s="25">
        <v>0</v>
      </c>
      <c r="KE14" s="25">
        <v>0</v>
      </c>
      <c r="KF14" s="25">
        <v>0</v>
      </c>
      <c r="KG14" s="25">
        <v>0</v>
      </c>
      <c r="KH14" s="25">
        <v>0</v>
      </c>
      <c r="KI14" s="25">
        <v>0</v>
      </c>
      <c r="KJ14" s="25">
        <v>0</v>
      </c>
      <c r="KK14" s="25">
        <v>0</v>
      </c>
      <c r="KL14" s="25">
        <v>0</v>
      </c>
      <c r="KM14" s="25">
        <v>0</v>
      </c>
      <c r="KN14" s="25">
        <v>0</v>
      </c>
      <c r="KO14" s="25">
        <v>0</v>
      </c>
      <c r="KP14" s="25">
        <v>0</v>
      </c>
      <c r="KQ14" s="25">
        <v>0</v>
      </c>
      <c r="KR14" s="25">
        <v>0</v>
      </c>
      <c r="KS14" s="25">
        <v>0</v>
      </c>
      <c r="KT14" s="25">
        <v>0</v>
      </c>
      <c r="KU14" s="25">
        <v>0</v>
      </c>
      <c r="KV14" s="25">
        <v>0</v>
      </c>
      <c r="KW14" s="25">
        <v>0</v>
      </c>
      <c r="KX14" s="25">
        <v>0</v>
      </c>
      <c r="KY14" s="25">
        <v>0</v>
      </c>
      <c r="KZ14" s="25">
        <v>0</v>
      </c>
      <c r="LA14" s="25">
        <v>0</v>
      </c>
      <c r="LB14" s="25">
        <v>0</v>
      </c>
      <c r="LC14" s="25">
        <v>0</v>
      </c>
      <c r="LD14" s="25">
        <v>0</v>
      </c>
      <c r="LE14" s="25">
        <v>0</v>
      </c>
      <c r="LF14" s="25">
        <v>0</v>
      </c>
      <c r="LG14" s="25">
        <v>0</v>
      </c>
      <c r="LH14" s="25">
        <v>0</v>
      </c>
      <c r="LI14" s="25">
        <v>0</v>
      </c>
      <c r="LJ14" s="25">
        <v>0</v>
      </c>
      <c r="LK14" s="25">
        <v>0</v>
      </c>
      <c r="LL14" s="25">
        <v>0</v>
      </c>
      <c r="LM14" s="25">
        <v>0</v>
      </c>
      <c r="LN14" s="278">
        <f ca="1">$A14 - DeathsTimeS!Sweden100dt + 1</f>
        <v>-53</v>
      </c>
      <c r="LO14" s="366">
        <f ca="1">INDEX(OFFSET(DeathsTimeS!HeadRow,ROW()-ROW(DeathsTimeS!HeadRow),0,1,COLUMNS(DeathsTimeS!HeadRow)),1,MATCH(LO$5,DeathsTimeS!HeadRow,0))/LO$8</f>
        <v>0</v>
      </c>
      <c r="LP14" s="278">
        <f ca="1">$A14 - DeathsTimeS!Spain100dt</f>
        <v>-46</v>
      </c>
      <c r="LQ14" s="11">
        <f ca="1">INDEX(OFFSET(DeathsTimeS!HeadRow,ROW()-ROW(DeathsTimeS!HeadRow),0,1,COLUMNS(DeathsTimeS!HeadRow)),1,MATCH(LQ$5,DeathsTimeS!HeadRow,0))/LQ$8</f>
        <v>0</v>
      </c>
      <c r="LR14" s="278">
        <f ca="1">$A14 - DeathsTimeS!Victoria100dt</f>
        <v>-69</v>
      </c>
      <c r="LS14" s="11">
        <f ca="1">INDEX(OFFSET(DeathsTimeS!HeadRow,ROW()-ROW(DeathsTimeS!HeadRow),0,1,COLUMNS(DeathsTimeS!HeadRow)),1,MATCH(LS$5,DeathsTimeS!HeadRow,0))/LS$8</f>
        <v>0</v>
      </c>
      <c r="LT14" s="278">
        <f ca="1">$A14 - DeathsTimeS!Iran100dt</f>
        <v>-39</v>
      </c>
      <c r="LU14" s="11">
        <f ca="1">INDEX(OFFSET(DeathsTimeS!HeadRow,ROW()-ROW(DeathsTimeS!HeadRow),0,1,COLUMNS(DeathsTimeS!HeadRow)),1,MATCH(LU$5,DeathsTimeS!HeadRow,0))/LU$8</f>
        <v>0</v>
      </c>
      <c r="LV14" s="278">
        <f ca="1">$A14 - DeathsTimeS!Japan100dt</f>
        <v>-80</v>
      </c>
      <c r="LW14" s="11">
        <f ca="1">INDEX(OFFSET(DeathsTimeS!HeadRow,ROW()-ROW(DeathsTimeS!HeadRow),0,1,COLUMNS(DeathsTimeS!HeadRow)),1,MATCH(LW$5,DeathsTimeS!HeadRow,0))/LW$8</f>
        <v>0</v>
      </c>
      <c r="LX14" s="278">
        <f ca="1">$A14 - DeathsTimeS!Queensland100dt</f>
        <v>-84</v>
      </c>
      <c r="LY14" s="11">
        <f ca="1">INDEX(OFFSET(DeathsTimeS!HeadRow,ROW()-ROW(DeathsTimeS!HeadRow),0,1,COLUMNS(DeathsTimeS!HeadRow)),1,MATCH(LY$5,DeathsTimeS!HeadRow,0))/LY$8</f>
        <v>0</v>
      </c>
      <c r="LZ14" s="278">
        <f ca="1">$A14 - DeathsTimeS!Tasmania100dt</f>
        <v>-66</v>
      </c>
      <c r="MA14" s="11">
        <f ca="1">INDEX(OFFSET(DeathsTimeS!HeadRow,ROW()-ROW(DeathsTimeS!HeadRow),0,1,COLUMNS(DeathsTimeS!HeadRow)),1,MATCH(MA$5,DeathsTimeS!HeadRow,0))/MA$8</f>
        <v>0</v>
      </c>
      <c r="MB14" s="278">
        <f ca="1">$A14 - DeathsTimeS!SouthAustralia100dt</f>
        <v>-74</v>
      </c>
      <c r="MC14" s="11">
        <f ca="1">INDEX(OFFSET(DeathsTimeS!HeadRow,ROW()-ROW(DeathsTimeS!HeadRow),0,1,COLUMNS(DeathsTimeS!HeadRow)),1,MATCH(MC$5,DeathsTimeS!HeadRow,0))/MC$8</f>
        <v>0</v>
      </c>
      <c r="MD14" s="278">
        <f ca="1">$A14 - DeathsTimeS!WesternAustralia100dt</f>
        <v>-71</v>
      </c>
      <c r="ME14" s="11">
        <f ca="1">INDEX(OFFSET(DeathsTimeS!HeadRow,ROW()-ROW(DeathsTimeS!HeadRow),0,1,COLUMNS(DeathsTimeS!HeadRow)),1,MATCH(ME$5,DeathsTimeS!HeadRow,0))/ME$8</f>
        <v>0</v>
      </c>
      <c r="MF14" s="278">
        <f ca="1">$A14 - DeathsTimeS!NewSouthWales100dt</f>
        <v>-67</v>
      </c>
      <c r="MG14" s="11">
        <f ca="1">INDEX(OFFSET(DeathsTimeS!HeadRow,ROW()-ROW(DeathsTimeS!HeadRow),0,1,COLUMNS(DeathsTimeS!HeadRow)),1,MATCH(MG$5,DeathsTimeS!HeadRow,0))/MG$8</f>
        <v>0</v>
      </c>
      <c r="MH14" s="278">
        <f ca="1">$A14 - DeathsTimeS!NewYork100dt</f>
        <v>-51</v>
      </c>
      <c r="MI14" s="11">
        <f ca="1">INDEX(OFFSET(DeathsTimeS!HeadRow,ROW()-ROW(DeathsTimeS!HeadRow),0,1,COLUMNS(DeathsTimeS!HeadRow)),1,MATCH(MI$5,DeathsTimeS!HeadRow,0))/MI$8</f>
        <v>0</v>
      </c>
      <c r="MJ14" s="278">
        <f ca="1">$A14 - DeathsTimeS!Italy100dt</f>
        <v>-38</v>
      </c>
      <c r="MK14" s="11">
        <f ca="1">INDEX(OFFSET(DeathsTimeS!HeadRow,ROW()-ROW(DeathsTimeS!HeadRow),0,1,COLUMNS(DeathsTimeS!HeadRow)),1,MATCH(MK$5,DeathsTimeS!HeadRow,0))/MK$8</f>
        <v>0</v>
      </c>
      <c r="ML14" s="278">
        <f ca="1">$A14 - DeathsTimeS!AustralianCapitalTerritory100dt</f>
        <v>-65</v>
      </c>
      <c r="MM14" s="11">
        <f ca="1">INDEX(OFFSET(DeathsTimeS!HeadRow,ROW()-ROW(DeathsTimeS!HeadRow),0,1,COLUMNS(DeathsTimeS!HeadRow)),1,MATCH(MM$5,DeathsTimeS!HeadRow,0))/MM$8</f>
        <v>0</v>
      </c>
      <c r="MN14" s="278">
        <f ca="1">IF(DeathsTimeS!NorthernTerritory100dt&gt;0,$A14 - DeathsTimeS!NorthernTerritory100dt,"")</f>
        <v>-93</v>
      </c>
      <c r="MO14" s="11">
        <f ca="1">INDEX(OFFSET(DeathsTimeS!HeadRow,ROW()-ROW(DeathsTimeS!HeadRow),0,1,COLUMNS(DeathsTimeS!HeadRow)),1,MATCH(MO$5,DeathsTimeS!HeadRow,0))/MO$8</f>
        <v>0</v>
      </c>
      <c r="MP14" s="278">
        <f ca="1">$A14 - DeathsTimeS!SouthAfrica100dt + 1</f>
        <v>-85</v>
      </c>
      <c r="MQ14" s="20">
        <f ca="1">INDEX(OFFSET(DeathsTimeS!HeadRow,ROW()-ROW(DeathsTimeS!HeadRow),0,1,COLUMNS(DeathsTimeS!HeadRow)),1,MATCH(MQ$5,DeathsTimeS!HeadRow,0))/MQ$8</f>
        <v>0</v>
      </c>
      <c r="MR14" s="278">
        <f ca="1">$A14 - DeathsTimeS!Germany100dt + 1</f>
        <v>-55</v>
      </c>
      <c r="MS14" s="20">
        <f ca="1">INDEX(OFFSET(DeathsTimeS!HeadRow,ROW()-ROW(DeathsTimeS!HeadRow),0,1,COLUMNS(DeathsTimeS!HeadRow)),1,MATCH(MS$5,DeathsTimeS!HeadRow,0))/MS$8</f>
        <v>0</v>
      </c>
      <c r="MT14" s="278">
        <f ca="1">$A14 - DeathsTimeS!Ireland100dt + 1</f>
        <v>-57</v>
      </c>
      <c r="MU14" s="73">
        <f ca="1">INDEX(OFFSET(DeathsTimeS!HeadRow,ROW()-ROW(DeathsTimeS!HeadRow),0,1,COLUMNS(DeathsTimeS!HeadRow)),1,MATCH(MU$5,DeathsTimeS!HeadRow,0))/MU$8</f>
        <v>0</v>
      </c>
      <c r="MV14" s="278">
        <f ca="1">$A14 - DeathsTimeS!UnitedKingdom100dt + 1</f>
        <v>-51</v>
      </c>
      <c r="MW14" s="73">
        <f ca="1">INDEX(OFFSET(DeathsTimeS!HeadRow,ROW()-ROW(DeathsTimeS!HeadRow),0,1,COLUMNS(DeathsTimeS!HeadRow)),1,MATCH(MW$5,DeathsTimeS!HeadRow,0))/MW$8</f>
        <v>0</v>
      </c>
      <c r="MX14" s="278">
        <f ca="1">$A14 - DeathsTimeS!Denmark100dt + 1</f>
        <v>-53</v>
      </c>
      <c r="MY14" s="73">
        <f ca="1">INDEX(OFFSET(DeathsTimeS!HeadRow,ROW()-ROW(DeathsTimeS!HeadRow),0,1,COLUMNS(DeathsTimeS!HeadRow)),1,MATCH(MY$5,DeathsTimeS!HeadRow,0))/MY$8</f>
        <v>0</v>
      </c>
      <c r="MZ14" s="278">
        <f ca="1">$A14 - DeathsTimeS!US100dt + 1</f>
        <v>-54</v>
      </c>
      <c r="NA14" s="73">
        <f ca="1">INDEX(OFFSET(DeathsTimeS!HeadRow,ROW()-ROW(DeathsTimeS!HeadRow),0,1,COLUMNS(DeathsTimeS!HeadRow)),1,MATCH(NA$5,DeathsTimeS!HeadRow,0))/NA$8</f>
        <v>0</v>
      </c>
      <c r="NB14" s="278">
        <f ca="1">$A14 - DeathsTimeS!AustraliaSum100dt + 1</f>
        <v>-60</v>
      </c>
      <c r="NC14" s="366">
        <f t="shared" si="6"/>
        <v>0</v>
      </c>
      <c r="ND14" s="278">
        <f ca="1">$A14 - DeathsTimeS!Taiwan100dt + 1</f>
        <v>-92</v>
      </c>
      <c r="NE14" s="366">
        <f ca="1">INDEX(OFFSET(DeathsTimeS!HeadRow,ROW()-ROW(DeathsTimeS!HeadRow),0,1,COLUMNS(DeathsTimeS!HeadRow)),1,MATCH(NE$5,DeathsTimeS!HeadRow,0))/NE$8</f>
        <v>0</v>
      </c>
      <c r="NF14" s="278">
        <f ca="1">$A14 - DeathsTimeS!Hubei100dt + 1</f>
        <v>-1</v>
      </c>
      <c r="NG14" s="366">
        <f ca="1">INDEX(OFFSET(DeathsTimeS!HeadRow,ROW()-ROW(DeathsTimeS!HeadRow),0,1,COLUMNS(DeathsTimeS!HeadRow)),1,MATCH(NG$5,DeathsTimeS!HeadRow,0))/NG$8</f>
        <v>6.8376068376068382</v>
      </c>
      <c r="NH14" s="278">
        <f ca="1">$A14 - DeathsTimeS!HongKong100dt + 1</f>
        <v>-92</v>
      </c>
      <c r="NI14" s="366">
        <f ca="1">INDEX(OFFSET(DeathsTimeS!HeadRow,ROW()-ROW(DeathsTimeS!HeadRow),0,1,COLUMNS(DeathsTimeS!HeadRow)),1,MATCH(NI$5,DeathsTimeS!HeadRow,0))/NI$8</f>
        <v>0</v>
      </c>
    </row>
    <row r="15" spans="1:373" x14ac:dyDescent="0.25">
      <c r="A15" s="156">
        <v>43856</v>
      </c>
      <c r="B15" s="25">
        <v>0</v>
      </c>
      <c r="C15" s="25">
        <v>0</v>
      </c>
      <c r="D15" s="25">
        <v>0</v>
      </c>
      <c r="E15" s="25">
        <v>0</v>
      </c>
      <c r="F15" s="25">
        <v>0</v>
      </c>
      <c r="G15" s="25">
        <v>0</v>
      </c>
      <c r="H15" s="25">
        <v>0</v>
      </c>
      <c r="I15" s="25">
        <v>0</v>
      </c>
      <c r="J15" s="25">
        <v>0</v>
      </c>
      <c r="K15" s="25">
        <v>0</v>
      </c>
      <c r="L15" s="25">
        <v>0</v>
      </c>
      <c r="M15" s="25">
        <v>0</v>
      </c>
      <c r="N15" s="25">
        <v>0</v>
      </c>
      <c r="O15" s="25">
        <v>0</v>
      </c>
      <c r="P15" s="25">
        <v>0</v>
      </c>
      <c r="Q15" s="25">
        <v>0</v>
      </c>
      <c r="R15" s="25">
        <v>0</v>
      </c>
      <c r="S15" s="25">
        <v>0</v>
      </c>
      <c r="T15" s="25">
        <v>0</v>
      </c>
      <c r="U15" s="25">
        <v>0</v>
      </c>
      <c r="V15" s="25">
        <v>0</v>
      </c>
      <c r="W15" s="25">
        <v>0</v>
      </c>
      <c r="X15" s="25">
        <v>0</v>
      </c>
      <c r="Y15" s="25">
        <v>0</v>
      </c>
      <c r="Z15" s="25">
        <v>0</v>
      </c>
      <c r="AA15" s="25">
        <v>0</v>
      </c>
      <c r="AB15" s="25">
        <v>0</v>
      </c>
      <c r="AC15" s="25">
        <v>0</v>
      </c>
      <c r="AD15" s="25">
        <v>0</v>
      </c>
      <c r="AE15" s="25">
        <v>0</v>
      </c>
      <c r="AF15" s="25">
        <v>0</v>
      </c>
      <c r="AG15" s="25">
        <v>0</v>
      </c>
      <c r="AH15" s="25">
        <v>0</v>
      </c>
      <c r="AI15" s="25">
        <v>0</v>
      </c>
      <c r="AJ15" s="25">
        <v>0</v>
      </c>
      <c r="AK15" s="25">
        <v>0</v>
      </c>
      <c r="AL15" s="25">
        <v>0</v>
      </c>
      <c r="AM15" s="25">
        <v>0</v>
      </c>
      <c r="AN15" s="25">
        <v>0</v>
      </c>
      <c r="AO15" s="25">
        <v>0</v>
      </c>
      <c r="AP15" s="25">
        <v>0</v>
      </c>
      <c r="AQ15" s="25">
        <v>0</v>
      </c>
      <c r="AR15" s="25">
        <v>0</v>
      </c>
      <c r="AS15" s="25">
        <v>0</v>
      </c>
      <c r="AT15" s="25">
        <v>0</v>
      </c>
      <c r="AU15" s="25">
        <v>0</v>
      </c>
      <c r="AV15" s="25">
        <v>0</v>
      </c>
      <c r="AW15" s="25">
        <v>0</v>
      </c>
      <c r="AX15" s="25">
        <v>0</v>
      </c>
      <c r="AY15" s="25">
        <v>0</v>
      </c>
      <c r="AZ15" s="25">
        <v>0</v>
      </c>
      <c r="BA15" s="25">
        <v>0</v>
      </c>
      <c r="BB15" s="25">
        <v>0</v>
      </c>
      <c r="BC15" s="25">
        <v>0</v>
      </c>
      <c r="BD15" s="25">
        <v>0</v>
      </c>
      <c r="BE15" s="25">
        <v>0</v>
      </c>
      <c r="BF15" s="25">
        <v>0</v>
      </c>
      <c r="BG15" s="25">
        <v>0</v>
      </c>
      <c r="BH15" s="25">
        <v>1</v>
      </c>
      <c r="BI15" s="25">
        <v>1</v>
      </c>
      <c r="BJ15" s="25">
        <v>1</v>
      </c>
      <c r="BK15" s="25">
        <v>0</v>
      </c>
      <c r="BL15" s="25">
        <v>52</v>
      </c>
      <c r="BM15" s="25">
        <v>0</v>
      </c>
      <c r="BN15" s="25">
        <v>0</v>
      </c>
      <c r="BO15" s="25">
        <v>0</v>
      </c>
      <c r="BP15" s="25">
        <v>0</v>
      </c>
      <c r="BQ15" s="25">
        <v>0</v>
      </c>
      <c r="BR15" s="25">
        <v>0</v>
      </c>
      <c r="BS15" s="25">
        <v>0</v>
      </c>
      <c r="BT15" s="25">
        <v>0</v>
      </c>
      <c r="BU15" s="25">
        <v>0</v>
      </c>
      <c r="BV15" s="25">
        <v>0</v>
      </c>
      <c r="BW15" s="25">
        <v>0</v>
      </c>
      <c r="BX15" s="25">
        <v>1</v>
      </c>
      <c r="BY15" s="25">
        <v>0</v>
      </c>
      <c r="BZ15" s="25">
        <v>0</v>
      </c>
      <c r="CA15" s="25">
        <v>0</v>
      </c>
      <c r="CB15" s="25">
        <v>0</v>
      </c>
      <c r="CC15" s="25">
        <v>0</v>
      </c>
      <c r="CD15" s="25">
        <v>0</v>
      </c>
      <c r="CE15" s="25">
        <v>0</v>
      </c>
      <c r="CF15" s="25">
        <v>0</v>
      </c>
      <c r="CG15" s="25">
        <v>0</v>
      </c>
      <c r="CH15" s="25">
        <v>0</v>
      </c>
      <c r="CI15" s="25">
        <v>0</v>
      </c>
      <c r="CJ15" s="25">
        <v>0</v>
      </c>
      <c r="CK15" s="25">
        <v>0</v>
      </c>
      <c r="CL15" s="25">
        <v>0</v>
      </c>
      <c r="CM15" s="25">
        <v>0</v>
      </c>
      <c r="CN15" s="25">
        <v>0</v>
      </c>
      <c r="CO15" s="25">
        <v>0</v>
      </c>
      <c r="CP15" s="25">
        <v>0</v>
      </c>
      <c r="CQ15" s="25">
        <v>0</v>
      </c>
      <c r="CR15" s="25">
        <v>0</v>
      </c>
      <c r="CS15" s="25">
        <v>0</v>
      </c>
      <c r="CT15" s="25">
        <v>0</v>
      </c>
      <c r="CU15" s="25">
        <v>0</v>
      </c>
      <c r="CV15" s="25">
        <v>0</v>
      </c>
      <c r="CW15" s="25">
        <v>0</v>
      </c>
      <c r="CX15" s="25">
        <v>0</v>
      </c>
      <c r="CY15" s="25">
        <v>0</v>
      </c>
      <c r="CZ15" s="25">
        <v>0</v>
      </c>
      <c r="DA15" s="25">
        <v>0</v>
      </c>
      <c r="DB15" s="25">
        <v>0</v>
      </c>
      <c r="DC15" s="25">
        <v>0</v>
      </c>
      <c r="DD15" s="25">
        <v>0</v>
      </c>
      <c r="DE15" s="25">
        <v>0</v>
      </c>
      <c r="DF15" s="25">
        <v>0</v>
      </c>
      <c r="DG15" s="25">
        <v>0</v>
      </c>
      <c r="DH15" s="25">
        <v>0</v>
      </c>
      <c r="DI15" s="25">
        <v>0</v>
      </c>
      <c r="DJ15" s="25">
        <v>0</v>
      </c>
      <c r="DK15" s="25">
        <v>0</v>
      </c>
      <c r="DL15" s="25">
        <v>0</v>
      </c>
      <c r="DM15" s="25">
        <v>0</v>
      </c>
      <c r="DN15" s="25">
        <v>0</v>
      </c>
      <c r="DO15" s="25">
        <v>0</v>
      </c>
      <c r="DP15" s="25">
        <v>0</v>
      </c>
      <c r="DQ15" s="25">
        <v>0</v>
      </c>
      <c r="DR15" s="25">
        <v>0</v>
      </c>
      <c r="DS15" s="25">
        <v>0</v>
      </c>
      <c r="DT15" s="25">
        <v>0</v>
      </c>
      <c r="DU15" s="25">
        <v>0</v>
      </c>
      <c r="DV15" s="25">
        <v>0</v>
      </c>
      <c r="DW15" s="25">
        <v>0</v>
      </c>
      <c r="DX15" s="25">
        <v>0</v>
      </c>
      <c r="DY15" s="25">
        <v>0</v>
      </c>
      <c r="DZ15" s="25">
        <v>0</v>
      </c>
      <c r="EA15" s="25">
        <v>0</v>
      </c>
      <c r="EB15" s="25">
        <v>0</v>
      </c>
      <c r="EC15" s="25">
        <v>0</v>
      </c>
      <c r="ED15" s="25">
        <v>0</v>
      </c>
      <c r="EE15" s="25">
        <v>0</v>
      </c>
      <c r="EF15" s="25">
        <v>0</v>
      </c>
      <c r="EG15" s="25">
        <v>0</v>
      </c>
      <c r="EH15" s="25">
        <v>0</v>
      </c>
      <c r="EI15" s="25">
        <v>0</v>
      </c>
      <c r="EJ15" s="25">
        <v>0</v>
      </c>
      <c r="EK15" s="25">
        <v>0</v>
      </c>
      <c r="EL15" s="25">
        <v>0</v>
      </c>
      <c r="EM15" s="25">
        <v>0</v>
      </c>
      <c r="EN15" s="25">
        <v>0</v>
      </c>
      <c r="EO15" s="25">
        <v>0</v>
      </c>
      <c r="EP15" s="25">
        <v>0</v>
      </c>
      <c r="EQ15" s="25">
        <v>0</v>
      </c>
      <c r="ER15" s="25">
        <v>0</v>
      </c>
      <c r="ES15" s="25">
        <v>0</v>
      </c>
      <c r="ET15" s="25">
        <v>0</v>
      </c>
      <c r="EU15" s="25">
        <v>0</v>
      </c>
      <c r="EV15" s="25">
        <v>0</v>
      </c>
      <c r="EW15" s="25">
        <v>0</v>
      </c>
      <c r="EX15" s="25">
        <v>0</v>
      </c>
      <c r="EY15" s="25">
        <v>0</v>
      </c>
      <c r="EZ15" s="25">
        <v>0</v>
      </c>
      <c r="FA15" s="25">
        <v>0</v>
      </c>
      <c r="FB15" s="25">
        <v>0</v>
      </c>
      <c r="FC15" s="25">
        <v>0</v>
      </c>
      <c r="FD15" s="25">
        <v>0</v>
      </c>
      <c r="FE15" s="25">
        <v>0</v>
      </c>
      <c r="FF15" s="25">
        <v>0</v>
      </c>
      <c r="FG15" s="25">
        <v>0</v>
      </c>
      <c r="FH15" s="25">
        <v>0</v>
      </c>
      <c r="FI15" s="25">
        <v>0</v>
      </c>
      <c r="FJ15" s="25">
        <v>0</v>
      </c>
      <c r="FK15" s="25">
        <v>0</v>
      </c>
      <c r="FL15" s="25">
        <v>0</v>
      </c>
      <c r="FM15" s="25">
        <v>0</v>
      </c>
      <c r="FN15" s="25">
        <v>0</v>
      </c>
      <c r="FO15" s="25">
        <v>0</v>
      </c>
      <c r="FP15" s="25">
        <v>0</v>
      </c>
      <c r="FQ15" s="25">
        <v>0</v>
      </c>
      <c r="FR15" s="25">
        <v>0</v>
      </c>
      <c r="FS15" s="25">
        <v>0</v>
      </c>
      <c r="FT15" s="25">
        <v>0</v>
      </c>
      <c r="FU15" s="25">
        <v>0</v>
      </c>
      <c r="FV15" s="25">
        <v>0</v>
      </c>
      <c r="FW15" s="25">
        <v>0</v>
      </c>
      <c r="FX15" s="25">
        <v>0</v>
      </c>
      <c r="FY15" s="25">
        <v>0</v>
      </c>
      <c r="FZ15" s="25">
        <v>0</v>
      </c>
      <c r="GA15" s="25">
        <v>0</v>
      </c>
      <c r="GB15" s="25">
        <v>0</v>
      </c>
      <c r="GC15" s="25">
        <v>0</v>
      </c>
      <c r="GD15" s="25">
        <v>0</v>
      </c>
      <c r="GE15" s="25">
        <v>0</v>
      </c>
      <c r="GF15" s="25">
        <v>0</v>
      </c>
      <c r="GG15" s="25">
        <v>0</v>
      </c>
      <c r="GH15" s="25">
        <v>0</v>
      </c>
      <c r="GI15" s="25">
        <v>0</v>
      </c>
      <c r="GJ15" s="25">
        <v>0</v>
      </c>
      <c r="GK15" s="25">
        <v>0</v>
      </c>
      <c r="GL15" s="25">
        <v>0</v>
      </c>
      <c r="GM15" s="25">
        <v>0</v>
      </c>
      <c r="GN15" s="25">
        <v>0</v>
      </c>
      <c r="GO15" s="25">
        <v>0</v>
      </c>
      <c r="GP15" s="25">
        <v>0</v>
      </c>
      <c r="GQ15" s="25">
        <v>0</v>
      </c>
      <c r="GR15" s="25">
        <v>0</v>
      </c>
      <c r="GS15" s="25">
        <v>0</v>
      </c>
      <c r="GT15" s="25">
        <v>0</v>
      </c>
      <c r="GU15" s="25">
        <v>0</v>
      </c>
      <c r="GV15" s="25">
        <v>0</v>
      </c>
      <c r="GW15" s="25">
        <v>0</v>
      </c>
      <c r="GX15" s="25">
        <v>0</v>
      </c>
      <c r="GY15" s="46">
        <v>0</v>
      </c>
      <c r="GZ15" s="25">
        <v>0</v>
      </c>
      <c r="HA15" s="25">
        <v>0</v>
      </c>
      <c r="HB15" s="25">
        <v>0</v>
      </c>
      <c r="HC15" s="25">
        <v>0</v>
      </c>
      <c r="HD15" s="25">
        <v>0</v>
      </c>
      <c r="HE15" s="25">
        <v>0</v>
      </c>
      <c r="HF15" s="25">
        <v>0</v>
      </c>
      <c r="HG15" s="25">
        <v>0</v>
      </c>
      <c r="HH15" s="25">
        <v>0</v>
      </c>
      <c r="HI15" s="25">
        <v>0</v>
      </c>
      <c r="HJ15" s="25">
        <v>0</v>
      </c>
      <c r="HK15" s="25">
        <v>0</v>
      </c>
      <c r="HL15" s="25">
        <v>0</v>
      </c>
      <c r="HM15" s="25">
        <v>0</v>
      </c>
      <c r="HN15" s="25">
        <v>0</v>
      </c>
      <c r="HO15" s="25">
        <v>0</v>
      </c>
      <c r="HP15" s="25">
        <v>0</v>
      </c>
      <c r="HQ15" s="25">
        <v>0</v>
      </c>
      <c r="HR15" s="25">
        <v>0</v>
      </c>
      <c r="HS15" s="25">
        <v>0</v>
      </c>
      <c r="HT15" s="25">
        <v>0</v>
      </c>
      <c r="HU15" s="25">
        <v>0</v>
      </c>
      <c r="HV15" s="25">
        <v>0</v>
      </c>
      <c r="HW15" s="25">
        <v>0</v>
      </c>
      <c r="HX15" s="25">
        <v>0</v>
      </c>
      <c r="HY15" s="25">
        <v>0</v>
      </c>
      <c r="HZ15" s="25">
        <v>0</v>
      </c>
      <c r="IA15" s="25">
        <v>0</v>
      </c>
      <c r="IB15" s="25">
        <v>0</v>
      </c>
      <c r="IC15" s="25">
        <v>0</v>
      </c>
      <c r="ID15" s="25">
        <v>0</v>
      </c>
      <c r="IE15" s="25">
        <v>0</v>
      </c>
      <c r="IF15" s="25">
        <v>0</v>
      </c>
      <c r="IG15" s="25">
        <v>0</v>
      </c>
      <c r="IH15" s="25">
        <v>0</v>
      </c>
      <c r="II15" s="25">
        <v>0</v>
      </c>
      <c r="IJ15" s="25">
        <v>0</v>
      </c>
      <c r="IK15" s="25">
        <v>0</v>
      </c>
      <c r="IL15" s="25">
        <v>0</v>
      </c>
      <c r="IM15" s="25">
        <v>0</v>
      </c>
      <c r="IN15" s="25">
        <v>0</v>
      </c>
      <c r="IO15" s="25">
        <v>0</v>
      </c>
      <c r="IP15" s="25">
        <v>0</v>
      </c>
      <c r="IQ15" s="25">
        <v>0</v>
      </c>
      <c r="IR15" s="25">
        <v>0</v>
      </c>
      <c r="IS15" s="25">
        <v>0</v>
      </c>
      <c r="IT15" s="25">
        <v>0</v>
      </c>
      <c r="IU15" s="25">
        <v>0</v>
      </c>
      <c r="IV15" s="25">
        <v>0</v>
      </c>
      <c r="IW15" s="25">
        <v>0</v>
      </c>
      <c r="IX15" s="25">
        <v>0</v>
      </c>
      <c r="IY15" s="25">
        <v>0</v>
      </c>
      <c r="IZ15" s="25">
        <v>0</v>
      </c>
      <c r="JA15" s="25">
        <v>0</v>
      </c>
      <c r="JB15" s="25">
        <v>0</v>
      </c>
      <c r="JC15" s="25">
        <v>0</v>
      </c>
      <c r="JD15" s="25">
        <v>0</v>
      </c>
      <c r="JE15" s="25">
        <v>0</v>
      </c>
      <c r="JF15" s="25">
        <v>0</v>
      </c>
      <c r="JG15" s="25">
        <v>0</v>
      </c>
      <c r="JH15" s="25">
        <v>0</v>
      </c>
      <c r="JI15" s="25">
        <v>0</v>
      </c>
      <c r="JJ15" s="25">
        <v>0</v>
      </c>
      <c r="JK15" s="25">
        <v>0</v>
      </c>
      <c r="JL15" s="25">
        <v>0</v>
      </c>
      <c r="JM15" s="25">
        <v>0</v>
      </c>
      <c r="JN15" s="25">
        <v>0</v>
      </c>
      <c r="JO15" s="25">
        <v>0</v>
      </c>
      <c r="JP15" s="25">
        <v>0</v>
      </c>
      <c r="JQ15" s="25">
        <v>0</v>
      </c>
      <c r="JR15" s="25">
        <v>0</v>
      </c>
      <c r="JS15" s="25">
        <v>0</v>
      </c>
      <c r="JT15" s="25">
        <v>0</v>
      </c>
      <c r="JU15" s="25">
        <v>0</v>
      </c>
      <c r="JV15" s="25">
        <v>0</v>
      </c>
      <c r="JW15" s="25">
        <v>0</v>
      </c>
      <c r="JX15" s="25">
        <v>0</v>
      </c>
      <c r="JY15" s="25">
        <v>0</v>
      </c>
      <c r="JZ15" s="25">
        <v>0</v>
      </c>
      <c r="KA15" s="25">
        <v>0</v>
      </c>
      <c r="KB15" s="25">
        <v>0</v>
      </c>
      <c r="KC15" s="25">
        <v>0</v>
      </c>
      <c r="KD15" s="25">
        <v>0</v>
      </c>
      <c r="KE15" s="25">
        <v>0</v>
      </c>
      <c r="KF15" s="25">
        <v>0</v>
      </c>
      <c r="KG15" s="25">
        <v>0</v>
      </c>
      <c r="KH15" s="25">
        <v>0</v>
      </c>
      <c r="KI15" s="25">
        <v>0</v>
      </c>
      <c r="KJ15" s="25">
        <v>0</v>
      </c>
      <c r="KK15" s="25">
        <v>0</v>
      </c>
      <c r="KL15" s="25">
        <v>0</v>
      </c>
      <c r="KM15" s="25">
        <v>0</v>
      </c>
      <c r="KN15" s="25">
        <v>0</v>
      </c>
      <c r="KO15" s="25">
        <v>0</v>
      </c>
      <c r="KP15" s="25">
        <v>0</v>
      </c>
      <c r="KQ15" s="25">
        <v>0</v>
      </c>
      <c r="KR15" s="25">
        <v>0</v>
      </c>
      <c r="KS15" s="25">
        <v>0</v>
      </c>
      <c r="KT15" s="25">
        <v>0</v>
      </c>
      <c r="KU15" s="25">
        <v>0</v>
      </c>
      <c r="KV15" s="25">
        <v>0</v>
      </c>
      <c r="KW15" s="25">
        <v>0</v>
      </c>
      <c r="KX15" s="25">
        <v>0</v>
      </c>
      <c r="KY15" s="25">
        <v>0</v>
      </c>
      <c r="KZ15" s="25">
        <v>0</v>
      </c>
      <c r="LA15" s="25">
        <v>0</v>
      </c>
      <c r="LB15" s="25">
        <v>0</v>
      </c>
      <c r="LC15" s="25">
        <v>0</v>
      </c>
      <c r="LD15" s="25">
        <v>0</v>
      </c>
      <c r="LE15" s="25">
        <v>0</v>
      </c>
      <c r="LF15" s="25">
        <v>0</v>
      </c>
      <c r="LG15" s="25">
        <v>0</v>
      </c>
      <c r="LH15" s="25">
        <v>0</v>
      </c>
      <c r="LI15" s="25">
        <v>0</v>
      </c>
      <c r="LJ15" s="25">
        <v>0</v>
      </c>
      <c r="LK15" s="25">
        <v>0</v>
      </c>
      <c r="LL15" s="25">
        <v>0</v>
      </c>
      <c r="LM15" s="25">
        <v>0</v>
      </c>
      <c r="LN15" s="278">
        <f ca="1">$A15 - DeathsTimeS!Sweden100dt + 1</f>
        <v>-52</v>
      </c>
      <c r="LO15" s="366">
        <f ca="1">INDEX(OFFSET(DeathsTimeS!HeadRow,ROW()-ROW(DeathsTimeS!HeadRow),0,1,COLUMNS(DeathsTimeS!HeadRow)),1,MATCH(LO$5,DeathsTimeS!HeadRow,0))/LO$8</f>
        <v>0</v>
      </c>
      <c r="LP15" s="278">
        <f ca="1">$A15 - DeathsTimeS!Spain100dt</f>
        <v>-45</v>
      </c>
      <c r="LQ15" s="11">
        <f ca="1">INDEX(OFFSET(DeathsTimeS!HeadRow,ROW()-ROW(DeathsTimeS!HeadRow),0,1,COLUMNS(DeathsTimeS!HeadRow)),1,MATCH(LQ$5,DeathsTimeS!HeadRow,0))/LQ$8</f>
        <v>0</v>
      </c>
      <c r="LR15" s="278">
        <f ca="1">$A15 - DeathsTimeS!Victoria100dt</f>
        <v>-68</v>
      </c>
      <c r="LS15" s="11">
        <f ca="1">INDEX(OFFSET(DeathsTimeS!HeadRow,ROW()-ROW(DeathsTimeS!HeadRow),0,1,COLUMNS(DeathsTimeS!HeadRow)),1,MATCH(LS$5,DeathsTimeS!HeadRow,0))/LS$8</f>
        <v>0</v>
      </c>
      <c r="LT15" s="278">
        <f ca="1">$A15 - DeathsTimeS!Iran100dt</f>
        <v>-38</v>
      </c>
      <c r="LU15" s="11">
        <f ca="1">INDEX(OFFSET(DeathsTimeS!HeadRow,ROW()-ROW(DeathsTimeS!HeadRow),0,1,COLUMNS(DeathsTimeS!HeadRow)),1,MATCH(LU$5,DeathsTimeS!HeadRow,0))/LU$8</f>
        <v>0</v>
      </c>
      <c r="LV15" s="278">
        <f ca="1">$A15 - DeathsTimeS!Japan100dt</f>
        <v>-79</v>
      </c>
      <c r="LW15" s="11">
        <f ca="1">INDEX(OFFSET(DeathsTimeS!HeadRow,ROW()-ROW(DeathsTimeS!HeadRow),0,1,COLUMNS(DeathsTimeS!HeadRow)),1,MATCH(LW$5,DeathsTimeS!HeadRow,0))/LW$8</f>
        <v>0</v>
      </c>
      <c r="LX15" s="278">
        <f ca="1">$A15 - DeathsTimeS!Queensland100dt</f>
        <v>-83</v>
      </c>
      <c r="LY15" s="11">
        <f ca="1">INDEX(OFFSET(DeathsTimeS!HeadRow,ROW()-ROW(DeathsTimeS!HeadRow),0,1,COLUMNS(DeathsTimeS!HeadRow)),1,MATCH(LY$5,DeathsTimeS!HeadRow,0))/LY$8</f>
        <v>0</v>
      </c>
      <c r="LZ15" s="278">
        <f ca="1">$A15 - DeathsTimeS!Tasmania100dt</f>
        <v>-65</v>
      </c>
      <c r="MA15" s="11">
        <f ca="1">INDEX(OFFSET(DeathsTimeS!HeadRow,ROW()-ROW(DeathsTimeS!HeadRow),0,1,COLUMNS(DeathsTimeS!HeadRow)),1,MATCH(MA$5,DeathsTimeS!HeadRow,0))/MA$8</f>
        <v>0</v>
      </c>
      <c r="MB15" s="278">
        <f ca="1">$A15 - DeathsTimeS!SouthAustralia100dt</f>
        <v>-73</v>
      </c>
      <c r="MC15" s="11">
        <f ca="1">INDEX(OFFSET(DeathsTimeS!HeadRow,ROW()-ROW(DeathsTimeS!HeadRow),0,1,COLUMNS(DeathsTimeS!HeadRow)),1,MATCH(MC$5,DeathsTimeS!HeadRow,0))/MC$8</f>
        <v>0</v>
      </c>
      <c r="MD15" s="278">
        <f ca="1">$A15 - DeathsTimeS!WesternAustralia100dt</f>
        <v>-70</v>
      </c>
      <c r="ME15" s="11">
        <f ca="1">INDEX(OFFSET(DeathsTimeS!HeadRow,ROW()-ROW(DeathsTimeS!HeadRow),0,1,COLUMNS(DeathsTimeS!HeadRow)),1,MATCH(ME$5,DeathsTimeS!HeadRow,0))/ME$8</f>
        <v>0</v>
      </c>
      <c r="MF15" s="278">
        <f ca="1">$A15 - DeathsTimeS!NewSouthWales100dt</f>
        <v>-66</v>
      </c>
      <c r="MG15" s="11">
        <f ca="1">INDEX(OFFSET(DeathsTimeS!HeadRow,ROW()-ROW(DeathsTimeS!HeadRow),0,1,COLUMNS(DeathsTimeS!HeadRow)),1,MATCH(MG$5,DeathsTimeS!HeadRow,0))/MG$8</f>
        <v>0</v>
      </c>
      <c r="MH15" s="278">
        <f ca="1">$A15 - DeathsTimeS!NewYork100dt</f>
        <v>-50</v>
      </c>
      <c r="MI15" s="11">
        <f ca="1">INDEX(OFFSET(DeathsTimeS!HeadRow,ROW()-ROW(DeathsTimeS!HeadRow),0,1,COLUMNS(DeathsTimeS!HeadRow)),1,MATCH(MI$5,DeathsTimeS!HeadRow,0))/MI$8</f>
        <v>0</v>
      </c>
      <c r="MJ15" s="278">
        <f ca="1">$A15 - DeathsTimeS!Italy100dt</f>
        <v>-37</v>
      </c>
      <c r="MK15" s="11">
        <f ca="1">INDEX(OFFSET(DeathsTimeS!HeadRow,ROW()-ROW(DeathsTimeS!HeadRow),0,1,COLUMNS(DeathsTimeS!HeadRow)),1,MATCH(MK$5,DeathsTimeS!HeadRow,0))/MK$8</f>
        <v>0</v>
      </c>
      <c r="ML15" s="278">
        <f ca="1">$A15 - DeathsTimeS!AustralianCapitalTerritory100dt</f>
        <v>-64</v>
      </c>
      <c r="MM15" s="11">
        <f ca="1">INDEX(OFFSET(DeathsTimeS!HeadRow,ROW()-ROW(DeathsTimeS!HeadRow),0,1,COLUMNS(DeathsTimeS!HeadRow)),1,MATCH(MM$5,DeathsTimeS!HeadRow,0))/MM$8</f>
        <v>0</v>
      </c>
      <c r="MN15" s="278">
        <f ca="1">IF(DeathsTimeS!NorthernTerritory100dt&gt;0,$A15 - DeathsTimeS!NorthernTerritory100dt,"")</f>
        <v>-92</v>
      </c>
      <c r="MO15" s="11">
        <f ca="1">INDEX(OFFSET(DeathsTimeS!HeadRow,ROW()-ROW(DeathsTimeS!HeadRow),0,1,COLUMNS(DeathsTimeS!HeadRow)),1,MATCH(MO$5,DeathsTimeS!HeadRow,0))/MO$8</f>
        <v>0</v>
      </c>
      <c r="MP15" s="278">
        <f ca="1">$A15 - DeathsTimeS!SouthAfrica100dt + 1</f>
        <v>-84</v>
      </c>
      <c r="MQ15" s="20">
        <f ca="1">INDEX(OFFSET(DeathsTimeS!HeadRow,ROW()-ROW(DeathsTimeS!HeadRow),0,1,COLUMNS(DeathsTimeS!HeadRow)),1,MATCH(MQ$5,DeathsTimeS!HeadRow,0))/MQ$8</f>
        <v>0</v>
      </c>
      <c r="MR15" s="278">
        <f ca="1">$A15 - DeathsTimeS!Germany100dt + 1</f>
        <v>-54</v>
      </c>
      <c r="MS15" s="20">
        <f ca="1">INDEX(OFFSET(DeathsTimeS!HeadRow,ROW()-ROW(DeathsTimeS!HeadRow),0,1,COLUMNS(DeathsTimeS!HeadRow)),1,MATCH(MS$5,DeathsTimeS!HeadRow,0))/MS$8</f>
        <v>0</v>
      </c>
      <c r="MT15" s="278">
        <f ca="1">$A15 - DeathsTimeS!Ireland100dt + 1</f>
        <v>-56</v>
      </c>
      <c r="MU15" s="73">
        <f ca="1">INDEX(OFFSET(DeathsTimeS!HeadRow,ROW()-ROW(DeathsTimeS!HeadRow),0,1,COLUMNS(DeathsTimeS!HeadRow)),1,MATCH(MU$5,DeathsTimeS!HeadRow,0))/MU$8</f>
        <v>0</v>
      </c>
      <c r="MV15" s="278">
        <f ca="1">$A15 - DeathsTimeS!UnitedKingdom100dt + 1</f>
        <v>-50</v>
      </c>
      <c r="MW15" s="73">
        <f ca="1">INDEX(OFFSET(DeathsTimeS!HeadRow,ROW()-ROW(DeathsTimeS!HeadRow),0,1,COLUMNS(DeathsTimeS!HeadRow)),1,MATCH(MW$5,DeathsTimeS!HeadRow,0))/MW$8</f>
        <v>0</v>
      </c>
      <c r="MX15" s="278">
        <f ca="1">$A15 - DeathsTimeS!Denmark100dt + 1</f>
        <v>-52</v>
      </c>
      <c r="MY15" s="73">
        <f ca="1">INDEX(OFFSET(DeathsTimeS!HeadRow,ROW()-ROW(DeathsTimeS!HeadRow),0,1,COLUMNS(DeathsTimeS!HeadRow)),1,MATCH(MY$5,DeathsTimeS!HeadRow,0))/MY$8</f>
        <v>0</v>
      </c>
      <c r="MZ15" s="278">
        <f ca="1">$A15 - DeathsTimeS!US100dt + 1</f>
        <v>-53</v>
      </c>
      <c r="NA15" s="73">
        <f ca="1">INDEX(OFFSET(DeathsTimeS!HeadRow,ROW()-ROW(DeathsTimeS!HeadRow),0,1,COLUMNS(DeathsTimeS!HeadRow)),1,MATCH(NA$5,DeathsTimeS!HeadRow,0))/NA$8</f>
        <v>0</v>
      </c>
      <c r="NB15" s="278">
        <f ca="1">$A15 - DeathsTimeS!AustraliaSum100dt + 1</f>
        <v>-59</v>
      </c>
      <c r="NC15" s="366">
        <f t="shared" si="6"/>
        <v>0</v>
      </c>
      <c r="ND15" s="278">
        <f ca="1">$A15 - DeathsTimeS!Taiwan100dt + 1</f>
        <v>-91</v>
      </c>
      <c r="NE15" s="366">
        <f ca="1">INDEX(OFFSET(DeathsTimeS!HeadRow,ROW()-ROW(DeathsTimeS!HeadRow),0,1,COLUMNS(DeathsTimeS!HeadRow)),1,MATCH(NE$5,DeathsTimeS!HeadRow,0))/NE$8</f>
        <v>0</v>
      </c>
      <c r="NF15" s="278">
        <f ca="1">$A15 - DeathsTimeS!Hubei100dt + 1</f>
        <v>0</v>
      </c>
      <c r="NG15" s="366">
        <f ca="1">INDEX(OFFSET(DeathsTimeS!HeadRow,ROW()-ROW(DeathsTimeS!HeadRow),0,1,COLUMNS(DeathsTimeS!HeadRow)),1,MATCH(NG$5,DeathsTimeS!HeadRow,0))/NG$8</f>
        <v>8.8888888888888893</v>
      </c>
      <c r="NH15" s="278">
        <f ca="1">$A15 - DeathsTimeS!HongKong100dt + 1</f>
        <v>-91</v>
      </c>
      <c r="NI15" s="366">
        <f ca="1">INDEX(OFFSET(DeathsTimeS!HeadRow,ROW()-ROW(DeathsTimeS!HeadRow),0,1,COLUMNS(DeathsTimeS!HeadRow)),1,MATCH(NI$5,DeathsTimeS!HeadRow,0))/NI$8</f>
        <v>0</v>
      </c>
    </row>
    <row r="16" spans="1:373" x14ac:dyDescent="0.25">
      <c r="A16" s="156">
        <v>43857</v>
      </c>
      <c r="B16" s="25">
        <v>0</v>
      </c>
      <c r="C16" s="25">
        <v>0</v>
      </c>
      <c r="D16" s="25">
        <v>0</v>
      </c>
      <c r="E16" s="25">
        <v>0</v>
      </c>
      <c r="F16" s="25">
        <v>0</v>
      </c>
      <c r="G16" s="25">
        <v>0</v>
      </c>
      <c r="H16" s="25">
        <v>0</v>
      </c>
      <c r="I16" s="25">
        <v>0</v>
      </c>
      <c r="J16" s="25">
        <v>0</v>
      </c>
      <c r="K16" s="25">
        <v>0</v>
      </c>
      <c r="L16" s="25">
        <v>0</v>
      </c>
      <c r="M16" s="25">
        <v>0</v>
      </c>
      <c r="N16" s="25">
        <v>0</v>
      </c>
      <c r="O16" s="25">
        <v>0</v>
      </c>
      <c r="P16" s="25">
        <v>0</v>
      </c>
      <c r="Q16" s="25">
        <v>0</v>
      </c>
      <c r="R16" s="25">
        <v>0</v>
      </c>
      <c r="S16" s="25">
        <v>0</v>
      </c>
      <c r="T16" s="25">
        <v>0</v>
      </c>
      <c r="U16" s="25">
        <v>0</v>
      </c>
      <c r="V16" s="25">
        <v>0</v>
      </c>
      <c r="W16" s="25">
        <v>0</v>
      </c>
      <c r="X16" s="25">
        <v>0</v>
      </c>
      <c r="Y16" s="25">
        <v>0</v>
      </c>
      <c r="Z16" s="25">
        <v>0</v>
      </c>
      <c r="AA16" s="25">
        <v>0</v>
      </c>
      <c r="AB16" s="25">
        <v>0</v>
      </c>
      <c r="AC16" s="25">
        <v>0</v>
      </c>
      <c r="AD16" s="25">
        <v>0</v>
      </c>
      <c r="AE16" s="25">
        <v>0</v>
      </c>
      <c r="AF16" s="25">
        <v>0</v>
      </c>
      <c r="AG16" s="25">
        <v>0</v>
      </c>
      <c r="AH16" s="25">
        <v>0</v>
      </c>
      <c r="AI16" s="25">
        <v>0</v>
      </c>
      <c r="AJ16" s="25">
        <v>0</v>
      </c>
      <c r="AK16" s="25">
        <v>0</v>
      </c>
      <c r="AL16" s="25">
        <v>0</v>
      </c>
      <c r="AM16" s="25">
        <v>0</v>
      </c>
      <c r="AN16" s="25">
        <v>0</v>
      </c>
      <c r="AO16" s="25">
        <v>0</v>
      </c>
      <c r="AP16" s="25">
        <v>0</v>
      </c>
      <c r="AQ16" s="25">
        <v>0</v>
      </c>
      <c r="AR16" s="25">
        <v>0</v>
      </c>
      <c r="AS16" s="25">
        <v>0</v>
      </c>
      <c r="AT16" s="25">
        <v>0</v>
      </c>
      <c r="AU16" s="25">
        <v>0</v>
      </c>
      <c r="AV16" s="25">
        <v>0</v>
      </c>
      <c r="AW16" s="25">
        <v>0</v>
      </c>
      <c r="AX16" s="25">
        <v>0</v>
      </c>
      <c r="AY16" s="25">
        <v>0</v>
      </c>
      <c r="AZ16" s="25">
        <v>1</v>
      </c>
      <c r="BA16" s="25">
        <v>0</v>
      </c>
      <c r="BB16" s="25">
        <v>0</v>
      </c>
      <c r="BC16" s="25">
        <v>0</v>
      </c>
      <c r="BD16" s="25">
        <v>0</v>
      </c>
      <c r="BE16" s="25">
        <v>0</v>
      </c>
      <c r="BF16" s="25">
        <v>0</v>
      </c>
      <c r="BG16" s="25">
        <v>1</v>
      </c>
      <c r="BH16" s="25">
        <v>1</v>
      </c>
      <c r="BI16" s="25">
        <v>1</v>
      </c>
      <c r="BJ16" s="25">
        <v>1</v>
      </c>
      <c r="BK16" s="25">
        <v>0</v>
      </c>
      <c r="BL16" s="25">
        <v>76</v>
      </c>
      <c r="BM16" s="25">
        <v>0</v>
      </c>
      <c r="BN16" s="25">
        <v>0</v>
      </c>
      <c r="BO16" s="25">
        <v>0</v>
      </c>
      <c r="BP16" s="25">
        <v>0</v>
      </c>
      <c r="BQ16" s="25">
        <v>0</v>
      </c>
      <c r="BR16" s="25">
        <v>0</v>
      </c>
      <c r="BS16" s="25">
        <v>0</v>
      </c>
      <c r="BT16" s="25">
        <v>0</v>
      </c>
      <c r="BU16" s="25">
        <v>0</v>
      </c>
      <c r="BV16" s="25">
        <v>0</v>
      </c>
      <c r="BW16" s="25">
        <v>0</v>
      </c>
      <c r="BX16" s="25">
        <v>1</v>
      </c>
      <c r="BY16" s="25">
        <v>0</v>
      </c>
      <c r="BZ16" s="25">
        <v>0</v>
      </c>
      <c r="CA16" s="25">
        <v>0</v>
      </c>
      <c r="CB16" s="25">
        <v>0</v>
      </c>
      <c r="CC16" s="25">
        <v>0</v>
      </c>
      <c r="CD16" s="25">
        <v>0</v>
      </c>
      <c r="CE16" s="25">
        <v>0</v>
      </c>
      <c r="CF16" s="25">
        <v>0</v>
      </c>
      <c r="CG16" s="25">
        <v>0</v>
      </c>
      <c r="CH16" s="25">
        <v>0</v>
      </c>
      <c r="CI16" s="25">
        <v>0</v>
      </c>
      <c r="CJ16" s="25">
        <v>0</v>
      </c>
      <c r="CK16" s="25">
        <v>0</v>
      </c>
      <c r="CL16" s="25">
        <v>0</v>
      </c>
      <c r="CM16" s="25">
        <v>0</v>
      </c>
      <c r="CN16" s="25">
        <v>0</v>
      </c>
      <c r="CO16" s="25">
        <v>0</v>
      </c>
      <c r="CP16" s="25">
        <v>0</v>
      </c>
      <c r="CQ16" s="25">
        <v>0</v>
      </c>
      <c r="CR16" s="25">
        <v>0</v>
      </c>
      <c r="CS16" s="25">
        <v>0</v>
      </c>
      <c r="CT16" s="25">
        <v>0</v>
      </c>
      <c r="CU16" s="25">
        <v>0</v>
      </c>
      <c r="CV16" s="25">
        <v>0</v>
      </c>
      <c r="CW16" s="25">
        <v>0</v>
      </c>
      <c r="CX16" s="25">
        <v>0</v>
      </c>
      <c r="CY16" s="25">
        <v>0</v>
      </c>
      <c r="CZ16" s="25">
        <v>0</v>
      </c>
      <c r="DA16" s="25">
        <v>0</v>
      </c>
      <c r="DB16" s="25">
        <v>0</v>
      </c>
      <c r="DC16" s="25">
        <v>0</v>
      </c>
      <c r="DD16" s="25">
        <v>0</v>
      </c>
      <c r="DE16" s="25">
        <v>0</v>
      </c>
      <c r="DF16" s="25">
        <v>0</v>
      </c>
      <c r="DG16" s="25">
        <v>0</v>
      </c>
      <c r="DH16" s="25">
        <v>0</v>
      </c>
      <c r="DI16" s="25">
        <v>0</v>
      </c>
      <c r="DJ16" s="25">
        <v>0</v>
      </c>
      <c r="DK16" s="25">
        <v>0</v>
      </c>
      <c r="DL16" s="25">
        <v>0</v>
      </c>
      <c r="DM16" s="25">
        <v>0</v>
      </c>
      <c r="DN16" s="25">
        <v>0</v>
      </c>
      <c r="DO16" s="25">
        <v>0</v>
      </c>
      <c r="DP16" s="25">
        <v>0</v>
      </c>
      <c r="DQ16" s="25">
        <v>0</v>
      </c>
      <c r="DR16" s="25">
        <v>0</v>
      </c>
      <c r="DS16" s="25">
        <v>0</v>
      </c>
      <c r="DT16" s="25">
        <v>0</v>
      </c>
      <c r="DU16" s="25">
        <v>0</v>
      </c>
      <c r="DV16" s="25">
        <v>0</v>
      </c>
      <c r="DW16" s="25">
        <v>0</v>
      </c>
      <c r="DX16" s="25">
        <v>0</v>
      </c>
      <c r="DY16" s="25">
        <v>0</v>
      </c>
      <c r="DZ16" s="25">
        <v>0</v>
      </c>
      <c r="EA16" s="25">
        <v>0</v>
      </c>
      <c r="EB16" s="25">
        <v>0</v>
      </c>
      <c r="EC16" s="25">
        <v>0</v>
      </c>
      <c r="ED16" s="25">
        <v>0</v>
      </c>
      <c r="EE16" s="25">
        <v>0</v>
      </c>
      <c r="EF16" s="25">
        <v>0</v>
      </c>
      <c r="EG16" s="25">
        <v>0</v>
      </c>
      <c r="EH16" s="25">
        <v>0</v>
      </c>
      <c r="EI16" s="25">
        <v>0</v>
      </c>
      <c r="EJ16" s="25">
        <v>0</v>
      </c>
      <c r="EK16" s="25">
        <v>0</v>
      </c>
      <c r="EL16" s="25">
        <v>0</v>
      </c>
      <c r="EM16" s="25">
        <v>0</v>
      </c>
      <c r="EN16" s="25">
        <v>0</v>
      </c>
      <c r="EO16" s="25">
        <v>0</v>
      </c>
      <c r="EP16" s="25">
        <v>0</v>
      </c>
      <c r="EQ16" s="25">
        <v>0</v>
      </c>
      <c r="ER16" s="25">
        <v>0</v>
      </c>
      <c r="ES16" s="25">
        <v>0</v>
      </c>
      <c r="ET16" s="25">
        <v>0</v>
      </c>
      <c r="EU16" s="25">
        <v>0</v>
      </c>
      <c r="EV16" s="25">
        <v>0</v>
      </c>
      <c r="EW16" s="25">
        <v>0</v>
      </c>
      <c r="EX16" s="25">
        <v>0</v>
      </c>
      <c r="EY16" s="25">
        <v>0</v>
      </c>
      <c r="EZ16" s="25">
        <v>0</v>
      </c>
      <c r="FA16" s="25">
        <v>0</v>
      </c>
      <c r="FB16" s="25">
        <v>0</v>
      </c>
      <c r="FC16" s="25">
        <v>0</v>
      </c>
      <c r="FD16" s="25">
        <v>0</v>
      </c>
      <c r="FE16" s="25">
        <v>0</v>
      </c>
      <c r="FF16" s="25">
        <v>0</v>
      </c>
      <c r="FG16" s="25">
        <v>0</v>
      </c>
      <c r="FH16" s="25">
        <v>0</v>
      </c>
      <c r="FI16" s="25">
        <v>0</v>
      </c>
      <c r="FJ16" s="25">
        <v>0</v>
      </c>
      <c r="FK16" s="25">
        <v>0</v>
      </c>
      <c r="FL16" s="25">
        <v>0</v>
      </c>
      <c r="FM16" s="25">
        <v>0</v>
      </c>
      <c r="FN16" s="25">
        <v>0</v>
      </c>
      <c r="FO16" s="25">
        <v>0</v>
      </c>
      <c r="FP16" s="25">
        <v>0</v>
      </c>
      <c r="FQ16" s="25">
        <v>0</v>
      </c>
      <c r="FR16" s="25">
        <v>0</v>
      </c>
      <c r="FS16" s="25">
        <v>0</v>
      </c>
      <c r="FT16" s="25">
        <v>0</v>
      </c>
      <c r="FU16" s="25">
        <v>0</v>
      </c>
      <c r="FV16" s="25">
        <v>0</v>
      </c>
      <c r="FW16" s="25">
        <v>0</v>
      </c>
      <c r="FX16" s="25">
        <v>0</v>
      </c>
      <c r="FY16" s="25">
        <v>0</v>
      </c>
      <c r="FZ16" s="25">
        <v>0</v>
      </c>
      <c r="GA16" s="25">
        <v>0</v>
      </c>
      <c r="GB16" s="25">
        <v>0</v>
      </c>
      <c r="GC16" s="25">
        <v>0</v>
      </c>
      <c r="GD16" s="25">
        <v>0</v>
      </c>
      <c r="GE16" s="25">
        <v>0</v>
      </c>
      <c r="GF16" s="25">
        <v>0</v>
      </c>
      <c r="GG16" s="25">
        <v>0</v>
      </c>
      <c r="GH16" s="25">
        <v>0</v>
      </c>
      <c r="GI16" s="25">
        <v>0</v>
      </c>
      <c r="GJ16" s="25">
        <v>0</v>
      </c>
      <c r="GK16" s="25">
        <v>0</v>
      </c>
      <c r="GL16" s="25">
        <v>0</v>
      </c>
      <c r="GM16" s="25">
        <v>0</v>
      </c>
      <c r="GN16" s="25">
        <v>0</v>
      </c>
      <c r="GO16" s="25">
        <v>0</v>
      </c>
      <c r="GP16" s="25">
        <v>0</v>
      </c>
      <c r="GQ16" s="25">
        <v>0</v>
      </c>
      <c r="GR16" s="25">
        <v>0</v>
      </c>
      <c r="GS16" s="25">
        <v>0</v>
      </c>
      <c r="GT16" s="25">
        <v>0</v>
      </c>
      <c r="GU16" s="25">
        <v>0</v>
      </c>
      <c r="GV16" s="25">
        <v>0</v>
      </c>
      <c r="GW16" s="25">
        <v>0</v>
      </c>
      <c r="GX16" s="25">
        <v>0</v>
      </c>
      <c r="GY16" s="46">
        <v>0</v>
      </c>
      <c r="GZ16" s="25">
        <v>0</v>
      </c>
      <c r="HA16" s="25">
        <v>0</v>
      </c>
      <c r="HB16" s="25">
        <v>0</v>
      </c>
      <c r="HC16" s="25">
        <v>0</v>
      </c>
      <c r="HD16" s="25">
        <v>0</v>
      </c>
      <c r="HE16" s="25">
        <v>0</v>
      </c>
      <c r="HF16" s="25">
        <v>0</v>
      </c>
      <c r="HG16" s="25">
        <v>0</v>
      </c>
      <c r="HH16" s="25">
        <v>0</v>
      </c>
      <c r="HI16" s="25">
        <v>0</v>
      </c>
      <c r="HJ16" s="25">
        <v>0</v>
      </c>
      <c r="HK16" s="25">
        <v>0</v>
      </c>
      <c r="HL16" s="25">
        <v>0</v>
      </c>
      <c r="HM16" s="25">
        <v>0</v>
      </c>
      <c r="HN16" s="25">
        <v>0</v>
      </c>
      <c r="HO16" s="25">
        <v>0</v>
      </c>
      <c r="HP16" s="25">
        <v>0</v>
      </c>
      <c r="HQ16" s="25">
        <v>0</v>
      </c>
      <c r="HR16" s="25">
        <v>0</v>
      </c>
      <c r="HS16" s="25">
        <v>0</v>
      </c>
      <c r="HT16" s="25">
        <v>0</v>
      </c>
      <c r="HU16" s="25">
        <v>0</v>
      </c>
      <c r="HV16" s="25">
        <v>0</v>
      </c>
      <c r="HW16" s="25">
        <v>0</v>
      </c>
      <c r="HX16" s="25">
        <v>0</v>
      </c>
      <c r="HY16" s="25">
        <v>0</v>
      </c>
      <c r="HZ16" s="25">
        <v>0</v>
      </c>
      <c r="IA16" s="25">
        <v>0</v>
      </c>
      <c r="IB16" s="25">
        <v>0</v>
      </c>
      <c r="IC16" s="25">
        <v>0</v>
      </c>
      <c r="ID16" s="25">
        <v>0</v>
      </c>
      <c r="IE16" s="25">
        <v>0</v>
      </c>
      <c r="IF16" s="25">
        <v>0</v>
      </c>
      <c r="IG16" s="25">
        <v>0</v>
      </c>
      <c r="IH16" s="25">
        <v>0</v>
      </c>
      <c r="II16" s="25">
        <v>0</v>
      </c>
      <c r="IJ16" s="25">
        <v>0</v>
      </c>
      <c r="IK16" s="25">
        <v>0</v>
      </c>
      <c r="IL16" s="25">
        <v>0</v>
      </c>
      <c r="IM16" s="25">
        <v>0</v>
      </c>
      <c r="IN16" s="25">
        <v>0</v>
      </c>
      <c r="IO16" s="25">
        <v>0</v>
      </c>
      <c r="IP16" s="25">
        <v>0</v>
      </c>
      <c r="IQ16" s="25">
        <v>0</v>
      </c>
      <c r="IR16" s="25">
        <v>0</v>
      </c>
      <c r="IS16" s="25">
        <v>0</v>
      </c>
      <c r="IT16" s="25">
        <v>0</v>
      </c>
      <c r="IU16" s="25">
        <v>0</v>
      </c>
      <c r="IV16" s="25">
        <v>0</v>
      </c>
      <c r="IW16" s="25">
        <v>0</v>
      </c>
      <c r="IX16" s="25">
        <v>0</v>
      </c>
      <c r="IY16" s="25">
        <v>0</v>
      </c>
      <c r="IZ16" s="25">
        <v>0</v>
      </c>
      <c r="JA16" s="25">
        <v>0</v>
      </c>
      <c r="JB16" s="25">
        <v>0</v>
      </c>
      <c r="JC16" s="25">
        <v>0</v>
      </c>
      <c r="JD16" s="25">
        <v>0</v>
      </c>
      <c r="JE16" s="25">
        <v>0</v>
      </c>
      <c r="JF16" s="25">
        <v>0</v>
      </c>
      <c r="JG16" s="25">
        <v>0</v>
      </c>
      <c r="JH16" s="25">
        <v>0</v>
      </c>
      <c r="JI16" s="25">
        <v>0</v>
      </c>
      <c r="JJ16" s="25">
        <v>0</v>
      </c>
      <c r="JK16" s="25">
        <v>0</v>
      </c>
      <c r="JL16" s="25">
        <v>0</v>
      </c>
      <c r="JM16" s="25">
        <v>0</v>
      </c>
      <c r="JN16" s="25">
        <v>0</v>
      </c>
      <c r="JO16" s="25">
        <v>0</v>
      </c>
      <c r="JP16" s="25">
        <v>0</v>
      </c>
      <c r="JQ16" s="25">
        <v>0</v>
      </c>
      <c r="JR16" s="25">
        <v>0</v>
      </c>
      <c r="JS16" s="25">
        <v>0</v>
      </c>
      <c r="JT16" s="25">
        <v>0</v>
      </c>
      <c r="JU16" s="25">
        <v>0</v>
      </c>
      <c r="JV16" s="25">
        <v>0</v>
      </c>
      <c r="JW16" s="25">
        <v>0</v>
      </c>
      <c r="JX16" s="25">
        <v>0</v>
      </c>
      <c r="JY16" s="25">
        <v>0</v>
      </c>
      <c r="JZ16" s="25">
        <v>0</v>
      </c>
      <c r="KA16" s="25">
        <v>0</v>
      </c>
      <c r="KB16" s="25">
        <v>0</v>
      </c>
      <c r="KC16" s="25">
        <v>0</v>
      </c>
      <c r="KD16" s="25">
        <v>0</v>
      </c>
      <c r="KE16" s="25">
        <v>0</v>
      </c>
      <c r="KF16" s="25">
        <v>0</v>
      </c>
      <c r="KG16" s="25">
        <v>0</v>
      </c>
      <c r="KH16" s="25">
        <v>0</v>
      </c>
      <c r="KI16" s="25">
        <v>0</v>
      </c>
      <c r="KJ16" s="25">
        <v>0</v>
      </c>
      <c r="KK16" s="25">
        <v>0</v>
      </c>
      <c r="KL16" s="25">
        <v>0</v>
      </c>
      <c r="KM16" s="25">
        <v>0</v>
      </c>
      <c r="KN16" s="25">
        <v>0</v>
      </c>
      <c r="KO16" s="25">
        <v>0</v>
      </c>
      <c r="KP16" s="25">
        <v>0</v>
      </c>
      <c r="KQ16" s="25">
        <v>0</v>
      </c>
      <c r="KR16" s="25">
        <v>0</v>
      </c>
      <c r="KS16" s="25">
        <v>0</v>
      </c>
      <c r="KT16" s="25">
        <v>0</v>
      </c>
      <c r="KU16" s="25">
        <v>0</v>
      </c>
      <c r="KV16" s="25">
        <v>0</v>
      </c>
      <c r="KW16" s="25">
        <v>0</v>
      </c>
      <c r="KX16" s="25">
        <v>0</v>
      </c>
      <c r="KY16" s="25">
        <v>0</v>
      </c>
      <c r="KZ16" s="25">
        <v>0</v>
      </c>
      <c r="LA16" s="25">
        <v>0</v>
      </c>
      <c r="LB16" s="25">
        <v>0</v>
      </c>
      <c r="LC16" s="25">
        <v>0</v>
      </c>
      <c r="LD16" s="25">
        <v>0</v>
      </c>
      <c r="LE16" s="25">
        <v>0</v>
      </c>
      <c r="LF16" s="25">
        <v>0</v>
      </c>
      <c r="LG16" s="25">
        <v>0</v>
      </c>
      <c r="LH16" s="25">
        <v>0</v>
      </c>
      <c r="LI16" s="25">
        <v>0</v>
      </c>
      <c r="LJ16" s="25">
        <v>0</v>
      </c>
      <c r="LK16" s="25">
        <v>0</v>
      </c>
      <c r="LL16" s="25">
        <v>0</v>
      </c>
      <c r="LM16" s="25">
        <v>0</v>
      </c>
      <c r="LN16" s="278">
        <f ca="1">$A16 - DeathsTimeS!Sweden100dt + 1</f>
        <v>-51</v>
      </c>
      <c r="LO16" s="366">
        <f ca="1">INDEX(OFFSET(DeathsTimeS!HeadRow,ROW()-ROW(DeathsTimeS!HeadRow),0,1,COLUMNS(DeathsTimeS!HeadRow)),1,MATCH(LO$5,DeathsTimeS!HeadRow,0))/LO$8</f>
        <v>0</v>
      </c>
      <c r="LP16" s="278">
        <f ca="1">$A16 - DeathsTimeS!Spain100dt</f>
        <v>-44</v>
      </c>
      <c r="LQ16" s="11">
        <f ca="1">INDEX(OFFSET(DeathsTimeS!HeadRow,ROW()-ROW(DeathsTimeS!HeadRow),0,1,COLUMNS(DeathsTimeS!HeadRow)),1,MATCH(LQ$5,DeathsTimeS!HeadRow,0))/LQ$8</f>
        <v>0</v>
      </c>
      <c r="LR16" s="278">
        <f ca="1">$A16 - DeathsTimeS!Victoria100dt</f>
        <v>-67</v>
      </c>
      <c r="LS16" s="11">
        <f ca="1">INDEX(OFFSET(DeathsTimeS!HeadRow,ROW()-ROW(DeathsTimeS!HeadRow),0,1,COLUMNS(DeathsTimeS!HeadRow)),1,MATCH(LS$5,DeathsTimeS!HeadRow,0))/LS$8</f>
        <v>0</v>
      </c>
      <c r="LT16" s="278">
        <f ca="1">$A16 - DeathsTimeS!Iran100dt</f>
        <v>-37</v>
      </c>
      <c r="LU16" s="11">
        <f ca="1">INDEX(OFFSET(DeathsTimeS!HeadRow,ROW()-ROW(DeathsTimeS!HeadRow),0,1,COLUMNS(DeathsTimeS!HeadRow)),1,MATCH(LU$5,DeathsTimeS!HeadRow,0))/LU$8</f>
        <v>0</v>
      </c>
      <c r="LV16" s="278">
        <f ca="1">$A16 - DeathsTimeS!Japan100dt</f>
        <v>-78</v>
      </c>
      <c r="LW16" s="11">
        <f ca="1">INDEX(OFFSET(DeathsTimeS!HeadRow,ROW()-ROW(DeathsTimeS!HeadRow),0,1,COLUMNS(DeathsTimeS!HeadRow)),1,MATCH(LW$5,DeathsTimeS!HeadRow,0))/LW$8</f>
        <v>0</v>
      </c>
      <c r="LX16" s="278">
        <f ca="1">$A16 - DeathsTimeS!Queensland100dt</f>
        <v>-82</v>
      </c>
      <c r="LY16" s="11">
        <f ca="1">INDEX(OFFSET(DeathsTimeS!HeadRow,ROW()-ROW(DeathsTimeS!HeadRow),0,1,COLUMNS(DeathsTimeS!HeadRow)),1,MATCH(LY$5,DeathsTimeS!HeadRow,0))/LY$8</f>
        <v>0</v>
      </c>
      <c r="LZ16" s="278">
        <f ca="1">$A16 - DeathsTimeS!Tasmania100dt</f>
        <v>-64</v>
      </c>
      <c r="MA16" s="11">
        <f ca="1">INDEX(OFFSET(DeathsTimeS!HeadRow,ROW()-ROW(DeathsTimeS!HeadRow),0,1,COLUMNS(DeathsTimeS!HeadRow)),1,MATCH(MA$5,DeathsTimeS!HeadRow,0))/MA$8</f>
        <v>0</v>
      </c>
      <c r="MB16" s="278">
        <f ca="1">$A16 - DeathsTimeS!SouthAustralia100dt</f>
        <v>-72</v>
      </c>
      <c r="MC16" s="11">
        <f ca="1">INDEX(OFFSET(DeathsTimeS!HeadRow,ROW()-ROW(DeathsTimeS!HeadRow),0,1,COLUMNS(DeathsTimeS!HeadRow)),1,MATCH(MC$5,DeathsTimeS!HeadRow,0))/MC$8</f>
        <v>0</v>
      </c>
      <c r="MD16" s="278">
        <f ca="1">$A16 - DeathsTimeS!WesternAustralia100dt</f>
        <v>-69</v>
      </c>
      <c r="ME16" s="11">
        <f ca="1">INDEX(OFFSET(DeathsTimeS!HeadRow,ROW()-ROW(DeathsTimeS!HeadRow),0,1,COLUMNS(DeathsTimeS!HeadRow)),1,MATCH(ME$5,DeathsTimeS!HeadRow,0))/ME$8</f>
        <v>0</v>
      </c>
      <c r="MF16" s="278">
        <f ca="1">$A16 - DeathsTimeS!NewSouthWales100dt</f>
        <v>-65</v>
      </c>
      <c r="MG16" s="11">
        <f ca="1">INDEX(OFFSET(DeathsTimeS!HeadRow,ROW()-ROW(DeathsTimeS!HeadRow),0,1,COLUMNS(DeathsTimeS!HeadRow)),1,MATCH(MG$5,DeathsTimeS!HeadRow,0))/MG$8</f>
        <v>0</v>
      </c>
      <c r="MH16" s="278">
        <f ca="1">$A16 - DeathsTimeS!NewYork100dt</f>
        <v>-49</v>
      </c>
      <c r="MI16" s="11">
        <f ca="1">INDEX(OFFSET(DeathsTimeS!HeadRow,ROW()-ROW(DeathsTimeS!HeadRow),0,1,COLUMNS(DeathsTimeS!HeadRow)),1,MATCH(MI$5,DeathsTimeS!HeadRow,0))/MI$8</f>
        <v>0</v>
      </c>
      <c r="MJ16" s="278">
        <f ca="1">$A16 - DeathsTimeS!Italy100dt</f>
        <v>-36</v>
      </c>
      <c r="MK16" s="11">
        <f ca="1">INDEX(OFFSET(DeathsTimeS!HeadRow,ROW()-ROW(DeathsTimeS!HeadRow),0,1,COLUMNS(DeathsTimeS!HeadRow)),1,MATCH(MK$5,DeathsTimeS!HeadRow,0))/MK$8</f>
        <v>0</v>
      </c>
      <c r="ML16" s="278">
        <f ca="1">$A16 - DeathsTimeS!AustralianCapitalTerritory100dt</f>
        <v>-63</v>
      </c>
      <c r="MM16" s="11">
        <f ca="1">INDEX(OFFSET(DeathsTimeS!HeadRow,ROW()-ROW(DeathsTimeS!HeadRow),0,1,COLUMNS(DeathsTimeS!HeadRow)),1,MATCH(MM$5,DeathsTimeS!HeadRow,0))/MM$8</f>
        <v>0</v>
      </c>
      <c r="MN16" s="278">
        <f ca="1">IF(DeathsTimeS!NorthernTerritory100dt&gt;0,$A16 - DeathsTimeS!NorthernTerritory100dt,"")</f>
        <v>-91</v>
      </c>
      <c r="MO16" s="11">
        <f ca="1">INDEX(OFFSET(DeathsTimeS!HeadRow,ROW()-ROW(DeathsTimeS!HeadRow),0,1,COLUMNS(DeathsTimeS!HeadRow)),1,MATCH(MO$5,DeathsTimeS!HeadRow,0))/MO$8</f>
        <v>0</v>
      </c>
      <c r="MP16" s="278">
        <f ca="1">$A16 - DeathsTimeS!SouthAfrica100dt + 1</f>
        <v>-83</v>
      </c>
      <c r="MQ16" s="20">
        <f ca="1">INDEX(OFFSET(DeathsTimeS!HeadRow,ROW()-ROW(DeathsTimeS!HeadRow),0,1,COLUMNS(DeathsTimeS!HeadRow)),1,MATCH(MQ$5,DeathsTimeS!HeadRow,0))/MQ$8</f>
        <v>0</v>
      </c>
      <c r="MR16" s="278">
        <f ca="1">$A16 - DeathsTimeS!Germany100dt + 1</f>
        <v>-53</v>
      </c>
      <c r="MS16" s="20">
        <f ca="1">INDEX(OFFSET(DeathsTimeS!HeadRow,ROW()-ROW(DeathsTimeS!HeadRow),0,1,COLUMNS(DeathsTimeS!HeadRow)),1,MATCH(MS$5,DeathsTimeS!HeadRow,0))/MS$8</f>
        <v>0</v>
      </c>
      <c r="MT16" s="278">
        <f ca="1">$A16 - DeathsTimeS!Ireland100dt + 1</f>
        <v>-55</v>
      </c>
      <c r="MU16" s="73">
        <f ca="1">INDEX(OFFSET(DeathsTimeS!HeadRow,ROW()-ROW(DeathsTimeS!HeadRow),0,1,COLUMNS(DeathsTimeS!HeadRow)),1,MATCH(MU$5,DeathsTimeS!HeadRow,0))/MU$8</f>
        <v>0</v>
      </c>
      <c r="MV16" s="278">
        <f ca="1">$A16 - DeathsTimeS!UnitedKingdom100dt + 1</f>
        <v>-49</v>
      </c>
      <c r="MW16" s="73">
        <f ca="1">INDEX(OFFSET(DeathsTimeS!HeadRow,ROW()-ROW(DeathsTimeS!HeadRow),0,1,COLUMNS(DeathsTimeS!HeadRow)),1,MATCH(MW$5,DeathsTimeS!HeadRow,0))/MW$8</f>
        <v>0</v>
      </c>
      <c r="MX16" s="278">
        <f ca="1">$A16 - DeathsTimeS!Denmark100dt + 1</f>
        <v>-51</v>
      </c>
      <c r="MY16" s="73">
        <f ca="1">INDEX(OFFSET(DeathsTimeS!HeadRow,ROW()-ROW(DeathsTimeS!HeadRow),0,1,COLUMNS(DeathsTimeS!HeadRow)),1,MATCH(MY$5,DeathsTimeS!HeadRow,0))/MY$8</f>
        <v>0</v>
      </c>
      <c r="MZ16" s="278">
        <f ca="1">$A16 - DeathsTimeS!US100dt + 1</f>
        <v>-52</v>
      </c>
      <c r="NA16" s="73">
        <f ca="1">INDEX(OFFSET(DeathsTimeS!HeadRow,ROW()-ROW(DeathsTimeS!HeadRow),0,1,COLUMNS(DeathsTimeS!HeadRow)),1,MATCH(NA$5,DeathsTimeS!HeadRow,0))/NA$8</f>
        <v>0</v>
      </c>
      <c r="NB16" s="278">
        <f ca="1">$A16 - DeathsTimeS!AustraliaSum100dt + 1</f>
        <v>-58</v>
      </c>
      <c r="NC16" s="366">
        <f t="shared" si="6"/>
        <v>0</v>
      </c>
      <c r="ND16" s="278">
        <f ca="1">$A16 - DeathsTimeS!Taiwan100dt + 1</f>
        <v>-90</v>
      </c>
      <c r="NE16" s="366">
        <f ca="1">INDEX(OFFSET(DeathsTimeS!HeadRow,ROW()-ROW(DeathsTimeS!HeadRow),0,1,COLUMNS(DeathsTimeS!HeadRow)),1,MATCH(NE$5,DeathsTimeS!HeadRow,0))/NE$8</f>
        <v>0</v>
      </c>
      <c r="NF16" s="278">
        <f ca="1">$A16 - DeathsTimeS!Hubei100dt + 1</f>
        <v>1</v>
      </c>
      <c r="NG16" s="366">
        <f ca="1">INDEX(OFFSET(DeathsTimeS!HeadRow,ROW()-ROW(DeathsTimeS!HeadRow),0,1,COLUMNS(DeathsTimeS!HeadRow)),1,MATCH(NG$5,DeathsTimeS!HeadRow,0))/NG$8</f>
        <v>12.991452991452991</v>
      </c>
      <c r="NH16" s="278">
        <f ca="1">$A16 - DeathsTimeS!HongKong100dt + 1</f>
        <v>-90</v>
      </c>
      <c r="NI16" s="366">
        <f ca="1">INDEX(OFFSET(DeathsTimeS!HeadRow,ROW()-ROW(DeathsTimeS!HeadRow),0,1,COLUMNS(DeathsTimeS!HeadRow)),1,MATCH(NI$5,DeathsTimeS!HeadRow,0))/NI$8</f>
        <v>0</v>
      </c>
    </row>
    <row r="17" spans="1:373" x14ac:dyDescent="0.25">
      <c r="A17" s="156">
        <v>43858</v>
      </c>
      <c r="B17" s="25">
        <v>0</v>
      </c>
      <c r="C17" s="25">
        <v>0</v>
      </c>
      <c r="D17" s="25">
        <v>0</v>
      </c>
      <c r="E17" s="25">
        <v>0</v>
      </c>
      <c r="F17" s="25">
        <v>0</v>
      </c>
      <c r="G17" s="25">
        <v>0</v>
      </c>
      <c r="H17" s="25">
        <v>0</v>
      </c>
      <c r="I17" s="25">
        <v>0</v>
      </c>
      <c r="J17" s="25">
        <v>0</v>
      </c>
      <c r="K17" s="25">
        <v>0</v>
      </c>
      <c r="L17" s="25">
        <v>0</v>
      </c>
      <c r="M17" s="25">
        <v>0</v>
      </c>
      <c r="N17" s="25">
        <v>0</v>
      </c>
      <c r="O17" s="25">
        <v>0</v>
      </c>
      <c r="P17" s="25">
        <v>0</v>
      </c>
      <c r="Q17" s="25">
        <v>0</v>
      </c>
      <c r="R17" s="25">
        <v>0</v>
      </c>
      <c r="S17" s="25">
        <v>0</v>
      </c>
      <c r="T17" s="25">
        <v>0</v>
      </c>
      <c r="U17" s="25">
        <v>0</v>
      </c>
      <c r="V17" s="25">
        <v>0</v>
      </c>
      <c r="W17" s="25">
        <v>0</v>
      </c>
      <c r="X17" s="25">
        <v>0</v>
      </c>
      <c r="Y17" s="25">
        <v>0</v>
      </c>
      <c r="Z17" s="25">
        <v>0</v>
      </c>
      <c r="AA17" s="25">
        <v>0</v>
      </c>
      <c r="AB17" s="25">
        <v>0</v>
      </c>
      <c r="AC17" s="25">
        <v>0</v>
      </c>
      <c r="AD17" s="25">
        <v>0</v>
      </c>
      <c r="AE17" s="25">
        <v>0</v>
      </c>
      <c r="AF17" s="25">
        <v>0</v>
      </c>
      <c r="AG17" s="25">
        <v>0</v>
      </c>
      <c r="AH17" s="25">
        <v>0</v>
      </c>
      <c r="AI17" s="25">
        <v>0</v>
      </c>
      <c r="AJ17" s="25">
        <v>0</v>
      </c>
      <c r="AK17" s="25">
        <v>0</v>
      </c>
      <c r="AL17" s="25">
        <v>0</v>
      </c>
      <c r="AM17" s="25">
        <v>0</v>
      </c>
      <c r="AN17" s="25">
        <v>0</v>
      </c>
      <c r="AO17" s="25">
        <v>0</v>
      </c>
      <c r="AP17" s="25">
        <v>0</v>
      </c>
      <c r="AQ17" s="25">
        <v>0</v>
      </c>
      <c r="AR17" s="25">
        <v>0</v>
      </c>
      <c r="AS17" s="25">
        <v>0</v>
      </c>
      <c r="AT17" s="25">
        <v>0</v>
      </c>
      <c r="AU17" s="25">
        <v>0</v>
      </c>
      <c r="AV17" s="25">
        <v>0</v>
      </c>
      <c r="AW17" s="25">
        <v>0</v>
      </c>
      <c r="AX17" s="25">
        <v>0</v>
      </c>
      <c r="AY17" s="25">
        <v>0</v>
      </c>
      <c r="AZ17" s="25">
        <v>1</v>
      </c>
      <c r="BA17" s="25">
        <v>0</v>
      </c>
      <c r="BB17" s="25">
        <v>0</v>
      </c>
      <c r="BC17" s="25">
        <v>0</v>
      </c>
      <c r="BD17" s="25">
        <v>0</v>
      </c>
      <c r="BE17" s="25">
        <v>0</v>
      </c>
      <c r="BF17" s="25">
        <v>0</v>
      </c>
      <c r="BG17" s="25">
        <v>1</v>
      </c>
      <c r="BH17" s="25">
        <v>1</v>
      </c>
      <c r="BI17" s="25">
        <v>1</v>
      </c>
      <c r="BJ17" s="25">
        <v>1</v>
      </c>
      <c r="BK17" s="25">
        <v>0</v>
      </c>
      <c r="BL17" s="25">
        <v>125</v>
      </c>
      <c r="BM17" s="25">
        <v>0</v>
      </c>
      <c r="BN17" s="25">
        <v>0</v>
      </c>
      <c r="BO17" s="25">
        <v>0</v>
      </c>
      <c r="BP17" s="25">
        <v>0</v>
      </c>
      <c r="BQ17" s="25">
        <v>0</v>
      </c>
      <c r="BR17" s="25">
        <v>0</v>
      </c>
      <c r="BS17" s="25">
        <v>0</v>
      </c>
      <c r="BT17" s="25">
        <v>0</v>
      </c>
      <c r="BU17" s="25">
        <v>0</v>
      </c>
      <c r="BV17" s="25">
        <v>0</v>
      </c>
      <c r="BW17" s="25">
        <v>0</v>
      </c>
      <c r="BX17" s="25">
        <v>1</v>
      </c>
      <c r="BY17" s="25">
        <v>0</v>
      </c>
      <c r="BZ17" s="25">
        <v>0</v>
      </c>
      <c r="CA17" s="25">
        <v>0</v>
      </c>
      <c r="CB17" s="25">
        <v>0</v>
      </c>
      <c r="CC17" s="25">
        <v>0</v>
      </c>
      <c r="CD17" s="25">
        <v>0</v>
      </c>
      <c r="CE17" s="25">
        <v>0</v>
      </c>
      <c r="CF17" s="25">
        <v>0</v>
      </c>
      <c r="CG17" s="25">
        <v>0</v>
      </c>
      <c r="CH17" s="25">
        <v>0</v>
      </c>
      <c r="CI17" s="25">
        <v>0</v>
      </c>
      <c r="CJ17" s="25">
        <v>0</v>
      </c>
      <c r="CK17" s="25">
        <v>0</v>
      </c>
      <c r="CL17" s="25">
        <v>0</v>
      </c>
      <c r="CM17" s="25">
        <v>0</v>
      </c>
      <c r="CN17" s="25">
        <v>0</v>
      </c>
      <c r="CO17" s="25">
        <v>0</v>
      </c>
      <c r="CP17" s="25">
        <v>0</v>
      </c>
      <c r="CQ17" s="25">
        <v>0</v>
      </c>
      <c r="CR17" s="25">
        <v>0</v>
      </c>
      <c r="CS17" s="25">
        <v>0</v>
      </c>
      <c r="CT17" s="25">
        <v>0</v>
      </c>
      <c r="CU17" s="25">
        <v>0</v>
      </c>
      <c r="CV17" s="25">
        <v>0</v>
      </c>
      <c r="CW17" s="25">
        <v>0</v>
      </c>
      <c r="CX17" s="25">
        <v>0</v>
      </c>
      <c r="CY17" s="25">
        <v>0</v>
      </c>
      <c r="CZ17" s="25">
        <v>0</v>
      </c>
      <c r="DA17" s="25">
        <v>0</v>
      </c>
      <c r="DB17" s="25">
        <v>0</v>
      </c>
      <c r="DC17" s="25">
        <v>0</v>
      </c>
      <c r="DD17" s="25">
        <v>0</v>
      </c>
      <c r="DE17" s="25">
        <v>0</v>
      </c>
      <c r="DF17" s="25">
        <v>0</v>
      </c>
      <c r="DG17" s="25">
        <v>0</v>
      </c>
      <c r="DH17" s="25">
        <v>0</v>
      </c>
      <c r="DI17" s="25">
        <v>0</v>
      </c>
      <c r="DJ17" s="25">
        <v>0</v>
      </c>
      <c r="DK17" s="25">
        <v>0</v>
      </c>
      <c r="DL17" s="25">
        <v>0</v>
      </c>
      <c r="DM17" s="25">
        <v>0</v>
      </c>
      <c r="DN17" s="25">
        <v>0</v>
      </c>
      <c r="DO17" s="25">
        <v>0</v>
      </c>
      <c r="DP17" s="25">
        <v>0</v>
      </c>
      <c r="DQ17" s="25">
        <v>0</v>
      </c>
      <c r="DR17" s="25">
        <v>0</v>
      </c>
      <c r="DS17" s="25">
        <v>0</v>
      </c>
      <c r="DT17" s="25">
        <v>0</v>
      </c>
      <c r="DU17" s="25">
        <v>0</v>
      </c>
      <c r="DV17" s="25">
        <v>0</v>
      </c>
      <c r="DW17" s="25">
        <v>0</v>
      </c>
      <c r="DX17" s="25">
        <v>0</v>
      </c>
      <c r="DY17" s="25">
        <v>0</v>
      </c>
      <c r="DZ17" s="25">
        <v>0</v>
      </c>
      <c r="EA17" s="25">
        <v>0</v>
      </c>
      <c r="EB17" s="25">
        <v>0</v>
      </c>
      <c r="EC17" s="25">
        <v>0</v>
      </c>
      <c r="ED17" s="25">
        <v>0</v>
      </c>
      <c r="EE17" s="25">
        <v>0</v>
      </c>
      <c r="EF17" s="25">
        <v>0</v>
      </c>
      <c r="EG17" s="25">
        <v>0</v>
      </c>
      <c r="EH17" s="25">
        <v>0</v>
      </c>
      <c r="EI17" s="25">
        <v>0</v>
      </c>
      <c r="EJ17" s="25">
        <v>0</v>
      </c>
      <c r="EK17" s="25">
        <v>0</v>
      </c>
      <c r="EL17" s="25">
        <v>0</v>
      </c>
      <c r="EM17" s="25">
        <v>0</v>
      </c>
      <c r="EN17" s="25">
        <v>0</v>
      </c>
      <c r="EO17" s="25">
        <v>0</v>
      </c>
      <c r="EP17" s="25">
        <v>0</v>
      </c>
      <c r="EQ17" s="25">
        <v>0</v>
      </c>
      <c r="ER17" s="25">
        <v>0</v>
      </c>
      <c r="ES17" s="25">
        <v>0</v>
      </c>
      <c r="ET17" s="25">
        <v>0</v>
      </c>
      <c r="EU17" s="25">
        <v>0</v>
      </c>
      <c r="EV17" s="25">
        <v>0</v>
      </c>
      <c r="EW17" s="25">
        <v>0</v>
      </c>
      <c r="EX17" s="25">
        <v>0</v>
      </c>
      <c r="EY17" s="25">
        <v>0</v>
      </c>
      <c r="EZ17" s="25">
        <v>0</v>
      </c>
      <c r="FA17" s="25">
        <v>0</v>
      </c>
      <c r="FB17" s="25">
        <v>0</v>
      </c>
      <c r="FC17" s="25">
        <v>0</v>
      </c>
      <c r="FD17" s="25">
        <v>0</v>
      </c>
      <c r="FE17" s="25">
        <v>0</v>
      </c>
      <c r="FF17" s="25">
        <v>0</v>
      </c>
      <c r="FG17" s="25">
        <v>0</v>
      </c>
      <c r="FH17" s="25">
        <v>0</v>
      </c>
      <c r="FI17" s="25">
        <v>0</v>
      </c>
      <c r="FJ17" s="25">
        <v>0</v>
      </c>
      <c r="FK17" s="25">
        <v>0</v>
      </c>
      <c r="FL17" s="25">
        <v>0</v>
      </c>
      <c r="FM17" s="25">
        <v>0</v>
      </c>
      <c r="FN17" s="25">
        <v>0</v>
      </c>
      <c r="FO17" s="25">
        <v>0</v>
      </c>
      <c r="FP17" s="25">
        <v>0</v>
      </c>
      <c r="FQ17" s="25">
        <v>0</v>
      </c>
      <c r="FR17" s="25">
        <v>0</v>
      </c>
      <c r="FS17" s="25">
        <v>0</v>
      </c>
      <c r="FT17" s="25">
        <v>0</v>
      </c>
      <c r="FU17" s="25">
        <v>0</v>
      </c>
      <c r="FV17" s="25">
        <v>0</v>
      </c>
      <c r="FW17" s="25">
        <v>0</v>
      </c>
      <c r="FX17" s="25">
        <v>0</v>
      </c>
      <c r="FY17" s="25">
        <v>0</v>
      </c>
      <c r="FZ17" s="25">
        <v>0</v>
      </c>
      <c r="GA17" s="25">
        <v>0</v>
      </c>
      <c r="GB17" s="25">
        <v>0</v>
      </c>
      <c r="GC17" s="25">
        <v>0</v>
      </c>
      <c r="GD17" s="25">
        <v>0</v>
      </c>
      <c r="GE17" s="25">
        <v>0</v>
      </c>
      <c r="GF17" s="25">
        <v>0</v>
      </c>
      <c r="GG17" s="25">
        <v>0</v>
      </c>
      <c r="GH17" s="25">
        <v>0</v>
      </c>
      <c r="GI17" s="25">
        <v>0</v>
      </c>
      <c r="GJ17" s="25">
        <v>0</v>
      </c>
      <c r="GK17" s="25">
        <v>0</v>
      </c>
      <c r="GL17" s="25">
        <v>0</v>
      </c>
      <c r="GM17" s="25">
        <v>0</v>
      </c>
      <c r="GN17" s="25">
        <v>0</v>
      </c>
      <c r="GO17" s="25">
        <v>0</v>
      </c>
      <c r="GP17" s="25">
        <v>0</v>
      </c>
      <c r="GQ17" s="25">
        <v>0</v>
      </c>
      <c r="GR17" s="25">
        <v>0</v>
      </c>
      <c r="GS17" s="25">
        <v>0</v>
      </c>
      <c r="GT17" s="25">
        <v>0</v>
      </c>
      <c r="GU17" s="25">
        <v>0</v>
      </c>
      <c r="GV17" s="25">
        <v>0</v>
      </c>
      <c r="GW17" s="25">
        <v>0</v>
      </c>
      <c r="GX17" s="25">
        <v>0</v>
      </c>
      <c r="GY17" s="46">
        <v>0</v>
      </c>
      <c r="GZ17" s="25">
        <v>0</v>
      </c>
      <c r="HA17" s="25">
        <v>0</v>
      </c>
      <c r="HB17" s="25">
        <v>0</v>
      </c>
      <c r="HC17" s="25">
        <v>0</v>
      </c>
      <c r="HD17" s="25">
        <v>0</v>
      </c>
      <c r="HE17" s="25">
        <v>0</v>
      </c>
      <c r="HF17" s="25">
        <v>0</v>
      </c>
      <c r="HG17" s="25">
        <v>0</v>
      </c>
      <c r="HH17" s="25">
        <v>0</v>
      </c>
      <c r="HI17" s="25">
        <v>0</v>
      </c>
      <c r="HJ17" s="25">
        <v>0</v>
      </c>
      <c r="HK17" s="25">
        <v>0</v>
      </c>
      <c r="HL17" s="25">
        <v>0</v>
      </c>
      <c r="HM17" s="25">
        <v>0</v>
      </c>
      <c r="HN17" s="25">
        <v>0</v>
      </c>
      <c r="HO17" s="25">
        <v>0</v>
      </c>
      <c r="HP17" s="25">
        <v>0</v>
      </c>
      <c r="HQ17" s="25">
        <v>0</v>
      </c>
      <c r="HR17" s="25">
        <v>0</v>
      </c>
      <c r="HS17" s="25">
        <v>0</v>
      </c>
      <c r="HT17" s="25">
        <v>0</v>
      </c>
      <c r="HU17" s="25">
        <v>0</v>
      </c>
      <c r="HV17" s="25">
        <v>0</v>
      </c>
      <c r="HW17" s="25">
        <v>0</v>
      </c>
      <c r="HX17" s="25">
        <v>0</v>
      </c>
      <c r="HY17" s="25">
        <v>0</v>
      </c>
      <c r="HZ17" s="25">
        <v>0</v>
      </c>
      <c r="IA17" s="25">
        <v>0</v>
      </c>
      <c r="IB17" s="25">
        <v>0</v>
      </c>
      <c r="IC17" s="25">
        <v>0</v>
      </c>
      <c r="ID17" s="25">
        <v>0</v>
      </c>
      <c r="IE17" s="25">
        <v>0</v>
      </c>
      <c r="IF17" s="25">
        <v>0</v>
      </c>
      <c r="IG17" s="25">
        <v>0</v>
      </c>
      <c r="IH17" s="25">
        <v>0</v>
      </c>
      <c r="II17" s="25">
        <v>0</v>
      </c>
      <c r="IJ17" s="25">
        <v>0</v>
      </c>
      <c r="IK17" s="25">
        <v>0</v>
      </c>
      <c r="IL17" s="25">
        <v>0</v>
      </c>
      <c r="IM17" s="25">
        <v>0</v>
      </c>
      <c r="IN17" s="25">
        <v>0</v>
      </c>
      <c r="IO17" s="25">
        <v>0</v>
      </c>
      <c r="IP17" s="25">
        <v>0</v>
      </c>
      <c r="IQ17" s="25">
        <v>0</v>
      </c>
      <c r="IR17" s="25">
        <v>0</v>
      </c>
      <c r="IS17" s="25">
        <v>0</v>
      </c>
      <c r="IT17" s="25">
        <v>0</v>
      </c>
      <c r="IU17" s="25">
        <v>0</v>
      </c>
      <c r="IV17" s="25">
        <v>0</v>
      </c>
      <c r="IW17" s="25">
        <v>0</v>
      </c>
      <c r="IX17" s="25">
        <v>0</v>
      </c>
      <c r="IY17" s="25">
        <v>0</v>
      </c>
      <c r="IZ17" s="25">
        <v>0</v>
      </c>
      <c r="JA17" s="25">
        <v>0</v>
      </c>
      <c r="JB17" s="25">
        <v>0</v>
      </c>
      <c r="JC17" s="25">
        <v>0</v>
      </c>
      <c r="JD17" s="25">
        <v>0</v>
      </c>
      <c r="JE17" s="25">
        <v>0</v>
      </c>
      <c r="JF17" s="25">
        <v>0</v>
      </c>
      <c r="JG17" s="25">
        <v>0</v>
      </c>
      <c r="JH17" s="25">
        <v>0</v>
      </c>
      <c r="JI17" s="25">
        <v>0</v>
      </c>
      <c r="JJ17" s="25">
        <v>0</v>
      </c>
      <c r="JK17" s="25">
        <v>0</v>
      </c>
      <c r="JL17" s="25">
        <v>0</v>
      </c>
      <c r="JM17" s="25">
        <v>0</v>
      </c>
      <c r="JN17" s="25">
        <v>0</v>
      </c>
      <c r="JO17" s="25">
        <v>0</v>
      </c>
      <c r="JP17" s="25">
        <v>0</v>
      </c>
      <c r="JQ17" s="25">
        <v>0</v>
      </c>
      <c r="JR17" s="25">
        <v>0</v>
      </c>
      <c r="JS17" s="25">
        <v>0</v>
      </c>
      <c r="JT17" s="25">
        <v>0</v>
      </c>
      <c r="JU17" s="25">
        <v>0</v>
      </c>
      <c r="JV17" s="25">
        <v>0</v>
      </c>
      <c r="JW17" s="25">
        <v>0</v>
      </c>
      <c r="JX17" s="25">
        <v>0</v>
      </c>
      <c r="JY17" s="25">
        <v>0</v>
      </c>
      <c r="JZ17" s="25">
        <v>0</v>
      </c>
      <c r="KA17" s="25">
        <v>0</v>
      </c>
      <c r="KB17" s="25">
        <v>0</v>
      </c>
      <c r="KC17" s="25">
        <v>0</v>
      </c>
      <c r="KD17" s="25">
        <v>0</v>
      </c>
      <c r="KE17" s="25">
        <v>0</v>
      </c>
      <c r="KF17" s="25">
        <v>0</v>
      </c>
      <c r="KG17" s="25">
        <v>0</v>
      </c>
      <c r="KH17" s="25">
        <v>0</v>
      </c>
      <c r="KI17" s="25">
        <v>0</v>
      </c>
      <c r="KJ17" s="25">
        <v>0</v>
      </c>
      <c r="KK17" s="25">
        <v>0</v>
      </c>
      <c r="KL17" s="25">
        <v>0</v>
      </c>
      <c r="KM17" s="25">
        <v>0</v>
      </c>
      <c r="KN17" s="25">
        <v>0</v>
      </c>
      <c r="KO17" s="25">
        <v>0</v>
      </c>
      <c r="KP17" s="25">
        <v>0</v>
      </c>
      <c r="KQ17" s="25">
        <v>0</v>
      </c>
      <c r="KR17" s="25">
        <v>0</v>
      </c>
      <c r="KS17" s="25">
        <v>0</v>
      </c>
      <c r="KT17" s="25">
        <v>0</v>
      </c>
      <c r="KU17" s="25">
        <v>0</v>
      </c>
      <c r="KV17" s="25">
        <v>0</v>
      </c>
      <c r="KW17" s="25">
        <v>0</v>
      </c>
      <c r="KX17" s="25">
        <v>0</v>
      </c>
      <c r="KY17" s="25">
        <v>0</v>
      </c>
      <c r="KZ17" s="25">
        <v>0</v>
      </c>
      <c r="LA17" s="25">
        <v>0</v>
      </c>
      <c r="LB17" s="25">
        <v>0</v>
      </c>
      <c r="LC17" s="25">
        <v>0</v>
      </c>
      <c r="LD17" s="25">
        <v>0</v>
      </c>
      <c r="LE17" s="25">
        <v>0</v>
      </c>
      <c r="LF17" s="25">
        <v>0</v>
      </c>
      <c r="LG17" s="25">
        <v>0</v>
      </c>
      <c r="LH17" s="25">
        <v>0</v>
      </c>
      <c r="LI17" s="25">
        <v>0</v>
      </c>
      <c r="LJ17" s="25">
        <v>0</v>
      </c>
      <c r="LK17" s="25">
        <v>0</v>
      </c>
      <c r="LL17" s="25">
        <v>0</v>
      </c>
      <c r="LM17" s="25">
        <v>0</v>
      </c>
      <c r="LN17" s="278">
        <f ca="1">$A17 - DeathsTimeS!Sweden100dt + 1</f>
        <v>-50</v>
      </c>
      <c r="LO17" s="366">
        <f ca="1">INDEX(OFFSET(DeathsTimeS!HeadRow,ROW()-ROW(DeathsTimeS!HeadRow),0,1,COLUMNS(DeathsTimeS!HeadRow)),1,MATCH(LO$5,DeathsTimeS!HeadRow,0))/LO$8</f>
        <v>0</v>
      </c>
      <c r="LP17" s="278">
        <f ca="1">$A17 - DeathsTimeS!Spain100dt</f>
        <v>-43</v>
      </c>
      <c r="LQ17" s="11">
        <f ca="1">INDEX(OFFSET(DeathsTimeS!HeadRow,ROW()-ROW(DeathsTimeS!HeadRow),0,1,COLUMNS(DeathsTimeS!HeadRow)),1,MATCH(LQ$5,DeathsTimeS!HeadRow,0))/LQ$8</f>
        <v>0</v>
      </c>
      <c r="LR17" s="278">
        <f ca="1">$A17 - DeathsTimeS!Victoria100dt</f>
        <v>-66</v>
      </c>
      <c r="LS17" s="11">
        <f ca="1">INDEX(OFFSET(DeathsTimeS!HeadRow,ROW()-ROW(DeathsTimeS!HeadRow),0,1,COLUMNS(DeathsTimeS!HeadRow)),1,MATCH(LS$5,DeathsTimeS!HeadRow,0))/LS$8</f>
        <v>0</v>
      </c>
      <c r="LT17" s="278">
        <f ca="1">$A17 - DeathsTimeS!Iran100dt</f>
        <v>-36</v>
      </c>
      <c r="LU17" s="11">
        <f ca="1">INDEX(OFFSET(DeathsTimeS!HeadRow,ROW()-ROW(DeathsTimeS!HeadRow),0,1,COLUMNS(DeathsTimeS!HeadRow)),1,MATCH(LU$5,DeathsTimeS!HeadRow,0))/LU$8</f>
        <v>0</v>
      </c>
      <c r="LV17" s="278">
        <f ca="1">$A17 - DeathsTimeS!Japan100dt</f>
        <v>-77</v>
      </c>
      <c r="LW17" s="11">
        <f ca="1">INDEX(OFFSET(DeathsTimeS!HeadRow,ROW()-ROW(DeathsTimeS!HeadRow),0,1,COLUMNS(DeathsTimeS!HeadRow)),1,MATCH(LW$5,DeathsTimeS!HeadRow,0))/LW$8</f>
        <v>0</v>
      </c>
      <c r="LX17" s="278">
        <f ca="1">$A17 - DeathsTimeS!Queensland100dt</f>
        <v>-81</v>
      </c>
      <c r="LY17" s="11">
        <f ca="1">INDEX(OFFSET(DeathsTimeS!HeadRow,ROW()-ROW(DeathsTimeS!HeadRow),0,1,COLUMNS(DeathsTimeS!HeadRow)),1,MATCH(LY$5,DeathsTimeS!HeadRow,0))/LY$8</f>
        <v>0</v>
      </c>
      <c r="LZ17" s="278">
        <f ca="1">$A17 - DeathsTimeS!Tasmania100dt</f>
        <v>-63</v>
      </c>
      <c r="MA17" s="11">
        <f ca="1">INDEX(OFFSET(DeathsTimeS!HeadRow,ROW()-ROW(DeathsTimeS!HeadRow),0,1,COLUMNS(DeathsTimeS!HeadRow)),1,MATCH(MA$5,DeathsTimeS!HeadRow,0))/MA$8</f>
        <v>0</v>
      </c>
      <c r="MB17" s="278">
        <f ca="1">$A17 - DeathsTimeS!SouthAustralia100dt</f>
        <v>-71</v>
      </c>
      <c r="MC17" s="11">
        <f ca="1">INDEX(OFFSET(DeathsTimeS!HeadRow,ROW()-ROW(DeathsTimeS!HeadRow),0,1,COLUMNS(DeathsTimeS!HeadRow)),1,MATCH(MC$5,DeathsTimeS!HeadRow,0))/MC$8</f>
        <v>0</v>
      </c>
      <c r="MD17" s="278">
        <f ca="1">$A17 - DeathsTimeS!WesternAustralia100dt</f>
        <v>-68</v>
      </c>
      <c r="ME17" s="11">
        <f ca="1">INDEX(OFFSET(DeathsTimeS!HeadRow,ROW()-ROW(DeathsTimeS!HeadRow),0,1,COLUMNS(DeathsTimeS!HeadRow)),1,MATCH(ME$5,DeathsTimeS!HeadRow,0))/ME$8</f>
        <v>0</v>
      </c>
      <c r="MF17" s="278">
        <f ca="1">$A17 - DeathsTimeS!NewSouthWales100dt</f>
        <v>-64</v>
      </c>
      <c r="MG17" s="11">
        <f ca="1">INDEX(OFFSET(DeathsTimeS!HeadRow,ROW()-ROW(DeathsTimeS!HeadRow),0,1,COLUMNS(DeathsTimeS!HeadRow)),1,MATCH(MG$5,DeathsTimeS!HeadRow,0))/MG$8</f>
        <v>0</v>
      </c>
      <c r="MH17" s="278">
        <f ca="1">$A17 - DeathsTimeS!NewYork100dt</f>
        <v>-48</v>
      </c>
      <c r="MI17" s="11">
        <f ca="1">INDEX(OFFSET(DeathsTimeS!HeadRow,ROW()-ROW(DeathsTimeS!HeadRow),0,1,COLUMNS(DeathsTimeS!HeadRow)),1,MATCH(MI$5,DeathsTimeS!HeadRow,0))/MI$8</f>
        <v>0</v>
      </c>
      <c r="MJ17" s="278">
        <f ca="1">$A17 - DeathsTimeS!Italy100dt</f>
        <v>-35</v>
      </c>
      <c r="MK17" s="11">
        <f ca="1">INDEX(OFFSET(DeathsTimeS!HeadRow,ROW()-ROW(DeathsTimeS!HeadRow),0,1,COLUMNS(DeathsTimeS!HeadRow)),1,MATCH(MK$5,DeathsTimeS!HeadRow,0))/MK$8</f>
        <v>0</v>
      </c>
      <c r="ML17" s="278">
        <f ca="1">$A17 - DeathsTimeS!AustralianCapitalTerritory100dt</f>
        <v>-62</v>
      </c>
      <c r="MM17" s="11">
        <f ca="1">INDEX(OFFSET(DeathsTimeS!HeadRow,ROW()-ROW(DeathsTimeS!HeadRow),0,1,COLUMNS(DeathsTimeS!HeadRow)),1,MATCH(MM$5,DeathsTimeS!HeadRow,0))/MM$8</f>
        <v>0</v>
      </c>
      <c r="MN17" s="278">
        <f ca="1">IF(DeathsTimeS!NorthernTerritory100dt&gt;0,$A17 - DeathsTimeS!NorthernTerritory100dt,"")</f>
        <v>-90</v>
      </c>
      <c r="MO17" s="11">
        <f ca="1">INDEX(OFFSET(DeathsTimeS!HeadRow,ROW()-ROW(DeathsTimeS!HeadRow),0,1,COLUMNS(DeathsTimeS!HeadRow)),1,MATCH(MO$5,DeathsTimeS!HeadRow,0))/MO$8</f>
        <v>0</v>
      </c>
      <c r="MP17" s="278">
        <f ca="1">$A17 - DeathsTimeS!SouthAfrica100dt + 1</f>
        <v>-82</v>
      </c>
      <c r="MQ17" s="20">
        <f ca="1">INDEX(OFFSET(DeathsTimeS!HeadRow,ROW()-ROW(DeathsTimeS!HeadRow),0,1,COLUMNS(DeathsTimeS!HeadRow)),1,MATCH(MQ$5,DeathsTimeS!HeadRow,0))/MQ$8</f>
        <v>0</v>
      </c>
      <c r="MR17" s="278">
        <f ca="1">$A17 - DeathsTimeS!Germany100dt + 1</f>
        <v>-52</v>
      </c>
      <c r="MS17" s="20">
        <f ca="1">INDEX(OFFSET(DeathsTimeS!HeadRow,ROW()-ROW(DeathsTimeS!HeadRow),0,1,COLUMNS(DeathsTimeS!HeadRow)),1,MATCH(MS$5,DeathsTimeS!HeadRow,0))/MS$8</f>
        <v>0</v>
      </c>
      <c r="MT17" s="278">
        <f ca="1">$A17 - DeathsTimeS!Ireland100dt + 1</f>
        <v>-54</v>
      </c>
      <c r="MU17" s="73">
        <f ca="1">INDEX(OFFSET(DeathsTimeS!HeadRow,ROW()-ROW(DeathsTimeS!HeadRow),0,1,COLUMNS(DeathsTimeS!HeadRow)),1,MATCH(MU$5,DeathsTimeS!HeadRow,0))/MU$8</f>
        <v>0</v>
      </c>
      <c r="MV17" s="278">
        <f ca="1">$A17 - DeathsTimeS!UnitedKingdom100dt + 1</f>
        <v>-48</v>
      </c>
      <c r="MW17" s="73">
        <f ca="1">INDEX(OFFSET(DeathsTimeS!HeadRow,ROW()-ROW(DeathsTimeS!HeadRow),0,1,COLUMNS(DeathsTimeS!HeadRow)),1,MATCH(MW$5,DeathsTimeS!HeadRow,0))/MW$8</f>
        <v>0</v>
      </c>
      <c r="MX17" s="278">
        <f ca="1">$A17 - DeathsTimeS!Denmark100dt + 1</f>
        <v>-50</v>
      </c>
      <c r="MY17" s="73">
        <f ca="1">INDEX(OFFSET(DeathsTimeS!HeadRow,ROW()-ROW(DeathsTimeS!HeadRow),0,1,COLUMNS(DeathsTimeS!HeadRow)),1,MATCH(MY$5,DeathsTimeS!HeadRow,0))/MY$8</f>
        <v>0</v>
      </c>
      <c r="MZ17" s="278">
        <f ca="1">$A17 - DeathsTimeS!US100dt + 1</f>
        <v>-51</v>
      </c>
      <c r="NA17" s="73">
        <f ca="1">INDEX(OFFSET(DeathsTimeS!HeadRow,ROW()-ROW(DeathsTimeS!HeadRow),0,1,COLUMNS(DeathsTimeS!HeadRow)),1,MATCH(NA$5,DeathsTimeS!HeadRow,0))/NA$8</f>
        <v>0</v>
      </c>
      <c r="NB17" s="278">
        <f ca="1">$A17 - DeathsTimeS!AustraliaSum100dt + 1</f>
        <v>-57</v>
      </c>
      <c r="NC17" s="366">
        <f t="shared" si="6"/>
        <v>0</v>
      </c>
      <c r="ND17" s="278">
        <f ca="1">$A17 - DeathsTimeS!Taiwan100dt + 1</f>
        <v>-89</v>
      </c>
      <c r="NE17" s="366">
        <f ca="1">INDEX(OFFSET(DeathsTimeS!HeadRow,ROW()-ROW(DeathsTimeS!HeadRow),0,1,COLUMNS(DeathsTimeS!HeadRow)),1,MATCH(NE$5,DeathsTimeS!HeadRow,0))/NE$8</f>
        <v>0</v>
      </c>
      <c r="NF17" s="278">
        <f ca="1">$A17 - DeathsTimeS!Hubei100dt + 1</f>
        <v>2</v>
      </c>
      <c r="NG17" s="366">
        <f ca="1">INDEX(OFFSET(DeathsTimeS!HeadRow,ROW()-ROW(DeathsTimeS!HeadRow),0,1,COLUMNS(DeathsTimeS!HeadRow)),1,MATCH(NG$5,DeathsTimeS!HeadRow,0))/NG$8</f>
        <v>21.36752136752137</v>
      </c>
      <c r="NH17" s="278">
        <f ca="1">$A17 - DeathsTimeS!HongKong100dt + 1</f>
        <v>-89</v>
      </c>
      <c r="NI17" s="366">
        <f ca="1">INDEX(OFFSET(DeathsTimeS!HeadRow,ROW()-ROW(DeathsTimeS!HeadRow),0,1,COLUMNS(DeathsTimeS!HeadRow)),1,MATCH(NI$5,DeathsTimeS!HeadRow,0))/NI$8</f>
        <v>0</v>
      </c>
    </row>
    <row r="18" spans="1:373" x14ac:dyDescent="0.25">
      <c r="A18" s="156">
        <v>43859</v>
      </c>
      <c r="B18" s="25">
        <v>0</v>
      </c>
      <c r="C18" s="25">
        <v>0</v>
      </c>
      <c r="D18" s="25">
        <v>0</v>
      </c>
      <c r="E18" s="25">
        <v>0</v>
      </c>
      <c r="F18" s="25">
        <v>0</v>
      </c>
      <c r="G18" s="25">
        <v>0</v>
      </c>
      <c r="H18" s="25">
        <v>0</v>
      </c>
      <c r="I18" s="25">
        <v>0</v>
      </c>
      <c r="J18" s="25">
        <v>0</v>
      </c>
      <c r="K18" s="25">
        <v>0</v>
      </c>
      <c r="L18" s="25">
        <v>0</v>
      </c>
      <c r="M18" s="25">
        <v>0</v>
      </c>
      <c r="N18" s="25">
        <v>0</v>
      </c>
      <c r="O18" s="25">
        <v>0</v>
      </c>
      <c r="P18" s="25">
        <v>0</v>
      </c>
      <c r="Q18" s="25">
        <v>0</v>
      </c>
      <c r="R18" s="25">
        <v>0</v>
      </c>
      <c r="S18" s="25">
        <v>0</v>
      </c>
      <c r="T18" s="25">
        <v>0</v>
      </c>
      <c r="U18" s="25">
        <v>0</v>
      </c>
      <c r="V18" s="25">
        <v>0</v>
      </c>
      <c r="W18" s="25">
        <v>0</v>
      </c>
      <c r="X18" s="25">
        <v>0</v>
      </c>
      <c r="Y18" s="25">
        <v>0</v>
      </c>
      <c r="Z18" s="25">
        <v>0</v>
      </c>
      <c r="AA18" s="25">
        <v>0</v>
      </c>
      <c r="AB18" s="25">
        <v>0</v>
      </c>
      <c r="AC18" s="25">
        <v>0</v>
      </c>
      <c r="AD18" s="25">
        <v>0</v>
      </c>
      <c r="AE18" s="25">
        <v>0</v>
      </c>
      <c r="AF18" s="25">
        <v>0</v>
      </c>
      <c r="AG18" s="25">
        <v>0</v>
      </c>
      <c r="AH18" s="25">
        <v>0</v>
      </c>
      <c r="AI18" s="25">
        <v>0</v>
      </c>
      <c r="AJ18" s="25">
        <v>0</v>
      </c>
      <c r="AK18" s="25">
        <v>0</v>
      </c>
      <c r="AL18" s="25">
        <v>0</v>
      </c>
      <c r="AM18" s="25">
        <v>0</v>
      </c>
      <c r="AN18" s="25">
        <v>0</v>
      </c>
      <c r="AO18" s="25">
        <v>0</v>
      </c>
      <c r="AP18" s="25">
        <v>0</v>
      </c>
      <c r="AQ18" s="25">
        <v>0</v>
      </c>
      <c r="AR18" s="25">
        <v>0</v>
      </c>
      <c r="AS18" s="25">
        <v>0</v>
      </c>
      <c r="AT18" s="25">
        <v>0</v>
      </c>
      <c r="AU18" s="25">
        <v>0</v>
      </c>
      <c r="AV18" s="25">
        <v>0</v>
      </c>
      <c r="AW18" s="25">
        <v>0</v>
      </c>
      <c r="AX18" s="25">
        <v>0</v>
      </c>
      <c r="AY18" s="25">
        <v>0</v>
      </c>
      <c r="AZ18" s="25">
        <v>1</v>
      </c>
      <c r="BA18" s="25">
        <v>0</v>
      </c>
      <c r="BB18" s="25">
        <v>0</v>
      </c>
      <c r="BC18" s="25">
        <v>0</v>
      </c>
      <c r="BD18" s="25">
        <v>0</v>
      </c>
      <c r="BE18" s="25">
        <v>0</v>
      </c>
      <c r="BF18" s="25">
        <v>0</v>
      </c>
      <c r="BG18" s="25">
        <v>1</v>
      </c>
      <c r="BH18" s="25">
        <v>1</v>
      </c>
      <c r="BI18" s="25">
        <v>1</v>
      </c>
      <c r="BJ18" s="25">
        <v>2</v>
      </c>
      <c r="BK18" s="25">
        <v>0</v>
      </c>
      <c r="BL18" s="25">
        <v>125</v>
      </c>
      <c r="BM18" s="25">
        <v>0</v>
      </c>
      <c r="BN18" s="25">
        <v>0</v>
      </c>
      <c r="BO18" s="25">
        <v>0</v>
      </c>
      <c r="BP18" s="25">
        <v>0</v>
      </c>
      <c r="BQ18" s="25">
        <v>0</v>
      </c>
      <c r="BR18" s="25">
        <v>0</v>
      </c>
      <c r="BS18" s="25">
        <v>0</v>
      </c>
      <c r="BT18" s="25">
        <v>0</v>
      </c>
      <c r="BU18" s="25">
        <v>0</v>
      </c>
      <c r="BV18" s="25">
        <v>0</v>
      </c>
      <c r="BW18" s="25">
        <v>0</v>
      </c>
      <c r="BX18" s="25">
        <v>1</v>
      </c>
      <c r="BY18" s="25">
        <v>0</v>
      </c>
      <c r="BZ18" s="25">
        <v>1</v>
      </c>
      <c r="CA18" s="25">
        <v>0</v>
      </c>
      <c r="CB18" s="25">
        <v>0</v>
      </c>
      <c r="CC18" s="25">
        <v>0</v>
      </c>
      <c r="CD18" s="25">
        <v>0</v>
      </c>
      <c r="CE18" s="25">
        <v>0</v>
      </c>
      <c r="CF18" s="25">
        <v>0</v>
      </c>
      <c r="CG18" s="25">
        <v>0</v>
      </c>
      <c r="CH18" s="25">
        <v>0</v>
      </c>
      <c r="CI18" s="25">
        <v>0</v>
      </c>
      <c r="CJ18" s="25">
        <v>0</v>
      </c>
      <c r="CK18" s="25">
        <v>0</v>
      </c>
      <c r="CL18" s="25">
        <v>0</v>
      </c>
      <c r="CM18" s="25">
        <v>0</v>
      </c>
      <c r="CN18" s="25">
        <v>0</v>
      </c>
      <c r="CO18" s="25">
        <v>0</v>
      </c>
      <c r="CP18" s="25">
        <v>0</v>
      </c>
      <c r="CQ18" s="25">
        <v>0</v>
      </c>
      <c r="CR18" s="25">
        <v>0</v>
      </c>
      <c r="CS18" s="25">
        <v>0</v>
      </c>
      <c r="CT18" s="25">
        <v>0</v>
      </c>
      <c r="CU18" s="25">
        <v>0</v>
      </c>
      <c r="CV18" s="25">
        <v>0</v>
      </c>
      <c r="CW18" s="25">
        <v>0</v>
      </c>
      <c r="CX18" s="25">
        <v>0</v>
      </c>
      <c r="CY18" s="25">
        <v>0</v>
      </c>
      <c r="CZ18" s="25">
        <v>0</v>
      </c>
      <c r="DA18" s="25">
        <v>0</v>
      </c>
      <c r="DB18" s="25">
        <v>0</v>
      </c>
      <c r="DC18" s="25">
        <v>0</v>
      </c>
      <c r="DD18" s="25">
        <v>0</v>
      </c>
      <c r="DE18" s="25">
        <v>0</v>
      </c>
      <c r="DF18" s="25">
        <v>0</v>
      </c>
      <c r="DG18" s="25">
        <v>0</v>
      </c>
      <c r="DH18" s="25">
        <v>0</v>
      </c>
      <c r="DI18" s="25">
        <v>0</v>
      </c>
      <c r="DJ18" s="25">
        <v>0</v>
      </c>
      <c r="DK18" s="25">
        <v>0</v>
      </c>
      <c r="DL18" s="25">
        <v>0</v>
      </c>
      <c r="DM18" s="25">
        <v>0</v>
      </c>
      <c r="DN18" s="25">
        <v>0</v>
      </c>
      <c r="DO18" s="25">
        <v>0</v>
      </c>
      <c r="DP18" s="25">
        <v>0</v>
      </c>
      <c r="DQ18" s="25">
        <v>0</v>
      </c>
      <c r="DR18" s="25">
        <v>0</v>
      </c>
      <c r="DS18" s="25">
        <v>0</v>
      </c>
      <c r="DT18" s="25">
        <v>0</v>
      </c>
      <c r="DU18" s="25">
        <v>0</v>
      </c>
      <c r="DV18" s="25">
        <v>0</v>
      </c>
      <c r="DW18" s="25">
        <v>0</v>
      </c>
      <c r="DX18" s="25">
        <v>0</v>
      </c>
      <c r="DY18" s="25">
        <v>0</v>
      </c>
      <c r="DZ18" s="25">
        <v>0</v>
      </c>
      <c r="EA18" s="25">
        <v>0</v>
      </c>
      <c r="EB18" s="25">
        <v>0</v>
      </c>
      <c r="EC18" s="25">
        <v>0</v>
      </c>
      <c r="ED18" s="25">
        <v>0</v>
      </c>
      <c r="EE18" s="25">
        <v>0</v>
      </c>
      <c r="EF18" s="25">
        <v>0</v>
      </c>
      <c r="EG18" s="25">
        <v>0</v>
      </c>
      <c r="EH18" s="25">
        <v>0</v>
      </c>
      <c r="EI18" s="25">
        <v>0</v>
      </c>
      <c r="EJ18" s="25">
        <v>0</v>
      </c>
      <c r="EK18" s="25">
        <v>0</v>
      </c>
      <c r="EL18" s="25">
        <v>0</v>
      </c>
      <c r="EM18" s="25">
        <v>0</v>
      </c>
      <c r="EN18" s="25">
        <v>0</v>
      </c>
      <c r="EO18" s="25">
        <v>0</v>
      </c>
      <c r="EP18" s="25">
        <v>0</v>
      </c>
      <c r="EQ18" s="25">
        <v>0</v>
      </c>
      <c r="ER18" s="25">
        <v>0</v>
      </c>
      <c r="ES18" s="25">
        <v>0</v>
      </c>
      <c r="ET18" s="25">
        <v>0</v>
      </c>
      <c r="EU18" s="25">
        <v>0</v>
      </c>
      <c r="EV18" s="25">
        <v>0</v>
      </c>
      <c r="EW18" s="25">
        <v>0</v>
      </c>
      <c r="EX18" s="25">
        <v>0</v>
      </c>
      <c r="EY18" s="25">
        <v>0</v>
      </c>
      <c r="EZ18" s="25">
        <v>0</v>
      </c>
      <c r="FA18" s="25">
        <v>0</v>
      </c>
      <c r="FB18" s="25">
        <v>0</v>
      </c>
      <c r="FC18" s="25">
        <v>0</v>
      </c>
      <c r="FD18" s="25">
        <v>0</v>
      </c>
      <c r="FE18" s="25">
        <v>0</v>
      </c>
      <c r="FF18" s="25">
        <v>0</v>
      </c>
      <c r="FG18" s="25">
        <v>0</v>
      </c>
      <c r="FH18" s="25">
        <v>0</v>
      </c>
      <c r="FI18" s="25">
        <v>0</v>
      </c>
      <c r="FJ18" s="25">
        <v>0</v>
      </c>
      <c r="FK18" s="25">
        <v>0</v>
      </c>
      <c r="FL18" s="25">
        <v>0</v>
      </c>
      <c r="FM18" s="25">
        <v>0</v>
      </c>
      <c r="FN18" s="25">
        <v>0</v>
      </c>
      <c r="FO18" s="25">
        <v>0</v>
      </c>
      <c r="FP18" s="25">
        <v>0</v>
      </c>
      <c r="FQ18" s="25">
        <v>0</v>
      </c>
      <c r="FR18" s="25">
        <v>0</v>
      </c>
      <c r="FS18" s="25">
        <v>0</v>
      </c>
      <c r="FT18" s="25">
        <v>0</v>
      </c>
      <c r="FU18" s="25">
        <v>0</v>
      </c>
      <c r="FV18" s="25">
        <v>0</v>
      </c>
      <c r="FW18" s="25">
        <v>0</v>
      </c>
      <c r="FX18" s="25">
        <v>0</v>
      </c>
      <c r="FY18" s="25">
        <v>0</v>
      </c>
      <c r="FZ18" s="25">
        <v>0</v>
      </c>
      <c r="GA18" s="25">
        <v>0</v>
      </c>
      <c r="GB18" s="25">
        <v>0</v>
      </c>
      <c r="GC18" s="25">
        <v>0</v>
      </c>
      <c r="GD18" s="25">
        <v>0</v>
      </c>
      <c r="GE18" s="25">
        <v>0</v>
      </c>
      <c r="GF18" s="25">
        <v>0</v>
      </c>
      <c r="GG18" s="25">
        <v>0</v>
      </c>
      <c r="GH18" s="25">
        <v>0</v>
      </c>
      <c r="GI18" s="25">
        <v>0</v>
      </c>
      <c r="GJ18" s="25">
        <v>0</v>
      </c>
      <c r="GK18" s="25">
        <v>0</v>
      </c>
      <c r="GL18" s="25">
        <v>0</v>
      </c>
      <c r="GM18" s="25">
        <v>0</v>
      </c>
      <c r="GN18" s="25">
        <v>0</v>
      </c>
      <c r="GO18" s="25">
        <v>0</v>
      </c>
      <c r="GP18" s="25">
        <v>0</v>
      </c>
      <c r="GQ18" s="25">
        <v>0</v>
      </c>
      <c r="GR18" s="25">
        <v>0</v>
      </c>
      <c r="GS18" s="25">
        <v>0</v>
      </c>
      <c r="GT18" s="25">
        <v>0</v>
      </c>
      <c r="GU18" s="25">
        <v>0</v>
      </c>
      <c r="GV18" s="25">
        <v>0</v>
      </c>
      <c r="GW18" s="25">
        <v>0</v>
      </c>
      <c r="GX18" s="25">
        <v>0</v>
      </c>
      <c r="GY18" s="46">
        <v>0</v>
      </c>
      <c r="GZ18" s="25">
        <v>0</v>
      </c>
      <c r="HA18" s="25">
        <v>0</v>
      </c>
      <c r="HB18" s="25">
        <v>0</v>
      </c>
      <c r="HC18" s="25">
        <v>0</v>
      </c>
      <c r="HD18" s="25">
        <v>0</v>
      </c>
      <c r="HE18" s="25">
        <v>0</v>
      </c>
      <c r="HF18" s="25">
        <v>0</v>
      </c>
      <c r="HG18" s="25">
        <v>0</v>
      </c>
      <c r="HH18" s="25">
        <v>0</v>
      </c>
      <c r="HI18" s="25">
        <v>0</v>
      </c>
      <c r="HJ18" s="25">
        <v>0</v>
      </c>
      <c r="HK18" s="25">
        <v>0</v>
      </c>
      <c r="HL18" s="25">
        <v>0</v>
      </c>
      <c r="HM18" s="25">
        <v>0</v>
      </c>
      <c r="HN18" s="25">
        <v>0</v>
      </c>
      <c r="HO18" s="25">
        <v>0</v>
      </c>
      <c r="HP18" s="25">
        <v>0</v>
      </c>
      <c r="HQ18" s="25">
        <v>0</v>
      </c>
      <c r="HR18" s="25">
        <v>0</v>
      </c>
      <c r="HS18" s="25">
        <v>0</v>
      </c>
      <c r="HT18" s="25">
        <v>0</v>
      </c>
      <c r="HU18" s="25">
        <v>0</v>
      </c>
      <c r="HV18" s="25">
        <v>0</v>
      </c>
      <c r="HW18" s="25">
        <v>0</v>
      </c>
      <c r="HX18" s="25">
        <v>0</v>
      </c>
      <c r="HY18" s="25">
        <v>0</v>
      </c>
      <c r="HZ18" s="25">
        <v>0</v>
      </c>
      <c r="IA18" s="25">
        <v>0</v>
      </c>
      <c r="IB18" s="25">
        <v>0</v>
      </c>
      <c r="IC18" s="25">
        <v>0</v>
      </c>
      <c r="ID18" s="25">
        <v>0</v>
      </c>
      <c r="IE18" s="25">
        <v>0</v>
      </c>
      <c r="IF18" s="25">
        <v>0</v>
      </c>
      <c r="IG18" s="25">
        <v>0</v>
      </c>
      <c r="IH18" s="25">
        <v>0</v>
      </c>
      <c r="II18" s="25">
        <v>0</v>
      </c>
      <c r="IJ18" s="25">
        <v>0</v>
      </c>
      <c r="IK18" s="25">
        <v>0</v>
      </c>
      <c r="IL18" s="25">
        <v>0</v>
      </c>
      <c r="IM18" s="25">
        <v>0</v>
      </c>
      <c r="IN18" s="25">
        <v>0</v>
      </c>
      <c r="IO18" s="25">
        <v>0</v>
      </c>
      <c r="IP18" s="25">
        <v>0</v>
      </c>
      <c r="IQ18" s="25">
        <v>0</v>
      </c>
      <c r="IR18" s="25">
        <v>0</v>
      </c>
      <c r="IS18" s="25">
        <v>0</v>
      </c>
      <c r="IT18" s="25">
        <v>0</v>
      </c>
      <c r="IU18" s="25">
        <v>0</v>
      </c>
      <c r="IV18" s="25">
        <v>0</v>
      </c>
      <c r="IW18" s="25">
        <v>0</v>
      </c>
      <c r="IX18" s="25">
        <v>0</v>
      </c>
      <c r="IY18" s="25">
        <v>0</v>
      </c>
      <c r="IZ18" s="25">
        <v>0</v>
      </c>
      <c r="JA18" s="25">
        <v>0</v>
      </c>
      <c r="JB18" s="25">
        <v>0</v>
      </c>
      <c r="JC18" s="25">
        <v>0</v>
      </c>
      <c r="JD18" s="25">
        <v>0</v>
      </c>
      <c r="JE18" s="25">
        <v>0</v>
      </c>
      <c r="JF18" s="25">
        <v>0</v>
      </c>
      <c r="JG18" s="25">
        <v>0</v>
      </c>
      <c r="JH18" s="25">
        <v>0</v>
      </c>
      <c r="JI18" s="25">
        <v>0</v>
      </c>
      <c r="JJ18" s="25">
        <v>0</v>
      </c>
      <c r="JK18" s="25">
        <v>0</v>
      </c>
      <c r="JL18" s="25">
        <v>0</v>
      </c>
      <c r="JM18" s="25">
        <v>0</v>
      </c>
      <c r="JN18" s="25">
        <v>0</v>
      </c>
      <c r="JO18" s="25">
        <v>0</v>
      </c>
      <c r="JP18" s="25">
        <v>0</v>
      </c>
      <c r="JQ18" s="25">
        <v>0</v>
      </c>
      <c r="JR18" s="25">
        <v>0</v>
      </c>
      <c r="JS18" s="25">
        <v>0</v>
      </c>
      <c r="JT18" s="25">
        <v>0</v>
      </c>
      <c r="JU18" s="25">
        <v>0</v>
      </c>
      <c r="JV18" s="25">
        <v>0</v>
      </c>
      <c r="JW18" s="25">
        <v>0</v>
      </c>
      <c r="JX18" s="25">
        <v>0</v>
      </c>
      <c r="JY18" s="25">
        <v>0</v>
      </c>
      <c r="JZ18" s="25">
        <v>0</v>
      </c>
      <c r="KA18" s="25">
        <v>0</v>
      </c>
      <c r="KB18" s="25">
        <v>0</v>
      </c>
      <c r="KC18" s="25">
        <v>0</v>
      </c>
      <c r="KD18" s="25">
        <v>0</v>
      </c>
      <c r="KE18" s="25">
        <v>0</v>
      </c>
      <c r="KF18" s="25">
        <v>0</v>
      </c>
      <c r="KG18" s="25">
        <v>0</v>
      </c>
      <c r="KH18" s="25">
        <v>0</v>
      </c>
      <c r="KI18" s="25">
        <v>0</v>
      </c>
      <c r="KJ18" s="25">
        <v>0</v>
      </c>
      <c r="KK18" s="25">
        <v>0</v>
      </c>
      <c r="KL18" s="25">
        <v>0</v>
      </c>
      <c r="KM18" s="25">
        <v>0</v>
      </c>
      <c r="KN18" s="25">
        <v>0</v>
      </c>
      <c r="KO18" s="25">
        <v>0</v>
      </c>
      <c r="KP18" s="25">
        <v>0</v>
      </c>
      <c r="KQ18" s="25">
        <v>0</v>
      </c>
      <c r="KR18" s="25">
        <v>0</v>
      </c>
      <c r="KS18" s="25">
        <v>0</v>
      </c>
      <c r="KT18" s="25">
        <v>0</v>
      </c>
      <c r="KU18" s="25">
        <v>0</v>
      </c>
      <c r="KV18" s="25">
        <v>0</v>
      </c>
      <c r="KW18" s="25">
        <v>0</v>
      </c>
      <c r="KX18" s="25">
        <v>0</v>
      </c>
      <c r="KY18" s="25">
        <v>0</v>
      </c>
      <c r="KZ18" s="25">
        <v>0</v>
      </c>
      <c r="LA18" s="25">
        <v>0</v>
      </c>
      <c r="LB18" s="25">
        <v>0</v>
      </c>
      <c r="LC18" s="25">
        <v>0</v>
      </c>
      <c r="LD18" s="25">
        <v>0</v>
      </c>
      <c r="LE18" s="25">
        <v>0</v>
      </c>
      <c r="LF18" s="25">
        <v>0</v>
      </c>
      <c r="LG18" s="25">
        <v>0</v>
      </c>
      <c r="LH18" s="25">
        <v>0</v>
      </c>
      <c r="LI18" s="25">
        <v>0</v>
      </c>
      <c r="LJ18" s="25">
        <v>0</v>
      </c>
      <c r="LK18" s="25">
        <v>0</v>
      </c>
      <c r="LL18" s="25">
        <v>0</v>
      </c>
      <c r="LM18" s="25">
        <v>0</v>
      </c>
      <c r="LN18" s="278">
        <f ca="1">$A18 - DeathsTimeS!Sweden100dt + 1</f>
        <v>-49</v>
      </c>
      <c r="LO18" s="366">
        <f ca="1">INDEX(OFFSET(DeathsTimeS!HeadRow,ROW()-ROW(DeathsTimeS!HeadRow),0,1,COLUMNS(DeathsTimeS!HeadRow)),1,MATCH(LO$5,DeathsTimeS!HeadRow,0))/LO$8</f>
        <v>0</v>
      </c>
      <c r="LP18" s="278">
        <f ca="1">$A18 - DeathsTimeS!Spain100dt</f>
        <v>-42</v>
      </c>
      <c r="LQ18" s="11">
        <f ca="1">INDEX(OFFSET(DeathsTimeS!HeadRow,ROW()-ROW(DeathsTimeS!HeadRow),0,1,COLUMNS(DeathsTimeS!HeadRow)),1,MATCH(LQ$5,DeathsTimeS!HeadRow,0))/LQ$8</f>
        <v>0</v>
      </c>
      <c r="LR18" s="278">
        <f ca="1">$A18 - DeathsTimeS!Victoria100dt</f>
        <v>-65</v>
      </c>
      <c r="LS18" s="11">
        <f ca="1">INDEX(OFFSET(DeathsTimeS!HeadRow,ROW()-ROW(DeathsTimeS!HeadRow),0,1,COLUMNS(DeathsTimeS!HeadRow)),1,MATCH(LS$5,DeathsTimeS!HeadRow,0))/LS$8</f>
        <v>0</v>
      </c>
      <c r="LT18" s="278">
        <f ca="1">$A18 - DeathsTimeS!Iran100dt</f>
        <v>-35</v>
      </c>
      <c r="LU18" s="11">
        <f ca="1">INDEX(OFFSET(DeathsTimeS!HeadRow,ROW()-ROW(DeathsTimeS!HeadRow),0,1,COLUMNS(DeathsTimeS!HeadRow)),1,MATCH(LU$5,DeathsTimeS!HeadRow,0))/LU$8</f>
        <v>0</v>
      </c>
      <c r="LV18" s="278">
        <f ca="1">$A18 - DeathsTimeS!Japan100dt</f>
        <v>-76</v>
      </c>
      <c r="LW18" s="11">
        <f ca="1">INDEX(OFFSET(DeathsTimeS!HeadRow,ROW()-ROW(DeathsTimeS!HeadRow),0,1,COLUMNS(DeathsTimeS!HeadRow)),1,MATCH(LW$5,DeathsTimeS!HeadRow,0))/LW$8</f>
        <v>0</v>
      </c>
      <c r="LX18" s="278">
        <f ca="1">$A18 - DeathsTimeS!Queensland100dt</f>
        <v>-80</v>
      </c>
      <c r="LY18" s="11">
        <f ca="1">INDEX(OFFSET(DeathsTimeS!HeadRow,ROW()-ROW(DeathsTimeS!HeadRow),0,1,COLUMNS(DeathsTimeS!HeadRow)),1,MATCH(LY$5,DeathsTimeS!HeadRow,0))/LY$8</f>
        <v>0</v>
      </c>
      <c r="LZ18" s="278">
        <f ca="1">$A18 - DeathsTimeS!Tasmania100dt</f>
        <v>-62</v>
      </c>
      <c r="MA18" s="11">
        <f ca="1">INDEX(OFFSET(DeathsTimeS!HeadRow,ROW()-ROW(DeathsTimeS!HeadRow),0,1,COLUMNS(DeathsTimeS!HeadRow)),1,MATCH(MA$5,DeathsTimeS!HeadRow,0))/MA$8</f>
        <v>0</v>
      </c>
      <c r="MB18" s="278">
        <f ca="1">$A18 - DeathsTimeS!SouthAustralia100dt</f>
        <v>-70</v>
      </c>
      <c r="MC18" s="11">
        <f ca="1">INDEX(OFFSET(DeathsTimeS!HeadRow,ROW()-ROW(DeathsTimeS!HeadRow),0,1,COLUMNS(DeathsTimeS!HeadRow)),1,MATCH(MC$5,DeathsTimeS!HeadRow,0))/MC$8</f>
        <v>0</v>
      </c>
      <c r="MD18" s="278">
        <f ca="1">$A18 - DeathsTimeS!WesternAustralia100dt</f>
        <v>-67</v>
      </c>
      <c r="ME18" s="11">
        <f ca="1">INDEX(OFFSET(DeathsTimeS!HeadRow,ROW()-ROW(DeathsTimeS!HeadRow),0,1,COLUMNS(DeathsTimeS!HeadRow)),1,MATCH(ME$5,DeathsTimeS!HeadRow,0))/ME$8</f>
        <v>0</v>
      </c>
      <c r="MF18" s="278">
        <f ca="1">$A18 - DeathsTimeS!NewSouthWales100dt</f>
        <v>-63</v>
      </c>
      <c r="MG18" s="11">
        <f ca="1">INDEX(OFFSET(DeathsTimeS!HeadRow,ROW()-ROW(DeathsTimeS!HeadRow),0,1,COLUMNS(DeathsTimeS!HeadRow)),1,MATCH(MG$5,DeathsTimeS!HeadRow,0))/MG$8</f>
        <v>0</v>
      </c>
      <c r="MH18" s="278">
        <f ca="1">$A18 - DeathsTimeS!NewYork100dt</f>
        <v>-47</v>
      </c>
      <c r="MI18" s="11">
        <f ca="1">INDEX(OFFSET(DeathsTimeS!HeadRow,ROW()-ROW(DeathsTimeS!HeadRow),0,1,COLUMNS(DeathsTimeS!HeadRow)),1,MATCH(MI$5,DeathsTimeS!HeadRow,0))/MI$8</f>
        <v>0</v>
      </c>
      <c r="MJ18" s="278">
        <f ca="1">$A18 - DeathsTimeS!Italy100dt</f>
        <v>-34</v>
      </c>
      <c r="MK18" s="11">
        <f ca="1">INDEX(OFFSET(DeathsTimeS!HeadRow,ROW()-ROW(DeathsTimeS!HeadRow),0,1,COLUMNS(DeathsTimeS!HeadRow)),1,MATCH(MK$5,DeathsTimeS!HeadRow,0))/MK$8</f>
        <v>0</v>
      </c>
      <c r="ML18" s="278">
        <f ca="1">$A18 - DeathsTimeS!AustralianCapitalTerritory100dt</f>
        <v>-61</v>
      </c>
      <c r="MM18" s="11">
        <f ca="1">INDEX(OFFSET(DeathsTimeS!HeadRow,ROW()-ROW(DeathsTimeS!HeadRow),0,1,COLUMNS(DeathsTimeS!HeadRow)),1,MATCH(MM$5,DeathsTimeS!HeadRow,0))/MM$8</f>
        <v>0</v>
      </c>
      <c r="MN18" s="278">
        <f ca="1">IF(DeathsTimeS!NorthernTerritory100dt&gt;0,$A18 - DeathsTimeS!NorthernTerritory100dt,"")</f>
        <v>-89</v>
      </c>
      <c r="MO18" s="11">
        <f ca="1">INDEX(OFFSET(DeathsTimeS!HeadRow,ROW()-ROW(DeathsTimeS!HeadRow),0,1,COLUMNS(DeathsTimeS!HeadRow)),1,MATCH(MO$5,DeathsTimeS!HeadRow,0))/MO$8</f>
        <v>0</v>
      </c>
      <c r="MP18" s="278">
        <f ca="1">$A18 - DeathsTimeS!SouthAfrica100dt + 1</f>
        <v>-81</v>
      </c>
      <c r="MQ18" s="20">
        <f ca="1">INDEX(OFFSET(DeathsTimeS!HeadRow,ROW()-ROW(DeathsTimeS!HeadRow),0,1,COLUMNS(DeathsTimeS!HeadRow)),1,MATCH(MQ$5,DeathsTimeS!HeadRow,0))/MQ$8</f>
        <v>0</v>
      </c>
      <c r="MR18" s="278">
        <f ca="1">$A18 - DeathsTimeS!Germany100dt + 1</f>
        <v>-51</v>
      </c>
      <c r="MS18" s="20">
        <f ca="1">INDEX(OFFSET(DeathsTimeS!HeadRow,ROW()-ROW(DeathsTimeS!HeadRow),0,1,COLUMNS(DeathsTimeS!HeadRow)),1,MATCH(MS$5,DeathsTimeS!HeadRow,0))/MS$8</f>
        <v>0</v>
      </c>
      <c r="MT18" s="278">
        <f ca="1">$A18 - DeathsTimeS!Ireland100dt + 1</f>
        <v>-53</v>
      </c>
      <c r="MU18" s="73">
        <f ca="1">INDEX(OFFSET(DeathsTimeS!HeadRow,ROW()-ROW(DeathsTimeS!HeadRow),0,1,COLUMNS(DeathsTimeS!HeadRow)),1,MATCH(MU$5,DeathsTimeS!HeadRow,0))/MU$8</f>
        <v>0</v>
      </c>
      <c r="MV18" s="278">
        <f ca="1">$A18 - DeathsTimeS!UnitedKingdom100dt + 1</f>
        <v>-47</v>
      </c>
      <c r="MW18" s="73">
        <f ca="1">INDEX(OFFSET(DeathsTimeS!HeadRow,ROW()-ROW(DeathsTimeS!HeadRow),0,1,COLUMNS(DeathsTimeS!HeadRow)),1,MATCH(MW$5,DeathsTimeS!HeadRow,0))/MW$8</f>
        <v>0</v>
      </c>
      <c r="MX18" s="278">
        <f ca="1">$A18 - DeathsTimeS!Denmark100dt + 1</f>
        <v>-49</v>
      </c>
      <c r="MY18" s="73">
        <f ca="1">INDEX(OFFSET(DeathsTimeS!HeadRow,ROW()-ROW(DeathsTimeS!HeadRow),0,1,COLUMNS(DeathsTimeS!HeadRow)),1,MATCH(MY$5,DeathsTimeS!HeadRow,0))/MY$8</f>
        <v>0</v>
      </c>
      <c r="MZ18" s="278">
        <f ca="1">$A18 - DeathsTimeS!US100dt + 1</f>
        <v>-50</v>
      </c>
      <c r="NA18" s="73">
        <f ca="1">INDEX(OFFSET(DeathsTimeS!HeadRow,ROW()-ROW(DeathsTimeS!HeadRow),0,1,COLUMNS(DeathsTimeS!HeadRow)),1,MATCH(NA$5,DeathsTimeS!HeadRow,0))/NA$8</f>
        <v>0</v>
      </c>
      <c r="NB18" s="278">
        <f ca="1">$A18 - DeathsTimeS!AustraliaSum100dt + 1</f>
        <v>-56</v>
      </c>
      <c r="NC18" s="366">
        <f t="shared" si="6"/>
        <v>0</v>
      </c>
      <c r="ND18" s="278">
        <f ca="1">$A18 - DeathsTimeS!Taiwan100dt + 1</f>
        <v>-88</v>
      </c>
      <c r="NE18" s="366">
        <f ca="1">INDEX(OFFSET(DeathsTimeS!HeadRow,ROW()-ROW(DeathsTimeS!HeadRow),0,1,COLUMNS(DeathsTimeS!HeadRow)),1,MATCH(NE$5,DeathsTimeS!HeadRow,0))/NE$8</f>
        <v>0</v>
      </c>
      <c r="NF18" s="278">
        <f ca="1">$A18 - DeathsTimeS!Hubei100dt + 1</f>
        <v>3</v>
      </c>
      <c r="NG18" s="366">
        <f ca="1">INDEX(OFFSET(DeathsTimeS!HeadRow,ROW()-ROW(DeathsTimeS!HeadRow),0,1,COLUMNS(DeathsTimeS!HeadRow)),1,MATCH(NG$5,DeathsTimeS!HeadRow,0))/NG$8</f>
        <v>21.36752136752137</v>
      </c>
      <c r="NH18" s="278">
        <f ca="1">$A18 - DeathsTimeS!HongKong100dt + 1</f>
        <v>-88</v>
      </c>
      <c r="NI18" s="366">
        <f ca="1">INDEX(OFFSET(DeathsTimeS!HeadRow,ROW()-ROW(DeathsTimeS!HeadRow),0,1,COLUMNS(DeathsTimeS!HeadRow)),1,MATCH(NI$5,DeathsTimeS!HeadRow,0))/NI$8</f>
        <v>0</v>
      </c>
    </row>
    <row r="19" spans="1:373" x14ac:dyDescent="0.25">
      <c r="A19" s="156">
        <v>43860</v>
      </c>
      <c r="B19" s="25">
        <v>0</v>
      </c>
      <c r="C19" s="25">
        <v>0</v>
      </c>
      <c r="D19" s="25">
        <v>0</v>
      </c>
      <c r="E19" s="25">
        <v>0</v>
      </c>
      <c r="F19" s="25">
        <v>0</v>
      </c>
      <c r="G19" s="25">
        <v>0</v>
      </c>
      <c r="H19" s="25">
        <v>0</v>
      </c>
      <c r="I19" s="25">
        <v>0</v>
      </c>
      <c r="J19" s="25">
        <v>0</v>
      </c>
      <c r="K19" s="25">
        <v>0</v>
      </c>
      <c r="L19" s="25">
        <v>0</v>
      </c>
      <c r="M19" s="25">
        <v>0</v>
      </c>
      <c r="N19" s="25">
        <v>0</v>
      </c>
      <c r="O19" s="25">
        <v>0</v>
      </c>
      <c r="P19" s="25">
        <v>0</v>
      </c>
      <c r="Q19" s="25">
        <v>0</v>
      </c>
      <c r="R19" s="25">
        <v>0</v>
      </c>
      <c r="S19" s="25">
        <v>0</v>
      </c>
      <c r="T19" s="25">
        <v>0</v>
      </c>
      <c r="U19" s="25">
        <v>0</v>
      </c>
      <c r="V19" s="25">
        <v>0</v>
      </c>
      <c r="W19" s="25">
        <v>0</v>
      </c>
      <c r="X19" s="25">
        <v>0</v>
      </c>
      <c r="Y19" s="25">
        <v>0</v>
      </c>
      <c r="Z19" s="25">
        <v>0</v>
      </c>
      <c r="AA19" s="25">
        <v>0</v>
      </c>
      <c r="AB19" s="25">
        <v>0</v>
      </c>
      <c r="AC19" s="25">
        <v>0</v>
      </c>
      <c r="AD19" s="25">
        <v>0</v>
      </c>
      <c r="AE19" s="25">
        <v>0</v>
      </c>
      <c r="AF19" s="25">
        <v>0</v>
      </c>
      <c r="AG19" s="25">
        <v>0</v>
      </c>
      <c r="AH19" s="25">
        <v>0</v>
      </c>
      <c r="AI19" s="25">
        <v>0</v>
      </c>
      <c r="AJ19" s="25">
        <v>0</v>
      </c>
      <c r="AK19" s="25">
        <v>0</v>
      </c>
      <c r="AL19" s="25">
        <v>0</v>
      </c>
      <c r="AM19" s="25">
        <v>0</v>
      </c>
      <c r="AN19" s="25">
        <v>0</v>
      </c>
      <c r="AO19" s="25">
        <v>0</v>
      </c>
      <c r="AP19" s="25">
        <v>0</v>
      </c>
      <c r="AQ19" s="25">
        <v>0</v>
      </c>
      <c r="AR19" s="25">
        <v>0</v>
      </c>
      <c r="AS19" s="25">
        <v>0</v>
      </c>
      <c r="AT19" s="25">
        <v>0</v>
      </c>
      <c r="AU19" s="25">
        <v>0</v>
      </c>
      <c r="AV19" s="25">
        <v>0</v>
      </c>
      <c r="AW19" s="25">
        <v>0</v>
      </c>
      <c r="AX19" s="25">
        <v>0</v>
      </c>
      <c r="AY19" s="25">
        <v>0</v>
      </c>
      <c r="AZ19" s="25">
        <v>1</v>
      </c>
      <c r="BA19" s="25">
        <v>0</v>
      </c>
      <c r="BB19" s="25">
        <v>0</v>
      </c>
      <c r="BC19" s="25">
        <v>0</v>
      </c>
      <c r="BD19" s="25">
        <v>0</v>
      </c>
      <c r="BE19" s="25">
        <v>0</v>
      </c>
      <c r="BF19" s="25">
        <v>0</v>
      </c>
      <c r="BG19" s="25">
        <v>1</v>
      </c>
      <c r="BH19" s="25">
        <v>1</v>
      </c>
      <c r="BI19" s="25">
        <v>2</v>
      </c>
      <c r="BJ19" s="25">
        <v>2</v>
      </c>
      <c r="BK19" s="25">
        <v>0</v>
      </c>
      <c r="BL19" s="25">
        <v>162</v>
      </c>
      <c r="BM19" s="25">
        <v>0</v>
      </c>
      <c r="BN19" s="25">
        <v>0</v>
      </c>
      <c r="BO19" s="25">
        <v>0</v>
      </c>
      <c r="BP19" s="25">
        <v>0</v>
      </c>
      <c r="BQ19" s="25">
        <v>0</v>
      </c>
      <c r="BR19" s="25">
        <v>0</v>
      </c>
      <c r="BS19" s="25">
        <v>0</v>
      </c>
      <c r="BT19" s="25">
        <v>0</v>
      </c>
      <c r="BU19" s="25">
        <v>0</v>
      </c>
      <c r="BV19" s="25">
        <v>0</v>
      </c>
      <c r="BW19" s="25">
        <v>0</v>
      </c>
      <c r="BX19" s="25">
        <v>1</v>
      </c>
      <c r="BY19" s="25">
        <v>0</v>
      </c>
      <c r="BZ19" s="25">
        <v>1</v>
      </c>
      <c r="CA19" s="25">
        <v>0</v>
      </c>
      <c r="CB19" s="25">
        <v>0</v>
      </c>
      <c r="CC19" s="25">
        <v>0</v>
      </c>
      <c r="CD19" s="25">
        <v>0</v>
      </c>
      <c r="CE19" s="25">
        <v>0</v>
      </c>
      <c r="CF19" s="25">
        <v>0</v>
      </c>
      <c r="CG19" s="25">
        <v>0</v>
      </c>
      <c r="CH19" s="25">
        <v>0</v>
      </c>
      <c r="CI19" s="25">
        <v>0</v>
      </c>
      <c r="CJ19" s="25">
        <v>0</v>
      </c>
      <c r="CK19" s="25">
        <v>0</v>
      </c>
      <c r="CL19" s="25">
        <v>0</v>
      </c>
      <c r="CM19" s="25">
        <v>0</v>
      </c>
      <c r="CN19" s="25">
        <v>0</v>
      </c>
      <c r="CO19" s="25">
        <v>0</v>
      </c>
      <c r="CP19" s="25">
        <v>0</v>
      </c>
      <c r="CQ19" s="25">
        <v>0</v>
      </c>
      <c r="CR19" s="25">
        <v>0</v>
      </c>
      <c r="CS19" s="25">
        <v>0</v>
      </c>
      <c r="CT19" s="25">
        <v>0</v>
      </c>
      <c r="CU19" s="25">
        <v>0</v>
      </c>
      <c r="CV19" s="25">
        <v>0</v>
      </c>
      <c r="CW19" s="25">
        <v>0</v>
      </c>
      <c r="CX19" s="25">
        <v>0</v>
      </c>
      <c r="CY19" s="25">
        <v>0</v>
      </c>
      <c r="CZ19" s="25">
        <v>0</v>
      </c>
      <c r="DA19" s="25">
        <v>0</v>
      </c>
      <c r="DB19" s="25">
        <v>0</v>
      </c>
      <c r="DC19" s="25">
        <v>0</v>
      </c>
      <c r="DD19" s="25">
        <v>0</v>
      </c>
      <c r="DE19" s="25">
        <v>0</v>
      </c>
      <c r="DF19" s="25">
        <v>0</v>
      </c>
      <c r="DG19" s="25">
        <v>0</v>
      </c>
      <c r="DH19" s="25">
        <v>0</v>
      </c>
      <c r="DI19" s="25">
        <v>0</v>
      </c>
      <c r="DJ19" s="25">
        <v>0</v>
      </c>
      <c r="DK19" s="25">
        <v>0</v>
      </c>
      <c r="DL19" s="25">
        <v>0</v>
      </c>
      <c r="DM19" s="25">
        <v>0</v>
      </c>
      <c r="DN19" s="25">
        <v>0</v>
      </c>
      <c r="DO19" s="25">
        <v>0</v>
      </c>
      <c r="DP19" s="25">
        <v>0</v>
      </c>
      <c r="DQ19" s="25">
        <v>0</v>
      </c>
      <c r="DR19" s="25">
        <v>0</v>
      </c>
      <c r="DS19" s="25">
        <v>0</v>
      </c>
      <c r="DT19" s="25">
        <v>0</v>
      </c>
      <c r="DU19" s="25">
        <v>0</v>
      </c>
      <c r="DV19" s="25">
        <v>0</v>
      </c>
      <c r="DW19" s="25">
        <v>0</v>
      </c>
      <c r="DX19" s="25">
        <v>0</v>
      </c>
      <c r="DY19" s="25">
        <v>0</v>
      </c>
      <c r="DZ19" s="25">
        <v>0</v>
      </c>
      <c r="EA19" s="25">
        <v>0</v>
      </c>
      <c r="EB19" s="25">
        <v>0</v>
      </c>
      <c r="EC19" s="25">
        <v>0</v>
      </c>
      <c r="ED19" s="25">
        <v>0</v>
      </c>
      <c r="EE19" s="25">
        <v>0</v>
      </c>
      <c r="EF19" s="25">
        <v>0</v>
      </c>
      <c r="EG19" s="25">
        <v>0</v>
      </c>
      <c r="EH19" s="25">
        <v>0</v>
      </c>
      <c r="EI19" s="25">
        <v>0</v>
      </c>
      <c r="EJ19" s="25">
        <v>0</v>
      </c>
      <c r="EK19" s="25">
        <v>0</v>
      </c>
      <c r="EL19" s="25">
        <v>0</v>
      </c>
      <c r="EM19" s="25">
        <v>0</v>
      </c>
      <c r="EN19" s="25">
        <v>0</v>
      </c>
      <c r="EO19" s="25">
        <v>0</v>
      </c>
      <c r="EP19" s="25">
        <v>0</v>
      </c>
      <c r="EQ19" s="25">
        <v>0</v>
      </c>
      <c r="ER19" s="25">
        <v>0</v>
      </c>
      <c r="ES19" s="25">
        <v>0</v>
      </c>
      <c r="ET19" s="25">
        <v>0</v>
      </c>
      <c r="EU19" s="25">
        <v>0</v>
      </c>
      <c r="EV19" s="25">
        <v>0</v>
      </c>
      <c r="EW19" s="25">
        <v>0</v>
      </c>
      <c r="EX19" s="25">
        <v>0</v>
      </c>
      <c r="EY19" s="25">
        <v>0</v>
      </c>
      <c r="EZ19" s="25">
        <v>0</v>
      </c>
      <c r="FA19" s="25">
        <v>0</v>
      </c>
      <c r="FB19" s="25">
        <v>0</v>
      </c>
      <c r="FC19" s="25">
        <v>0</v>
      </c>
      <c r="FD19" s="25">
        <v>0</v>
      </c>
      <c r="FE19" s="25">
        <v>0</v>
      </c>
      <c r="FF19" s="25">
        <v>0</v>
      </c>
      <c r="FG19" s="25">
        <v>0</v>
      </c>
      <c r="FH19" s="25">
        <v>0</v>
      </c>
      <c r="FI19" s="25">
        <v>0</v>
      </c>
      <c r="FJ19" s="25">
        <v>0</v>
      </c>
      <c r="FK19" s="25">
        <v>0</v>
      </c>
      <c r="FL19" s="25">
        <v>0</v>
      </c>
      <c r="FM19" s="25">
        <v>0</v>
      </c>
      <c r="FN19" s="25">
        <v>0</v>
      </c>
      <c r="FO19" s="25">
        <v>0</v>
      </c>
      <c r="FP19" s="25">
        <v>0</v>
      </c>
      <c r="FQ19" s="25">
        <v>0</v>
      </c>
      <c r="FR19" s="25">
        <v>0</v>
      </c>
      <c r="FS19" s="25">
        <v>0</v>
      </c>
      <c r="FT19" s="25">
        <v>0</v>
      </c>
      <c r="FU19" s="25">
        <v>0</v>
      </c>
      <c r="FV19" s="25">
        <v>0</v>
      </c>
      <c r="FW19" s="25">
        <v>0</v>
      </c>
      <c r="FX19" s="25">
        <v>0</v>
      </c>
      <c r="FY19" s="25">
        <v>0</v>
      </c>
      <c r="FZ19" s="25">
        <v>0</v>
      </c>
      <c r="GA19" s="25">
        <v>0</v>
      </c>
      <c r="GB19" s="25">
        <v>0</v>
      </c>
      <c r="GC19" s="25">
        <v>0</v>
      </c>
      <c r="GD19" s="25">
        <v>0</v>
      </c>
      <c r="GE19" s="25">
        <v>0</v>
      </c>
      <c r="GF19" s="25">
        <v>0</v>
      </c>
      <c r="GG19" s="25">
        <v>0</v>
      </c>
      <c r="GH19" s="25">
        <v>0</v>
      </c>
      <c r="GI19" s="25">
        <v>0</v>
      </c>
      <c r="GJ19" s="25">
        <v>0</v>
      </c>
      <c r="GK19" s="25">
        <v>0</v>
      </c>
      <c r="GL19" s="25">
        <v>0</v>
      </c>
      <c r="GM19" s="25">
        <v>0</v>
      </c>
      <c r="GN19" s="25">
        <v>0</v>
      </c>
      <c r="GO19" s="25">
        <v>0</v>
      </c>
      <c r="GP19" s="25">
        <v>0</v>
      </c>
      <c r="GQ19" s="25">
        <v>0</v>
      </c>
      <c r="GR19" s="25">
        <v>0</v>
      </c>
      <c r="GS19" s="25">
        <v>0</v>
      </c>
      <c r="GT19" s="25">
        <v>0</v>
      </c>
      <c r="GU19" s="25">
        <v>0</v>
      </c>
      <c r="GV19" s="25">
        <v>0</v>
      </c>
      <c r="GW19" s="25">
        <v>0</v>
      </c>
      <c r="GX19" s="25">
        <v>0</v>
      </c>
      <c r="GY19" s="46">
        <v>0</v>
      </c>
      <c r="GZ19" s="25">
        <v>0</v>
      </c>
      <c r="HA19" s="25">
        <v>0</v>
      </c>
      <c r="HB19" s="25">
        <v>0</v>
      </c>
      <c r="HC19" s="25">
        <v>0</v>
      </c>
      <c r="HD19" s="25">
        <v>0</v>
      </c>
      <c r="HE19" s="25">
        <v>0</v>
      </c>
      <c r="HF19" s="25">
        <v>0</v>
      </c>
      <c r="HG19" s="25">
        <v>0</v>
      </c>
      <c r="HH19" s="25">
        <v>0</v>
      </c>
      <c r="HI19" s="25">
        <v>0</v>
      </c>
      <c r="HJ19" s="25">
        <v>0</v>
      </c>
      <c r="HK19" s="25">
        <v>0</v>
      </c>
      <c r="HL19" s="25">
        <v>0</v>
      </c>
      <c r="HM19" s="25">
        <v>0</v>
      </c>
      <c r="HN19" s="25">
        <v>0</v>
      </c>
      <c r="HO19" s="25">
        <v>0</v>
      </c>
      <c r="HP19" s="25">
        <v>0</v>
      </c>
      <c r="HQ19" s="25">
        <v>0</v>
      </c>
      <c r="HR19" s="25">
        <v>0</v>
      </c>
      <c r="HS19" s="25">
        <v>0</v>
      </c>
      <c r="HT19" s="25">
        <v>0</v>
      </c>
      <c r="HU19" s="25">
        <v>0</v>
      </c>
      <c r="HV19" s="25">
        <v>0</v>
      </c>
      <c r="HW19" s="25">
        <v>0</v>
      </c>
      <c r="HX19" s="25">
        <v>0</v>
      </c>
      <c r="HY19" s="25">
        <v>0</v>
      </c>
      <c r="HZ19" s="25">
        <v>0</v>
      </c>
      <c r="IA19" s="25">
        <v>0</v>
      </c>
      <c r="IB19" s="25">
        <v>0</v>
      </c>
      <c r="IC19" s="25">
        <v>0</v>
      </c>
      <c r="ID19" s="25">
        <v>0</v>
      </c>
      <c r="IE19" s="25">
        <v>0</v>
      </c>
      <c r="IF19" s="25">
        <v>0</v>
      </c>
      <c r="IG19" s="25">
        <v>0</v>
      </c>
      <c r="IH19" s="25">
        <v>0</v>
      </c>
      <c r="II19" s="25">
        <v>0</v>
      </c>
      <c r="IJ19" s="25">
        <v>0</v>
      </c>
      <c r="IK19" s="25">
        <v>0</v>
      </c>
      <c r="IL19" s="25">
        <v>0</v>
      </c>
      <c r="IM19" s="25">
        <v>0</v>
      </c>
      <c r="IN19" s="25">
        <v>0</v>
      </c>
      <c r="IO19" s="25">
        <v>0</v>
      </c>
      <c r="IP19" s="25">
        <v>0</v>
      </c>
      <c r="IQ19" s="25">
        <v>0</v>
      </c>
      <c r="IR19" s="25">
        <v>0</v>
      </c>
      <c r="IS19" s="25">
        <v>0</v>
      </c>
      <c r="IT19" s="25">
        <v>0</v>
      </c>
      <c r="IU19" s="25">
        <v>0</v>
      </c>
      <c r="IV19" s="25">
        <v>0</v>
      </c>
      <c r="IW19" s="25">
        <v>0</v>
      </c>
      <c r="IX19" s="25">
        <v>0</v>
      </c>
      <c r="IY19" s="25">
        <v>0</v>
      </c>
      <c r="IZ19" s="25">
        <v>0</v>
      </c>
      <c r="JA19" s="25">
        <v>0</v>
      </c>
      <c r="JB19" s="25">
        <v>0</v>
      </c>
      <c r="JC19" s="25">
        <v>0</v>
      </c>
      <c r="JD19" s="25">
        <v>0</v>
      </c>
      <c r="JE19" s="25">
        <v>0</v>
      </c>
      <c r="JF19" s="25">
        <v>0</v>
      </c>
      <c r="JG19" s="25">
        <v>0</v>
      </c>
      <c r="JH19" s="25">
        <v>0</v>
      </c>
      <c r="JI19" s="25">
        <v>0</v>
      </c>
      <c r="JJ19" s="25">
        <v>0</v>
      </c>
      <c r="JK19" s="25">
        <v>0</v>
      </c>
      <c r="JL19" s="25">
        <v>0</v>
      </c>
      <c r="JM19" s="25">
        <v>0</v>
      </c>
      <c r="JN19" s="25">
        <v>0</v>
      </c>
      <c r="JO19" s="25">
        <v>0</v>
      </c>
      <c r="JP19" s="25">
        <v>0</v>
      </c>
      <c r="JQ19" s="25">
        <v>0</v>
      </c>
      <c r="JR19" s="25">
        <v>0</v>
      </c>
      <c r="JS19" s="25">
        <v>0</v>
      </c>
      <c r="JT19" s="25">
        <v>0</v>
      </c>
      <c r="JU19" s="25">
        <v>0</v>
      </c>
      <c r="JV19" s="25">
        <v>0</v>
      </c>
      <c r="JW19" s="25">
        <v>0</v>
      </c>
      <c r="JX19" s="25">
        <v>0</v>
      </c>
      <c r="JY19" s="25">
        <v>0</v>
      </c>
      <c r="JZ19" s="25">
        <v>0</v>
      </c>
      <c r="KA19" s="25">
        <v>0</v>
      </c>
      <c r="KB19" s="25">
        <v>0</v>
      </c>
      <c r="KC19" s="25">
        <v>0</v>
      </c>
      <c r="KD19" s="25">
        <v>0</v>
      </c>
      <c r="KE19" s="25">
        <v>0</v>
      </c>
      <c r="KF19" s="25">
        <v>0</v>
      </c>
      <c r="KG19" s="25">
        <v>0</v>
      </c>
      <c r="KH19" s="25">
        <v>0</v>
      </c>
      <c r="KI19" s="25">
        <v>0</v>
      </c>
      <c r="KJ19" s="25">
        <v>0</v>
      </c>
      <c r="KK19" s="25">
        <v>0</v>
      </c>
      <c r="KL19" s="25">
        <v>0</v>
      </c>
      <c r="KM19" s="25">
        <v>0</v>
      </c>
      <c r="KN19" s="25">
        <v>0</v>
      </c>
      <c r="KO19" s="25">
        <v>0</v>
      </c>
      <c r="KP19" s="25">
        <v>0</v>
      </c>
      <c r="KQ19" s="25">
        <v>0</v>
      </c>
      <c r="KR19" s="25">
        <v>0</v>
      </c>
      <c r="KS19" s="25">
        <v>0</v>
      </c>
      <c r="KT19" s="25">
        <v>0</v>
      </c>
      <c r="KU19" s="25">
        <v>0</v>
      </c>
      <c r="KV19" s="25">
        <v>0</v>
      </c>
      <c r="KW19" s="25">
        <v>0</v>
      </c>
      <c r="KX19" s="25">
        <v>0</v>
      </c>
      <c r="KY19" s="25">
        <v>0</v>
      </c>
      <c r="KZ19" s="25">
        <v>0</v>
      </c>
      <c r="LA19" s="25">
        <v>0</v>
      </c>
      <c r="LB19" s="25">
        <v>0</v>
      </c>
      <c r="LC19" s="25">
        <v>0</v>
      </c>
      <c r="LD19" s="25">
        <v>0</v>
      </c>
      <c r="LE19" s="25">
        <v>0</v>
      </c>
      <c r="LF19" s="25">
        <v>0</v>
      </c>
      <c r="LG19" s="25">
        <v>0</v>
      </c>
      <c r="LH19" s="25">
        <v>0</v>
      </c>
      <c r="LI19" s="25">
        <v>0</v>
      </c>
      <c r="LJ19" s="25">
        <v>0</v>
      </c>
      <c r="LK19" s="25">
        <v>0</v>
      </c>
      <c r="LL19" s="25">
        <v>0</v>
      </c>
      <c r="LM19" s="25">
        <v>0</v>
      </c>
      <c r="LN19" s="278">
        <f ca="1">$A19 - DeathsTimeS!Sweden100dt + 1</f>
        <v>-48</v>
      </c>
      <c r="LO19" s="366">
        <f ca="1">INDEX(OFFSET(DeathsTimeS!HeadRow,ROW()-ROW(DeathsTimeS!HeadRow),0,1,COLUMNS(DeathsTimeS!HeadRow)),1,MATCH(LO$5,DeathsTimeS!HeadRow,0))/LO$8</f>
        <v>0</v>
      </c>
      <c r="LP19" s="278">
        <f ca="1">$A19 - DeathsTimeS!Spain100dt</f>
        <v>-41</v>
      </c>
      <c r="LQ19" s="11">
        <f ca="1">INDEX(OFFSET(DeathsTimeS!HeadRow,ROW()-ROW(DeathsTimeS!HeadRow),0,1,COLUMNS(DeathsTimeS!HeadRow)),1,MATCH(LQ$5,DeathsTimeS!HeadRow,0))/LQ$8</f>
        <v>0</v>
      </c>
      <c r="LR19" s="278">
        <f ca="1">$A19 - DeathsTimeS!Victoria100dt</f>
        <v>-64</v>
      </c>
      <c r="LS19" s="11">
        <f ca="1">INDEX(OFFSET(DeathsTimeS!HeadRow,ROW()-ROW(DeathsTimeS!HeadRow),0,1,COLUMNS(DeathsTimeS!HeadRow)),1,MATCH(LS$5,DeathsTimeS!HeadRow,0))/LS$8</f>
        <v>0</v>
      </c>
      <c r="LT19" s="278">
        <f ca="1">$A19 - DeathsTimeS!Iran100dt</f>
        <v>-34</v>
      </c>
      <c r="LU19" s="11">
        <f ca="1">INDEX(OFFSET(DeathsTimeS!HeadRow,ROW()-ROW(DeathsTimeS!HeadRow),0,1,COLUMNS(DeathsTimeS!HeadRow)),1,MATCH(LU$5,DeathsTimeS!HeadRow,0))/LU$8</f>
        <v>0</v>
      </c>
      <c r="LV19" s="278">
        <f ca="1">$A19 - DeathsTimeS!Japan100dt</f>
        <v>-75</v>
      </c>
      <c r="LW19" s="11">
        <f ca="1">INDEX(OFFSET(DeathsTimeS!HeadRow,ROW()-ROW(DeathsTimeS!HeadRow),0,1,COLUMNS(DeathsTimeS!HeadRow)),1,MATCH(LW$5,DeathsTimeS!HeadRow,0))/LW$8</f>
        <v>0</v>
      </c>
      <c r="LX19" s="278">
        <f ca="1">$A19 - DeathsTimeS!Queensland100dt</f>
        <v>-79</v>
      </c>
      <c r="LY19" s="11">
        <f ca="1">INDEX(OFFSET(DeathsTimeS!HeadRow,ROW()-ROW(DeathsTimeS!HeadRow),0,1,COLUMNS(DeathsTimeS!HeadRow)),1,MATCH(LY$5,DeathsTimeS!HeadRow,0))/LY$8</f>
        <v>0</v>
      </c>
      <c r="LZ19" s="278">
        <f ca="1">$A19 - DeathsTimeS!Tasmania100dt</f>
        <v>-61</v>
      </c>
      <c r="MA19" s="11">
        <f ca="1">INDEX(OFFSET(DeathsTimeS!HeadRow,ROW()-ROW(DeathsTimeS!HeadRow),0,1,COLUMNS(DeathsTimeS!HeadRow)),1,MATCH(MA$5,DeathsTimeS!HeadRow,0))/MA$8</f>
        <v>0</v>
      </c>
      <c r="MB19" s="278">
        <f ca="1">$A19 - DeathsTimeS!SouthAustralia100dt</f>
        <v>-69</v>
      </c>
      <c r="MC19" s="11">
        <f ca="1">INDEX(OFFSET(DeathsTimeS!HeadRow,ROW()-ROW(DeathsTimeS!HeadRow),0,1,COLUMNS(DeathsTimeS!HeadRow)),1,MATCH(MC$5,DeathsTimeS!HeadRow,0))/MC$8</f>
        <v>0</v>
      </c>
      <c r="MD19" s="278">
        <f ca="1">$A19 - DeathsTimeS!WesternAustralia100dt</f>
        <v>-66</v>
      </c>
      <c r="ME19" s="11">
        <f ca="1">INDEX(OFFSET(DeathsTimeS!HeadRow,ROW()-ROW(DeathsTimeS!HeadRow),0,1,COLUMNS(DeathsTimeS!HeadRow)),1,MATCH(ME$5,DeathsTimeS!HeadRow,0))/ME$8</f>
        <v>0</v>
      </c>
      <c r="MF19" s="278">
        <f ca="1">$A19 - DeathsTimeS!NewSouthWales100dt</f>
        <v>-62</v>
      </c>
      <c r="MG19" s="11">
        <f ca="1">INDEX(OFFSET(DeathsTimeS!HeadRow,ROW()-ROW(DeathsTimeS!HeadRow),0,1,COLUMNS(DeathsTimeS!HeadRow)),1,MATCH(MG$5,DeathsTimeS!HeadRow,0))/MG$8</f>
        <v>0</v>
      </c>
      <c r="MH19" s="278">
        <f ca="1">$A19 - DeathsTimeS!NewYork100dt</f>
        <v>-46</v>
      </c>
      <c r="MI19" s="11">
        <f ca="1">INDEX(OFFSET(DeathsTimeS!HeadRow,ROW()-ROW(DeathsTimeS!HeadRow),0,1,COLUMNS(DeathsTimeS!HeadRow)),1,MATCH(MI$5,DeathsTimeS!HeadRow,0))/MI$8</f>
        <v>0</v>
      </c>
      <c r="MJ19" s="278">
        <f ca="1">$A19 - DeathsTimeS!Italy100dt</f>
        <v>-33</v>
      </c>
      <c r="MK19" s="11">
        <f ca="1">INDEX(OFFSET(DeathsTimeS!HeadRow,ROW()-ROW(DeathsTimeS!HeadRow),0,1,COLUMNS(DeathsTimeS!HeadRow)),1,MATCH(MK$5,DeathsTimeS!HeadRow,0))/MK$8</f>
        <v>0</v>
      </c>
      <c r="ML19" s="278">
        <f ca="1">$A19 - DeathsTimeS!AustralianCapitalTerritory100dt</f>
        <v>-60</v>
      </c>
      <c r="MM19" s="11">
        <f ca="1">INDEX(OFFSET(DeathsTimeS!HeadRow,ROW()-ROW(DeathsTimeS!HeadRow),0,1,COLUMNS(DeathsTimeS!HeadRow)),1,MATCH(MM$5,DeathsTimeS!HeadRow,0))/MM$8</f>
        <v>0</v>
      </c>
      <c r="MN19" s="278">
        <f ca="1">IF(DeathsTimeS!NorthernTerritory100dt&gt;0,$A19 - DeathsTimeS!NorthernTerritory100dt,"")</f>
        <v>-88</v>
      </c>
      <c r="MO19" s="11">
        <f ca="1">INDEX(OFFSET(DeathsTimeS!HeadRow,ROW()-ROW(DeathsTimeS!HeadRow),0,1,COLUMNS(DeathsTimeS!HeadRow)),1,MATCH(MO$5,DeathsTimeS!HeadRow,0))/MO$8</f>
        <v>0</v>
      </c>
      <c r="MP19" s="278">
        <f ca="1">$A19 - DeathsTimeS!SouthAfrica100dt + 1</f>
        <v>-80</v>
      </c>
      <c r="MQ19" s="20">
        <f ca="1">INDEX(OFFSET(DeathsTimeS!HeadRow,ROW()-ROW(DeathsTimeS!HeadRow),0,1,COLUMNS(DeathsTimeS!HeadRow)),1,MATCH(MQ$5,DeathsTimeS!HeadRow,0))/MQ$8</f>
        <v>0</v>
      </c>
      <c r="MR19" s="278">
        <f ca="1">$A19 - DeathsTimeS!Germany100dt + 1</f>
        <v>-50</v>
      </c>
      <c r="MS19" s="20">
        <f ca="1">INDEX(OFFSET(DeathsTimeS!HeadRow,ROW()-ROW(DeathsTimeS!HeadRow),0,1,COLUMNS(DeathsTimeS!HeadRow)),1,MATCH(MS$5,DeathsTimeS!HeadRow,0))/MS$8</f>
        <v>0</v>
      </c>
      <c r="MT19" s="278">
        <f ca="1">$A19 - DeathsTimeS!Ireland100dt + 1</f>
        <v>-52</v>
      </c>
      <c r="MU19" s="73">
        <f ca="1">INDEX(OFFSET(DeathsTimeS!HeadRow,ROW()-ROW(DeathsTimeS!HeadRow),0,1,COLUMNS(DeathsTimeS!HeadRow)),1,MATCH(MU$5,DeathsTimeS!HeadRow,0))/MU$8</f>
        <v>0</v>
      </c>
      <c r="MV19" s="278">
        <f ca="1">$A19 - DeathsTimeS!UnitedKingdom100dt + 1</f>
        <v>-46</v>
      </c>
      <c r="MW19" s="73">
        <f ca="1">INDEX(OFFSET(DeathsTimeS!HeadRow,ROW()-ROW(DeathsTimeS!HeadRow),0,1,COLUMNS(DeathsTimeS!HeadRow)),1,MATCH(MW$5,DeathsTimeS!HeadRow,0))/MW$8</f>
        <v>0</v>
      </c>
      <c r="MX19" s="278">
        <f ca="1">$A19 - DeathsTimeS!Denmark100dt + 1</f>
        <v>-48</v>
      </c>
      <c r="MY19" s="73">
        <f ca="1">INDEX(OFFSET(DeathsTimeS!HeadRow,ROW()-ROW(DeathsTimeS!HeadRow),0,1,COLUMNS(DeathsTimeS!HeadRow)),1,MATCH(MY$5,DeathsTimeS!HeadRow,0))/MY$8</f>
        <v>0</v>
      </c>
      <c r="MZ19" s="278">
        <f ca="1">$A19 - DeathsTimeS!US100dt + 1</f>
        <v>-49</v>
      </c>
      <c r="NA19" s="73">
        <f ca="1">INDEX(OFFSET(DeathsTimeS!HeadRow,ROW()-ROW(DeathsTimeS!HeadRow),0,1,COLUMNS(DeathsTimeS!HeadRow)),1,MATCH(NA$5,DeathsTimeS!HeadRow,0))/NA$8</f>
        <v>0</v>
      </c>
      <c r="NB19" s="278">
        <f ca="1">$A19 - DeathsTimeS!AustraliaSum100dt + 1</f>
        <v>-55</v>
      </c>
      <c r="NC19" s="366">
        <f t="shared" si="6"/>
        <v>0</v>
      </c>
      <c r="ND19" s="278">
        <f ca="1">$A19 - DeathsTimeS!Taiwan100dt + 1</f>
        <v>-87</v>
      </c>
      <c r="NE19" s="366">
        <f ca="1">INDEX(OFFSET(DeathsTimeS!HeadRow,ROW()-ROW(DeathsTimeS!HeadRow),0,1,COLUMNS(DeathsTimeS!HeadRow)),1,MATCH(NE$5,DeathsTimeS!HeadRow,0))/NE$8</f>
        <v>0</v>
      </c>
      <c r="NF19" s="278">
        <f ca="1">$A19 - DeathsTimeS!Hubei100dt + 1</f>
        <v>4</v>
      </c>
      <c r="NG19" s="366">
        <f ca="1">INDEX(OFFSET(DeathsTimeS!HeadRow,ROW()-ROW(DeathsTimeS!HeadRow),0,1,COLUMNS(DeathsTimeS!HeadRow)),1,MATCH(NG$5,DeathsTimeS!HeadRow,0))/NG$8</f>
        <v>27.692307692307693</v>
      </c>
      <c r="NH19" s="278">
        <f ca="1">$A19 - DeathsTimeS!HongKong100dt + 1</f>
        <v>-87</v>
      </c>
      <c r="NI19" s="366">
        <f ca="1">INDEX(OFFSET(DeathsTimeS!HeadRow,ROW()-ROW(DeathsTimeS!HeadRow),0,1,COLUMNS(DeathsTimeS!HeadRow)),1,MATCH(NI$5,DeathsTimeS!HeadRow,0))/NI$8</f>
        <v>0</v>
      </c>
    </row>
    <row r="20" spans="1:373" x14ac:dyDescent="0.25">
      <c r="A20" s="156">
        <v>43861</v>
      </c>
      <c r="B20" s="25">
        <v>0</v>
      </c>
      <c r="C20" s="25">
        <v>0</v>
      </c>
      <c r="D20" s="25">
        <v>0</v>
      </c>
      <c r="E20" s="25">
        <v>0</v>
      </c>
      <c r="F20" s="25">
        <v>0</v>
      </c>
      <c r="G20" s="25">
        <v>0</v>
      </c>
      <c r="H20" s="25">
        <v>0</v>
      </c>
      <c r="I20" s="25">
        <v>0</v>
      </c>
      <c r="J20" s="25">
        <v>0</v>
      </c>
      <c r="K20" s="25">
        <v>0</v>
      </c>
      <c r="L20" s="25">
        <v>0</v>
      </c>
      <c r="M20" s="25">
        <v>0</v>
      </c>
      <c r="N20" s="25">
        <v>0</v>
      </c>
      <c r="O20" s="25">
        <v>0</v>
      </c>
      <c r="P20" s="25">
        <v>0</v>
      </c>
      <c r="Q20" s="25">
        <v>0</v>
      </c>
      <c r="R20" s="25">
        <v>0</v>
      </c>
      <c r="S20" s="25">
        <v>0</v>
      </c>
      <c r="T20" s="25">
        <v>0</v>
      </c>
      <c r="U20" s="25">
        <v>0</v>
      </c>
      <c r="V20" s="25">
        <v>0</v>
      </c>
      <c r="W20" s="25">
        <v>0</v>
      </c>
      <c r="X20" s="25">
        <v>0</v>
      </c>
      <c r="Y20" s="25">
        <v>0</v>
      </c>
      <c r="Z20" s="25">
        <v>0</v>
      </c>
      <c r="AA20" s="25">
        <v>0</v>
      </c>
      <c r="AB20" s="25">
        <v>0</v>
      </c>
      <c r="AC20" s="25">
        <v>0</v>
      </c>
      <c r="AD20" s="25">
        <v>0</v>
      </c>
      <c r="AE20" s="25">
        <v>0</v>
      </c>
      <c r="AF20" s="25">
        <v>0</v>
      </c>
      <c r="AG20" s="25">
        <v>0</v>
      </c>
      <c r="AH20" s="25">
        <v>0</v>
      </c>
      <c r="AI20" s="25">
        <v>0</v>
      </c>
      <c r="AJ20" s="25">
        <v>0</v>
      </c>
      <c r="AK20" s="25">
        <v>0</v>
      </c>
      <c r="AL20" s="25">
        <v>0</v>
      </c>
      <c r="AM20" s="25">
        <v>0</v>
      </c>
      <c r="AN20" s="25">
        <v>0</v>
      </c>
      <c r="AO20" s="25">
        <v>0</v>
      </c>
      <c r="AP20" s="25">
        <v>0</v>
      </c>
      <c r="AQ20" s="25">
        <v>0</v>
      </c>
      <c r="AR20" s="25">
        <v>0</v>
      </c>
      <c r="AS20" s="25">
        <v>0</v>
      </c>
      <c r="AT20" s="25">
        <v>0</v>
      </c>
      <c r="AU20" s="25">
        <v>0</v>
      </c>
      <c r="AV20" s="25">
        <v>0</v>
      </c>
      <c r="AW20" s="25">
        <v>0</v>
      </c>
      <c r="AX20" s="25">
        <v>0</v>
      </c>
      <c r="AY20" s="25">
        <v>0</v>
      </c>
      <c r="AZ20" s="25">
        <v>1</v>
      </c>
      <c r="BA20" s="25">
        <v>0</v>
      </c>
      <c r="BB20" s="25">
        <v>0</v>
      </c>
      <c r="BC20" s="25">
        <v>0</v>
      </c>
      <c r="BD20" s="25">
        <v>0</v>
      </c>
      <c r="BE20" s="25">
        <v>0</v>
      </c>
      <c r="BF20" s="25">
        <v>0</v>
      </c>
      <c r="BG20" s="25">
        <v>1</v>
      </c>
      <c r="BH20" s="25">
        <v>1</v>
      </c>
      <c r="BI20" s="25">
        <v>2</v>
      </c>
      <c r="BJ20" s="25">
        <v>2</v>
      </c>
      <c r="BK20" s="25">
        <v>0</v>
      </c>
      <c r="BL20" s="25">
        <v>204</v>
      </c>
      <c r="BM20" s="25">
        <v>0</v>
      </c>
      <c r="BN20" s="25">
        <v>0</v>
      </c>
      <c r="BO20" s="25">
        <v>0</v>
      </c>
      <c r="BP20" s="25">
        <v>0</v>
      </c>
      <c r="BQ20" s="25">
        <v>0</v>
      </c>
      <c r="BR20" s="25">
        <v>0</v>
      </c>
      <c r="BS20" s="25">
        <v>0</v>
      </c>
      <c r="BT20" s="25">
        <v>0</v>
      </c>
      <c r="BU20" s="25">
        <v>0</v>
      </c>
      <c r="BV20" s="25">
        <v>0</v>
      </c>
      <c r="BW20" s="25">
        <v>0</v>
      </c>
      <c r="BX20" s="25">
        <v>1</v>
      </c>
      <c r="BY20" s="25">
        <v>0</v>
      </c>
      <c r="BZ20" s="25">
        <v>1</v>
      </c>
      <c r="CA20" s="25">
        <v>0</v>
      </c>
      <c r="CB20" s="25">
        <v>0</v>
      </c>
      <c r="CC20" s="25">
        <v>0</v>
      </c>
      <c r="CD20" s="25">
        <v>0</v>
      </c>
      <c r="CE20" s="25">
        <v>0</v>
      </c>
      <c r="CF20" s="25">
        <v>0</v>
      </c>
      <c r="CG20" s="25">
        <v>0</v>
      </c>
      <c r="CH20" s="25">
        <v>0</v>
      </c>
      <c r="CI20" s="25">
        <v>0</v>
      </c>
      <c r="CJ20" s="25">
        <v>0</v>
      </c>
      <c r="CK20" s="25">
        <v>0</v>
      </c>
      <c r="CL20" s="25">
        <v>0</v>
      </c>
      <c r="CM20" s="25">
        <v>0</v>
      </c>
      <c r="CN20" s="25">
        <v>0</v>
      </c>
      <c r="CO20" s="25">
        <v>0</v>
      </c>
      <c r="CP20" s="25">
        <v>0</v>
      </c>
      <c r="CQ20" s="25">
        <v>0</v>
      </c>
      <c r="CR20" s="25">
        <v>0</v>
      </c>
      <c r="CS20" s="25">
        <v>0</v>
      </c>
      <c r="CT20" s="25">
        <v>0</v>
      </c>
      <c r="CU20" s="25">
        <v>0</v>
      </c>
      <c r="CV20" s="25">
        <v>0</v>
      </c>
      <c r="CW20" s="25">
        <v>0</v>
      </c>
      <c r="CX20" s="25">
        <v>0</v>
      </c>
      <c r="CY20" s="25">
        <v>0</v>
      </c>
      <c r="CZ20" s="25">
        <v>0</v>
      </c>
      <c r="DA20" s="25">
        <v>0</v>
      </c>
      <c r="DB20" s="25">
        <v>0</v>
      </c>
      <c r="DC20" s="25">
        <v>0</v>
      </c>
      <c r="DD20" s="25">
        <v>0</v>
      </c>
      <c r="DE20" s="25">
        <v>0</v>
      </c>
      <c r="DF20" s="25">
        <v>0</v>
      </c>
      <c r="DG20" s="25">
        <v>0</v>
      </c>
      <c r="DH20" s="25">
        <v>0</v>
      </c>
      <c r="DI20" s="25">
        <v>0</v>
      </c>
      <c r="DJ20" s="25">
        <v>0</v>
      </c>
      <c r="DK20" s="25">
        <v>0</v>
      </c>
      <c r="DL20" s="25">
        <v>0</v>
      </c>
      <c r="DM20" s="25">
        <v>0</v>
      </c>
      <c r="DN20" s="25">
        <v>0</v>
      </c>
      <c r="DO20" s="25">
        <v>0</v>
      </c>
      <c r="DP20" s="25">
        <v>0</v>
      </c>
      <c r="DQ20" s="25">
        <v>0</v>
      </c>
      <c r="DR20" s="25">
        <v>0</v>
      </c>
      <c r="DS20" s="25">
        <v>0</v>
      </c>
      <c r="DT20" s="25">
        <v>0</v>
      </c>
      <c r="DU20" s="25">
        <v>0</v>
      </c>
      <c r="DV20" s="25">
        <v>0</v>
      </c>
      <c r="DW20" s="25">
        <v>0</v>
      </c>
      <c r="DX20" s="25">
        <v>0</v>
      </c>
      <c r="DY20" s="25">
        <v>0</v>
      </c>
      <c r="DZ20" s="25">
        <v>0</v>
      </c>
      <c r="EA20" s="25">
        <v>0</v>
      </c>
      <c r="EB20" s="25">
        <v>0</v>
      </c>
      <c r="EC20" s="25">
        <v>0</v>
      </c>
      <c r="ED20" s="25">
        <v>0</v>
      </c>
      <c r="EE20" s="25">
        <v>0</v>
      </c>
      <c r="EF20" s="25">
        <v>0</v>
      </c>
      <c r="EG20" s="25">
        <v>0</v>
      </c>
      <c r="EH20" s="25">
        <v>0</v>
      </c>
      <c r="EI20" s="25">
        <v>0</v>
      </c>
      <c r="EJ20" s="25">
        <v>0</v>
      </c>
      <c r="EK20" s="25">
        <v>0</v>
      </c>
      <c r="EL20" s="25">
        <v>0</v>
      </c>
      <c r="EM20" s="25">
        <v>0</v>
      </c>
      <c r="EN20" s="25">
        <v>0</v>
      </c>
      <c r="EO20" s="25">
        <v>0</v>
      </c>
      <c r="EP20" s="25">
        <v>0</v>
      </c>
      <c r="EQ20" s="25">
        <v>0</v>
      </c>
      <c r="ER20" s="25">
        <v>0</v>
      </c>
      <c r="ES20" s="25">
        <v>0</v>
      </c>
      <c r="ET20" s="25">
        <v>0</v>
      </c>
      <c r="EU20" s="25">
        <v>0</v>
      </c>
      <c r="EV20" s="25">
        <v>0</v>
      </c>
      <c r="EW20" s="25">
        <v>0</v>
      </c>
      <c r="EX20" s="25">
        <v>0</v>
      </c>
      <c r="EY20" s="25">
        <v>0</v>
      </c>
      <c r="EZ20" s="25">
        <v>0</v>
      </c>
      <c r="FA20" s="25">
        <v>0</v>
      </c>
      <c r="FB20" s="25">
        <v>0</v>
      </c>
      <c r="FC20" s="25">
        <v>0</v>
      </c>
      <c r="FD20" s="25">
        <v>0</v>
      </c>
      <c r="FE20" s="25">
        <v>0</v>
      </c>
      <c r="FF20" s="25">
        <v>0</v>
      </c>
      <c r="FG20" s="25">
        <v>0</v>
      </c>
      <c r="FH20" s="25">
        <v>0</v>
      </c>
      <c r="FI20" s="25">
        <v>0</v>
      </c>
      <c r="FJ20" s="25">
        <v>0</v>
      </c>
      <c r="FK20" s="25">
        <v>0</v>
      </c>
      <c r="FL20" s="25">
        <v>0</v>
      </c>
      <c r="FM20" s="25">
        <v>0</v>
      </c>
      <c r="FN20" s="25">
        <v>0</v>
      </c>
      <c r="FO20" s="25">
        <v>0</v>
      </c>
      <c r="FP20" s="25">
        <v>0</v>
      </c>
      <c r="FQ20" s="25">
        <v>0</v>
      </c>
      <c r="FR20" s="25">
        <v>0</v>
      </c>
      <c r="FS20" s="25">
        <v>0</v>
      </c>
      <c r="FT20" s="25">
        <v>0</v>
      </c>
      <c r="FU20" s="25">
        <v>0</v>
      </c>
      <c r="FV20" s="25">
        <v>0</v>
      </c>
      <c r="FW20" s="25">
        <v>0</v>
      </c>
      <c r="FX20" s="25">
        <v>0</v>
      </c>
      <c r="FY20" s="25">
        <v>0</v>
      </c>
      <c r="FZ20" s="25">
        <v>0</v>
      </c>
      <c r="GA20" s="25">
        <v>0</v>
      </c>
      <c r="GB20" s="25">
        <v>0</v>
      </c>
      <c r="GC20" s="25">
        <v>0</v>
      </c>
      <c r="GD20" s="25">
        <v>0</v>
      </c>
      <c r="GE20" s="25">
        <v>0</v>
      </c>
      <c r="GF20" s="25">
        <v>0</v>
      </c>
      <c r="GG20" s="25">
        <v>0</v>
      </c>
      <c r="GH20" s="25">
        <v>0</v>
      </c>
      <c r="GI20" s="25">
        <v>0</v>
      </c>
      <c r="GJ20" s="25">
        <v>0</v>
      </c>
      <c r="GK20" s="25">
        <v>0</v>
      </c>
      <c r="GL20" s="25">
        <v>0</v>
      </c>
      <c r="GM20" s="25">
        <v>0</v>
      </c>
      <c r="GN20" s="25">
        <v>0</v>
      </c>
      <c r="GO20" s="25">
        <v>0</v>
      </c>
      <c r="GP20" s="25">
        <v>0</v>
      </c>
      <c r="GQ20" s="25">
        <v>0</v>
      </c>
      <c r="GR20" s="25">
        <v>0</v>
      </c>
      <c r="GS20" s="25">
        <v>0</v>
      </c>
      <c r="GT20" s="25">
        <v>0</v>
      </c>
      <c r="GU20" s="25">
        <v>0</v>
      </c>
      <c r="GV20" s="25">
        <v>0</v>
      </c>
      <c r="GW20" s="25">
        <v>0</v>
      </c>
      <c r="GX20" s="25">
        <v>0</v>
      </c>
      <c r="GY20" s="46">
        <v>0</v>
      </c>
      <c r="GZ20" s="25">
        <v>0</v>
      </c>
      <c r="HA20" s="25">
        <v>0</v>
      </c>
      <c r="HB20" s="25">
        <v>0</v>
      </c>
      <c r="HC20" s="25">
        <v>0</v>
      </c>
      <c r="HD20" s="25">
        <v>0</v>
      </c>
      <c r="HE20" s="25">
        <v>0</v>
      </c>
      <c r="HF20" s="25">
        <v>0</v>
      </c>
      <c r="HG20" s="25">
        <v>0</v>
      </c>
      <c r="HH20" s="25">
        <v>0</v>
      </c>
      <c r="HI20" s="25">
        <v>0</v>
      </c>
      <c r="HJ20" s="25">
        <v>0</v>
      </c>
      <c r="HK20" s="25">
        <v>0</v>
      </c>
      <c r="HL20" s="25">
        <v>0</v>
      </c>
      <c r="HM20" s="25">
        <v>0</v>
      </c>
      <c r="HN20" s="25">
        <v>0</v>
      </c>
      <c r="HO20" s="25">
        <v>0</v>
      </c>
      <c r="HP20" s="25">
        <v>0</v>
      </c>
      <c r="HQ20" s="25">
        <v>0</v>
      </c>
      <c r="HR20" s="25">
        <v>0</v>
      </c>
      <c r="HS20" s="25">
        <v>0</v>
      </c>
      <c r="HT20" s="25">
        <v>0</v>
      </c>
      <c r="HU20" s="25">
        <v>0</v>
      </c>
      <c r="HV20" s="25">
        <v>0</v>
      </c>
      <c r="HW20" s="25">
        <v>0</v>
      </c>
      <c r="HX20" s="25">
        <v>0</v>
      </c>
      <c r="HY20" s="25">
        <v>0</v>
      </c>
      <c r="HZ20" s="25">
        <v>0</v>
      </c>
      <c r="IA20" s="25">
        <v>0</v>
      </c>
      <c r="IB20" s="25">
        <v>0</v>
      </c>
      <c r="IC20" s="25">
        <v>0</v>
      </c>
      <c r="ID20" s="25">
        <v>0</v>
      </c>
      <c r="IE20" s="25">
        <v>0</v>
      </c>
      <c r="IF20" s="25">
        <v>0</v>
      </c>
      <c r="IG20" s="25">
        <v>0</v>
      </c>
      <c r="IH20" s="25">
        <v>0</v>
      </c>
      <c r="II20" s="25">
        <v>0</v>
      </c>
      <c r="IJ20" s="25">
        <v>0</v>
      </c>
      <c r="IK20" s="25">
        <v>0</v>
      </c>
      <c r="IL20" s="25">
        <v>0</v>
      </c>
      <c r="IM20" s="25">
        <v>0</v>
      </c>
      <c r="IN20" s="25">
        <v>0</v>
      </c>
      <c r="IO20" s="25">
        <v>0</v>
      </c>
      <c r="IP20" s="25">
        <v>0</v>
      </c>
      <c r="IQ20" s="25">
        <v>0</v>
      </c>
      <c r="IR20" s="25">
        <v>0</v>
      </c>
      <c r="IS20" s="25">
        <v>0</v>
      </c>
      <c r="IT20" s="25">
        <v>0</v>
      </c>
      <c r="IU20" s="25">
        <v>0</v>
      </c>
      <c r="IV20" s="25">
        <v>0</v>
      </c>
      <c r="IW20" s="25">
        <v>0</v>
      </c>
      <c r="IX20" s="25">
        <v>0</v>
      </c>
      <c r="IY20" s="25">
        <v>0</v>
      </c>
      <c r="IZ20" s="25">
        <v>0</v>
      </c>
      <c r="JA20" s="25">
        <v>0</v>
      </c>
      <c r="JB20" s="25">
        <v>0</v>
      </c>
      <c r="JC20" s="25">
        <v>0</v>
      </c>
      <c r="JD20" s="25">
        <v>0</v>
      </c>
      <c r="JE20" s="25">
        <v>0</v>
      </c>
      <c r="JF20" s="25">
        <v>0</v>
      </c>
      <c r="JG20" s="25">
        <v>0</v>
      </c>
      <c r="JH20" s="25">
        <v>0</v>
      </c>
      <c r="JI20" s="25">
        <v>0</v>
      </c>
      <c r="JJ20" s="25">
        <v>0</v>
      </c>
      <c r="JK20" s="25">
        <v>0</v>
      </c>
      <c r="JL20" s="25">
        <v>0</v>
      </c>
      <c r="JM20" s="25">
        <v>0</v>
      </c>
      <c r="JN20" s="25">
        <v>0</v>
      </c>
      <c r="JO20" s="25">
        <v>0</v>
      </c>
      <c r="JP20" s="25">
        <v>0</v>
      </c>
      <c r="JQ20" s="25">
        <v>0</v>
      </c>
      <c r="JR20" s="25">
        <v>0</v>
      </c>
      <c r="JS20" s="25">
        <v>0</v>
      </c>
      <c r="JT20" s="25">
        <v>0</v>
      </c>
      <c r="JU20" s="25">
        <v>0</v>
      </c>
      <c r="JV20" s="25">
        <v>0</v>
      </c>
      <c r="JW20" s="25">
        <v>0</v>
      </c>
      <c r="JX20" s="25">
        <v>0</v>
      </c>
      <c r="JY20" s="25">
        <v>0</v>
      </c>
      <c r="JZ20" s="25">
        <v>0</v>
      </c>
      <c r="KA20" s="25">
        <v>0</v>
      </c>
      <c r="KB20" s="25">
        <v>0</v>
      </c>
      <c r="KC20" s="25">
        <v>0</v>
      </c>
      <c r="KD20" s="25">
        <v>0</v>
      </c>
      <c r="KE20" s="25">
        <v>0</v>
      </c>
      <c r="KF20" s="25">
        <v>0</v>
      </c>
      <c r="KG20" s="25">
        <v>0</v>
      </c>
      <c r="KH20" s="25">
        <v>0</v>
      </c>
      <c r="KI20" s="25">
        <v>0</v>
      </c>
      <c r="KJ20" s="25">
        <v>0</v>
      </c>
      <c r="KK20" s="25">
        <v>0</v>
      </c>
      <c r="KL20" s="25">
        <v>0</v>
      </c>
      <c r="KM20" s="25">
        <v>0</v>
      </c>
      <c r="KN20" s="25">
        <v>0</v>
      </c>
      <c r="KO20" s="25">
        <v>0</v>
      </c>
      <c r="KP20" s="25">
        <v>0</v>
      </c>
      <c r="KQ20" s="25">
        <v>0</v>
      </c>
      <c r="KR20" s="25">
        <v>0</v>
      </c>
      <c r="KS20" s="25">
        <v>0</v>
      </c>
      <c r="KT20" s="25">
        <v>0</v>
      </c>
      <c r="KU20" s="25">
        <v>0</v>
      </c>
      <c r="KV20" s="25">
        <v>0</v>
      </c>
      <c r="KW20" s="25">
        <v>0</v>
      </c>
      <c r="KX20" s="25">
        <v>0</v>
      </c>
      <c r="KY20" s="25">
        <v>0</v>
      </c>
      <c r="KZ20" s="25">
        <v>0</v>
      </c>
      <c r="LA20" s="25">
        <v>0</v>
      </c>
      <c r="LB20" s="25">
        <v>0</v>
      </c>
      <c r="LC20" s="25">
        <v>0</v>
      </c>
      <c r="LD20" s="25">
        <v>0</v>
      </c>
      <c r="LE20" s="25">
        <v>0</v>
      </c>
      <c r="LF20" s="25">
        <v>0</v>
      </c>
      <c r="LG20" s="25">
        <v>0</v>
      </c>
      <c r="LH20" s="25">
        <v>0</v>
      </c>
      <c r="LI20" s="25">
        <v>0</v>
      </c>
      <c r="LJ20" s="25">
        <v>0</v>
      </c>
      <c r="LK20" s="25">
        <v>0</v>
      </c>
      <c r="LL20" s="25">
        <v>0</v>
      </c>
      <c r="LM20" s="25">
        <v>0</v>
      </c>
      <c r="LN20" s="278">
        <f ca="1">$A20 - DeathsTimeS!Sweden100dt + 1</f>
        <v>-47</v>
      </c>
      <c r="LO20" s="366">
        <f ca="1">INDEX(OFFSET(DeathsTimeS!HeadRow,ROW()-ROW(DeathsTimeS!HeadRow),0,1,COLUMNS(DeathsTimeS!HeadRow)),1,MATCH(LO$5,DeathsTimeS!HeadRow,0))/LO$8</f>
        <v>0</v>
      </c>
      <c r="LP20" s="278">
        <f ca="1">$A20 - DeathsTimeS!Spain100dt</f>
        <v>-40</v>
      </c>
      <c r="LQ20" s="11">
        <f ca="1">INDEX(OFFSET(DeathsTimeS!HeadRow,ROW()-ROW(DeathsTimeS!HeadRow),0,1,COLUMNS(DeathsTimeS!HeadRow)),1,MATCH(LQ$5,DeathsTimeS!HeadRow,0))/LQ$8</f>
        <v>0</v>
      </c>
      <c r="LR20" s="278">
        <f ca="1">$A20 - DeathsTimeS!Victoria100dt</f>
        <v>-63</v>
      </c>
      <c r="LS20" s="11">
        <f ca="1">INDEX(OFFSET(DeathsTimeS!HeadRow,ROW()-ROW(DeathsTimeS!HeadRow),0,1,COLUMNS(DeathsTimeS!HeadRow)),1,MATCH(LS$5,DeathsTimeS!HeadRow,0))/LS$8</f>
        <v>0</v>
      </c>
      <c r="LT20" s="278">
        <f ca="1">$A20 - DeathsTimeS!Iran100dt</f>
        <v>-33</v>
      </c>
      <c r="LU20" s="11">
        <f ca="1">INDEX(OFFSET(DeathsTimeS!HeadRow,ROW()-ROW(DeathsTimeS!HeadRow),0,1,COLUMNS(DeathsTimeS!HeadRow)),1,MATCH(LU$5,DeathsTimeS!HeadRow,0))/LU$8</f>
        <v>0</v>
      </c>
      <c r="LV20" s="278">
        <f ca="1">$A20 - DeathsTimeS!Japan100dt</f>
        <v>-74</v>
      </c>
      <c r="LW20" s="11">
        <f ca="1">INDEX(OFFSET(DeathsTimeS!HeadRow,ROW()-ROW(DeathsTimeS!HeadRow),0,1,COLUMNS(DeathsTimeS!HeadRow)),1,MATCH(LW$5,DeathsTimeS!HeadRow,0))/LW$8</f>
        <v>0</v>
      </c>
      <c r="LX20" s="278">
        <f ca="1">$A20 - DeathsTimeS!Queensland100dt</f>
        <v>-78</v>
      </c>
      <c r="LY20" s="11">
        <f ca="1">INDEX(OFFSET(DeathsTimeS!HeadRow,ROW()-ROW(DeathsTimeS!HeadRow),0,1,COLUMNS(DeathsTimeS!HeadRow)),1,MATCH(LY$5,DeathsTimeS!HeadRow,0))/LY$8</f>
        <v>0</v>
      </c>
      <c r="LZ20" s="278">
        <f ca="1">$A20 - DeathsTimeS!Tasmania100dt</f>
        <v>-60</v>
      </c>
      <c r="MA20" s="11">
        <f ca="1">INDEX(OFFSET(DeathsTimeS!HeadRow,ROW()-ROW(DeathsTimeS!HeadRow),0,1,COLUMNS(DeathsTimeS!HeadRow)),1,MATCH(MA$5,DeathsTimeS!HeadRow,0))/MA$8</f>
        <v>0</v>
      </c>
      <c r="MB20" s="278">
        <f ca="1">$A20 - DeathsTimeS!SouthAustralia100dt</f>
        <v>-68</v>
      </c>
      <c r="MC20" s="11">
        <f ca="1">INDEX(OFFSET(DeathsTimeS!HeadRow,ROW()-ROW(DeathsTimeS!HeadRow),0,1,COLUMNS(DeathsTimeS!HeadRow)),1,MATCH(MC$5,DeathsTimeS!HeadRow,0))/MC$8</f>
        <v>0</v>
      </c>
      <c r="MD20" s="278">
        <f ca="1">$A20 - DeathsTimeS!WesternAustralia100dt</f>
        <v>-65</v>
      </c>
      <c r="ME20" s="11">
        <f ca="1">INDEX(OFFSET(DeathsTimeS!HeadRow,ROW()-ROW(DeathsTimeS!HeadRow),0,1,COLUMNS(DeathsTimeS!HeadRow)),1,MATCH(ME$5,DeathsTimeS!HeadRow,0))/ME$8</f>
        <v>0</v>
      </c>
      <c r="MF20" s="278">
        <f ca="1">$A20 - DeathsTimeS!NewSouthWales100dt</f>
        <v>-61</v>
      </c>
      <c r="MG20" s="11">
        <f ca="1">INDEX(OFFSET(DeathsTimeS!HeadRow,ROW()-ROW(DeathsTimeS!HeadRow),0,1,COLUMNS(DeathsTimeS!HeadRow)),1,MATCH(MG$5,DeathsTimeS!HeadRow,0))/MG$8</f>
        <v>0</v>
      </c>
      <c r="MH20" s="278">
        <f ca="1">$A20 - DeathsTimeS!NewYork100dt</f>
        <v>-45</v>
      </c>
      <c r="MI20" s="11">
        <f ca="1">INDEX(OFFSET(DeathsTimeS!HeadRow,ROW()-ROW(DeathsTimeS!HeadRow),0,1,COLUMNS(DeathsTimeS!HeadRow)),1,MATCH(MI$5,DeathsTimeS!HeadRow,0))/MI$8</f>
        <v>0</v>
      </c>
      <c r="MJ20" s="278">
        <f ca="1">$A20 - DeathsTimeS!Italy100dt</f>
        <v>-32</v>
      </c>
      <c r="MK20" s="11">
        <f ca="1">INDEX(OFFSET(DeathsTimeS!HeadRow,ROW()-ROW(DeathsTimeS!HeadRow),0,1,COLUMNS(DeathsTimeS!HeadRow)),1,MATCH(MK$5,DeathsTimeS!HeadRow,0))/MK$8</f>
        <v>0</v>
      </c>
      <c r="ML20" s="278">
        <f ca="1">$A20 - DeathsTimeS!AustralianCapitalTerritory100dt</f>
        <v>-59</v>
      </c>
      <c r="MM20" s="11">
        <f ca="1">INDEX(OFFSET(DeathsTimeS!HeadRow,ROW()-ROW(DeathsTimeS!HeadRow),0,1,COLUMNS(DeathsTimeS!HeadRow)),1,MATCH(MM$5,DeathsTimeS!HeadRow,0))/MM$8</f>
        <v>0</v>
      </c>
      <c r="MN20" s="278">
        <f ca="1">IF(DeathsTimeS!NorthernTerritory100dt&gt;0,$A20 - DeathsTimeS!NorthernTerritory100dt,"")</f>
        <v>-87</v>
      </c>
      <c r="MO20" s="11">
        <f ca="1">INDEX(OFFSET(DeathsTimeS!HeadRow,ROW()-ROW(DeathsTimeS!HeadRow),0,1,COLUMNS(DeathsTimeS!HeadRow)),1,MATCH(MO$5,DeathsTimeS!HeadRow,0))/MO$8</f>
        <v>0</v>
      </c>
      <c r="MP20" s="278">
        <f ca="1">$A20 - DeathsTimeS!SouthAfrica100dt + 1</f>
        <v>-79</v>
      </c>
      <c r="MQ20" s="20">
        <f ca="1">INDEX(OFFSET(DeathsTimeS!HeadRow,ROW()-ROW(DeathsTimeS!HeadRow),0,1,COLUMNS(DeathsTimeS!HeadRow)),1,MATCH(MQ$5,DeathsTimeS!HeadRow,0))/MQ$8</f>
        <v>0</v>
      </c>
      <c r="MR20" s="278">
        <f ca="1">$A20 - DeathsTimeS!Germany100dt + 1</f>
        <v>-49</v>
      </c>
      <c r="MS20" s="20">
        <f ca="1">INDEX(OFFSET(DeathsTimeS!HeadRow,ROW()-ROW(DeathsTimeS!HeadRow),0,1,COLUMNS(DeathsTimeS!HeadRow)),1,MATCH(MS$5,DeathsTimeS!HeadRow,0))/MS$8</f>
        <v>0</v>
      </c>
      <c r="MT20" s="278">
        <f ca="1">$A20 - DeathsTimeS!Ireland100dt + 1</f>
        <v>-51</v>
      </c>
      <c r="MU20" s="73">
        <f ca="1">INDEX(OFFSET(DeathsTimeS!HeadRow,ROW()-ROW(DeathsTimeS!HeadRow),0,1,COLUMNS(DeathsTimeS!HeadRow)),1,MATCH(MU$5,DeathsTimeS!HeadRow,0))/MU$8</f>
        <v>0</v>
      </c>
      <c r="MV20" s="278">
        <f ca="1">$A20 - DeathsTimeS!UnitedKingdom100dt + 1</f>
        <v>-45</v>
      </c>
      <c r="MW20" s="73">
        <f ca="1">INDEX(OFFSET(DeathsTimeS!HeadRow,ROW()-ROW(DeathsTimeS!HeadRow),0,1,COLUMNS(DeathsTimeS!HeadRow)),1,MATCH(MW$5,DeathsTimeS!HeadRow,0))/MW$8</f>
        <v>0</v>
      </c>
      <c r="MX20" s="278">
        <f ca="1">$A20 - DeathsTimeS!Denmark100dt + 1</f>
        <v>-47</v>
      </c>
      <c r="MY20" s="73">
        <f ca="1">INDEX(OFFSET(DeathsTimeS!HeadRow,ROW()-ROW(DeathsTimeS!HeadRow),0,1,COLUMNS(DeathsTimeS!HeadRow)),1,MATCH(MY$5,DeathsTimeS!HeadRow,0))/MY$8</f>
        <v>0</v>
      </c>
      <c r="MZ20" s="278">
        <f ca="1">$A20 - DeathsTimeS!US100dt + 1</f>
        <v>-48</v>
      </c>
      <c r="NA20" s="73">
        <f ca="1">INDEX(OFFSET(DeathsTimeS!HeadRow,ROW()-ROW(DeathsTimeS!HeadRow),0,1,COLUMNS(DeathsTimeS!HeadRow)),1,MATCH(NA$5,DeathsTimeS!HeadRow,0))/NA$8</f>
        <v>0</v>
      </c>
      <c r="NB20" s="278">
        <f ca="1">$A20 - DeathsTimeS!AustraliaSum100dt + 1</f>
        <v>-54</v>
      </c>
      <c r="NC20" s="366">
        <f t="shared" si="6"/>
        <v>0</v>
      </c>
      <c r="ND20" s="278">
        <f ca="1">$A20 - DeathsTimeS!Taiwan100dt + 1</f>
        <v>-86</v>
      </c>
      <c r="NE20" s="366">
        <f ca="1">INDEX(OFFSET(DeathsTimeS!HeadRow,ROW()-ROW(DeathsTimeS!HeadRow),0,1,COLUMNS(DeathsTimeS!HeadRow)),1,MATCH(NE$5,DeathsTimeS!HeadRow,0))/NE$8</f>
        <v>0</v>
      </c>
      <c r="NF20" s="278">
        <f ca="1">$A20 - DeathsTimeS!Hubei100dt + 1</f>
        <v>5</v>
      </c>
      <c r="NG20" s="366">
        <f ca="1">INDEX(OFFSET(DeathsTimeS!HeadRow,ROW()-ROW(DeathsTimeS!HeadRow),0,1,COLUMNS(DeathsTimeS!HeadRow)),1,MATCH(NG$5,DeathsTimeS!HeadRow,0))/NG$8</f>
        <v>34.871794871794876</v>
      </c>
      <c r="NH20" s="278">
        <f ca="1">$A20 - DeathsTimeS!HongKong100dt + 1</f>
        <v>-86</v>
      </c>
      <c r="NI20" s="366">
        <f ca="1">INDEX(OFFSET(DeathsTimeS!HeadRow,ROW()-ROW(DeathsTimeS!HeadRow),0,1,COLUMNS(DeathsTimeS!HeadRow)),1,MATCH(NI$5,DeathsTimeS!HeadRow,0))/NI$8</f>
        <v>0</v>
      </c>
    </row>
    <row r="21" spans="1:373" x14ac:dyDescent="0.25">
      <c r="A21" s="156">
        <v>43862</v>
      </c>
      <c r="B21" s="25">
        <v>0</v>
      </c>
      <c r="C21" s="25">
        <v>0</v>
      </c>
      <c r="D21" s="25">
        <v>0</v>
      </c>
      <c r="E21" s="25">
        <v>0</v>
      </c>
      <c r="F21" s="25">
        <v>0</v>
      </c>
      <c r="G21" s="25">
        <v>0</v>
      </c>
      <c r="H21" s="25">
        <v>0</v>
      </c>
      <c r="I21" s="25">
        <v>0</v>
      </c>
      <c r="J21" s="25">
        <v>0</v>
      </c>
      <c r="K21" s="25">
        <v>0</v>
      </c>
      <c r="L21" s="25">
        <v>0</v>
      </c>
      <c r="M21" s="25">
        <v>0</v>
      </c>
      <c r="N21" s="25">
        <v>0</v>
      </c>
      <c r="O21" s="25">
        <v>0</v>
      </c>
      <c r="P21" s="25">
        <v>0</v>
      </c>
      <c r="Q21" s="25">
        <v>0</v>
      </c>
      <c r="R21" s="25">
        <v>0</v>
      </c>
      <c r="S21" s="25">
        <v>0</v>
      </c>
      <c r="T21" s="25">
        <v>0</v>
      </c>
      <c r="U21" s="25">
        <v>0</v>
      </c>
      <c r="V21" s="25">
        <v>0</v>
      </c>
      <c r="W21" s="25">
        <v>0</v>
      </c>
      <c r="X21" s="25">
        <v>0</v>
      </c>
      <c r="Y21" s="25">
        <v>0</v>
      </c>
      <c r="Z21" s="25">
        <v>0</v>
      </c>
      <c r="AA21" s="25">
        <v>0</v>
      </c>
      <c r="AB21" s="25">
        <v>0</v>
      </c>
      <c r="AC21" s="25">
        <v>0</v>
      </c>
      <c r="AD21" s="25">
        <v>0</v>
      </c>
      <c r="AE21" s="25">
        <v>0</v>
      </c>
      <c r="AF21" s="25">
        <v>0</v>
      </c>
      <c r="AG21" s="25">
        <v>0</v>
      </c>
      <c r="AH21" s="25">
        <v>0</v>
      </c>
      <c r="AI21" s="25">
        <v>0</v>
      </c>
      <c r="AJ21" s="25">
        <v>0</v>
      </c>
      <c r="AK21" s="25">
        <v>0</v>
      </c>
      <c r="AL21" s="25">
        <v>0</v>
      </c>
      <c r="AM21" s="25">
        <v>0</v>
      </c>
      <c r="AN21" s="25">
        <v>0</v>
      </c>
      <c r="AO21" s="25">
        <v>0</v>
      </c>
      <c r="AP21" s="25">
        <v>0</v>
      </c>
      <c r="AQ21" s="25">
        <v>0</v>
      </c>
      <c r="AR21" s="25">
        <v>0</v>
      </c>
      <c r="AS21" s="25">
        <v>0</v>
      </c>
      <c r="AT21" s="25">
        <v>0</v>
      </c>
      <c r="AU21" s="25">
        <v>0</v>
      </c>
      <c r="AV21" s="25">
        <v>0</v>
      </c>
      <c r="AW21" s="25">
        <v>0</v>
      </c>
      <c r="AX21" s="25">
        <v>0</v>
      </c>
      <c r="AY21" s="25">
        <v>0</v>
      </c>
      <c r="AZ21" s="25">
        <v>1</v>
      </c>
      <c r="BA21" s="25">
        <v>1</v>
      </c>
      <c r="BB21" s="25">
        <v>0</v>
      </c>
      <c r="BC21" s="25">
        <v>0</v>
      </c>
      <c r="BD21" s="25">
        <v>0</v>
      </c>
      <c r="BE21" s="25">
        <v>0</v>
      </c>
      <c r="BF21" s="25">
        <v>0</v>
      </c>
      <c r="BG21" s="25">
        <v>1</v>
      </c>
      <c r="BH21" s="25">
        <v>1</v>
      </c>
      <c r="BI21" s="25">
        <v>2</v>
      </c>
      <c r="BJ21" s="25">
        <v>2</v>
      </c>
      <c r="BK21" s="25">
        <v>0</v>
      </c>
      <c r="BL21" s="25">
        <v>249</v>
      </c>
      <c r="BM21" s="25">
        <v>0</v>
      </c>
      <c r="BN21" s="25">
        <v>0</v>
      </c>
      <c r="BO21" s="25">
        <v>0</v>
      </c>
      <c r="BP21" s="25">
        <v>0</v>
      </c>
      <c r="BQ21" s="25">
        <v>0</v>
      </c>
      <c r="BR21" s="25">
        <v>0</v>
      </c>
      <c r="BS21" s="25">
        <v>0</v>
      </c>
      <c r="BT21" s="25">
        <v>0</v>
      </c>
      <c r="BU21" s="25">
        <v>0</v>
      </c>
      <c r="BV21" s="25">
        <v>0</v>
      </c>
      <c r="BW21" s="25">
        <v>0</v>
      </c>
      <c r="BX21" s="25">
        <v>1</v>
      </c>
      <c r="BY21" s="25">
        <v>0</v>
      </c>
      <c r="BZ21" s="25">
        <v>1</v>
      </c>
      <c r="CA21" s="25">
        <v>0</v>
      </c>
      <c r="CB21" s="25">
        <v>0</v>
      </c>
      <c r="CC21" s="25">
        <v>0</v>
      </c>
      <c r="CD21" s="25">
        <v>0</v>
      </c>
      <c r="CE21" s="25">
        <v>0</v>
      </c>
      <c r="CF21" s="25">
        <v>0</v>
      </c>
      <c r="CG21" s="25">
        <v>0</v>
      </c>
      <c r="CH21" s="25">
        <v>0</v>
      </c>
      <c r="CI21" s="25">
        <v>0</v>
      </c>
      <c r="CJ21" s="25">
        <v>0</v>
      </c>
      <c r="CK21" s="25">
        <v>0</v>
      </c>
      <c r="CL21" s="25">
        <v>0</v>
      </c>
      <c r="CM21" s="25">
        <v>0</v>
      </c>
      <c r="CN21" s="25">
        <v>0</v>
      </c>
      <c r="CO21" s="25">
        <v>0</v>
      </c>
      <c r="CP21" s="25">
        <v>0</v>
      </c>
      <c r="CQ21" s="25">
        <v>0</v>
      </c>
      <c r="CR21" s="25">
        <v>0</v>
      </c>
      <c r="CS21" s="25">
        <v>0</v>
      </c>
      <c r="CT21" s="25">
        <v>0</v>
      </c>
      <c r="CU21" s="25">
        <v>0</v>
      </c>
      <c r="CV21" s="25">
        <v>0</v>
      </c>
      <c r="CW21" s="25">
        <v>0</v>
      </c>
      <c r="CX21" s="25">
        <v>0</v>
      </c>
      <c r="CY21" s="25">
        <v>0</v>
      </c>
      <c r="CZ21" s="25">
        <v>0</v>
      </c>
      <c r="DA21" s="25">
        <v>0</v>
      </c>
      <c r="DB21" s="25">
        <v>0</v>
      </c>
      <c r="DC21" s="25">
        <v>0</v>
      </c>
      <c r="DD21" s="25">
        <v>0</v>
      </c>
      <c r="DE21" s="25">
        <v>0</v>
      </c>
      <c r="DF21" s="25">
        <v>0</v>
      </c>
      <c r="DG21" s="25">
        <v>0</v>
      </c>
      <c r="DH21" s="25">
        <v>0</v>
      </c>
      <c r="DI21" s="25">
        <v>0</v>
      </c>
      <c r="DJ21" s="25">
        <v>0</v>
      </c>
      <c r="DK21" s="25">
        <v>0</v>
      </c>
      <c r="DL21" s="25">
        <v>0</v>
      </c>
      <c r="DM21" s="25">
        <v>0</v>
      </c>
      <c r="DN21" s="25">
        <v>0</v>
      </c>
      <c r="DO21" s="25">
        <v>0</v>
      </c>
      <c r="DP21" s="25">
        <v>0</v>
      </c>
      <c r="DQ21" s="25">
        <v>0</v>
      </c>
      <c r="DR21" s="25">
        <v>0</v>
      </c>
      <c r="DS21" s="25">
        <v>0</v>
      </c>
      <c r="DT21" s="25">
        <v>0</v>
      </c>
      <c r="DU21" s="25">
        <v>0</v>
      </c>
      <c r="DV21" s="25">
        <v>0</v>
      </c>
      <c r="DW21" s="25">
        <v>0</v>
      </c>
      <c r="DX21" s="25">
        <v>0</v>
      </c>
      <c r="DY21" s="25">
        <v>0</v>
      </c>
      <c r="DZ21" s="25">
        <v>0</v>
      </c>
      <c r="EA21" s="25">
        <v>0</v>
      </c>
      <c r="EB21" s="25">
        <v>0</v>
      </c>
      <c r="EC21" s="25">
        <v>0</v>
      </c>
      <c r="ED21" s="25">
        <v>0</v>
      </c>
      <c r="EE21" s="25">
        <v>0</v>
      </c>
      <c r="EF21" s="25">
        <v>0</v>
      </c>
      <c r="EG21" s="25">
        <v>0</v>
      </c>
      <c r="EH21" s="25">
        <v>0</v>
      </c>
      <c r="EI21" s="25">
        <v>0</v>
      </c>
      <c r="EJ21" s="25">
        <v>0</v>
      </c>
      <c r="EK21" s="25">
        <v>0</v>
      </c>
      <c r="EL21" s="25">
        <v>0</v>
      </c>
      <c r="EM21" s="25">
        <v>0</v>
      </c>
      <c r="EN21" s="25">
        <v>0</v>
      </c>
      <c r="EO21" s="25">
        <v>0</v>
      </c>
      <c r="EP21" s="25">
        <v>0</v>
      </c>
      <c r="EQ21" s="25">
        <v>0</v>
      </c>
      <c r="ER21" s="25">
        <v>0</v>
      </c>
      <c r="ES21" s="25">
        <v>0</v>
      </c>
      <c r="ET21" s="25">
        <v>0</v>
      </c>
      <c r="EU21" s="25">
        <v>0</v>
      </c>
      <c r="EV21" s="25">
        <v>0</v>
      </c>
      <c r="EW21" s="25">
        <v>0</v>
      </c>
      <c r="EX21" s="25">
        <v>0</v>
      </c>
      <c r="EY21" s="25">
        <v>0</v>
      </c>
      <c r="EZ21" s="25">
        <v>0</v>
      </c>
      <c r="FA21" s="25">
        <v>0</v>
      </c>
      <c r="FB21" s="25">
        <v>0</v>
      </c>
      <c r="FC21" s="25">
        <v>0</v>
      </c>
      <c r="FD21" s="25">
        <v>0</v>
      </c>
      <c r="FE21" s="25">
        <v>0</v>
      </c>
      <c r="FF21" s="25">
        <v>0</v>
      </c>
      <c r="FG21" s="25">
        <v>0</v>
      </c>
      <c r="FH21" s="25">
        <v>0</v>
      </c>
      <c r="FI21" s="25">
        <v>0</v>
      </c>
      <c r="FJ21" s="25">
        <v>0</v>
      </c>
      <c r="FK21" s="25">
        <v>0</v>
      </c>
      <c r="FL21" s="25">
        <v>0</v>
      </c>
      <c r="FM21" s="25">
        <v>0</v>
      </c>
      <c r="FN21" s="25">
        <v>0</v>
      </c>
      <c r="FO21" s="25">
        <v>0</v>
      </c>
      <c r="FP21" s="25">
        <v>0</v>
      </c>
      <c r="FQ21" s="25">
        <v>0</v>
      </c>
      <c r="FR21" s="25">
        <v>0</v>
      </c>
      <c r="FS21" s="25">
        <v>0</v>
      </c>
      <c r="FT21" s="25">
        <v>0</v>
      </c>
      <c r="FU21" s="25">
        <v>0</v>
      </c>
      <c r="FV21" s="25">
        <v>0</v>
      </c>
      <c r="FW21" s="25">
        <v>0</v>
      </c>
      <c r="FX21" s="25">
        <v>0</v>
      </c>
      <c r="FY21" s="25">
        <v>0</v>
      </c>
      <c r="FZ21" s="25">
        <v>0</v>
      </c>
      <c r="GA21" s="25">
        <v>0</v>
      </c>
      <c r="GB21" s="25">
        <v>0</v>
      </c>
      <c r="GC21" s="25">
        <v>0</v>
      </c>
      <c r="GD21" s="25">
        <v>0</v>
      </c>
      <c r="GE21" s="25">
        <v>0</v>
      </c>
      <c r="GF21" s="25">
        <v>0</v>
      </c>
      <c r="GG21" s="25">
        <v>0</v>
      </c>
      <c r="GH21" s="25">
        <v>0</v>
      </c>
      <c r="GI21" s="25">
        <v>0</v>
      </c>
      <c r="GJ21" s="25">
        <v>0</v>
      </c>
      <c r="GK21" s="25">
        <v>0</v>
      </c>
      <c r="GL21" s="25">
        <v>0</v>
      </c>
      <c r="GM21" s="25">
        <v>0</v>
      </c>
      <c r="GN21" s="25">
        <v>0</v>
      </c>
      <c r="GO21" s="25">
        <v>0</v>
      </c>
      <c r="GP21" s="25">
        <v>0</v>
      </c>
      <c r="GQ21" s="25">
        <v>0</v>
      </c>
      <c r="GR21" s="25">
        <v>0</v>
      </c>
      <c r="GS21" s="25">
        <v>0</v>
      </c>
      <c r="GT21" s="25">
        <v>0</v>
      </c>
      <c r="GU21" s="25">
        <v>0</v>
      </c>
      <c r="GV21" s="25">
        <v>0</v>
      </c>
      <c r="GW21" s="25">
        <v>0</v>
      </c>
      <c r="GX21" s="25">
        <v>0</v>
      </c>
      <c r="GY21" s="46">
        <v>0</v>
      </c>
      <c r="GZ21" s="25">
        <v>0</v>
      </c>
      <c r="HA21" s="25">
        <v>0</v>
      </c>
      <c r="HB21" s="25">
        <v>0</v>
      </c>
      <c r="HC21" s="25">
        <v>0</v>
      </c>
      <c r="HD21" s="25">
        <v>0</v>
      </c>
      <c r="HE21" s="25">
        <v>0</v>
      </c>
      <c r="HF21" s="25">
        <v>0</v>
      </c>
      <c r="HG21" s="25">
        <v>0</v>
      </c>
      <c r="HH21" s="25">
        <v>0</v>
      </c>
      <c r="HI21" s="25">
        <v>0</v>
      </c>
      <c r="HJ21" s="25">
        <v>0</v>
      </c>
      <c r="HK21" s="25">
        <v>0</v>
      </c>
      <c r="HL21" s="25">
        <v>0</v>
      </c>
      <c r="HM21" s="25">
        <v>0</v>
      </c>
      <c r="HN21" s="25">
        <v>0</v>
      </c>
      <c r="HO21" s="25">
        <v>0</v>
      </c>
      <c r="HP21" s="25">
        <v>0</v>
      </c>
      <c r="HQ21" s="25">
        <v>0</v>
      </c>
      <c r="HR21" s="25">
        <v>0</v>
      </c>
      <c r="HS21" s="25">
        <v>0</v>
      </c>
      <c r="HT21" s="25">
        <v>0</v>
      </c>
      <c r="HU21" s="25">
        <v>0</v>
      </c>
      <c r="HV21" s="25">
        <v>0</v>
      </c>
      <c r="HW21" s="25">
        <v>0</v>
      </c>
      <c r="HX21" s="25">
        <v>0</v>
      </c>
      <c r="HY21" s="25">
        <v>0</v>
      </c>
      <c r="HZ21" s="25">
        <v>0</v>
      </c>
      <c r="IA21" s="25">
        <v>0</v>
      </c>
      <c r="IB21" s="25">
        <v>0</v>
      </c>
      <c r="IC21" s="25">
        <v>0</v>
      </c>
      <c r="ID21" s="25">
        <v>0</v>
      </c>
      <c r="IE21" s="25">
        <v>0</v>
      </c>
      <c r="IF21" s="25">
        <v>0</v>
      </c>
      <c r="IG21" s="25">
        <v>0</v>
      </c>
      <c r="IH21" s="25">
        <v>0</v>
      </c>
      <c r="II21" s="25">
        <v>0</v>
      </c>
      <c r="IJ21" s="25">
        <v>0</v>
      </c>
      <c r="IK21" s="25">
        <v>0</v>
      </c>
      <c r="IL21" s="25">
        <v>0</v>
      </c>
      <c r="IM21" s="25">
        <v>0</v>
      </c>
      <c r="IN21" s="25">
        <v>0</v>
      </c>
      <c r="IO21" s="25">
        <v>0</v>
      </c>
      <c r="IP21" s="25">
        <v>0</v>
      </c>
      <c r="IQ21" s="25">
        <v>0</v>
      </c>
      <c r="IR21" s="25">
        <v>0</v>
      </c>
      <c r="IS21" s="25">
        <v>0</v>
      </c>
      <c r="IT21" s="25">
        <v>0</v>
      </c>
      <c r="IU21" s="25">
        <v>0</v>
      </c>
      <c r="IV21" s="25">
        <v>0</v>
      </c>
      <c r="IW21" s="25">
        <v>0</v>
      </c>
      <c r="IX21" s="25">
        <v>0</v>
      </c>
      <c r="IY21" s="25">
        <v>0</v>
      </c>
      <c r="IZ21" s="25">
        <v>0</v>
      </c>
      <c r="JA21" s="25">
        <v>0</v>
      </c>
      <c r="JB21" s="25">
        <v>0</v>
      </c>
      <c r="JC21" s="25">
        <v>0</v>
      </c>
      <c r="JD21" s="25">
        <v>0</v>
      </c>
      <c r="JE21" s="25">
        <v>0</v>
      </c>
      <c r="JF21" s="25">
        <v>0</v>
      </c>
      <c r="JG21" s="25">
        <v>0</v>
      </c>
      <c r="JH21" s="25">
        <v>0</v>
      </c>
      <c r="JI21" s="25">
        <v>0</v>
      </c>
      <c r="JJ21" s="25">
        <v>0</v>
      </c>
      <c r="JK21" s="25">
        <v>0</v>
      </c>
      <c r="JL21" s="25">
        <v>0</v>
      </c>
      <c r="JM21" s="25">
        <v>0</v>
      </c>
      <c r="JN21" s="25">
        <v>0</v>
      </c>
      <c r="JO21" s="25">
        <v>0</v>
      </c>
      <c r="JP21" s="25">
        <v>0</v>
      </c>
      <c r="JQ21" s="25">
        <v>0</v>
      </c>
      <c r="JR21" s="25">
        <v>0</v>
      </c>
      <c r="JS21" s="25">
        <v>0</v>
      </c>
      <c r="JT21" s="25">
        <v>0</v>
      </c>
      <c r="JU21" s="25">
        <v>0</v>
      </c>
      <c r="JV21" s="25">
        <v>0</v>
      </c>
      <c r="JW21" s="25">
        <v>0</v>
      </c>
      <c r="JX21" s="25">
        <v>0</v>
      </c>
      <c r="JY21" s="25">
        <v>0</v>
      </c>
      <c r="JZ21" s="25">
        <v>0</v>
      </c>
      <c r="KA21" s="25">
        <v>0</v>
      </c>
      <c r="KB21" s="25">
        <v>0</v>
      </c>
      <c r="KC21" s="25">
        <v>0</v>
      </c>
      <c r="KD21" s="25">
        <v>0</v>
      </c>
      <c r="KE21" s="25">
        <v>0</v>
      </c>
      <c r="KF21" s="25">
        <v>0</v>
      </c>
      <c r="KG21" s="25">
        <v>0</v>
      </c>
      <c r="KH21" s="25">
        <v>0</v>
      </c>
      <c r="KI21" s="25">
        <v>0</v>
      </c>
      <c r="KJ21" s="25">
        <v>0</v>
      </c>
      <c r="KK21" s="25">
        <v>0</v>
      </c>
      <c r="KL21" s="25">
        <v>0</v>
      </c>
      <c r="KM21" s="25">
        <v>0</v>
      </c>
      <c r="KN21" s="25">
        <v>0</v>
      </c>
      <c r="KO21" s="25">
        <v>0</v>
      </c>
      <c r="KP21" s="25">
        <v>0</v>
      </c>
      <c r="KQ21" s="25">
        <v>0</v>
      </c>
      <c r="KR21" s="25">
        <v>0</v>
      </c>
      <c r="KS21" s="25">
        <v>0</v>
      </c>
      <c r="KT21" s="25">
        <v>0</v>
      </c>
      <c r="KU21" s="25">
        <v>0</v>
      </c>
      <c r="KV21" s="25">
        <v>0</v>
      </c>
      <c r="KW21" s="25">
        <v>0</v>
      </c>
      <c r="KX21" s="25">
        <v>0</v>
      </c>
      <c r="KY21" s="25">
        <v>0</v>
      </c>
      <c r="KZ21" s="25">
        <v>0</v>
      </c>
      <c r="LA21" s="25">
        <v>0</v>
      </c>
      <c r="LB21" s="25">
        <v>0</v>
      </c>
      <c r="LC21" s="25">
        <v>0</v>
      </c>
      <c r="LD21" s="25">
        <v>0</v>
      </c>
      <c r="LE21" s="25">
        <v>0</v>
      </c>
      <c r="LF21" s="25">
        <v>0</v>
      </c>
      <c r="LG21" s="25">
        <v>0</v>
      </c>
      <c r="LH21" s="25">
        <v>0</v>
      </c>
      <c r="LI21" s="25">
        <v>0</v>
      </c>
      <c r="LJ21" s="25">
        <v>0</v>
      </c>
      <c r="LK21" s="25">
        <v>0</v>
      </c>
      <c r="LL21" s="25">
        <v>0</v>
      </c>
      <c r="LM21" s="25">
        <v>0</v>
      </c>
      <c r="LN21" s="278">
        <f ca="1">$A21 - DeathsTimeS!Sweden100dt + 1</f>
        <v>-46</v>
      </c>
      <c r="LO21" s="366">
        <f ca="1">INDEX(OFFSET(DeathsTimeS!HeadRow,ROW()-ROW(DeathsTimeS!HeadRow),0,1,COLUMNS(DeathsTimeS!HeadRow)),1,MATCH(LO$5,DeathsTimeS!HeadRow,0))/LO$8</f>
        <v>0</v>
      </c>
      <c r="LP21" s="278">
        <f ca="1">$A21 - DeathsTimeS!Spain100dt</f>
        <v>-39</v>
      </c>
      <c r="LQ21" s="11">
        <f ca="1">INDEX(OFFSET(DeathsTimeS!HeadRow,ROW()-ROW(DeathsTimeS!HeadRow),0,1,COLUMNS(DeathsTimeS!HeadRow)),1,MATCH(LQ$5,DeathsTimeS!HeadRow,0))/LQ$8</f>
        <v>0</v>
      </c>
      <c r="LR21" s="278">
        <f ca="1">$A21 - DeathsTimeS!Victoria100dt</f>
        <v>-62</v>
      </c>
      <c r="LS21" s="11">
        <f ca="1">INDEX(OFFSET(DeathsTimeS!HeadRow,ROW()-ROW(DeathsTimeS!HeadRow),0,1,COLUMNS(DeathsTimeS!HeadRow)),1,MATCH(LS$5,DeathsTimeS!HeadRow,0))/LS$8</f>
        <v>0</v>
      </c>
      <c r="LT21" s="278">
        <f ca="1">$A21 - DeathsTimeS!Iran100dt</f>
        <v>-32</v>
      </c>
      <c r="LU21" s="11">
        <f ca="1">INDEX(OFFSET(DeathsTimeS!HeadRow,ROW()-ROW(DeathsTimeS!HeadRow),0,1,COLUMNS(DeathsTimeS!HeadRow)),1,MATCH(LU$5,DeathsTimeS!HeadRow,0))/LU$8</f>
        <v>0</v>
      </c>
      <c r="LV21" s="278">
        <f ca="1">$A21 - DeathsTimeS!Japan100dt</f>
        <v>-73</v>
      </c>
      <c r="LW21" s="11">
        <f ca="1">INDEX(OFFSET(DeathsTimeS!HeadRow,ROW()-ROW(DeathsTimeS!HeadRow),0,1,COLUMNS(DeathsTimeS!HeadRow)),1,MATCH(LW$5,DeathsTimeS!HeadRow,0))/LW$8</f>
        <v>0</v>
      </c>
      <c r="LX21" s="278">
        <f ca="1">$A21 - DeathsTimeS!Queensland100dt</f>
        <v>-77</v>
      </c>
      <c r="LY21" s="11">
        <f ca="1">INDEX(OFFSET(DeathsTimeS!HeadRow,ROW()-ROW(DeathsTimeS!HeadRow),0,1,COLUMNS(DeathsTimeS!HeadRow)),1,MATCH(LY$5,DeathsTimeS!HeadRow,0))/LY$8</f>
        <v>0</v>
      </c>
      <c r="LZ21" s="278">
        <f ca="1">$A21 - DeathsTimeS!Tasmania100dt</f>
        <v>-59</v>
      </c>
      <c r="MA21" s="11">
        <f ca="1">INDEX(OFFSET(DeathsTimeS!HeadRow,ROW()-ROW(DeathsTimeS!HeadRow),0,1,COLUMNS(DeathsTimeS!HeadRow)),1,MATCH(MA$5,DeathsTimeS!HeadRow,0))/MA$8</f>
        <v>0</v>
      </c>
      <c r="MB21" s="278">
        <f ca="1">$A21 - DeathsTimeS!SouthAustralia100dt</f>
        <v>-67</v>
      </c>
      <c r="MC21" s="11">
        <f ca="1">INDEX(OFFSET(DeathsTimeS!HeadRow,ROW()-ROW(DeathsTimeS!HeadRow),0,1,COLUMNS(DeathsTimeS!HeadRow)),1,MATCH(MC$5,DeathsTimeS!HeadRow,0))/MC$8</f>
        <v>0</v>
      </c>
      <c r="MD21" s="278">
        <f ca="1">$A21 - DeathsTimeS!WesternAustralia100dt</f>
        <v>-64</v>
      </c>
      <c r="ME21" s="11">
        <f ca="1">INDEX(OFFSET(DeathsTimeS!HeadRow,ROW()-ROW(DeathsTimeS!HeadRow),0,1,COLUMNS(DeathsTimeS!HeadRow)),1,MATCH(ME$5,DeathsTimeS!HeadRow,0))/ME$8</f>
        <v>0</v>
      </c>
      <c r="MF21" s="278">
        <f ca="1">$A21 - DeathsTimeS!NewSouthWales100dt</f>
        <v>-60</v>
      </c>
      <c r="MG21" s="11">
        <f ca="1">INDEX(OFFSET(DeathsTimeS!HeadRow,ROW()-ROW(DeathsTimeS!HeadRow),0,1,COLUMNS(DeathsTimeS!HeadRow)),1,MATCH(MG$5,DeathsTimeS!HeadRow,0))/MG$8</f>
        <v>0</v>
      </c>
      <c r="MH21" s="278">
        <f ca="1">$A21 - DeathsTimeS!NewYork100dt</f>
        <v>-44</v>
      </c>
      <c r="MI21" s="11">
        <f ca="1">INDEX(OFFSET(DeathsTimeS!HeadRow,ROW()-ROW(DeathsTimeS!HeadRow),0,1,COLUMNS(DeathsTimeS!HeadRow)),1,MATCH(MI$5,DeathsTimeS!HeadRow,0))/MI$8</f>
        <v>0</v>
      </c>
      <c r="MJ21" s="278">
        <f ca="1">$A21 - DeathsTimeS!Italy100dt</f>
        <v>-31</v>
      </c>
      <c r="MK21" s="11">
        <f ca="1">INDEX(OFFSET(DeathsTimeS!HeadRow,ROW()-ROW(DeathsTimeS!HeadRow),0,1,COLUMNS(DeathsTimeS!HeadRow)),1,MATCH(MK$5,DeathsTimeS!HeadRow,0))/MK$8</f>
        <v>0</v>
      </c>
      <c r="ML21" s="278">
        <f ca="1">$A21 - DeathsTimeS!AustralianCapitalTerritory100dt</f>
        <v>-58</v>
      </c>
      <c r="MM21" s="11">
        <f ca="1">INDEX(OFFSET(DeathsTimeS!HeadRow,ROW()-ROW(DeathsTimeS!HeadRow),0,1,COLUMNS(DeathsTimeS!HeadRow)),1,MATCH(MM$5,DeathsTimeS!HeadRow,0))/MM$8</f>
        <v>0</v>
      </c>
      <c r="MN21" s="278">
        <f ca="1">IF(DeathsTimeS!NorthernTerritory100dt&gt;0,$A21 - DeathsTimeS!NorthernTerritory100dt,"")</f>
        <v>-86</v>
      </c>
      <c r="MO21" s="11">
        <f ca="1">INDEX(OFFSET(DeathsTimeS!HeadRow,ROW()-ROW(DeathsTimeS!HeadRow),0,1,COLUMNS(DeathsTimeS!HeadRow)),1,MATCH(MO$5,DeathsTimeS!HeadRow,0))/MO$8</f>
        <v>0</v>
      </c>
      <c r="MP21" s="278">
        <f ca="1">$A21 - DeathsTimeS!SouthAfrica100dt + 1</f>
        <v>-78</v>
      </c>
      <c r="MQ21" s="20">
        <f ca="1">INDEX(OFFSET(DeathsTimeS!HeadRow,ROW()-ROW(DeathsTimeS!HeadRow),0,1,COLUMNS(DeathsTimeS!HeadRow)),1,MATCH(MQ$5,DeathsTimeS!HeadRow,0))/MQ$8</f>
        <v>0</v>
      </c>
      <c r="MR21" s="278">
        <f ca="1">$A21 - DeathsTimeS!Germany100dt + 1</f>
        <v>-48</v>
      </c>
      <c r="MS21" s="20">
        <f ca="1">INDEX(OFFSET(DeathsTimeS!HeadRow,ROW()-ROW(DeathsTimeS!HeadRow),0,1,COLUMNS(DeathsTimeS!HeadRow)),1,MATCH(MS$5,DeathsTimeS!HeadRow,0))/MS$8</f>
        <v>0</v>
      </c>
      <c r="MT21" s="278">
        <f ca="1">$A21 - DeathsTimeS!Ireland100dt + 1</f>
        <v>-50</v>
      </c>
      <c r="MU21" s="73">
        <f ca="1">INDEX(OFFSET(DeathsTimeS!HeadRow,ROW()-ROW(DeathsTimeS!HeadRow),0,1,COLUMNS(DeathsTimeS!HeadRow)),1,MATCH(MU$5,DeathsTimeS!HeadRow,0))/MU$8</f>
        <v>0</v>
      </c>
      <c r="MV21" s="278">
        <f ca="1">$A21 - DeathsTimeS!UnitedKingdom100dt + 1</f>
        <v>-44</v>
      </c>
      <c r="MW21" s="73">
        <f ca="1">INDEX(OFFSET(DeathsTimeS!HeadRow,ROW()-ROW(DeathsTimeS!HeadRow),0,1,COLUMNS(DeathsTimeS!HeadRow)),1,MATCH(MW$5,DeathsTimeS!HeadRow,0))/MW$8</f>
        <v>0</v>
      </c>
      <c r="MX21" s="278">
        <f ca="1">$A21 - DeathsTimeS!Denmark100dt + 1</f>
        <v>-46</v>
      </c>
      <c r="MY21" s="73">
        <f ca="1">INDEX(OFFSET(DeathsTimeS!HeadRow,ROW()-ROW(DeathsTimeS!HeadRow),0,1,COLUMNS(DeathsTimeS!HeadRow)),1,MATCH(MY$5,DeathsTimeS!HeadRow,0))/MY$8</f>
        <v>0</v>
      </c>
      <c r="MZ21" s="278">
        <f ca="1">$A21 - DeathsTimeS!US100dt + 1</f>
        <v>-47</v>
      </c>
      <c r="NA21" s="73">
        <f ca="1">INDEX(OFFSET(DeathsTimeS!HeadRow,ROW()-ROW(DeathsTimeS!HeadRow),0,1,COLUMNS(DeathsTimeS!HeadRow)),1,MATCH(NA$5,DeathsTimeS!HeadRow,0))/NA$8</f>
        <v>0</v>
      </c>
      <c r="NB21" s="278">
        <f ca="1">$A21 - DeathsTimeS!AustraliaSum100dt + 1</f>
        <v>-53</v>
      </c>
      <c r="NC21" s="366">
        <f t="shared" si="6"/>
        <v>0</v>
      </c>
      <c r="ND21" s="278">
        <f ca="1">$A21 - DeathsTimeS!Taiwan100dt + 1</f>
        <v>-85</v>
      </c>
      <c r="NE21" s="366">
        <f ca="1">INDEX(OFFSET(DeathsTimeS!HeadRow,ROW()-ROW(DeathsTimeS!HeadRow),0,1,COLUMNS(DeathsTimeS!HeadRow)),1,MATCH(NE$5,DeathsTimeS!HeadRow,0))/NE$8</f>
        <v>0</v>
      </c>
      <c r="NF21" s="278">
        <f ca="1">$A21 - DeathsTimeS!Hubei100dt + 1</f>
        <v>6</v>
      </c>
      <c r="NG21" s="366">
        <f ca="1">INDEX(OFFSET(DeathsTimeS!HeadRow,ROW()-ROW(DeathsTimeS!HeadRow),0,1,COLUMNS(DeathsTimeS!HeadRow)),1,MATCH(NG$5,DeathsTimeS!HeadRow,0))/NG$8</f>
        <v>42.564102564102569</v>
      </c>
      <c r="NH21" s="278">
        <f ca="1">$A21 - DeathsTimeS!HongKong100dt + 1</f>
        <v>-85</v>
      </c>
      <c r="NI21" s="366">
        <f ca="1">INDEX(OFFSET(DeathsTimeS!HeadRow,ROW()-ROW(DeathsTimeS!HeadRow),0,1,COLUMNS(DeathsTimeS!HeadRow)),1,MATCH(NI$5,DeathsTimeS!HeadRow,0))/NI$8</f>
        <v>0</v>
      </c>
    </row>
    <row r="22" spans="1:373" x14ac:dyDescent="0.25">
      <c r="A22" s="156">
        <v>43863</v>
      </c>
      <c r="B22" s="25">
        <v>0</v>
      </c>
      <c r="C22" s="25">
        <v>0</v>
      </c>
      <c r="D22" s="25">
        <v>0</v>
      </c>
      <c r="E22" s="25">
        <v>0</v>
      </c>
      <c r="F22" s="25">
        <v>0</v>
      </c>
      <c r="G22" s="25">
        <v>0</v>
      </c>
      <c r="H22" s="25">
        <v>0</v>
      </c>
      <c r="I22" s="25">
        <v>0</v>
      </c>
      <c r="J22" s="25">
        <v>0</v>
      </c>
      <c r="K22" s="25">
        <v>0</v>
      </c>
      <c r="L22" s="25">
        <v>0</v>
      </c>
      <c r="M22" s="25">
        <v>0</v>
      </c>
      <c r="N22" s="25">
        <v>0</v>
      </c>
      <c r="O22" s="25">
        <v>0</v>
      </c>
      <c r="P22" s="25">
        <v>0</v>
      </c>
      <c r="Q22" s="25">
        <v>0</v>
      </c>
      <c r="R22" s="25">
        <v>0</v>
      </c>
      <c r="S22" s="25">
        <v>0</v>
      </c>
      <c r="T22" s="25">
        <v>0</v>
      </c>
      <c r="U22" s="25">
        <v>0</v>
      </c>
      <c r="V22" s="25">
        <v>0</v>
      </c>
      <c r="W22" s="25">
        <v>0</v>
      </c>
      <c r="X22" s="25">
        <v>0</v>
      </c>
      <c r="Y22" s="25">
        <v>0</v>
      </c>
      <c r="Z22" s="25">
        <v>0</v>
      </c>
      <c r="AA22" s="25">
        <v>0</v>
      </c>
      <c r="AB22" s="25">
        <v>0</v>
      </c>
      <c r="AC22" s="25">
        <v>0</v>
      </c>
      <c r="AD22" s="25">
        <v>0</v>
      </c>
      <c r="AE22" s="25">
        <v>0</v>
      </c>
      <c r="AF22" s="25">
        <v>0</v>
      </c>
      <c r="AG22" s="25">
        <v>0</v>
      </c>
      <c r="AH22" s="25">
        <v>0</v>
      </c>
      <c r="AI22" s="25">
        <v>0</v>
      </c>
      <c r="AJ22" s="25">
        <v>0</v>
      </c>
      <c r="AK22" s="25">
        <v>0</v>
      </c>
      <c r="AL22" s="25">
        <v>0</v>
      </c>
      <c r="AM22" s="25">
        <v>0</v>
      </c>
      <c r="AN22" s="25">
        <v>0</v>
      </c>
      <c r="AO22" s="25">
        <v>0</v>
      </c>
      <c r="AP22" s="25">
        <v>0</v>
      </c>
      <c r="AQ22" s="25">
        <v>0</v>
      </c>
      <c r="AR22" s="25">
        <v>0</v>
      </c>
      <c r="AS22" s="25">
        <v>0</v>
      </c>
      <c r="AT22" s="25">
        <v>0</v>
      </c>
      <c r="AU22" s="25">
        <v>0</v>
      </c>
      <c r="AV22" s="25">
        <v>0</v>
      </c>
      <c r="AW22" s="25">
        <v>0</v>
      </c>
      <c r="AX22" s="25">
        <v>0</v>
      </c>
      <c r="AY22" s="25">
        <v>0</v>
      </c>
      <c r="AZ22" s="25">
        <v>1</v>
      </c>
      <c r="BA22" s="25">
        <v>2</v>
      </c>
      <c r="BB22" s="25">
        <v>0</v>
      </c>
      <c r="BC22" s="25">
        <v>0</v>
      </c>
      <c r="BD22" s="25">
        <v>0</v>
      </c>
      <c r="BE22" s="25">
        <v>0</v>
      </c>
      <c r="BF22" s="25">
        <v>0</v>
      </c>
      <c r="BG22" s="25">
        <v>1</v>
      </c>
      <c r="BH22" s="25">
        <v>1</v>
      </c>
      <c r="BI22" s="25">
        <v>2</v>
      </c>
      <c r="BJ22" s="25">
        <v>2</v>
      </c>
      <c r="BK22" s="25">
        <v>0</v>
      </c>
      <c r="BL22" s="25">
        <v>350</v>
      </c>
      <c r="BM22" s="25">
        <v>0</v>
      </c>
      <c r="BN22" s="25">
        <v>0</v>
      </c>
      <c r="BO22" s="25">
        <v>0</v>
      </c>
      <c r="BP22" s="25">
        <v>0</v>
      </c>
      <c r="BQ22" s="25">
        <v>0</v>
      </c>
      <c r="BR22" s="25">
        <v>0</v>
      </c>
      <c r="BS22" s="25">
        <v>0</v>
      </c>
      <c r="BT22" s="25">
        <v>0</v>
      </c>
      <c r="BU22" s="25">
        <v>0</v>
      </c>
      <c r="BV22" s="25">
        <v>0</v>
      </c>
      <c r="BW22" s="25">
        <v>0</v>
      </c>
      <c r="BX22" s="25">
        <v>1</v>
      </c>
      <c r="BY22" s="25">
        <v>0</v>
      </c>
      <c r="BZ22" s="25">
        <v>1</v>
      </c>
      <c r="CA22" s="25">
        <v>0</v>
      </c>
      <c r="CB22" s="25">
        <v>0</v>
      </c>
      <c r="CC22" s="25">
        <v>0</v>
      </c>
      <c r="CD22" s="25">
        <v>0</v>
      </c>
      <c r="CE22" s="25">
        <v>0</v>
      </c>
      <c r="CF22" s="25">
        <v>0</v>
      </c>
      <c r="CG22" s="25">
        <v>0</v>
      </c>
      <c r="CH22" s="25">
        <v>0</v>
      </c>
      <c r="CI22" s="25">
        <v>0</v>
      </c>
      <c r="CJ22" s="25">
        <v>0</v>
      </c>
      <c r="CK22" s="25">
        <v>0</v>
      </c>
      <c r="CL22" s="25">
        <v>0</v>
      </c>
      <c r="CM22" s="25">
        <v>0</v>
      </c>
      <c r="CN22" s="25">
        <v>0</v>
      </c>
      <c r="CO22" s="25">
        <v>0</v>
      </c>
      <c r="CP22" s="25">
        <v>0</v>
      </c>
      <c r="CQ22" s="25">
        <v>0</v>
      </c>
      <c r="CR22" s="25">
        <v>0</v>
      </c>
      <c r="CS22" s="25">
        <v>0</v>
      </c>
      <c r="CT22" s="25">
        <v>0</v>
      </c>
      <c r="CU22" s="25">
        <v>0</v>
      </c>
      <c r="CV22" s="25">
        <v>0</v>
      </c>
      <c r="CW22" s="25">
        <v>0</v>
      </c>
      <c r="CX22" s="25">
        <v>0</v>
      </c>
      <c r="CY22" s="25">
        <v>0</v>
      </c>
      <c r="CZ22" s="25">
        <v>0</v>
      </c>
      <c r="DA22" s="25">
        <v>0</v>
      </c>
      <c r="DB22" s="25">
        <v>0</v>
      </c>
      <c r="DC22" s="25">
        <v>0</v>
      </c>
      <c r="DD22" s="25">
        <v>0</v>
      </c>
      <c r="DE22" s="25">
        <v>0</v>
      </c>
      <c r="DF22" s="25">
        <v>0</v>
      </c>
      <c r="DG22" s="25">
        <v>0</v>
      </c>
      <c r="DH22" s="25">
        <v>0</v>
      </c>
      <c r="DI22" s="25">
        <v>0</v>
      </c>
      <c r="DJ22" s="25">
        <v>0</v>
      </c>
      <c r="DK22" s="25">
        <v>0</v>
      </c>
      <c r="DL22" s="25">
        <v>0</v>
      </c>
      <c r="DM22" s="25">
        <v>0</v>
      </c>
      <c r="DN22" s="25">
        <v>0</v>
      </c>
      <c r="DO22" s="25">
        <v>0</v>
      </c>
      <c r="DP22" s="25">
        <v>0</v>
      </c>
      <c r="DQ22" s="25">
        <v>0</v>
      </c>
      <c r="DR22" s="25">
        <v>0</v>
      </c>
      <c r="DS22" s="25">
        <v>0</v>
      </c>
      <c r="DT22" s="25">
        <v>0</v>
      </c>
      <c r="DU22" s="25">
        <v>0</v>
      </c>
      <c r="DV22" s="25">
        <v>0</v>
      </c>
      <c r="DW22" s="25">
        <v>0</v>
      </c>
      <c r="DX22" s="25">
        <v>0</v>
      </c>
      <c r="DY22" s="25">
        <v>0</v>
      </c>
      <c r="DZ22" s="25">
        <v>0</v>
      </c>
      <c r="EA22" s="25">
        <v>0</v>
      </c>
      <c r="EB22" s="25">
        <v>0</v>
      </c>
      <c r="EC22" s="25">
        <v>0</v>
      </c>
      <c r="ED22" s="25">
        <v>0</v>
      </c>
      <c r="EE22" s="25">
        <v>0</v>
      </c>
      <c r="EF22" s="25">
        <v>0</v>
      </c>
      <c r="EG22" s="25">
        <v>0</v>
      </c>
      <c r="EH22" s="25">
        <v>0</v>
      </c>
      <c r="EI22" s="25">
        <v>0</v>
      </c>
      <c r="EJ22" s="25">
        <v>0</v>
      </c>
      <c r="EK22" s="25">
        <v>0</v>
      </c>
      <c r="EL22" s="25">
        <v>0</v>
      </c>
      <c r="EM22" s="25">
        <v>0</v>
      </c>
      <c r="EN22" s="25">
        <v>0</v>
      </c>
      <c r="EO22" s="25">
        <v>0</v>
      </c>
      <c r="EP22" s="25">
        <v>0</v>
      </c>
      <c r="EQ22" s="25">
        <v>0</v>
      </c>
      <c r="ER22" s="25">
        <v>0</v>
      </c>
      <c r="ES22" s="25">
        <v>0</v>
      </c>
      <c r="ET22" s="25">
        <v>0</v>
      </c>
      <c r="EU22" s="25">
        <v>0</v>
      </c>
      <c r="EV22" s="25">
        <v>0</v>
      </c>
      <c r="EW22" s="25">
        <v>0</v>
      </c>
      <c r="EX22" s="25">
        <v>0</v>
      </c>
      <c r="EY22" s="25">
        <v>0</v>
      </c>
      <c r="EZ22" s="25">
        <v>0</v>
      </c>
      <c r="FA22" s="25">
        <v>0</v>
      </c>
      <c r="FB22" s="25">
        <v>0</v>
      </c>
      <c r="FC22" s="25">
        <v>0</v>
      </c>
      <c r="FD22" s="25">
        <v>0</v>
      </c>
      <c r="FE22" s="25">
        <v>0</v>
      </c>
      <c r="FF22" s="25">
        <v>0</v>
      </c>
      <c r="FG22" s="25">
        <v>0</v>
      </c>
      <c r="FH22" s="25">
        <v>0</v>
      </c>
      <c r="FI22" s="25">
        <v>0</v>
      </c>
      <c r="FJ22" s="25">
        <v>0</v>
      </c>
      <c r="FK22" s="25">
        <v>0</v>
      </c>
      <c r="FL22" s="25">
        <v>0</v>
      </c>
      <c r="FM22" s="25">
        <v>0</v>
      </c>
      <c r="FN22" s="25">
        <v>0</v>
      </c>
      <c r="FO22" s="25">
        <v>0</v>
      </c>
      <c r="FP22" s="25">
        <v>0</v>
      </c>
      <c r="FQ22" s="25">
        <v>0</v>
      </c>
      <c r="FR22" s="25">
        <v>0</v>
      </c>
      <c r="FS22" s="25">
        <v>0</v>
      </c>
      <c r="FT22" s="25">
        <v>0</v>
      </c>
      <c r="FU22" s="25">
        <v>0</v>
      </c>
      <c r="FV22" s="25">
        <v>0</v>
      </c>
      <c r="FW22" s="25">
        <v>0</v>
      </c>
      <c r="FX22" s="25">
        <v>0</v>
      </c>
      <c r="FY22" s="25">
        <v>0</v>
      </c>
      <c r="FZ22" s="25">
        <v>0</v>
      </c>
      <c r="GA22" s="25">
        <v>0</v>
      </c>
      <c r="GB22" s="25">
        <v>1</v>
      </c>
      <c r="GC22" s="25">
        <v>0</v>
      </c>
      <c r="GD22" s="25">
        <v>0</v>
      </c>
      <c r="GE22" s="25">
        <v>0</v>
      </c>
      <c r="GF22" s="25">
        <v>0</v>
      </c>
      <c r="GG22" s="25">
        <v>0</v>
      </c>
      <c r="GH22" s="25">
        <v>0</v>
      </c>
      <c r="GI22" s="25">
        <v>0</v>
      </c>
      <c r="GJ22" s="25">
        <v>0</v>
      </c>
      <c r="GK22" s="25">
        <v>0</v>
      </c>
      <c r="GL22" s="25">
        <v>0</v>
      </c>
      <c r="GM22" s="25">
        <v>0</v>
      </c>
      <c r="GN22" s="25">
        <v>0</v>
      </c>
      <c r="GO22" s="25">
        <v>0</v>
      </c>
      <c r="GP22" s="25">
        <v>0</v>
      </c>
      <c r="GQ22" s="25">
        <v>0</v>
      </c>
      <c r="GR22" s="25">
        <v>0</v>
      </c>
      <c r="GS22" s="25">
        <v>0</v>
      </c>
      <c r="GT22" s="25">
        <v>0</v>
      </c>
      <c r="GU22" s="25">
        <v>0</v>
      </c>
      <c r="GV22" s="25">
        <v>0</v>
      </c>
      <c r="GW22" s="25">
        <v>0</v>
      </c>
      <c r="GX22" s="25">
        <v>0</v>
      </c>
      <c r="GY22" s="46">
        <v>0</v>
      </c>
      <c r="GZ22" s="25">
        <v>0</v>
      </c>
      <c r="HA22" s="25">
        <v>0</v>
      </c>
      <c r="HB22" s="25">
        <v>0</v>
      </c>
      <c r="HC22" s="25">
        <v>0</v>
      </c>
      <c r="HD22" s="25">
        <v>0</v>
      </c>
      <c r="HE22" s="25">
        <v>0</v>
      </c>
      <c r="HF22" s="25">
        <v>0</v>
      </c>
      <c r="HG22" s="25">
        <v>0</v>
      </c>
      <c r="HH22" s="25">
        <v>0</v>
      </c>
      <c r="HI22" s="25">
        <v>0</v>
      </c>
      <c r="HJ22" s="25">
        <v>0</v>
      </c>
      <c r="HK22" s="25">
        <v>0</v>
      </c>
      <c r="HL22" s="25">
        <v>0</v>
      </c>
      <c r="HM22" s="25">
        <v>0</v>
      </c>
      <c r="HN22" s="25">
        <v>0</v>
      </c>
      <c r="HO22" s="25">
        <v>0</v>
      </c>
      <c r="HP22" s="25">
        <v>0</v>
      </c>
      <c r="HQ22" s="25">
        <v>0</v>
      </c>
      <c r="HR22" s="25">
        <v>0</v>
      </c>
      <c r="HS22" s="25">
        <v>0</v>
      </c>
      <c r="HT22" s="25">
        <v>0</v>
      </c>
      <c r="HU22" s="25">
        <v>0</v>
      </c>
      <c r="HV22" s="25">
        <v>0</v>
      </c>
      <c r="HW22" s="25">
        <v>0</v>
      </c>
      <c r="HX22" s="25">
        <v>0</v>
      </c>
      <c r="HY22" s="25">
        <v>0</v>
      </c>
      <c r="HZ22" s="25">
        <v>0</v>
      </c>
      <c r="IA22" s="25">
        <v>0</v>
      </c>
      <c r="IB22" s="25">
        <v>0</v>
      </c>
      <c r="IC22" s="25">
        <v>0</v>
      </c>
      <c r="ID22" s="25">
        <v>0</v>
      </c>
      <c r="IE22" s="25">
        <v>0</v>
      </c>
      <c r="IF22" s="25">
        <v>0</v>
      </c>
      <c r="IG22" s="25">
        <v>0</v>
      </c>
      <c r="IH22" s="25">
        <v>0</v>
      </c>
      <c r="II22" s="25">
        <v>0</v>
      </c>
      <c r="IJ22" s="25">
        <v>0</v>
      </c>
      <c r="IK22" s="25">
        <v>0</v>
      </c>
      <c r="IL22" s="25">
        <v>0</v>
      </c>
      <c r="IM22" s="25">
        <v>0</v>
      </c>
      <c r="IN22" s="25">
        <v>0</v>
      </c>
      <c r="IO22" s="25">
        <v>0</v>
      </c>
      <c r="IP22" s="25">
        <v>0</v>
      </c>
      <c r="IQ22" s="25">
        <v>0</v>
      </c>
      <c r="IR22" s="25">
        <v>0</v>
      </c>
      <c r="IS22" s="25">
        <v>0</v>
      </c>
      <c r="IT22" s="25">
        <v>0</v>
      </c>
      <c r="IU22" s="25">
        <v>0</v>
      </c>
      <c r="IV22" s="25">
        <v>0</v>
      </c>
      <c r="IW22" s="25">
        <v>0</v>
      </c>
      <c r="IX22" s="25">
        <v>0</v>
      </c>
      <c r="IY22" s="25">
        <v>0</v>
      </c>
      <c r="IZ22" s="25">
        <v>0</v>
      </c>
      <c r="JA22" s="25">
        <v>0</v>
      </c>
      <c r="JB22" s="25">
        <v>0</v>
      </c>
      <c r="JC22" s="25">
        <v>0</v>
      </c>
      <c r="JD22" s="25">
        <v>0</v>
      </c>
      <c r="JE22" s="25">
        <v>0</v>
      </c>
      <c r="JF22" s="25">
        <v>0</v>
      </c>
      <c r="JG22" s="25">
        <v>0</v>
      </c>
      <c r="JH22" s="25">
        <v>0</v>
      </c>
      <c r="JI22" s="25">
        <v>0</v>
      </c>
      <c r="JJ22" s="25">
        <v>0</v>
      </c>
      <c r="JK22" s="25">
        <v>0</v>
      </c>
      <c r="JL22" s="25">
        <v>0</v>
      </c>
      <c r="JM22" s="25">
        <v>0</v>
      </c>
      <c r="JN22" s="25">
        <v>0</v>
      </c>
      <c r="JO22" s="25">
        <v>0</v>
      </c>
      <c r="JP22" s="25">
        <v>0</v>
      </c>
      <c r="JQ22" s="25">
        <v>0</v>
      </c>
      <c r="JR22" s="25">
        <v>0</v>
      </c>
      <c r="JS22" s="25">
        <v>0</v>
      </c>
      <c r="JT22" s="25">
        <v>0</v>
      </c>
      <c r="JU22" s="25">
        <v>0</v>
      </c>
      <c r="JV22" s="25">
        <v>0</v>
      </c>
      <c r="JW22" s="25">
        <v>0</v>
      </c>
      <c r="JX22" s="25">
        <v>0</v>
      </c>
      <c r="JY22" s="25">
        <v>0</v>
      </c>
      <c r="JZ22" s="25">
        <v>0</v>
      </c>
      <c r="KA22" s="25">
        <v>0</v>
      </c>
      <c r="KB22" s="25">
        <v>0</v>
      </c>
      <c r="KC22" s="25">
        <v>0</v>
      </c>
      <c r="KD22" s="25">
        <v>0</v>
      </c>
      <c r="KE22" s="25">
        <v>0</v>
      </c>
      <c r="KF22" s="25">
        <v>0</v>
      </c>
      <c r="KG22" s="25">
        <v>0</v>
      </c>
      <c r="KH22" s="25">
        <v>0</v>
      </c>
      <c r="KI22" s="25">
        <v>0</v>
      </c>
      <c r="KJ22" s="25">
        <v>0</v>
      </c>
      <c r="KK22" s="25">
        <v>0</v>
      </c>
      <c r="KL22" s="25">
        <v>0</v>
      </c>
      <c r="KM22" s="25">
        <v>0</v>
      </c>
      <c r="KN22" s="25">
        <v>0</v>
      </c>
      <c r="KO22" s="25">
        <v>0</v>
      </c>
      <c r="KP22" s="25">
        <v>0</v>
      </c>
      <c r="KQ22" s="25">
        <v>0</v>
      </c>
      <c r="KR22" s="25">
        <v>0</v>
      </c>
      <c r="KS22" s="25">
        <v>0</v>
      </c>
      <c r="KT22" s="25">
        <v>0</v>
      </c>
      <c r="KU22" s="25">
        <v>0</v>
      </c>
      <c r="KV22" s="25">
        <v>0</v>
      </c>
      <c r="KW22" s="25">
        <v>0</v>
      </c>
      <c r="KX22" s="25">
        <v>0</v>
      </c>
      <c r="KY22" s="25">
        <v>0</v>
      </c>
      <c r="KZ22" s="25">
        <v>0</v>
      </c>
      <c r="LA22" s="25">
        <v>0</v>
      </c>
      <c r="LB22" s="25">
        <v>0</v>
      </c>
      <c r="LC22" s="25">
        <v>0</v>
      </c>
      <c r="LD22" s="25">
        <v>0</v>
      </c>
      <c r="LE22" s="25">
        <v>0</v>
      </c>
      <c r="LF22" s="25">
        <v>0</v>
      </c>
      <c r="LG22" s="25">
        <v>0</v>
      </c>
      <c r="LH22" s="25">
        <v>0</v>
      </c>
      <c r="LI22" s="25">
        <v>0</v>
      </c>
      <c r="LJ22" s="25">
        <v>0</v>
      </c>
      <c r="LK22" s="25">
        <v>0</v>
      </c>
      <c r="LL22" s="25">
        <v>0</v>
      </c>
      <c r="LM22" s="25">
        <v>0</v>
      </c>
      <c r="LN22" s="278">
        <f ca="1">$A22 - DeathsTimeS!Sweden100dt + 1</f>
        <v>-45</v>
      </c>
      <c r="LO22" s="366">
        <f ca="1">INDEX(OFFSET(DeathsTimeS!HeadRow,ROW()-ROW(DeathsTimeS!HeadRow),0,1,COLUMNS(DeathsTimeS!HeadRow)),1,MATCH(LO$5,DeathsTimeS!HeadRow,0))/LO$8</f>
        <v>0</v>
      </c>
      <c r="LP22" s="278">
        <f ca="1">$A22 - DeathsTimeS!Spain100dt</f>
        <v>-38</v>
      </c>
      <c r="LQ22" s="11">
        <f ca="1">INDEX(OFFSET(DeathsTimeS!HeadRow,ROW()-ROW(DeathsTimeS!HeadRow),0,1,COLUMNS(DeathsTimeS!HeadRow)),1,MATCH(LQ$5,DeathsTimeS!HeadRow,0))/LQ$8</f>
        <v>0</v>
      </c>
      <c r="LR22" s="278">
        <f ca="1">$A22 - DeathsTimeS!Victoria100dt</f>
        <v>-61</v>
      </c>
      <c r="LS22" s="11">
        <f ca="1">INDEX(OFFSET(DeathsTimeS!HeadRow,ROW()-ROW(DeathsTimeS!HeadRow),0,1,COLUMNS(DeathsTimeS!HeadRow)),1,MATCH(LS$5,DeathsTimeS!HeadRow,0))/LS$8</f>
        <v>0</v>
      </c>
      <c r="LT22" s="278">
        <f ca="1">$A22 - DeathsTimeS!Iran100dt</f>
        <v>-31</v>
      </c>
      <c r="LU22" s="11">
        <f ca="1">INDEX(OFFSET(DeathsTimeS!HeadRow,ROW()-ROW(DeathsTimeS!HeadRow),0,1,COLUMNS(DeathsTimeS!HeadRow)),1,MATCH(LU$5,DeathsTimeS!HeadRow,0))/LU$8</f>
        <v>0</v>
      </c>
      <c r="LV22" s="278">
        <f ca="1">$A22 - DeathsTimeS!Japan100dt</f>
        <v>-72</v>
      </c>
      <c r="LW22" s="11">
        <f ca="1">INDEX(OFFSET(DeathsTimeS!HeadRow,ROW()-ROW(DeathsTimeS!HeadRow),0,1,COLUMNS(DeathsTimeS!HeadRow)),1,MATCH(LW$5,DeathsTimeS!HeadRow,0))/LW$8</f>
        <v>0</v>
      </c>
      <c r="LX22" s="278">
        <f ca="1">$A22 - DeathsTimeS!Queensland100dt</f>
        <v>-76</v>
      </c>
      <c r="LY22" s="11">
        <f ca="1">INDEX(OFFSET(DeathsTimeS!HeadRow,ROW()-ROW(DeathsTimeS!HeadRow),0,1,COLUMNS(DeathsTimeS!HeadRow)),1,MATCH(LY$5,DeathsTimeS!HeadRow,0))/LY$8</f>
        <v>0</v>
      </c>
      <c r="LZ22" s="278">
        <f ca="1">$A22 - DeathsTimeS!Tasmania100dt</f>
        <v>-58</v>
      </c>
      <c r="MA22" s="11">
        <f ca="1">INDEX(OFFSET(DeathsTimeS!HeadRow,ROW()-ROW(DeathsTimeS!HeadRow),0,1,COLUMNS(DeathsTimeS!HeadRow)),1,MATCH(MA$5,DeathsTimeS!HeadRow,0))/MA$8</f>
        <v>0</v>
      </c>
      <c r="MB22" s="278">
        <f ca="1">$A22 - DeathsTimeS!SouthAustralia100dt</f>
        <v>-66</v>
      </c>
      <c r="MC22" s="11">
        <f ca="1">INDEX(OFFSET(DeathsTimeS!HeadRow,ROW()-ROW(DeathsTimeS!HeadRow),0,1,COLUMNS(DeathsTimeS!HeadRow)),1,MATCH(MC$5,DeathsTimeS!HeadRow,0))/MC$8</f>
        <v>0</v>
      </c>
      <c r="MD22" s="278">
        <f ca="1">$A22 - DeathsTimeS!WesternAustralia100dt</f>
        <v>-63</v>
      </c>
      <c r="ME22" s="11">
        <f ca="1">INDEX(OFFSET(DeathsTimeS!HeadRow,ROW()-ROW(DeathsTimeS!HeadRow),0,1,COLUMNS(DeathsTimeS!HeadRow)),1,MATCH(ME$5,DeathsTimeS!HeadRow,0))/ME$8</f>
        <v>0</v>
      </c>
      <c r="MF22" s="278">
        <f ca="1">$A22 - DeathsTimeS!NewSouthWales100dt</f>
        <v>-59</v>
      </c>
      <c r="MG22" s="11">
        <f ca="1">INDEX(OFFSET(DeathsTimeS!HeadRow,ROW()-ROW(DeathsTimeS!HeadRow),0,1,COLUMNS(DeathsTimeS!HeadRow)),1,MATCH(MG$5,DeathsTimeS!HeadRow,0))/MG$8</f>
        <v>0</v>
      </c>
      <c r="MH22" s="278">
        <f ca="1">$A22 - DeathsTimeS!NewYork100dt</f>
        <v>-43</v>
      </c>
      <c r="MI22" s="11">
        <f ca="1">INDEX(OFFSET(DeathsTimeS!HeadRow,ROW()-ROW(DeathsTimeS!HeadRow),0,1,COLUMNS(DeathsTimeS!HeadRow)),1,MATCH(MI$5,DeathsTimeS!HeadRow,0))/MI$8</f>
        <v>0</v>
      </c>
      <c r="MJ22" s="278">
        <f ca="1">$A22 - DeathsTimeS!Italy100dt</f>
        <v>-30</v>
      </c>
      <c r="MK22" s="11">
        <f ca="1">INDEX(OFFSET(DeathsTimeS!HeadRow,ROW()-ROW(DeathsTimeS!HeadRow),0,1,COLUMNS(DeathsTimeS!HeadRow)),1,MATCH(MK$5,DeathsTimeS!HeadRow,0))/MK$8</f>
        <v>0</v>
      </c>
      <c r="ML22" s="278">
        <f ca="1">$A22 - DeathsTimeS!AustralianCapitalTerritory100dt</f>
        <v>-57</v>
      </c>
      <c r="MM22" s="11">
        <f ca="1">INDEX(OFFSET(DeathsTimeS!HeadRow,ROW()-ROW(DeathsTimeS!HeadRow),0,1,COLUMNS(DeathsTimeS!HeadRow)),1,MATCH(MM$5,DeathsTimeS!HeadRow,0))/MM$8</f>
        <v>0</v>
      </c>
      <c r="MN22" s="278">
        <f ca="1">IF(DeathsTimeS!NorthernTerritory100dt&gt;0,$A22 - DeathsTimeS!NorthernTerritory100dt,"")</f>
        <v>-85</v>
      </c>
      <c r="MO22" s="11">
        <f ca="1">INDEX(OFFSET(DeathsTimeS!HeadRow,ROW()-ROW(DeathsTimeS!HeadRow),0,1,COLUMNS(DeathsTimeS!HeadRow)),1,MATCH(MO$5,DeathsTimeS!HeadRow,0))/MO$8</f>
        <v>0</v>
      </c>
      <c r="MP22" s="278">
        <f ca="1">$A22 - DeathsTimeS!SouthAfrica100dt + 1</f>
        <v>-77</v>
      </c>
      <c r="MQ22" s="20">
        <f ca="1">INDEX(OFFSET(DeathsTimeS!HeadRow,ROW()-ROW(DeathsTimeS!HeadRow),0,1,COLUMNS(DeathsTimeS!HeadRow)),1,MATCH(MQ$5,DeathsTimeS!HeadRow,0))/MQ$8</f>
        <v>0</v>
      </c>
      <c r="MR22" s="278">
        <f ca="1">$A22 - DeathsTimeS!Germany100dt + 1</f>
        <v>-47</v>
      </c>
      <c r="MS22" s="20">
        <f ca="1">INDEX(OFFSET(DeathsTimeS!HeadRow,ROW()-ROW(DeathsTimeS!HeadRow),0,1,COLUMNS(DeathsTimeS!HeadRow)),1,MATCH(MS$5,DeathsTimeS!HeadRow,0))/MS$8</f>
        <v>0</v>
      </c>
      <c r="MT22" s="278">
        <f ca="1">$A22 - DeathsTimeS!Ireland100dt + 1</f>
        <v>-49</v>
      </c>
      <c r="MU22" s="73">
        <f ca="1">INDEX(OFFSET(DeathsTimeS!HeadRow,ROW()-ROW(DeathsTimeS!HeadRow),0,1,COLUMNS(DeathsTimeS!HeadRow)),1,MATCH(MU$5,DeathsTimeS!HeadRow,0))/MU$8</f>
        <v>0</v>
      </c>
      <c r="MV22" s="278">
        <f ca="1">$A22 - DeathsTimeS!UnitedKingdom100dt + 1</f>
        <v>-43</v>
      </c>
      <c r="MW22" s="73">
        <f ca="1">INDEX(OFFSET(DeathsTimeS!HeadRow,ROW()-ROW(DeathsTimeS!HeadRow),0,1,COLUMNS(DeathsTimeS!HeadRow)),1,MATCH(MW$5,DeathsTimeS!HeadRow,0))/MW$8</f>
        <v>0</v>
      </c>
      <c r="MX22" s="278">
        <f ca="1">$A22 - DeathsTimeS!Denmark100dt + 1</f>
        <v>-45</v>
      </c>
      <c r="MY22" s="73">
        <f ca="1">INDEX(OFFSET(DeathsTimeS!HeadRow,ROW()-ROW(DeathsTimeS!HeadRow),0,1,COLUMNS(DeathsTimeS!HeadRow)),1,MATCH(MY$5,DeathsTimeS!HeadRow,0))/MY$8</f>
        <v>0</v>
      </c>
      <c r="MZ22" s="278">
        <f ca="1">$A22 - DeathsTimeS!US100dt + 1</f>
        <v>-46</v>
      </c>
      <c r="NA22" s="73">
        <f ca="1">INDEX(OFFSET(DeathsTimeS!HeadRow,ROW()-ROW(DeathsTimeS!HeadRow),0,1,COLUMNS(DeathsTimeS!HeadRow)),1,MATCH(NA$5,DeathsTimeS!HeadRow,0))/NA$8</f>
        <v>0</v>
      </c>
      <c r="NB22" s="278">
        <f ca="1">$A22 - DeathsTimeS!AustraliaSum100dt + 1</f>
        <v>-52</v>
      </c>
      <c r="NC22" s="366">
        <f t="shared" si="6"/>
        <v>0</v>
      </c>
      <c r="ND22" s="278">
        <f ca="1">$A22 - DeathsTimeS!Taiwan100dt + 1</f>
        <v>-84</v>
      </c>
      <c r="NE22" s="366">
        <f ca="1">INDEX(OFFSET(DeathsTimeS!HeadRow,ROW()-ROW(DeathsTimeS!HeadRow),0,1,COLUMNS(DeathsTimeS!HeadRow)),1,MATCH(NE$5,DeathsTimeS!HeadRow,0))/NE$8</f>
        <v>0</v>
      </c>
      <c r="NF22" s="278">
        <f ca="1">$A22 - DeathsTimeS!Hubei100dt + 1</f>
        <v>7</v>
      </c>
      <c r="NG22" s="366">
        <f ca="1">INDEX(OFFSET(DeathsTimeS!HeadRow,ROW()-ROW(DeathsTimeS!HeadRow),0,1,COLUMNS(DeathsTimeS!HeadRow)),1,MATCH(NG$5,DeathsTimeS!HeadRow,0))/NG$8</f>
        <v>59.82905982905983</v>
      </c>
      <c r="NH22" s="278">
        <f ca="1">$A22 - DeathsTimeS!HongKong100dt + 1</f>
        <v>-84</v>
      </c>
      <c r="NI22" s="366">
        <f ca="1">INDEX(OFFSET(DeathsTimeS!HeadRow,ROW()-ROW(DeathsTimeS!HeadRow),0,1,COLUMNS(DeathsTimeS!HeadRow)),1,MATCH(NI$5,DeathsTimeS!HeadRow,0))/NI$8</f>
        <v>0</v>
      </c>
    </row>
    <row r="23" spans="1:373" x14ac:dyDescent="0.25">
      <c r="A23" s="156">
        <v>43864</v>
      </c>
      <c r="B23" s="25">
        <v>0</v>
      </c>
      <c r="C23" s="25">
        <v>0</v>
      </c>
      <c r="D23" s="25">
        <v>0</v>
      </c>
      <c r="E23" s="25">
        <v>0</v>
      </c>
      <c r="F23" s="25">
        <v>0</v>
      </c>
      <c r="G23" s="25">
        <v>0</v>
      </c>
      <c r="H23" s="25">
        <v>0</v>
      </c>
      <c r="I23" s="25">
        <v>0</v>
      </c>
      <c r="J23" s="25">
        <v>0</v>
      </c>
      <c r="K23" s="25">
        <v>0</v>
      </c>
      <c r="L23" s="25">
        <v>0</v>
      </c>
      <c r="M23" s="25">
        <v>0</v>
      </c>
      <c r="N23" s="25">
        <v>0</v>
      </c>
      <c r="O23" s="25">
        <v>0</v>
      </c>
      <c r="P23" s="25">
        <v>0</v>
      </c>
      <c r="Q23" s="25">
        <v>0</v>
      </c>
      <c r="R23" s="25">
        <v>0</v>
      </c>
      <c r="S23" s="25">
        <v>0</v>
      </c>
      <c r="T23" s="25">
        <v>0</v>
      </c>
      <c r="U23" s="25">
        <v>0</v>
      </c>
      <c r="V23" s="25">
        <v>0</v>
      </c>
      <c r="W23" s="25">
        <v>0</v>
      </c>
      <c r="X23" s="25">
        <v>0</v>
      </c>
      <c r="Y23" s="25">
        <v>0</v>
      </c>
      <c r="Z23" s="25">
        <v>0</v>
      </c>
      <c r="AA23" s="25">
        <v>0</v>
      </c>
      <c r="AB23" s="25">
        <v>0</v>
      </c>
      <c r="AC23" s="25">
        <v>0</v>
      </c>
      <c r="AD23" s="25">
        <v>0</v>
      </c>
      <c r="AE23" s="25">
        <v>0</v>
      </c>
      <c r="AF23" s="25">
        <v>0</v>
      </c>
      <c r="AG23" s="25">
        <v>0</v>
      </c>
      <c r="AH23" s="25">
        <v>0</v>
      </c>
      <c r="AI23" s="25">
        <v>0</v>
      </c>
      <c r="AJ23" s="25">
        <v>0</v>
      </c>
      <c r="AK23" s="25">
        <v>0</v>
      </c>
      <c r="AL23" s="25">
        <v>0</v>
      </c>
      <c r="AM23" s="25">
        <v>0</v>
      </c>
      <c r="AN23" s="25">
        <v>0</v>
      </c>
      <c r="AO23" s="25">
        <v>0</v>
      </c>
      <c r="AP23" s="25">
        <v>0</v>
      </c>
      <c r="AQ23" s="25">
        <v>0</v>
      </c>
      <c r="AR23" s="25">
        <v>0</v>
      </c>
      <c r="AS23" s="25">
        <v>0</v>
      </c>
      <c r="AT23" s="25">
        <v>0</v>
      </c>
      <c r="AU23" s="25">
        <v>0</v>
      </c>
      <c r="AV23" s="25">
        <v>0</v>
      </c>
      <c r="AW23" s="25">
        <v>0</v>
      </c>
      <c r="AX23" s="25">
        <v>0</v>
      </c>
      <c r="AY23" s="25">
        <v>0</v>
      </c>
      <c r="AZ23" s="25">
        <v>1</v>
      </c>
      <c r="BA23" s="25">
        <v>2</v>
      </c>
      <c r="BB23" s="25">
        <v>0</v>
      </c>
      <c r="BC23" s="25">
        <v>0</v>
      </c>
      <c r="BD23" s="25">
        <v>0</v>
      </c>
      <c r="BE23" s="25">
        <v>0</v>
      </c>
      <c r="BF23" s="25">
        <v>0</v>
      </c>
      <c r="BG23" s="25">
        <v>1</v>
      </c>
      <c r="BH23" s="25">
        <v>1</v>
      </c>
      <c r="BI23" s="25">
        <v>2</v>
      </c>
      <c r="BJ23" s="25">
        <v>2</v>
      </c>
      <c r="BK23" s="25">
        <v>0</v>
      </c>
      <c r="BL23" s="25">
        <v>414</v>
      </c>
      <c r="BM23" s="25">
        <v>0</v>
      </c>
      <c r="BN23" s="25">
        <v>0</v>
      </c>
      <c r="BO23" s="25">
        <v>0</v>
      </c>
      <c r="BP23" s="25">
        <v>0</v>
      </c>
      <c r="BQ23" s="25">
        <v>0</v>
      </c>
      <c r="BR23" s="25">
        <v>0</v>
      </c>
      <c r="BS23" s="25">
        <v>0</v>
      </c>
      <c r="BT23" s="25">
        <v>0</v>
      </c>
      <c r="BU23" s="25">
        <v>0</v>
      </c>
      <c r="BV23" s="25">
        <v>0</v>
      </c>
      <c r="BW23" s="25">
        <v>0</v>
      </c>
      <c r="BX23" s="25">
        <v>1</v>
      </c>
      <c r="BY23" s="25">
        <v>0</v>
      </c>
      <c r="BZ23" s="25">
        <v>1</v>
      </c>
      <c r="CA23" s="25">
        <v>0</v>
      </c>
      <c r="CB23" s="25">
        <v>0</v>
      </c>
      <c r="CC23" s="25">
        <v>0</v>
      </c>
      <c r="CD23" s="25">
        <v>0</v>
      </c>
      <c r="CE23" s="25">
        <v>0</v>
      </c>
      <c r="CF23" s="25">
        <v>0</v>
      </c>
      <c r="CG23" s="25">
        <v>0</v>
      </c>
      <c r="CH23" s="25">
        <v>0</v>
      </c>
      <c r="CI23" s="25">
        <v>0</v>
      </c>
      <c r="CJ23" s="25">
        <v>0</v>
      </c>
      <c r="CK23" s="25">
        <v>0</v>
      </c>
      <c r="CL23" s="25">
        <v>0</v>
      </c>
      <c r="CM23" s="25">
        <v>0</v>
      </c>
      <c r="CN23" s="25">
        <v>0</v>
      </c>
      <c r="CO23" s="25">
        <v>0</v>
      </c>
      <c r="CP23" s="25">
        <v>0</v>
      </c>
      <c r="CQ23" s="25">
        <v>0</v>
      </c>
      <c r="CR23" s="25">
        <v>0</v>
      </c>
      <c r="CS23" s="25">
        <v>0</v>
      </c>
      <c r="CT23" s="25">
        <v>0</v>
      </c>
      <c r="CU23" s="25">
        <v>0</v>
      </c>
      <c r="CV23" s="25">
        <v>0</v>
      </c>
      <c r="CW23" s="25">
        <v>0</v>
      </c>
      <c r="CX23" s="25">
        <v>0</v>
      </c>
      <c r="CY23" s="25">
        <v>0</v>
      </c>
      <c r="CZ23" s="25">
        <v>0</v>
      </c>
      <c r="DA23" s="25">
        <v>0</v>
      </c>
      <c r="DB23" s="25">
        <v>0</v>
      </c>
      <c r="DC23" s="25">
        <v>0</v>
      </c>
      <c r="DD23" s="25">
        <v>0</v>
      </c>
      <c r="DE23" s="25">
        <v>0</v>
      </c>
      <c r="DF23" s="25">
        <v>0</v>
      </c>
      <c r="DG23" s="25">
        <v>0</v>
      </c>
      <c r="DH23" s="25">
        <v>0</v>
      </c>
      <c r="DI23" s="25">
        <v>0</v>
      </c>
      <c r="DJ23" s="25">
        <v>0</v>
      </c>
      <c r="DK23" s="25">
        <v>0</v>
      </c>
      <c r="DL23" s="25">
        <v>0</v>
      </c>
      <c r="DM23" s="25">
        <v>0</v>
      </c>
      <c r="DN23" s="25">
        <v>0</v>
      </c>
      <c r="DO23" s="25">
        <v>0</v>
      </c>
      <c r="DP23" s="25">
        <v>0</v>
      </c>
      <c r="DQ23" s="25">
        <v>0</v>
      </c>
      <c r="DR23" s="25">
        <v>0</v>
      </c>
      <c r="DS23" s="25">
        <v>0</v>
      </c>
      <c r="DT23" s="25">
        <v>0</v>
      </c>
      <c r="DU23" s="25">
        <v>0</v>
      </c>
      <c r="DV23" s="25">
        <v>0</v>
      </c>
      <c r="DW23" s="25">
        <v>0</v>
      </c>
      <c r="DX23" s="25">
        <v>0</v>
      </c>
      <c r="DY23" s="25">
        <v>0</v>
      </c>
      <c r="DZ23" s="25">
        <v>0</v>
      </c>
      <c r="EA23" s="25">
        <v>0</v>
      </c>
      <c r="EB23" s="25">
        <v>0</v>
      </c>
      <c r="EC23" s="25">
        <v>0</v>
      </c>
      <c r="ED23" s="25">
        <v>0</v>
      </c>
      <c r="EE23" s="25">
        <v>0</v>
      </c>
      <c r="EF23" s="25">
        <v>0</v>
      </c>
      <c r="EG23" s="25">
        <v>0</v>
      </c>
      <c r="EH23" s="25">
        <v>0</v>
      </c>
      <c r="EI23" s="25">
        <v>0</v>
      </c>
      <c r="EJ23" s="25">
        <v>0</v>
      </c>
      <c r="EK23" s="25">
        <v>0</v>
      </c>
      <c r="EL23" s="25">
        <v>0</v>
      </c>
      <c r="EM23" s="25">
        <v>0</v>
      </c>
      <c r="EN23" s="25">
        <v>0</v>
      </c>
      <c r="EO23" s="25">
        <v>0</v>
      </c>
      <c r="EP23" s="25">
        <v>0</v>
      </c>
      <c r="EQ23" s="25">
        <v>0</v>
      </c>
      <c r="ER23" s="25">
        <v>0</v>
      </c>
      <c r="ES23" s="25">
        <v>0</v>
      </c>
      <c r="ET23" s="25">
        <v>0</v>
      </c>
      <c r="EU23" s="25">
        <v>0</v>
      </c>
      <c r="EV23" s="25">
        <v>0</v>
      </c>
      <c r="EW23" s="25">
        <v>0</v>
      </c>
      <c r="EX23" s="25">
        <v>0</v>
      </c>
      <c r="EY23" s="25">
        <v>0</v>
      </c>
      <c r="EZ23" s="25">
        <v>0</v>
      </c>
      <c r="FA23" s="25">
        <v>0</v>
      </c>
      <c r="FB23" s="25">
        <v>0</v>
      </c>
      <c r="FC23" s="25">
        <v>0</v>
      </c>
      <c r="FD23" s="25">
        <v>0</v>
      </c>
      <c r="FE23" s="25">
        <v>0</v>
      </c>
      <c r="FF23" s="25">
        <v>0</v>
      </c>
      <c r="FG23" s="25">
        <v>0</v>
      </c>
      <c r="FH23" s="25">
        <v>0</v>
      </c>
      <c r="FI23" s="25">
        <v>0</v>
      </c>
      <c r="FJ23" s="25">
        <v>0</v>
      </c>
      <c r="FK23" s="25">
        <v>0</v>
      </c>
      <c r="FL23" s="25">
        <v>0</v>
      </c>
      <c r="FM23" s="25">
        <v>0</v>
      </c>
      <c r="FN23" s="25">
        <v>0</v>
      </c>
      <c r="FO23" s="25">
        <v>0</v>
      </c>
      <c r="FP23" s="25">
        <v>0</v>
      </c>
      <c r="FQ23" s="25">
        <v>0</v>
      </c>
      <c r="FR23" s="25">
        <v>0</v>
      </c>
      <c r="FS23" s="25">
        <v>0</v>
      </c>
      <c r="FT23" s="25">
        <v>0</v>
      </c>
      <c r="FU23" s="25">
        <v>0</v>
      </c>
      <c r="FV23" s="25">
        <v>0</v>
      </c>
      <c r="FW23" s="25">
        <v>0</v>
      </c>
      <c r="FX23" s="25">
        <v>0</v>
      </c>
      <c r="FY23" s="25">
        <v>0</v>
      </c>
      <c r="FZ23" s="25">
        <v>0</v>
      </c>
      <c r="GA23" s="25">
        <v>0</v>
      </c>
      <c r="GB23" s="25">
        <v>1</v>
      </c>
      <c r="GC23" s="25">
        <v>0</v>
      </c>
      <c r="GD23" s="25">
        <v>0</v>
      </c>
      <c r="GE23" s="25">
        <v>0</v>
      </c>
      <c r="GF23" s="25">
        <v>0</v>
      </c>
      <c r="GG23" s="25">
        <v>0</v>
      </c>
      <c r="GH23" s="25">
        <v>0</v>
      </c>
      <c r="GI23" s="25">
        <v>0</v>
      </c>
      <c r="GJ23" s="25">
        <v>0</v>
      </c>
      <c r="GK23" s="25">
        <v>0</v>
      </c>
      <c r="GL23" s="25">
        <v>0</v>
      </c>
      <c r="GM23" s="25">
        <v>0</v>
      </c>
      <c r="GN23" s="25">
        <v>0</v>
      </c>
      <c r="GO23" s="25">
        <v>0</v>
      </c>
      <c r="GP23" s="25">
        <v>0</v>
      </c>
      <c r="GQ23" s="25">
        <v>0</v>
      </c>
      <c r="GR23" s="25">
        <v>0</v>
      </c>
      <c r="GS23" s="25">
        <v>0</v>
      </c>
      <c r="GT23" s="25">
        <v>0</v>
      </c>
      <c r="GU23" s="25">
        <v>0</v>
      </c>
      <c r="GV23" s="25">
        <v>0</v>
      </c>
      <c r="GW23" s="25">
        <v>0</v>
      </c>
      <c r="GX23" s="25">
        <v>0</v>
      </c>
      <c r="GY23" s="46">
        <v>0</v>
      </c>
      <c r="GZ23" s="25">
        <v>0</v>
      </c>
      <c r="HA23" s="25">
        <v>0</v>
      </c>
      <c r="HB23" s="25">
        <v>0</v>
      </c>
      <c r="HC23" s="25">
        <v>0</v>
      </c>
      <c r="HD23" s="25">
        <v>0</v>
      </c>
      <c r="HE23" s="25">
        <v>0</v>
      </c>
      <c r="HF23" s="25">
        <v>0</v>
      </c>
      <c r="HG23" s="25">
        <v>0</v>
      </c>
      <c r="HH23" s="25">
        <v>0</v>
      </c>
      <c r="HI23" s="25">
        <v>0</v>
      </c>
      <c r="HJ23" s="25">
        <v>0</v>
      </c>
      <c r="HK23" s="25">
        <v>0</v>
      </c>
      <c r="HL23" s="25">
        <v>0</v>
      </c>
      <c r="HM23" s="25">
        <v>0</v>
      </c>
      <c r="HN23" s="25">
        <v>0</v>
      </c>
      <c r="HO23" s="25">
        <v>0</v>
      </c>
      <c r="HP23" s="25">
        <v>0</v>
      </c>
      <c r="HQ23" s="25">
        <v>0</v>
      </c>
      <c r="HR23" s="25">
        <v>0</v>
      </c>
      <c r="HS23" s="25">
        <v>0</v>
      </c>
      <c r="HT23" s="25">
        <v>0</v>
      </c>
      <c r="HU23" s="25">
        <v>0</v>
      </c>
      <c r="HV23" s="25">
        <v>0</v>
      </c>
      <c r="HW23" s="25">
        <v>0</v>
      </c>
      <c r="HX23" s="25">
        <v>0</v>
      </c>
      <c r="HY23" s="25">
        <v>0</v>
      </c>
      <c r="HZ23" s="25">
        <v>0</v>
      </c>
      <c r="IA23" s="25">
        <v>0</v>
      </c>
      <c r="IB23" s="25">
        <v>0</v>
      </c>
      <c r="IC23" s="25">
        <v>0</v>
      </c>
      <c r="ID23" s="25">
        <v>0</v>
      </c>
      <c r="IE23" s="25">
        <v>0</v>
      </c>
      <c r="IF23" s="25">
        <v>0</v>
      </c>
      <c r="IG23" s="25">
        <v>0</v>
      </c>
      <c r="IH23" s="25">
        <v>0</v>
      </c>
      <c r="II23" s="25">
        <v>0</v>
      </c>
      <c r="IJ23" s="25">
        <v>0</v>
      </c>
      <c r="IK23" s="25">
        <v>0</v>
      </c>
      <c r="IL23" s="25">
        <v>0</v>
      </c>
      <c r="IM23" s="25">
        <v>0</v>
      </c>
      <c r="IN23" s="25">
        <v>0</v>
      </c>
      <c r="IO23" s="25">
        <v>0</v>
      </c>
      <c r="IP23" s="25">
        <v>0</v>
      </c>
      <c r="IQ23" s="25">
        <v>0</v>
      </c>
      <c r="IR23" s="25">
        <v>0</v>
      </c>
      <c r="IS23" s="25">
        <v>0</v>
      </c>
      <c r="IT23" s="25">
        <v>0</v>
      </c>
      <c r="IU23" s="25">
        <v>0</v>
      </c>
      <c r="IV23" s="25">
        <v>0</v>
      </c>
      <c r="IW23" s="25">
        <v>0</v>
      </c>
      <c r="IX23" s="25">
        <v>0</v>
      </c>
      <c r="IY23" s="25">
        <v>0</v>
      </c>
      <c r="IZ23" s="25">
        <v>0</v>
      </c>
      <c r="JA23" s="25">
        <v>0</v>
      </c>
      <c r="JB23" s="25">
        <v>0</v>
      </c>
      <c r="JC23" s="25">
        <v>0</v>
      </c>
      <c r="JD23" s="25">
        <v>0</v>
      </c>
      <c r="JE23" s="25">
        <v>0</v>
      </c>
      <c r="JF23" s="25">
        <v>0</v>
      </c>
      <c r="JG23" s="25">
        <v>0</v>
      </c>
      <c r="JH23" s="25">
        <v>0</v>
      </c>
      <c r="JI23" s="25">
        <v>0</v>
      </c>
      <c r="JJ23" s="25">
        <v>0</v>
      </c>
      <c r="JK23" s="25">
        <v>0</v>
      </c>
      <c r="JL23" s="25">
        <v>0</v>
      </c>
      <c r="JM23" s="25">
        <v>0</v>
      </c>
      <c r="JN23" s="25">
        <v>0</v>
      </c>
      <c r="JO23" s="25">
        <v>0</v>
      </c>
      <c r="JP23" s="25">
        <v>0</v>
      </c>
      <c r="JQ23" s="25">
        <v>0</v>
      </c>
      <c r="JR23" s="25">
        <v>0</v>
      </c>
      <c r="JS23" s="25">
        <v>0</v>
      </c>
      <c r="JT23" s="25">
        <v>0</v>
      </c>
      <c r="JU23" s="25">
        <v>0</v>
      </c>
      <c r="JV23" s="25">
        <v>0</v>
      </c>
      <c r="JW23" s="25">
        <v>0</v>
      </c>
      <c r="JX23" s="25">
        <v>0</v>
      </c>
      <c r="JY23" s="25">
        <v>0</v>
      </c>
      <c r="JZ23" s="25">
        <v>0</v>
      </c>
      <c r="KA23" s="25">
        <v>0</v>
      </c>
      <c r="KB23" s="25">
        <v>0</v>
      </c>
      <c r="KC23" s="25">
        <v>0</v>
      </c>
      <c r="KD23" s="25">
        <v>0</v>
      </c>
      <c r="KE23" s="25">
        <v>0</v>
      </c>
      <c r="KF23" s="25">
        <v>0</v>
      </c>
      <c r="KG23" s="25">
        <v>0</v>
      </c>
      <c r="KH23" s="25">
        <v>0</v>
      </c>
      <c r="KI23" s="25">
        <v>0</v>
      </c>
      <c r="KJ23" s="25">
        <v>0</v>
      </c>
      <c r="KK23" s="25">
        <v>0</v>
      </c>
      <c r="KL23" s="25">
        <v>0</v>
      </c>
      <c r="KM23" s="25">
        <v>0</v>
      </c>
      <c r="KN23" s="25">
        <v>0</v>
      </c>
      <c r="KO23" s="25">
        <v>0</v>
      </c>
      <c r="KP23" s="25">
        <v>0</v>
      </c>
      <c r="KQ23" s="25">
        <v>0</v>
      </c>
      <c r="KR23" s="25">
        <v>0</v>
      </c>
      <c r="KS23" s="25">
        <v>0</v>
      </c>
      <c r="KT23" s="25">
        <v>0</v>
      </c>
      <c r="KU23" s="25">
        <v>0</v>
      </c>
      <c r="KV23" s="25">
        <v>0</v>
      </c>
      <c r="KW23" s="25">
        <v>0</v>
      </c>
      <c r="KX23" s="25">
        <v>0</v>
      </c>
      <c r="KY23" s="25">
        <v>0</v>
      </c>
      <c r="KZ23" s="25">
        <v>0</v>
      </c>
      <c r="LA23" s="25">
        <v>0</v>
      </c>
      <c r="LB23" s="25">
        <v>0</v>
      </c>
      <c r="LC23" s="25">
        <v>0</v>
      </c>
      <c r="LD23" s="25">
        <v>0</v>
      </c>
      <c r="LE23" s="25">
        <v>0</v>
      </c>
      <c r="LF23" s="25">
        <v>0</v>
      </c>
      <c r="LG23" s="25">
        <v>0</v>
      </c>
      <c r="LH23" s="25">
        <v>0</v>
      </c>
      <c r="LI23" s="25">
        <v>0</v>
      </c>
      <c r="LJ23" s="25">
        <v>0</v>
      </c>
      <c r="LK23" s="25">
        <v>0</v>
      </c>
      <c r="LL23" s="25">
        <v>0</v>
      </c>
      <c r="LM23" s="25">
        <v>0</v>
      </c>
      <c r="LN23" s="278">
        <f ca="1">$A23 - DeathsTimeS!Sweden100dt + 1</f>
        <v>-44</v>
      </c>
      <c r="LO23" s="366">
        <f ca="1">INDEX(OFFSET(DeathsTimeS!HeadRow,ROW()-ROW(DeathsTimeS!HeadRow),0,1,COLUMNS(DeathsTimeS!HeadRow)),1,MATCH(LO$5,DeathsTimeS!HeadRow,0))/LO$8</f>
        <v>0</v>
      </c>
      <c r="LP23" s="278">
        <f ca="1">$A23 - DeathsTimeS!Spain100dt</f>
        <v>-37</v>
      </c>
      <c r="LQ23" s="11">
        <f ca="1">INDEX(OFFSET(DeathsTimeS!HeadRow,ROW()-ROW(DeathsTimeS!HeadRow),0,1,COLUMNS(DeathsTimeS!HeadRow)),1,MATCH(LQ$5,DeathsTimeS!HeadRow,0))/LQ$8</f>
        <v>0</v>
      </c>
      <c r="LR23" s="278">
        <f ca="1">$A23 - DeathsTimeS!Victoria100dt</f>
        <v>-60</v>
      </c>
      <c r="LS23" s="11">
        <f ca="1">INDEX(OFFSET(DeathsTimeS!HeadRow,ROW()-ROW(DeathsTimeS!HeadRow),0,1,COLUMNS(DeathsTimeS!HeadRow)),1,MATCH(LS$5,DeathsTimeS!HeadRow,0))/LS$8</f>
        <v>0</v>
      </c>
      <c r="LT23" s="278">
        <f ca="1">$A23 - DeathsTimeS!Iran100dt</f>
        <v>-30</v>
      </c>
      <c r="LU23" s="11">
        <f ca="1">INDEX(OFFSET(DeathsTimeS!HeadRow,ROW()-ROW(DeathsTimeS!HeadRow),0,1,COLUMNS(DeathsTimeS!HeadRow)),1,MATCH(LU$5,DeathsTimeS!HeadRow,0))/LU$8</f>
        <v>0</v>
      </c>
      <c r="LV23" s="278">
        <f ca="1">$A23 - DeathsTimeS!Japan100dt</f>
        <v>-71</v>
      </c>
      <c r="LW23" s="11">
        <f ca="1">INDEX(OFFSET(DeathsTimeS!HeadRow,ROW()-ROW(DeathsTimeS!HeadRow),0,1,COLUMNS(DeathsTimeS!HeadRow)),1,MATCH(LW$5,DeathsTimeS!HeadRow,0))/LW$8</f>
        <v>0</v>
      </c>
      <c r="LX23" s="278">
        <f ca="1">$A23 - DeathsTimeS!Queensland100dt</f>
        <v>-75</v>
      </c>
      <c r="LY23" s="11">
        <f ca="1">INDEX(OFFSET(DeathsTimeS!HeadRow,ROW()-ROW(DeathsTimeS!HeadRow),0,1,COLUMNS(DeathsTimeS!HeadRow)),1,MATCH(LY$5,DeathsTimeS!HeadRow,0))/LY$8</f>
        <v>0</v>
      </c>
      <c r="LZ23" s="278">
        <f ca="1">$A23 - DeathsTimeS!Tasmania100dt</f>
        <v>-57</v>
      </c>
      <c r="MA23" s="11">
        <f ca="1">INDEX(OFFSET(DeathsTimeS!HeadRow,ROW()-ROW(DeathsTimeS!HeadRow),0,1,COLUMNS(DeathsTimeS!HeadRow)),1,MATCH(MA$5,DeathsTimeS!HeadRow,0))/MA$8</f>
        <v>0</v>
      </c>
      <c r="MB23" s="278">
        <f ca="1">$A23 - DeathsTimeS!SouthAustralia100dt</f>
        <v>-65</v>
      </c>
      <c r="MC23" s="11">
        <f ca="1">INDEX(OFFSET(DeathsTimeS!HeadRow,ROW()-ROW(DeathsTimeS!HeadRow),0,1,COLUMNS(DeathsTimeS!HeadRow)),1,MATCH(MC$5,DeathsTimeS!HeadRow,0))/MC$8</f>
        <v>0</v>
      </c>
      <c r="MD23" s="278">
        <f ca="1">$A23 - DeathsTimeS!WesternAustralia100dt</f>
        <v>-62</v>
      </c>
      <c r="ME23" s="11">
        <f ca="1">INDEX(OFFSET(DeathsTimeS!HeadRow,ROW()-ROW(DeathsTimeS!HeadRow),0,1,COLUMNS(DeathsTimeS!HeadRow)),1,MATCH(ME$5,DeathsTimeS!HeadRow,0))/ME$8</f>
        <v>0</v>
      </c>
      <c r="MF23" s="278">
        <f ca="1">$A23 - DeathsTimeS!NewSouthWales100dt</f>
        <v>-58</v>
      </c>
      <c r="MG23" s="11">
        <f ca="1">INDEX(OFFSET(DeathsTimeS!HeadRow,ROW()-ROW(DeathsTimeS!HeadRow),0,1,COLUMNS(DeathsTimeS!HeadRow)),1,MATCH(MG$5,DeathsTimeS!HeadRow,0))/MG$8</f>
        <v>0</v>
      </c>
      <c r="MH23" s="278">
        <f ca="1">$A23 - DeathsTimeS!NewYork100dt</f>
        <v>-42</v>
      </c>
      <c r="MI23" s="11">
        <f ca="1">INDEX(OFFSET(DeathsTimeS!HeadRow,ROW()-ROW(DeathsTimeS!HeadRow),0,1,COLUMNS(DeathsTimeS!HeadRow)),1,MATCH(MI$5,DeathsTimeS!HeadRow,0))/MI$8</f>
        <v>0</v>
      </c>
      <c r="MJ23" s="278">
        <f ca="1">$A23 - DeathsTimeS!Italy100dt</f>
        <v>-29</v>
      </c>
      <c r="MK23" s="11">
        <f ca="1">INDEX(OFFSET(DeathsTimeS!HeadRow,ROW()-ROW(DeathsTimeS!HeadRow),0,1,COLUMNS(DeathsTimeS!HeadRow)),1,MATCH(MK$5,DeathsTimeS!HeadRow,0))/MK$8</f>
        <v>0</v>
      </c>
      <c r="ML23" s="278">
        <f ca="1">$A23 - DeathsTimeS!AustralianCapitalTerritory100dt</f>
        <v>-56</v>
      </c>
      <c r="MM23" s="11">
        <f ca="1">INDEX(OFFSET(DeathsTimeS!HeadRow,ROW()-ROW(DeathsTimeS!HeadRow),0,1,COLUMNS(DeathsTimeS!HeadRow)),1,MATCH(MM$5,DeathsTimeS!HeadRow,0))/MM$8</f>
        <v>0</v>
      </c>
      <c r="MN23" s="278">
        <f ca="1">IF(DeathsTimeS!NorthernTerritory100dt&gt;0,$A23 - DeathsTimeS!NorthernTerritory100dt,"")</f>
        <v>-84</v>
      </c>
      <c r="MO23" s="11">
        <f ca="1">INDEX(OFFSET(DeathsTimeS!HeadRow,ROW()-ROW(DeathsTimeS!HeadRow),0,1,COLUMNS(DeathsTimeS!HeadRow)),1,MATCH(MO$5,DeathsTimeS!HeadRow,0))/MO$8</f>
        <v>0</v>
      </c>
      <c r="MP23" s="278">
        <f ca="1">$A23 - DeathsTimeS!SouthAfrica100dt + 1</f>
        <v>-76</v>
      </c>
      <c r="MQ23" s="20">
        <f ca="1">INDEX(OFFSET(DeathsTimeS!HeadRow,ROW()-ROW(DeathsTimeS!HeadRow),0,1,COLUMNS(DeathsTimeS!HeadRow)),1,MATCH(MQ$5,DeathsTimeS!HeadRow,0))/MQ$8</f>
        <v>0</v>
      </c>
      <c r="MR23" s="278">
        <f ca="1">$A23 - DeathsTimeS!Germany100dt + 1</f>
        <v>-46</v>
      </c>
      <c r="MS23" s="20">
        <f ca="1">INDEX(OFFSET(DeathsTimeS!HeadRow,ROW()-ROW(DeathsTimeS!HeadRow),0,1,COLUMNS(DeathsTimeS!HeadRow)),1,MATCH(MS$5,DeathsTimeS!HeadRow,0))/MS$8</f>
        <v>0</v>
      </c>
      <c r="MT23" s="278">
        <f ca="1">$A23 - DeathsTimeS!Ireland100dt + 1</f>
        <v>-48</v>
      </c>
      <c r="MU23" s="73">
        <f ca="1">INDEX(OFFSET(DeathsTimeS!HeadRow,ROW()-ROW(DeathsTimeS!HeadRow),0,1,COLUMNS(DeathsTimeS!HeadRow)),1,MATCH(MU$5,DeathsTimeS!HeadRow,0))/MU$8</f>
        <v>0</v>
      </c>
      <c r="MV23" s="278">
        <f ca="1">$A23 - DeathsTimeS!UnitedKingdom100dt + 1</f>
        <v>-42</v>
      </c>
      <c r="MW23" s="73">
        <f ca="1">INDEX(OFFSET(DeathsTimeS!HeadRow,ROW()-ROW(DeathsTimeS!HeadRow),0,1,COLUMNS(DeathsTimeS!HeadRow)),1,MATCH(MW$5,DeathsTimeS!HeadRow,0))/MW$8</f>
        <v>0</v>
      </c>
      <c r="MX23" s="278">
        <f ca="1">$A23 - DeathsTimeS!Denmark100dt + 1</f>
        <v>-44</v>
      </c>
      <c r="MY23" s="73">
        <f ca="1">INDEX(OFFSET(DeathsTimeS!HeadRow,ROW()-ROW(DeathsTimeS!HeadRow),0,1,COLUMNS(DeathsTimeS!HeadRow)),1,MATCH(MY$5,DeathsTimeS!HeadRow,0))/MY$8</f>
        <v>0</v>
      </c>
      <c r="MZ23" s="278">
        <f ca="1">$A23 - DeathsTimeS!US100dt + 1</f>
        <v>-45</v>
      </c>
      <c r="NA23" s="73">
        <f ca="1">INDEX(OFFSET(DeathsTimeS!HeadRow,ROW()-ROW(DeathsTimeS!HeadRow),0,1,COLUMNS(DeathsTimeS!HeadRow)),1,MATCH(NA$5,DeathsTimeS!HeadRow,0))/NA$8</f>
        <v>0</v>
      </c>
      <c r="NB23" s="278">
        <f ca="1">$A23 - DeathsTimeS!AustraliaSum100dt + 1</f>
        <v>-51</v>
      </c>
      <c r="NC23" s="366">
        <f t="shared" si="6"/>
        <v>0</v>
      </c>
      <c r="ND23" s="278">
        <f ca="1">$A23 - DeathsTimeS!Taiwan100dt + 1</f>
        <v>-83</v>
      </c>
      <c r="NE23" s="366">
        <f ca="1">INDEX(OFFSET(DeathsTimeS!HeadRow,ROW()-ROW(DeathsTimeS!HeadRow),0,1,COLUMNS(DeathsTimeS!HeadRow)),1,MATCH(NE$5,DeathsTimeS!HeadRow,0))/NE$8</f>
        <v>0</v>
      </c>
      <c r="NF23" s="278">
        <f ca="1">$A23 - DeathsTimeS!Hubei100dt + 1</f>
        <v>8</v>
      </c>
      <c r="NG23" s="366">
        <f ca="1">INDEX(OFFSET(DeathsTimeS!HeadRow,ROW()-ROW(DeathsTimeS!HeadRow),0,1,COLUMNS(DeathsTimeS!HeadRow)),1,MATCH(NG$5,DeathsTimeS!HeadRow,0))/NG$8</f>
        <v>70.769230769230774</v>
      </c>
      <c r="NH23" s="278">
        <f ca="1">$A23 - DeathsTimeS!HongKong100dt + 1</f>
        <v>-83</v>
      </c>
      <c r="NI23" s="366">
        <f ca="1">INDEX(OFFSET(DeathsTimeS!HeadRow,ROW()-ROW(DeathsTimeS!HeadRow),0,1,COLUMNS(DeathsTimeS!HeadRow)),1,MATCH(NI$5,DeathsTimeS!HeadRow,0))/NI$8</f>
        <v>0</v>
      </c>
    </row>
    <row r="24" spans="1:373" x14ac:dyDescent="0.25">
      <c r="A24" s="156">
        <v>43865</v>
      </c>
      <c r="B24" s="25">
        <v>0</v>
      </c>
      <c r="C24" s="25">
        <v>0</v>
      </c>
      <c r="D24" s="25">
        <v>0</v>
      </c>
      <c r="E24" s="25">
        <v>0</v>
      </c>
      <c r="F24" s="25">
        <v>0</v>
      </c>
      <c r="G24" s="25">
        <v>0</v>
      </c>
      <c r="H24" s="25">
        <v>0</v>
      </c>
      <c r="I24" s="25">
        <v>0</v>
      </c>
      <c r="J24" s="25">
        <v>0</v>
      </c>
      <c r="K24" s="25">
        <v>0</v>
      </c>
      <c r="L24" s="25">
        <v>0</v>
      </c>
      <c r="M24" s="25">
        <v>0</v>
      </c>
      <c r="N24" s="25">
        <v>0</v>
      </c>
      <c r="O24" s="25">
        <v>0</v>
      </c>
      <c r="P24" s="25">
        <v>0</v>
      </c>
      <c r="Q24" s="25">
        <v>0</v>
      </c>
      <c r="R24" s="25">
        <v>0</v>
      </c>
      <c r="S24" s="25">
        <v>0</v>
      </c>
      <c r="T24" s="25">
        <v>0</v>
      </c>
      <c r="U24" s="25">
        <v>0</v>
      </c>
      <c r="V24" s="25">
        <v>0</v>
      </c>
      <c r="W24" s="25">
        <v>0</v>
      </c>
      <c r="X24" s="25">
        <v>0</v>
      </c>
      <c r="Y24" s="25">
        <v>0</v>
      </c>
      <c r="Z24" s="25">
        <v>0</v>
      </c>
      <c r="AA24" s="25">
        <v>0</v>
      </c>
      <c r="AB24" s="25">
        <v>0</v>
      </c>
      <c r="AC24" s="25">
        <v>0</v>
      </c>
      <c r="AD24" s="25">
        <v>0</v>
      </c>
      <c r="AE24" s="25">
        <v>0</v>
      </c>
      <c r="AF24" s="25">
        <v>0</v>
      </c>
      <c r="AG24" s="25">
        <v>0</v>
      </c>
      <c r="AH24" s="25">
        <v>0</v>
      </c>
      <c r="AI24" s="25">
        <v>0</v>
      </c>
      <c r="AJ24" s="25">
        <v>0</v>
      </c>
      <c r="AK24" s="25">
        <v>0</v>
      </c>
      <c r="AL24" s="25">
        <v>0</v>
      </c>
      <c r="AM24" s="25">
        <v>0</v>
      </c>
      <c r="AN24" s="25">
        <v>0</v>
      </c>
      <c r="AO24" s="25">
        <v>0</v>
      </c>
      <c r="AP24" s="25">
        <v>0</v>
      </c>
      <c r="AQ24" s="25">
        <v>0</v>
      </c>
      <c r="AR24" s="25">
        <v>0</v>
      </c>
      <c r="AS24" s="25">
        <v>0</v>
      </c>
      <c r="AT24" s="25">
        <v>0</v>
      </c>
      <c r="AU24" s="25">
        <v>0</v>
      </c>
      <c r="AV24" s="25">
        <v>0</v>
      </c>
      <c r="AW24" s="25">
        <v>0</v>
      </c>
      <c r="AX24" s="25">
        <v>0</v>
      </c>
      <c r="AY24" s="25">
        <v>0</v>
      </c>
      <c r="AZ24" s="25">
        <v>1</v>
      </c>
      <c r="BA24" s="25">
        <v>2</v>
      </c>
      <c r="BB24" s="25">
        <v>0</v>
      </c>
      <c r="BC24" s="25">
        <v>0</v>
      </c>
      <c r="BD24" s="25">
        <v>0</v>
      </c>
      <c r="BE24" s="25">
        <v>0</v>
      </c>
      <c r="BF24" s="25">
        <v>0</v>
      </c>
      <c r="BG24" s="25">
        <v>1</v>
      </c>
      <c r="BH24" s="25">
        <v>1</v>
      </c>
      <c r="BI24" s="25">
        <v>2</v>
      </c>
      <c r="BJ24" s="25">
        <v>2</v>
      </c>
      <c r="BK24" s="25">
        <v>1</v>
      </c>
      <c r="BL24" s="25">
        <v>479</v>
      </c>
      <c r="BM24" s="25">
        <v>0</v>
      </c>
      <c r="BN24" s="25">
        <v>0</v>
      </c>
      <c r="BO24" s="25">
        <v>0</v>
      </c>
      <c r="BP24" s="25">
        <v>0</v>
      </c>
      <c r="BQ24" s="25">
        <v>0</v>
      </c>
      <c r="BR24" s="25">
        <v>0</v>
      </c>
      <c r="BS24" s="25">
        <v>0</v>
      </c>
      <c r="BT24" s="25">
        <v>0</v>
      </c>
      <c r="BU24" s="25">
        <v>0</v>
      </c>
      <c r="BV24" s="25">
        <v>0</v>
      </c>
      <c r="BW24" s="25">
        <v>0</v>
      </c>
      <c r="BX24" s="25">
        <v>1</v>
      </c>
      <c r="BY24" s="25">
        <v>0</v>
      </c>
      <c r="BZ24" s="25">
        <v>1</v>
      </c>
      <c r="CA24" s="25">
        <v>0</v>
      </c>
      <c r="CB24" s="25">
        <v>0</v>
      </c>
      <c r="CC24" s="25">
        <v>0</v>
      </c>
      <c r="CD24" s="25">
        <v>0</v>
      </c>
      <c r="CE24" s="25">
        <v>0</v>
      </c>
      <c r="CF24" s="25">
        <v>0</v>
      </c>
      <c r="CG24" s="25">
        <v>0</v>
      </c>
      <c r="CH24" s="25">
        <v>0</v>
      </c>
      <c r="CI24" s="25">
        <v>0</v>
      </c>
      <c r="CJ24" s="25">
        <v>0</v>
      </c>
      <c r="CK24" s="25">
        <v>0</v>
      </c>
      <c r="CL24" s="25">
        <v>0</v>
      </c>
      <c r="CM24" s="25">
        <v>0</v>
      </c>
      <c r="CN24" s="25">
        <v>0</v>
      </c>
      <c r="CO24" s="25">
        <v>0</v>
      </c>
      <c r="CP24" s="25">
        <v>0</v>
      </c>
      <c r="CQ24" s="25">
        <v>0</v>
      </c>
      <c r="CR24" s="25">
        <v>0</v>
      </c>
      <c r="CS24" s="25">
        <v>0</v>
      </c>
      <c r="CT24" s="25">
        <v>0</v>
      </c>
      <c r="CU24" s="25">
        <v>0</v>
      </c>
      <c r="CV24" s="25">
        <v>0</v>
      </c>
      <c r="CW24" s="25">
        <v>0</v>
      </c>
      <c r="CX24" s="25">
        <v>0</v>
      </c>
      <c r="CY24" s="25">
        <v>0</v>
      </c>
      <c r="CZ24" s="25">
        <v>0</v>
      </c>
      <c r="DA24" s="25">
        <v>0</v>
      </c>
      <c r="DB24" s="25">
        <v>0</v>
      </c>
      <c r="DC24" s="25">
        <v>0</v>
      </c>
      <c r="DD24" s="25">
        <v>0</v>
      </c>
      <c r="DE24" s="25">
        <v>0</v>
      </c>
      <c r="DF24" s="25">
        <v>0</v>
      </c>
      <c r="DG24" s="25">
        <v>0</v>
      </c>
      <c r="DH24" s="25">
        <v>0</v>
      </c>
      <c r="DI24" s="25">
        <v>0</v>
      </c>
      <c r="DJ24" s="25">
        <v>0</v>
      </c>
      <c r="DK24" s="25">
        <v>0</v>
      </c>
      <c r="DL24" s="25">
        <v>0</v>
      </c>
      <c r="DM24" s="25">
        <v>0</v>
      </c>
      <c r="DN24" s="25">
        <v>0</v>
      </c>
      <c r="DO24" s="25">
        <v>0</v>
      </c>
      <c r="DP24" s="25">
        <v>0</v>
      </c>
      <c r="DQ24" s="25">
        <v>0</v>
      </c>
      <c r="DR24" s="25">
        <v>0</v>
      </c>
      <c r="DS24" s="25">
        <v>0</v>
      </c>
      <c r="DT24" s="25">
        <v>0</v>
      </c>
      <c r="DU24" s="25">
        <v>0</v>
      </c>
      <c r="DV24" s="25">
        <v>0</v>
      </c>
      <c r="DW24" s="25">
        <v>0</v>
      </c>
      <c r="DX24" s="25">
        <v>0</v>
      </c>
      <c r="DY24" s="25">
        <v>0</v>
      </c>
      <c r="DZ24" s="25">
        <v>0</v>
      </c>
      <c r="EA24" s="25">
        <v>0</v>
      </c>
      <c r="EB24" s="25">
        <v>0</v>
      </c>
      <c r="EC24" s="25">
        <v>0</v>
      </c>
      <c r="ED24" s="25">
        <v>0</v>
      </c>
      <c r="EE24" s="25">
        <v>0</v>
      </c>
      <c r="EF24" s="25">
        <v>0</v>
      </c>
      <c r="EG24" s="25">
        <v>0</v>
      </c>
      <c r="EH24" s="25">
        <v>0</v>
      </c>
      <c r="EI24" s="25">
        <v>0</v>
      </c>
      <c r="EJ24" s="25">
        <v>0</v>
      </c>
      <c r="EK24" s="25">
        <v>0</v>
      </c>
      <c r="EL24" s="25">
        <v>0</v>
      </c>
      <c r="EM24" s="25">
        <v>0</v>
      </c>
      <c r="EN24" s="25">
        <v>0</v>
      </c>
      <c r="EO24" s="25">
        <v>0</v>
      </c>
      <c r="EP24" s="25">
        <v>0</v>
      </c>
      <c r="EQ24" s="25">
        <v>0</v>
      </c>
      <c r="ER24" s="25">
        <v>0</v>
      </c>
      <c r="ES24" s="25">
        <v>0</v>
      </c>
      <c r="ET24" s="25">
        <v>0</v>
      </c>
      <c r="EU24" s="25">
        <v>0</v>
      </c>
      <c r="EV24" s="25">
        <v>0</v>
      </c>
      <c r="EW24" s="25">
        <v>0</v>
      </c>
      <c r="EX24" s="25">
        <v>0</v>
      </c>
      <c r="EY24" s="25">
        <v>0</v>
      </c>
      <c r="EZ24" s="25">
        <v>0</v>
      </c>
      <c r="FA24" s="25">
        <v>0</v>
      </c>
      <c r="FB24" s="25">
        <v>0</v>
      </c>
      <c r="FC24" s="25">
        <v>0</v>
      </c>
      <c r="FD24" s="25">
        <v>0</v>
      </c>
      <c r="FE24" s="25">
        <v>0</v>
      </c>
      <c r="FF24" s="25">
        <v>0</v>
      </c>
      <c r="FG24" s="25">
        <v>0</v>
      </c>
      <c r="FH24" s="25">
        <v>0</v>
      </c>
      <c r="FI24" s="25">
        <v>0</v>
      </c>
      <c r="FJ24" s="25">
        <v>0</v>
      </c>
      <c r="FK24" s="25">
        <v>0</v>
      </c>
      <c r="FL24" s="25">
        <v>0</v>
      </c>
      <c r="FM24" s="25">
        <v>0</v>
      </c>
      <c r="FN24" s="25">
        <v>0</v>
      </c>
      <c r="FO24" s="25">
        <v>0</v>
      </c>
      <c r="FP24" s="25">
        <v>0</v>
      </c>
      <c r="FQ24" s="25">
        <v>0</v>
      </c>
      <c r="FR24" s="25">
        <v>0</v>
      </c>
      <c r="FS24" s="25">
        <v>0</v>
      </c>
      <c r="FT24" s="25">
        <v>0</v>
      </c>
      <c r="FU24" s="25">
        <v>0</v>
      </c>
      <c r="FV24" s="25">
        <v>0</v>
      </c>
      <c r="FW24" s="25">
        <v>0</v>
      </c>
      <c r="FX24" s="25">
        <v>0</v>
      </c>
      <c r="FY24" s="25">
        <v>0</v>
      </c>
      <c r="FZ24" s="25">
        <v>0</v>
      </c>
      <c r="GA24" s="25">
        <v>0</v>
      </c>
      <c r="GB24" s="25">
        <v>1</v>
      </c>
      <c r="GC24" s="25">
        <v>0</v>
      </c>
      <c r="GD24" s="25">
        <v>0</v>
      </c>
      <c r="GE24" s="25">
        <v>0</v>
      </c>
      <c r="GF24" s="25">
        <v>0</v>
      </c>
      <c r="GG24" s="25">
        <v>0</v>
      </c>
      <c r="GH24" s="25">
        <v>0</v>
      </c>
      <c r="GI24" s="25">
        <v>0</v>
      </c>
      <c r="GJ24" s="25">
        <v>0</v>
      </c>
      <c r="GK24" s="25">
        <v>0</v>
      </c>
      <c r="GL24" s="25">
        <v>0</v>
      </c>
      <c r="GM24" s="25">
        <v>0</v>
      </c>
      <c r="GN24" s="25">
        <v>0</v>
      </c>
      <c r="GO24" s="25">
        <v>0</v>
      </c>
      <c r="GP24" s="25">
        <v>0</v>
      </c>
      <c r="GQ24" s="25">
        <v>0</v>
      </c>
      <c r="GR24" s="25">
        <v>0</v>
      </c>
      <c r="GS24" s="25">
        <v>0</v>
      </c>
      <c r="GT24" s="25">
        <v>0</v>
      </c>
      <c r="GU24" s="25">
        <v>0</v>
      </c>
      <c r="GV24" s="25">
        <v>0</v>
      </c>
      <c r="GW24" s="25">
        <v>0</v>
      </c>
      <c r="GX24" s="25">
        <v>0</v>
      </c>
      <c r="GY24" s="46">
        <v>0</v>
      </c>
      <c r="GZ24" s="25">
        <v>0</v>
      </c>
      <c r="HA24" s="25">
        <v>0</v>
      </c>
      <c r="HB24" s="25">
        <v>0</v>
      </c>
      <c r="HC24" s="25">
        <v>0</v>
      </c>
      <c r="HD24" s="25">
        <v>0</v>
      </c>
      <c r="HE24" s="25">
        <v>0</v>
      </c>
      <c r="HF24" s="25">
        <v>0</v>
      </c>
      <c r="HG24" s="25">
        <v>0</v>
      </c>
      <c r="HH24" s="25">
        <v>0</v>
      </c>
      <c r="HI24" s="25">
        <v>0</v>
      </c>
      <c r="HJ24" s="25">
        <v>0</v>
      </c>
      <c r="HK24" s="25">
        <v>0</v>
      </c>
      <c r="HL24" s="25">
        <v>0</v>
      </c>
      <c r="HM24" s="25">
        <v>0</v>
      </c>
      <c r="HN24" s="25">
        <v>0</v>
      </c>
      <c r="HO24" s="25">
        <v>0</v>
      </c>
      <c r="HP24" s="25">
        <v>0</v>
      </c>
      <c r="HQ24" s="25">
        <v>0</v>
      </c>
      <c r="HR24" s="25">
        <v>0</v>
      </c>
      <c r="HS24" s="25">
        <v>0</v>
      </c>
      <c r="HT24" s="25">
        <v>0</v>
      </c>
      <c r="HU24" s="25">
        <v>0</v>
      </c>
      <c r="HV24" s="25">
        <v>0</v>
      </c>
      <c r="HW24" s="25">
        <v>0</v>
      </c>
      <c r="HX24" s="25">
        <v>0</v>
      </c>
      <c r="HY24" s="25">
        <v>0</v>
      </c>
      <c r="HZ24" s="25">
        <v>0</v>
      </c>
      <c r="IA24" s="25">
        <v>0</v>
      </c>
      <c r="IB24" s="25">
        <v>0</v>
      </c>
      <c r="IC24" s="25">
        <v>0</v>
      </c>
      <c r="ID24" s="25">
        <v>0</v>
      </c>
      <c r="IE24" s="25">
        <v>0</v>
      </c>
      <c r="IF24" s="25">
        <v>0</v>
      </c>
      <c r="IG24" s="25">
        <v>0</v>
      </c>
      <c r="IH24" s="25">
        <v>0</v>
      </c>
      <c r="II24" s="25">
        <v>0</v>
      </c>
      <c r="IJ24" s="25">
        <v>0</v>
      </c>
      <c r="IK24" s="25">
        <v>0</v>
      </c>
      <c r="IL24" s="25">
        <v>0</v>
      </c>
      <c r="IM24" s="25">
        <v>0</v>
      </c>
      <c r="IN24" s="25">
        <v>0</v>
      </c>
      <c r="IO24" s="25">
        <v>0</v>
      </c>
      <c r="IP24" s="25">
        <v>0</v>
      </c>
      <c r="IQ24" s="25">
        <v>0</v>
      </c>
      <c r="IR24" s="25">
        <v>0</v>
      </c>
      <c r="IS24" s="25">
        <v>0</v>
      </c>
      <c r="IT24" s="25">
        <v>0</v>
      </c>
      <c r="IU24" s="25">
        <v>0</v>
      </c>
      <c r="IV24" s="25">
        <v>0</v>
      </c>
      <c r="IW24" s="25">
        <v>0</v>
      </c>
      <c r="IX24" s="25">
        <v>0</v>
      </c>
      <c r="IY24" s="25">
        <v>0</v>
      </c>
      <c r="IZ24" s="25">
        <v>0</v>
      </c>
      <c r="JA24" s="25">
        <v>0</v>
      </c>
      <c r="JB24" s="25">
        <v>0</v>
      </c>
      <c r="JC24" s="25">
        <v>0</v>
      </c>
      <c r="JD24" s="25">
        <v>0</v>
      </c>
      <c r="JE24" s="25">
        <v>0</v>
      </c>
      <c r="JF24" s="25">
        <v>0</v>
      </c>
      <c r="JG24" s="25">
        <v>0</v>
      </c>
      <c r="JH24" s="25">
        <v>0</v>
      </c>
      <c r="JI24" s="25">
        <v>0</v>
      </c>
      <c r="JJ24" s="25">
        <v>0</v>
      </c>
      <c r="JK24" s="25">
        <v>0</v>
      </c>
      <c r="JL24" s="25">
        <v>0</v>
      </c>
      <c r="JM24" s="25">
        <v>0</v>
      </c>
      <c r="JN24" s="25">
        <v>0</v>
      </c>
      <c r="JO24" s="25">
        <v>0</v>
      </c>
      <c r="JP24" s="25">
        <v>0</v>
      </c>
      <c r="JQ24" s="25">
        <v>0</v>
      </c>
      <c r="JR24" s="25">
        <v>0</v>
      </c>
      <c r="JS24" s="25">
        <v>0</v>
      </c>
      <c r="JT24" s="25">
        <v>0</v>
      </c>
      <c r="JU24" s="25">
        <v>0</v>
      </c>
      <c r="JV24" s="25">
        <v>0</v>
      </c>
      <c r="JW24" s="25">
        <v>0</v>
      </c>
      <c r="JX24" s="25">
        <v>0</v>
      </c>
      <c r="JY24" s="25">
        <v>0</v>
      </c>
      <c r="JZ24" s="25">
        <v>0</v>
      </c>
      <c r="KA24" s="25">
        <v>0</v>
      </c>
      <c r="KB24" s="25">
        <v>0</v>
      </c>
      <c r="KC24" s="25">
        <v>0</v>
      </c>
      <c r="KD24" s="25">
        <v>0</v>
      </c>
      <c r="KE24" s="25">
        <v>0</v>
      </c>
      <c r="KF24" s="25">
        <v>0</v>
      </c>
      <c r="KG24" s="25">
        <v>0</v>
      </c>
      <c r="KH24" s="25">
        <v>0</v>
      </c>
      <c r="KI24" s="25">
        <v>0</v>
      </c>
      <c r="KJ24" s="25">
        <v>0</v>
      </c>
      <c r="KK24" s="25">
        <v>0</v>
      </c>
      <c r="KL24" s="25">
        <v>0</v>
      </c>
      <c r="KM24" s="25">
        <v>0</v>
      </c>
      <c r="KN24" s="25">
        <v>0</v>
      </c>
      <c r="KO24" s="25">
        <v>0</v>
      </c>
      <c r="KP24" s="25">
        <v>0</v>
      </c>
      <c r="KQ24" s="25">
        <v>0</v>
      </c>
      <c r="KR24" s="25">
        <v>0</v>
      </c>
      <c r="KS24" s="25">
        <v>0</v>
      </c>
      <c r="KT24" s="25">
        <v>0</v>
      </c>
      <c r="KU24" s="25">
        <v>0</v>
      </c>
      <c r="KV24" s="25">
        <v>0</v>
      </c>
      <c r="KW24" s="25">
        <v>0</v>
      </c>
      <c r="KX24" s="25">
        <v>0</v>
      </c>
      <c r="KY24" s="25">
        <v>0</v>
      </c>
      <c r="KZ24" s="25">
        <v>0</v>
      </c>
      <c r="LA24" s="25">
        <v>0</v>
      </c>
      <c r="LB24" s="25">
        <v>0</v>
      </c>
      <c r="LC24" s="25">
        <v>0</v>
      </c>
      <c r="LD24" s="25">
        <v>0</v>
      </c>
      <c r="LE24" s="25">
        <v>0</v>
      </c>
      <c r="LF24" s="25">
        <v>0</v>
      </c>
      <c r="LG24" s="25">
        <v>0</v>
      </c>
      <c r="LH24" s="25">
        <v>0</v>
      </c>
      <c r="LI24" s="25">
        <v>0</v>
      </c>
      <c r="LJ24" s="25">
        <v>0</v>
      </c>
      <c r="LK24" s="25">
        <v>0</v>
      </c>
      <c r="LL24" s="25">
        <v>0</v>
      </c>
      <c r="LM24" s="25">
        <v>0</v>
      </c>
      <c r="LN24" s="278">
        <f ca="1">$A24 - DeathsTimeS!Sweden100dt + 1</f>
        <v>-43</v>
      </c>
      <c r="LO24" s="366">
        <f ca="1">INDEX(OFFSET(DeathsTimeS!HeadRow,ROW()-ROW(DeathsTimeS!HeadRow),0,1,COLUMNS(DeathsTimeS!HeadRow)),1,MATCH(LO$5,DeathsTimeS!HeadRow,0))/LO$8</f>
        <v>0</v>
      </c>
      <c r="LP24" s="278">
        <f ca="1">$A24 - DeathsTimeS!Spain100dt</f>
        <v>-36</v>
      </c>
      <c r="LQ24" s="11">
        <f ca="1">INDEX(OFFSET(DeathsTimeS!HeadRow,ROW()-ROW(DeathsTimeS!HeadRow),0,1,COLUMNS(DeathsTimeS!HeadRow)),1,MATCH(LQ$5,DeathsTimeS!HeadRow,0))/LQ$8</f>
        <v>0</v>
      </c>
      <c r="LR24" s="278">
        <f ca="1">$A24 - DeathsTimeS!Victoria100dt</f>
        <v>-59</v>
      </c>
      <c r="LS24" s="11">
        <f ca="1">INDEX(OFFSET(DeathsTimeS!HeadRow,ROW()-ROW(DeathsTimeS!HeadRow),0,1,COLUMNS(DeathsTimeS!HeadRow)),1,MATCH(LS$5,DeathsTimeS!HeadRow,0))/LS$8</f>
        <v>0</v>
      </c>
      <c r="LT24" s="278">
        <f ca="1">$A24 - DeathsTimeS!Iran100dt</f>
        <v>-29</v>
      </c>
      <c r="LU24" s="11">
        <f ca="1">INDEX(OFFSET(DeathsTimeS!HeadRow,ROW()-ROW(DeathsTimeS!HeadRow),0,1,COLUMNS(DeathsTimeS!HeadRow)),1,MATCH(LU$5,DeathsTimeS!HeadRow,0))/LU$8</f>
        <v>0</v>
      </c>
      <c r="LV24" s="278">
        <f ca="1">$A24 - DeathsTimeS!Japan100dt</f>
        <v>-70</v>
      </c>
      <c r="LW24" s="11">
        <f ca="1">INDEX(OFFSET(DeathsTimeS!HeadRow,ROW()-ROW(DeathsTimeS!HeadRow),0,1,COLUMNS(DeathsTimeS!HeadRow)),1,MATCH(LW$5,DeathsTimeS!HeadRow,0))/LW$8</f>
        <v>0</v>
      </c>
      <c r="LX24" s="278">
        <f ca="1">$A24 - DeathsTimeS!Queensland100dt</f>
        <v>-74</v>
      </c>
      <c r="LY24" s="11">
        <f ca="1">INDEX(OFFSET(DeathsTimeS!HeadRow,ROW()-ROW(DeathsTimeS!HeadRow),0,1,COLUMNS(DeathsTimeS!HeadRow)),1,MATCH(LY$5,DeathsTimeS!HeadRow,0))/LY$8</f>
        <v>0</v>
      </c>
      <c r="LZ24" s="278">
        <f ca="1">$A24 - DeathsTimeS!Tasmania100dt</f>
        <v>-56</v>
      </c>
      <c r="MA24" s="11">
        <f ca="1">INDEX(OFFSET(DeathsTimeS!HeadRow,ROW()-ROW(DeathsTimeS!HeadRow),0,1,COLUMNS(DeathsTimeS!HeadRow)),1,MATCH(MA$5,DeathsTimeS!HeadRow,0))/MA$8</f>
        <v>0</v>
      </c>
      <c r="MB24" s="278">
        <f ca="1">$A24 - DeathsTimeS!SouthAustralia100dt</f>
        <v>-64</v>
      </c>
      <c r="MC24" s="11">
        <f ca="1">INDEX(OFFSET(DeathsTimeS!HeadRow,ROW()-ROW(DeathsTimeS!HeadRow),0,1,COLUMNS(DeathsTimeS!HeadRow)),1,MATCH(MC$5,DeathsTimeS!HeadRow,0))/MC$8</f>
        <v>0</v>
      </c>
      <c r="MD24" s="278">
        <f ca="1">$A24 - DeathsTimeS!WesternAustralia100dt</f>
        <v>-61</v>
      </c>
      <c r="ME24" s="11">
        <f ca="1">INDEX(OFFSET(DeathsTimeS!HeadRow,ROW()-ROW(DeathsTimeS!HeadRow),0,1,COLUMNS(DeathsTimeS!HeadRow)),1,MATCH(ME$5,DeathsTimeS!HeadRow,0))/ME$8</f>
        <v>0</v>
      </c>
      <c r="MF24" s="278">
        <f ca="1">$A24 - DeathsTimeS!NewSouthWales100dt</f>
        <v>-57</v>
      </c>
      <c r="MG24" s="11">
        <f ca="1">INDEX(OFFSET(DeathsTimeS!HeadRow,ROW()-ROW(DeathsTimeS!HeadRow),0,1,COLUMNS(DeathsTimeS!HeadRow)),1,MATCH(MG$5,DeathsTimeS!HeadRow,0))/MG$8</f>
        <v>0</v>
      </c>
      <c r="MH24" s="278">
        <f ca="1">$A24 - DeathsTimeS!NewYork100dt</f>
        <v>-41</v>
      </c>
      <c r="MI24" s="11">
        <f ca="1">INDEX(OFFSET(DeathsTimeS!HeadRow,ROW()-ROW(DeathsTimeS!HeadRow),0,1,COLUMNS(DeathsTimeS!HeadRow)),1,MATCH(MI$5,DeathsTimeS!HeadRow,0))/MI$8</f>
        <v>0</v>
      </c>
      <c r="MJ24" s="278">
        <f ca="1">$A24 - DeathsTimeS!Italy100dt</f>
        <v>-28</v>
      </c>
      <c r="MK24" s="11">
        <f ca="1">INDEX(OFFSET(DeathsTimeS!HeadRow,ROW()-ROW(DeathsTimeS!HeadRow),0,1,COLUMNS(DeathsTimeS!HeadRow)),1,MATCH(MK$5,DeathsTimeS!HeadRow,0))/MK$8</f>
        <v>0</v>
      </c>
      <c r="ML24" s="278">
        <f ca="1">$A24 - DeathsTimeS!AustralianCapitalTerritory100dt</f>
        <v>-55</v>
      </c>
      <c r="MM24" s="11">
        <f ca="1">INDEX(OFFSET(DeathsTimeS!HeadRow,ROW()-ROW(DeathsTimeS!HeadRow),0,1,COLUMNS(DeathsTimeS!HeadRow)),1,MATCH(MM$5,DeathsTimeS!HeadRow,0))/MM$8</f>
        <v>0</v>
      </c>
      <c r="MN24" s="278">
        <f ca="1">IF(DeathsTimeS!NorthernTerritory100dt&gt;0,$A24 - DeathsTimeS!NorthernTerritory100dt,"")</f>
        <v>-83</v>
      </c>
      <c r="MO24" s="11">
        <f ca="1">INDEX(OFFSET(DeathsTimeS!HeadRow,ROW()-ROW(DeathsTimeS!HeadRow),0,1,COLUMNS(DeathsTimeS!HeadRow)),1,MATCH(MO$5,DeathsTimeS!HeadRow,0))/MO$8</f>
        <v>0</v>
      </c>
      <c r="MP24" s="278">
        <f ca="1">$A24 - DeathsTimeS!SouthAfrica100dt + 1</f>
        <v>-75</v>
      </c>
      <c r="MQ24" s="20">
        <f ca="1">INDEX(OFFSET(DeathsTimeS!HeadRow,ROW()-ROW(DeathsTimeS!HeadRow),0,1,COLUMNS(DeathsTimeS!HeadRow)),1,MATCH(MQ$5,DeathsTimeS!HeadRow,0))/MQ$8</f>
        <v>0</v>
      </c>
      <c r="MR24" s="278">
        <f ca="1">$A24 - DeathsTimeS!Germany100dt + 1</f>
        <v>-45</v>
      </c>
      <c r="MS24" s="20">
        <f ca="1">INDEX(OFFSET(DeathsTimeS!HeadRow,ROW()-ROW(DeathsTimeS!HeadRow),0,1,COLUMNS(DeathsTimeS!HeadRow)),1,MATCH(MS$5,DeathsTimeS!HeadRow,0))/MS$8</f>
        <v>0</v>
      </c>
      <c r="MT24" s="278">
        <f ca="1">$A24 - DeathsTimeS!Ireland100dt + 1</f>
        <v>-47</v>
      </c>
      <c r="MU24" s="73">
        <f ca="1">INDEX(OFFSET(DeathsTimeS!HeadRow,ROW()-ROW(DeathsTimeS!HeadRow),0,1,COLUMNS(DeathsTimeS!HeadRow)),1,MATCH(MU$5,DeathsTimeS!HeadRow,0))/MU$8</f>
        <v>0</v>
      </c>
      <c r="MV24" s="278">
        <f ca="1">$A24 - DeathsTimeS!UnitedKingdom100dt + 1</f>
        <v>-41</v>
      </c>
      <c r="MW24" s="73">
        <f ca="1">INDEX(OFFSET(DeathsTimeS!HeadRow,ROW()-ROW(DeathsTimeS!HeadRow),0,1,COLUMNS(DeathsTimeS!HeadRow)),1,MATCH(MW$5,DeathsTimeS!HeadRow,0))/MW$8</f>
        <v>0</v>
      </c>
      <c r="MX24" s="278">
        <f ca="1">$A24 - DeathsTimeS!Denmark100dt + 1</f>
        <v>-43</v>
      </c>
      <c r="MY24" s="73">
        <f ca="1">INDEX(OFFSET(DeathsTimeS!HeadRow,ROW()-ROW(DeathsTimeS!HeadRow),0,1,COLUMNS(DeathsTimeS!HeadRow)),1,MATCH(MY$5,DeathsTimeS!HeadRow,0))/MY$8</f>
        <v>0</v>
      </c>
      <c r="MZ24" s="278">
        <f ca="1">$A24 - DeathsTimeS!US100dt + 1</f>
        <v>-44</v>
      </c>
      <c r="NA24" s="73">
        <f ca="1">INDEX(OFFSET(DeathsTimeS!HeadRow,ROW()-ROW(DeathsTimeS!HeadRow),0,1,COLUMNS(DeathsTimeS!HeadRow)),1,MATCH(NA$5,DeathsTimeS!HeadRow,0))/NA$8</f>
        <v>0</v>
      </c>
      <c r="NB24" s="278">
        <f ca="1">$A24 - DeathsTimeS!AustraliaSum100dt + 1</f>
        <v>-50</v>
      </c>
      <c r="NC24" s="366">
        <f t="shared" si="6"/>
        <v>0</v>
      </c>
      <c r="ND24" s="278">
        <f ca="1">$A24 - DeathsTimeS!Taiwan100dt + 1</f>
        <v>-82</v>
      </c>
      <c r="NE24" s="366">
        <f ca="1">INDEX(OFFSET(DeathsTimeS!HeadRow,ROW()-ROW(DeathsTimeS!HeadRow),0,1,COLUMNS(DeathsTimeS!HeadRow)),1,MATCH(NE$5,DeathsTimeS!HeadRow,0))/NE$8</f>
        <v>0</v>
      </c>
      <c r="NF24" s="278">
        <f ca="1">$A24 - DeathsTimeS!Hubei100dt + 1</f>
        <v>9</v>
      </c>
      <c r="NG24" s="366">
        <f ca="1">INDEX(OFFSET(DeathsTimeS!HeadRow,ROW()-ROW(DeathsTimeS!HeadRow),0,1,COLUMNS(DeathsTimeS!HeadRow)),1,MATCH(NG$5,DeathsTimeS!HeadRow,0))/NG$8</f>
        <v>81.880341880341888</v>
      </c>
      <c r="NH24" s="278">
        <f ca="1">$A24 - DeathsTimeS!HongKong100dt + 1</f>
        <v>-82</v>
      </c>
      <c r="NI24" s="366">
        <f ca="1">INDEX(OFFSET(DeathsTimeS!HeadRow,ROW()-ROW(DeathsTimeS!HeadRow),0,1,COLUMNS(DeathsTimeS!HeadRow)),1,MATCH(NI$5,DeathsTimeS!HeadRow,0))/NI$8</f>
        <v>1.3421017313112333</v>
      </c>
    </row>
    <row r="25" spans="1:373" x14ac:dyDescent="0.25">
      <c r="A25" s="156">
        <v>43866</v>
      </c>
      <c r="B25" s="25">
        <v>0</v>
      </c>
      <c r="C25" s="25">
        <v>0</v>
      </c>
      <c r="D25" s="25">
        <v>0</v>
      </c>
      <c r="E25" s="25">
        <v>0</v>
      </c>
      <c r="F25" s="25">
        <v>0</v>
      </c>
      <c r="G25" s="25">
        <v>0</v>
      </c>
      <c r="H25" s="25">
        <v>0</v>
      </c>
      <c r="I25" s="25">
        <v>0</v>
      </c>
      <c r="J25" s="25">
        <v>0</v>
      </c>
      <c r="K25" s="25">
        <v>0</v>
      </c>
      <c r="L25" s="25">
        <v>0</v>
      </c>
      <c r="M25" s="25">
        <v>0</v>
      </c>
      <c r="N25" s="25">
        <v>0</v>
      </c>
      <c r="O25" s="25">
        <v>0</v>
      </c>
      <c r="P25" s="25">
        <v>0</v>
      </c>
      <c r="Q25" s="25">
        <v>0</v>
      </c>
      <c r="R25" s="25">
        <v>0</v>
      </c>
      <c r="S25" s="25">
        <v>0</v>
      </c>
      <c r="T25" s="25">
        <v>0</v>
      </c>
      <c r="U25" s="25">
        <v>0</v>
      </c>
      <c r="V25" s="25">
        <v>0</v>
      </c>
      <c r="W25" s="25">
        <v>0</v>
      </c>
      <c r="X25" s="25">
        <v>0</v>
      </c>
      <c r="Y25" s="25">
        <v>0</v>
      </c>
      <c r="Z25" s="25">
        <v>0</v>
      </c>
      <c r="AA25" s="25">
        <v>0</v>
      </c>
      <c r="AB25" s="25">
        <v>0</v>
      </c>
      <c r="AC25" s="25">
        <v>0</v>
      </c>
      <c r="AD25" s="25">
        <v>0</v>
      </c>
      <c r="AE25" s="25">
        <v>0</v>
      </c>
      <c r="AF25" s="25">
        <v>0</v>
      </c>
      <c r="AG25" s="25">
        <v>0</v>
      </c>
      <c r="AH25" s="25">
        <v>0</v>
      </c>
      <c r="AI25" s="25">
        <v>0</v>
      </c>
      <c r="AJ25" s="25">
        <v>0</v>
      </c>
      <c r="AK25" s="25">
        <v>0</v>
      </c>
      <c r="AL25" s="25">
        <v>0</v>
      </c>
      <c r="AM25" s="25">
        <v>0</v>
      </c>
      <c r="AN25" s="25">
        <v>0</v>
      </c>
      <c r="AO25" s="25">
        <v>0</v>
      </c>
      <c r="AP25" s="25">
        <v>0</v>
      </c>
      <c r="AQ25" s="25">
        <v>0</v>
      </c>
      <c r="AR25" s="25">
        <v>0</v>
      </c>
      <c r="AS25" s="25">
        <v>0</v>
      </c>
      <c r="AT25" s="25">
        <v>0</v>
      </c>
      <c r="AU25" s="25">
        <v>0</v>
      </c>
      <c r="AV25" s="25">
        <v>0</v>
      </c>
      <c r="AW25" s="25">
        <v>0</v>
      </c>
      <c r="AX25" s="25">
        <v>0</v>
      </c>
      <c r="AY25" s="25">
        <v>0</v>
      </c>
      <c r="AZ25" s="25">
        <v>1</v>
      </c>
      <c r="BA25" s="25">
        <v>2</v>
      </c>
      <c r="BB25" s="25">
        <v>0</v>
      </c>
      <c r="BC25" s="25">
        <v>0</v>
      </c>
      <c r="BD25" s="25">
        <v>0</v>
      </c>
      <c r="BE25" s="25">
        <v>0</v>
      </c>
      <c r="BF25" s="25">
        <v>1</v>
      </c>
      <c r="BG25" s="25">
        <v>1</v>
      </c>
      <c r="BH25" s="25">
        <v>1</v>
      </c>
      <c r="BI25" s="25">
        <v>2</v>
      </c>
      <c r="BJ25" s="25">
        <v>2</v>
      </c>
      <c r="BK25" s="25">
        <v>1</v>
      </c>
      <c r="BL25" s="25">
        <v>549</v>
      </c>
      <c r="BM25" s="25">
        <v>0</v>
      </c>
      <c r="BN25" s="25">
        <v>0</v>
      </c>
      <c r="BO25" s="25">
        <v>0</v>
      </c>
      <c r="BP25" s="25">
        <v>0</v>
      </c>
      <c r="BQ25" s="25">
        <v>0</v>
      </c>
      <c r="BR25" s="25">
        <v>0</v>
      </c>
      <c r="BS25" s="25">
        <v>0</v>
      </c>
      <c r="BT25" s="25">
        <v>0</v>
      </c>
      <c r="BU25" s="25">
        <v>0</v>
      </c>
      <c r="BV25" s="25">
        <v>0</v>
      </c>
      <c r="BW25" s="25">
        <v>0</v>
      </c>
      <c r="BX25" s="25">
        <v>1</v>
      </c>
      <c r="BY25" s="25">
        <v>0</v>
      </c>
      <c r="BZ25" s="25">
        <v>1</v>
      </c>
      <c r="CA25" s="25">
        <v>1</v>
      </c>
      <c r="CB25" s="25">
        <v>0</v>
      </c>
      <c r="CC25" s="25">
        <v>0</v>
      </c>
      <c r="CD25" s="25">
        <v>0</v>
      </c>
      <c r="CE25" s="25">
        <v>0</v>
      </c>
      <c r="CF25" s="25">
        <v>0</v>
      </c>
      <c r="CG25" s="25">
        <v>0</v>
      </c>
      <c r="CH25" s="25">
        <v>0</v>
      </c>
      <c r="CI25" s="25">
        <v>0</v>
      </c>
      <c r="CJ25" s="25">
        <v>0</v>
      </c>
      <c r="CK25" s="25">
        <v>0</v>
      </c>
      <c r="CL25" s="25">
        <v>0</v>
      </c>
      <c r="CM25" s="25">
        <v>0</v>
      </c>
      <c r="CN25" s="25">
        <v>0</v>
      </c>
      <c r="CO25" s="25">
        <v>0</v>
      </c>
      <c r="CP25" s="25">
        <v>0</v>
      </c>
      <c r="CQ25" s="25">
        <v>0</v>
      </c>
      <c r="CR25" s="25">
        <v>0</v>
      </c>
      <c r="CS25" s="25">
        <v>0</v>
      </c>
      <c r="CT25" s="25">
        <v>0</v>
      </c>
      <c r="CU25" s="25">
        <v>0</v>
      </c>
      <c r="CV25" s="25">
        <v>0</v>
      </c>
      <c r="CW25" s="25">
        <v>0</v>
      </c>
      <c r="CX25" s="25">
        <v>0</v>
      </c>
      <c r="CY25" s="25">
        <v>0</v>
      </c>
      <c r="CZ25" s="25">
        <v>0</v>
      </c>
      <c r="DA25" s="25">
        <v>0</v>
      </c>
      <c r="DB25" s="25">
        <v>0</v>
      </c>
      <c r="DC25" s="25">
        <v>0</v>
      </c>
      <c r="DD25" s="25">
        <v>0</v>
      </c>
      <c r="DE25" s="25">
        <v>0</v>
      </c>
      <c r="DF25" s="25">
        <v>0</v>
      </c>
      <c r="DG25" s="25">
        <v>0</v>
      </c>
      <c r="DH25" s="25">
        <v>0</v>
      </c>
      <c r="DI25" s="25">
        <v>0</v>
      </c>
      <c r="DJ25" s="25">
        <v>0</v>
      </c>
      <c r="DK25" s="25">
        <v>0</v>
      </c>
      <c r="DL25" s="25">
        <v>0</v>
      </c>
      <c r="DM25" s="25">
        <v>0</v>
      </c>
      <c r="DN25" s="25">
        <v>0</v>
      </c>
      <c r="DO25" s="25">
        <v>0</v>
      </c>
      <c r="DP25" s="25">
        <v>0</v>
      </c>
      <c r="DQ25" s="25">
        <v>0</v>
      </c>
      <c r="DR25" s="25">
        <v>0</v>
      </c>
      <c r="DS25" s="25">
        <v>0</v>
      </c>
      <c r="DT25" s="25">
        <v>0</v>
      </c>
      <c r="DU25" s="25">
        <v>0</v>
      </c>
      <c r="DV25" s="25">
        <v>0</v>
      </c>
      <c r="DW25" s="25">
        <v>0</v>
      </c>
      <c r="DX25" s="25">
        <v>0</v>
      </c>
      <c r="DY25" s="25">
        <v>0</v>
      </c>
      <c r="DZ25" s="25">
        <v>0</v>
      </c>
      <c r="EA25" s="25">
        <v>0</v>
      </c>
      <c r="EB25" s="25">
        <v>0</v>
      </c>
      <c r="EC25" s="25">
        <v>0</v>
      </c>
      <c r="ED25" s="25">
        <v>0</v>
      </c>
      <c r="EE25" s="25">
        <v>0</v>
      </c>
      <c r="EF25" s="25">
        <v>0</v>
      </c>
      <c r="EG25" s="25">
        <v>0</v>
      </c>
      <c r="EH25" s="25">
        <v>0</v>
      </c>
      <c r="EI25" s="25">
        <v>0</v>
      </c>
      <c r="EJ25" s="25">
        <v>0</v>
      </c>
      <c r="EK25" s="25">
        <v>0</v>
      </c>
      <c r="EL25" s="25">
        <v>0</v>
      </c>
      <c r="EM25" s="25">
        <v>0</v>
      </c>
      <c r="EN25" s="25">
        <v>0</v>
      </c>
      <c r="EO25" s="25">
        <v>0</v>
      </c>
      <c r="EP25" s="25">
        <v>0</v>
      </c>
      <c r="EQ25" s="25">
        <v>0</v>
      </c>
      <c r="ER25" s="25">
        <v>0</v>
      </c>
      <c r="ES25" s="25">
        <v>0</v>
      </c>
      <c r="ET25" s="25">
        <v>0</v>
      </c>
      <c r="EU25" s="25">
        <v>0</v>
      </c>
      <c r="EV25" s="25">
        <v>0</v>
      </c>
      <c r="EW25" s="25">
        <v>0</v>
      </c>
      <c r="EX25" s="25">
        <v>0</v>
      </c>
      <c r="EY25" s="25">
        <v>0</v>
      </c>
      <c r="EZ25" s="25">
        <v>0</v>
      </c>
      <c r="FA25" s="25">
        <v>0</v>
      </c>
      <c r="FB25" s="25">
        <v>0</v>
      </c>
      <c r="FC25" s="25">
        <v>0</v>
      </c>
      <c r="FD25" s="25">
        <v>0</v>
      </c>
      <c r="FE25" s="25">
        <v>0</v>
      </c>
      <c r="FF25" s="25">
        <v>0</v>
      </c>
      <c r="FG25" s="25">
        <v>0</v>
      </c>
      <c r="FH25" s="25">
        <v>0</v>
      </c>
      <c r="FI25" s="25">
        <v>0</v>
      </c>
      <c r="FJ25" s="25">
        <v>0</v>
      </c>
      <c r="FK25" s="25">
        <v>0</v>
      </c>
      <c r="FL25" s="25">
        <v>0</v>
      </c>
      <c r="FM25" s="25">
        <v>0</v>
      </c>
      <c r="FN25" s="25">
        <v>0</v>
      </c>
      <c r="FO25" s="25">
        <v>0</v>
      </c>
      <c r="FP25" s="25">
        <v>0</v>
      </c>
      <c r="FQ25" s="25">
        <v>0</v>
      </c>
      <c r="FR25" s="25">
        <v>0</v>
      </c>
      <c r="FS25" s="25">
        <v>0</v>
      </c>
      <c r="FT25" s="25">
        <v>0</v>
      </c>
      <c r="FU25" s="25">
        <v>0</v>
      </c>
      <c r="FV25" s="25">
        <v>0</v>
      </c>
      <c r="FW25" s="25">
        <v>0</v>
      </c>
      <c r="FX25" s="25">
        <v>0</v>
      </c>
      <c r="FY25" s="25">
        <v>0</v>
      </c>
      <c r="FZ25" s="25">
        <v>0</v>
      </c>
      <c r="GA25" s="25">
        <v>0</v>
      </c>
      <c r="GB25" s="25">
        <v>1</v>
      </c>
      <c r="GC25" s="25">
        <v>0</v>
      </c>
      <c r="GD25" s="25">
        <v>0</v>
      </c>
      <c r="GE25" s="25">
        <v>0</v>
      </c>
      <c r="GF25" s="25">
        <v>0</v>
      </c>
      <c r="GG25" s="25">
        <v>0</v>
      </c>
      <c r="GH25" s="25">
        <v>0</v>
      </c>
      <c r="GI25" s="25">
        <v>0</v>
      </c>
      <c r="GJ25" s="25">
        <v>0</v>
      </c>
      <c r="GK25" s="25">
        <v>0</v>
      </c>
      <c r="GL25" s="25">
        <v>0</v>
      </c>
      <c r="GM25" s="25">
        <v>0</v>
      </c>
      <c r="GN25" s="25">
        <v>0</v>
      </c>
      <c r="GO25" s="25">
        <v>0</v>
      </c>
      <c r="GP25" s="25">
        <v>0</v>
      </c>
      <c r="GQ25" s="25">
        <v>0</v>
      </c>
      <c r="GR25" s="25">
        <v>0</v>
      </c>
      <c r="GS25" s="25">
        <v>0</v>
      </c>
      <c r="GT25" s="25">
        <v>0</v>
      </c>
      <c r="GU25" s="25">
        <v>0</v>
      </c>
      <c r="GV25" s="25">
        <v>0</v>
      </c>
      <c r="GW25" s="25">
        <v>0</v>
      </c>
      <c r="GX25" s="25">
        <v>0</v>
      </c>
      <c r="GY25" s="46">
        <v>0</v>
      </c>
      <c r="GZ25" s="25">
        <v>0</v>
      </c>
      <c r="HA25" s="25">
        <v>0</v>
      </c>
      <c r="HB25" s="25">
        <v>0</v>
      </c>
      <c r="HC25" s="25">
        <v>0</v>
      </c>
      <c r="HD25" s="25">
        <v>0</v>
      </c>
      <c r="HE25" s="25">
        <v>0</v>
      </c>
      <c r="HF25" s="25">
        <v>0</v>
      </c>
      <c r="HG25" s="25">
        <v>0</v>
      </c>
      <c r="HH25" s="25">
        <v>0</v>
      </c>
      <c r="HI25" s="25">
        <v>0</v>
      </c>
      <c r="HJ25" s="25">
        <v>0</v>
      </c>
      <c r="HK25" s="25">
        <v>0</v>
      </c>
      <c r="HL25" s="25">
        <v>0</v>
      </c>
      <c r="HM25" s="25">
        <v>0</v>
      </c>
      <c r="HN25" s="25">
        <v>0</v>
      </c>
      <c r="HO25" s="25">
        <v>0</v>
      </c>
      <c r="HP25" s="25">
        <v>0</v>
      </c>
      <c r="HQ25" s="25">
        <v>0</v>
      </c>
      <c r="HR25" s="25">
        <v>0</v>
      </c>
      <c r="HS25" s="25">
        <v>0</v>
      </c>
      <c r="HT25" s="25">
        <v>0</v>
      </c>
      <c r="HU25" s="25">
        <v>0</v>
      </c>
      <c r="HV25" s="25">
        <v>0</v>
      </c>
      <c r="HW25" s="25">
        <v>0</v>
      </c>
      <c r="HX25" s="25">
        <v>0</v>
      </c>
      <c r="HY25" s="25">
        <v>0</v>
      </c>
      <c r="HZ25" s="25">
        <v>0</v>
      </c>
      <c r="IA25" s="25">
        <v>0</v>
      </c>
      <c r="IB25" s="25">
        <v>0</v>
      </c>
      <c r="IC25" s="25">
        <v>0</v>
      </c>
      <c r="ID25" s="25">
        <v>0</v>
      </c>
      <c r="IE25" s="25">
        <v>0</v>
      </c>
      <c r="IF25" s="25">
        <v>0</v>
      </c>
      <c r="IG25" s="25">
        <v>0</v>
      </c>
      <c r="IH25" s="25">
        <v>0</v>
      </c>
      <c r="II25" s="25">
        <v>0</v>
      </c>
      <c r="IJ25" s="25">
        <v>0</v>
      </c>
      <c r="IK25" s="25">
        <v>0</v>
      </c>
      <c r="IL25" s="25">
        <v>0</v>
      </c>
      <c r="IM25" s="25">
        <v>0</v>
      </c>
      <c r="IN25" s="25">
        <v>0</v>
      </c>
      <c r="IO25" s="25">
        <v>0</v>
      </c>
      <c r="IP25" s="25">
        <v>0</v>
      </c>
      <c r="IQ25" s="25">
        <v>0</v>
      </c>
      <c r="IR25" s="25">
        <v>0</v>
      </c>
      <c r="IS25" s="25">
        <v>0</v>
      </c>
      <c r="IT25" s="25">
        <v>0</v>
      </c>
      <c r="IU25" s="25">
        <v>0</v>
      </c>
      <c r="IV25" s="25">
        <v>0</v>
      </c>
      <c r="IW25" s="25">
        <v>0</v>
      </c>
      <c r="IX25" s="25">
        <v>0</v>
      </c>
      <c r="IY25" s="25">
        <v>0</v>
      </c>
      <c r="IZ25" s="25">
        <v>0</v>
      </c>
      <c r="JA25" s="25">
        <v>0</v>
      </c>
      <c r="JB25" s="25">
        <v>0</v>
      </c>
      <c r="JC25" s="25">
        <v>0</v>
      </c>
      <c r="JD25" s="25">
        <v>0</v>
      </c>
      <c r="JE25" s="25">
        <v>0</v>
      </c>
      <c r="JF25" s="25">
        <v>0</v>
      </c>
      <c r="JG25" s="25">
        <v>0</v>
      </c>
      <c r="JH25" s="25">
        <v>0</v>
      </c>
      <c r="JI25" s="25">
        <v>0</v>
      </c>
      <c r="JJ25" s="25">
        <v>0</v>
      </c>
      <c r="JK25" s="25">
        <v>0</v>
      </c>
      <c r="JL25" s="25">
        <v>0</v>
      </c>
      <c r="JM25" s="25">
        <v>0</v>
      </c>
      <c r="JN25" s="25">
        <v>0</v>
      </c>
      <c r="JO25" s="25">
        <v>0</v>
      </c>
      <c r="JP25" s="25">
        <v>0</v>
      </c>
      <c r="JQ25" s="25">
        <v>0</v>
      </c>
      <c r="JR25" s="25">
        <v>0</v>
      </c>
      <c r="JS25" s="25">
        <v>0</v>
      </c>
      <c r="JT25" s="25">
        <v>0</v>
      </c>
      <c r="JU25" s="25">
        <v>0</v>
      </c>
      <c r="JV25" s="25">
        <v>0</v>
      </c>
      <c r="JW25" s="25">
        <v>0</v>
      </c>
      <c r="JX25" s="25">
        <v>0</v>
      </c>
      <c r="JY25" s="25">
        <v>0</v>
      </c>
      <c r="JZ25" s="25">
        <v>0</v>
      </c>
      <c r="KA25" s="25">
        <v>0</v>
      </c>
      <c r="KB25" s="25">
        <v>0</v>
      </c>
      <c r="KC25" s="25">
        <v>0</v>
      </c>
      <c r="KD25" s="25">
        <v>0</v>
      </c>
      <c r="KE25" s="25">
        <v>0</v>
      </c>
      <c r="KF25" s="25">
        <v>0</v>
      </c>
      <c r="KG25" s="25">
        <v>0</v>
      </c>
      <c r="KH25" s="25">
        <v>0</v>
      </c>
      <c r="KI25" s="25">
        <v>0</v>
      </c>
      <c r="KJ25" s="25">
        <v>0</v>
      </c>
      <c r="KK25" s="25">
        <v>0</v>
      </c>
      <c r="KL25" s="25">
        <v>0</v>
      </c>
      <c r="KM25" s="25">
        <v>0</v>
      </c>
      <c r="KN25" s="25">
        <v>0</v>
      </c>
      <c r="KO25" s="25">
        <v>0</v>
      </c>
      <c r="KP25" s="25">
        <v>0</v>
      </c>
      <c r="KQ25" s="25">
        <v>0</v>
      </c>
      <c r="KR25" s="25">
        <v>0</v>
      </c>
      <c r="KS25" s="25">
        <v>0</v>
      </c>
      <c r="KT25" s="25">
        <v>0</v>
      </c>
      <c r="KU25" s="25">
        <v>0</v>
      </c>
      <c r="KV25" s="25">
        <v>0</v>
      </c>
      <c r="KW25" s="25">
        <v>0</v>
      </c>
      <c r="KX25" s="25">
        <v>0</v>
      </c>
      <c r="KY25" s="25">
        <v>0</v>
      </c>
      <c r="KZ25" s="25">
        <v>0</v>
      </c>
      <c r="LA25" s="25">
        <v>0</v>
      </c>
      <c r="LB25" s="25">
        <v>0</v>
      </c>
      <c r="LC25" s="25">
        <v>0</v>
      </c>
      <c r="LD25" s="25">
        <v>0</v>
      </c>
      <c r="LE25" s="25">
        <v>0</v>
      </c>
      <c r="LF25" s="25">
        <v>0</v>
      </c>
      <c r="LG25" s="25">
        <v>0</v>
      </c>
      <c r="LH25" s="25">
        <v>0</v>
      </c>
      <c r="LI25" s="25">
        <v>0</v>
      </c>
      <c r="LJ25" s="25">
        <v>0</v>
      </c>
      <c r="LK25" s="25">
        <v>0</v>
      </c>
      <c r="LL25" s="25">
        <v>0</v>
      </c>
      <c r="LM25" s="25">
        <v>0</v>
      </c>
      <c r="LN25" s="278">
        <f ca="1">$A25 - DeathsTimeS!Sweden100dt + 1</f>
        <v>-42</v>
      </c>
      <c r="LO25" s="366">
        <f ca="1">INDEX(OFFSET(DeathsTimeS!HeadRow,ROW()-ROW(DeathsTimeS!HeadRow),0,1,COLUMNS(DeathsTimeS!HeadRow)),1,MATCH(LO$5,DeathsTimeS!HeadRow,0))/LO$8</f>
        <v>0</v>
      </c>
      <c r="LP25" s="278">
        <f ca="1">$A25 - DeathsTimeS!Spain100dt</f>
        <v>-35</v>
      </c>
      <c r="LQ25" s="11">
        <f ca="1">INDEX(OFFSET(DeathsTimeS!HeadRow,ROW()-ROW(DeathsTimeS!HeadRow),0,1,COLUMNS(DeathsTimeS!HeadRow)),1,MATCH(LQ$5,DeathsTimeS!HeadRow,0))/LQ$8</f>
        <v>0</v>
      </c>
      <c r="LR25" s="278">
        <f ca="1">$A25 - DeathsTimeS!Victoria100dt</f>
        <v>-58</v>
      </c>
      <c r="LS25" s="11">
        <f ca="1">INDEX(OFFSET(DeathsTimeS!HeadRow,ROW()-ROW(DeathsTimeS!HeadRow),0,1,COLUMNS(DeathsTimeS!HeadRow)),1,MATCH(LS$5,DeathsTimeS!HeadRow,0))/LS$8</f>
        <v>0</v>
      </c>
      <c r="LT25" s="278">
        <f ca="1">$A25 - DeathsTimeS!Iran100dt</f>
        <v>-28</v>
      </c>
      <c r="LU25" s="11">
        <f ca="1">INDEX(OFFSET(DeathsTimeS!HeadRow,ROW()-ROW(DeathsTimeS!HeadRow),0,1,COLUMNS(DeathsTimeS!HeadRow)),1,MATCH(LU$5,DeathsTimeS!HeadRow,0))/LU$8</f>
        <v>0</v>
      </c>
      <c r="LV25" s="278">
        <f ca="1">$A25 - DeathsTimeS!Japan100dt</f>
        <v>-69</v>
      </c>
      <c r="LW25" s="11">
        <f ca="1">INDEX(OFFSET(DeathsTimeS!HeadRow,ROW()-ROW(DeathsTimeS!HeadRow),0,1,COLUMNS(DeathsTimeS!HeadRow)),1,MATCH(LW$5,DeathsTimeS!HeadRow,0))/LW$8</f>
        <v>0</v>
      </c>
      <c r="LX25" s="278">
        <f ca="1">$A25 - DeathsTimeS!Queensland100dt</f>
        <v>-73</v>
      </c>
      <c r="LY25" s="11">
        <f ca="1">INDEX(OFFSET(DeathsTimeS!HeadRow,ROW()-ROW(DeathsTimeS!HeadRow),0,1,COLUMNS(DeathsTimeS!HeadRow)),1,MATCH(LY$5,DeathsTimeS!HeadRow,0))/LY$8</f>
        <v>0</v>
      </c>
      <c r="LZ25" s="278">
        <f ca="1">$A25 - DeathsTimeS!Tasmania100dt</f>
        <v>-55</v>
      </c>
      <c r="MA25" s="11">
        <f ca="1">INDEX(OFFSET(DeathsTimeS!HeadRow,ROW()-ROW(DeathsTimeS!HeadRow),0,1,COLUMNS(DeathsTimeS!HeadRow)),1,MATCH(MA$5,DeathsTimeS!HeadRow,0))/MA$8</f>
        <v>0</v>
      </c>
      <c r="MB25" s="278">
        <f ca="1">$A25 - DeathsTimeS!SouthAustralia100dt</f>
        <v>-63</v>
      </c>
      <c r="MC25" s="11">
        <f ca="1">INDEX(OFFSET(DeathsTimeS!HeadRow,ROW()-ROW(DeathsTimeS!HeadRow),0,1,COLUMNS(DeathsTimeS!HeadRow)),1,MATCH(MC$5,DeathsTimeS!HeadRow,0))/MC$8</f>
        <v>0</v>
      </c>
      <c r="MD25" s="278">
        <f ca="1">$A25 - DeathsTimeS!WesternAustralia100dt</f>
        <v>-60</v>
      </c>
      <c r="ME25" s="11">
        <f ca="1">INDEX(OFFSET(DeathsTimeS!HeadRow,ROW()-ROW(DeathsTimeS!HeadRow),0,1,COLUMNS(DeathsTimeS!HeadRow)),1,MATCH(ME$5,DeathsTimeS!HeadRow,0))/ME$8</f>
        <v>0</v>
      </c>
      <c r="MF25" s="278">
        <f ca="1">$A25 - DeathsTimeS!NewSouthWales100dt</f>
        <v>-56</v>
      </c>
      <c r="MG25" s="11">
        <f ca="1">INDEX(OFFSET(DeathsTimeS!HeadRow,ROW()-ROW(DeathsTimeS!HeadRow),0,1,COLUMNS(DeathsTimeS!HeadRow)),1,MATCH(MG$5,DeathsTimeS!HeadRow,0))/MG$8</f>
        <v>0</v>
      </c>
      <c r="MH25" s="278">
        <f ca="1">$A25 - DeathsTimeS!NewYork100dt</f>
        <v>-40</v>
      </c>
      <c r="MI25" s="11">
        <f ca="1">INDEX(OFFSET(DeathsTimeS!HeadRow,ROW()-ROW(DeathsTimeS!HeadRow),0,1,COLUMNS(DeathsTimeS!HeadRow)),1,MATCH(MI$5,DeathsTimeS!HeadRow,0))/MI$8</f>
        <v>0</v>
      </c>
      <c r="MJ25" s="278">
        <f ca="1">$A25 - DeathsTimeS!Italy100dt</f>
        <v>-27</v>
      </c>
      <c r="MK25" s="11">
        <f ca="1">INDEX(OFFSET(DeathsTimeS!HeadRow,ROW()-ROW(DeathsTimeS!HeadRow),0,1,COLUMNS(DeathsTimeS!HeadRow)),1,MATCH(MK$5,DeathsTimeS!HeadRow,0))/MK$8</f>
        <v>0</v>
      </c>
      <c r="ML25" s="278">
        <f ca="1">$A25 - DeathsTimeS!AustralianCapitalTerritory100dt</f>
        <v>-54</v>
      </c>
      <c r="MM25" s="11">
        <f ca="1">INDEX(OFFSET(DeathsTimeS!HeadRow,ROW()-ROW(DeathsTimeS!HeadRow),0,1,COLUMNS(DeathsTimeS!HeadRow)),1,MATCH(MM$5,DeathsTimeS!HeadRow,0))/MM$8</f>
        <v>0</v>
      </c>
      <c r="MN25" s="278">
        <f ca="1">IF(DeathsTimeS!NorthernTerritory100dt&gt;0,$A25 - DeathsTimeS!NorthernTerritory100dt,"")</f>
        <v>-82</v>
      </c>
      <c r="MO25" s="11">
        <f ca="1">INDEX(OFFSET(DeathsTimeS!HeadRow,ROW()-ROW(DeathsTimeS!HeadRow),0,1,COLUMNS(DeathsTimeS!HeadRow)),1,MATCH(MO$5,DeathsTimeS!HeadRow,0))/MO$8</f>
        <v>0</v>
      </c>
      <c r="MP25" s="278">
        <f ca="1">$A25 - DeathsTimeS!SouthAfrica100dt + 1</f>
        <v>-74</v>
      </c>
      <c r="MQ25" s="20">
        <f ca="1">INDEX(OFFSET(DeathsTimeS!HeadRow,ROW()-ROW(DeathsTimeS!HeadRow),0,1,COLUMNS(DeathsTimeS!HeadRow)),1,MATCH(MQ$5,DeathsTimeS!HeadRow,0))/MQ$8</f>
        <v>0</v>
      </c>
      <c r="MR25" s="278">
        <f ca="1">$A25 - DeathsTimeS!Germany100dt + 1</f>
        <v>-44</v>
      </c>
      <c r="MS25" s="20">
        <f ca="1">INDEX(OFFSET(DeathsTimeS!HeadRow,ROW()-ROW(DeathsTimeS!HeadRow),0,1,COLUMNS(DeathsTimeS!HeadRow)),1,MATCH(MS$5,DeathsTimeS!HeadRow,0))/MS$8</f>
        <v>0</v>
      </c>
      <c r="MT25" s="278">
        <f ca="1">$A25 - DeathsTimeS!Ireland100dt + 1</f>
        <v>-46</v>
      </c>
      <c r="MU25" s="73">
        <f ca="1">INDEX(OFFSET(DeathsTimeS!HeadRow,ROW()-ROW(DeathsTimeS!HeadRow),0,1,COLUMNS(DeathsTimeS!HeadRow)),1,MATCH(MU$5,DeathsTimeS!HeadRow,0))/MU$8</f>
        <v>0</v>
      </c>
      <c r="MV25" s="278">
        <f ca="1">$A25 - DeathsTimeS!UnitedKingdom100dt + 1</f>
        <v>-40</v>
      </c>
      <c r="MW25" s="73">
        <f ca="1">INDEX(OFFSET(DeathsTimeS!HeadRow,ROW()-ROW(DeathsTimeS!HeadRow),0,1,COLUMNS(DeathsTimeS!HeadRow)),1,MATCH(MW$5,DeathsTimeS!HeadRow,0))/MW$8</f>
        <v>0</v>
      </c>
      <c r="MX25" s="278">
        <f ca="1">$A25 - DeathsTimeS!Denmark100dt + 1</f>
        <v>-42</v>
      </c>
      <c r="MY25" s="73">
        <f ca="1">INDEX(OFFSET(DeathsTimeS!HeadRow,ROW()-ROW(DeathsTimeS!HeadRow),0,1,COLUMNS(DeathsTimeS!HeadRow)),1,MATCH(MY$5,DeathsTimeS!HeadRow,0))/MY$8</f>
        <v>0</v>
      </c>
      <c r="MZ25" s="278">
        <f ca="1">$A25 - DeathsTimeS!US100dt + 1</f>
        <v>-43</v>
      </c>
      <c r="NA25" s="73">
        <f ca="1">INDEX(OFFSET(DeathsTimeS!HeadRow,ROW()-ROW(DeathsTimeS!HeadRow),0,1,COLUMNS(DeathsTimeS!HeadRow)),1,MATCH(NA$5,DeathsTimeS!HeadRow,0))/NA$8</f>
        <v>0</v>
      </c>
      <c r="NB25" s="278">
        <f ca="1">$A25 - DeathsTimeS!AustraliaSum100dt + 1</f>
        <v>-49</v>
      </c>
      <c r="NC25" s="366">
        <f t="shared" si="6"/>
        <v>0</v>
      </c>
      <c r="ND25" s="278">
        <f ca="1">$A25 - DeathsTimeS!Taiwan100dt + 1</f>
        <v>-81</v>
      </c>
      <c r="NE25" s="366">
        <f ca="1">INDEX(OFFSET(DeathsTimeS!HeadRow,ROW()-ROW(DeathsTimeS!HeadRow),0,1,COLUMNS(DeathsTimeS!HeadRow)),1,MATCH(NE$5,DeathsTimeS!HeadRow,0))/NE$8</f>
        <v>0</v>
      </c>
      <c r="NF25" s="278">
        <f ca="1">$A25 - DeathsTimeS!Hubei100dt + 1</f>
        <v>10</v>
      </c>
      <c r="NG25" s="366">
        <f ca="1">INDEX(OFFSET(DeathsTimeS!HeadRow,ROW()-ROW(DeathsTimeS!HeadRow),0,1,COLUMNS(DeathsTimeS!HeadRow)),1,MATCH(NG$5,DeathsTimeS!HeadRow,0))/NG$8</f>
        <v>93.846153846153854</v>
      </c>
      <c r="NH25" s="278">
        <f ca="1">$A25 - DeathsTimeS!HongKong100dt + 1</f>
        <v>-81</v>
      </c>
      <c r="NI25" s="366">
        <f ca="1">INDEX(OFFSET(DeathsTimeS!HeadRow,ROW()-ROW(DeathsTimeS!HeadRow),0,1,COLUMNS(DeathsTimeS!HeadRow)),1,MATCH(NI$5,DeathsTimeS!HeadRow,0))/NI$8</f>
        <v>1.3421017313112333</v>
      </c>
    </row>
    <row r="26" spans="1:373" x14ac:dyDescent="0.25">
      <c r="A26" s="156">
        <v>43867</v>
      </c>
      <c r="B26" s="25">
        <v>0</v>
      </c>
      <c r="C26" s="25">
        <v>0</v>
      </c>
      <c r="D26" s="25">
        <v>0</v>
      </c>
      <c r="E26" s="25">
        <v>0</v>
      </c>
      <c r="F26" s="25">
        <v>0</v>
      </c>
      <c r="G26" s="25">
        <v>0</v>
      </c>
      <c r="H26" s="25">
        <v>0</v>
      </c>
      <c r="I26" s="25">
        <v>0</v>
      </c>
      <c r="J26" s="25">
        <v>0</v>
      </c>
      <c r="K26" s="25">
        <v>0</v>
      </c>
      <c r="L26" s="25">
        <v>0</v>
      </c>
      <c r="M26" s="25">
        <v>0</v>
      </c>
      <c r="N26" s="25">
        <v>0</v>
      </c>
      <c r="O26" s="25">
        <v>0</v>
      </c>
      <c r="P26" s="25">
        <v>0</v>
      </c>
      <c r="Q26" s="25">
        <v>0</v>
      </c>
      <c r="R26" s="25">
        <v>0</v>
      </c>
      <c r="S26" s="25">
        <v>0</v>
      </c>
      <c r="T26" s="25">
        <v>0</v>
      </c>
      <c r="U26" s="25">
        <v>0</v>
      </c>
      <c r="V26" s="25">
        <v>0</v>
      </c>
      <c r="W26" s="25">
        <v>0</v>
      </c>
      <c r="X26" s="25">
        <v>0</v>
      </c>
      <c r="Y26" s="25">
        <v>0</v>
      </c>
      <c r="Z26" s="25">
        <v>0</v>
      </c>
      <c r="AA26" s="25">
        <v>0</v>
      </c>
      <c r="AB26" s="25">
        <v>0</v>
      </c>
      <c r="AC26" s="25">
        <v>0</v>
      </c>
      <c r="AD26" s="25">
        <v>0</v>
      </c>
      <c r="AE26" s="25">
        <v>0</v>
      </c>
      <c r="AF26" s="25">
        <v>0</v>
      </c>
      <c r="AG26" s="25">
        <v>0</v>
      </c>
      <c r="AH26" s="25">
        <v>0</v>
      </c>
      <c r="AI26" s="25">
        <v>0</v>
      </c>
      <c r="AJ26" s="25">
        <v>0</v>
      </c>
      <c r="AK26" s="25">
        <v>0</v>
      </c>
      <c r="AL26" s="25">
        <v>0</v>
      </c>
      <c r="AM26" s="25">
        <v>0</v>
      </c>
      <c r="AN26" s="25">
        <v>0</v>
      </c>
      <c r="AO26" s="25">
        <v>0</v>
      </c>
      <c r="AP26" s="25">
        <v>0</v>
      </c>
      <c r="AQ26" s="25">
        <v>0</v>
      </c>
      <c r="AR26" s="25">
        <v>0</v>
      </c>
      <c r="AS26" s="25">
        <v>0</v>
      </c>
      <c r="AT26" s="25">
        <v>0</v>
      </c>
      <c r="AU26" s="25">
        <v>0</v>
      </c>
      <c r="AV26" s="25">
        <v>0</v>
      </c>
      <c r="AW26" s="25">
        <v>0</v>
      </c>
      <c r="AX26" s="25">
        <v>0</v>
      </c>
      <c r="AY26" s="25">
        <v>0</v>
      </c>
      <c r="AZ26" s="25">
        <v>1</v>
      </c>
      <c r="BA26" s="25">
        <v>2</v>
      </c>
      <c r="BB26" s="25">
        <v>0</v>
      </c>
      <c r="BC26" s="25">
        <v>0</v>
      </c>
      <c r="BD26" s="25">
        <v>0</v>
      </c>
      <c r="BE26" s="25">
        <v>0</v>
      </c>
      <c r="BF26" s="25">
        <v>1</v>
      </c>
      <c r="BG26" s="25">
        <v>1</v>
      </c>
      <c r="BH26" s="25">
        <v>1</v>
      </c>
      <c r="BI26" s="25">
        <v>3</v>
      </c>
      <c r="BJ26" s="25">
        <v>2</v>
      </c>
      <c r="BK26" s="25">
        <v>1</v>
      </c>
      <c r="BL26" s="25">
        <v>618</v>
      </c>
      <c r="BM26" s="25">
        <v>0</v>
      </c>
      <c r="BN26" s="25">
        <v>0</v>
      </c>
      <c r="BO26" s="25">
        <v>0</v>
      </c>
      <c r="BP26" s="25">
        <v>0</v>
      </c>
      <c r="BQ26" s="25">
        <v>0</v>
      </c>
      <c r="BR26" s="25">
        <v>0</v>
      </c>
      <c r="BS26" s="25">
        <v>0</v>
      </c>
      <c r="BT26" s="25">
        <v>0</v>
      </c>
      <c r="BU26" s="25">
        <v>0</v>
      </c>
      <c r="BV26" s="25">
        <v>0</v>
      </c>
      <c r="BW26" s="25">
        <v>0</v>
      </c>
      <c r="BX26" s="25">
        <v>1</v>
      </c>
      <c r="BY26" s="25">
        <v>0</v>
      </c>
      <c r="BZ26" s="25">
        <v>1</v>
      </c>
      <c r="CA26" s="25">
        <v>1</v>
      </c>
      <c r="CB26" s="25">
        <v>0</v>
      </c>
      <c r="CC26" s="25">
        <v>0</v>
      </c>
      <c r="CD26" s="25">
        <v>0</v>
      </c>
      <c r="CE26" s="25">
        <v>0</v>
      </c>
      <c r="CF26" s="25">
        <v>0</v>
      </c>
      <c r="CG26" s="25">
        <v>0</v>
      </c>
      <c r="CH26" s="25">
        <v>0</v>
      </c>
      <c r="CI26" s="25">
        <v>0</v>
      </c>
      <c r="CJ26" s="25">
        <v>0</v>
      </c>
      <c r="CK26" s="25">
        <v>0</v>
      </c>
      <c r="CL26" s="25">
        <v>0</v>
      </c>
      <c r="CM26" s="25">
        <v>0</v>
      </c>
      <c r="CN26" s="25">
        <v>0</v>
      </c>
      <c r="CO26" s="25">
        <v>0</v>
      </c>
      <c r="CP26" s="25">
        <v>0</v>
      </c>
      <c r="CQ26" s="25">
        <v>0</v>
      </c>
      <c r="CR26" s="25">
        <v>0</v>
      </c>
      <c r="CS26" s="25">
        <v>0</v>
      </c>
      <c r="CT26" s="25">
        <v>0</v>
      </c>
      <c r="CU26" s="25">
        <v>0</v>
      </c>
      <c r="CV26" s="25">
        <v>0</v>
      </c>
      <c r="CW26" s="25">
        <v>0</v>
      </c>
      <c r="CX26" s="25">
        <v>0</v>
      </c>
      <c r="CY26" s="25">
        <v>0</v>
      </c>
      <c r="CZ26" s="25">
        <v>0</v>
      </c>
      <c r="DA26" s="25">
        <v>0</v>
      </c>
      <c r="DB26" s="25">
        <v>0</v>
      </c>
      <c r="DC26" s="25">
        <v>0</v>
      </c>
      <c r="DD26" s="25">
        <v>0</v>
      </c>
      <c r="DE26" s="25">
        <v>0</v>
      </c>
      <c r="DF26" s="25">
        <v>0</v>
      </c>
      <c r="DG26" s="25">
        <v>0</v>
      </c>
      <c r="DH26" s="25">
        <v>0</v>
      </c>
      <c r="DI26" s="25">
        <v>0</v>
      </c>
      <c r="DJ26" s="25">
        <v>0</v>
      </c>
      <c r="DK26" s="25">
        <v>0</v>
      </c>
      <c r="DL26" s="25">
        <v>0</v>
      </c>
      <c r="DM26" s="25">
        <v>0</v>
      </c>
      <c r="DN26" s="25">
        <v>0</v>
      </c>
      <c r="DO26" s="25">
        <v>0</v>
      </c>
      <c r="DP26" s="25">
        <v>0</v>
      </c>
      <c r="DQ26" s="25">
        <v>0</v>
      </c>
      <c r="DR26" s="25">
        <v>0</v>
      </c>
      <c r="DS26" s="25">
        <v>0</v>
      </c>
      <c r="DT26" s="25">
        <v>0</v>
      </c>
      <c r="DU26" s="25">
        <v>0</v>
      </c>
      <c r="DV26" s="25">
        <v>0</v>
      </c>
      <c r="DW26" s="25">
        <v>0</v>
      </c>
      <c r="DX26" s="25">
        <v>0</v>
      </c>
      <c r="DY26" s="25">
        <v>0</v>
      </c>
      <c r="DZ26" s="25">
        <v>0</v>
      </c>
      <c r="EA26" s="25">
        <v>0</v>
      </c>
      <c r="EB26" s="25">
        <v>0</v>
      </c>
      <c r="EC26" s="25">
        <v>0</v>
      </c>
      <c r="ED26" s="25">
        <v>0</v>
      </c>
      <c r="EE26" s="25">
        <v>0</v>
      </c>
      <c r="EF26" s="25">
        <v>0</v>
      </c>
      <c r="EG26" s="25">
        <v>0</v>
      </c>
      <c r="EH26" s="25">
        <v>0</v>
      </c>
      <c r="EI26" s="25">
        <v>0</v>
      </c>
      <c r="EJ26" s="25">
        <v>0</v>
      </c>
      <c r="EK26" s="25">
        <v>0</v>
      </c>
      <c r="EL26" s="25">
        <v>0</v>
      </c>
      <c r="EM26" s="25">
        <v>0</v>
      </c>
      <c r="EN26" s="25">
        <v>0</v>
      </c>
      <c r="EO26" s="25">
        <v>0</v>
      </c>
      <c r="EP26" s="25">
        <v>0</v>
      </c>
      <c r="EQ26" s="25">
        <v>0</v>
      </c>
      <c r="ER26" s="25">
        <v>0</v>
      </c>
      <c r="ES26" s="25">
        <v>0</v>
      </c>
      <c r="ET26" s="25">
        <v>0</v>
      </c>
      <c r="EU26" s="25">
        <v>0</v>
      </c>
      <c r="EV26" s="25">
        <v>0</v>
      </c>
      <c r="EW26" s="25">
        <v>0</v>
      </c>
      <c r="EX26" s="25">
        <v>0</v>
      </c>
      <c r="EY26" s="25">
        <v>0</v>
      </c>
      <c r="EZ26" s="25">
        <v>0</v>
      </c>
      <c r="FA26" s="25">
        <v>0</v>
      </c>
      <c r="FB26" s="25">
        <v>0</v>
      </c>
      <c r="FC26" s="25">
        <v>0</v>
      </c>
      <c r="FD26" s="25">
        <v>0</v>
      </c>
      <c r="FE26" s="25">
        <v>0</v>
      </c>
      <c r="FF26" s="25">
        <v>0</v>
      </c>
      <c r="FG26" s="25">
        <v>0</v>
      </c>
      <c r="FH26" s="25">
        <v>0</v>
      </c>
      <c r="FI26" s="25">
        <v>0</v>
      </c>
      <c r="FJ26" s="25">
        <v>0</v>
      </c>
      <c r="FK26" s="25">
        <v>0</v>
      </c>
      <c r="FL26" s="25">
        <v>0</v>
      </c>
      <c r="FM26" s="25">
        <v>0</v>
      </c>
      <c r="FN26" s="25">
        <v>0</v>
      </c>
      <c r="FO26" s="25">
        <v>0</v>
      </c>
      <c r="FP26" s="25">
        <v>0</v>
      </c>
      <c r="FQ26" s="25">
        <v>0</v>
      </c>
      <c r="FR26" s="25">
        <v>0</v>
      </c>
      <c r="FS26" s="25">
        <v>0</v>
      </c>
      <c r="FT26" s="25">
        <v>0</v>
      </c>
      <c r="FU26" s="25">
        <v>0</v>
      </c>
      <c r="FV26" s="25">
        <v>0</v>
      </c>
      <c r="FW26" s="25">
        <v>0</v>
      </c>
      <c r="FX26" s="25">
        <v>0</v>
      </c>
      <c r="FY26" s="25">
        <v>0</v>
      </c>
      <c r="FZ26" s="25">
        <v>0</v>
      </c>
      <c r="GA26" s="25">
        <v>0</v>
      </c>
      <c r="GB26" s="25">
        <v>1</v>
      </c>
      <c r="GC26" s="25">
        <v>0</v>
      </c>
      <c r="GD26" s="25">
        <v>0</v>
      </c>
      <c r="GE26" s="25">
        <v>0</v>
      </c>
      <c r="GF26" s="25">
        <v>0</v>
      </c>
      <c r="GG26" s="25">
        <v>0</v>
      </c>
      <c r="GH26" s="25">
        <v>0</v>
      </c>
      <c r="GI26" s="25">
        <v>0</v>
      </c>
      <c r="GJ26" s="25">
        <v>0</v>
      </c>
      <c r="GK26" s="25">
        <v>0</v>
      </c>
      <c r="GL26" s="25">
        <v>0</v>
      </c>
      <c r="GM26" s="25">
        <v>0</v>
      </c>
      <c r="GN26" s="25">
        <v>0</v>
      </c>
      <c r="GO26" s="25">
        <v>0</v>
      </c>
      <c r="GP26" s="25">
        <v>0</v>
      </c>
      <c r="GQ26" s="25">
        <v>0</v>
      </c>
      <c r="GR26" s="25">
        <v>0</v>
      </c>
      <c r="GS26" s="25">
        <v>0</v>
      </c>
      <c r="GT26" s="25">
        <v>0</v>
      </c>
      <c r="GU26" s="25">
        <v>0</v>
      </c>
      <c r="GV26" s="25">
        <v>0</v>
      </c>
      <c r="GW26" s="25">
        <v>0</v>
      </c>
      <c r="GX26" s="25">
        <v>0</v>
      </c>
      <c r="GY26" s="46">
        <v>0</v>
      </c>
      <c r="GZ26" s="25">
        <v>0</v>
      </c>
      <c r="HA26" s="25">
        <v>0</v>
      </c>
      <c r="HB26" s="25">
        <v>0</v>
      </c>
      <c r="HC26" s="25">
        <v>0</v>
      </c>
      <c r="HD26" s="25">
        <v>0</v>
      </c>
      <c r="HE26" s="25">
        <v>0</v>
      </c>
      <c r="HF26" s="25">
        <v>0</v>
      </c>
      <c r="HG26" s="25">
        <v>0</v>
      </c>
      <c r="HH26" s="25">
        <v>0</v>
      </c>
      <c r="HI26" s="25">
        <v>0</v>
      </c>
      <c r="HJ26" s="25">
        <v>0</v>
      </c>
      <c r="HK26" s="25">
        <v>0</v>
      </c>
      <c r="HL26" s="25">
        <v>0</v>
      </c>
      <c r="HM26" s="25">
        <v>0</v>
      </c>
      <c r="HN26" s="25">
        <v>0</v>
      </c>
      <c r="HO26" s="25">
        <v>0</v>
      </c>
      <c r="HP26" s="25">
        <v>0</v>
      </c>
      <c r="HQ26" s="25">
        <v>0</v>
      </c>
      <c r="HR26" s="25">
        <v>0</v>
      </c>
      <c r="HS26" s="25">
        <v>0</v>
      </c>
      <c r="HT26" s="25">
        <v>0</v>
      </c>
      <c r="HU26" s="25">
        <v>0</v>
      </c>
      <c r="HV26" s="25">
        <v>0</v>
      </c>
      <c r="HW26" s="25">
        <v>0</v>
      </c>
      <c r="HX26" s="25">
        <v>0</v>
      </c>
      <c r="HY26" s="25">
        <v>0</v>
      </c>
      <c r="HZ26" s="25">
        <v>0</v>
      </c>
      <c r="IA26" s="25">
        <v>0</v>
      </c>
      <c r="IB26" s="25">
        <v>0</v>
      </c>
      <c r="IC26" s="25">
        <v>0</v>
      </c>
      <c r="ID26" s="25">
        <v>0</v>
      </c>
      <c r="IE26" s="25">
        <v>0</v>
      </c>
      <c r="IF26" s="25">
        <v>0</v>
      </c>
      <c r="IG26" s="25">
        <v>0</v>
      </c>
      <c r="IH26" s="25">
        <v>0</v>
      </c>
      <c r="II26" s="25">
        <v>0</v>
      </c>
      <c r="IJ26" s="25">
        <v>0</v>
      </c>
      <c r="IK26" s="25">
        <v>0</v>
      </c>
      <c r="IL26" s="25">
        <v>0</v>
      </c>
      <c r="IM26" s="25">
        <v>0</v>
      </c>
      <c r="IN26" s="25">
        <v>0</v>
      </c>
      <c r="IO26" s="25">
        <v>0</v>
      </c>
      <c r="IP26" s="25">
        <v>0</v>
      </c>
      <c r="IQ26" s="25">
        <v>0</v>
      </c>
      <c r="IR26" s="25">
        <v>0</v>
      </c>
      <c r="IS26" s="25">
        <v>0</v>
      </c>
      <c r="IT26" s="25">
        <v>0</v>
      </c>
      <c r="IU26" s="25">
        <v>0</v>
      </c>
      <c r="IV26" s="25">
        <v>0</v>
      </c>
      <c r="IW26" s="25">
        <v>0</v>
      </c>
      <c r="IX26" s="25">
        <v>0</v>
      </c>
      <c r="IY26" s="25">
        <v>0</v>
      </c>
      <c r="IZ26" s="25">
        <v>0</v>
      </c>
      <c r="JA26" s="25">
        <v>0</v>
      </c>
      <c r="JB26" s="25">
        <v>0</v>
      </c>
      <c r="JC26" s="25">
        <v>0</v>
      </c>
      <c r="JD26" s="25">
        <v>0</v>
      </c>
      <c r="JE26" s="25">
        <v>0</v>
      </c>
      <c r="JF26" s="25">
        <v>0</v>
      </c>
      <c r="JG26" s="25">
        <v>0</v>
      </c>
      <c r="JH26" s="25">
        <v>0</v>
      </c>
      <c r="JI26" s="25">
        <v>0</v>
      </c>
      <c r="JJ26" s="25">
        <v>0</v>
      </c>
      <c r="JK26" s="25">
        <v>0</v>
      </c>
      <c r="JL26" s="25">
        <v>0</v>
      </c>
      <c r="JM26" s="25">
        <v>0</v>
      </c>
      <c r="JN26" s="25">
        <v>0</v>
      </c>
      <c r="JO26" s="25">
        <v>0</v>
      </c>
      <c r="JP26" s="25">
        <v>0</v>
      </c>
      <c r="JQ26" s="25">
        <v>0</v>
      </c>
      <c r="JR26" s="25">
        <v>0</v>
      </c>
      <c r="JS26" s="25">
        <v>0</v>
      </c>
      <c r="JT26" s="25">
        <v>0</v>
      </c>
      <c r="JU26" s="25">
        <v>0</v>
      </c>
      <c r="JV26" s="25">
        <v>0</v>
      </c>
      <c r="JW26" s="25">
        <v>0</v>
      </c>
      <c r="JX26" s="25">
        <v>0</v>
      </c>
      <c r="JY26" s="25">
        <v>0</v>
      </c>
      <c r="JZ26" s="25">
        <v>0</v>
      </c>
      <c r="KA26" s="25">
        <v>0</v>
      </c>
      <c r="KB26" s="25">
        <v>0</v>
      </c>
      <c r="KC26" s="25">
        <v>0</v>
      </c>
      <c r="KD26" s="25">
        <v>0</v>
      </c>
      <c r="KE26" s="25">
        <v>0</v>
      </c>
      <c r="KF26" s="25">
        <v>0</v>
      </c>
      <c r="KG26" s="25">
        <v>0</v>
      </c>
      <c r="KH26" s="25">
        <v>0</v>
      </c>
      <c r="KI26" s="25">
        <v>0</v>
      </c>
      <c r="KJ26" s="25">
        <v>0</v>
      </c>
      <c r="KK26" s="25">
        <v>0</v>
      </c>
      <c r="KL26" s="25">
        <v>0</v>
      </c>
      <c r="KM26" s="25">
        <v>0</v>
      </c>
      <c r="KN26" s="25">
        <v>0</v>
      </c>
      <c r="KO26" s="25">
        <v>0</v>
      </c>
      <c r="KP26" s="25">
        <v>0</v>
      </c>
      <c r="KQ26" s="25">
        <v>0</v>
      </c>
      <c r="KR26" s="25">
        <v>0</v>
      </c>
      <c r="KS26" s="25">
        <v>0</v>
      </c>
      <c r="KT26" s="25">
        <v>0</v>
      </c>
      <c r="KU26" s="25">
        <v>0</v>
      </c>
      <c r="KV26" s="25">
        <v>0</v>
      </c>
      <c r="KW26" s="25">
        <v>0</v>
      </c>
      <c r="KX26" s="25">
        <v>0</v>
      </c>
      <c r="KY26" s="25">
        <v>0</v>
      </c>
      <c r="KZ26" s="25">
        <v>0</v>
      </c>
      <c r="LA26" s="25">
        <v>0</v>
      </c>
      <c r="LB26" s="25">
        <v>0</v>
      </c>
      <c r="LC26" s="25">
        <v>0</v>
      </c>
      <c r="LD26" s="25">
        <v>0</v>
      </c>
      <c r="LE26" s="25">
        <v>0</v>
      </c>
      <c r="LF26" s="25">
        <v>0</v>
      </c>
      <c r="LG26" s="25">
        <v>0</v>
      </c>
      <c r="LH26" s="25">
        <v>0</v>
      </c>
      <c r="LI26" s="25">
        <v>0</v>
      </c>
      <c r="LJ26" s="25">
        <v>0</v>
      </c>
      <c r="LK26" s="25">
        <v>0</v>
      </c>
      <c r="LL26" s="25">
        <v>0</v>
      </c>
      <c r="LM26" s="25">
        <v>0</v>
      </c>
      <c r="LN26" s="278">
        <f ca="1">$A26 - DeathsTimeS!Sweden100dt + 1</f>
        <v>-41</v>
      </c>
      <c r="LO26" s="366">
        <f ca="1">INDEX(OFFSET(DeathsTimeS!HeadRow,ROW()-ROW(DeathsTimeS!HeadRow),0,1,COLUMNS(DeathsTimeS!HeadRow)),1,MATCH(LO$5,DeathsTimeS!HeadRow,0))/LO$8</f>
        <v>0</v>
      </c>
      <c r="LP26" s="278">
        <f ca="1">$A26 - DeathsTimeS!Spain100dt</f>
        <v>-34</v>
      </c>
      <c r="LQ26" s="11">
        <f ca="1">INDEX(OFFSET(DeathsTimeS!HeadRow,ROW()-ROW(DeathsTimeS!HeadRow),0,1,COLUMNS(DeathsTimeS!HeadRow)),1,MATCH(LQ$5,DeathsTimeS!HeadRow,0))/LQ$8</f>
        <v>0</v>
      </c>
      <c r="LR26" s="278">
        <f ca="1">$A26 - DeathsTimeS!Victoria100dt</f>
        <v>-57</v>
      </c>
      <c r="LS26" s="11">
        <f ca="1">INDEX(OFFSET(DeathsTimeS!HeadRow,ROW()-ROW(DeathsTimeS!HeadRow),0,1,COLUMNS(DeathsTimeS!HeadRow)),1,MATCH(LS$5,DeathsTimeS!HeadRow,0))/LS$8</f>
        <v>0</v>
      </c>
      <c r="LT26" s="278">
        <f ca="1">$A26 - DeathsTimeS!Iran100dt</f>
        <v>-27</v>
      </c>
      <c r="LU26" s="11">
        <f ca="1">INDEX(OFFSET(DeathsTimeS!HeadRow,ROW()-ROW(DeathsTimeS!HeadRow),0,1,COLUMNS(DeathsTimeS!HeadRow)),1,MATCH(LU$5,DeathsTimeS!HeadRow,0))/LU$8</f>
        <v>0</v>
      </c>
      <c r="LV26" s="278">
        <f ca="1">$A26 - DeathsTimeS!Japan100dt</f>
        <v>-68</v>
      </c>
      <c r="LW26" s="11">
        <f ca="1">INDEX(OFFSET(DeathsTimeS!HeadRow,ROW()-ROW(DeathsTimeS!HeadRow),0,1,COLUMNS(DeathsTimeS!HeadRow)),1,MATCH(LW$5,DeathsTimeS!HeadRow,0))/LW$8</f>
        <v>0</v>
      </c>
      <c r="LX26" s="278">
        <f ca="1">$A26 - DeathsTimeS!Queensland100dt</f>
        <v>-72</v>
      </c>
      <c r="LY26" s="11">
        <f ca="1">INDEX(OFFSET(DeathsTimeS!HeadRow,ROW()-ROW(DeathsTimeS!HeadRow),0,1,COLUMNS(DeathsTimeS!HeadRow)),1,MATCH(LY$5,DeathsTimeS!HeadRow,0))/LY$8</f>
        <v>0</v>
      </c>
      <c r="LZ26" s="278">
        <f ca="1">$A26 - DeathsTimeS!Tasmania100dt</f>
        <v>-54</v>
      </c>
      <c r="MA26" s="11">
        <f ca="1">INDEX(OFFSET(DeathsTimeS!HeadRow,ROW()-ROW(DeathsTimeS!HeadRow),0,1,COLUMNS(DeathsTimeS!HeadRow)),1,MATCH(MA$5,DeathsTimeS!HeadRow,0))/MA$8</f>
        <v>0</v>
      </c>
      <c r="MB26" s="278">
        <f ca="1">$A26 - DeathsTimeS!SouthAustralia100dt</f>
        <v>-62</v>
      </c>
      <c r="MC26" s="11">
        <f ca="1">INDEX(OFFSET(DeathsTimeS!HeadRow,ROW()-ROW(DeathsTimeS!HeadRow),0,1,COLUMNS(DeathsTimeS!HeadRow)),1,MATCH(MC$5,DeathsTimeS!HeadRow,0))/MC$8</f>
        <v>0</v>
      </c>
      <c r="MD26" s="278">
        <f ca="1">$A26 - DeathsTimeS!WesternAustralia100dt</f>
        <v>-59</v>
      </c>
      <c r="ME26" s="11">
        <f ca="1">INDEX(OFFSET(DeathsTimeS!HeadRow,ROW()-ROW(DeathsTimeS!HeadRow),0,1,COLUMNS(DeathsTimeS!HeadRow)),1,MATCH(ME$5,DeathsTimeS!HeadRow,0))/ME$8</f>
        <v>0</v>
      </c>
      <c r="MF26" s="278">
        <f ca="1">$A26 - DeathsTimeS!NewSouthWales100dt</f>
        <v>-55</v>
      </c>
      <c r="MG26" s="11">
        <f ca="1">INDEX(OFFSET(DeathsTimeS!HeadRow,ROW()-ROW(DeathsTimeS!HeadRow),0,1,COLUMNS(DeathsTimeS!HeadRow)),1,MATCH(MG$5,DeathsTimeS!HeadRow,0))/MG$8</f>
        <v>0</v>
      </c>
      <c r="MH26" s="278">
        <f ca="1">$A26 - DeathsTimeS!NewYork100dt</f>
        <v>-39</v>
      </c>
      <c r="MI26" s="11">
        <f ca="1">INDEX(OFFSET(DeathsTimeS!HeadRow,ROW()-ROW(DeathsTimeS!HeadRow),0,1,COLUMNS(DeathsTimeS!HeadRow)),1,MATCH(MI$5,DeathsTimeS!HeadRow,0))/MI$8</f>
        <v>0</v>
      </c>
      <c r="MJ26" s="278">
        <f ca="1">$A26 - DeathsTimeS!Italy100dt</f>
        <v>-26</v>
      </c>
      <c r="MK26" s="11">
        <f ca="1">INDEX(OFFSET(DeathsTimeS!HeadRow,ROW()-ROW(DeathsTimeS!HeadRow),0,1,COLUMNS(DeathsTimeS!HeadRow)),1,MATCH(MK$5,DeathsTimeS!HeadRow,0))/MK$8</f>
        <v>0</v>
      </c>
      <c r="ML26" s="278">
        <f ca="1">$A26 - DeathsTimeS!AustralianCapitalTerritory100dt</f>
        <v>-53</v>
      </c>
      <c r="MM26" s="11">
        <f ca="1">INDEX(OFFSET(DeathsTimeS!HeadRow,ROW()-ROW(DeathsTimeS!HeadRow),0,1,COLUMNS(DeathsTimeS!HeadRow)),1,MATCH(MM$5,DeathsTimeS!HeadRow,0))/MM$8</f>
        <v>0</v>
      </c>
      <c r="MN26" s="278">
        <f ca="1">IF(DeathsTimeS!NorthernTerritory100dt&gt;0,$A26 - DeathsTimeS!NorthernTerritory100dt,"")</f>
        <v>-81</v>
      </c>
      <c r="MO26" s="11">
        <f ca="1">INDEX(OFFSET(DeathsTimeS!HeadRow,ROW()-ROW(DeathsTimeS!HeadRow),0,1,COLUMNS(DeathsTimeS!HeadRow)),1,MATCH(MO$5,DeathsTimeS!HeadRow,0))/MO$8</f>
        <v>0</v>
      </c>
      <c r="MP26" s="278">
        <f ca="1">$A26 - DeathsTimeS!SouthAfrica100dt + 1</f>
        <v>-73</v>
      </c>
      <c r="MQ26" s="20">
        <f ca="1">INDEX(OFFSET(DeathsTimeS!HeadRow,ROW()-ROW(DeathsTimeS!HeadRow),0,1,COLUMNS(DeathsTimeS!HeadRow)),1,MATCH(MQ$5,DeathsTimeS!HeadRow,0))/MQ$8</f>
        <v>0</v>
      </c>
      <c r="MR26" s="278">
        <f ca="1">$A26 - DeathsTimeS!Germany100dt + 1</f>
        <v>-43</v>
      </c>
      <c r="MS26" s="20">
        <f ca="1">INDEX(OFFSET(DeathsTimeS!HeadRow,ROW()-ROW(DeathsTimeS!HeadRow),0,1,COLUMNS(DeathsTimeS!HeadRow)),1,MATCH(MS$5,DeathsTimeS!HeadRow,0))/MS$8</f>
        <v>0</v>
      </c>
      <c r="MT26" s="278">
        <f ca="1">$A26 - DeathsTimeS!Ireland100dt + 1</f>
        <v>-45</v>
      </c>
      <c r="MU26" s="73">
        <f ca="1">INDEX(OFFSET(DeathsTimeS!HeadRow,ROW()-ROW(DeathsTimeS!HeadRow),0,1,COLUMNS(DeathsTimeS!HeadRow)),1,MATCH(MU$5,DeathsTimeS!HeadRow,0))/MU$8</f>
        <v>0</v>
      </c>
      <c r="MV26" s="278">
        <f ca="1">$A26 - DeathsTimeS!UnitedKingdom100dt + 1</f>
        <v>-39</v>
      </c>
      <c r="MW26" s="73">
        <f ca="1">INDEX(OFFSET(DeathsTimeS!HeadRow,ROW()-ROW(DeathsTimeS!HeadRow),0,1,COLUMNS(DeathsTimeS!HeadRow)),1,MATCH(MW$5,DeathsTimeS!HeadRow,0))/MW$8</f>
        <v>0</v>
      </c>
      <c r="MX26" s="278">
        <f ca="1">$A26 - DeathsTimeS!Denmark100dt + 1</f>
        <v>-41</v>
      </c>
      <c r="MY26" s="73">
        <f ca="1">INDEX(OFFSET(DeathsTimeS!HeadRow,ROW()-ROW(DeathsTimeS!HeadRow),0,1,COLUMNS(DeathsTimeS!HeadRow)),1,MATCH(MY$5,DeathsTimeS!HeadRow,0))/MY$8</f>
        <v>0</v>
      </c>
      <c r="MZ26" s="278">
        <f ca="1">$A26 - DeathsTimeS!US100dt + 1</f>
        <v>-42</v>
      </c>
      <c r="NA26" s="73">
        <f ca="1">INDEX(OFFSET(DeathsTimeS!HeadRow,ROW()-ROW(DeathsTimeS!HeadRow),0,1,COLUMNS(DeathsTimeS!HeadRow)),1,MATCH(NA$5,DeathsTimeS!HeadRow,0))/NA$8</f>
        <v>0</v>
      </c>
      <c r="NB26" s="278">
        <f ca="1">$A26 - DeathsTimeS!AustraliaSum100dt + 1</f>
        <v>-48</v>
      </c>
      <c r="NC26" s="366">
        <f t="shared" si="6"/>
        <v>0</v>
      </c>
      <c r="ND26" s="278">
        <f ca="1">$A26 - DeathsTimeS!Taiwan100dt + 1</f>
        <v>-80</v>
      </c>
      <c r="NE26" s="366">
        <f ca="1">INDEX(OFFSET(DeathsTimeS!HeadRow,ROW()-ROW(DeathsTimeS!HeadRow),0,1,COLUMNS(DeathsTimeS!HeadRow)),1,MATCH(NE$5,DeathsTimeS!HeadRow,0))/NE$8</f>
        <v>0</v>
      </c>
      <c r="NF26" s="278">
        <f ca="1">$A26 - DeathsTimeS!Hubei100dt + 1</f>
        <v>11</v>
      </c>
      <c r="NG26" s="366">
        <f ca="1">INDEX(OFFSET(DeathsTimeS!HeadRow,ROW()-ROW(DeathsTimeS!HeadRow),0,1,COLUMNS(DeathsTimeS!HeadRow)),1,MATCH(NG$5,DeathsTimeS!HeadRow,0))/NG$8</f>
        <v>105.64102564102565</v>
      </c>
      <c r="NH26" s="278">
        <f ca="1">$A26 - DeathsTimeS!HongKong100dt + 1</f>
        <v>-80</v>
      </c>
      <c r="NI26" s="366">
        <f ca="1">INDEX(OFFSET(DeathsTimeS!HeadRow,ROW()-ROW(DeathsTimeS!HeadRow),0,1,COLUMNS(DeathsTimeS!HeadRow)),1,MATCH(NI$5,DeathsTimeS!HeadRow,0))/NI$8</f>
        <v>1.3421017313112333</v>
      </c>
    </row>
    <row r="27" spans="1:373" x14ac:dyDescent="0.25">
      <c r="A27" s="156">
        <v>43868</v>
      </c>
      <c r="B27" s="25">
        <v>0</v>
      </c>
      <c r="C27" s="25">
        <v>0</v>
      </c>
      <c r="D27" s="25">
        <v>0</v>
      </c>
      <c r="E27" s="25">
        <v>0</v>
      </c>
      <c r="F27" s="25">
        <v>0</v>
      </c>
      <c r="G27" s="25">
        <v>0</v>
      </c>
      <c r="H27" s="25">
        <v>0</v>
      </c>
      <c r="I27" s="25">
        <v>0</v>
      </c>
      <c r="J27" s="25">
        <v>0</v>
      </c>
      <c r="K27" s="25">
        <v>0</v>
      </c>
      <c r="L27" s="25">
        <v>0</v>
      </c>
      <c r="M27" s="25">
        <v>0</v>
      </c>
      <c r="N27" s="25">
        <v>0</v>
      </c>
      <c r="O27" s="25">
        <v>0</v>
      </c>
      <c r="P27" s="25">
        <v>0</v>
      </c>
      <c r="Q27" s="25">
        <v>0</v>
      </c>
      <c r="R27" s="25">
        <v>0</v>
      </c>
      <c r="S27" s="25">
        <v>0</v>
      </c>
      <c r="T27" s="25">
        <v>0</v>
      </c>
      <c r="U27" s="25">
        <v>0</v>
      </c>
      <c r="V27" s="25">
        <v>0</v>
      </c>
      <c r="W27" s="25">
        <v>0</v>
      </c>
      <c r="X27" s="25">
        <v>0</v>
      </c>
      <c r="Y27" s="25">
        <v>0</v>
      </c>
      <c r="Z27" s="25">
        <v>0</v>
      </c>
      <c r="AA27" s="25">
        <v>0</v>
      </c>
      <c r="AB27" s="25">
        <v>0</v>
      </c>
      <c r="AC27" s="25">
        <v>0</v>
      </c>
      <c r="AD27" s="25">
        <v>0</v>
      </c>
      <c r="AE27" s="25">
        <v>0</v>
      </c>
      <c r="AF27" s="25">
        <v>0</v>
      </c>
      <c r="AG27" s="25">
        <v>0</v>
      </c>
      <c r="AH27" s="25">
        <v>0</v>
      </c>
      <c r="AI27" s="25">
        <v>0</v>
      </c>
      <c r="AJ27" s="25">
        <v>0</v>
      </c>
      <c r="AK27" s="25">
        <v>0</v>
      </c>
      <c r="AL27" s="25">
        <v>0</v>
      </c>
      <c r="AM27" s="25">
        <v>0</v>
      </c>
      <c r="AN27" s="25">
        <v>0</v>
      </c>
      <c r="AO27" s="25">
        <v>0</v>
      </c>
      <c r="AP27" s="25">
        <v>0</v>
      </c>
      <c r="AQ27" s="25">
        <v>0</v>
      </c>
      <c r="AR27" s="25">
        <v>0</v>
      </c>
      <c r="AS27" s="25">
        <v>0</v>
      </c>
      <c r="AT27" s="25">
        <v>0</v>
      </c>
      <c r="AU27" s="25">
        <v>0</v>
      </c>
      <c r="AV27" s="25">
        <v>0</v>
      </c>
      <c r="AW27" s="25">
        <v>0</v>
      </c>
      <c r="AX27" s="25">
        <v>0</v>
      </c>
      <c r="AY27" s="25">
        <v>0</v>
      </c>
      <c r="AZ27" s="25">
        <v>1</v>
      </c>
      <c r="BA27" s="25">
        <v>2</v>
      </c>
      <c r="BB27" s="25">
        <v>0</v>
      </c>
      <c r="BC27" s="25">
        <v>0</v>
      </c>
      <c r="BD27" s="25">
        <v>1</v>
      </c>
      <c r="BE27" s="25">
        <v>0</v>
      </c>
      <c r="BF27" s="25">
        <v>1</v>
      </c>
      <c r="BG27" s="25">
        <v>2</v>
      </c>
      <c r="BH27" s="25">
        <v>1</v>
      </c>
      <c r="BI27" s="25">
        <v>3</v>
      </c>
      <c r="BJ27" s="25">
        <v>3</v>
      </c>
      <c r="BK27" s="25">
        <v>1</v>
      </c>
      <c r="BL27" s="25">
        <v>699</v>
      </c>
      <c r="BM27" s="25">
        <v>0</v>
      </c>
      <c r="BN27" s="25">
        <v>0</v>
      </c>
      <c r="BO27" s="25">
        <v>0</v>
      </c>
      <c r="BP27" s="25">
        <v>0</v>
      </c>
      <c r="BQ27" s="25">
        <v>1</v>
      </c>
      <c r="BR27" s="25">
        <v>0</v>
      </c>
      <c r="BS27" s="25">
        <v>0</v>
      </c>
      <c r="BT27" s="25">
        <v>0</v>
      </c>
      <c r="BU27" s="25">
        <v>0</v>
      </c>
      <c r="BV27" s="25">
        <v>0</v>
      </c>
      <c r="BW27" s="25">
        <v>0</v>
      </c>
      <c r="BX27" s="25">
        <v>1</v>
      </c>
      <c r="BY27" s="25">
        <v>0</v>
      </c>
      <c r="BZ27" s="25">
        <v>1</v>
      </c>
      <c r="CA27" s="25">
        <v>1</v>
      </c>
      <c r="CB27" s="25">
        <v>0</v>
      </c>
      <c r="CC27" s="25">
        <v>0</v>
      </c>
      <c r="CD27" s="25">
        <v>0</v>
      </c>
      <c r="CE27" s="25">
        <v>0</v>
      </c>
      <c r="CF27" s="25">
        <v>0</v>
      </c>
      <c r="CG27" s="25">
        <v>0</v>
      </c>
      <c r="CH27" s="25">
        <v>0</v>
      </c>
      <c r="CI27" s="25">
        <v>0</v>
      </c>
      <c r="CJ27" s="25">
        <v>0</v>
      </c>
      <c r="CK27" s="25">
        <v>0</v>
      </c>
      <c r="CL27" s="25">
        <v>0</v>
      </c>
      <c r="CM27" s="25">
        <v>0</v>
      </c>
      <c r="CN27" s="25">
        <v>0</v>
      </c>
      <c r="CO27" s="25">
        <v>0</v>
      </c>
      <c r="CP27" s="25">
        <v>0</v>
      </c>
      <c r="CQ27" s="25">
        <v>0</v>
      </c>
      <c r="CR27" s="25">
        <v>0</v>
      </c>
      <c r="CS27" s="25">
        <v>0</v>
      </c>
      <c r="CT27" s="25">
        <v>0</v>
      </c>
      <c r="CU27" s="25">
        <v>0</v>
      </c>
      <c r="CV27" s="25">
        <v>0</v>
      </c>
      <c r="CW27" s="25">
        <v>0</v>
      </c>
      <c r="CX27" s="25">
        <v>0</v>
      </c>
      <c r="CY27" s="25">
        <v>0</v>
      </c>
      <c r="CZ27" s="25">
        <v>0</v>
      </c>
      <c r="DA27" s="25">
        <v>0</v>
      </c>
      <c r="DB27" s="25">
        <v>0</v>
      </c>
      <c r="DC27" s="25">
        <v>0</v>
      </c>
      <c r="DD27" s="25">
        <v>0</v>
      </c>
      <c r="DE27" s="25">
        <v>0</v>
      </c>
      <c r="DF27" s="25">
        <v>0</v>
      </c>
      <c r="DG27" s="25">
        <v>0</v>
      </c>
      <c r="DH27" s="25">
        <v>0</v>
      </c>
      <c r="DI27" s="25">
        <v>0</v>
      </c>
      <c r="DJ27" s="25">
        <v>0</v>
      </c>
      <c r="DK27" s="25">
        <v>0</v>
      </c>
      <c r="DL27" s="25">
        <v>0</v>
      </c>
      <c r="DM27" s="25">
        <v>0</v>
      </c>
      <c r="DN27" s="25">
        <v>0</v>
      </c>
      <c r="DO27" s="25">
        <v>0</v>
      </c>
      <c r="DP27" s="25">
        <v>0</v>
      </c>
      <c r="DQ27" s="25">
        <v>0</v>
      </c>
      <c r="DR27" s="25">
        <v>0</v>
      </c>
      <c r="DS27" s="25">
        <v>0</v>
      </c>
      <c r="DT27" s="25">
        <v>0</v>
      </c>
      <c r="DU27" s="25">
        <v>0</v>
      </c>
      <c r="DV27" s="25">
        <v>0</v>
      </c>
      <c r="DW27" s="25">
        <v>0</v>
      </c>
      <c r="DX27" s="25">
        <v>0</v>
      </c>
      <c r="DY27" s="25">
        <v>0</v>
      </c>
      <c r="DZ27" s="25">
        <v>0</v>
      </c>
      <c r="EA27" s="25">
        <v>0</v>
      </c>
      <c r="EB27" s="25">
        <v>0</v>
      </c>
      <c r="EC27" s="25">
        <v>0</v>
      </c>
      <c r="ED27" s="25">
        <v>0</v>
      </c>
      <c r="EE27" s="25">
        <v>0</v>
      </c>
      <c r="EF27" s="25">
        <v>0</v>
      </c>
      <c r="EG27" s="25">
        <v>0</v>
      </c>
      <c r="EH27" s="25">
        <v>0</v>
      </c>
      <c r="EI27" s="25">
        <v>0</v>
      </c>
      <c r="EJ27" s="25">
        <v>0</v>
      </c>
      <c r="EK27" s="25">
        <v>0</v>
      </c>
      <c r="EL27" s="25">
        <v>0</v>
      </c>
      <c r="EM27" s="25">
        <v>0</v>
      </c>
      <c r="EN27" s="25">
        <v>0</v>
      </c>
      <c r="EO27" s="25">
        <v>0</v>
      </c>
      <c r="EP27" s="25">
        <v>0</v>
      </c>
      <c r="EQ27" s="25">
        <v>0</v>
      </c>
      <c r="ER27" s="25">
        <v>0</v>
      </c>
      <c r="ES27" s="25">
        <v>0</v>
      </c>
      <c r="ET27" s="25">
        <v>0</v>
      </c>
      <c r="EU27" s="25">
        <v>0</v>
      </c>
      <c r="EV27" s="25">
        <v>0</v>
      </c>
      <c r="EW27" s="25">
        <v>0</v>
      </c>
      <c r="EX27" s="25">
        <v>0</v>
      </c>
      <c r="EY27" s="25">
        <v>0</v>
      </c>
      <c r="EZ27" s="25">
        <v>0</v>
      </c>
      <c r="FA27" s="25">
        <v>0</v>
      </c>
      <c r="FB27" s="25">
        <v>0</v>
      </c>
      <c r="FC27" s="25">
        <v>0</v>
      </c>
      <c r="FD27" s="25">
        <v>0</v>
      </c>
      <c r="FE27" s="25">
        <v>0</v>
      </c>
      <c r="FF27" s="25">
        <v>0</v>
      </c>
      <c r="FG27" s="25">
        <v>0</v>
      </c>
      <c r="FH27" s="25">
        <v>0</v>
      </c>
      <c r="FI27" s="25">
        <v>0</v>
      </c>
      <c r="FJ27" s="25">
        <v>0</v>
      </c>
      <c r="FK27" s="25">
        <v>0</v>
      </c>
      <c r="FL27" s="25">
        <v>0</v>
      </c>
      <c r="FM27" s="25">
        <v>0</v>
      </c>
      <c r="FN27" s="25">
        <v>0</v>
      </c>
      <c r="FO27" s="25">
        <v>0</v>
      </c>
      <c r="FP27" s="25">
        <v>0</v>
      </c>
      <c r="FQ27" s="25">
        <v>0</v>
      </c>
      <c r="FR27" s="25">
        <v>0</v>
      </c>
      <c r="FS27" s="25">
        <v>0</v>
      </c>
      <c r="FT27" s="25">
        <v>0</v>
      </c>
      <c r="FU27" s="25">
        <v>0</v>
      </c>
      <c r="FV27" s="25">
        <v>0</v>
      </c>
      <c r="FW27" s="25">
        <v>0</v>
      </c>
      <c r="FX27" s="25">
        <v>0</v>
      </c>
      <c r="FY27" s="25">
        <v>0</v>
      </c>
      <c r="FZ27" s="25">
        <v>0</v>
      </c>
      <c r="GA27" s="25">
        <v>0</v>
      </c>
      <c r="GB27" s="25">
        <v>1</v>
      </c>
      <c r="GC27" s="25">
        <v>0</v>
      </c>
      <c r="GD27" s="25">
        <v>0</v>
      </c>
      <c r="GE27" s="25">
        <v>0</v>
      </c>
      <c r="GF27" s="25">
        <v>0</v>
      </c>
      <c r="GG27" s="25">
        <v>0</v>
      </c>
      <c r="GH27" s="25">
        <v>0</v>
      </c>
      <c r="GI27" s="25">
        <v>0</v>
      </c>
      <c r="GJ27" s="25">
        <v>0</v>
      </c>
      <c r="GK27" s="25">
        <v>0</v>
      </c>
      <c r="GL27" s="25">
        <v>0</v>
      </c>
      <c r="GM27" s="25">
        <v>0</v>
      </c>
      <c r="GN27" s="25">
        <v>0</v>
      </c>
      <c r="GO27" s="25">
        <v>0</v>
      </c>
      <c r="GP27" s="25">
        <v>0</v>
      </c>
      <c r="GQ27" s="25">
        <v>0</v>
      </c>
      <c r="GR27" s="25">
        <v>0</v>
      </c>
      <c r="GS27" s="25">
        <v>0</v>
      </c>
      <c r="GT27" s="25">
        <v>0</v>
      </c>
      <c r="GU27" s="25">
        <v>0</v>
      </c>
      <c r="GV27" s="25">
        <v>0</v>
      </c>
      <c r="GW27" s="25">
        <v>0</v>
      </c>
      <c r="GX27" s="25">
        <v>0</v>
      </c>
      <c r="GY27" s="46">
        <v>0</v>
      </c>
      <c r="GZ27" s="25">
        <v>0</v>
      </c>
      <c r="HA27" s="25">
        <v>0</v>
      </c>
      <c r="HB27" s="25">
        <v>0</v>
      </c>
      <c r="HC27" s="25">
        <v>0</v>
      </c>
      <c r="HD27" s="25">
        <v>0</v>
      </c>
      <c r="HE27" s="25">
        <v>0</v>
      </c>
      <c r="HF27" s="25">
        <v>0</v>
      </c>
      <c r="HG27" s="25">
        <v>0</v>
      </c>
      <c r="HH27" s="25">
        <v>0</v>
      </c>
      <c r="HI27" s="25">
        <v>0</v>
      </c>
      <c r="HJ27" s="25">
        <v>0</v>
      </c>
      <c r="HK27" s="25">
        <v>0</v>
      </c>
      <c r="HL27" s="25">
        <v>0</v>
      </c>
      <c r="HM27" s="25">
        <v>0</v>
      </c>
      <c r="HN27" s="25">
        <v>0</v>
      </c>
      <c r="HO27" s="25">
        <v>0</v>
      </c>
      <c r="HP27" s="25">
        <v>0</v>
      </c>
      <c r="HQ27" s="25">
        <v>0</v>
      </c>
      <c r="HR27" s="25">
        <v>0</v>
      </c>
      <c r="HS27" s="25">
        <v>0</v>
      </c>
      <c r="HT27" s="25">
        <v>0</v>
      </c>
      <c r="HU27" s="25">
        <v>0</v>
      </c>
      <c r="HV27" s="25">
        <v>0</v>
      </c>
      <c r="HW27" s="25">
        <v>0</v>
      </c>
      <c r="HX27" s="25">
        <v>0</v>
      </c>
      <c r="HY27" s="25">
        <v>0</v>
      </c>
      <c r="HZ27" s="25">
        <v>0</v>
      </c>
      <c r="IA27" s="25">
        <v>0</v>
      </c>
      <c r="IB27" s="25">
        <v>0</v>
      </c>
      <c r="IC27" s="25">
        <v>0</v>
      </c>
      <c r="ID27" s="25">
        <v>0</v>
      </c>
      <c r="IE27" s="25">
        <v>0</v>
      </c>
      <c r="IF27" s="25">
        <v>0</v>
      </c>
      <c r="IG27" s="25">
        <v>0</v>
      </c>
      <c r="IH27" s="25">
        <v>0</v>
      </c>
      <c r="II27" s="25">
        <v>0</v>
      </c>
      <c r="IJ27" s="25">
        <v>0</v>
      </c>
      <c r="IK27" s="25">
        <v>0</v>
      </c>
      <c r="IL27" s="25">
        <v>0</v>
      </c>
      <c r="IM27" s="25">
        <v>0</v>
      </c>
      <c r="IN27" s="25">
        <v>0</v>
      </c>
      <c r="IO27" s="25">
        <v>0</v>
      </c>
      <c r="IP27" s="25">
        <v>0</v>
      </c>
      <c r="IQ27" s="25">
        <v>0</v>
      </c>
      <c r="IR27" s="25">
        <v>0</v>
      </c>
      <c r="IS27" s="25">
        <v>0</v>
      </c>
      <c r="IT27" s="25">
        <v>0</v>
      </c>
      <c r="IU27" s="25">
        <v>0</v>
      </c>
      <c r="IV27" s="25">
        <v>0</v>
      </c>
      <c r="IW27" s="25">
        <v>0</v>
      </c>
      <c r="IX27" s="25">
        <v>0</v>
      </c>
      <c r="IY27" s="25">
        <v>0</v>
      </c>
      <c r="IZ27" s="25">
        <v>0</v>
      </c>
      <c r="JA27" s="25">
        <v>0</v>
      </c>
      <c r="JB27" s="25">
        <v>0</v>
      </c>
      <c r="JC27" s="25">
        <v>0</v>
      </c>
      <c r="JD27" s="25">
        <v>0</v>
      </c>
      <c r="JE27" s="25">
        <v>0</v>
      </c>
      <c r="JF27" s="25">
        <v>0</v>
      </c>
      <c r="JG27" s="25">
        <v>0</v>
      </c>
      <c r="JH27" s="25">
        <v>0</v>
      </c>
      <c r="JI27" s="25">
        <v>0</v>
      </c>
      <c r="JJ27" s="25">
        <v>0</v>
      </c>
      <c r="JK27" s="25">
        <v>0</v>
      </c>
      <c r="JL27" s="25">
        <v>0</v>
      </c>
      <c r="JM27" s="25">
        <v>0</v>
      </c>
      <c r="JN27" s="25">
        <v>0</v>
      </c>
      <c r="JO27" s="25">
        <v>0</v>
      </c>
      <c r="JP27" s="25">
        <v>0</v>
      </c>
      <c r="JQ27" s="25">
        <v>0</v>
      </c>
      <c r="JR27" s="25">
        <v>0</v>
      </c>
      <c r="JS27" s="25">
        <v>0</v>
      </c>
      <c r="JT27" s="25">
        <v>0</v>
      </c>
      <c r="JU27" s="25">
        <v>0</v>
      </c>
      <c r="JV27" s="25">
        <v>0</v>
      </c>
      <c r="JW27" s="25">
        <v>0</v>
      </c>
      <c r="JX27" s="25">
        <v>0</v>
      </c>
      <c r="JY27" s="25">
        <v>0</v>
      </c>
      <c r="JZ27" s="25">
        <v>0</v>
      </c>
      <c r="KA27" s="25">
        <v>0</v>
      </c>
      <c r="KB27" s="25">
        <v>0</v>
      </c>
      <c r="KC27" s="25">
        <v>0</v>
      </c>
      <c r="KD27" s="25">
        <v>0</v>
      </c>
      <c r="KE27" s="25">
        <v>0</v>
      </c>
      <c r="KF27" s="25">
        <v>0</v>
      </c>
      <c r="KG27" s="25">
        <v>0</v>
      </c>
      <c r="KH27" s="25">
        <v>0</v>
      </c>
      <c r="KI27" s="25">
        <v>0</v>
      </c>
      <c r="KJ27" s="25">
        <v>0</v>
      </c>
      <c r="KK27" s="25">
        <v>0</v>
      </c>
      <c r="KL27" s="25">
        <v>0</v>
      </c>
      <c r="KM27" s="25">
        <v>0</v>
      </c>
      <c r="KN27" s="25">
        <v>0</v>
      </c>
      <c r="KO27" s="25">
        <v>0</v>
      </c>
      <c r="KP27" s="25">
        <v>0</v>
      </c>
      <c r="KQ27" s="25">
        <v>0</v>
      </c>
      <c r="KR27" s="25">
        <v>0</v>
      </c>
      <c r="KS27" s="25">
        <v>0</v>
      </c>
      <c r="KT27" s="25">
        <v>0</v>
      </c>
      <c r="KU27" s="25">
        <v>0</v>
      </c>
      <c r="KV27" s="25">
        <v>0</v>
      </c>
      <c r="KW27" s="25">
        <v>0</v>
      </c>
      <c r="KX27" s="25">
        <v>0</v>
      </c>
      <c r="KY27" s="25">
        <v>0</v>
      </c>
      <c r="KZ27" s="25">
        <v>0</v>
      </c>
      <c r="LA27" s="25">
        <v>0</v>
      </c>
      <c r="LB27" s="25">
        <v>0</v>
      </c>
      <c r="LC27" s="25">
        <v>0</v>
      </c>
      <c r="LD27" s="25">
        <v>0</v>
      </c>
      <c r="LE27" s="25">
        <v>0</v>
      </c>
      <c r="LF27" s="25">
        <v>0</v>
      </c>
      <c r="LG27" s="25">
        <v>0</v>
      </c>
      <c r="LH27" s="25">
        <v>0</v>
      </c>
      <c r="LI27" s="25">
        <v>0</v>
      </c>
      <c r="LJ27" s="25">
        <v>0</v>
      </c>
      <c r="LK27" s="25">
        <v>0</v>
      </c>
      <c r="LL27" s="25">
        <v>0</v>
      </c>
      <c r="LM27" s="25">
        <v>0</v>
      </c>
      <c r="LN27" s="278">
        <f ca="1">$A27 - DeathsTimeS!Sweden100dt + 1</f>
        <v>-40</v>
      </c>
      <c r="LO27" s="366">
        <f ca="1">INDEX(OFFSET(DeathsTimeS!HeadRow,ROW()-ROW(DeathsTimeS!HeadRow),0,1,COLUMNS(DeathsTimeS!HeadRow)),1,MATCH(LO$5,DeathsTimeS!HeadRow,0))/LO$8</f>
        <v>0</v>
      </c>
      <c r="LP27" s="278">
        <f ca="1">$A27 - DeathsTimeS!Spain100dt</f>
        <v>-33</v>
      </c>
      <c r="LQ27" s="11">
        <f ca="1">INDEX(OFFSET(DeathsTimeS!HeadRow,ROW()-ROW(DeathsTimeS!HeadRow),0,1,COLUMNS(DeathsTimeS!HeadRow)),1,MATCH(LQ$5,DeathsTimeS!HeadRow,0))/LQ$8</f>
        <v>0</v>
      </c>
      <c r="LR27" s="278">
        <f ca="1">$A27 - DeathsTimeS!Victoria100dt</f>
        <v>-56</v>
      </c>
      <c r="LS27" s="11">
        <f ca="1">INDEX(OFFSET(DeathsTimeS!HeadRow,ROW()-ROW(DeathsTimeS!HeadRow),0,1,COLUMNS(DeathsTimeS!HeadRow)),1,MATCH(LS$5,DeathsTimeS!HeadRow,0))/LS$8</f>
        <v>0</v>
      </c>
      <c r="LT27" s="278">
        <f ca="1">$A27 - DeathsTimeS!Iran100dt</f>
        <v>-26</v>
      </c>
      <c r="LU27" s="11">
        <f ca="1">INDEX(OFFSET(DeathsTimeS!HeadRow,ROW()-ROW(DeathsTimeS!HeadRow),0,1,COLUMNS(DeathsTimeS!HeadRow)),1,MATCH(LU$5,DeathsTimeS!HeadRow,0))/LU$8</f>
        <v>0</v>
      </c>
      <c r="LV27" s="278">
        <f ca="1">$A27 - DeathsTimeS!Japan100dt</f>
        <v>-67</v>
      </c>
      <c r="LW27" s="11">
        <f ca="1">INDEX(OFFSET(DeathsTimeS!HeadRow,ROW()-ROW(DeathsTimeS!HeadRow),0,1,COLUMNS(DeathsTimeS!HeadRow)),1,MATCH(LW$5,DeathsTimeS!HeadRow,0))/LW$8</f>
        <v>0</v>
      </c>
      <c r="LX27" s="278">
        <f ca="1">$A27 - DeathsTimeS!Queensland100dt</f>
        <v>-71</v>
      </c>
      <c r="LY27" s="11">
        <f ca="1">INDEX(OFFSET(DeathsTimeS!HeadRow,ROW()-ROW(DeathsTimeS!HeadRow),0,1,COLUMNS(DeathsTimeS!HeadRow)),1,MATCH(LY$5,DeathsTimeS!HeadRow,0))/LY$8</f>
        <v>0</v>
      </c>
      <c r="LZ27" s="278">
        <f ca="1">$A27 - DeathsTimeS!Tasmania100dt</f>
        <v>-53</v>
      </c>
      <c r="MA27" s="11">
        <f ca="1">INDEX(OFFSET(DeathsTimeS!HeadRow,ROW()-ROW(DeathsTimeS!HeadRow),0,1,COLUMNS(DeathsTimeS!HeadRow)),1,MATCH(MA$5,DeathsTimeS!HeadRow,0))/MA$8</f>
        <v>0</v>
      </c>
      <c r="MB27" s="278">
        <f ca="1">$A27 - DeathsTimeS!SouthAustralia100dt</f>
        <v>-61</v>
      </c>
      <c r="MC27" s="11">
        <f ca="1">INDEX(OFFSET(DeathsTimeS!HeadRow,ROW()-ROW(DeathsTimeS!HeadRow),0,1,COLUMNS(DeathsTimeS!HeadRow)),1,MATCH(MC$5,DeathsTimeS!HeadRow,0))/MC$8</f>
        <v>0</v>
      </c>
      <c r="MD27" s="278">
        <f ca="1">$A27 - DeathsTimeS!WesternAustralia100dt</f>
        <v>-58</v>
      </c>
      <c r="ME27" s="11">
        <f ca="1">INDEX(OFFSET(DeathsTimeS!HeadRow,ROW()-ROW(DeathsTimeS!HeadRow),0,1,COLUMNS(DeathsTimeS!HeadRow)),1,MATCH(ME$5,DeathsTimeS!HeadRow,0))/ME$8</f>
        <v>0</v>
      </c>
      <c r="MF27" s="278">
        <f ca="1">$A27 - DeathsTimeS!NewSouthWales100dt</f>
        <v>-54</v>
      </c>
      <c r="MG27" s="11">
        <f ca="1">INDEX(OFFSET(DeathsTimeS!HeadRow,ROW()-ROW(DeathsTimeS!HeadRow),0,1,COLUMNS(DeathsTimeS!HeadRow)),1,MATCH(MG$5,DeathsTimeS!HeadRow,0))/MG$8</f>
        <v>0</v>
      </c>
      <c r="MH27" s="278">
        <f ca="1">$A27 - DeathsTimeS!NewYork100dt</f>
        <v>-38</v>
      </c>
      <c r="MI27" s="11">
        <f ca="1">INDEX(OFFSET(DeathsTimeS!HeadRow,ROW()-ROW(DeathsTimeS!HeadRow),0,1,COLUMNS(DeathsTimeS!HeadRow)),1,MATCH(MI$5,DeathsTimeS!HeadRow,0))/MI$8</f>
        <v>0</v>
      </c>
      <c r="MJ27" s="278">
        <f ca="1">$A27 - DeathsTimeS!Italy100dt</f>
        <v>-25</v>
      </c>
      <c r="MK27" s="11">
        <f ca="1">INDEX(OFFSET(DeathsTimeS!HeadRow,ROW()-ROW(DeathsTimeS!HeadRow),0,1,COLUMNS(DeathsTimeS!HeadRow)),1,MATCH(MK$5,DeathsTimeS!HeadRow,0))/MK$8</f>
        <v>0</v>
      </c>
      <c r="ML27" s="278">
        <f ca="1">$A27 - DeathsTimeS!AustralianCapitalTerritory100dt</f>
        <v>-52</v>
      </c>
      <c r="MM27" s="11">
        <f ca="1">INDEX(OFFSET(DeathsTimeS!HeadRow,ROW()-ROW(DeathsTimeS!HeadRow),0,1,COLUMNS(DeathsTimeS!HeadRow)),1,MATCH(MM$5,DeathsTimeS!HeadRow,0))/MM$8</f>
        <v>0</v>
      </c>
      <c r="MN27" s="278">
        <f ca="1">IF(DeathsTimeS!NorthernTerritory100dt&gt;0,$A27 - DeathsTimeS!NorthernTerritory100dt,"")</f>
        <v>-80</v>
      </c>
      <c r="MO27" s="11">
        <f ca="1">INDEX(OFFSET(DeathsTimeS!HeadRow,ROW()-ROW(DeathsTimeS!HeadRow),0,1,COLUMNS(DeathsTimeS!HeadRow)),1,MATCH(MO$5,DeathsTimeS!HeadRow,0))/MO$8</f>
        <v>0</v>
      </c>
      <c r="MP27" s="278">
        <f ca="1">$A27 - DeathsTimeS!SouthAfrica100dt + 1</f>
        <v>-72</v>
      </c>
      <c r="MQ27" s="20">
        <f ca="1">INDEX(OFFSET(DeathsTimeS!HeadRow,ROW()-ROW(DeathsTimeS!HeadRow),0,1,COLUMNS(DeathsTimeS!HeadRow)),1,MATCH(MQ$5,DeathsTimeS!HeadRow,0))/MQ$8</f>
        <v>0</v>
      </c>
      <c r="MR27" s="278">
        <f ca="1">$A27 - DeathsTimeS!Germany100dt + 1</f>
        <v>-42</v>
      </c>
      <c r="MS27" s="20">
        <f ca="1">INDEX(OFFSET(DeathsTimeS!HeadRow,ROW()-ROW(DeathsTimeS!HeadRow),0,1,COLUMNS(DeathsTimeS!HeadRow)),1,MATCH(MS$5,DeathsTimeS!HeadRow,0))/MS$8</f>
        <v>0</v>
      </c>
      <c r="MT27" s="278">
        <f ca="1">$A27 - DeathsTimeS!Ireland100dt + 1</f>
        <v>-44</v>
      </c>
      <c r="MU27" s="73">
        <f ca="1">INDEX(OFFSET(DeathsTimeS!HeadRow,ROW()-ROW(DeathsTimeS!HeadRow),0,1,COLUMNS(DeathsTimeS!HeadRow)),1,MATCH(MU$5,DeathsTimeS!HeadRow,0))/MU$8</f>
        <v>0</v>
      </c>
      <c r="MV27" s="278">
        <f ca="1">$A27 - DeathsTimeS!UnitedKingdom100dt + 1</f>
        <v>-38</v>
      </c>
      <c r="MW27" s="73">
        <f ca="1">INDEX(OFFSET(DeathsTimeS!HeadRow,ROW()-ROW(DeathsTimeS!HeadRow),0,1,COLUMNS(DeathsTimeS!HeadRow)),1,MATCH(MW$5,DeathsTimeS!HeadRow,0))/MW$8</f>
        <v>0</v>
      </c>
      <c r="MX27" s="278">
        <f ca="1">$A27 - DeathsTimeS!Denmark100dt + 1</f>
        <v>-40</v>
      </c>
      <c r="MY27" s="73">
        <f ca="1">INDEX(OFFSET(DeathsTimeS!HeadRow,ROW()-ROW(DeathsTimeS!HeadRow),0,1,COLUMNS(DeathsTimeS!HeadRow)),1,MATCH(MY$5,DeathsTimeS!HeadRow,0))/MY$8</f>
        <v>0</v>
      </c>
      <c r="MZ27" s="278">
        <f ca="1">$A27 - DeathsTimeS!US100dt + 1</f>
        <v>-41</v>
      </c>
      <c r="NA27" s="73">
        <f ca="1">INDEX(OFFSET(DeathsTimeS!HeadRow,ROW()-ROW(DeathsTimeS!HeadRow),0,1,COLUMNS(DeathsTimeS!HeadRow)),1,MATCH(NA$5,DeathsTimeS!HeadRow,0))/NA$8</f>
        <v>0</v>
      </c>
      <c r="NB27" s="278">
        <f ca="1">$A27 - DeathsTimeS!AustraliaSum100dt + 1</f>
        <v>-47</v>
      </c>
      <c r="NC27" s="366">
        <f t="shared" si="6"/>
        <v>0</v>
      </c>
      <c r="ND27" s="278">
        <f ca="1">$A27 - DeathsTimeS!Taiwan100dt + 1</f>
        <v>-79</v>
      </c>
      <c r="NE27" s="366">
        <f ca="1">INDEX(OFFSET(DeathsTimeS!HeadRow,ROW()-ROW(DeathsTimeS!HeadRow),0,1,COLUMNS(DeathsTimeS!HeadRow)),1,MATCH(NE$5,DeathsTimeS!HeadRow,0))/NE$8</f>
        <v>0</v>
      </c>
      <c r="NF27" s="278">
        <f ca="1">$A27 - DeathsTimeS!Hubei100dt + 1</f>
        <v>12</v>
      </c>
      <c r="NG27" s="366">
        <f ca="1">INDEX(OFFSET(DeathsTimeS!HeadRow,ROW()-ROW(DeathsTimeS!HeadRow),0,1,COLUMNS(DeathsTimeS!HeadRow)),1,MATCH(NG$5,DeathsTimeS!HeadRow,0))/NG$8</f>
        <v>119.48717948717949</v>
      </c>
      <c r="NH27" s="278">
        <f ca="1">$A27 - DeathsTimeS!HongKong100dt + 1</f>
        <v>-79</v>
      </c>
      <c r="NI27" s="366">
        <f ca="1">INDEX(OFFSET(DeathsTimeS!HeadRow,ROW()-ROW(DeathsTimeS!HeadRow),0,1,COLUMNS(DeathsTimeS!HeadRow)),1,MATCH(NI$5,DeathsTimeS!HeadRow,0))/NI$8</f>
        <v>1.3421017313112333</v>
      </c>
    </row>
    <row r="28" spans="1:373" x14ac:dyDescent="0.25">
      <c r="A28" s="156">
        <v>43869</v>
      </c>
      <c r="B28" s="25">
        <v>0</v>
      </c>
      <c r="C28" s="25">
        <v>0</v>
      </c>
      <c r="D28" s="25">
        <v>0</v>
      </c>
      <c r="E28" s="25">
        <v>0</v>
      </c>
      <c r="F28" s="25">
        <v>0</v>
      </c>
      <c r="G28" s="25">
        <v>0</v>
      </c>
      <c r="H28" s="25">
        <v>0</v>
      </c>
      <c r="I28" s="25">
        <v>0</v>
      </c>
      <c r="J28" s="25">
        <v>0</v>
      </c>
      <c r="K28" s="25">
        <v>0</v>
      </c>
      <c r="L28" s="25">
        <v>0</v>
      </c>
      <c r="M28" s="25">
        <v>0</v>
      </c>
      <c r="N28" s="25">
        <v>0</v>
      </c>
      <c r="O28" s="25">
        <v>0</v>
      </c>
      <c r="P28" s="25">
        <v>0</v>
      </c>
      <c r="Q28" s="25">
        <v>0</v>
      </c>
      <c r="R28" s="25">
        <v>0</v>
      </c>
      <c r="S28" s="25">
        <v>0</v>
      </c>
      <c r="T28" s="25">
        <v>0</v>
      </c>
      <c r="U28" s="25">
        <v>0</v>
      </c>
      <c r="V28" s="25">
        <v>0</v>
      </c>
      <c r="W28" s="25">
        <v>0</v>
      </c>
      <c r="X28" s="25">
        <v>0</v>
      </c>
      <c r="Y28" s="25">
        <v>0</v>
      </c>
      <c r="Z28" s="25">
        <v>0</v>
      </c>
      <c r="AA28" s="25">
        <v>0</v>
      </c>
      <c r="AB28" s="25">
        <v>0</v>
      </c>
      <c r="AC28" s="25">
        <v>0</v>
      </c>
      <c r="AD28" s="25">
        <v>0</v>
      </c>
      <c r="AE28" s="25">
        <v>0</v>
      </c>
      <c r="AF28" s="25">
        <v>0</v>
      </c>
      <c r="AG28" s="25">
        <v>0</v>
      </c>
      <c r="AH28" s="25">
        <v>0</v>
      </c>
      <c r="AI28" s="25">
        <v>0</v>
      </c>
      <c r="AJ28" s="25">
        <v>0</v>
      </c>
      <c r="AK28" s="25">
        <v>0</v>
      </c>
      <c r="AL28" s="25">
        <v>0</v>
      </c>
      <c r="AM28" s="25">
        <v>0</v>
      </c>
      <c r="AN28" s="25">
        <v>0</v>
      </c>
      <c r="AO28" s="25">
        <v>0</v>
      </c>
      <c r="AP28" s="25">
        <v>0</v>
      </c>
      <c r="AQ28" s="25">
        <v>0</v>
      </c>
      <c r="AR28" s="25">
        <v>0</v>
      </c>
      <c r="AS28" s="25">
        <v>0</v>
      </c>
      <c r="AT28" s="25">
        <v>0</v>
      </c>
      <c r="AU28" s="25">
        <v>0</v>
      </c>
      <c r="AV28" s="25">
        <v>0</v>
      </c>
      <c r="AW28" s="25">
        <v>0</v>
      </c>
      <c r="AX28" s="25">
        <v>0</v>
      </c>
      <c r="AY28" s="25">
        <v>0</v>
      </c>
      <c r="AZ28" s="25">
        <v>2</v>
      </c>
      <c r="BA28" s="25">
        <v>2</v>
      </c>
      <c r="BB28" s="25">
        <v>0</v>
      </c>
      <c r="BC28" s="25">
        <v>1</v>
      </c>
      <c r="BD28" s="25">
        <v>1</v>
      </c>
      <c r="BE28" s="25">
        <v>0</v>
      </c>
      <c r="BF28" s="25">
        <v>1</v>
      </c>
      <c r="BG28" s="25">
        <v>2</v>
      </c>
      <c r="BH28" s="25">
        <v>1</v>
      </c>
      <c r="BI28" s="25">
        <v>5</v>
      </c>
      <c r="BJ28" s="25">
        <v>4</v>
      </c>
      <c r="BK28" s="25">
        <v>1</v>
      </c>
      <c r="BL28" s="25">
        <v>780</v>
      </c>
      <c r="BM28" s="25">
        <v>1</v>
      </c>
      <c r="BN28" s="25">
        <v>0</v>
      </c>
      <c r="BO28" s="25">
        <v>0</v>
      </c>
      <c r="BP28" s="25">
        <v>0</v>
      </c>
      <c r="BQ28" s="25">
        <v>1</v>
      </c>
      <c r="BR28" s="25">
        <v>0</v>
      </c>
      <c r="BS28" s="25">
        <v>0</v>
      </c>
      <c r="BT28" s="25">
        <v>0</v>
      </c>
      <c r="BU28" s="25">
        <v>0</v>
      </c>
      <c r="BV28" s="25">
        <v>0</v>
      </c>
      <c r="BW28" s="25">
        <v>0</v>
      </c>
      <c r="BX28" s="25">
        <v>1</v>
      </c>
      <c r="BY28" s="25">
        <v>0</v>
      </c>
      <c r="BZ28" s="25">
        <v>1</v>
      </c>
      <c r="CA28" s="25">
        <v>1</v>
      </c>
      <c r="CB28" s="25">
        <v>0</v>
      </c>
      <c r="CC28" s="25">
        <v>0</v>
      </c>
      <c r="CD28" s="25">
        <v>0</v>
      </c>
      <c r="CE28" s="25">
        <v>0</v>
      </c>
      <c r="CF28" s="25">
        <v>0</v>
      </c>
      <c r="CG28" s="25">
        <v>0</v>
      </c>
      <c r="CH28" s="25">
        <v>0</v>
      </c>
      <c r="CI28" s="25">
        <v>0</v>
      </c>
      <c r="CJ28" s="25">
        <v>0</v>
      </c>
      <c r="CK28" s="25">
        <v>0</v>
      </c>
      <c r="CL28" s="25">
        <v>0</v>
      </c>
      <c r="CM28" s="25">
        <v>0</v>
      </c>
      <c r="CN28" s="25">
        <v>0</v>
      </c>
      <c r="CO28" s="25">
        <v>0</v>
      </c>
      <c r="CP28" s="25">
        <v>0</v>
      </c>
      <c r="CQ28" s="25">
        <v>0</v>
      </c>
      <c r="CR28" s="25">
        <v>0</v>
      </c>
      <c r="CS28" s="25">
        <v>0</v>
      </c>
      <c r="CT28" s="25">
        <v>0</v>
      </c>
      <c r="CU28" s="25">
        <v>0</v>
      </c>
      <c r="CV28" s="25">
        <v>0</v>
      </c>
      <c r="CW28" s="25">
        <v>0</v>
      </c>
      <c r="CX28" s="25">
        <v>0</v>
      </c>
      <c r="CY28" s="25">
        <v>0</v>
      </c>
      <c r="CZ28" s="25">
        <v>0</v>
      </c>
      <c r="DA28" s="25">
        <v>0</v>
      </c>
      <c r="DB28" s="25">
        <v>0</v>
      </c>
      <c r="DC28" s="25">
        <v>0</v>
      </c>
      <c r="DD28" s="25">
        <v>0</v>
      </c>
      <c r="DE28" s="25">
        <v>0</v>
      </c>
      <c r="DF28" s="25">
        <v>0</v>
      </c>
      <c r="DG28" s="25">
        <v>0</v>
      </c>
      <c r="DH28" s="25">
        <v>0</v>
      </c>
      <c r="DI28" s="25">
        <v>0</v>
      </c>
      <c r="DJ28" s="25">
        <v>0</v>
      </c>
      <c r="DK28" s="25">
        <v>0</v>
      </c>
      <c r="DL28" s="25">
        <v>0</v>
      </c>
      <c r="DM28" s="25">
        <v>0</v>
      </c>
      <c r="DN28" s="25">
        <v>0</v>
      </c>
      <c r="DO28" s="25">
        <v>0</v>
      </c>
      <c r="DP28" s="25">
        <v>0</v>
      </c>
      <c r="DQ28" s="25">
        <v>0</v>
      </c>
      <c r="DR28" s="25">
        <v>0</v>
      </c>
      <c r="DS28" s="25">
        <v>0</v>
      </c>
      <c r="DT28" s="25">
        <v>0</v>
      </c>
      <c r="DU28" s="25">
        <v>0</v>
      </c>
      <c r="DV28" s="25">
        <v>0</v>
      </c>
      <c r="DW28" s="25">
        <v>0</v>
      </c>
      <c r="DX28" s="25">
        <v>0</v>
      </c>
      <c r="DY28" s="25">
        <v>0</v>
      </c>
      <c r="DZ28" s="25">
        <v>0</v>
      </c>
      <c r="EA28" s="25">
        <v>0</v>
      </c>
      <c r="EB28" s="25">
        <v>0</v>
      </c>
      <c r="EC28" s="25">
        <v>0</v>
      </c>
      <c r="ED28" s="25">
        <v>0</v>
      </c>
      <c r="EE28" s="25">
        <v>0</v>
      </c>
      <c r="EF28" s="25">
        <v>0</v>
      </c>
      <c r="EG28" s="25">
        <v>0</v>
      </c>
      <c r="EH28" s="25">
        <v>0</v>
      </c>
      <c r="EI28" s="25">
        <v>0</v>
      </c>
      <c r="EJ28" s="25">
        <v>0</v>
      </c>
      <c r="EK28" s="25">
        <v>0</v>
      </c>
      <c r="EL28" s="25">
        <v>0</v>
      </c>
      <c r="EM28" s="25">
        <v>0</v>
      </c>
      <c r="EN28" s="25">
        <v>0</v>
      </c>
      <c r="EO28" s="25">
        <v>0</v>
      </c>
      <c r="EP28" s="25">
        <v>0</v>
      </c>
      <c r="EQ28" s="25">
        <v>0</v>
      </c>
      <c r="ER28" s="25">
        <v>0</v>
      </c>
      <c r="ES28" s="25">
        <v>0</v>
      </c>
      <c r="ET28" s="25">
        <v>0</v>
      </c>
      <c r="EU28" s="25">
        <v>0</v>
      </c>
      <c r="EV28" s="25">
        <v>0</v>
      </c>
      <c r="EW28" s="25">
        <v>0</v>
      </c>
      <c r="EX28" s="25">
        <v>0</v>
      </c>
      <c r="EY28" s="25">
        <v>0</v>
      </c>
      <c r="EZ28" s="25">
        <v>0</v>
      </c>
      <c r="FA28" s="25">
        <v>0</v>
      </c>
      <c r="FB28" s="25">
        <v>0</v>
      </c>
      <c r="FC28" s="25">
        <v>0</v>
      </c>
      <c r="FD28" s="25">
        <v>0</v>
      </c>
      <c r="FE28" s="25">
        <v>0</v>
      </c>
      <c r="FF28" s="25">
        <v>0</v>
      </c>
      <c r="FG28" s="25">
        <v>0</v>
      </c>
      <c r="FH28" s="25">
        <v>0</v>
      </c>
      <c r="FI28" s="25">
        <v>0</v>
      </c>
      <c r="FJ28" s="25">
        <v>0</v>
      </c>
      <c r="FK28" s="25">
        <v>0</v>
      </c>
      <c r="FL28" s="25">
        <v>0</v>
      </c>
      <c r="FM28" s="25">
        <v>0</v>
      </c>
      <c r="FN28" s="25">
        <v>0</v>
      </c>
      <c r="FO28" s="25">
        <v>0</v>
      </c>
      <c r="FP28" s="25">
        <v>0</v>
      </c>
      <c r="FQ28" s="25">
        <v>0</v>
      </c>
      <c r="FR28" s="25">
        <v>0</v>
      </c>
      <c r="FS28" s="25">
        <v>0</v>
      </c>
      <c r="FT28" s="25">
        <v>0</v>
      </c>
      <c r="FU28" s="25">
        <v>0</v>
      </c>
      <c r="FV28" s="25">
        <v>0</v>
      </c>
      <c r="FW28" s="25">
        <v>0</v>
      </c>
      <c r="FX28" s="25">
        <v>0</v>
      </c>
      <c r="FY28" s="25">
        <v>0</v>
      </c>
      <c r="FZ28" s="25">
        <v>0</v>
      </c>
      <c r="GA28" s="25">
        <v>0</v>
      </c>
      <c r="GB28" s="25">
        <v>1</v>
      </c>
      <c r="GC28" s="25">
        <v>0</v>
      </c>
      <c r="GD28" s="25">
        <v>0</v>
      </c>
      <c r="GE28" s="25">
        <v>0</v>
      </c>
      <c r="GF28" s="25">
        <v>0</v>
      </c>
      <c r="GG28" s="25">
        <v>0</v>
      </c>
      <c r="GH28" s="25">
        <v>0</v>
      </c>
      <c r="GI28" s="25">
        <v>0</v>
      </c>
      <c r="GJ28" s="25">
        <v>0</v>
      </c>
      <c r="GK28" s="25">
        <v>0</v>
      </c>
      <c r="GL28" s="25">
        <v>0</v>
      </c>
      <c r="GM28" s="25">
        <v>0</v>
      </c>
      <c r="GN28" s="25">
        <v>0</v>
      </c>
      <c r="GO28" s="25">
        <v>0</v>
      </c>
      <c r="GP28" s="25">
        <v>0</v>
      </c>
      <c r="GQ28" s="25">
        <v>0</v>
      </c>
      <c r="GR28" s="25">
        <v>0</v>
      </c>
      <c r="GS28" s="25">
        <v>0</v>
      </c>
      <c r="GT28" s="25">
        <v>0</v>
      </c>
      <c r="GU28" s="25">
        <v>0</v>
      </c>
      <c r="GV28" s="25">
        <v>0</v>
      </c>
      <c r="GW28" s="25">
        <v>0</v>
      </c>
      <c r="GX28" s="25">
        <v>0</v>
      </c>
      <c r="GY28" s="46">
        <v>0</v>
      </c>
      <c r="GZ28" s="25">
        <v>0</v>
      </c>
      <c r="HA28" s="25">
        <v>0</v>
      </c>
      <c r="HB28" s="25">
        <v>0</v>
      </c>
      <c r="HC28" s="25">
        <v>0</v>
      </c>
      <c r="HD28" s="25">
        <v>0</v>
      </c>
      <c r="HE28" s="25">
        <v>0</v>
      </c>
      <c r="HF28" s="25">
        <v>0</v>
      </c>
      <c r="HG28" s="25">
        <v>0</v>
      </c>
      <c r="HH28" s="25">
        <v>0</v>
      </c>
      <c r="HI28" s="25">
        <v>0</v>
      </c>
      <c r="HJ28" s="25">
        <v>0</v>
      </c>
      <c r="HK28" s="25">
        <v>0</v>
      </c>
      <c r="HL28" s="25">
        <v>0</v>
      </c>
      <c r="HM28" s="25">
        <v>0</v>
      </c>
      <c r="HN28" s="25">
        <v>0</v>
      </c>
      <c r="HO28" s="25">
        <v>0</v>
      </c>
      <c r="HP28" s="25">
        <v>0</v>
      </c>
      <c r="HQ28" s="25">
        <v>0</v>
      </c>
      <c r="HR28" s="25">
        <v>0</v>
      </c>
      <c r="HS28" s="25">
        <v>0</v>
      </c>
      <c r="HT28" s="25">
        <v>0</v>
      </c>
      <c r="HU28" s="25">
        <v>0</v>
      </c>
      <c r="HV28" s="25">
        <v>0</v>
      </c>
      <c r="HW28" s="25">
        <v>0</v>
      </c>
      <c r="HX28" s="25">
        <v>0</v>
      </c>
      <c r="HY28" s="25">
        <v>0</v>
      </c>
      <c r="HZ28" s="25">
        <v>0</v>
      </c>
      <c r="IA28" s="25">
        <v>0</v>
      </c>
      <c r="IB28" s="25">
        <v>0</v>
      </c>
      <c r="IC28" s="25">
        <v>0</v>
      </c>
      <c r="ID28" s="25">
        <v>0</v>
      </c>
      <c r="IE28" s="25">
        <v>0</v>
      </c>
      <c r="IF28" s="25">
        <v>0</v>
      </c>
      <c r="IG28" s="25">
        <v>0</v>
      </c>
      <c r="IH28" s="25">
        <v>0</v>
      </c>
      <c r="II28" s="25">
        <v>0</v>
      </c>
      <c r="IJ28" s="25">
        <v>0</v>
      </c>
      <c r="IK28" s="25">
        <v>0</v>
      </c>
      <c r="IL28" s="25">
        <v>0</v>
      </c>
      <c r="IM28" s="25">
        <v>0</v>
      </c>
      <c r="IN28" s="25">
        <v>0</v>
      </c>
      <c r="IO28" s="25">
        <v>0</v>
      </c>
      <c r="IP28" s="25">
        <v>0</v>
      </c>
      <c r="IQ28" s="25">
        <v>0</v>
      </c>
      <c r="IR28" s="25">
        <v>0</v>
      </c>
      <c r="IS28" s="25">
        <v>0</v>
      </c>
      <c r="IT28" s="25">
        <v>0</v>
      </c>
      <c r="IU28" s="25">
        <v>0</v>
      </c>
      <c r="IV28" s="25">
        <v>0</v>
      </c>
      <c r="IW28" s="25">
        <v>0</v>
      </c>
      <c r="IX28" s="25">
        <v>0</v>
      </c>
      <c r="IY28" s="25">
        <v>0</v>
      </c>
      <c r="IZ28" s="25">
        <v>0</v>
      </c>
      <c r="JA28" s="25">
        <v>0</v>
      </c>
      <c r="JB28" s="25">
        <v>0</v>
      </c>
      <c r="JC28" s="25">
        <v>0</v>
      </c>
      <c r="JD28" s="25">
        <v>0</v>
      </c>
      <c r="JE28" s="25">
        <v>0</v>
      </c>
      <c r="JF28" s="25">
        <v>0</v>
      </c>
      <c r="JG28" s="25">
        <v>0</v>
      </c>
      <c r="JH28" s="25">
        <v>0</v>
      </c>
      <c r="JI28" s="25">
        <v>0</v>
      </c>
      <c r="JJ28" s="25">
        <v>0</v>
      </c>
      <c r="JK28" s="25">
        <v>0</v>
      </c>
      <c r="JL28" s="25">
        <v>0</v>
      </c>
      <c r="JM28" s="25">
        <v>0</v>
      </c>
      <c r="JN28" s="25">
        <v>0</v>
      </c>
      <c r="JO28" s="25">
        <v>0</v>
      </c>
      <c r="JP28" s="25">
        <v>0</v>
      </c>
      <c r="JQ28" s="25">
        <v>0</v>
      </c>
      <c r="JR28" s="25">
        <v>0</v>
      </c>
      <c r="JS28" s="25">
        <v>0</v>
      </c>
      <c r="JT28" s="25">
        <v>0</v>
      </c>
      <c r="JU28" s="25">
        <v>0</v>
      </c>
      <c r="JV28" s="25">
        <v>0</v>
      </c>
      <c r="JW28" s="25">
        <v>0</v>
      </c>
      <c r="JX28" s="25">
        <v>0</v>
      </c>
      <c r="JY28" s="25">
        <v>0</v>
      </c>
      <c r="JZ28" s="25">
        <v>0</v>
      </c>
      <c r="KA28" s="25">
        <v>0</v>
      </c>
      <c r="KB28" s="25">
        <v>0</v>
      </c>
      <c r="KC28" s="25">
        <v>0</v>
      </c>
      <c r="KD28" s="25">
        <v>0</v>
      </c>
      <c r="KE28" s="25">
        <v>0</v>
      </c>
      <c r="KF28" s="25">
        <v>0</v>
      </c>
      <c r="KG28" s="25">
        <v>0</v>
      </c>
      <c r="KH28" s="25">
        <v>0</v>
      </c>
      <c r="KI28" s="25">
        <v>0</v>
      </c>
      <c r="KJ28" s="25">
        <v>0</v>
      </c>
      <c r="KK28" s="25">
        <v>0</v>
      </c>
      <c r="KL28" s="25">
        <v>0</v>
      </c>
      <c r="KM28" s="25">
        <v>0</v>
      </c>
      <c r="KN28" s="25">
        <v>0</v>
      </c>
      <c r="KO28" s="25">
        <v>0</v>
      </c>
      <c r="KP28" s="25">
        <v>0</v>
      </c>
      <c r="KQ28" s="25">
        <v>0</v>
      </c>
      <c r="KR28" s="25">
        <v>0</v>
      </c>
      <c r="KS28" s="25">
        <v>0</v>
      </c>
      <c r="KT28" s="25">
        <v>0</v>
      </c>
      <c r="KU28" s="25">
        <v>0</v>
      </c>
      <c r="KV28" s="25">
        <v>0</v>
      </c>
      <c r="KW28" s="25">
        <v>0</v>
      </c>
      <c r="KX28" s="25">
        <v>0</v>
      </c>
      <c r="KY28" s="25">
        <v>0</v>
      </c>
      <c r="KZ28" s="25">
        <v>0</v>
      </c>
      <c r="LA28" s="25">
        <v>0</v>
      </c>
      <c r="LB28" s="25">
        <v>0</v>
      </c>
      <c r="LC28" s="25">
        <v>0</v>
      </c>
      <c r="LD28" s="25">
        <v>0</v>
      </c>
      <c r="LE28" s="25">
        <v>0</v>
      </c>
      <c r="LF28" s="25">
        <v>0</v>
      </c>
      <c r="LG28" s="25">
        <v>0</v>
      </c>
      <c r="LH28" s="25">
        <v>0</v>
      </c>
      <c r="LI28" s="25">
        <v>0</v>
      </c>
      <c r="LJ28" s="25">
        <v>0</v>
      </c>
      <c r="LK28" s="25">
        <v>0</v>
      </c>
      <c r="LL28" s="25">
        <v>0</v>
      </c>
      <c r="LM28" s="25">
        <v>0</v>
      </c>
      <c r="LN28" s="278">
        <f ca="1">$A28 - DeathsTimeS!Sweden100dt + 1</f>
        <v>-39</v>
      </c>
      <c r="LO28" s="366">
        <f ca="1">INDEX(OFFSET(DeathsTimeS!HeadRow,ROW()-ROW(DeathsTimeS!HeadRow),0,1,COLUMNS(DeathsTimeS!HeadRow)),1,MATCH(LO$5,DeathsTimeS!HeadRow,0))/LO$8</f>
        <v>0</v>
      </c>
      <c r="LP28" s="278">
        <f ca="1">$A28 - DeathsTimeS!Spain100dt</f>
        <v>-32</v>
      </c>
      <c r="LQ28" s="11">
        <f ca="1">INDEX(OFFSET(DeathsTimeS!HeadRow,ROW()-ROW(DeathsTimeS!HeadRow),0,1,COLUMNS(DeathsTimeS!HeadRow)),1,MATCH(LQ$5,DeathsTimeS!HeadRow,0))/LQ$8</f>
        <v>0</v>
      </c>
      <c r="LR28" s="278">
        <f ca="1">$A28 - DeathsTimeS!Victoria100dt</f>
        <v>-55</v>
      </c>
      <c r="LS28" s="11">
        <f ca="1">INDEX(OFFSET(DeathsTimeS!HeadRow,ROW()-ROW(DeathsTimeS!HeadRow),0,1,COLUMNS(DeathsTimeS!HeadRow)),1,MATCH(LS$5,DeathsTimeS!HeadRow,0))/LS$8</f>
        <v>0</v>
      </c>
      <c r="LT28" s="278">
        <f ca="1">$A28 - DeathsTimeS!Iran100dt</f>
        <v>-25</v>
      </c>
      <c r="LU28" s="11">
        <f ca="1">INDEX(OFFSET(DeathsTimeS!HeadRow,ROW()-ROW(DeathsTimeS!HeadRow),0,1,COLUMNS(DeathsTimeS!HeadRow)),1,MATCH(LU$5,DeathsTimeS!HeadRow,0))/LU$8</f>
        <v>0</v>
      </c>
      <c r="LV28" s="278">
        <f ca="1">$A28 - DeathsTimeS!Japan100dt</f>
        <v>-66</v>
      </c>
      <c r="LW28" s="11">
        <f ca="1">INDEX(OFFSET(DeathsTimeS!HeadRow,ROW()-ROW(DeathsTimeS!HeadRow),0,1,COLUMNS(DeathsTimeS!HeadRow)),1,MATCH(LW$5,DeathsTimeS!HeadRow,0))/LW$8</f>
        <v>0</v>
      </c>
      <c r="LX28" s="278">
        <f ca="1">$A28 - DeathsTimeS!Queensland100dt</f>
        <v>-70</v>
      </c>
      <c r="LY28" s="11">
        <f ca="1">INDEX(OFFSET(DeathsTimeS!HeadRow,ROW()-ROW(DeathsTimeS!HeadRow),0,1,COLUMNS(DeathsTimeS!HeadRow)),1,MATCH(LY$5,DeathsTimeS!HeadRow,0))/LY$8</f>
        <v>0</v>
      </c>
      <c r="LZ28" s="278">
        <f ca="1">$A28 - DeathsTimeS!Tasmania100dt</f>
        <v>-52</v>
      </c>
      <c r="MA28" s="11">
        <f ca="1">INDEX(OFFSET(DeathsTimeS!HeadRow,ROW()-ROW(DeathsTimeS!HeadRow),0,1,COLUMNS(DeathsTimeS!HeadRow)),1,MATCH(MA$5,DeathsTimeS!HeadRow,0))/MA$8</f>
        <v>0</v>
      </c>
      <c r="MB28" s="278">
        <f ca="1">$A28 - DeathsTimeS!SouthAustralia100dt</f>
        <v>-60</v>
      </c>
      <c r="MC28" s="11">
        <f ca="1">INDEX(OFFSET(DeathsTimeS!HeadRow,ROW()-ROW(DeathsTimeS!HeadRow),0,1,COLUMNS(DeathsTimeS!HeadRow)),1,MATCH(MC$5,DeathsTimeS!HeadRow,0))/MC$8</f>
        <v>0</v>
      </c>
      <c r="MD28" s="278">
        <f ca="1">$A28 - DeathsTimeS!WesternAustralia100dt</f>
        <v>-57</v>
      </c>
      <c r="ME28" s="11">
        <f ca="1">INDEX(OFFSET(DeathsTimeS!HeadRow,ROW()-ROW(DeathsTimeS!HeadRow),0,1,COLUMNS(DeathsTimeS!HeadRow)),1,MATCH(ME$5,DeathsTimeS!HeadRow,0))/ME$8</f>
        <v>0</v>
      </c>
      <c r="MF28" s="278">
        <f ca="1">$A28 - DeathsTimeS!NewSouthWales100dt</f>
        <v>-53</v>
      </c>
      <c r="MG28" s="11">
        <f ca="1">INDEX(OFFSET(DeathsTimeS!HeadRow,ROW()-ROW(DeathsTimeS!HeadRow),0,1,COLUMNS(DeathsTimeS!HeadRow)),1,MATCH(MG$5,DeathsTimeS!HeadRow,0))/MG$8</f>
        <v>0</v>
      </c>
      <c r="MH28" s="278">
        <f ca="1">$A28 - DeathsTimeS!NewYork100dt</f>
        <v>-37</v>
      </c>
      <c r="MI28" s="11">
        <f ca="1">INDEX(OFFSET(DeathsTimeS!HeadRow,ROW()-ROW(DeathsTimeS!HeadRow),0,1,COLUMNS(DeathsTimeS!HeadRow)),1,MATCH(MI$5,DeathsTimeS!HeadRow,0))/MI$8</f>
        <v>0</v>
      </c>
      <c r="MJ28" s="278">
        <f ca="1">$A28 - DeathsTimeS!Italy100dt</f>
        <v>-24</v>
      </c>
      <c r="MK28" s="11">
        <f ca="1">INDEX(OFFSET(DeathsTimeS!HeadRow,ROW()-ROW(DeathsTimeS!HeadRow),0,1,COLUMNS(DeathsTimeS!HeadRow)),1,MATCH(MK$5,DeathsTimeS!HeadRow,0))/MK$8</f>
        <v>0</v>
      </c>
      <c r="ML28" s="278">
        <f ca="1">$A28 - DeathsTimeS!AustralianCapitalTerritory100dt</f>
        <v>-51</v>
      </c>
      <c r="MM28" s="11">
        <f ca="1">INDEX(OFFSET(DeathsTimeS!HeadRow,ROW()-ROW(DeathsTimeS!HeadRow),0,1,COLUMNS(DeathsTimeS!HeadRow)),1,MATCH(MM$5,DeathsTimeS!HeadRow,0))/MM$8</f>
        <v>0</v>
      </c>
      <c r="MN28" s="278">
        <f ca="1">IF(DeathsTimeS!NorthernTerritory100dt&gt;0,$A28 - DeathsTimeS!NorthernTerritory100dt,"")</f>
        <v>-79</v>
      </c>
      <c r="MO28" s="11">
        <f ca="1">INDEX(OFFSET(DeathsTimeS!HeadRow,ROW()-ROW(DeathsTimeS!HeadRow),0,1,COLUMNS(DeathsTimeS!HeadRow)),1,MATCH(MO$5,DeathsTimeS!HeadRow,0))/MO$8</f>
        <v>0</v>
      </c>
      <c r="MP28" s="278">
        <f ca="1">$A28 - DeathsTimeS!SouthAfrica100dt + 1</f>
        <v>-71</v>
      </c>
      <c r="MQ28" s="20">
        <f ca="1">INDEX(OFFSET(DeathsTimeS!HeadRow,ROW()-ROW(DeathsTimeS!HeadRow),0,1,COLUMNS(DeathsTimeS!HeadRow)),1,MATCH(MQ$5,DeathsTimeS!HeadRow,0))/MQ$8</f>
        <v>0</v>
      </c>
      <c r="MR28" s="278">
        <f ca="1">$A28 - DeathsTimeS!Germany100dt + 1</f>
        <v>-41</v>
      </c>
      <c r="MS28" s="20">
        <f ca="1">INDEX(OFFSET(DeathsTimeS!HeadRow,ROW()-ROW(DeathsTimeS!HeadRow),0,1,COLUMNS(DeathsTimeS!HeadRow)),1,MATCH(MS$5,DeathsTimeS!HeadRow,0))/MS$8</f>
        <v>0</v>
      </c>
      <c r="MT28" s="278">
        <f ca="1">$A28 - DeathsTimeS!Ireland100dt + 1</f>
        <v>-43</v>
      </c>
      <c r="MU28" s="73">
        <f ca="1">INDEX(OFFSET(DeathsTimeS!HeadRow,ROW()-ROW(DeathsTimeS!HeadRow),0,1,COLUMNS(DeathsTimeS!HeadRow)),1,MATCH(MU$5,DeathsTimeS!HeadRow,0))/MU$8</f>
        <v>0</v>
      </c>
      <c r="MV28" s="278">
        <f ca="1">$A28 - DeathsTimeS!UnitedKingdom100dt + 1</f>
        <v>-37</v>
      </c>
      <c r="MW28" s="73">
        <f ca="1">INDEX(OFFSET(DeathsTimeS!HeadRow,ROW()-ROW(DeathsTimeS!HeadRow),0,1,COLUMNS(DeathsTimeS!HeadRow)),1,MATCH(MW$5,DeathsTimeS!HeadRow,0))/MW$8</f>
        <v>0</v>
      </c>
      <c r="MX28" s="278">
        <f ca="1">$A28 - DeathsTimeS!Denmark100dt + 1</f>
        <v>-39</v>
      </c>
      <c r="MY28" s="73">
        <f ca="1">INDEX(OFFSET(DeathsTimeS!HeadRow,ROW()-ROW(DeathsTimeS!HeadRow),0,1,COLUMNS(DeathsTimeS!HeadRow)),1,MATCH(MY$5,DeathsTimeS!HeadRow,0))/MY$8</f>
        <v>0</v>
      </c>
      <c r="MZ28" s="278">
        <f ca="1">$A28 - DeathsTimeS!US100dt + 1</f>
        <v>-40</v>
      </c>
      <c r="NA28" s="73">
        <f ca="1">INDEX(OFFSET(DeathsTimeS!HeadRow,ROW()-ROW(DeathsTimeS!HeadRow),0,1,COLUMNS(DeathsTimeS!HeadRow)),1,MATCH(NA$5,DeathsTimeS!HeadRow,0))/NA$8</f>
        <v>0</v>
      </c>
      <c r="NB28" s="278">
        <f ca="1">$A28 - DeathsTimeS!AustraliaSum100dt + 1</f>
        <v>-46</v>
      </c>
      <c r="NC28" s="366">
        <f t="shared" si="6"/>
        <v>0</v>
      </c>
      <c r="ND28" s="278">
        <f ca="1">$A28 - DeathsTimeS!Taiwan100dt + 1</f>
        <v>-78</v>
      </c>
      <c r="NE28" s="366">
        <f ca="1">INDEX(OFFSET(DeathsTimeS!HeadRow,ROW()-ROW(DeathsTimeS!HeadRow),0,1,COLUMNS(DeathsTimeS!HeadRow)),1,MATCH(NE$5,DeathsTimeS!HeadRow,0))/NE$8</f>
        <v>0</v>
      </c>
      <c r="NF28" s="278">
        <f ca="1">$A28 - DeathsTimeS!Hubei100dt + 1</f>
        <v>13</v>
      </c>
      <c r="NG28" s="366">
        <f ca="1">INDEX(OFFSET(DeathsTimeS!HeadRow,ROW()-ROW(DeathsTimeS!HeadRow),0,1,COLUMNS(DeathsTimeS!HeadRow)),1,MATCH(NG$5,DeathsTimeS!HeadRow,0))/NG$8</f>
        <v>133.33333333333334</v>
      </c>
      <c r="NH28" s="278">
        <f ca="1">$A28 - DeathsTimeS!HongKong100dt + 1</f>
        <v>-78</v>
      </c>
      <c r="NI28" s="366">
        <f ca="1">INDEX(OFFSET(DeathsTimeS!HeadRow,ROW()-ROW(DeathsTimeS!HeadRow),0,1,COLUMNS(DeathsTimeS!HeadRow)),1,MATCH(NI$5,DeathsTimeS!HeadRow,0))/NI$8</f>
        <v>1.3421017313112333</v>
      </c>
    </row>
    <row r="29" spans="1:373" x14ac:dyDescent="0.25">
      <c r="A29" s="156">
        <v>43870</v>
      </c>
      <c r="B29" s="25">
        <v>0</v>
      </c>
      <c r="C29" s="25">
        <v>0</v>
      </c>
      <c r="D29" s="25">
        <v>0</v>
      </c>
      <c r="E29" s="25">
        <v>0</v>
      </c>
      <c r="F29" s="25">
        <v>0</v>
      </c>
      <c r="G29" s="25">
        <v>0</v>
      </c>
      <c r="H29" s="25">
        <v>0</v>
      </c>
      <c r="I29" s="25">
        <v>0</v>
      </c>
      <c r="J29" s="25">
        <v>0</v>
      </c>
      <c r="K29" s="25">
        <v>0</v>
      </c>
      <c r="L29" s="25">
        <v>0</v>
      </c>
      <c r="M29" s="25">
        <v>0</v>
      </c>
      <c r="N29" s="25">
        <v>0</v>
      </c>
      <c r="O29" s="25">
        <v>0</v>
      </c>
      <c r="P29" s="25">
        <v>0</v>
      </c>
      <c r="Q29" s="25">
        <v>0</v>
      </c>
      <c r="R29" s="25">
        <v>0</v>
      </c>
      <c r="S29" s="25">
        <v>0</v>
      </c>
      <c r="T29" s="25">
        <v>0</v>
      </c>
      <c r="U29" s="25">
        <v>0</v>
      </c>
      <c r="V29" s="25">
        <v>0</v>
      </c>
      <c r="W29" s="25">
        <v>0</v>
      </c>
      <c r="X29" s="25">
        <v>0</v>
      </c>
      <c r="Y29" s="25">
        <v>0</v>
      </c>
      <c r="Z29" s="25">
        <v>0</v>
      </c>
      <c r="AA29" s="25">
        <v>0</v>
      </c>
      <c r="AB29" s="25">
        <v>0</v>
      </c>
      <c r="AC29" s="25">
        <v>0</v>
      </c>
      <c r="AD29" s="25">
        <v>0</v>
      </c>
      <c r="AE29" s="25">
        <v>0</v>
      </c>
      <c r="AF29" s="25">
        <v>0</v>
      </c>
      <c r="AG29" s="25">
        <v>0</v>
      </c>
      <c r="AH29" s="25">
        <v>0</v>
      </c>
      <c r="AI29" s="25">
        <v>0</v>
      </c>
      <c r="AJ29" s="25">
        <v>0</v>
      </c>
      <c r="AK29" s="25">
        <v>0</v>
      </c>
      <c r="AL29" s="25">
        <v>0</v>
      </c>
      <c r="AM29" s="25">
        <v>0</v>
      </c>
      <c r="AN29" s="25">
        <v>0</v>
      </c>
      <c r="AO29" s="25">
        <v>0</v>
      </c>
      <c r="AP29" s="25">
        <v>0</v>
      </c>
      <c r="AQ29" s="25">
        <v>0</v>
      </c>
      <c r="AR29" s="25">
        <v>0</v>
      </c>
      <c r="AS29" s="25">
        <v>0</v>
      </c>
      <c r="AT29" s="25">
        <v>0</v>
      </c>
      <c r="AU29" s="25">
        <v>0</v>
      </c>
      <c r="AV29" s="25">
        <v>0</v>
      </c>
      <c r="AW29" s="25">
        <v>0</v>
      </c>
      <c r="AX29" s="25">
        <v>0</v>
      </c>
      <c r="AY29" s="25">
        <v>1</v>
      </c>
      <c r="AZ29" s="25">
        <v>2</v>
      </c>
      <c r="BA29" s="25">
        <v>2</v>
      </c>
      <c r="BB29" s="25">
        <v>0</v>
      </c>
      <c r="BC29" s="25">
        <v>2</v>
      </c>
      <c r="BD29" s="25">
        <v>1</v>
      </c>
      <c r="BE29" s="25">
        <v>1</v>
      </c>
      <c r="BF29" s="25">
        <v>1</v>
      </c>
      <c r="BG29" s="25">
        <v>3</v>
      </c>
      <c r="BH29" s="25">
        <v>2</v>
      </c>
      <c r="BI29" s="25">
        <v>6</v>
      </c>
      <c r="BJ29" s="25">
        <v>6</v>
      </c>
      <c r="BK29" s="25">
        <v>1</v>
      </c>
      <c r="BL29" s="25">
        <v>871</v>
      </c>
      <c r="BM29" s="25">
        <v>1</v>
      </c>
      <c r="BN29" s="25">
        <v>0</v>
      </c>
      <c r="BO29" s="25">
        <v>0</v>
      </c>
      <c r="BP29" s="25">
        <v>0</v>
      </c>
      <c r="BQ29" s="25">
        <v>1</v>
      </c>
      <c r="BR29" s="25">
        <v>0</v>
      </c>
      <c r="BS29" s="25">
        <v>0</v>
      </c>
      <c r="BT29" s="25">
        <v>0</v>
      </c>
      <c r="BU29" s="25">
        <v>0</v>
      </c>
      <c r="BV29" s="25">
        <v>0</v>
      </c>
      <c r="BW29" s="25">
        <v>1</v>
      </c>
      <c r="BX29" s="25">
        <v>1</v>
      </c>
      <c r="BY29" s="25">
        <v>0</v>
      </c>
      <c r="BZ29" s="25">
        <v>1</v>
      </c>
      <c r="CA29" s="25">
        <v>1</v>
      </c>
      <c r="CB29" s="25">
        <v>0</v>
      </c>
      <c r="CC29" s="25">
        <v>0</v>
      </c>
      <c r="CD29" s="25">
        <v>0</v>
      </c>
      <c r="CE29" s="25">
        <v>0</v>
      </c>
      <c r="CF29" s="25">
        <v>0</v>
      </c>
      <c r="CG29" s="25">
        <v>0</v>
      </c>
      <c r="CH29" s="25">
        <v>0</v>
      </c>
      <c r="CI29" s="25">
        <v>0</v>
      </c>
      <c r="CJ29" s="25">
        <v>0</v>
      </c>
      <c r="CK29" s="25">
        <v>0</v>
      </c>
      <c r="CL29" s="25">
        <v>0</v>
      </c>
      <c r="CM29" s="25">
        <v>0</v>
      </c>
      <c r="CN29" s="25">
        <v>0</v>
      </c>
      <c r="CO29" s="25">
        <v>0</v>
      </c>
      <c r="CP29" s="25">
        <v>0</v>
      </c>
      <c r="CQ29" s="25">
        <v>0</v>
      </c>
      <c r="CR29" s="25">
        <v>0</v>
      </c>
      <c r="CS29" s="25">
        <v>0</v>
      </c>
      <c r="CT29" s="25">
        <v>0</v>
      </c>
      <c r="CU29" s="25">
        <v>0</v>
      </c>
      <c r="CV29" s="25">
        <v>0</v>
      </c>
      <c r="CW29" s="25">
        <v>0</v>
      </c>
      <c r="CX29" s="25">
        <v>0</v>
      </c>
      <c r="CY29" s="25">
        <v>0</v>
      </c>
      <c r="CZ29" s="25">
        <v>0</v>
      </c>
      <c r="DA29" s="25">
        <v>0</v>
      </c>
      <c r="DB29" s="25">
        <v>0</v>
      </c>
      <c r="DC29" s="25">
        <v>0</v>
      </c>
      <c r="DD29" s="25">
        <v>0</v>
      </c>
      <c r="DE29" s="25">
        <v>0</v>
      </c>
      <c r="DF29" s="25">
        <v>0</v>
      </c>
      <c r="DG29" s="25">
        <v>0</v>
      </c>
      <c r="DH29" s="25">
        <v>0</v>
      </c>
      <c r="DI29" s="25">
        <v>0</v>
      </c>
      <c r="DJ29" s="25">
        <v>0</v>
      </c>
      <c r="DK29" s="25">
        <v>0</v>
      </c>
      <c r="DL29" s="25">
        <v>0</v>
      </c>
      <c r="DM29" s="25">
        <v>0</v>
      </c>
      <c r="DN29" s="25">
        <v>0</v>
      </c>
      <c r="DO29" s="25">
        <v>0</v>
      </c>
      <c r="DP29" s="25">
        <v>0</v>
      </c>
      <c r="DQ29" s="25">
        <v>0</v>
      </c>
      <c r="DR29" s="25">
        <v>0</v>
      </c>
      <c r="DS29" s="25">
        <v>0</v>
      </c>
      <c r="DT29" s="25">
        <v>0</v>
      </c>
      <c r="DU29" s="25">
        <v>0</v>
      </c>
      <c r="DV29" s="25">
        <v>0</v>
      </c>
      <c r="DW29" s="25">
        <v>0</v>
      </c>
      <c r="DX29" s="25">
        <v>0</v>
      </c>
      <c r="DY29" s="25">
        <v>0</v>
      </c>
      <c r="DZ29" s="25">
        <v>0</v>
      </c>
      <c r="EA29" s="25">
        <v>0</v>
      </c>
      <c r="EB29" s="25">
        <v>0</v>
      </c>
      <c r="EC29" s="25">
        <v>0</v>
      </c>
      <c r="ED29" s="25">
        <v>0</v>
      </c>
      <c r="EE29" s="25">
        <v>0</v>
      </c>
      <c r="EF29" s="25">
        <v>0</v>
      </c>
      <c r="EG29" s="25">
        <v>0</v>
      </c>
      <c r="EH29" s="25">
        <v>0</v>
      </c>
      <c r="EI29" s="25">
        <v>0</v>
      </c>
      <c r="EJ29" s="25">
        <v>0</v>
      </c>
      <c r="EK29" s="25">
        <v>0</v>
      </c>
      <c r="EL29" s="25">
        <v>0</v>
      </c>
      <c r="EM29" s="25">
        <v>0</v>
      </c>
      <c r="EN29" s="25">
        <v>0</v>
      </c>
      <c r="EO29" s="25">
        <v>0</v>
      </c>
      <c r="EP29" s="25">
        <v>0</v>
      </c>
      <c r="EQ29" s="25">
        <v>0</v>
      </c>
      <c r="ER29" s="25">
        <v>0</v>
      </c>
      <c r="ES29" s="25">
        <v>0</v>
      </c>
      <c r="ET29" s="25">
        <v>0</v>
      </c>
      <c r="EU29" s="25">
        <v>0</v>
      </c>
      <c r="EV29" s="25">
        <v>0</v>
      </c>
      <c r="EW29" s="25">
        <v>0</v>
      </c>
      <c r="EX29" s="25">
        <v>0</v>
      </c>
      <c r="EY29" s="25">
        <v>0</v>
      </c>
      <c r="EZ29" s="25">
        <v>0</v>
      </c>
      <c r="FA29" s="25">
        <v>0</v>
      </c>
      <c r="FB29" s="25">
        <v>0</v>
      </c>
      <c r="FC29" s="25">
        <v>0</v>
      </c>
      <c r="FD29" s="25">
        <v>0</v>
      </c>
      <c r="FE29" s="25">
        <v>0</v>
      </c>
      <c r="FF29" s="25">
        <v>0</v>
      </c>
      <c r="FG29" s="25">
        <v>0</v>
      </c>
      <c r="FH29" s="25">
        <v>0</v>
      </c>
      <c r="FI29" s="25">
        <v>0</v>
      </c>
      <c r="FJ29" s="25">
        <v>0</v>
      </c>
      <c r="FK29" s="25">
        <v>0</v>
      </c>
      <c r="FL29" s="25">
        <v>0</v>
      </c>
      <c r="FM29" s="25">
        <v>0</v>
      </c>
      <c r="FN29" s="25">
        <v>0</v>
      </c>
      <c r="FO29" s="25">
        <v>0</v>
      </c>
      <c r="FP29" s="25">
        <v>0</v>
      </c>
      <c r="FQ29" s="25">
        <v>0</v>
      </c>
      <c r="FR29" s="25">
        <v>0</v>
      </c>
      <c r="FS29" s="25">
        <v>0</v>
      </c>
      <c r="FT29" s="25">
        <v>0</v>
      </c>
      <c r="FU29" s="25">
        <v>0</v>
      </c>
      <c r="FV29" s="25">
        <v>0</v>
      </c>
      <c r="FW29" s="25">
        <v>0</v>
      </c>
      <c r="FX29" s="25">
        <v>0</v>
      </c>
      <c r="FY29" s="25">
        <v>0</v>
      </c>
      <c r="FZ29" s="25">
        <v>0</v>
      </c>
      <c r="GA29" s="25">
        <v>0</v>
      </c>
      <c r="GB29" s="25">
        <v>1</v>
      </c>
      <c r="GC29" s="25">
        <v>0</v>
      </c>
      <c r="GD29" s="25">
        <v>0</v>
      </c>
      <c r="GE29" s="25">
        <v>0</v>
      </c>
      <c r="GF29" s="25">
        <v>0</v>
      </c>
      <c r="GG29" s="25">
        <v>0</v>
      </c>
      <c r="GH29" s="25">
        <v>0</v>
      </c>
      <c r="GI29" s="25">
        <v>0</v>
      </c>
      <c r="GJ29" s="25">
        <v>0</v>
      </c>
      <c r="GK29" s="25">
        <v>0</v>
      </c>
      <c r="GL29" s="25">
        <v>0</v>
      </c>
      <c r="GM29" s="25">
        <v>0</v>
      </c>
      <c r="GN29" s="25">
        <v>0</v>
      </c>
      <c r="GO29" s="25">
        <v>0</v>
      </c>
      <c r="GP29" s="25">
        <v>0</v>
      </c>
      <c r="GQ29" s="25">
        <v>0</v>
      </c>
      <c r="GR29" s="25">
        <v>0</v>
      </c>
      <c r="GS29" s="25">
        <v>0</v>
      </c>
      <c r="GT29" s="25">
        <v>0</v>
      </c>
      <c r="GU29" s="25">
        <v>0</v>
      </c>
      <c r="GV29" s="25">
        <v>0</v>
      </c>
      <c r="GW29" s="25">
        <v>0</v>
      </c>
      <c r="GX29" s="25">
        <v>0</v>
      </c>
      <c r="GY29" s="46">
        <v>0</v>
      </c>
      <c r="GZ29" s="25">
        <v>0</v>
      </c>
      <c r="HA29" s="25">
        <v>0</v>
      </c>
      <c r="HB29" s="25">
        <v>0</v>
      </c>
      <c r="HC29" s="25">
        <v>0</v>
      </c>
      <c r="HD29" s="25">
        <v>0</v>
      </c>
      <c r="HE29" s="25">
        <v>0</v>
      </c>
      <c r="HF29" s="25">
        <v>0</v>
      </c>
      <c r="HG29" s="25">
        <v>0</v>
      </c>
      <c r="HH29" s="25">
        <v>0</v>
      </c>
      <c r="HI29" s="25">
        <v>0</v>
      </c>
      <c r="HJ29" s="25">
        <v>0</v>
      </c>
      <c r="HK29" s="25">
        <v>0</v>
      </c>
      <c r="HL29" s="25">
        <v>0</v>
      </c>
      <c r="HM29" s="25">
        <v>0</v>
      </c>
      <c r="HN29" s="25">
        <v>0</v>
      </c>
      <c r="HO29" s="25">
        <v>0</v>
      </c>
      <c r="HP29" s="25">
        <v>0</v>
      </c>
      <c r="HQ29" s="25">
        <v>0</v>
      </c>
      <c r="HR29" s="25">
        <v>0</v>
      </c>
      <c r="HS29" s="25">
        <v>0</v>
      </c>
      <c r="HT29" s="25">
        <v>0</v>
      </c>
      <c r="HU29" s="25">
        <v>0</v>
      </c>
      <c r="HV29" s="25">
        <v>0</v>
      </c>
      <c r="HW29" s="25">
        <v>0</v>
      </c>
      <c r="HX29" s="25">
        <v>0</v>
      </c>
      <c r="HY29" s="25">
        <v>0</v>
      </c>
      <c r="HZ29" s="25">
        <v>0</v>
      </c>
      <c r="IA29" s="25">
        <v>0</v>
      </c>
      <c r="IB29" s="25">
        <v>0</v>
      </c>
      <c r="IC29" s="25">
        <v>0</v>
      </c>
      <c r="ID29" s="25">
        <v>0</v>
      </c>
      <c r="IE29" s="25">
        <v>0</v>
      </c>
      <c r="IF29" s="25">
        <v>0</v>
      </c>
      <c r="IG29" s="25">
        <v>0</v>
      </c>
      <c r="IH29" s="25">
        <v>0</v>
      </c>
      <c r="II29" s="25">
        <v>0</v>
      </c>
      <c r="IJ29" s="25">
        <v>0</v>
      </c>
      <c r="IK29" s="25">
        <v>0</v>
      </c>
      <c r="IL29" s="25">
        <v>0</v>
      </c>
      <c r="IM29" s="25">
        <v>0</v>
      </c>
      <c r="IN29" s="25">
        <v>0</v>
      </c>
      <c r="IO29" s="25">
        <v>0</v>
      </c>
      <c r="IP29" s="25">
        <v>0</v>
      </c>
      <c r="IQ29" s="25">
        <v>0</v>
      </c>
      <c r="IR29" s="25">
        <v>0</v>
      </c>
      <c r="IS29" s="25">
        <v>0</v>
      </c>
      <c r="IT29" s="25">
        <v>0</v>
      </c>
      <c r="IU29" s="25">
        <v>0</v>
      </c>
      <c r="IV29" s="25">
        <v>0</v>
      </c>
      <c r="IW29" s="25">
        <v>0</v>
      </c>
      <c r="IX29" s="25">
        <v>0</v>
      </c>
      <c r="IY29" s="25">
        <v>0</v>
      </c>
      <c r="IZ29" s="25">
        <v>0</v>
      </c>
      <c r="JA29" s="25">
        <v>0</v>
      </c>
      <c r="JB29" s="25">
        <v>0</v>
      </c>
      <c r="JC29" s="25">
        <v>0</v>
      </c>
      <c r="JD29" s="25">
        <v>0</v>
      </c>
      <c r="JE29" s="25">
        <v>0</v>
      </c>
      <c r="JF29" s="25">
        <v>0</v>
      </c>
      <c r="JG29" s="25">
        <v>0</v>
      </c>
      <c r="JH29" s="25">
        <v>0</v>
      </c>
      <c r="JI29" s="25">
        <v>0</v>
      </c>
      <c r="JJ29" s="25">
        <v>0</v>
      </c>
      <c r="JK29" s="25">
        <v>0</v>
      </c>
      <c r="JL29" s="25">
        <v>0</v>
      </c>
      <c r="JM29" s="25">
        <v>0</v>
      </c>
      <c r="JN29" s="25">
        <v>0</v>
      </c>
      <c r="JO29" s="25">
        <v>0</v>
      </c>
      <c r="JP29" s="25">
        <v>0</v>
      </c>
      <c r="JQ29" s="25">
        <v>0</v>
      </c>
      <c r="JR29" s="25">
        <v>0</v>
      </c>
      <c r="JS29" s="25">
        <v>0</v>
      </c>
      <c r="JT29" s="25">
        <v>0</v>
      </c>
      <c r="JU29" s="25">
        <v>0</v>
      </c>
      <c r="JV29" s="25">
        <v>0</v>
      </c>
      <c r="JW29" s="25">
        <v>0</v>
      </c>
      <c r="JX29" s="25">
        <v>0</v>
      </c>
      <c r="JY29" s="25">
        <v>0</v>
      </c>
      <c r="JZ29" s="25">
        <v>0</v>
      </c>
      <c r="KA29" s="25">
        <v>0</v>
      </c>
      <c r="KB29" s="25">
        <v>0</v>
      </c>
      <c r="KC29" s="25">
        <v>0</v>
      </c>
      <c r="KD29" s="25">
        <v>0</v>
      </c>
      <c r="KE29" s="25">
        <v>0</v>
      </c>
      <c r="KF29" s="25">
        <v>0</v>
      </c>
      <c r="KG29" s="25">
        <v>0</v>
      </c>
      <c r="KH29" s="25">
        <v>0</v>
      </c>
      <c r="KI29" s="25">
        <v>0</v>
      </c>
      <c r="KJ29" s="25">
        <v>0</v>
      </c>
      <c r="KK29" s="25">
        <v>0</v>
      </c>
      <c r="KL29" s="25">
        <v>0</v>
      </c>
      <c r="KM29" s="25">
        <v>0</v>
      </c>
      <c r="KN29" s="25">
        <v>0</v>
      </c>
      <c r="KO29" s="25">
        <v>0</v>
      </c>
      <c r="KP29" s="25">
        <v>0</v>
      </c>
      <c r="KQ29" s="25">
        <v>0</v>
      </c>
      <c r="KR29" s="25">
        <v>0</v>
      </c>
      <c r="KS29" s="25">
        <v>0</v>
      </c>
      <c r="KT29" s="25">
        <v>0</v>
      </c>
      <c r="KU29" s="25">
        <v>0</v>
      </c>
      <c r="KV29" s="25">
        <v>0</v>
      </c>
      <c r="KW29" s="25">
        <v>0</v>
      </c>
      <c r="KX29" s="25">
        <v>0</v>
      </c>
      <c r="KY29" s="25">
        <v>0</v>
      </c>
      <c r="KZ29" s="25">
        <v>0</v>
      </c>
      <c r="LA29" s="25">
        <v>0</v>
      </c>
      <c r="LB29" s="25">
        <v>0</v>
      </c>
      <c r="LC29" s="25">
        <v>0</v>
      </c>
      <c r="LD29" s="25">
        <v>0</v>
      </c>
      <c r="LE29" s="25">
        <v>0</v>
      </c>
      <c r="LF29" s="25">
        <v>0</v>
      </c>
      <c r="LG29" s="25">
        <v>0</v>
      </c>
      <c r="LH29" s="25">
        <v>0</v>
      </c>
      <c r="LI29" s="25">
        <v>0</v>
      </c>
      <c r="LJ29" s="25">
        <v>0</v>
      </c>
      <c r="LK29" s="25">
        <v>0</v>
      </c>
      <c r="LL29" s="25">
        <v>0</v>
      </c>
      <c r="LM29" s="25">
        <v>0</v>
      </c>
      <c r="LN29" s="278">
        <f ca="1">$A29 - DeathsTimeS!Sweden100dt + 1</f>
        <v>-38</v>
      </c>
      <c r="LO29" s="366">
        <f ca="1">INDEX(OFFSET(DeathsTimeS!HeadRow,ROW()-ROW(DeathsTimeS!HeadRow),0,1,COLUMNS(DeathsTimeS!HeadRow)),1,MATCH(LO$5,DeathsTimeS!HeadRow,0))/LO$8</f>
        <v>0</v>
      </c>
      <c r="LP29" s="278">
        <f ca="1">$A29 - DeathsTimeS!Spain100dt</f>
        <v>-31</v>
      </c>
      <c r="LQ29" s="11">
        <f ca="1">INDEX(OFFSET(DeathsTimeS!HeadRow,ROW()-ROW(DeathsTimeS!HeadRow),0,1,COLUMNS(DeathsTimeS!HeadRow)),1,MATCH(LQ$5,DeathsTimeS!HeadRow,0))/LQ$8</f>
        <v>0</v>
      </c>
      <c r="LR29" s="278">
        <f ca="1">$A29 - DeathsTimeS!Victoria100dt</f>
        <v>-54</v>
      </c>
      <c r="LS29" s="11">
        <f ca="1">INDEX(OFFSET(DeathsTimeS!HeadRow,ROW()-ROW(DeathsTimeS!HeadRow),0,1,COLUMNS(DeathsTimeS!HeadRow)),1,MATCH(LS$5,DeathsTimeS!HeadRow,0))/LS$8</f>
        <v>0</v>
      </c>
      <c r="LT29" s="278">
        <f ca="1">$A29 - DeathsTimeS!Iran100dt</f>
        <v>-24</v>
      </c>
      <c r="LU29" s="11">
        <f ca="1">INDEX(OFFSET(DeathsTimeS!HeadRow,ROW()-ROW(DeathsTimeS!HeadRow),0,1,COLUMNS(DeathsTimeS!HeadRow)),1,MATCH(LU$5,DeathsTimeS!HeadRow,0))/LU$8</f>
        <v>0</v>
      </c>
      <c r="LV29" s="278">
        <f ca="1">$A29 - DeathsTimeS!Japan100dt</f>
        <v>-65</v>
      </c>
      <c r="LW29" s="11">
        <f ca="1">INDEX(OFFSET(DeathsTimeS!HeadRow,ROW()-ROW(DeathsTimeS!HeadRow),0,1,COLUMNS(DeathsTimeS!HeadRow)),1,MATCH(LW$5,DeathsTimeS!HeadRow,0))/LW$8</f>
        <v>0</v>
      </c>
      <c r="LX29" s="278">
        <f ca="1">$A29 - DeathsTimeS!Queensland100dt</f>
        <v>-69</v>
      </c>
      <c r="LY29" s="11">
        <f ca="1">INDEX(OFFSET(DeathsTimeS!HeadRow,ROW()-ROW(DeathsTimeS!HeadRow),0,1,COLUMNS(DeathsTimeS!HeadRow)),1,MATCH(LY$5,DeathsTimeS!HeadRow,0))/LY$8</f>
        <v>0</v>
      </c>
      <c r="LZ29" s="278">
        <f ca="1">$A29 - DeathsTimeS!Tasmania100dt</f>
        <v>-51</v>
      </c>
      <c r="MA29" s="11">
        <f ca="1">INDEX(OFFSET(DeathsTimeS!HeadRow,ROW()-ROW(DeathsTimeS!HeadRow),0,1,COLUMNS(DeathsTimeS!HeadRow)),1,MATCH(MA$5,DeathsTimeS!HeadRow,0))/MA$8</f>
        <v>0</v>
      </c>
      <c r="MB29" s="278">
        <f ca="1">$A29 - DeathsTimeS!SouthAustralia100dt</f>
        <v>-59</v>
      </c>
      <c r="MC29" s="11">
        <f ca="1">INDEX(OFFSET(DeathsTimeS!HeadRow,ROW()-ROW(DeathsTimeS!HeadRow),0,1,COLUMNS(DeathsTimeS!HeadRow)),1,MATCH(MC$5,DeathsTimeS!HeadRow,0))/MC$8</f>
        <v>0</v>
      </c>
      <c r="MD29" s="278">
        <f ca="1">$A29 - DeathsTimeS!WesternAustralia100dt</f>
        <v>-56</v>
      </c>
      <c r="ME29" s="11">
        <f ca="1">INDEX(OFFSET(DeathsTimeS!HeadRow,ROW()-ROW(DeathsTimeS!HeadRow),0,1,COLUMNS(DeathsTimeS!HeadRow)),1,MATCH(ME$5,DeathsTimeS!HeadRow,0))/ME$8</f>
        <v>0</v>
      </c>
      <c r="MF29" s="278">
        <f ca="1">$A29 - DeathsTimeS!NewSouthWales100dt</f>
        <v>-52</v>
      </c>
      <c r="MG29" s="11">
        <f ca="1">INDEX(OFFSET(DeathsTimeS!HeadRow,ROW()-ROW(DeathsTimeS!HeadRow),0,1,COLUMNS(DeathsTimeS!HeadRow)),1,MATCH(MG$5,DeathsTimeS!HeadRow,0))/MG$8</f>
        <v>0</v>
      </c>
      <c r="MH29" s="278">
        <f ca="1">$A29 - DeathsTimeS!NewYork100dt</f>
        <v>-36</v>
      </c>
      <c r="MI29" s="11">
        <f ca="1">INDEX(OFFSET(DeathsTimeS!HeadRow,ROW()-ROW(DeathsTimeS!HeadRow),0,1,COLUMNS(DeathsTimeS!HeadRow)),1,MATCH(MI$5,DeathsTimeS!HeadRow,0))/MI$8</f>
        <v>0</v>
      </c>
      <c r="MJ29" s="278">
        <f ca="1">$A29 - DeathsTimeS!Italy100dt</f>
        <v>-23</v>
      </c>
      <c r="MK29" s="11">
        <f ca="1">INDEX(OFFSET(DeathsTimeS!HeadRow,ROW()-ROW(DeathsTimeS!HeadRow),0,1,COLUMNS(DeathsTimeS!HeadRow)),1,MATCH(MK$5,DeathsTimeS!HeadRow,0))/MK$8</f>
        <v>0</v>
      </c>
      <c r="ML29" s="278">
        <f ca="1">$A29 - DeathsTimeS!AustralianCapitalTerritory100dt</f>
        <v>-50</v>
      </c>
      <c r="MM29" s="11">
        <f ca="1">INDEX(OFFSET(DeathsTimeS!HeadRow,ROW()-ROW(DeathsTimeS!HeadRow),0,1,COLUMNS(DeathsTimeS!HeadRow)),1,MATCH(MM$5,DeathsTimeS!HeadRow,0))/MM$8</f>
        <v>0</v>
      </c>
      <c r="MN29" s="278">
        <f ca="1">IF(DeathsTimeS!NorthernTerritory100dt&gt;0,$A29 - DeathsTimeS!NorthernTerritory100dt,"")</f>
        <v>-78</v>
      </c>
      <c r="MO29" s="11">
        <f ca="1">INDEX(OFFSET(DeathsTimeS!HeadRow,ROW()-ROW(DeathsTimeS!HeadRow),0,1,COLUMNS(DeathsTimeS!HeadRow)),1,MATCH(MO$5,DeathsTimeS!HeadRow,0))/MO$8</f>
        <v>0</v>
      </c>
      <c r="MP29" s="278">
        <f ca="1">$A29 - DeathsTimeS!SouthAfrica100dt + 1</f>
        <v>-70</v>
      </c>
      <c r="MQ29" s="20">
        <f ca="1">INDEX(OFFSET(DeathsTimeS!HeadRow,ROW()-ROW(DeathsTimeS!HeadRow),0,1,COLUMNS(DeathsTimeS!HeadRow)),1,MATCH(MQ$5,DeathsTimeS!HeadRow,0))/MQ$8</f>
        <v>0</v>
      </c>
      <c r="MR29" s="278">
        <f ca="1">$A29 - DeathsTimeS!Germany100dt + 1</f>
        <v>-40</v>
      </c>
      <c r="MS29" s="20">
        <f ca="1">INDEX(OFFSET(DeathsTimeS!HeadRow,ROW()-ROW(DeathsTimeS!HeadRow),0,1,COLUMNS(DeathsTimeS!HeadRow)),1,MATCH(MS$5,DeathsTimeS!HeadRow,0))/MS$8</f>
        <v>0</v>
      </c>
      <c r="MT29" s="278">
        <f ca="1">$A29 - DeathsTimeS!Ireland100dt + 1</f>
        <v>-42</v>
      </c>
      <c r="MU29" s="73">
        <f ca="1">INDEX(OFFSET(DeathsTimeS!HeadRow,ROW()-ROW(DeathsTimeS!HeadRow),0,1,COLUMNS(DeathsTimeS!HeadRow)),1,MATCH(MU$5,DeathsTimeS!HeadRow,0))/MU$8</f>
        <v>0</v>
      </c>
      <c r="MV29" s="278">
        <f ca="1">$A29 - DeathsTimeS!UnitedKingdom100dt + 1</f>
        <v>-36</v>
      </c>
      <c r="MW29" s="73">
        <f ca="1">INDEX(OFFSET(DeathsTimeS!HeadRow,ROW()-ROW(DeathsTimeS!HeadRow),0,1,COLUMNS(DeathsTimeS!HeadRow)),1,MATCH(MW$5,DeathsTimeS!HeadRow,0))/MW$8</f>
        <v>0</v>
      </c>
      <c r="MX29" s="278">
        <f ca="1">$A29 - DeathsTimeS!Denmark100dt + 1</f>
        <v>-38</v>
      </c>
      <c r="MY29" s="73">
        <f ca="1">INDEX(OFFSET(DeathsTimeS!HeadRow,ROW()-ROW(DeathsTimeS!HeadRow),0,1,COLUMNS(DeathsTimeS!HeadRow)),1,MATCH(MY$5,DeathsTimeS!HeadRow,0))/MY$8</f>
        <v>0</v>
      </c>
      <c r="MZ29" s="278">
        <f ca="1">$A29 - DeathsTimeS!US100dt + 1</f>
        <v>-39</v>
      </c>
      <c r="NA29" s="73">
        <f ca="1">INDEX(OFFSET(DeathsTimeS!HeadRow,ROW()-ROW(DeathsTimeS!HeadRow),0,1,COLUMNS(DeathsTimeS!HeadRow)),1,MATCH(NA$5,DeathsTimeS!HeadRow,0))/NA$8</f>
        <v>0</v>
      </c>
      <c r="NB29" s="278">
        <f ca="1">$A29 - DeathsTimeS!AustraliaSum100dt + 1</f>
        <v>-45</v>
      </c>
      <c r="NC29" s="366">
        <f t="shared" si="6"/>
        <v>0</v>
      </c>
      <c r="ND29" s="278">
        <f ca="1">$A29 - DeathsTimeS!Taiwan100dt + 1</f>
        <v>-77</v>
      </c>
      <c r="NE29" s="366">
        <f ca="1">INDEX(OFFSET(DeathsTimeS!HeadRow,ROW()-ROW(DeathsTimeS!HeadRow),0,1,COLUMNS(DeathsTimeS!HeadRow)),1,MATCH(NE$5,DeathsTimeS!HeadRow,0))/NE$8</f>
        <v>0</v>
      </c>
      <c r="NF29" s="278">
        <f ca="1">$A29 - DeathsTimeS!Hubei100dt + 1</f>
        <v>14</v>
      </c>
      <c r="NG29" s="366">
        <f ca="1">INDEX(OFFSET(DeathsTimeS!HeadRow,ROW()-ROW(DeathsTimeS!HeadRow),0,1,COLUMNS(DeathsTimeS!HeadRow)),1,MATCH(NG$5,DeathsTimeS!HeadRow,0))/NG$8</f>
        <v>148.88888888888889</v>
      </c>
      <c r="NH29" s="278">
        <f ca="1">$A29 - DeathsTimeS!HongKong100dt + 1</f>
        <v>-77</v>
      </c>
      <c r="NI29" s="366">
        <f ca="1">INDEX(OFFSET(DeathsTimeS!HeadRow,ROW()-ROW(DeathsTimeS!HeadRow),0,1,COLUMNS(DeathsTimeS!HeadRow)),1,MATCH(NI$5,DeathsTimeS!HeadRow,0))/NI$8</f>
        <v>1.3421017313112333</v>
      </c>
    </row>
    <row r="30" spans="1:373" x14ac:dyDescent="0.25">
      <c r="A30" s="156">
        <v>43871</v>
      </c>
      <c r="B30" s="25">
        <v>0</v>
      </c>
      <c r="C30" s="25">
        <v>0</v>
      </c>
      <c r="D30" s="25">
        <v>0</v>
      </c>
      <c r="E30" s="25">
        <v>0</v>
      </c>
      <c r="F30" s="25">
        <v>0</v>
      </c>
      <c r="G30" s="25">
        <v>0</v>
      </c>
      <c r="H30" s="25">
        <v>0</v>
      </c>
      <c r="I30" s="25">
        <v>0</v>
      </c>
      <c r="J30" s="25">
        <v>0</v>
      </c>
      <c r="K30" s="25">
        <v>0</v>
      </c>
      <c r="L30" s="25">
        <v>0</v>
      </c>
      <c r="M30" s="25">
        <v>0</v>
      </c>
      <c r="N30" s="25">
        <v>0</v>
      </c>
      <c r="O30" s="25">
        <v>0</v>
      </c>
      <c r="P30" s="25">
        <v>0</v>
      </c>
      <c r="Q30" s="25">
        <v>0</v>
      </c>
      <c r="R30" s="25">
        <v>0</v>
      </c>
      <c r="S30" s="25">
        <v>0</v>
      </c>
      <c r="T30" s="25">
        <v>0</v>
      </c>
      <c r="U30" s="25">
        <v>0</v>
      </c>
      <c r="V30" s="25">
        <v>0</v>
      </c>
      <c r="W30" s="25">
        <v>0</v>
      </c>
      <c r="X30" s="25">
        <v>0</v>
      </c>
      <c r="Y30" s="25">
        <v>0</v>
      </c>
      <c r="Z30" s="25">
        <v>0</v>
      </c>
      <c r="AA30" s="25">
        <v>0</v>
      </c>
      <c r="AB30" s="25">
        <v>0</v>
      </c>
      <c r="AC30" s="25">
        <v>0</v>
      </c>
      <c r="AD30" s="25">
        <v>0</v>
      </c>
      <c r="AE30" s="25">
        <v>0</v>
      </c>
      <c r="AF30" s="25">
        <v>0</v>
      </c>
      <c r="AG30" s="25">
        <v>0</v>
      </c>
      <c r="AH30" s="25">
        <v>0</v>
      </c>
      <c r="AI30" s="25">
        <v>0</v>
      </c>
      <c r="AJ30" s="25">
        <v>0</v>
      </c>
      <c r="AK30" s="25">
        <v>0</v>
      </c>
      <c r="AL30" s="25">
        <v>0</v>
      </c>
      <c r="AM30" s="25">
        <v>0</v>
      </c>
      <c r="AN30" s="25">
        <v>0</v>
      </c>
      <c r="AO30" s="25">
        <v>0</v>
      </c>
      <c r="AP30" s="25">
        <v>0</v>
      </c>
      <c r="AQ30" s="25">
        <v>0</v>
      </c>
      <c r="AR30" s="25">
        <v>0</v>
      </c>
      <c r="AS30" s="25">
        <v>0</v>
      </c>
      <c r="AT30" s="25">
        <v>0</v>
      </c>
      <c r="AU30" s="25">
        <v>0</v>
      </c>
      <c r="AV30" s="25">
        <v>0</v>
      </c>
      <c r="AW30" s="25">
        <v>0</v>
      </c>
      <c r="AX30" s="25">
        <v>0</v>
      </c>
      <c r="AY30" s="25">
        <v>3</v>
      </c>
      <c r="AZ30" s="25">
        <v>2</v>
      </c>
      <c r="BA30" s="25">
        <v>2</v>
      </c>
      <c r="BB30" s="25">
        <v>0</v>
      </c>
      <c r="BC30" s="25">
        <v>2</v>
      </c>
      <c r="BD30" s="25">
        <v>1</v>
      </c>
      <c r="BE30" s="25">
        <v>1</v>
      </c>
      <c r="BF30" s="25">
        <v>1</v>
      </c>
      <c r="BG30" s="25">
        <v>3</v>
      </c>
      <c r="BH30" s="25">
        <v>2</v>
      </c>
      <c r="BI30" s="25">
        <v>7</v>
      </c>
      <c r="BJ30" s="25">
        <v>6</v>
      </c>
      <c r="BK30" s="25">
        <v>1</v>
      </c>
      <c r="BL30" s="25">
        <v>974</v>
      </c>
      <c r="BM30" s="25">
        <v>1</v>
      </c>
      <c r="BN30" s="25">
        <v>0</v>
      </c>
      <c r="BO30" s="25">
        <v>0</v>
      </c>
      <c r="BP30" s="25">
        <v>1</v>
      </c>
      <c r="BQ30" s="25">
        <v>1</v>
      </c>
      <c r="BR30" s="25">
        <v>0</v>
      </c>
      <c r="BS30" s="25">
        <v>0</v>
      </c>
      <c r="BT30" s="25">
        <v>0</v>
      </c>
      <c r="BU30" s="25">
        <v>0</v>
      </c>
      <c r="BV30" s="25">
        <v>0</v>
      </c>
      <c r="BW30" s="25">
        <v>1</v>
      </c>
      <c r="BX30" s="25">
        <v>1</v>
      </c>
      <c r="BY30" s="25">
        <v>0</v>
      </c>
      <c r="BZ30" s="25">
        <v>1</v>
      </c>
      <c r="CA30" s="25">
        <v>1</v>
      </c>
      <c r="CB30" s="25">
        <v>0</v>
      </c>
      <c r="CC30" s="25">
        <v>0</v>
      </c>
      <c r="CD30" s="25">
        <v>0</v>
      </c>
      <c r="CE30" s="25">
        <v>0</v>
      </c>
      <c r="CF30" s="25">
        <v>0</v>
      </c>
      <c r="CG30" s="25">
        <v>0</v>
      </c>
      <c r="CH30" s="25">
        <v>0</v>
      </c>
      <c r="CI30" s="25">
        <v>0</v>
      </c>
      <c r="CJ30" s="25">
        <v>0</v>
      </c>
      <c r="CK30" s="25">
        <v>0</v>
      </c>
      <c r="CL30" s="25">
        <v>0</v>
      </c>
      <c r="CM30" s="25">
        <v>0</v>
      </c>
      <c r="CN30" s="25">
        <v>0</v>
      </c>
      <c r="CO30" s="25">
        <v>0</v>
      </c>
      <c r="CP30" s="25">
        <v>0</v>
      </c>
      <c r="CQ30" s="25">
        <v>0</v>
      </c>
      <c r="CR30" s="25">
        <v>0</v>
      </c>
      <c r="CS30" s="25">
        <v>0</v>
      </c>
      <c r="CT30" s="25">
        <v>0</v>
      </c>
      <c r="CU30" s="25">
        <v>0</v>
      </c>
      <c r="CV30" s="25">
        <v>0</v>
      </c>
      <c r="CW30" s="25">
        <v>0</v>
      </c>
      <c r="CX30" s="25">
        <v>0</v>
      </c>
      <c r="CY30" s="25">
        <v>0</v>
      </c>
      <c r="CZ30" s="25">
        <v>0</v>
      </c>
      <c r="DA30" s="25">
        <v>0</v>
      </c>
      <c r="DB30" s="25">
        <v>0</v>
      </c>
      <c r="DC30" s="25">
        <v>0</v>
      </c>
      <c r="DD30" s="25">
        <v>0</v>
      </c>
      <c r="DE30" s="25">
        <v>0</v>
      </c>
      <c r="DF30" s="25">
        <v>0</v>
      </c>
      <c r="DG30" s="25">
        <v>0</v>
      </c>
      <c r="DH30" s="25">
        <v>0</v>
      </c>
      <c r="DI30" s="25">
        <v>0</v>
      </c>
      <c r="DJ30" s="25">
        <v>0</v>
      </c>
      <c r="DK30" s="25">
        <v>0</v>
      </c>
      <c r="DL30" s="25">
        <v>0</v>
      </c>
      <c r="DM30" s="25">
        <v>0</v>
      </c>
      <c r="DN30" s="25">
        <v>0</v>
      </c>
      <c r="DO30" s="25">
        <v>0</v>
      </c>
      <c r="DP30" s="25">
        <v>0</v>
      </c>
      <c r="DQ30" s="25">
        <v>0</v>
      </c>
      <c r="DR30" s="25">
        <v>0</v>
      </c>
      <c r="DS30" s="25">
        <v>0</v>
      </c>
      <c r="DT30" s="25">
        <v>0</v>
      </c>
      <c r="DU30" s="25">
        <v>0</v>
      </c>
      <c r="DV30" s="25">
        <v>0</v>
      </c>
      <c r="DW30" s="25">
        <v>0</v>
      </c>
      <c r="DX30" s="25">
        <v>0</v>
      </c>
      <c r="DY30" s="25">
        <v>0</v>
      </c>
      <c r="DZ30" s="25">
        <v>0</v>
      </c>
      <c r="EA30" s="25">
        <v>0</v>
      </c>
      <c r="EB30" s="25">
        <v>0</v>
      </c>
      <c r="EC30" s="25">
        <v>0</v>
      </c>
      <c r="ED30" s="25">
        <v>0</v>
      </c>
      <c r="EE30" s="25">
        <v>0</v>
      </c>
      <c r="EF30" s="25">
        <v>0</v>
      </c>
      <c r="EG30" s="25">
        <v>0</v>
      </c>
      <c r="EH30" s="25">
        <v>0</v>
      </c>
      <c r="EI30" s="25">
        <v>0</v>
      </c>
      <c r="EJ30" s="25">
        <v>0</v>
      </c>
      <c r="EK30" s="25">
        <v>0</v>
      </c>
      <c r="EL30" s="25">
        <v>0</v>
      </c>
      <c r="EM30" s="25">
        <v>0</v>
      </c>
      <c r="EN30" s="25">
        <v>0</v>
      </c>
      <c r="EO30" s="25">
        <v>0</v>
      </c>
      <c r="EP30" s="25">
        <v>0</v>
      </c>
      <c r="EQ30" s="25">
        <v>0</v>
      </c>
      <c r="ER30" s="25">
        <v>0</v>
      </c>
      <c r="ES30" s="25">
        <v>0</v>
      </c>
      <c r="ET30" s="25">
        <v>0</v>
      </c>
      <c r="EU30" s="25">
        <v>0</v>
      </c>
      <c r="EV30" s="25">
        <v>0</v>
      </c>
      <c r="EW30" s="25">
        <v>0</v>
      </c>
      <c r="EX30" s="25">
        <v>0</v>
      </c>
      <c r="EY30" s="25">
        <v>0</v>
      </c>
      <c r="EZ30" s="25">
        <v>0</v>
      </c>
      <c r="FA30" s="25">
        <v>0</v>
      </c>
      <c r="FB30" s="25">
        <v>0</v>
      </c>
      <c r="FC30" s="25">
        <v>0</v>
      </c>
      <c r="FD30" s="25">
        <v>0</v>
      </c>
      <c r="FE30" s="25">
        <v>0</v>
      </c>
      <c r="FF30" s="25">
        <v>0</v>
      </c>
      <c r="FG30" s="25">
        <v>0</v>
      </c>
      <c r="FH30" s="25">
        <v>0</v>
      </c>
      <c r="FI30" s="25">
        <v>0</v>
      </c>
      <c r="FJ30" s="25">
        <v>0</v>
      </c>
      <c r="FK30" s="25">
        <v>0</v>
      </c>
      <c r="FL30" s="25">
        <v>0</v>
      </c>
      <c r="FM30" s="25">
        <v>0</v>
      </c>
      <c r="FN30" s="25">
        <v>0</v>
      </c>
      <c r="FO30" s="25">
        <v>0</v>
      </c>
      <c r="FP30" s="25">
        <v>0</v>
      </c>
      <c r="FQ30" s="25">
        <v>0</v>
      </c>
      <c r="FR30" s="25">
        <v>0</v>
      </c>
      <c r="FS30" s="25">
        <v>0</v>
      </c>
      <c r="FT30" s="25">
        <v>0</v>
      </c>
      <c r="FU30" s="25">
        <v>0</v>
      </c>
      <c r="FV30" s="25">
        <v>0</v>
      </c>
      <c r="FW30" s="25">
        <v>0</v>
      </c>
      <c r="FX30" s="25">
        <v>0</v>
      </c>
      <c r="FY30" s="25">
        <v>0</v>
      </c>
      <c r="FZ30" s="25">
        <v>0</v>
      </c>
      <c r="GA30" s="25">
        <v>0</v>
      </c>
      <c r="GB30" s="25">
        <v>1</v>
      </c>
      <c r="GC30" s="25">
        <v>0</v>
      </c>
      <c r="GD30" s="25">
        <v>0</v>
      </c>
      <c r="GE30" s="25">
        <v>0</v>
      </c>
      <c r="GF30" s="25">
        <v>0</v>
      </c>
      <c r="GG30" s="25">
        <v>0</v>
      </c>
      <c r="GH30" s="25">
        <v>0</v>
      </c>
      <c r="GI30" s="25">
        <v>0</v>
      </c>
      <c r="GJ30" s="25">
        <v>0</v>
      </c>
      <c r="GK30" s="25">
        <v>0</v>
      </c>
      <c r="GL30" s="25">
        <v>0</v>
      </c>
      <c r="GM30" s="25">
        <v>0</v>
      </c>
      <c r="GN30" s="25">
        <v>0</v>
      </c>
      <c r="GO30" s="25">
        <v>0</v>
      </c>
      <c r="GP30" s="25">
        <v>0</v>
      </c>
      <c r="GQ30" s="25">
        <v>0</v>
      </c>
      <c r="GR30" s="25">
        <v>0</v>
      </c>
      <c r="GS30" s="25">
        <v>0</v>
      </c>
      <c r="GT30" s="25">
        <v>0</v>
      </c>
      <c r="GU30" s="25">
        <v>0</v>
      </c>
      <c r="GV30" s="25">
        <v>0</v>
      </c>
      <c r="GW30" s="25">
        <v>0</v>
      </c>
      <c r="GX30" s="25">
        <v>0</v>
      </c>
      <c r="GY30" s="46">
        <v>0</v>
      </c>
      <c r="GZ30" s="25">
        <v>0</v>
      </c>
      <c r="HA30" s="25">
        <v>0</v>
      </c>
      <c r="HB30" s="25">
        <v>0</v>
      </c>
      <c r="HC30" s="25">
        <v>0</v>
      </c>
      <c r="HD30" s="25">
        <v>0</v>
      </c>
      <c r="HE30" s="25">
        <v>0</v>
      </c>
      <c r="HF30" s="25">
        <v>0</v>
      </c>
      <c r="HG30" s="25">
        <v>0</v>
      </c>
      <c r="HH30" s="25">
        <v>0</v>
      </c>
      <c r="HI30" s="25">
        <v>0</v>
      </c>
      <c r="HJ30" s="25">
        <v>0</v>
      </c>
      <c r="HK30" s="25">
        <v>0</v>
      </c>
      <c r="HL30" s="25">
        <v>0</v>
      </c>
      <c r="HM30" s="25">
        <v>0</v>
      </c>
      <c r="HN30" s="25">
        <v>0</v>
      </c>
      <c r="HO30" s="25">
        <v>0</v>
      </c>
      <c r="HP30" s="25">
        <v>0</v>
      </c>
      <c r="HQ30" s="25">
        <v>0</v>
      </c>
      <c r="HR30" s="25">
        <v>0</v>
      </c>
      <c r="HS30" s="25">
        <v>0</v>
      </c>
      <c r="HT30" s="25">
        <v>0</v>
      </c>
      <c r="HU30" s="25">
        <v>0</v>
      </c>
      <c r="HV30" s="25">
        <v>0</v>
      </c>
      <c r="HW30" s="25">
        <v>0</v>
      </c>
      <c r="HX30" s="25">
        <v>0</v>
      </c>
      <c r="HY30" s="25">
        <v>0</v>
      </c>
      <c r="HZ30" s="25">
        <v>0</v>
      </c>
      <c r="IA30" s="25">
        <v>0</v>
      </c>
      <c r="IB30" s="25">
        <v>0</v>
      </c>
      <c r="IC30" s="25">
        <v>0</v>
      </c>
      <c r="ID30" s="25">
        <v>0</v>
      </c>
      <c r="IE30" s="25">
        <v>0</v>
      </c>
      <c r="IF30" s="25">
        <v>0</v>
      </c>
      <c r="IG30" s="25">
        <v>0</v>
      </c>
      <c r="IH30" s="25">
        <v>0</v>
      </c>
      <c r="II30" s="25">
        <v>0</v>
      </c>
      <c r="IJ30" s="25">
        <v>0</v>
      </c>
      <c r="IK30" s="25">
        <v>0</v>
      </c>
      <c r="IL30" s="25">
        <v>0</v>
      </c>
      <c r="IM30" s="25">
        <v>0</v>
      </c>
      <c r="IN30" s="25">
        <v>0</v>
      </c>
      <c r="IO30" s="25">
        <v>0</v>
      </c>
      <c r="IP30" s="25">
        <v>0</v>
      </c>
      <c r="IQ30" s="25">
        <v>0</v>
      </c>
      <c r="IR30" s="25">
        <v>0</v>
      </c>
      <c r="IS30" s="25">
        <v>0</v>
      </c>
      <c r="IT30" s="25">
        <v>0</v>
      </c>
      <c r="IU30" s="25">
        <v>0</v>
      </c>
      <c r="IV30" s="25">
        <v>0</v>
      </c>
      <c r="IW30" s="25">
        <v>0</v>
      </c>
      <c r="IX30" s="25">
        <v>0</v>
      </c>
      <c r="IY30" s="25">
        <v>0</v>
      </c>
      <c r="IZ30" s="25">
        <v>0</v>
      </c>
      <c r="JA30" s="25">
        <v>0</v>
      </c>
      <c r="JB30" s="25">
        <v>0</v>
      </c>
      <c r="JC30" s="25">
        <v>0</v>
      </c>
      <c r="JD30" s="25">
        <v>0</v>
      </c>
      <c r="JE30" s="25">
        <v>0</v>
      </c>
      <c r="JF30" s="25">
        <v>0</v>
      </c>
      <c r="JG30" s="25">
        <v>0</v>
      </c>
      <c r="JH30" s="25">
        <v>0</v>
      </c>
      <c r="JI30" s="25">
        <v>0</v>
      </c>
      <c r="JJ30" s="25">
        <v>0</v>
      </c>
      <c r="JK30" s="25">
        <v>0</v>
      </c>
      <c r="JL30" s="25">
        <v>0</v>
      </c>
      <c r="JM30" s="25">
        <v>0</v>
      </c>
      <c r="JN30" s="25">
        <v>0</v>
      </c>
      <c r="JO30" s="25">
        <v>0</v>
      </c>
      <c r="JP30" s="25">
        <v>0</v>
      </c>
      <c r="JQ30" s="25">
        <v>0</v>
      </c>
      <c r="JR30" s="25">
        <v>0</v>
      </c>
      <c r="JS30" s="25">
        <v>0</v>
      </c>
      <c r="JT30" s="25">
        <v>0</v>
      </c>
      <c r="JU30" s="25">
        <v>0</v>
      </c>
      <c r="JV30" s="25">
        <v>0</v>
      </c>
      <c r="JW30" s="25">
        <v>0</v>
      </c>
      <c r="JX30" s="25">
        <v>0</v>
      </c>
      <c r="JY30" s="25">
        <v>0</v>
      </c>
      <c r="JZ30" s="25">
        <v>0</v>
      </c>
      <c r="KA30" s="25">
        <v>0</v>
      </c>
      <c r="KB30" s="25">
        <v>0</v>
      </c>
      <c r="KC30" s="25">
        <v>0</v>
      </c>
      <c r="KD30" s="25">
        <v>0</v>
      </c>
      <c r="KE30" s="25">
        <v>0</v>
      </c>
      <c r="KF30" s="25">
        <v>0</v>
      </c>
      <c r="KG30" s="25">
        <v>0</v>
      </c>
      <c r="KH30" s="25">
        <v>0</v>
      </c>
      <c r="KI30" s="25">
        <v>0</v>
      </c>
      <c r="KJ30" s="25">
        <v>0</v>
      </c>
      <c r="KK30" s="25">
        <v>0</v>
      </c>
      <c r="KL30" s="25">
        <v>0</v>
      </c>
      <c r="KM30" s="25">
        <v>0</v>
      </c>
      <c r="KN30" s="25">
        <v>0</v>
      </c>
      <c r="KO30" s="25">
        <v>0</v>
      </c>
      <c r="KP30" s="25">
        <v>0</v>
      </c>
      <c r="KQ30" s="25">
        <v>0</v>
      </c>
      <c r="KR30" s="25">
        <v>0</v>
      </c>
      <c r="KS30" s="25">
        <v>0</v>
      </c>
      <c r="KT30" s="25">
        <v>0</v>
      </c>
      <c r="KU30" s="25">
        <v>0</v>
      </c>
      <c r="KV30" s="25">
        <v>0</v>
      </c>
      <c r="KW30" s="25">
        <v>0</v>
      </c>
      <c r="KX30" s="25">
        <v>0</v>
      </c>
      <c r="KY30" s="25">
        <v>0</v>
      </c>
      <c r="KZ30" s="25">
        <v>0</v>
      </c>
      <c r="LA30" s="25">
        <v>0</v>
      </c>
      <c r="LB30" s="25">
        <v>0</v>
      </c>
      <c r="LC30" s="25">
        <v>0</v>
      </c>
      <c r="LD30" s="25">
        <v>0</v>
      </c>
      <c r="LE30" s="25">
        <v>0</v>
      </c>
      <c r="LF30" s="25">
        <v>0</v>
      </c>
      <c r="LG30" s="25">
        <v>0</v>
      </c>
      <c r="LH30" s="25">
        <v>0</v>
      </c>
      <c r="LI30" s="25">
        <v>0</v>
      </c>
      <c r="LJ30" s="25">
        <v>0</v>
      </c>
      <c r="LK30" s="25">
        <v>0</v>
      </c>
      <c r="LL30" s="25">
        <v>0</v>
      </c>
      <c r="LM30" s="25">
        <v>0</v>
      </c>
      <c r="LN30" s="278">
        <f ca="1">$A30 - DeathsTimeS!Sweden100dt + 1</f>
        <v>-37</v>
      </c>
      <c r="LO30" s="366">
        <f ca="1">INDEX(OFFSET(DeathsTimeS!HeadRow,ROW()-ROW(DeathsTimeS!HeadRow),0,1,COLUMNS(DeathsTimeS!HeadRow)),1,MATCH(LO$5,DeathsTimeS!HeadRow,0))/LO$8</f>
        <v>0</v>
      </c>
      <c r="LP30" s="278">
        <f ca="1">$A30 - DeathsTimeS!Spain100dt</f>
        <v>-30</v>
      </c>
      <c r="LQ30" s="11">
        <f ca="1">INDEX(OFFSET(DeathsTimeS!HeadRow,ROW()-ROW(DeathsTimeS!HeadRow),0,1,COLUMNS(DeathsTimeS!HeadRow)),1,MATCH(LQ$5,DeathsTimeS!HeadRow,0))/LQ$8</f>
        <v>0</v>
      </c>
      <c r="LR30" s="278">
        <f ca="1">$A30 - DeathsTimeS!Victoria100dt</f>
        <v>-53</v>
      </c>
      <c r="LS30" s="11">
        <f ca="1">INDEX(OFFSET(DeathsTimeS!HeadRow,ROW()-ROW(DeathsTimeS!HeadRow),0,1,COLUMNS(DeathsTimeS!HeadRow)),1,MATCH(LS$5,DeathsTimeS!HeadRow,0))/LS$8</f>
        <v>0</v>
      </c>
      <c r="LT30" s="278">
        <f ca="1">$A30 - DeathsTimeS!Iran100dt</f>
        <v>-23</v>
      </c>
      <c r="LU30" s="11">
        <f ca="1">INDEX(OFFSET(DeathsTimeS!HeadRow,ROW()-ROW(DeathsTimeS!HeadRow),0,1,COLUMNS(DeathsTimeS!HeadRow)),1,MATCH(LU$5,DeathsTimeS!HeadRow,0))/LU$8</f>
        <v>0</v>
      </c>
      <c r="LV30" s="278">
        <f ca="1">$A30 - DeathsTimeS!Japan100dt</f>
        <v>-64</v>
      </c>
      <c r="LW30" s="11">
        <f ca="1">INDEX(OFFSET(DeathsTimeS!HeadRow,ROW()-ROW(DeathsTimeS!HeadRow),0,1,COLUMNS(DeathsTimeS!HeadRow)),1,MATCH(LW$5,DeathsTimeS!HeadRow,0))/LW$8</f>
        <v>0</v>
      </c>
      <c r="LX30" s="278">
        <f ca="1">$A30 - DeathsTimeS!Queensland100dt</f>
        <v>-68</v>
      </c>
      <c r="LY30" s="11">
        <f ca="1">INDEX(OFFSET(DeathsTimeS!HeadRow,ROW()-ROW(DeathsTimeS!HeadRow),0,1,COLUMNS(DeathsTimeS!HeadRow)),1,MATCH(LY$5,DeathsTimeS!HeadRow,0))/LY$8</f>
        <v>0</v>
      </c>
      <c r="LZ30" s="278">
        <f ca="1">$A30 - DeathsTimeS!Tasmania100dt</f>
        <v>-50</v>
      </c>
      <c r="MA30" s="11">
        <f ca="1">INDEX(OFFSET(DeathsTimeS!HeadRow,ROW()-ROW(DeathsTimeS!HeadRow),0,1,COLUMNS(DeathsTimeS!HeadRow)),1,MATCH(MA$5,DeathsTimeS!HeadRow,0))/MA$8</f>
        <v>0</v>
      </c>
      <c r="MB30" s="278">
        <f ca="1">$A30 - DeathsTimeS!SouthAustralia100dt</f>
        <v>-58</v>
      </c>
      <c r="MC30" s="11">
        <f ca="1">INDEX(OFFSET(DeathsTimeS!HeadRow,ROW()-ROW(DeathsTimeS!HeadRow),0,1,COLUMNS(DeathsTimeS!HeadRow)),1,MATCH(MC$5,DeathsTimeS!HeadRow,0))/MC$8</f>
        <v>0</v>
      </c>
      <c r="MD30" s="278">
        <f ca="1">$A30 - DeathsTimeS!WesternAustralia100dt</f>
        <v>-55</v>
      </c>
      <c r="ME30" s="11">
        <f ca="1">INDEX(OFFSET(DeathsTimeS!HeadRow,ROW()-ROW(DeathsTimeS!HeadRow),0,1,COLUMNS(DeathsTimeS!HeadRow)),1,MATCH(ME$5,DeathsTimeS!HeadRow,0))/ME$8</f>
        <v>0</v>
      </c>
      <c r="MF30" s="278">
        <f ca="1">$A30 - DeathsTimeS!NewSouthWales100dt</f>
        <v>-51</v>
      </c>
      <c r="MG30" s="11">
        <f ca="1">INDEX(OFFSET(DeathsTimeS!HeadRow,ROW()-ROW(DeathsTimeS!HeadRow),0,1,COLUMNS(DeathsTimeS!HeadRow)),1,MATCH(MG$5,DeathsTimeS!HeadRow,0))/MG$8</f>
        <v>0</v>
      </c>
      <c r="MH30" s="278">
        <f ca="1">$A30 - DeathsTimeS!NewYork100dt</f>
        <v>-35</v>
      </c>
      <c r="MI30" s="11">
        <f ca="1">INDEX(OFFSET(DeathsTimeS!HeadRow,ROW()-ROW(DeathsTimeS!HeadRow),0,1,COLUMNS(DeathsTimeS!HeadRow)),1,MATCH(MI$5,DeathsTimeS!HeadRow,0))/MI$8</f>
        <v>0</v>
      </c>
      <c r="MJ30" s="278">
        <f ca="1">$A30 - DeathsTimeS!Italy100dt</f>
        <v>-22</v>
      </c>
      <c r="MK30" s="11">
        <f ca="1">INDEX(OFFSET(DeathsTimeS!HeadRow,ROW()-ROW(DeathsTimeS!HeadRow),0,1,COLUMNS(DeathsTimeS!HeadRow)),1,MATCH(MK$5,DeathsTimeS!HeadRow,0))/MK$8</f>
        <v>0</v>
      </c>
      <c r="ML30" s="278">
        <f ca="1">$A30 - DeathsTimeS!AustralianCapitalTerritory100dt</f>
        <v>-49</v>
      </c>
      <c r="MM30" s="11">
        <f ca="1">INDEX(OFFSET(DeathsTimeS!HeadRow,ROW()-ROW(DeathsTimeS!HeadRow),0,1,COLUMNS(DeathsTimeS!HeadRow)),1,MATCH(MM$5,DeathsTimeS!HeadRow,0))/MM$8</f>
        <v>0</v>
      </c>
      <c r="MN30" s="278">
        <f ca="1">IF(DeathsTimeS!NorthernTerritory100dt&gt;0,$A30 - DeathsTimeS!NorthernTerritory100dt,"")</f>
        <v>-77</v>
      </c>
      <c r="MO30" s="11">
        <f ca="1">INDEX(OFFSET(DeathsTimeS!HeadRow,ROW()-ROW(DeathsTimeS!HeadRow),0,1,COLUMNS(DeathsTimeS!HeadRow)),1,MATCH(MO$5,DeathsTimeS!HeadRow,0))/MO$8</f>
        <v>0</v>
      </c>
      <c r="MP30" s="278">
        <f ca="1">$A30 - DeathsTimeS!SouthAfrica100dt + 1</f>
        <v>-69</v>
      </c>
      <c r="MQ30" s="20">
        <f ca="1">INDEX(OFFSET(DeathsTimeS!HeadRow,ROW()-ROW(DeathsTimeS!HeadRow),0,1,COLUMNS(DeathsTimeS!HeadRow)),1,MATCH(MQ$5,DeathsTimeS!HeadRow,0))/MQ$8</f>
        <v>0</v>
      </c>
      <c r="MR30" s="278">
        <f ca="1">$A30 - DeathsTimeS!Germany100dt + 1</f>
        <v>-39</v>
      </c>
      <c r="MS30" s="20">
        <f ca="1">INDEX(OFFSET(DeathsTimeS!HeadRow,ROW()-ROW(DeathsTimeS!HeadRow),0,1,COLUMNS(DeathsTimeS!HeadRow)),1,MATCH(MS$5,DeathsTimeS!HeadRow,0))/MS$8</f>
        <v>0</v>
      </c>
      <c r="MT30" s="278">
        <f ca="1">$A30 - DeathsTimeS!Ireland100dt + 1</f>
        <v>-41</v>
      </c>
      <c r="MU30" s="73">
        <f ca="1">INDEX(OFFSET(DeathsTimeS!HeadRow,ROW()-ROW(DeathsTimeS!HeadRow),0,1,COLUMNS(DeathsTimeS!HeadRow)),1,MATCH(MU$5,DeathsTimeS!HeadRow,0))/MU$8</f>
        <v>0</v>
      </c>
      <c r="MV30" s="278">
        <f ca="1">$A30 - DeathsTimeS!UnitedKingdom100dt + 1</f>
        <v>-35</v>
      </c>
      <c r="MW30" s="73">
        <f ca="1">INDEX(OFFSET(DeathsTimeS!HeadRow,ROW()-ROW(DeathsTimeS!HeadRow),0,1,COLUMNS(DeathsTimeS!HeadRow)),1,MATCH(MW$5,DeathsTimeS!HeadRow,0))/MW$8</f>
        <v>0</v>
      </c>
      <c r="MX30" s="278">
        <f ca="1">$A30 - DeathsTimeS!Denmark100dt + 1</f>
        <v>-37</v>
      </c>
      <c r="MY30" s="73">
        <f ca="1">INDEX(OFFSET(DeathsTimeS!HeadRow,ROW()-ROW(DeathsTimeS!HeadRow),0,1,COLUMNS(DeathsTimeS!HeadRow)),1,MATCH(MY$5,DeathsTimeS!HeadRow,0))/MY$8</f>
        <v>0</v>
      </c>
      <c r="MZ30" s="278">
        <f ca="1">$A30 - DeathsTimeS!US100dt + 1</f>
        <v>-38</v>
      </c>
      <c r="NA30" s="73">
        <f ca="1">INDEX(OFFSET(DeathsTimeS!HeadRow,ROW()-ROW(DeathsTimeS!HeadRow),0,1,COLUMNS(DeathsTimeS!HeadRow)),1,MATCH(NA$5,DeathsTimeS!HeadRow,0))/NA$8</f>
        <v>0</v>
      </c>
      <c r="NB30" s="278">
        <f ca="1">$A30 - DeathsTimeS!AustraliaSum100dt + 1</f>
        <v>-44</v>
      </c>
      <c r="NC30" s="366">
        <f t="shared" si="6"/>
        <v>0</v>
      </c>
      <c r="ND30" s="278">
        <f ca="1">$A30 - DeathsTimeS!Taiwan100dt + 1</f>
        <v>-76</v>
      </c>
      <c r="NE30" s="366">
        <f ca="1">INDEX(OFFSET(DeathsTimeS!HeadRow,ROW()-ROW(DeathsTimeS!HeadRow),0,1,COLUMNS(DeathsTimeS!HeadRow)),1,MATCH(NE$5,DeathsTimeS!HeadRow,0))/NE$8</f>
        <v>0</v>
      </c>
      <c r="NF30" s="278">
        <f ca="1">$A30 - DeathsTimeS!Hubei100dt + 1</f>
        <v>15</v>
      </c>
      <c r="NG30" s="366">
        <f ca="1">INDEX(OFFSET(DeathsTimeS!HeadRow,ROW()-ROW(DeathsTimeS!HeadRow),0,1,COLUMNS(DeathsTimeS!HeadRow)),1,MATCH(NG$5,DeathsTimeS!HeadRow,0))/NG$8</f>
        <v>166.4957264957265</v>
      </c>
      <c r="NH30" s="278">
        <f ca="1">$A30 - DeathsTimeS!HongKong100dt + 1</f>
        <v>-76</v>
      </c>
      <c r="NI30" s="366">
        <f ca="1">INDEX(OFFSET(DeathsTimeS!HeadRow,ROW()-ROW(DeathsTimeS!HeadRow),0,1,COLUMNS(DeathsTimeS!HeadRow)),1,MATCH(NI$5,DeathsTimeS!HeadRow,0))/NI$8</f>
        <v>1.3421017313112333</v>
      </c>
    </row>
    <row r="31" spans="1:373" x14ac:dyDescent="0.25">
      <c r="A31" s="156">
        <v>43872</v>
      </c>
      <c r="B31" s="25">
        <v>0</v>
      </c>
      <c r="C31" s="25">
        <v>0</v>
      </c>
      <c r="D31" s="25">
        <v>0</v>
      </c>
      <c r="E31" s="25">
        <v>0</v>
      </c>
      <c r="F31" s="25">
        <v>0</v>
      </c>
      <c r="G31" s="25">
        <v>0</v>
      </c>
      <c r="H31" s="25">
        <v>0</v>
      </c>
      <c r="I31" s="25">
        <v>0</v>
      </c>
      <c r="J31" s="25">
        <v>0</v>
      </c>
      <c r="K31" s="25">
        <v>0</v>
      </c>
      <c r="L31" s="25">
        <v>0</v>
      </c>
      <c r="M31" s="25">
        <v>0</v>
      </c>
      <c r="N31" s="25">
        <v>0</v>
      </c>
      <c r="O31" s="25">
        <v>0</v>
      </c>
      <c r="P31" s="25">
        <v>0</v>
      </c>
      <c r="Q31" s="25">
        <v>0</v>
      </c>
      <c r="R31" s="25">
        <v>0</v>
      </c>
      <c r="S31" s="25">
        <v>0</v>
      </c>
      <c r="T31" s="25">
        <v>0</v>
      </c>
      <c r="U31" s="25">
        <v>0</v>
      </c>
      <c r="V31" s="25">
        <v>0</v>
      </c>
      <c r="W31" s="25">
        <v>0</v>
      </c>
      <c r="X31" s="25">
        <v>0</v>
      </c>
      <c r="Y31" s="25">
        <v>0</v>
      </c>
      <c r="Z31" s="25">
        <v>0</v>
      </c>
      <c r="AA31" s="25">
        <v>0</v>
      </c>
      <c r="AB31" s="25">
        <v>0</v>
      </c>
      <c r="AC31" s="25">
        <v>0</v>
      </c>
      <c r="AD31" s="25">
        <v>0</v>
      </c>
      <c r="AE31" s="25">
        <v>0</v>
      </c>
      <c r="AF31" s="25">
        <v>0</v>
      </c>
      <c r="AG31" s="25">
        <v>0</v>
      </c>
      <c r="AH31" s="25">
        <v>0</v>
      </c>
      <c r="AI31" s="25">
        <v>0</v>
      </c>
      <c r="AJ31" s="25">
        <v>0</v>
      </c>
      <c r="AK31" s="25">
        <v>0</v>
      </c>
      <c r="AL31" s="25">
        <v>0</v>
      </c>
      <c r="AM31" s="25">
        <v>0</v>
      </c>
      <c r="AN31" s="25">
        <v>0</v>
      </c>
      <c r="AO31" s="25">
        <v>0</v>
      </c>
      <c r="AP31" s="25">
        <v>0</v>
      </c>
      <c r="AQ31" s="25">
        <v>0</v>
      </c>
      <c r="AR31" s="25">
        <v>0</v>
      </c>
      <c r="AS31" s="25">
        <v>0</v>
      </c>
      <c r="AT31" s="25">
        <v>0</v>
      </c>
      <c r="AU31" s="25">
        <v>0</v>
      </c>
      <c r="AV31" s="25">
        <v>0</v>
      </c>
      <c r="AW31" s="25">
        <v>0</v>
      </c>
      <c r="AX31" s="25">
        <v>0</v>
      </c>
      <c r="AY31" s="25">
        <v>4</v>
      </c>
      <c r="AZ31" s="25">
        <v>3</v>
      </c>
      <c r="BA31" s="25">
        <v>3</v>
      </c>
      <c r="BB31" s="25">
        <v>0</v>
      </c>
      <c r="BC31" s="25">
        <v>2</v>
      </c>
      <c r="BD31" s="25">
        <v>1</v>
      </c>
      <c r="BE31" s="25">
        <v>1</v>
      </c>
      <c r="BF31" s="25">
        <v>1</v>
      </c>
      <c r="BG31" s="25">
        <v>3</v>
      </c>
      <c r="BH31" s="25">
        <v>2</v>
      </c>
      <c r="BI31" s="25">
        <v>8</v>
      </c>
      <c r="BJ31" s="25">
        <v>7</v>
      </c>
      <c r="BK31" s="25">
        <v>1</v>
      </c>
      <c r="BL31" s="25">
        <v>1068</v>
      </c>
      <c r="BM31" s="25">
        <v>1</v>
      </c>
      <c r="BN31" s="25">
        <v>0</v>
      </c>
      <c r="BO31" s="25">
        <v>0</v>
      </c>
      <c r="BP31" s="25">
        <v>1</v>
      </c>
      <c r="BQ31" s="25">
        <v>1</v>
      </c>
      <c r="BR31" s="25">
        <v>0</v>
      </c>
      <c r="BS31" s="25">
        <v>0</v>
      </c>
      <c r="BT31" s="25">
        <v>0</v>
      </c>
      <c r="BU31" s="25">
        <v>0</v>
      </c>
      <c r="BV31" s="25">
        <v>0</v>
      </c>
      <c r="BW31" s="25">
        <v>1</v>
      </c>
      <c r="BX31" s="25">
        <v>1</v>
      </c>
      <c r="BY31" s="25">
        <v>0</v>
      </c>
      <c r="BZ31" s="25">
        <v>1</v>
      </c>
      <c r="CA31" s="25">
        <v>2</v>
      </c>
      <c r="CB31" s="25">
        <v>0</v>
      </c>
      <c r="CC31" s="25">
        <v>0</v>
      </c>
      <c r="CD31" s="25">
        <v>0</v>
      </c>
      <c r="CE31" s="25">
        <v>0</v>
      </c>
      <c r="CF31" s="25">
        <v>0</v>
      </c>
      <c r="CG31" s="25">
        <v>0</v>
      </c>
      <c r="CH31" s="25">
        <v>0</v>
      </c>
      <c r="CI31" s="25">
        <v>0</v>
      </c>
      <c r="CJ31" s="25">
        <v>0</v>
      </c>
      <c r="CK31" s="25">
        <v>0</v>
      </c>
      <c r="CL31" s="25">
        <v>0</v>
      </c>
      <c r="CM31" s="25">
        <v>0</v>
      </c>
      <c r="CN31" s="25">
        <v>0</v>
      </c>
      <c r="CO31" s="25">
        <v>0</v>
      </c>
      <c r="CP31" s="25">
        <v>0</v>
      </c>
      <c r="CQ31" s="25">
        <v>0</v>
      </c>
      <c r="CR31" s="25">
        <v>0</v>
      </c>
      <c r="CS31" s="25">
        <v>0</v>
      </c>
      <c r="CT31" s="25">
        <v>0</v>
      </c>
      <c r="CU31" s="25">
        <v>0</v>
      </c>
      <c r="CV31" s="25">
        <v>0</v>
      </c>
      <c r="CW31" s="25">
        <v>0</v>
      </c>
      <c r="CX31" s="25">
        <v>0</v>
      </c>
      <c r="CY31" s="25">
        <v>0</v>
      </c>
      <c r="CZ31" s="25">
        <v>0</v>
      </c>
      <c r="DA31" s="25">
        <v>0</v>
      </c>
      <c r="DB31" s="25">
        <v>0</v>
      </c>
      <c r="DC31" s="25">
        <v>0</v>
      </c>
      <c r="DD31" s="25">
        <v>0</v>
      </c>
      <c r="DE31" s="25">
        <v>0</v>
      </c>
      <c r="DF31" s="25">
        <v>0</v>
      </c>
      <c r="DG31" s="25">
        <v>0</v>
      </c>
      <c r="DH31" s="25">
        <v>0</v>
      </c>
      <c r="DI31" s="25">
        <v>0</v>
      </c>
      <c r="DJ31" s="25">
        <v>0</v>
      </c>
      <c r="DK31" s="25">
        <v>0</v>
      </c>
      <c r="DL31" s="25">
        <v>0</v>
      </c>
      <c r="DM31" s="25">
        <v>0</v>
      </c>
      <c r="DN31" s="25">
        <v>0</v>
      </c>
      <c r="DO31" s="25">
        <v>0</v>
      </c>
      <c r="DP31" s="25">
        <v>0</v>
      </c>
      <c r="DQ31" s="25">
        <v>0</v>
      </c>
      <c r="DR31" s="25">
        <v>0</v>
      </c>
      <c r="DS31" s="25">
        <v>0</v>
      </c>
      <c r="DT31" s="25">
        <v>0</v>
      </c>
      <c r="DU31" s="25">
        <v>0</v>
      </c>
      <c r="DV31" s="25">
        <v>0</v>
      </c>
      <c r="DW31" s="25">
        <v>0</v>
      </c>
      <c r="DX31" s="25">
        <v>0</v>
      </c>
      <c r="DY31" s="25">
        <v>0</v>
      </c>
      <c r="DZ31" s="25">
        <v>0</v>
      </c>
      <c r="EA31" s="25">
        <v>0</v>
      </c>
      <c r="EB31" s="25">
        <v>0</v>
      </c>
      <c r="EC31" s="25">
        <v>0</v>
      </c>
      <c r="ED31" s="25">
        <v>0</v>
      </c>
      <c r="EE31" s="25">
        <v>0</v>
      </c>
      <c r="EF31" s="25">
        <v>0</v>
      </c>
      <c r="EG31" s="25">
        <v>0</v>
      </c>
      <c r="EH31" s="25">
        <v>0</v>
      </c>
      <c r="EI31" s="25">
        <v>0</v>
      </c>
      <c r="EJ31" s="25">
        <v>0</v>
      </c>
      <c r="EK31" s="25">
        <v>0</v>
      </c>
      <c r="EL31" s="25">
        <v>0</v>
      </c>
      <c r="EM31" s="25">
        <v>0</v>
      </c>
      <c r="EN31" s="25">
        <v>0</v>
      </c>
      <c r="EO31" s="25">
        <v>0</v>
      </c>
      <c r="EP31" s="25">
        <v>0</v>
      </c>
      <c r="EQ31" s="25">
        <v>0</v>
      </c>
      <c r="ER31" s="25">
        <v>0</v>
      </c>
      <c r="ES31" s="25">
        <v>0</v>
      </c>
      <c r="ET31" s="25">
        <v>0</v>
      </c>
      <c r="EU31" s="25">
        <v>0</v>
      </c>
      <c r="EV31" s="25">
        <v>0</v>
      </c>
      <c r="EW31" s="25">
        <v>0</v>
      </c>
      <c r="EX31" s="25">
        <v>0</v>
      </c>
      <c r="EY31" s="25">
        <v>0</v>
      </c>
      <c r="EZ31" s="25">
        <v>0</v>
      </c>
      <c r="FA31" s="25">
        <v>0</v>
      </c>
      <c r="FB31" s="25">
        <v>0</v>
      </c>
      <c r="FC31" s="25">
        <v>0</v>
      </c>
      <c r="FD31" s="25">
        <v>0</v>
      </c>
      <c r="FE31" s="25">
        <v>0</v>
      </c>
      <c r="FF31" s="25">
        <v>0</v>
      </c>
      <c r="FG31" s="25">
        <v>0</v>
      </c>
      <c r="FH31" s="25">
        <v>0</v>
      </c>
      <c r="FI31" s="25">
        <v>0</v>
      </c>
      <c r="FJ31" s="25">
        <v>0</v>
      </c>
      <c r="FK31" s="25">
        <v>0</v>
      </c>
      <c r="FL31" s="25">
        <v>0</v>
      </c>
      <c r="FM31" s="25">
        <v>0</v>
      </c>
      <c r="FN31" s="25">
        <v>0</v>
      </c>
      <c r="FO31" s="25">
        <v>0</v>
      </c>
      <c r="FP31" s="25">
        <v>0</v>
      </c>
      <c r="FQ31" s="25">
        <v>0</v>
      </c>
      <c r="FR31" s="25">
        <v>0</v>
      </c>
      <c r="FS31" s="25">
        <v>0</v>
      </c>
      <c r="FT31" s="25">
        <v>0</v>
      </c>
      <c r="FU31" s="25">
        <v>0</v>
      </c>
      <c r="FV31" s="25">
        <v>0</v>
      </c>
      <c r="FW31" s="25">
        <v>0</v>
      </c>
      <c r="FX31" s="25">
        <v>0</v>
      </c>
      <c r="FY31" s="25">
        <v>0</v>
      </c>
      <c r="FZ31" s="25">
        <v>0</v>
      </c>
      <c r="GA31" s="25">
        <v>0</v>
      </c>
      <c r="GB31" s="25">
        <v>1</v>
      </c>
      <c r="GC31" s="25">
        <v>0</v>
      </c>
      <c r="GD31" s="25">
        <v>0</v>
      </c>
      <c r="GE31" s="25">
        <v>0</v>
      </c>
      <c r="GF31" s="25">
        <v>0</v>
      </c>
      <c r="GG31" s="25">
        <v>0</v>
      </c>
      <c r="GH31" s="25">
        <v>0</v>
      </c>
      <c r="GI31" s="25">
        <v>0</v>
      </c>
      <c r="GJ31" s="25">
        <v>0</v>
      </c>
      <c r="GK31" s="25">
        <v>0</v>
      </c>
      <c r="GL31" s="25">
        <v>0</v>
      </c>
      <c r="GM31" s="25">
        <v>0</v>
      </c>
      <c r="GN31" s="25">
        <v>0</v>
      </c>
      <c r="GO31" s="25">
        <v>0</v>
      </c>
      <c r="GP31" s="25">
        <v>0</v>
      </c>
      <c r="GQ31" s="25">
        <v>0</v>
      </c>
      <c r="GR31" s="25">
        <v>0</v>
      </c>
      <c r="GS31" s="25">
        <v>0</v>
      </c>
      <c r="GT31" s="25">
        <v>0</v>
      </c>
      <c r="GU31" s="25">
        <v>0</v>
      </c>
      <c r="GV31" s="25">
        <v>0</v>
      </c>
      <c r="GW31" s="25">
        <v>0</v>
      </c>
      <c r="GX31" s="25">
        <v>0</v>
      </c>
      <c r="GY31" s="46">
        <v>0</v>
      </c>
      <c r="GZ31" s="25">
        <v>0</v>
      </c>
      <c r="HA31" s="25">
        <v>0</v>
      </c>
      <c r="HB31" s="25">
        <v>0</v>
      </c>
      <c r="HC31" s="25">
        <v>0</v>
      </c>
      <c r="HD31" s="25">
        <v>0</v>
      </c>
      <c r="HE31" s="25">
        <v>0</v>
      </c>
      <c r="HF31" s="25">
        <v>0</v>
      </c>
      <c r="HG31" s="25">
        <v>0</v>
      </c>
      <c r="HH31" s="25">
        <v>0</v>
      </c>
      <c r="HI31" s="25">
        <v>0</v>
      </c>
      <c r="HJ31" s="25">
        <v>0</v>
      </c>
      <c r="HK31" s="25">
        <v>0</v>
      </c>
      <c r="HL31" s="25">
        <v>0</v>
      </c>
      <c r="HM31" s="25">
        <v>0</v>
      </c>
      <c r="HN31" s="25">
        <v>0</v>
      </c>
      <c r="HO31" s="25">
        <v>0</v>
      </c>
      <c r="HP31" s="25">
        <v>0</v>
      </c>
      <c r="HQ31" s="25">
        <v>0</v>
      </c>
      <c r="HR31" s="25">
        <v>0</v>
      </c>
      <c r="HS31" s="25">
        <v>0</v>
      </c>
      <c r="HT31" s="25">
        <v>0</v>
      </c>
      <c r="HU31" s="25">
        <v>0</v>
      </c>
      <c r="HV31" s="25">
        <v>0</v>
      </c>
      <c r="HW31" s="25">
        <v>0</v>
      </c>
      <c r="HX31" s="25">
        <v>0</v>
      </c>
      <c r="HY31" s="25">
        <v>0</v>
      </c>
      <c r="HZ31" s="25">
        <v>0</v>
      </c>
      <c r="IA31" s="25">
        <v>0</v>
      </c>
      <c r="IB31" s="25">
        <v>0</v>
      </c>
      <c r="IC31" s="25">
        <v>0</v>
      </c>
      <c r="ID31" s="25">
        <v>0</v>
      </c>
      <c r="IE31" s="25">
        <v>0</v>
      </c>
      <c r="IF31" s="25">
        <v>0</v>
      </c>
      <c r="IG31" s="25">
        <v>0</v>
      </c>
      <c r="IH31" s="25">
        <v>0</v>
      </c>
      <c r="II31" s="25">
        <v>0</v>
      </c>
      <c r="IJ31" s="25">
        <v>0</v>
      </c>
      <c r="IK31" s="25">
        <v>0</v>
      </c>
      <c r="IL31" s="25">
        <v>0</v>
      </c>
      <c r="IM31" s="25">
        <v>0</v>
      </c>
      <c r="IN31" s="25">
        <v>0</v>
      </c>
      <c r="IO31" s="25">
        <v>0</v>
      </c>
      <c r="IP31" s="25">
        <v>0</v>
      </c>
      <c r="IQ31" s="25">
        <v>0</v>
      </c>
      <c r="IR31" s="25">
        <v>0</v>
      </c>
      <c r="IS31" s="25">
        <v>0</v>
      </c>
      <c r="IT31" s="25">
        <v>0</v>
      </c>
      <c r="IU31" s="25">
        <v>0</v>
      </c>
      <c r="IV31" s="25">
        <v>0</v>
      </c>
      <c r="IW31" s="25">
        <v>0</v>
      </c>
      <c r="IX31" s="25">
        <v>0</v>
      </c>
      <c r="IY31" s="25">
        <v>0</v>
      </c>
      <c r="IZ31" s="25">
        <v>0</v>
      </c>
      <c r="JA31" s="25">
        <v>0</v>
      </c>
      <c r="JB31" s="25">
        <v>0</v>
      </c>
      <c r="JC31" s="25">
        <v>0</v>
      </c>
      <c r="JD31" s="25">
        <v>0</v>
      </c>
      <c r="JE31" s="25">
        <v>0</v>
      </c>
      <c r="JF31" s="25">
        <v>0</v>
      </c>
      <c r="JG31" s="25">
        <v>0</v>
      </c>
      <c r="JH31" s="25">
        <v>0</v>
      </c>
      <c r="JI31" s="25">
        <v>0</v>
      </c>
      <c r="JJ31" s="25">
        <v>0</v>
      </c>
      <c r="JK31" s="25">
        <v>0</v>
      </c>
      <c r="JL31" s="25">
        <v>0</v>
      </c>
      <c r="JM31" s="25">
        <v>0</v>
      </c>
      <c r="JN31" s="25">
        <v>0</v>
      </c>
      <c r="JO31" s="25">
        <v>0</v>
      </c>
      <c r="JP31" s="25">
        <v>0</v>
      </c>
      <c r="JQ31" s="25">
        <v>0</v>
      </c>
      <c r="JR31" s="25">
        <v>0</v>
      </c>
      <c r="JS31" s="25">
        <v>0</v>
      </c>
      <c r="JT31" s="25">
        <v>0</v>
      </c>
      <c r="JU31" s="25">
        <v>0</v>
      </c>
      <c r="JV31" s="25">
        <v>0</v>
      </c>
      <c r="JW31" s="25">
        <v>0</v>
      </c>
      <c r="JX31" s="25">
        <v>0</v>
      </c>
      <c r="JY31" s="25">
        <v>0</v>
      </c>
      <c r="JZ31" s="25">
        <v>0</v>
      </c>
      <c r="KA31" s="25">
        <v>0</v>
      </c>
      <c r="KB31" s="25">
        <v>0</v>
      </c>
      <c r="KC31" s="25">
        <v>0</v>
      </c>
      <c r="KD31" s="25">
        <v>0</v>
      </c>
      <c r="KE31" s="25">
        <v>0</v>
      </c>
      <c r="KF31" s="25">
        <v>0</v>
      </c>
      <c r="KG31" s="25">
        <v>0</v>
      </c>
      <c r="KH31" s="25">
        <v>0</v>
      </c>
      <c r="KI31" s="25">
        <v>0</v>
      </c>
      <c r="KJ31" s="25">
        <v>0</v>
      </c>
      <c r="KK31" s="25">
        <v>0</v>
      </c>
      <c r="KL31" s="25">
        <v>0</v>
      </c>
      <c r="KM31" s="25">
        <v>0</v>
      </c>
      <c r="KN31" s="25">
        <v>0</v>
      </c>
      <c r="KO31" s="25">
        <v>0</v>
      </c>
      <c r="KP31" s="25">
        <v>0</v>
      </c>
      <c r="KQ31" s="25">
        <v>0</v>
      </c>
      <c r="KR31" s="25">
        <v>0</v>
      </c>
      <c r="KS31" s="25">
        <v>0</v>
      </c>
      <c r="KT31" s="25">
        <v>0</v>
      </c>
      <c r="KU31" s="25">
        <v>0</v>
      </c>
      <c r="KV31" s="25">
        <v>0</v>
      </c>
      <c r="KW31" s="25">
        <v>0</v>
      </c>
      <c r="KX31" s="25">
        <v>0</v>
      </c>
      <c r="KY31" s="25">
        <v>0</v>
      </c>
      <c r="KZ31" s="25">
        <v>0</v>
      </c>
      <c r="LA31" s="25">
        <v>0</v>
      </c>
      <c r="LB31" s="25">
        <v>0</v>
      </c>
      <c r="LC31" s="25">
        <v>0</v>
      </c>
      <c r="LD31" s="25">
        <v>0</v>
      </c>
      <c r="LE31" s="25">
        <v>0</v>
      </c>
      <c r="LF31" s="25">
        <v>0</v>
      </c>
      <c r="LG31" s="25">
        <v>0</v>
      </c>
      <c r="LH31" s="25">
        <v>0</v>
      </c>
      <c r="LI31" s="25">
        <v>0</v>
      </c>
      <c r="LJ31" s="25">
        <v>0</v>
      </c>
      <c r="LK31" s="25">
        <v>0</v>
      </c>
      <c r="LL31" s="25">
        <v>0</v>
      </c>
      <c r="LM31" s="25">
        <v>0</v>
      </c>
      <c r="LN31" s="278">
        <f ca="1">$A31 - DeathsTimeS!Sweden100dt + 1</f>
        <v>-36</v>
      </c>
      <c r="LO31" s="366">
        <f ca="1">INDEX(OFFSET(DeathsTimeS!HeadRow,ROW()-ROW(DeathsTimeS!HeadRow),0,1,COLUMNS(DeathsTimeS!HeadRow)),1,MATCH(LO$5,DeathsTimeS!HeadRow,0))/LO$8</f>
        <v>0</v>
      </c>
      <c r="LP31" s="278">
        <f ca="1">$A31 - DeathsTimeS!Spain100dt</f>
        <v>-29</v>
      </c>
      <c r="LQ31" s="11">
        <f ca="1">INDEX(OFFSET(DeathsTimeS!HeadRow,ROW()-ROW(DeathsTimeS!HeadRow),0,1,COLUMNS(DeathsTimeS!HeadRow)),1,MATCH(LQ$5,DeathsTimeS!HeadRow,0))/LQ$8</f>
        <v>0</v>
      </c>
      <c r="LR31" s="278">
        <f ca="1">$A31 - DeathsTimeS!Victoria100dt</f>
        <v>-52</v>
      </c>
      <c r="LS31" s="11">
        <f ca="1">INDEX(OFFSET(DeathsTimeS!HeadRow,ROW()-ROW(DeathsTimeS!HeadRow),0,1,COLUMNS(DeathsTimeS!HeadRow)),1,MATCH(LS$5,DeathsTimeS!HeadRow,0))/LS$8</f>
        <v>0</v>
      </c>
      <c r="LT31" s="278">
        <f ca="1">$A31 - DeathsTimeS!Iran100dt</f>
        <v>-22</v>
      </c>
      <c r="LU31" s="11">
        <f ca="1">INDEX(OFFSET(DeathsTimeS!HeadRow,ROW()-ROW(DeathsTimeS!HeadRow),0,1,COLUMNS(DeathsTimeS!HeadRow)),1,MATCH(LU$5,DeathsTimeS!HeadRow,0))/LU$8</f>
        <v>0</v>
      </c>
      <c r="LV31" s="278">
        <f ca="1">$A31 - DeathsTimeS!Japan100dt</f>
        <v>-63</v>
      </c>
      <c r="LW31" s="11">
        <f ca="1">INDEX(OFFSET(DeathsTimeS!HeadRow,ROW()-ROW(DeathsTimeS!HeadRow),0,1,COLUMNS(DeathsTimeS!HeadRow)),1,MATCH(LW$5,DeathsTimeS!HeadRow,0))/LW$8</f>
        <v>0</v>
      </c>
      <c r="LX31" s="278">
        <f ca="1">$A31 - DeathsTimeS!Queensland100dt</f>
        <v>-67</v>
      </c>
      <c r="LY31" s="11">
        <f ca="1">INDEX(OFFSET(DeathsTimeS!HeadRow,ROW()-ROW(DeathsTimeS!HeadRow),0,1,COLUMNS(DeathsTimeS!HeadRow)),1,MATCH(LY$5,DeathsTimeS!HeadRow,0))/LY$8</f>
        <v>0</v>
      </c>
      <c r="LZ31" s="278">
        <f ca="1">$A31 - DeathsTimeS!Tasmania100dt</f>
        <v>-49</v>
      </c>
      <c r="MA31" s="11">
        <f ca="1">INDEX(OFFSET(DeathsTimeS!HeadRow,ROW()-ROW(DeathsTimeS!HeadRow),0,1,COLUMNS(DeathsTimeS!HeadRow)),1,MATCH(MA$5,DeathsTimeS!HeadRow,0))/MA$8</f>
        <v>0</v>
      </c>
      <c r="MB31" s="278">
        <f ca="1">$A31 - DeathsTimeS!SouthAustralia100dt</f>
        <v>-57</v>
      </c>
      <c r="MC31" s="11">
        <f ca="1">INDEX(OFFSET(DeathsTimeS!HeadRow,ROW()-ROW(DeathsTimeS!HeadRow),0,1,COLUMNS(DeathsTimeS!HeadRow)),1,MATCH(MC$5,DeathsTimeS!HeadRow,0))/MC$8</f>
        <v>0</v>
      </c>
      <c r="MD31" s="278">
        <f ca="1">$A31 - DeathsTimeS!WesternAustralia100dt</f>
        <v>-54</v>
      </c>
      <c r="ME31" s="11">
        <f ca="1">INDEX(OFFSET(DeathsTimeS!HeadRow,ROW()-ROW(DeathsTimeS!HeadRow),0,1,COLUMNS(DeathsTimeS!HeadRow)),1,MATCH(ME$5,DeathsTimeS!HeadRow,0))/ME$8</f>
        <v>0</v>
      </c>
      <c r="MF31" s="278">
        <f ca="1">$A31 - DeathsTimeS!NewSouthWales100dt</f>
        <v>-50</v>
      </c>
      <c r="MG31" s="11">
        <f ca="1">INDEX(OFFSET(DeathsTimeS!HeadRow,ROW()-ROW(DeathsTimeS!HeadRow),0,1,COLUMNS(DeathsTimeS!HeadRow)),1,MATCH(MG$5,DeathsTimeS!HeadRow,0))/MG$8</f>
        <v>0</v>
      </c>
      <c r="MH31" s="278">
        <f ca="1">$A31 - DeathsTimeS!NewYork100dt</f>
        <v>-34</v>
      </c>
      <c r="MI31" s="11">
        <f ca="1">INDEX(OFFSET(DeathsTimeS!HeadRow,ROW()-ROW(DeathsTimeS!HeadRow),0,1,COLUMNS(DeathsTimeS!HeadRow)),1,MATCH(MI$5,DeathsTimeS!HeadRow,0))/MI$8</f>
        <v>0</v>
      </c>
      <c r="MJ31" s="278">
        <f ca="1">$A31 - DeathsTimeS!Italy100dt</f>
        <v>-21</v>
      </c>
      <c r="MK31" s="11">
        <f ca="1">INDEX(OFFSET(DeathsTimeS!HeadRow,ROW()-ROW(DeathsTimeS!HeadRow),0,1,COLUMNS(DeathsTimeS!HeadRow)),1,MATCH(MK$5,DeathsTimeS!HeadRow,0))/MK$8</f>
        <v>0</v>
      </c>
      <c r="ML31" s="278">
        <f ca="1">$A31 - DeathsTimeS!AustralianCapitalTerritory100dt</f>
        <v>-48</v>
      </c>
      <c r="MM31" s="11">
        <f ca="1">INDEX(OFFSET(DeathsTimeS!HeadRow,ROW()-ROW(DeathsTimeS!HeadRow),0,1,COLUMNS(DeathsTimeS!HeadRow)),1,MATCH(MM$5,DeathsTimeS!HeadRow,0))/MM$8</f>
        <v>0</v>
      </c>
      <c r="MN31" s="278">
        <f ca="1">IF(DeathsTimeS!NorthernTerritory100dt&gt;0,$A31 - DeathsTimeS!NorthernTerritory100dt,"")</f>
        <v>-76</v>
      </c>
      <c r="MO31" s="11">
        <f ca="1">INDEX(OFFSET(DeathsTimeS!HeadRow,ROW()-ROW(DeathsTimeS!HeadRow),0,1,COLUMNS(DeathsTimeS!HeadRow)),1,MATCH(MO$5,DeathsTimeS!HeadRow,0))/MO$8</f>
        <v>0</v>
      </c>
      <c r="MP31" s="278">
        <f ca="1">$A31 - DeathsTimeS!SouthAfrica100dt + 1</f>
        <v>-68</v>
      </c>
      <c r="MQ31" s="20">
        <f ca="1">INDEX(OFFSET(DeathsTimeS!HeadRow,ROW()-ROW(DeathsTimeS!HeadRow),0,1,COLUMNS(DeathsTimeS!HeadRow)),1,MATCH(MQ$5,DeathsTimeS!HeadRow,0))/MQ$8</f>
        <v>0</v>
      </c>
      <c r="MR31" s="278">
        <f ca="1">$A31 - DeathsTimeS!Germany100dt + 1</f>
        <v>-38</v>
      </c>
      <c r="MS31" s="20">
        <f ca="1">INDEX(OFFSET(DeathsTimeS!HeadRow,ROW()-ROW(DeathsTimeS!HeadRow),0,1,COLUMNS(DeathsTimeS!HeadRow)),1,MATCH(MS$5,DeathsTimeS!HeadRow,0))/MS$8</f>
        <v>0</v>
      </c>
      <c r="MT31" s="278">
        <f ca="1">$A31 - DeathsTimeS!Ireland100dt + 1</f>
        <v>-40</v>
      </c>
      <c r="MU31" s="73">
        <f ca="1">INDEX(OFFSET(DeathsTimeS!HeadRow,ROW()-ROW(DeathsTimeS!HeadRow),0,1,COLUMNS(DeathsTimeS!HeadRow)),1,MATCH(MU$5,DeathsTimeS!HeadRow,0))/MU$8</f>
        <v>0</v>
      </c>
      <c r="MV31" s="278">
        <f ca="1">$A31 - DeathsTimeS!UnitedKingdom100dt + 1</f>
        <v>-34</v>
      </c>
      <c r="MW31" s="73">
        <f ca="1">INDEX(OFFSET(DeathsTimeS!HeadRow,ROW()-ROW(DeathsTimeS!HeadRow),0,1,COLUMNS(DeathsTimeS!HeadRow)),1,MATCH(MW$5,DeathsTimeS!HeadRow,0))/MW$8</f>
        <v>0</v>
      </c>
      <c r="MX31" s="278">
        <f ca="1">$A31 - DeathsTimeS!Denmark100dt + 1</f>
        <v>-36</v>
      </c>
      <c r="MY31" s="73">
        <f ca="1">INDEX(OFFSET(DeathsTimeS!HeadRow,ROW()-ROW(DeathsTimeS!HeadRow),0,1,COLUMNS(DeathsTimeS!HeadRow)),1,MATCH(MY$5,DeathsTimeS!HeadRow,0))/MY$8</f>
        <v>0</v>
      </c>
      <c r="MZ31" s="278">
        <f ca="1">$A31 - DeathsTimeS!US100dt + 1</f>
        <v>-37</v>
      </c>
      <c r="NA31" s="73">
        <f ca="1">INDEX(OFFSET(DeathsTimeS!HeadRow,ROW()-ROW(DeathsTimeS!HeadRow),0,1,COLUMNS(DeathsTimeS!HeadRow)),1,MATCH(NA$5,DeathsTimeS!HeadRow,0))/NA$8</f>
        <v>0</v>
      </c>
      <c r="NB31" s="278">
        <f ca="1">$A31 - DeathsTimeS!AustraliaSum100dt + 1</f>
        <v>-43</v>
      </c>
      <c r="NC31" s="366">
        <f t="shared" si="6"/>
        <v>0</v>
      </c>
      <c r="ND31" s="278">
        <f ca="1">$A31 - DeathsTimeS!Taiwan100dt + 1</f>
        <v>-75</v>
      </c>
      <c r="NE31" s="366">
        <f ca="1">INDEX(OFFSET(DeathsTimeS!HeadRow,ROW()-ROW(DeathsTimeS!HeadRow),0,1,COLUMNS(DeathsTimeS!HeadRow)),1,MATCH(NE$5,DeathsTimeS!HeadRow,0))/NE$8</f>
        <v>0</v>
      </c>
      <c r="NF31" s="278">
        <f ca="1">$A31 - DeathsTimeS!Hubei100dt + 1</f>
        <v>16</v>
      </c>
      <c r="NG31" s="366">
        <f ca="1">INDEX(OFFSET(DeathsTimeS!HeadRow,ROW()-ROW(DeathsTimeS!HeadRow),0,1,COLUMNS(DeathsTimeS!HeadRow)),1,MATCH(NG$5,DeathsTimeS!HeadRow,0))/NG$8</f>
        <v>182.56410256410257</v>
      </c>
      <c r="NH31" s="278">
        <f ca="1">$A31 - DeathsTimeS!HongKong100dt + 1</f>
        <v>-75</v>
      </c>
      <c r="NI31" s="366">
        <f ca="1">INDEX(OFFSET(DeathsTimeS!HeadRow,ROW()-ROW(DeathsTimeS!HeadRow),0,1,COLUMNS(DeathsTimeS!HeadRow)),1,MATCH(NI$5,DeathsTimeS!HeadRow,0))/NI$8</f>
        <v>1.3421017313112333</v>
      </c>
    </row>
    <row r="32" spans="1:373" x14ac:dyDescent="0.25">
      <c r="A32" s="156">
        <v>43873</v>
      </c>
      <c r="B32" s="25">
        <v>0</v>
      </c>
      <c r="C32" s="25">
        <v>0</v>
      </c>
      <c r="D32" s="25">
        <v>0</v>
      </c>
      <c r="E32" s="25">
        <v>0</v>
      </c>
      <c r="F32" s="25">
        <v>0</v>
      </c>
      <c r="G32" s="25">
        <v>0</v>
      </c>
      <c r="H32" s="25">
        <v>0</v>
      </c>
      <c r="I32" s="25">
        <v>0</v>
      </c>
      <c r="J32" s="25">
        <v>0</v>
      </c>
      <c r="K32" s="25">
        <v>0</v>
      </c>
      <c r="L32" s="25">
        <v>0</v>
      </c>
      <c r="M32" s="25">
        <v>0</v>
      </c>
      <c r="N32" s="25">
        <v>0</v>
      </c>
      <c r="O32" s="25">
        <v>0</v>
      </c>
      <c r="P32" s="25">
        <v>0</v>
      </c>
      <c r="Q32" s="25">
        <v>0</v>
      </c>
      <c r="R32" s="25">
        <v>0</v>
      </c>
      <c r="S32" s="25">
        <v>0</v>
      </c>
      <c r="T32" s="25">
        <v>0</v>
      </c>
      <c r="U32" s="25">
        <v>0</v>
      </c>
      <c r="V32" s="25">
        <v>0</v>
      </c>
      <c r="W32" s="25">
        <v>0</v>
      </c>
      <c r="X32" s="25">
        <v>0</v>
      </c>
      <c r="Y32" s="25">
        <v>0</v>
      </c>
      <c r="Z32" s="25">
        <v>0</v>
      </c>
      <c r="AA32" s="25">
        <v>0</v>
      </c>
      <c r="AB32" s="25">
        <v>0</v>
      </c>
      <c r="AC32" s="25">
        <v>0</v>
      </c>
      <c r="AD32" s="25">
        <v>0</v>
      </c>
      <c r="AE32" s="25">
        <v>0</v>
      </c>
      <c r="AF32" s="25">
        <v>0</v>
      </c>
      <c r="AG32" s="25">
        <v>0</v>
      </c>
      <c r="AH32" s="25">
        <v>0</v>
      </c>
      <c r="AI32" s="25">
        <v>0</v>
      </c>
      <c r="AJ32" s="25">
        <v>0</v>
      </c>
      <c r="AK32" s="25">
        <v>0</v>
      </c>
      <c r="AL32" s="25">
        <v>0</v>
      </c>
      <c r="AM32" s="25">
        <v>0</v>
      </c>
      <c r="AN32" s="25">
        <v>0</v>
      </c>
      <c r="AO32" s="25">
        <v>0</v>
      </c>
      <c r="AP32" s="25">
        <v>0</v>
      </c>
      <c r="AQ32" s="25">
        <v>0</v>
      </c>
      <c r="AR32" s="25">
        <v>0</v>
      </c>
      <c r="AS32" s="25">
        <v>0</v>
      </c>
      <c r="AT32" s="25">
        <v>0</v>
      </c>
      <c r="AU32" s="25">
        <v>0</v>
      </c>
      <c r="AV32" s="25">
        <v>0</v>
      </c>
      <c r="AW32" s="25">
        <v>0</v>
      </c>
      <c r="AX32" s="25">
        <v>0</v>
      </c>
      <c r="AY32" s="25">
        <v>4</v>
      </c>
      <c r="AZ32" s="25">
        <v>3</v>
      </c>
      <c r="BA32" s="25">
        <v>3</v>
      </c>
      <c r="BB32" s="25">
        <v>0</v>
      </c>
      <c r="BC32" s="25">
        <v>2</v>
      </c>
      <c r="BD32" s="25">
        <v>1</v>
      </c>
      <c r="BE32" s="25">
        <v>1</v>
      </c>
      <c r="BF32" s="25">
        <v>1</v>
      </c>
      <c r="BG32" s="25">
        <v>4</v>
      </c>
      <c r="BH32" s="25">
        <v>2</v>
      </c>
      <c r="BI32" s="25">
        <v>8</v>
      </c>
      <c r="BJ32" s="25">
        <v>8</v>
      </c>
      <c r="BK32" s="25">
        <v>1</v>
      </c>
      <c r="BL32" s="25">
        <v>1068</v>
      </c>
      <c r="BM32" s="25">
        <v>2</v>
      </c>
      <c r="BN32" s="25">
        <v>0</v>
      </c>
      <c r="BO32" s="25">
        <v>0</v>
      </c>
      <c r="BP32" s="25">
        <v>1</v>
      </c>
      <c r="BQ32" s="25">
        <v>1</v>
      </c>
      <c r="BR32" s="25">
        <v>1</v>
      </c>
      <c r="BS32" s="25">
        <v>0</v>
      </c>
      <c r="BT32" s="25">
        <v>0</v>
      </c>
      <c r="BU32" s="25">
        <v>0</v>
      </c>
      <c r="BV32" s="25">
        <v>0</v>
      </c>
      <c r="BW32" s="25">
        <v>2</v>
      </c>
      <c r="BX32" s="25">
        <v>1</v>
      </c>
      <c r="BY32" s="25">
        <v>0</v>
      </c>
      <c r="BZ32" s="25">
        <v>1</v>
      </c>
      <c r="CA32" s="25">
        <v>2</v>
      </c>
      <c r="CB32" s="25">
        <v>0</v>
      </c>
      <c r="CC32" s="25">
        <v>0</v>
      </c>
      <c r="CD32" s="25">
        <v>0</v>
      </c>
      <c r="CE32" s="25">
        <v>0</v>
      </c>
      <c r="CF32" s="25">
        <v>0</v>
      </c>
      <c r="CG32" s="25">
        <v>0</v>
      </c>
      <c r="CH32" s="25">
        <v>0</v>
      </c>
      <c r="CI32" s="25">
        <v>0</v>
      </c>
      <c r="CJ32" s="25">
        <v>0</v>
      </c>
      <c r="CK32" s="25">
        <v>0</v>
      </c>
      <c r="CL32" s="25">
        <v>0</v>
      </c>
      <c r="CM32" s="25">
        <v>0</v>
      </c>
      <c r="CN32" s="25">
        <v>0</v>
      </c>
      <c r="CO32" s="25">
        <v>0</v>
      </c>
      <c r="CP32" s="25">
        <v>0</v>
      </c>
      <c r="CQ32" s="25">
        <v>0</v>
      </c>
      <c r="CR32" s="25">
        <v>0</v>
      </c>
      <c r="CS32" s="25">
        <v>0</v>
      </c>
      <c r="CT32" s="25">
        <v>0</v>
      </c>
      <c r="CU32" s="25">
        <v>0</v>
      </c>
      <c r="CV32" s="25">
        <v>0</v>
      </c>
      <c r="CW32" s="25">
        <v>0</v>
      </c>
      <c r="CX32" s="25">
        <v>0</v>
      </c>
      <c r="CY32" s="25">
        <v>0</v>
      </c>
      <c r="CZ32" s="25">
        <v>0</v>
      </c>
      <c r="DA32" s="25">
        <v>0</v>
      </c>
      <c r="DB32" s="25">
        <v>0</v>
      </c>
      <c r="DC32" s="25">
        <v>0</v>
      </c>
      <c r="DD32" s="25">
        <v>0</v>
      </c>
      <c r="DE32" s="25">
        <v>0</v>
      </c>
      <c r="DF32" s="25">
        <v>0</v>
      </c>
      <c r="DG32" s="25">
        <v>0</v>
      </c>
      <c r="DH32" s="25">
        <v>0</v>
      </c>
      <c r="DI32" s="25">
        <v>0</v>
      </c>
      <c r="DJ32" s="25">
        <v>0</v>
      </c>
      <c r="DK32" s="25">
        <v>0</v>
      </c>
      <c r="DL32" s="25">
        <v>0</v>
      </c>
      <c r="DM32" s="25">
        <v>0</v>
      </c>
      <c r="DN32" s="25">
        <v>0</v>
      </c>
      <c r="DO32" s="25">
        <v>0</v>
      </c>
      <c r="DP32" s="25">
        <v>0</v>
      </c>
      <c r="DQ32" s="25">
        <v>0</v>
      </c>
      <c r="DR32" s="25">
        <v>0</v>
      </c>
      <c r="DS32" s="25">
        <v>0</v>
      </c>
      <c r="DT32" s="25">
        <v>0</v>
      </c>
      <c r="DU32" s="25">
        <v>0</v>
      </c>
      <c r="DV32" s="25">
        <v>0</v>
      </c>
      <c r="DW32" s="25">
        <v>0</v>
      </c>
      <c r="DX32" s="25">
        <v>0</v>
      </c>
      <c r="DY32" s="25">
        <v>0</v>
      </c>
      <c r="DZ32" s="25">
        <v>0</v>
      </c>
      <c r="EA32" s="25">
        <v>0</v>
      </c>
      <c r="EB32" s="25">
        <v>0</v>
      </c>
      <c r="EC32" s="25">
        <v>0</v>
      </c>
      <c r="ED32" s="25">
        <v>0</v>
      </c>
      <c r="EE32" s="25">
        <v>0</v>
      </c>
      <c r="EF32" s="25">
        <v>0</v>
      </c>
      <c r="EG32" s="25">
        <v>0</v>
      </c>
      <c r="EH32" s="25">
        <v>0</v>
      </c>
      <c r="EI32" s="25">
        <v>0</v>
      </c>
      <c r="EJ32" s="25">
        <v>0</v>
      </c>
      <c r="EK32" s="25">
        <v>0</v>
      </c>
      <c r="EL32" s="25">
        <v>0</v>
      </c>
      <c r="EM32" s="25">
        <v>0</v>
      </c>
      <c r="EN32" s="25">
        <v>0</v>
      </c>
      <c r="EO32" s="25">
        <v>0</v>
      </c>
      <c r="EP32" s="25">
        <v>0</v>
      </c>
      <c r="EQ32" s="25">
        <v>0</v>
      </c>
      <c r="ER32" s="25">
        <v>0</v>
      </c>
      <c r="ES32" s="25">
        <v>0</v>
      </c>
      <c r="ET32" s="25">
        <v>0</v>
      </c>
      <c r="EU32" s="25">
        <v>0</v>
      </c>
      <c r="EV32" s="25">
        <v>0</v>
      </c>
      <c r="EW32" s="25">
        <v>0</v>
      </c>
      <c r="EX32" s="25">
        <v>0</v>
      </c>
      <c r="EY32" s="25">
        <v>0</v>
      </c>
      <c r="EZ32" s="25">
        <v>0</v>
      </c>
      <c r="FA32" s="25">
        <v>0</v>
      </c>
      <c r="FB32" s="25">
        <v>0</v>
      </c>
      <c r="FC32" s="25">
        <v>0</v>
      </c>
      <c r="FD32" s="25">
        <v>0</v>
      </c>
      <c r="FE32" s="25">
        <v>0</v>
      </c>
      <c r="FF32" s="25">
        <v>0</v>
      </c>
      <c r="FG32" s="25">
        <v>0</v>
      </c>
      <c r="FH32" s="25">
        <v>0</v>
      </c>
      <c r="FI32" s="25">
        <v>0</v>
      </c>
      <c r="FJ32" s="25">
        <v>0</v>
      </c>
      <c r="FK32" s="25">
        <v>0</v>
      </c>
      <c r="FL32" s="25">
        <v>0</v>
      </c>
      <c r="FM32" s="25">
        <v>0</v>
      </c>
      <c r="FN32" s="25">
        <v>0</v>
      </c>
      <c r="FO32" s="25">
        <v>0</v>
      </c>
      <c r="FP32" s="25">
        <v>0</v>
      </c>
      <c r="FQ32" s="25">
        <v>0</v>
      </c>
      <c r="FR32" s="25">
        <v>0</v>
      </c>
      <c r="FS32" s="25">
        <v>0</v>
      </c>
      <c r="FT32" s="25">
        <v>0</v>
      </c>
      <c r="FU32" s="25">
        <v>0</v>
      </c>
      <c r="FV32" s="25">
        <v>0</v>
      </c>
      <c r="FW32" s="25">
        <v>0</v>
      </c>
      <c r="FX32" s="25">
        <v>0</v>
      </c>
      <c r="FY32" s="25">
        <v>0</v>
      </c>
      <c r="FZ32" s="25">
        <v>0</v>
      </c>
      <c r="GA32" s="25">
        <v>0</v>
      </c>
      <c r="GB32" s="25">
        <v>1</v>
      </c>
      <c r="GC32" s="25">
        <v>0</v>
      </c>
      <c r="GD32" s="25">
        <v>0</v>
      </c>
      <c r="GE32" s="25">
        <v>0</v>
      </c>
      <c r="GF32" s="25">
        <v>0</v>
      </c>
      <c r="GG32" s="25">
        <v>0</v>
      </c>
      <c r="GH32" s="25">
        <v>0</v>
      </c>
      <c r="GI32" s="25">
        <v>0</v>
      </c>
      <c r="GJ32" s="25">
        <v>0</v>
      </c>
      <c r="GK32" s="25">
        <v>0</v>
      </c>
      <c r="GL32" s="25">
        <v>0</v>
      </c>
      <c r="GM32" s="25">
        <v>0</v>
      </c>
      <c r="GN32" s="25">
        <v>0</v>
      </c>
      <c r="GO32" s="25">
        <v>0</v>
      </c>
      <c r="GP32" s="25">
        <v>0</v>
      </c>
      <c r="GQ32" s="25">
        <v>0</v>
      </c>
      <c r="GR32" s="25">
        <v>0</v>
      </c>
      <c r="GS32" s="25">
        <v>0</v>
      </c>
      <c r="GT32" s="25">
        <v>0</v>
      </c>
      <c r="GU32" s="25">
        <v>0</v>
      </c>
      <c r="GV32" s="25">
        <v>0</v>
      </c>
      <c r="GW32" s="25">
        <v>0</v>
      </c>
      <c r="GX32" s="25">
        <v>0</v>
      </c>
      <c r="GY32" s="46">
        <v>0</v>
      </c>
      <c r="GZ32" s="25">
        <v>0</v>
      </c>
      <c r="HA32" s="25">
        <v>0</v>
      </c>
      <c r="HB32" s="25">
        <v>0</v>
      </c>
      <c r="HC32" s="25">
        <v>0</v>
      </c>
      <c r="HD32" s="25">
        <v>0</v>
      </c>
      <c r="HE32" s="25">
        <v>0</v>
      </c>
      <c r="HF32" s="25">
        <v>0</v>
      </c>
      <c r="HG32" s="25">
        <v>0</v>
      </c>
      <c r="HH32" s="25">
        <v>0</v>
      </c>
      <c r="HI32" s="25">
        <v>0</v>
      </c>
      <c r="HJ32" s="25">
        <v>0</v>
      </c>
      <c r="HK32" s="25">
        <v>0</v>
      </c>
      <c r="HL32" s="25">
        <v>0</v>
      </c>
      <c r="HM32" s="25">
        <v>0</v>
      </c>
      <c r="HN32" s="25">
        <v>0</v>
      </c>
      <c r="HO32" s="25">
        <v>0</v>
      </c>
      <c r="HP32" s="25">
        <v>0</v>
      </c>
      <c r="HQ32" s="25">
        <v>0</v>
      </c>
      <c r="HR32" s="25">
        <v>0</v>
      </c>
      <c r="HS32" s="25">
        <v>0</v>
      </c>
      <c r="HT32" s="25">
        <v>0</v>
      </c>
      <c r="HU32" s="25">
        <v>0</v>
      </c>
      <c r="HV32" s="25">
        <v>0</v>
      </c>
      <c r="HW32" s="25">
        <v>0</v>
      </c>
      <c r="HX32" s="25">
        <v>0</v>
      </c>
      <c r="HY32" s="25">
        <v>0</v>
      </c>
      <c r="HZ32" s="25">
        <v>0</v>
      </c>
      <c r="IA32" s="25">
        <v>0</v>
      </c>
      <c r="IB32" s="25">
        <v>0</v>
      </c>
      <c r="IC32" s="25">
        <v>0</v>
      </c>
      <c r="ID32" s="25">
        <v>0</v>
      </c>
      <c r="IE32" s="25">
        <v>0</v>
      </c>
      <c r="IF32" s="25">
        <v>0</v>
      </c>
      <c r="IG32" s="25">
        <v>0</v>
      </c>
      <c r="IH32" s="25">
        <v>0</v>
      </c>
      <c r="II32" s="25">
        <v>0</v>
      </c>
      <c r="IJ32" s="25">
        <v>0</v>
      </c>
      <c r="IK32" s="25">
        <v>0</v>
      </c>
      <c r="IL32" s="25">
        <v>0</v>
      </c>
      <c r="IM32" s="25">
        <v>0</v>
      </c>
      <c r="IN32" s="25">
        <v>0</v>
      </c>
      <c r="IO32" s="25">
        <v>0</v>
      </c>
      <c r="IP32" s="25">
        <v>0</v>
      </c>
      <c r="IQ32" s="25">
        <v>0</v>
      </c>
      <c r="IR32" s="25">
        <v>0</v>
      </c>
      <c r="IS32" s="25">
        <v>0</v>
      </c>
      <c r="IT32" s="25">
        <v>0</v>
      </c>
      <c r="IU32" s="25">
        <v>0</v>
      </c>
      <c r="IV32" s="25">
        <v>0</v>
      </c>
      <c r="IW32" s="25">
        <v>0</v>
      </c>
      <c r="IX32" s="25">
        <v>0</v>
      </c>
      <c r="IY32" s="25">
        <v>0</v>
      </c>
      <c r="IZ32" s="25">
        <v>0</v>
      </c>
      <c r="JA32" s="25">
        <v>0</v>
      </c>
      <c r="JB32" s="25">
        <v>0</v>
      </c>
      <c r="JC32" s="25">
        <v>0</v>
      </c>
      <c r="JD32" s="25">
        <v>0</v>
      </c>
      <c r="JE32" s="25">
        <v>0</v>
      </c>
      <c r="JF32" s="25">
        <v>0</v>
      </c>
      <c r="JG32" s="25">
        <v>0</v>
      </c>
      <c r="JH32" s="25">
        <v>0</v>
      </c>
      <c r="JI32" s="25">
        <v>0</v>
      </c>
      <c r="JJ32" s="25">
        <v>0</v>
      </c>
      <c r="JK32" s="25">
        <v>0</v>
      </c>
      <c r="JL32" s="25">
        <v>0</v>
      </c>
      <c r="JM32" s="25">
        <v>0</v>
      </c>
      <c r="JN32" s="25">
        <v>0</v>
      </c>
      <c r="JO32" s="25">
        <v>0</v>
      </c>
      <c r="JP32" s="25">
        <v>0</v>
      </c>
      <c r="JQ32" s="25">
        <v>0</v>
      </c>
      <c r="JR32" s="25">
        <v>0</v>
      </c>
      <c r="JS32" s="25">
        <v>0</v>
      </c>
      <c r="JT32" s="25">
        <v>0</v>
      </c>
      <c r="JU32" s="25">
        <v>0</v>
      </c>
      <c r="JV32" s="25">
        <v>0</v>
      </c>
      <c r="JW32" s="25">
        <v>0</v>
      </c>
      <c r="JX32" s="25">
        <v>0</v>
      </c>
      <c r="JY32" s="25">
        <v>0</v>
      </c>
      <c r="JZ32" s="25">
        <v>0</v>
      </c>
      <c r="KA32" s="25">
        <v>0</v>
      </c>
      <c r="KB32" s="25">
        <v>0</v>
      </c>
      <c r="KC32" s="25">
        <v>0</v>
      </c>
      <c r="KD32" s="25">
        <v>0</v>
      </c>
      <c r="KE32" s="25">
        <v>0</v>
      </c>
      <c r="KF32" s="25">
        <v>0</v>
      </c>
      <c r="KG32" s="25">
        <v>0</v>
      </c>
      <c r="KH32" s="25">
        <v>0</v>
      </c>
      <c r="KI32" s="25">
        <v>0</v>
      </c>
      <c r="KJ32" s="25">
        <v>0</v>
      </c>
      <c r="KK32" s="25">
        <v>0</v>
      </c>
      <c r="KL32" s="25">
        <v>0</v>
      </c>
      <c r="KM32" s="25">
        <v>0</v>
      </c>
      <c r="KN32" s="25">
        <v>0</v>
      </c>
      <c r="KO32" s="25">
        <v>0</v>
      </c>
      <c r="KP32" s="25">
        <v>0</v>
      </c>
      <c r="KQ32" s="25">
        <v>0</v>
      </c>
      <c r="KR32" s="25">
        <v>0</v>
      </c>
      <c r="KS32" s="25">
        <v>0</v>
      </c>
      <c r="KT32" s="25">
        <v>0</v>
      </c>
      <c r="KU32" s="25">
        <v>0</v>
      </c>
      <c r="KV32" s="25">
        <v>0</v>
      </c>
      <c r="KW32" s="25">
        <v>0</v>
      </c>
      <c r="KX32" s="25">
        <v>0</v>
      </c>
      <c r="KY32" s="25">
        <v>0</v>
      </c>
      <c r="KZ32" s="25">
        <v>0</v>
      </c>
      <c r="LA32" s="25">
        <v>0</v>
      </c>
      <c r="LB32" s="25">
        <v>0</v>
      </c>
      <c r="LC32" s="25">
        <v>0</v>
      </c>
      <c r="LD32" s="25">
        <v>0</v>
      </c>
      <c r="LE32" s="25">
        <v>0</v>
      </c>
      <c r="LF32" s="25">
        <v>0</v>
      </c>
      <c r="LG32" s="25">
        <v>0</v>
      </c>
      <c r="LH32" s="25">
        <v>0</v>
      </c>
      <c r="LI32" s="25">
        <v>0</v>
      </c>
      <c r="LJ32" s="25">
        <v>0</v>
      </c>
      <c r="LK32" s="25">
        <v>0</v>
      </c>
      <c r="LL32" s="25">
        <v>0</v>
      </c>
      <c r="LM32" s="25">
        <v>0</v>
      </c>
      <c r="LN32" s="278">
        <f ca="1">$A32 - DeathsTimeS!Sweden100dt + 1</f>
        <v>-35</v>
      </c>
      <c r="LO32" s="366">
        <f ca="1">INDEX(OFFSET(DeathsTimeS!HeadRow,ROW()-ROW(DeathsTimeS!HeadRow),0,1,COLUMNS(DeathsTimeS!HeadRow)),1,MATCH(LO$5,DeathsTimeS!HeadRow,0))/LO$8</f>
        <v>0</v>
      </c>
      <c r="LP32" s="278">
        <f ca="1">$A32 - DeathsTimeS!Spain100dt</f>
        <v>-28</v>
      </c>
      <c r="LQ32" s="11">
        <f ca="1">INDEX(OFFSET(DeathsTimeS!HeadRow,ROW()-ROW(DeathsTimeS!HeadRow),0,1,COLUMNS(DeathsTimeS!HeadRow)),1,MATCH(LQ$5,DeathsTimeS!HeadRow,0))/LQ$8</f>
        <v>0</v>
      </c>
      <c r="LR32" s="278">
        <f ca="1">$A32 - DeathsTimeS!Victoria100dt</f>
        <v>-51</v>
      </c>
      <c r="LS32" s="11">
        <f ca="1">INDEX(OFFSET(DeathsTimeS!HeadRow,ROW()-ROW(DeathsTimeS!HeadRow),0,1,COLUMNS(DeathsTimeS!HeadRow)),1,MATCH(LS$5,DeathsTimeS!HeadRow,0))/LS$8</f>
        <v>0</v>
      </c>
      <c r="LT32" s="278">
        <f ca="1">$A32 - DeathsTimeS!Iran100dt</f>
        <v>-21</v>
      </c>
      <c r="LU32" s="11">
        <f ca="1">INDEX(OFFSET(DeathsTimeS!HeadRow,ROW()-ROW(DeathsTimeS!HeadRow),0,1,COLUMNS(DeathsTimeS!HeadRow)),1,MATCH(LU$5,DeathsTimeS!HeadRow,0))/LU$8</f>
        <v>0</v>
      </c>
      <c r="LV32" s="278">
        <f ca="1">$A32 - DeathsTimeS!Japan100dt</f>
        <v>-62</v>
      </c>
      <c r="LW32" s="11">
        <f ca="1">INDEX(OFFSET(DeathsTimeS!HeadRow,ROW()-ROW(DeathsTimeS!HeadRow),0,1,COLUMNS(DeathsTimeS!HeadRow)),1,MATCH(LW$5,DeathsTimeS!HeadRow,0))/LW$8</f>
        <v>0</v>
      </c>
      <c r="LX32" s="278">
        <f ca="1">$A32 - DeathsTimeS!Queensland100dt</f>
        <v>-66</v>
      </c>
      <c r="LY32" s="11">
        <f ca="1">INDEX(OFFSET(DeathsTimeS!HeadRow,ROW()-ROW(DeathsTimeS!HeadRow),0,1,COLUMNS(DeathsTimeS!HeadRow)),1,MATCH(LY$5,DeathsTimeS!HeadRow,0))/LY$8</f>
        <v>0</v>
      </c>
      <c r="LZ32" s="278">
        <f ca="1">$A32 - DeathsTimeS!Tasmania100dt</f>
        <v>-48</v>
      </c>
      <c r="MA32" s="11">
        <f ca="1">INDEX(OFFSET(DeathsTimeS!HeadRow,ROW()-ROW(DeathsTimeS!HeadRow),0,1,COLUMNS(DeathsTimeS!HeadRow)),1,MATCH(MA$5,DeathsTimeS!HeadRow,0))/MA$8</f>
        <v>0</v>
      </c>
      <c r="MB32" s="278">
        <f ca="1">$A32 - DeathsTimeS!SouthAustralia100dt</f>
        <v>-56</v>
      </c>
      <c r="MC32" s="11">
        <f ca="1">INDEX(OFFSET(DeathsTimeS!HeadRow,ROW()-ROW(DeathsTimeS!HeadRow),0,1,COLUMNS(DeathsTimeS!HeadRow)),1,MATCH(MC$5,DeathsTimeS!HeadRow,0))/MC$8</f>
        <v>0</v>
      </c>
      <c r="MD32" s="278">
        <f ca="1">$A32 - DeathsTimeS!WesternAustralia100dt</f>
        <v>-53</v>
      </c>
      <c r="ME32" s="11">
        <f ca="1">INDEX(OFFSET(DeathsTimeS!HeadRow,ROW()-ROW(DeathsTimeS!HeadRow),0,1,COLUMNS(DeathsTimeS!HeadRow)),1,MATCH(ME$5,DeathsTimeS!HeadRow,0))/ME$8</f>
        <v>0</v>
      </c>
      <c r="MF32" s="278">
        <f ca="1">$A32 - DeathsTimeS!NewSouthWales100dt</f>
        <v>-49</v>
      </c>
      <c r="MG32" s="11">
        <f ca="1">INDEX(OFFSET(DeathsTimeS!HeadRow,ROW()-ROW(DeathsTimeS!HeadRow),0,1,COLUMNS(DeathsTimeS!HeadRow)),1,MATCH(MG$5,DeathsTimeS!HeadRow,0))/MG$8</f>
        <v>0</v>
      </c>
      <c r="MH32" s="278">
        <f ca="1">$A32 - DeathsTimeS!NewYork100dt</f>
        <v>-33</v>
      </c>
      <c r="MI32" s="11">
        <f ca="1">INDEX(OFFSET(DeathsTimeS!HeadRow,ROW()-ROW(DeathsTimeS!HeadRow),0,1,COLUMNS(DeathsTimeS!HeadRow)),1,MATCH(MI$5,DeathsTimeS!HeadRow,0))/MI$8</f>
        <v>0</v>
      </c>
      <c r="MJ32" s="278">
        <f ca="1">$A32 - DeathsTimeS!Italy100dt</f>
        <v>-20</v>
      </c>
      <c r="MK32" s="11">
        <f ca="1">INDEX(OFFSET(DeathsTimeS!HeadRow,ROW()-ROW(DeathsTimeS!HeadRow),0,1,COLUMNS(DeathsTimeS!HeadRow)),1,MATCH(MK$5,DeathsTimeS!HeadRow,0))/MK$8</f>
        <v>0</v>
      </c>
      <c r="ML32" s="278">
        <f ca="1">$A32 - DeathsTimeS!AustralianCapitalTerritory100dt</f>
        <v>-47</v>
      </c>
      <c r="MM32" s="11">
        <f ca="1">INDEX(OFFSET(DeathsTimeS!HeadRow,ROW()-ROW(DeathsTimeS!HeadRow),0,1,COLUMNS(DeathsTimeS!HeadRow)),1,MATCH(MM$5,DeathsTimeS!HeadRow,0))/MM$8</f>
        <v>0</v>
      </c>
      <c r="MN32" s="278">
        <f ca="1">IF(DeathsTimeS!NorthernTerritory100dt&gt;0,$A32 - DeathsTimeS!NorthernTerritory100dt,"")</f>
        <v>-75</v>
      </c>
      <c r="MO32" s="11">
        <f ca="1">INDEX(OFFSET(DeathsTimeS!HeadRow,ROW()-ROW(DeathsTimeS!HeadRow),0,1,COLUMNS(DeathsTimeS!HeadRow)),1,MATCH(MO$5,DeathsTimeS!HeadRow,0))/MO$8</f>
        <v>0</v>
      </c>
      <c r="MP32" s="278">
        <f ca="1">$A32 - DeathsTimeS!SouthAfrica100dt + 1</f>
        <v>-67</v>
      </c>
      <c r="MQ32" s="20">
        <f ca="1">INDEX(OFFSET(DeathsTimeS!HeadRow,ROW()-ROW(DeathsTimeS!HeadRow),0,1,COLUMNS(DeathsTimeS!HeadRow)),1,MATCH(MQ$5,DeathsTimeS!HeadRow,0))/MQ$8</f>
        <v>0</v>
      </c>
      <c r="MR32" s="278">
        <f ca="1">$A32 - DeathsTimeS!Germany100dt + 1</f>
        <v>-37</v>
      </c>
      <c r="MS32" s="20">
        <f ca="1">INDEX(OFFSET(DeathsTimeS!HeadRow,ROW()-ROW(DeathsTimeS!HeadRow),0,1,COLUMNS(DeathsTimeS!HeadRow)),1,MATCH(MS$5,DeathsTimeS!HeadRow,0))/MS$8</f>
        <v>0</v>
      </c>
      <c r="MT32" s="278">
        <f ca="1">$A32 - DeathsTimeS!Ireland100dt + 1</f>
        <v>-39</v>
      </c>
      <c r="MU32" s="73">
        <f ca="1">INDEX(OFFSET(DeathsTimeS!HeadRow,ROW()-ROW(DeathsTimeS!HeadRow),0,1,COLUMNS(DeathsTimeS!HeadRow)),1,MATCH(MU$5,DeathsTimeS!HeadRow,0))/MU$8</f>
        <v>0</v>
      </c>
      <c r="MV32" s="278">
        <f ca="1">$A32 - DeathsTimeS!UnitedKingdom100dt + 1</f>
        <v>-33</v>
      </c>
      <c r="MW32" s="73">
        <f ca="1">INDEX(OFFSET(DeathsTimeS!HeadRow,ROW()-ROW(DeathsTimeS!HeadRow),0,1,COLUMNS(DeathsTimeS!HeadRow)),1,MATCH(MW$5,DeathsTimeS!HeadRow,0))/MW$8</f>
        <v>0</v>
      </c>
      <c r="MX32" s="278">
        <f ca="1">$A32 - DeathsTimeS!Denmark100dt + 1</f>
        <v>-35</v>
      </c>
      <c r="MY32" s="73">
        <f ca="1">INDEX(OFFSET(DeathsTimeS!HeadRow,ROW()-ROW(DeathsTimeS!HeadRow),0,1,COLUMNS(DeathsTimeS!HeadRow)),1,MATCH(MY$5,DeathsTimeS!HeadRow,0))/MY$8</f>
        <v>0</v>
      </c>
      <c r="MZ32" s="278">
        <f ca="1">$A32 - DeathsTimeS!US100dt + 1</f>
        <v>-36</v>
      </c>
      <c r="NA32" s="73">
        <f ca="1">INDEX(OFFSET(DeathsTimeS!HeadRow,ROW()-ROW(DeathsTimeS!HeadRow),0,1,COLUMNS(DeathsTimeS!HeadRow)),1,MATCH(NA$5,DeathsTimeS!HeadRow,0))/NA$8</f>
        <v>0</v>
      </c>
      <c r="NB32" s="278">
        <f ca="1">$A32 - DeathsTimeS!AustraliaSum100dt + 1</f>
        <v>-42</v>
      </c>
      <c r="NC32" s="366">
        <f t="shared" si="6"/>
        <v>0</v>
      </c>
      <c r="ND32" s="278">
        <f ca="1">$A32 - DeathsTimeS!Taiwan100dt + 1</f>
        <v>-74</v>
      </c>
      <c r="NE32" s="366">
        <f ca="1">INDEX(OFFSET(DeathsTimeS!HeadRow,ROW()-ROW(DeathsTimeS!HeadRow),0,1,COLUMNS(DeathsTimeS!HeadRow)),1,MATCH(NE$5,DeathsTimeS!HeadRow,0))/NE$8</f>
        <v>0</v>
      </c>
      <c r="NF32" s="278">
        <f ca="1">$A32 - DeathsTimeS!Hubei100dt + 1</f>
        <v>17</v>
      </c>
      <c r="NG32" s="366">
        <f ca="1">INDEX(OFFSET(DeathsTimeS!HeadRow,ROW()-ROW(DeathsTimeS!HeadRow),0,1,COLUMNS(DeathsTimeS!HeadRow)),1,MATCH(NG$5,DeathsTimeS!HeadRow,0))/NG$8</f>
        <v>182.56410256410257</v>
      </c>
      <c r="NH32" s="278">
        <f ca="1">$A32 - DeathsTimeS!HongKong100dt + 1</f>
        <v>-74</v>
      </c>
      <c r="NI32" s="366">
        <f ca="1">INDEX(OFFSET(DeathsTimeS!HeadRow,ROW()-ROW(DeathsTimeS!HeadRow),0,1,COLUMNS(DeathsTimeS!HeadRow)),1,MATCH(NI$5,DeathsTimeS!HeadRow,0))/NI$8</f>
        <v>1.3421017313112333</v>
      </c>
    </row>
    <row r="33" spans="1:373" x14ac:dyDescent="0.25">
      <c r="A33" s="156">
        <v>43874</v>
      </c>
      <c r="B33" s="25">
        <v>0</v>
      </c>
      <c r="C33" s="25">
        <v>0</v>
      </c>
      <c r="D33" s="25">
        <v>0</v>
      </c>
      <c r="E33" s="25">
        <v>0</v>
      </c>
      <c r="F33" s="25">
        <v>0</v>
      </c>
      <c r="G33" s="25">
        <v>0</v>
      </c>
      <c r="H33" s="25">
        <v>0</v>
      </c>
      <c r="I33" s="25">
        <v>0</v>
      </c>
      <c r="J33" s="25">
        <v>0</v>
      </c>
      <c r="K33" s="25">
        <v>0</v>
      </c>
      <c r="L33" s="25">
        <v>0</v>
      </c>
      <c r="M33" s="25">
        <v>0</v>
      </c>
      <c r="N33" s="25">
        <v>0</v>
      </c>
      <c r="O33" s="25">
        <v>0</v>
      </c>
      <c r="P33" s="25">
        <v>0</v>
      </c>
      <c r="Q33" s="25">
        <v>0</v>
      </c>
      <c r="R33" s="25">
        <v>0</v>
      </c>
      <c r="S33" s="25">
        <v>0</v>
      </c>
      <c r="T33" s="25">
        <v>0</v>
      </c>
      <c r="U33" s="25">
        <v>0</v>
      </c>
      <c r="V33" s="25">
        <v>0</v>
      </c>
      <c r="W33" s="25">
        <v>0</v>
      </c>
      <c r="X33" s="25">
        <v>0</v>
      </c>
      <c r="Y33" s="25">
        <v>0</v>
      </c>
      <c r="Z33" s="25">
        <v>0</v>
      </c>
      <c r="AA33" s="25">
        <v>0</v>
      </c>
      <c r="AB33" s="25">
        <v>0</v>
      </c>
      <c r="AC33" s="25">
        <v>0</v>
      </c>
      <c r="AD33" s="25">
        <v>0</v>
      </c>
      <c r="AE33" s="25">
        <v>0</v>
      </c>
      <c r="AF33" s="25">
        <v>0</v>
      </c>
      <c r="AG33" s="25">
        <v>0</v>
      </c>
      <c r="AH33" s="25">
        <v>0</v>
      </c>
      <c r="AI33" s="25">
        <v>0</v>
      </c>
      <c r="AJ33" s="25">
        <v>0</v>
      </c>
      <c r="AK33" s="25">
        <v>0</v>
      </c>
      <c r="AL33" s="25">
        <v>0</v>
      </c>
      <c r="AM33" s="25">
        <v>0</v>
      </c>
      <c r="AN33" s="25">
        <v>0</v>
      </c>
      <c r="AO33" s="25">
        <v>0</v>
      </c>
      <c r="AP33" s="25">
        <v>0</v>
      </c>
      <c r="AQ33" s="25">
        <v>0</v>
      </c>
      <c r="AR33" s="25">
        <v>0</v>
      </c>
      <c r="AS33" s="25">
        <v>0</v>
      </c>
      <c r="AT33" s="25">
        <v>0</v>
      </c>
      <c r="AU33" s="25">
        <v>0</v>
      </c>
      <c r="AV33" s="25">
        <v>0</v>
      </c>
      <c r="AW33" s="25">
        <v>0</v>
      </c>
      <c r="AX33" s="25">
        <v>0</v>
      </c>
      <c r="AY33" s="25">
        <v>5</v>
      </c>
      <c r="AZ33" s="25">
        <v>3</v>
      </c>
      <c r="BA33" s="25">
        <v>4</v>
      </c>
      <c r="BB33" s="25">
        <v>0</v>
      </c>
      <c r="BC33" s="25">
        <v>2</v>
      </c>
      <c r="BD33" s="25">
        <v>2</v>
      </c>
      <c r="BE33" s="25">
        <v>2</v>
      </c>
      <c r="BF33" s="25">
        <v>1</v>
      </c>
      <c r="BG33" s="25">
        <v>4</v>
      </c>
      <c r="BH33" s="25">
        <v>3</v>
      </c>
      <c r="BI33" s="25">
        <v>9</v>
      </c>
      <c r="BJ33" s="25">
        <v>10</v>
      </c>
      <c r="BK33" s="25">
        <v>1</v>
      </c>
      <c r="BL33" s="25">
        <v>1310</v>
      </c>
      <c r="BM33" s="25">
        <v>2</v>
      </c>
      <c r="BN33" s="25">
        <v>0</v>
      </c>
      <c r="BO33" s="25">
        <v>0</v>
      </c>
      <c r="BP33" s="25">
        <v>1</v>
      </c>
      <c r="BQ33" s="25">
        <v>1</v>
      </c>
      <c r="BR33" s="25">
        <v>1</v>
      </c>
      <c r="BS33" s="25">
        <v>0</v>
      </c>
      <c r="BT33" s="25">
        <v>0</v>
      </c>
      <c r="BU33" s="25">
        <v>0</v>
      </c>
      <c r="BV33" s="25">
        <v>0</v>
      </c>
      <c r="BW33" s="25">
        <v>2</v>
      </c>
      <c r="BX33" s="25">
        <v>1</v>
      </c>
      <c r="BY33" s="25">
        <v>0</v>
      </c>
      <c r="BZ33" s="25">
        <v>1</v>
      </c>
      <c r="CA33" s="25">
        <v>3</v>
      </c>
      <c r="CB33" s="25">
        <v>0</v>
      </c>
      <c r="CC33" s="25">
        <v>1</v>
      </c>
      <c r="CD33" s="25">
        <v>0</v>
      </c>
      <c r="CE33" s="25">
        <v>0</v>
      </c>
      <c r="CF33" s="25">
        <v>0</v>
      </c>
      <c r="CG33" s="25">
        <v>0</v>
      </c>
      <c r="CH33" s="25">
        <v>0</v>
      </c>
      <c r="CI33" s="25">
        <v>0</v>
      </c>
      <c r="CJ33" s="25">
        <v>0</v>
      </c>
      <c r="CK33" s="25">
        <v>0</v>
      </c>
      <c r="CL33" s="25">
        <v>0</v>
      </c>
      <c r="CM33" s="25">
        <v>0</v>
      </c>
      <c r="CN33" s="25">
        <v>0</v>
      </c>
      <c r="CO33" s="25">
        <v>0</v>
      </c>
      <c r="CP33" s="25">
        <v>0</v>
      </c>
      <c r="CQ33" s="25">
        <v>0</v>
      </c>
      <c r="CR33" s="25">
        <v>0</v>
      </c>
      <c r="CS33" s="25">
        <v>0</v>
      </c>
      <c r="CT33" s="25">
        <v>0</v>
      </c>
      <c r="CU33" s="25">
        <v>0</v>
      </c>
      <c r="CV33" s="25">
        <v>0</v>
      </c>
      <c r="CW33" s="25">
        <v>0</v>
      </c>
      <c r="CX33" s="25">
        <v>0</v>
      </c>
      <c r="CY33" s="25">
        <v>0</v>
      </c>
      <c r="CZ33" s="25">
        <v>0</v>
      </c>
      <c r="DA33" s="25">
        <v>0</v>
      </c>
      <c r="DB33" s="25">
        <v>0</v>
      </c>
      <c r="DC33" s="25">
        <v>0</v>
      </c>
      <c r="DD33" s="25">
        <v>0</v>
      </c>
      <c r="DE33" s="25">
        <v>0</v>
      </c>
      <c r="DF33" s="25">
        <v>0</v>
      </c>
      <c r="DG33" s="25">
        <v>0</v>
      </c>
      <c r="DH33" s="25">
        <v>0</v>
      </c>
      <c r="DI33" s="25">
        <v>0</v>
      </c>
      <c r="DJ33" s="25">
        <v>0</v>
      </c>
      <c r="DK33" s="25">
        <v>0</v>
      </c>
      <c r="DL33" s="25">
        <v>0</v>
      </c>
      <c r="DM33" s="25">
        <v>0</v>
      </c>
      <c r="DN33" s="25">
        <v>0</v>
      </c>
      <c r="DO33" s="25">
        <v>0</v>
      </c>
      <c r="DP33" s="25">
        <v>0</v>
      </c>
      <c r="DQ33" s="25">
        <v>0</v>
      </c>
      <c r="DR33" s="25">
        <v>0</v>
      </c>
      <c r="DS33" s="25">
        <v>0</v>
      </c>
      <c r="DT33" s="25">
        <v>0</v>
      </c>
      <c r="DU33" s="25">
        <v>0</v>
      </c>
      <c r="DV33" s="25">
        <v>0</v>
      </c>
      <c r="DW33" s="25">
        <v>0</v>
      </c>
      <c r="DX33" s="25">
        <v>0</v>
      </c>
      <c r="DY33" s="25">
        <v>0</v>
      </c>
      <c r="DZ33" s="25">
        <v>0</v>
      </c>
      <c r="EA33" s="25">
        <v>0</v>
      </c>
      <c r="EB33" s="25">
        <v>0</v>
      </c>
      <c r="EC33" s="25">
        <v>0</v>
      </c>
      <c r="ED33" s="25">
        <v>0</v>
      </c>
      <c r="EE33" s="25">
        <v>0</v>
      </c>
      <c r="EF33" s="25">
        <v>0</v>
      </c>
      <c r="EG33" s="25">
        <v>0</v>
      </c>
      <c r="EH33" s="25">
        <v>0</v>
      </c>
      <c r="EI33" s="25">
        <v>0</v>
      </c>
      <c r="EJ33" s="25">
        <v>0</v>
      </c>
      <c r="EK33" s="25">
        <v>1</v>
      </c>
      <c r="EL33" s="25">
        <v>0</v>
      </c>
      <c r="EM33" s="25">
        <v>0</v>
      </c>
      <c r="EN33" s="25">
        <v>0</v>
      </c>
      <c r="EO33" s="25">
        <v>0</v>
      </c>
      <c r="EP33" s="25">
        <v>0</v>
      </c>
      <c r="EQ33" s="25">
        <v>0</v>
      </c>
      <c r="ER33" s="25">
        <v>0</v>
      </c>
      <c r="ES33" s="25">
        <v>0</v>
      </c>
      <c r="ET33" s="25">
        <v>0</v>
      </c>
      <c r="EU33" s="25">
        <v>0</v>
      </c>
      <c r="EV33" s="25">
        <v>0</v>
      </c>
      <c r="EW33" s="25">
        <v>0</v>
      </c>
      <c r="EX33" s="25">
        <v>0</v>
      </c>
      <c r="EY33" s="25">
        <v>0</v>
      </c>
      <c r="EZ33" s="25">
        <v>0</v>
      </c>
      <c r="FA33" s="25">
        <v>0</v>
      </c>
      <c r="FB33" s="25">
        <v>0</v>
      </c>
      <c r="FC33" s="25">
        <v>0</v>
      </c>
      <c r="FD33" s="25">
        <v>0</v>
      </c>
      <c r="FE33" s="25">
        <v>0</v>
      </c>
      <c r="FF33" s="25">
        <v>0</v>
      </c>
      <c r="FG33" s="25">
        <v>0</v>
      </c>
      <c r="FH33" s="25">
        <v>0</v>
      </c>
      <c r="FI33" s="25">
        <v>0</v>
      </c>
      <c r="FJ33" s="25">
        <v>0</v>
      </c>
      <c r="FK33" s="25">
        <v>0</v>
      </c>
      <c r="FL33" s="25">
        <v>0</v>
      </c>
      <c r="FM33" s="25">
        <v>0</v>
      </c>
      <c r="FN33" s="25">
        <v>0</v>
      </c>
      <c r="FO33" s="25">
        <v>0</v>
      </c>
      <c r="FP33" s="25">
        <v>0</v>
      </c>
      <c r="FQ33" s="25">
        <v>0</v>
      </c>
      <c r="FR33" s="25">
        <v>0</v>
      </c>
      <c r="FS33" s="25">
        <v>0</v>
      </c>
      <c r="FT33" s="25">
        <v>0</v>
      </c>
      <c r="FU33" s="25">
        <v>0</v>
      </c>
      <c r="FV33" s="25">
        <v>0</v>
      </c>
      <c r="FW33" s="25">
        <v>0</v>
      </c>
      <c r="FX33" s="25">
        <v>0</v>
      </c>
      <c r="FY33" s="25">
        <v>0</v>
      </c>
      <c r="FZ33" s="25">
        <v>0</v>
      </c>
      <c r="GA33" s="25">
        <v>0</v>
      </c>
      <c r="GB33" s="25">
        <v>1</v>
      </c>
      <c r="GC33" s="25">
        <v>0</v>
      </c>
      <c r="GD33" s="25">
        <v>0</v>
      </c>
      <c r="GE33" s="25">
        <v>0</v>
      </c>
      <c r="GF33" s="25">
        <v>0</v>
      </c>
      <c r="GG33" s="25">
        <v>0</v>
      </c>
      <c r="GH33" s="25">
        <v>0</v>
      </c>
      <c r="GI33" s="25">
        <v>0</v>
      </c>
      <c r="GJ33" s="25">
        <v>0</v>
      </c>
      <c r="GK33" s="25">
        <v>0</v>
      </c>
      <c r="GL33" s="25">
        <v>0</v>
      </c>
      <c r="GM33" s="25">
        <v>0</v>
      </c>
      <c r="GN33" s="25">
        <v>0</v>
      </c>
      <c r="GO33" s="25">
        <v>0</v>
      </c>
      <c r="GP33" s="25">
        <v>0</v>
      </c>
      <c r="GQ33" s="25">
        <v>0</v>
      </c>
      <c r="GR33" s="25">
        <v>0</v>
      </c>
      <c r="GS33" s="25">
        <v>0</v>
      </c>
      <c r="GT33" s="25">
        <v>0</v>
      </c>
      <c r="GU33" s="25">
        <v>0</v>
      </c>
      <c r="GV33" s="25">
        <v>0</v>
      </c>
      <c r="GW33" s="25">
        <v>0</v>
      </c>
      <c r="GX33" s="25">
        <v>0</v>
      </c>
      <c r="GY33" s="46">
        <v>0</v>
      </c>
      <c r="GZ33" s="25">
        <v>0</v>
      </c>
      <c r="HA33" s="25">
        <v>0</v>
      </c>
      <c r="HB33" s="25">
        <v>0</v>
      </c>
      <c r="HC33" s="25">
        <v>0</v>
      </c>
      <c r="HD33" s="25">
        <v>0</v>
      </c>
      <c r="HE33" s="25">
        <v>0</v>
      </c>
      <c r="HF33" s="25">
        <v>0</v>
      </c>
      <c r="HG33" s="25">
        <v>0</v>
      </c>
      <c r="HH33" s="25">
        <v>0</v>
      </c>
      <c r="HI33" s="25">
        <v>0</v>
      </c>
      <c r="HJ33" s="25">
        <v>0</v>
      </c>
      <c r="HK33" s="25">
        <v>0</v>
      </c>
      <c r="HL33" s="25">
        <v>0</v>
      </c>
      <c r="HM33" s="25">
        <v>0</v>
      </c>
      <c r="HN33" s="25">
        <v>0</v>
      </c>
      <c r="HO33" s="25">
        <v>0</v>
      </c>
      <c r="HP33" s="25">
        <v>0</v>
      </c>
      <c r="HQ33" s="25">
        <v>0</v>
      </c>
      <c r="HR33" s="25">
        <v>0</v>
      </c>
      <c r="HS33" s="25">
        <v>0</v>
      </c>
      <c r="HT33" s="25">
        <v>0</v>
      </c>
      <c r="HU33" s="25">
        <v>0</v>
      </c>
      <c r="HV33" s="25">
        <v>0</v>
      </c>
      <c r="HW33" s="25">
        <v>0</v>
      </c>
      <c r="HX33" s="25">
        <v>0</v>
      </c>
      <c r="HY33" s="25">
        <v>0</v>
      </c>
      <c r="HZ33" s="25">
        <v>0</v>
      </c>
      <c r="IA33" s="25">
        <v>0</v>
      </c>
      <c r="IB33" s="25">
        <v>0</v>
      </c>
      <c r="IC33" s="25">
        <v>0</v>
      </c>
      <c r="ID33" s="25">
        <v>0</v>
      </c>
      <c r="IE33" s="25">
        <v>0</v>
      </c>
      <c r="IF33" s="25">
        <v>0</v>
      </c>
      <c r="IG33" s="25">
        <v>0</v>
      </c>
      <c r="IH33" s="25">
        <v>0</v>
      </c>
      <c r="II33" s="25">
        <v>0</v>
      </c>
      <c r="IJ33" s="25">
        <v>0</v>
      </c>
      <c r="IK33" s="25">
        <v>0</v>
      </c>
      <c r="IL33" s="25">
        <v>0</v>
      </c>
      <c r="IM33" s="25">
        <v>0</v>
      </c>
      <c r="IN33" s="25">
        <v>0</v>
      </c>
      <c r="IO33" s="25">
        <v>0</v>
      </c>
      <c r="IP33" s="25">
        <v>0</v>
      </c>
      <c r="IQ33" s="25">
        <v>0</v>
      </c>
      <c r="IR33" s="25">
        <v>0</v>
      </c>
      <c r="IS33" s="25">
        <v>0</v>
      </c>
      <c r="IT33" s="25">
        <v>0</v>
      </c>
      <c r="IU33" s="25">
        <v>0</v>
      </c>
      <c r="IV33" s="25">
        <v>0</v>
      </c>
      <c r="IW33" s="25">
        <v>0</v>
      </c>
      <c r="IX33" s="25">
        <v>0</v>
      </c>
      <c r="IY33" s="25">
        <v>0</v>
      </c>
      <c r="IZ33" s="25">
        <v>0</v>
      </c>
      <c r="JA33" s="25">
        <v>0</v>
      </c>
      <c r="JB33" s="25">
        <v>0</v>
      </c>
      <c r="JC33" s="25">
        <v>0</v>
      </c>
      <c r="JD33" s="25">
        <v>0</v>
      </c>
      <c r="JE33" s="25">
        <v>0</v>
      </c>
      <c r="JF33" s="25">
        <v>0</v>
      </c>
      <c r="JG33" s="25">
        <v>0</v>
      </c>
      <c r="JH33" s="25">
        <v>0</v>
      </c>
      <c r="JI33" s="25">
        <v>0</v>
      </c>
      <c r="JJ33" s="25">
        <v>0</v>
      </c>
      <c r="JK33" s="25">
        <v>0</v>
      </c>
      <c r="JL33" s="25">
        <v>0</v>
      </c>
      <c r="JM33" s="25">
        <v>0</v>
      </c>
      <c r="JN33" s="25">
        <v>0</v>
      </c>
      <c r="JO33" s="25">
        <v>0</v>
      </c>
      <c r="JP33" s="25">
        <v>0</v>
      </c>
      <c r="JQ33" s="25">
        <v>0</v>
      </c>
      <c r="JR33" s="25">
        <v>0</v>
      </c>
      <c r="JS33" s="25">
        <v>0</v>
      </c>
      <c r="JT33" s="25">
        <v>0</v>
      </c>
      <c r="JU33" s="25">
        <v>0</v>
      </c>
      <c r="JV33" s="25">
        <v>0</v>
      </c>
      <c r="JW33" s="25">
        <v>0</v>
      </c>
      <c r="JX33" s="25">
        <v>0</v>
      </c>
      <c r="JY33" s="25">
        <v>0</v>
      </c>
      <c r="JZ33" s="25">
        <v>0</v>
      </c>
      <c r="KA33" s="25">
        <v>0</v>
      </c>
      <c r="KB33" s="25">
        <v>0</v>
      </c>
      <c r="KC33" s="25">
        <v>0</v>
      </c>
      <c r="KD33" s="25">
        <v>0</v>
      </c>
      <c r="KE33" s="25">
        <v>0</v>
      </c>
      <c r="KF33" s="25">
        <v>0</v>
      </c>
      <c r="KG33" s="25">
        <v>0</v>
      </c>
      <c r="KH33" s="25">
        <v>0</v>
      </c>
      <c r="KI33" s="25">
        <v>0</v>
      </c>
      <c r="KJ33" s="25">
        <v>0</v>
      </c>
      <c r="KK33" s="25">
        <v>0</v>
      </c>
      <c r="KL33" s="25">
        <v>0</v>
      </c>
      <c r="KM33" s="25">
        <v>0</v>
      </c>
      <c r="KN33" s="25">
        <v>0</v>
      </c>
      <c r="KO33" s="25">
        <v>0</v>
      </c>
      <c r="KP33" s="25">
        <v>0</v>
      </c>
      <c r="KQ33" s="25">
        <v>0</v>
      </c>
      <c r="KR33" s="25">
        <v>0</v>
      </c>
      <c r="KS33" s="25">
        <v>0</v>
      </c>
      <c r="KT33" s="25">
        <v>0</v>
      </c>
      <c r="KU33" s="25">
        <v>0</v>
      </c>
      <c r="KV33" s="25">
        <v>0</v>
      </c>
      <c r="KW33" s="25">
        <v>0</v>
      </c>
      <c r="KX33" s="25">
        <v>0</v>
      </c>
      <c r="KY33" s="25">
        <v>0</v>
      </c>
      <c r="KZ33" s="25">
        <v>0</v>
      </c>
      <c r="LA33" s="25">
        <v>0</v>
      </c>
      <c r="LB33" s="25">
        <v>0</v>
      </c>
      <c r="LC33" s="25">
        <v>0</v>
      </c>
      <c r="LD33" s="25">
        <v>0</v>
      </c>
      <c r="LE33" s="25">
        <v>0</v>
      </c>
      <c r="LF33" s="25">
        <v>0</v>
      </c>
      <c r="LG33" s="25">
        <v>0</v>
      </c>
      <c r="LH33" s="25">
        <v>0</v>
      </c>
      <c r="LI33" s="25">
        <v>0</v>
      </c>
      <c r="LJ33" s="25">
        <v>0</v>
      </c>
      <c r="LK33" s="25">
        <v>0</v>
      </c>
      <c r="LL33" s="25">
        <v>0</v>
      </c>
      <c r="LM33" s="25">
        <v>0</v>
      </c>
      <c r="LN33" s="278">
        <f ca="1">$A33 - DeathsTimeS!Sweden100dt + 1</f>
        <v>-34</v>
      </c>
      <c r="LO33" s="366">
        <f ca="1">INDEX(OFFSET(DeathsTimeS!HeadRow,ROW()-ROW(DeathsTimeS!HeadRow),0,1,COLUMNS(DeathsTimeS!HeadRow)),1,MATCH(LO$5,DeathsTimeS!HeadRow,0))/LO$8</f>
        <v>0</v>
      </c>
      <c r="LP33" s="278">
        <f ca="1">$A33 - DeathsTimeS!Spain100dt</f>
        <v>-27</v>
      </c>
      <c r="LQ33" s="11">
        <f ca="1">INDEX(OFFSET(DeathsTimeS!HeadRow,ROW()-ROW(DeathsTimeS!HeadRow),0,1,COLUMNS(DeathsTimeS!HeadRow)),1,MATCH(LQ$5,DeathsTimeS!HeadRow,0))/LQ$8</f>
        <v>0</v>
      </c>
      <c r="LR33" s="278">
        <f ca="1">$A33 - DeathsTimeS!Victoria100dt</f>
        <v>-50</v>
      </c>
      <c r="LS33" s="11">
        <f ca="1">INDEX(OFFSET(DeathsTimeS!HeadRow,ROW()-ROW(DeathsTimeS!HeadRow),0,1,COLUMNS(DeathsTimeS!HeadRow)),1,MATCH(LS$5,DeathsTimeS!HeadRow,0))/LS$8</f>
        <v>0</v>
      </c>
      <c r="LT33" s="278">
        <f ca="1">$A33 - DeathsTimeS!Iran100dt</f>
        <v>-20</v>
      </c>
      <c r="LU33" s="11">
        <f ca="1">INDEX(OFFSET(DeathsTimeS!HeadRow,ROW()-ROW(DeathsTimeS!HeadRow),0,1,COLUMNS(DeathsTimeS!HeadRow)),1,MATCH(LU$5,DeathsTimeS!HeadRow,0))/LU$8</f>
        <v>0</v>
      </c>
      <c r="LV33" s="278">
        <f ca="1">$A33 - DeathsTimeS!Japan100dt</f>
        <v>-61</v>
      </c>
      <c r="LW33" s="11">
        <f ca="1">INDEX(OFFSET(DeathsTimeS!HeadRow,ROW()-ROW(DeathsTimeS!HeadRow),0,1,COLUMNS(DeathsTimeS!HeadRow)),1,MATCH(LW$5,DeathsTimeS!HeadRow,0))/LW$8</f>
        <v>7.9017525794856464E-2</v>
      </c>
      <c r="LX33" s="278">
        <f ca="1">$A33 - DeathsTimeS!Queensland100dt</f>
        <v>-65</v>
      </c>
      <c r="LY33" s="11">
        <f ca="1">INDEX(OFFSET(DeathsTimeS!HeadRow,ROW()-ROW(DeathsTimeS!HeadRow),0,1,COLUMNS(DeathsTimeS!HeadRow)),1,MATCH(LY$5,DeathsTimeS!HeadRow,0))/LY$8</f>
        <v>0</v>
      </c>
      <c r="LZ33" s="278">
        <f ca="1">$A33 - DeathsTimeS!Tasmania100dt</f>
        <v>-47</v>
      </c>
      <c r="MA33" s="11">
        <f ca="1">INDEX(OFFSET(DeathsTimeS!HeadRow,ROW()-ROW(DeathsTimeS!HeadRow),0,1,COLUMNS(DeathsTimeS!HeadRow)),1,MATCH(MA$5,DeathsTimeS!HeadRow,0))/MA$8</f>
        <v>0</v>
      </c>
      <c r="MB33" s="278">
        <f ca="1">$A33 - DeathsTimeS!SouthAustralia100dt</f>
        <v>-55</v>
      </c>
      <c r="MC33" s="11">
        <f ca="1">INDEX(OFFSET(DeathsTimeS!HeadRow,ROW()-ROW(DeathsTimeS!HeadRow),0,1,COLUMNS(DeathsTimeS!HeadRow)),1,MATCH(MC$5,DeathsTimeS!HeadRow,0))/MC$8</f>
        <v>0</v>
      </c>
      <c r="MD33" s="278">
        <f ca="1">$A33 - DeathsTimeS!WesternAustralia100dt</f>
        <v>-52</v>
      </c>
      <c r="ME33" s="11">
        <f ca="1">INDEX(OFFSET(DeathsTimeS!HeadRow,ROW()-ROW(DeathsTimeS!HeadRow),0,1,COLUMNS(DeathsTimeS!HeadRow)),1,MATCH(ME$5,DeathsTimeS!HeadRow,0))/ME$8</f>
        <v>0</v>
      </c>
      <c r="MF33" s="278">
        <f ca="1">$A33 - DeathsTimeS!NewSouthWales100dt</f>
        <v>-48</v>
      </c>
      <c r="MG33" s="11">
        <f ca="1">INDEX(OFFSET(DeathsTimeS!HeadRow,ROW()-ROW(DeathsTimeS!HeadRow),0,1,COLUMNS(DeathsTimeS!HeadRow)),1,MATCH(MG$5,DeathsTimeS!HeadRow,0))/MG$8</f>
        <v>0</v>
      </c>
      <c r="MH33" s="278">
        <f ca="1">$A33 - DeathsTimeS!NewYork100dt</f>
        <v>-32</v>
      </c>
      <c r="MI33" s="11">
        <f ca="1">INDEX(OFFSET(DeathsTimeS!HeadRow,ROW()-ROW(DeathsTimeS!HeadRow),0,1,COLUMNS(DeathsTimeS!HeadRow)),1,MATCH(MI$5,DeathsTimeS!HeadRow,0))/MI$8</f>
        <v>0</v>
      </c>
      <c r="MJ33" s="278">
        <f ca="1">$A33 - DeathsTimeS!Italy100dt</f>
        <v>-19</v>
      </c>
      <c r="MK33" s="11">
        <f ca="1">INDEX(OFFSET(DeathsTimeS!HeadRow,ROW()-ROW(DeathsTimeS!HeadRow),0,1,COLUMNS(DeathsTimeS!HeadRow)),1,MATCH(MK$5,DeathsTimeS!HeadRow,0))/MK$8</f>
        <v>0</v>
      </c>
      <c r="ML33" s="278">
        <f ca="1">$A33 - DeathsTimeS!AustralianCapitalTerritory100dt</f>
        <v>-46</v>
      </c>
      <c r="MM33" s="11">
        <f ca="1">INDEX(OFFSET(DeathsTimeS!HeadRow,ROW()-ROW(DeathsTimeS!HeadRow),0,1,COLUMNS(DeathsTimeS!HeadRow)),1,MATCH(MM$5,DeathsTimeS!HeadRow,0))/MM$8</f>
        <v>0</v>
      </c>
      <c r="MN33" s="278">
        <f ca="1">IF(DeathsTimeS!NorthernTerritory100dt&gt;0,$A33 - DeathsTimeS!NorthernTerritory100dt,"")</f>
        <v>-74</v>
      </c>
      <c r="MO33" s="11">
        <f ca="1">INDEX(OFFSET(DeathsTimeS!HeadRow,ROW()-ROW(DeathsTimeS!HeadRow),0,1,COLUMNS(DeathsTimeS!HeadRow)),1,MATCH(MO$5,DeathsTimeS!HeadRow,0))/MO$8</f>
        <v>0</v>
      </c>
      <c r="MP33" s="278">
        <f ca="1">$A33 - DeathsTimeS!SouthAfrica100dt + 1</f>
        <v>-66</v>
      </c>
      <c r="MQ33" s="20">
        <f ca="1">INDEX(OFFSET(DeathsTimeS!HeadRow,ROW()-ROW(DeathsTimeS!HeadRow),0,1,COLUMNS(DeathsTimeS!HeadRow)),1,MATCH(MQ$5,DeathsTimeS!HeadRow,0))/MQ$8</f>
        <v>0</v>
      </c>
      <c r="MR33" s="278">
        <f ca="1">$A33 - DeathsTimeS!Germany100dt + 1</f>
        <v>-36</v>
      </c>
      <c r="MS33" s="20">
        <f ca="1">INDEX(OFFSET(DeathsTimeS!HeadRow,ROW()-ROW(DeathsTimeS!HeadRow),0,1,COLUMNS(DeathsTimeS!HeadRow)),1,MATCH(MS$5,DeathsTimeS!HeadRow,0))/MS$8</f>
        <v>0</v>
      </c>
      <c r="MT33" s="278">
        <f ca="1">$A33 - DeathsTimeS!Ireland100dt + 1</f>
        <v>-38</v>
      </c>
      <c r="MU33" s="73">
        <f ca="1">INDEX(OFFSET(DeathsTimeS!HeadRow,ROW()-ROW(DeathsTimeS!HeadRow),0,1,COLUMNS(DeathsTimeS!HeadRow)),1,MATCH(MU$5,DeathsTimeS!HeadRow,0))/MU$8</f>
        <v>0</v>
      </c>
      <c r="MV33" s="278">
        <f ca="1">$A33 - DeathsTimeS!UnitedKingdom100dt + 1</f>
        <v>-32</v>
      </c>
      <c r="MW33" s="73">
        <f ca="1">INDEX(OFFSET(DeathsTimeS!HeadRow,ROW()-ROW(DeathsTimeS!HeadRow),0,1,COLUMNS(DeathsTimeS!HeadRow)),1,MATCH(MW$5,DeathsTimeS!HeadRow,0))/MW$8</f>
        <v>0</v>
      </c>
      <c r="MX33" s="278">
        <f ca="1">$A33 - DeathsTimeS!Denmark100dt + 1</f>
        <v>-34</v>
      </c>
      <c r="MY33" s="73">
        <f ca="1">INDEX(OFFSET(DeathsTimeS!HeadRow,ROW()-ROW(DeathsTimeS!HeadRow),0,1,COLUMNS(DeathsTimeS!HeadRow)),1,MATCH(MY$5,DeathsTimeS!HeadRow,0))/MY$8</f>
        <v>0</v>
      </c>
      <c r="MZ33" s="278">
        <f ca="1">$A33 - DeathsTimeS!US100dt + 1</f>
        <v>-35</v>
      </c>
      <c r="NA33" s="73">
        <f ca="1">INDEX(OFFSET(DeathsTimeS!HeadRow,ROW()-ROW(DeathsTimeS!HeadRow),0,1,COLUMNS(DeathsTimeS!HeadRow)),1,MATCH(NA$5,DeathsTimeS!HeadRow,0))/NA$8</f>
        <v>0</v>
      </c>
      <c r="NB33" s="278">
        <f ca="1">$A33 - DeathsTimeS!AustraliaSum100dt + 1</f>
        <v>-41</v>
      </c>
      <c r="NC33" s="366">
        <f t="shared" si="6"/>
        <v>0</v>
      </c>
      <c r="ND33" s="278">
        <f ca="1">$A33 - DeathsTimeS!Taiwan100dt + 1</f>
        <v>-73</v>
      </c>
      <c r="NE33" s="366">
        <f ca="1">INDEX(OFFSET(DeathsTimeS!HeadRow,ROW()-ROW(DeathsTimeS!HeadRow),0,1,COLUMNS(DeathsTimeS!HeadRow)),1,MATCH(NE$5,DeathsTimeS!HeadRow,0))/NE$8</f>
        <v>0</v>
      </c>
      <c r="NF33" s="278">
        <f ca="1">$A33 - DeathsTimeS!Hubei100dt + 1</f>
        <v>18</v>
      </c>
      <c r="NG33" s="366">
        <f ca="1">INDEX(OFFSET(DeathsTimeS!HeadRow,ROW()-ROW(DeathsTimeS!HeadRow),0,1,COLUMNS(DeathsTimeS!HeadRow)),1,MATCH(NG$5,DeathsTimeS!HeadRow,0))/NG$8</f>
        <v>223.93162393162393</v>
      </c>
      <c r="NH33" s="278">
        <f ca="1">$A33 - DeathsTimeS!HongKong100dt + 1</f>
        <v>-73</v>
      </c>
      <c r="NI33" s="366">
        <f ca="1">INDEX(OFFSET(DeathsTimeS!HeadRow,ROW()-ROW(DeathsTimeS!HeadRow),0,1,COLUMNS(DeathsTimeS!HeadRow)),1,MATCH(NI$5,DeathsTimeS!HeadRow,0))/NI$8</f>
        <v>1.3421017313112333</v>
      </c>
    </row>
    <row r="34" spans="1:373" x14ac:dyDescent="0.25">
      <c r="A34" s="156">
        <v>43875</v>
      </c>
      <c r="B34" s="25">
        <v>0</v>
      </c>
      <c r="C34" s="25">
        <v>0</v>
      </c>
      <c r="D34" s="25">
        <v>0</v>
      </c>
      <c r="E34" s="25">
        <v>0</v>
      </c>
      <c r="F34" s="25">
        <v>0</v>
      </c>
      <c r="G34" s="25">
        <v>0</v>
      </c>
      <c r="H34" s="25">
        <v>0</v>
      </c>
      <c r="I34" s="25">
        <v>0</v>
      </c>
      <c r="J34" s="25">
        <v>0</v>
      </c>
      <c r="K34" s="25">
        <v>0</v>
      </c>
      <c r="L34" s="25">
        <v>0</v>
      </c>
      <c r="M34" s="25">
        <v>0</v>
      </c>
      <c r="N34" s="25">
        <v>0</v>
      </c>
      <c r="O34" s="25">
        <v>0</v>
      </c>
      <c r="P34" s="25">
        <v>0</v>
      </c>
      <c r="Q34" s="25">
        <v>0</v>
      </c>
      <c r="R34" s="25">
        <v>0</v>
      </c>
      <c r="S34" s="25">
        <v>0</v>
      </c>
      <c r="T34" s="25">
        <v>0</v>
      </c>
      <c r="U34" s="25">
        <v>0</v>
      </c>
      <c r="V34" s="25">
        <v>0</v>
      </c>
      <c r="W34" s="25">
        <v>0</v>
      </c>
      <c r="X34" s="25">
        <v>0</v>
      </c>
      <c r="Y34" s="25">
        <v>0</v>
      </c>
      <c r="Z34" s="25">
        <v>0</v>
      </c>
      <c r="AA34" s="25">
        <v>0</v>
      </c>
      <c r="AB34" s="25">
        <v>0</v>
      </c>
      <c r="AC34" s="25">
        <v>0</v>
      </c>
      <c r="AD34" s="25">
        <v>0</v>
      </c>
      <c r="AE34" s="25">
        <v>0</v>
      </c>
      <c r="AF34" s="25">
        <v>0</v>
      </c>
      <c r="AG34" s="25">
        <v>0</v>
      </c>
      <c r="AH34" s="25">
        <v>0</v>
      </c>
      <c r="AI34" s="25">
        <v>0</v>
      </c>
      <c r="AJ34" s="25">
        <v>0</v>
      </c>
      <c r="AK34" s="25">
        <v>0</v>
      </c>
      <c r="AL34" s="25">
        <v>0</v>
      </c>
      <c r="AM34" s="25">
        <v>0</v>
      </c>
      <c r="AN34" s="25">
        <v>0</v>
      </c>
      <c r="AO34" s="25">
        <v>0</v>
      </c>
      <c r="AP34" s="25">
        <v>0</v>
      </c>
      <c r="AQ34" s="25">
        <v>0</v>
      </c>
      <c r="AR34" s="25">
        <v>0</v>
      </c>
      <c r="AS34" s="25">
        <v>0</v>
      </c>
      <c r="AT34" s="25">
        <v>0</v>
      </c>
      <c r="AU34" s="25">
        <v>0</v>
      </c>
      <c r="AV34" s="25">
        <v>0</v>
      </c>
      <c r="AW34" s="25">
        <v>0</v>
      </c>
      <c r="AX34" s="25">
        <v>0</v>
      </c>
      <c r="AY34" s="25">
        <v>6</v>
      </c>
      <c r="AZ34" s="25">
        <v>3</v>
      </c>
      <c r="BA34" s="25">
        <v>5</v>
      </c>
      <c r="BB34" s="25">
        <v>0</v>
      </c>
      <c r="BC34" s="25">
        <v>2</v>
      </c>
      <c r="BD34" s="25">
        <v>2</v>
      </c>
      <c r="BE34" s="25">
        <v>2</v>
      </c>
      <c r="BF34" s="25">
        <v>1</v>
      </c>
      <c r="BG34" s="25">
        <v>4</v>
      </c>
      <c r="BH34" s="25">
        <v>3</v>
      </c>
      <c r="BI34" s="25">
        <v>11</v>
      </c>
      <c r="BJ34" s="25">
        <v>11</v>
      </c>
      <c r="BK34" s="25">
        <v>1</v>
      </c>
      <c r="BL34" s="25">
        <v>1457</v>
      </c>
      <c r="BM34" s="25">
        <v>2</v>
      </c>
      <c r="BN34" s="25">
        <v>0</v>
      </c>
      <c r="BO34" s="25">
        <v>0</v>
      </c>
      <c r="BP34" s="25">
        <v>1</v>
      </c>
      <c r="BQ34" s="25">
        <v>1</v>
      </c>
      <c r="BR34" s="25">
        <v>1</v>
      </c>
      <c r="BS34" s="25">
        <v>0</v>
      </c>
      <c r="BT34" s="25">
        <v>0</v>
      </c>
      <c r="BU34" s="25">
        <v>0</v>
      </c>
      <c r="BV34" s="25">
        <v>0</v>
      </c>
      <c r="BW34" s="25">
        <v>2</v>
      </c>
      <c r="BX34" s="25">
        <v>1</v>
      </c>
      <c r="BY34" s="25">
        <v>0</v>
      </c>
      <c r="BZ34" s="25">
        <v>1</v>
      </c>
      <c r="CA34" s="25">
        <v>3</v>
      </c>
      <c r="CB34" s="25">
        <v>0</v>
      </c>
      <c r="CC34" s="25">
        <v>1</v>
      </c>
      <c r="CD34" s="25">
        <v>0</v>
      </c>
      <c r="CE34" s="25">
        <v>0</v>
      </c>
      <c r="CF34" s="25">
        <v>0</v>
      </c>
      <c r="CG34" s="25">
        <v>0</v>
      </c>
      <c r="CH34" s="25">
        <v>0</v>
      </c>
      <c r="CI34" s="25">
        <v>0</v>
      </c>
      <c r="CJ34" s="25">
        <v>0</v>
      </c>
      <c r="CK34" s="25">
        <v>0</v>
      </c>
      <c r="CL34" s="25">
        <v>0</v>
      </c>
      <c r="CM34" s="25">
        <v>0</v>
      </c>
      <c r="CN34" s="25">
        <v>0</v>
      </c>
      <c r="CO34" s="25">
        <v>0</v>
      </c>
      <c r="CP34" s="25">
        <v>0</v>
      </c>
      <c r="CQ34" s="25">
        <v>0</v>
      </c>
      <c r="CR34" s="25">
        <v>0</v>
      </c>
      <c r="CS34" s="25">
        <v>0</v>
      </c>
      <c r="CT34" s="25">
        <v>0</v>
      </c>
      <c r="CU34" s="25">
        <v>0</v>
      </c>
      <c r="CV34" s="25">
        <v>0</v>
      </c>
      <c r="CW34" s="25">
        <v>0</v>
      </c>
      <c r="CX34" s="25">
        <v>0</v>
      </c>
      <c r="CY34" s="25">
        <v>0</v>
      </c>
      <c r="CZ34" s="25">
        <v>0</v>
      </c>
      <c r="DA34" s="25">
        <v>0</v>
      </c>
      <c r="DB34" s="25">
        <v>0</v>
      </c>
      <c r="DC34" s="25">
        <v>0</v>
      </c>
      <c r="DD34" s="25">
        <v>0</v>
      </c>
      <c r="DE34" s="25">
        <v>0</v>
      </c>
      <c r="DF34" s="25">
        <v>0</v>
      </c>
      <c r="DG34" s="25">
        <v>0</v>
      </c>
      <c r="DH34" s="25">
        <v>0</v>
      </c>
      <c r="DI34" s="25">
        <v>0</v>
      </c>
      <c r="DJ34" s="25">
        <v>0</v>
      </c>
      <c r="DK34" s="25">
        <v>0</v>
      </c>
      <c r="DL34" s="25">
        <v>0</v>
      </c>
      <c r="DM34" s="25">
        <v>0</v>
      </c>
      <c r="DN34" s="25">
        <v>0</v>
      </c>
      <c r="DO34" s="25">
        <v>0</v>
      </c>
      <c r="DP34" s="25">
        <v>0</v>
      </c>
      <c r="DQ34" s="25">
        <v>0</v>
      </c>
      <c r="DR34" s="25">
        <v>0</v>
      </c>
      <c r="DS34" s="25">
        <v>0</v>
      </c>
      <c r="DT34" s="25">
        <v>0</v>
      </c>
      <c r="DU34" s="25">
        <v>0</v>
      </c>
      <c r="DV34" s="25">
        <v>0</v>
      </c>
      <c r="DW34" s="25">
        <v>0</v>
      </c>
      <c r="DX34" s="25">
        <v>0</v>
      </c>
      <c r="DY34" s="25">
        <v>0</v>
      </c>
      <c r="DZ34" s="25">
        <v>0</v>
      </c>
      <c r="EA34" s="25">
        <v>0</v>
      </c>
      <c r="EB34" s="25">
        <v>0</v>
      </c>
      <c r="EC34" s="25">
        <v>0</v>
      </c>
      <c r="ED34" s="25">
        <v>0</v>
      </c>
      <c r="EE34" s="25">
        <v>0</v>
      </c>
      <c r="EF34" s="25">
        <v>0</v>
      </c>
      <c r="EG34" s="25">
        <v>0</v>
      </c>
      <c r="EH34" s="25">
        <v>0</v>
      </c>
      <c r="EI34" s="25">
        <v>0</v>
      </c>
      <c r="EJ34" s="25">
        <v>0</v>
      </c>
      <c r="EK34" s="25">
        <v>1</v>
      </c>
      <c r="EL34" s="25">
        <v>0</v>
      </c>
      <c r="EM34" s="25">
        <v>0</v>
      </c>
      <c r="EN34" s="25">
        <v>0</v>
      </c>
      <c r="EO34" s="25">
        <v>0</v>
      </c>
      <c r="EP34" s="25">
        <v>0</v>
      </c>
      <c r="EQ34" s="25">
        <v>0</v>
      </c>
      <c r="ER34" s="25">
        <v>0</v>
      </c>
      <c r="ES34" s="25">
        <v>0</v>
      </c>
      <c r="ET34" s="25">
        <v>0</v>
      </c>
      <c r="EU34" s="25">
        <v>0</v>
      </c>
      <c r="EV34" s="25">
        <v>0</v>
      </c>
      <c r="EW34" s="25">
        <v>0</v>
      </c>
      <c r="EX34" s="25">
        <v>0</v>
      </c>
      <c r="EY34" s="25">
        <v>0</v>
      </c>
      <c r="EZ34" s="25">
        <v>0</v>
      </c>
      <c r="FA34" s="25">
        <v>0</v>
      </c>
      <c r="FB34" s="25">
        <v>0</v>
      </c>
      <c r="FC34" s="25">
        <v>0</v>
      </c>
      <c r="FD34" s="25">
        <v>0</v>
      </c>
      <c r="FE34" s="25">
        <v>0</v>
      </c>
      <c r="FF34" s="25">
        <v>0</v>
      </c>
      <c r="FG34" s="25">
        <v>0</v>
      </c>
      <c r="FH34" s="25">
        <v>0</v>
      </c>
      <c r="FI34" s="25">
        <v>0</v>
      </c>
      <c r="FJ34" s="25">
        <v>0</v>
      </c>
      <c r="FK34" s="25">
        <v>0</v>
      </c>
      <c r="FL34" s="25">
        <v>0</v>
      </c>
      <c r="FM34" s="25">
        <v>0</v>
      </c>
      <c r="FN34" s="25">
        <v>0</v>
      </c>
      <c r="FO34" s="25">
        <v>0</v>
      </c>
      <c r="FP34" s="25">
        <v>0</v>
      </c>
      <c r="FQ34" s="25">
        <v>0</v>
      </c>
      <c r="FR34" s="25">
        <v>0</v>
      </c>
      <c r="FS34" s="25">
        <v>0</v>
      </c>
      <c r="FT34" s="25">
        <v>0</v>
      </c>
      <c r="FU34" s="25">
        <v>0</v>
      </c>
      <c r="FV34" s="25">
        <v>0</v>
      </c>
      <c r="FW34" s="25">
        <v>0</v>
      </c>
      <c r="FX34" s="25">
        <v>0</v>
      </c>
      <c r="FY34" s="25">
        <v>0</v>
      </c>
      <c r="FZ34" s="25">
        <v>0</v>
      </c>
      <c r="GA34" s="25">
        <v>0</v>
      </c>
      <c r="GB34" s="25">
        <v>1</v>
      </c>
      <c r="GC34" s="25">
        <v>0</v>
      </c>
      <c r="GD34" s="25">
        <v>0</v>
      </c>
      <c r="GE34" s="25">
        <v>0</v>
      </c>
      <c r="GF34" s="25">
        <v>0</v>
      </c>
      <c r="GG34" s="25">
        <v>0</v>
      </c>
      <c r="GH34" s="25">
        <v>0</v>
      </c>
      <c r="GI34" s="25">
        <v>0</v>
      </c>
      <c r="GJ34" s="25">
        <v>0</v>
      </c>
      <c r="GK34" s="25">
        <v>0</v>
      </c>
      <c r="GL34" s="25">
        <v>0</v>
      </c>
      <c r="GM34" s="25">
        <v>0</v>
      </c>
      <c r="GN34" s="25">
        <v>0</v>
      </c>
      <c r="GO34" s="25">
        <v>0</v>
      </c>
      <c r="GP34" s="25">
        <v>0</v>
      </c>
      <c r="GQ34" s="25">
        <v>0</v>
      </c>
      <c r="GR34" s="25">
        <v>0</v>
      </c>
      <c r="GS34" s="25">
        <v>0</v>
      </c>
      <c r="GT34" s="25">
        <v>0</v>
      </c>
      <c r="GU34" s="25">
        <v>0</v>
      </c>
      <c r="GV34" s="25">
        <v>0</v>
      </c>
      <c r="GW34" s="25">
        <v>0</v>
      </c>
      <c r="GX34" s="25">
        <v>0</v>
      </c>
      <c r="GY34" s="46">
        <v>0</v>
      </c>
      <c r="GZ34" s="25">
        <v>0</v>
      </c>
      <c r="HA34" s="25">
        <v>0</v>
      </c>
      <c r="HB34" s="25">
        <v>0</v>
      </c>
      <c r="HC34" s="25">
        <v>0</v>
      </c>
      <c r="HD34" s="25">
        <v>0</v>
      </c>
      <c r="HE34" s="25">
        <v>0</v>
      </c>
      <c r="HF34" s="25">
        <v>0</v>
      </c>
      <c r="HG34" s="25">
        <v>0</v>
      </c>
      <c r="HH34" s="25">
        <v>0</v>
      </c>
      <c r="HI34" s="25">
        <v>0</v>
      </c>
      <c r="HJ34" s="25">
        <v>0</v>
      </c>
      <c r="HK34" s="25">
        <v>0</v>
      </c>
      <c r="HL34" s="25">
        <v>0</v>
      </c>
      <c r="HM34" s="25">
        <v>0</v>
      </c>
      <c r="HN34" s="25">
        <v>0</v>
      </c>
      <c r="HO34" s="25">
        <v>0</v>
      </c>
      <c r="HP34" s="25">
        <v>0</v>
      </c>
      <c r="HQ34" s="25">
        <v>0</v>
      </c>
      <c r="HR34" s="25">
        <v>0</v>
      </c>
      <c r="HS34" s="25">
        <v>0</v>
      </c>
      <c r="HT34" s="25">
        <v>0</v>
      </c>
      <c r="HU34" s="25">
        <v>0</v>
      </c>
      <c r="HV34" s="25">
        <v>0</v>
      </c>
      <c r="HW34" s="25">
        <v>0</v>
      </c>
      <c r="HX34" s="25">
        <v>0</v>
      </c>
      <c r="HY34" s="25">
        <v>0</v>
      </c>
      <c r="HZ34" s="25">
        <v>0</v>
      </c>
      <c r="IA34" s="25">
        <v>0</v>
      </c>
      <c r="IB34" s="25">
        <v>0</v>
      </c>
      <c r="IC34" s="25">
        <v>0</v>
      </c>
      <c r="ID34" s="25">
        <v>0</v>
      </c>
      <c r="IE34" s="25">
        <v>0</v>
      </c>
      <c r="IF34" s="25">
        <v>0</v>
      </c>
      <c r="IG34" s="25">
        <v>0</v>
      </c>
      <c r="IH34" s="25">
        <v>0</v>
      </c>
      <c r="II34" s="25">
        <v>0</v>
      </c>
      <c r="IJ34" s="25">
        <v>0</v>
      </c>
      <c r="IK34" s="25">
        <v>0</v>
      </c>
      <c r="IL34" s="25">
        <v>0</v>
      </c>
      <c r="IM34" s="25">
        <v>0</v>
      </c>
      <c r="IN34" s="25">
        <v>0</v>
      </c>
      <c r="IO34" s="25">
        <v>0</v>
      </c>
      <c r="IP34" s="25">
        <v>0</v>
      </c>
      <c r="IQ34" s="25">
        <v>0</v>
      </c>
      <c r="IR34" s="25">
        <v>0</v>
      </c>
      <c r="IS34" s="25">
        <v>0</v>
      </c>
      <c r="IT34" s="25">
        <v>0</v>
      </c>
      <c r="IU34" s="25">
        <v>0</v>
      </c>
      <c r="IV34" s="25">
        <v>0</v>
      </c>
      <c r="IW34" s="25">
        <v>0</v>
      </c>
      <c r="IX34" s="25">
        <v>0</v>
      </c>
      <c r="IY34" s="25">
        <v>0</v>
      </c>
      <c r="IZ34" s="25">
        <v>0</v>
      </c>
      <c r="JA34" s="25">
        <v>0</v>
      </c>
      <c r="JB34" s="25">
        <v>0</v>
      </c>
      <c r="JC34" s="25">
        <v>0</v>
      </c>
      <c r="JD34" s="25">
        <v>0</v>
      </c>
      <c r="JE34" s="25">
        <v>0</v>
      </c>
      <c r="JF34" s="25">
        <v>0</v>
      </c>
      <c r="JG34" s="25">
        <v>0</v>
      </c>
      <c r="JH34" s="25">
        <v>0</v>
      </c>
      <c r="JI34" s="25">
        <v>0</v>
      </c>
      <c r="JJ34" s="25">
        <v>0</v>
      </c>
      <c r="JK34" s="25">
        <v>0</v>
      </c>
      <c r="JL34" s="25">
        <v>0</v>
      </c>
      <c r="JM34" s="25">
        <v>0</v>
      </c>
      <c r="JN34" s="25">
        <v>0</v>
      </c>
      <c r="JO34" s="25">
        <v>0</v>
      </c>
      <c r="JP34" s="25">
        <v>0</v>
      </c>
      <c r="JQ34" s="25">
        <v>0</v>
      </c>
      <c r="JR34" s="25">
        <v>0</v>
      </c>
      <c r="JS34" s="25">
        <v>0</v>
      </c>
      <c r="JT34" s="25">
        <v>0</v>
      </c>
      <c r="JU34" s="25">
        <v>0</v>
      </c>
      <c r="JV34" s="25">
        <v>0</v>
      </c>
      <c r="JW34" s="25">
        <v>0</v>
      </c>
      <c r="JX34" s="25">
        <v>0</v>
      </c>
      <c r="JY34" s="25">
        <v>0</v>
      </c>
      <c r="JZ34" s="25">
        <v>0</v>
      </c>
      <c r="KA34" s="25">
        <v>0</v>
      </c>
      <c r="KB34" s="25">
        <v>0</v>
      </c>
      <c r="KC34" s="25">
        <v>0</v>
      </c>
      <c r="KD34" s="25">
        <v>0</v>
      </c>
      <c r="KE34" s="25">
        <v>0</v>
      </c>
      <c r="KF34" s="25">
        <v>0</v>
      </c>
      <c r="KG34" s="25">
        <v>0</v>
      </c>
      <c r="KH34" s="25">
        <v>0</v>
      </c>
      <c r="KI34" s="25">
        <v>0</v>
      </c>
      <c r="KJ34" s="25">
        <v>0</v>
      </c>
      <c r="KK34" s="25">
        <v>0</v>
      </c>
      <c r="KL34" s="25">
        <v>0</v>
      </c>
      <c r="KM34" s="25">
        <v>0</v>
      </c>
      <c r="KN34" s="25">
        <v>0</v>
      </c>
      <c r="KO34" s="25">
        <v>0</v>
      </c>
      <c r="KP34" s="25">
        <v>0</v>
      </c>
      <c r="KQ34" s="25">
        <v>0</v>
      </c>
      <c r="KR34" s="25">
        <v>0</v>
      </c>
      <c r="KS34" s="25">
        <v>0</v>
      </c>
      <c r="KT34" s="25">
        <v>0</v>
      </c>
      <c r="KU34" s="25">
        <v>0</v>
      </c>
      <c r="KV34" s="25">
        <v>0</v>
      </c>
      <c r="KW34" s="25">
        <v>0</v>
      </c>
      <c r="KX34" s="25">
        <v>0</v>
      </c>
      <c r="KY34" s="25">
        <v>0</v>
      </c>
      <c r="KZ34" s="25">
        <v>0</v>
      </c>
      <c r="LA34" s="25">
        <v>0</v>
      </c>
      <c r="LB34" s="25">
        <v>0</v>
      </c>
      <c r="LC34" s="25">
        <v>0</v>
      </c>
      <c r="LD34" s="25">
        <v>0</v>
      </c>
      <c r="LE34" s="25">
        <v>0</v>
      </c>
      <c r="LF34" s="25">
        <v>0</v>
      </c>
      <c r="LG34" s="25">
        <v>0</v>
      </c>
      <c r="LH34" s="25">
        <v>0</v>
      </c>
      <c r="LI34" s="25">
        <v>0</v>
      </c>
      <c r="LJ34" s="25">
        <v>0</v>
      </c>
      <c r="LK34" s="25">
        <v>0</v>
      </c>
      <c r="LL34" s="25">
        <v>0</v>
      </c>
      <c r="LM34" s="25">
        <v>0</v>
      </c>
      <c r="LN34" s="278">
        <f ca="1">$A34 - DeathsTimeS!Sweden100dt + 1</f>
        <v>-33</v>
      </c>
      <c r="LO34" s="366">
        <f ca="1">INDEX(OFFSET(DeathsTimeS!HeadRow,ROW()-ROW(DeathsTimeS!HeadRow),0,1,COLUMNS(DeathsTimeS!HeadRow)),1,MATCH(LO$5,DeathsTimeS!HeadRow,0))/LO$8</f>
        <v>0</v>
      </c>
      <c r="LP34" s="278">
        <f ca="1">$A34 - DeathsTimeS!Spain100dt</f>
        <v>-26</v>
      </c>
      <c r="LQ34" s="11">
        <f ca="1">INDEX(OFFSET(DeathsTimeS!HeadRow,ROW()-ROW(DeathsTimeS!HeadRow),0,1,COLUMNS(DeathsTimeS!HeadRow)),1,MATCH(LQ$5,DeathsTimeS!HeadRow,0))/LQ$8</f>
        <v>0</v>
      </c>
      <c r="LR34" s="278">
        <f ca="1">$A34 - DeathsTimeS!Victoria100dt</f>
        <v>-49</v>
      </c>
      <c r="LS34" s="11">
        <f ca="1">INDEX(OFFSET(DeathsTimeS!HeadRow,ROW()-ROW(DeathsTimeS!HeadRow),0,1,COLUMNS(DeathsTimeS!HeadRow)),1,MATCH(LS$5,DeathsTimeS!HeadRow,0))/LS$8</f>
        <v>0</v>
      </c>
      <c r="LT34" s="278">
        <f ca="1">$A34 - DeathsTimeS!Iran100dt</f>
        <v>-19</v>
      </c>
      <c r="LU34" s="11">
        <f ca="1">INDEX(OFFSET(DeathsTimeS!HeadRow,ROW()-ROW(DeathsTimeS!HeadRow),0,1,COLUMNS(DeathsTimeS!HeadRow)),1,MATCH(LU$5,DeathsTimeS!HeadRow,0))/LU$8</f>
        <v>0</v>
      </c>
      <c r="LV34" s="278">
        <f ca="1">$A34 - DeathsTimeS!Japan100dt</f>
        <v>-60</v>
      </c>
      <c r="LW34" s="11">
        <f ca="1">INDEX(OFFSET(DeathsTimeS!HeadRow,ROW()-ROW(DeathsTimeS!HeadRow),0,1,COLUMNS(DeathsTimeS!HeadRow)),1,MATCH(LW$5,DeathsTimeS!HeadRow,0))/LW$8</f>
        <v>7.9017525794856464E-2</v>
      </c>
      <c r="LX34" s="278">
        <f ca="1">$A34 - DeathsTimeS!Queensland100dt</f>
        <v>-64</v>
      </c>
      <c r="LY34" s="11">
        <f ca="1">INDEX(OFFSET(DeathsTimeS!HeadRow,ROW()-ROW(DeathsTimeS!HeadRow),0,1,COLUMNS(DeathsTimeS!HeadRow)),1,MATCH(LY$5,DeathsTimeS!HeadRow,0))/LY$8</f>
        <v>0</v>
      </c>
      <c r="LZ34" s="278">
        <f ca="1">$A34 - DeathsTimeS!Tasmania100dt</f>
        <v>-46</v>
      </c>
      <c r="MA34" s="11">
        <f ca="1">INDEX(OFFSET(DeathsTimeS!HeadRow,ROW()-ROW(DeathsTimeS!HeadRow),0,1,COLUMNS(DeathsTimeS!HeadRow)),1,MATCH(MA$5,DeathsTimeS!HeadRow,0))/MA$8</f>
        <v>0</v>
      </c>
      <c r="MB34" s="278">
        <f ca="1">$A34 - DeathsTimeS!SouthAustralia100dt</f>
        <v>-54</v>
      </c>
      <c r="MC34" s="11">
        <f ca="1">INDEX(OFFSET(DeathsTimeS!HeadRow,ROW()-ROW(DeathsTimeS!HeadRow),0,1,COLUMNS(DeathsTimeS!HeadRow)),1,MATCH(MC$5,DeathsTimeS!HeadRow,0))/MC$8</f>
        <v>0</v>
      </c>
      <c r="MD34" s="278">
        <f ca="1">$A34 - DeathsTimeS!WesternAustralia100dt</f>
        <v>-51</v>
      </c>
      <c r="ME34" s="11">
        <f ca="1">INDEX(OFFSET(DeathsTimeS!HeadRow,ROW()-ROW(DeathsTimeS!HeadRow),0,1,COLUMNS(DeathsTimeS!HeadRow)),1,MATCH(ME$5,DeathsTimeS!HeadRow,0))/ME$8</f>
        <v>0</v>
      </c>
      <c r="MF34" s="278">
        <f ca="1">$A34 - DeathsTimeS!NewSouthWales100dt</f>
        <v>-47</v>
      </c>
      <c r="MG34" s="11">
        <f ca="1">INDEX(OFFSET(DeathsTimeS!HeadRow,ROW()-ROW(DeathsTimeS!HeadRow),0,1,COLUMNS(DeathsTimeS!HeadRow)),1,MATCH(MG$5,DeathsTimeS!HeadRow,0))/MG$8</f>
        <v>0</v>
      </c>
      <c r="MH34" s="278">
        <f ca="1">$A34 - DeathsTimeS!NewYork100dt</f>
        <v>-31</v>
      </c>
      <c r="MI34" s="11">
        <f ca="1">INDEX(OFFSET(DeathsTimeS!HeadRow,ROW()-ROW(DeathsTimeS!HeadRow),0,1,COLUMNS(DeathsTimeS!HeadRow)),1,MATCH(MI$5,DeathsTimeS!HeadRow,0))/MI$8</f>
        <v>0</v>
      </c>
      <c r="MJ34" s="278">
        <f ca="1">$A34 - DeathsTimeS!Italy100dt</f>
        <v>-18</v>
      </c>
      <c r="MK34" s="11">
        <f ca="1">INDEX(OFFSET(DeathsTimeS!HeadRow,ROW()-ROW(DeathsTimeS!HeadRow),0,1,COLUMNS(DeathsTimeS!HeadRow)),1,MATCH(MK$5,DeathsTimeS!HeadRow,0))/MK$8</f>
        <v>0</v>
      </c>
      <c r="ML34" s="278">
        <f ca="1">$A34 - DeathsTimeS!AustralianCapitalTerritory100dt</f>
        <v>-45</v>
      </c>
      <c r="MM34" s="11">
        <f ca="1">INDEX(OFFSET(DeathsTimeS!HeadRow,ROW()-ROW(DeathsTimeS!HeadRow),0,1,COLUMNS(DeathsTimeS!HeadRow)),1,MATCH(MM$5,DeathsTimeS!HeadRow,0))/MM$8</f>
        <v>0</v>
      </c>
      <c r="MN34" s="278">
        <f ca="1">IF(DeathsTimeS!NorthernTerritory100dt&gt;0,$A34 - DeathsTimeS!NorthernTerritory100dt,"")</f>
        <v>-73</v>
      </c>
      <c r="MO34" s="11">
        <f ca="1">INDEX(OFFSET(DeathsTimeS!HeadRow,ROW()-ROW(DeathsTimeS!HeadRow),0,1,COLUMNS(DeathsTimeS!HeadRow)),1,MATCH(MO$5,DeathsTimeS!HeadRow,0))/MO$8</f>
        <v>0</v>
      </c>
      <c r="MP34" s="278">
        <f ca="1">$A34 - DeathsTimeS!SouthAfrica100dt + 1</f>
        <v>-65</v>
      </c>
      <c r="MQ34" s="20">
        <f ca="1">INDEX(OFFSET(DeathsTimeS!HeadRow,ROW()-ROW(DeathsTimeS!HeadRow),0,1,COLUMNS(DeathsTimeS!HeadRow)),1,MATCH(MQ$5,DeathsTimeS!HeadRow,0))/MQ$8</f>
        <v>0</v>
      </c>
      <c r="MR34" s="278">
        <f ca="1">$A34 - DeathsTimeS!Germany100dt + 1</f>
        <v>-35</v>
      </c>
      <c r="MS34" s="20">
        <f ca="1">INDEX(OFFSET(DeathsTimeS!HeadRow,ROW()-ROW(DeathsTimeS!HeadRow),0,1,COLUMNS(DeathsTimeS!HeadRow)),1,MATCH(MS$5,DeathsTimeS!HeadRow,0))/MS$8</f>
        <v>0</v>
      </c>
      <c r="MT34" s="278">
        <f ca="1">$A34 - DeathsTimeS!Ireland100dt + 1</f>
        <v>-37</v>
      </c>
      <c r="MU34" s="73">
        <f ca="1">INDEX(OFFSET(DeathsTimeS!HeadRow,ROW()-ROW(DeathsTimeS!HeadRow),0,1,COLUMNS(DeathsTimeS!HeadRow)),1,MATCH(MU$5,DeathsTimeS!HeadRow,0))/MU$8</f>
        <v>0</v>
      </c>
      <c r="MV34" s="278">
        <f ca="1">$A34 - DeathsTimeS!UnitedKingdom100dt + 1</f>
        <v>-31</v>
      </c>
      <c r="MW34" s="73">
        <f ca="1">INDEX(OFFSET(DeathsTimeS!HeadRow,ROW()-ROW(DeathsTimeS!HeadRow),0,1,COLUMNS(DeathsTimeS!HeadRow)),1,MATCH(MW$5,DeathsTimeS!HeadRow,0))/MW$8</f>
        <v>0</v>
      </c>
      <c r="MX34" s="278">
        <f ca="1">$A34 - DeathsTimeS!Denmark100dt + 1</f>
        <v>-33</v>
      </c>
      <c r="MY34" s="73">
        <f ca="1">INDEX(OFFSET(DeathsTimeS!HeadRow,ROW()-ROW(DeathsTimeS!HeadRow),0,1,COLUMNS(DeathsTimeS!HeadRow)),1,MATCH(MY$5,DeathsTimeS!HeadRow,0))/MY$8</f>
        <v>0</v>
      </c>
      <c r="MZ34" s="278">
        <f ca="1">$A34 - DeathsTimeS!US100dt + 1</f>
        <v>-34</v>
      </c>
      <c r="NA34" s="73">
        <f ca="1">INDEX(OFFSET(DeathsTimeS!HeadRow,ROW()-ROW(DeathsTimeS!HeadRow),0,1,COLUMNS(DeathsTimeS!HeadRow)),1,MATCH(NA$5,DeathsTimeS!HeadRow,0))/NA$8</f>
        <v>0</v>
      </c>
      <c r="NB34" s="278">
        <f ca="1">$A34 - DeathsTimeS!AustraliaSum100dt + 1</f>
        <v>-40</v>
      </c>
      <c r="NC34" s="366">
        <f t="shared" si="6"/>
        <v>0</v>
      </c>
      <c r="ND34" s="278">
        <f ca="1">$A34 - DeathsTimeS!Taiwan100dt + 1</f>
        <v>-72</v>
      </c>
      <c r="NE34" s="366">
        <f ca="1">INDEX(OFFSET(DeathsTimeS!HeadRow,ROW()-ROW(DeathsTimeS!HeadRow),0,1,COLUMNS(DeathsTimeS!HeadRow)),1,MATCH(NE$5,DeathsTimeS!HeadRow,0))/NE$8</f>
        <v>0</v>
      </c>
      <c r="NF34" s="278">
        <f ca="1">$A34 - DeathsTimeS!Hubei100dt + 1</f>
        <v>19</v>
      </c>
      <c r="NG34" s="366">
        <f ca="1">INDEX(OFFSET(DeathsTimeS!HeadRow,ROW()-ROW(DeathsTimeS!HeadRow),0,1,COLUMNS(DeathsTimeS!HeadRow)),1,MATCH(NG$5,DeathsTimeS!HeadRow,0))/NG$8</f>
        <v>249.05982905982907</v>
      </c>
      <c r="NH34" s="278">
        <f ca="1">$A34 - DeathsTimeS!HongKong100dt + 1</f>
        <v>-72</v>
      </c>
      <c r="NI34" s="366">
        <f ca="1">INDEX(OFFSET(DeathsTimeS!HeadRow,ROW()-ROW(DeathsTimeS!HeadRow),0,1,COLUMNS(DeathsTimeS!HeadRow)),1,MATCH(NI$5,DeathsTimeS!HeadRow,0))/NI$8</f>
        <v>1.3421017313112333</v>
      </c>
    </row>
    <row r="35" spans="1:373" x14ac:dyDescent="0.25">
      <c r="A35" s="156">
        <v>43876</v>
      </c>
      <c r="B35" s="25">
        <v>0</v>
      </c>
      <c r="C35" s="25">
        <v>0</v>
      </c>
      <c r="D35" s="25">
        <v>0</v>
      </c>
      <c r="E35" s="25">
        <v>0</v>
      </c>
      <c r="F35" s="25">
        <v>0</v>
      </c>
      <c r="G35" s="25">
        <v>0</v>
      </c>
      <c r="H35" s="25">
        <v>0</v>
      </c>
      <c r="I35" s="25">
        <v>0</v>
      </c>
      <c r="J35" s="25">
        <v>0</v>
      </c>
      <c r="K35" s="25">
        <v>0</v>
      </c>
      <c r="L35" s="25">
        <v>0</v>
      </c>
      <c r="M35" s="25">
        <v>0</v>
      </c>
      <c r="N35" s="25">
        <v>0</v>
      </c>
      <c r="O35" s="25">
        <v>0</v>
      </c>
      <c r="P35" s="25">
        <v>0</v>
      </c>
      <c r="Q35" s="25">
        <v>0</v>
      </c>
      <c r="R35" s="25">
        <v>0</v>
      </c>
      <c r="S35" s="25">
        <v>0</v>
      </c>
      <c r="T35" s="25">
        <v>0</v>
      </c>
      <c r="U35" s="25">
        <v>0</v>
      </c>
      <c r="V35" s="25">
        <v>0</v>
      </c>
      <c r="W35" s="25">
        <v>0</v>
      </c>
      <c r="X35" s="25">
        <v>0</v>
      </c>
      <c r="Y35" s="25">
        <v>0</v>
      </c>
      <c r="Z35" s="25">
        <v>0</v>
      </c>
      <c r="AA35" s="25">
        <v>0</v>
      </c>
      <c r="AB35" s="25">
        <v>0</v>
      </c>
      <c r="AC35" s="25">
        <v>0</v>
      </c>
      <c r="AD35" s="25">
        <v>0</v>
      </c>
      <c r="AE35" s="25">
        <v>0</v>
      </c>
      <c r="AF35" s="25">
        <v>0</v>
      </c>
      <c r="AG35" s="25">
        <v>0</v>
      </c>
      <c r="AH35" s="25">
        <v>0</v>
      </c>
      <c r="AI35" s="25">
        <v>0</v>
      </c>
      <c r="AJ35" s="25">
        <v>0</v>
      </c>
      <c r="AK35" s="25">
        <v>0</v>
      </c>
      <c r="AL35" s="25">
        <v>0</v>
      </c>
      <c r="AM35" s="25">
        <v>0</v>
      </c>
      <c r="AN35" s="25">
        <v>0</v>
      </c>
      <c r="AO35" s="25">
        <v>0</v>
      </c>
      <c r="AP35" s="25">
        <v>0</v>
      </c>
      <c r="AQ35" s="25">
        <v>0</v>
      </c>
      <c r="AR35" s="25">
        <v>0</v>
      </c>
      <c r="AS35" s="25">
        <v>0</v>
      </c>
      <c r="AT35" s="25">
        <v>0</v>
      </c>
      <c r="AU35" s="25">
        <v>0</v>
      </c>
      <c r="AV35" s="25">
        <v>0</v>
      </c>
      <c r="AW35" s="25">
        <v>0</v>
      </c>
      <c r="AX35" s="25">
        <v>0</v>
      </c>
      <c r="AY35" s="25">
        <v>6</v>
      </c>
      <c r="AZ35" s="25">
        <v>4</v>
      </c>
      <c r="BA35" s="25">
        <v>5</v>
      </c>
      <c r="BB35" s="25">
        <v>0</v>
      </c>
      <c r="BC35" s="25">
        <v>2</v>
      </c>
      <c r="BD35" s="25">
        <v>2</v>
      </c>
      <c r="BE35" s="25">
        <v>2</v>
      </c>
      <c r="BF35" s="25">
        <v>1</v>
      </c>
      <c r="BG35" s="25">
        <v>4</v>
      </c>
      <c r="BH35" s="25">
        <v>3</v>
      </c>
      <c r="BI35" s="25">
        <v>11</v>
      </c>
      <c r="BJ35" s="25">
        <v>13</v>
      </c>
      <c r="BK35" s="25">
        <v>1</v>
      </c>
      <c r="BL35" s="25">
        <v>1596</v>
      </c>
      <c r="BM35" s="25">
        <v>2</v>
      </c>
      <c r="BN35" s="25">
        <v>0</v>
      </c>
      <c r="BO35" s="25">
        <v>0</v>
      </c>
      <c r="BP35" s="25">
        <v>1</v>
      </c>
      <c r="BQ35" s="25">
        <v>1</v>
      </c>
      <c r="BR35" s="25">
        <v>1</v>
      </c>
      <c r="BS35" s="25">
        <v>0</v>
      </c>
      <c r="BT35" s="25">
        <v>0</v>
      </c>
      <c r="BU35" s="25">
        <v>0</v>
      </c>
      <c r="BV35" s="25">
        <v>0</v>
      </c>
      <c r="BW35" s="25">
        <v>2</v>
      </c>
      <c r="BX35" s="25">
        <v>1</v>
      </c>
      <c r="BY35" s="25">
        <v>0</v>
      </c>
      <c r="BZ35" s="25">
        <v>1</v>
      </c>
      <c r="CA35" s="25">
        <v>3</v>
      </c>
      <c r="CB35" s="25">
        <v>0</v>
      </c>
      <c r="CC35" s="25">
        <v>1</v>
      </c>
      <c r="CD35" s="25">
        <v>0</v>
      </c>
      <c r="CE35" s="25">
        <v>0</v>
      </c>
      <c r="CF35" s="25">
        <v>0</v>
      </c>
      <c r="CG35" s="25">
        <v>0</v>
      </c>
      <c r="CH35" s="25">
        <v>0</v>
      </c>
      <c r="CI35" s="25">
        <v>0</v>
      </c>
      <c r="CJ35" s="25">
        <v>0</v>
      </c>
      <c r="CK35" s="25">
        <v>0</v>
      </c>
      <c r="CL35" s="25">
        <v>0</v>
      </c>
      <c r="CM35" s="25">
        <v>0</v>
      </c>
      <c r="CN35" s="25">
        <v>0</v>
      </c>
      <c r="CO35" s="25">
        <v>0</v>
      </c>
      <c r="CP35" s="25">
        <v>0</v>
      </c>
      <c r="CQ35" s="25">
        <v>0</v>
      </c>
      <c r="CR35" s="25">
        <v>0</v>
      </c>
      <c r="CS35" s="25">
        <v>0</v>
      </c>
      <c r="CT35" s="25">
        <v>0</v>
      </c>
      <c r="CU35" s="25">
        <v>0</v>
      </c>
      <c r="CV35" s="25">
        <v>0</v>
      </c>
      <c r="CW35" s="25">
        <v>0</v>
      </c>
      <c r="CX35" s="25">
        <v>0</v>
      </c>
      <c r="CY35" s="25">
        <v>0</v>
      </c>
      <c r="CZ35" s="25">
        <v>0</v>
      </c>
      <c r="DA35" s="25">
        <v>0</v>
      </c>
      <c r="DB35" s="25">
        <v>0</v>
      </c>
      <c r="DC35" s="25">
        <v>0</v>
      </c>
      <c r="DD35" s="25">
        <v>0</v>
      </c>
      <c r="DE35" s="25">
        <v>0</v>
      </c>
      <c r="DF35" s="25">
        <v>0</v>
      </c>
      <c r="DG35" s="25">
        <v>0</v>
      </c>
      <c r="DH35" s="25">
        <v>0</v>
      </c>
      <c r="DI35" s="25">
        <v>0</v>
      </c>
      <c r="DJ35" s="25">
        <v>0</v>
      </c>
      <c r="DK35" s="25">
        <v>0</v>
      </c>
      <c r="DL35" s="25">
        <v>0</v>
      </c>
      <c r="DM35" s="25">
        <v>0</v>
      </c>
      <c r="DN35" s="25">
        <v>1</v>
      </c>
      <c r="DO35" s="25">
        <v>0</v>
      </c>
      <c r="DP35" s="25">
        <v>0</v>
      </c>
      <c r="DQ35" s="25">
        <v>0</v>
      </c>
      <c r="DR35" s="25">
        <v>0</v>
      </c>
      <c r="DS35" s="25">
        <v>0</v>
      </c>
      <c r="DT35" s="25">
        <v>0</v>
      </c>
      <c r="DU35" s="25">
        <v>0</v>
      </c>
      <c r="DV35" s="25">
        <v>0</v>
      </c>
      <c r="DW35" s="25">
        <v>0</v>
      </c>
      <c r="DX35" s="25">
        <v>0</v>
      </c>
      <c r="DY35" s="25">
        <v>0</v>
      </c>
      <c r="DZ35" s="25">
        <v>0</v>
      </c>
      <c r="EA35" s="25">
        <v>0</v>
      </c>
      <c r="EB35" s="25">
        <v>0</v>
      </c>
      <c r="EC35" s="25">
        <v>0</v>
      </c>
      <c r="ED35" s="25">
        <v>0</v>
      </c>
      <c r="EE35" s="25">
        <v>0</v>
      </c>
      <c r="EF35" s="25">
        <v>0</v>
      </c>
      <c r="EG35" s="25">
        <v>0</v>
      </c>
      <c r="EH35" s="25">
        <v>0</v>
      </c>
      <c r="EI35" s="25">
        <v>0</v>
      </c>
      <c r="EJ35" s="25">
        <v>0</v>
      </c>
      <c r="EK35" s="25">
        <v>1</v>
      </c>
      <c r="EL35" s="25">
        <v>0</v>
      </c>
      <c r="EM35" s="25">
        <v>0</v>
      </c>
      <c r="EN35" s="25">
        <v>0</v>
      </c>
      <c r="EO35" s="25">
        <v>0</v>
      </c>
      <c r="EP35" s="25">
        <v>0</v>
      </c>
      <c r="EQ35" s="25">
        <v>0</v>
      </c>
      <c r="ER35" s="25">
        <v>0</v>
      </c>
      <c r="ES35" s="25">
        <v>0</v>
      </c>
      <c r="ET35" s="25">
        <v>0</v>
      </c>
      <c r="EU35" s="25">
        <v>0</v>
      </c>
      <c r="EV35" s="25">
        <v>0</v>
      </c>
      <c r="EW35" s="25">
        <v>0</v>
      </c>
      <c r="EX35" s="25">
        <v>0</v>
      </c>
      <c r="EY35" s="25">
        <v>0</v>
      </c>
      <c r="EZ35" s="25">
        <v>0</v>
      </c>
      <c r="FA35" s="25">
        <v>0</v>
      </c>
      <c r="FB35" s="25">
        <v>0</v>
      </c>
      <c r="FC35" s="25">
        <v>0</v>
      </c>
      <c r="FD35" s="25">
        <v>0</v>
      </c>
      <c r="FE35" s="25">
        <v>0</v>
      </c>
      <c r="FF35" s="25">
        <v>0</v>
      </c>
      <c r="FG35" s="25">
        <v>0</v>
      </c>
      <c r="FH35" s="25">
        <v>0</v>
      </c>
      <c r="FI35" s="25">
        <v>0</v>
      </c>
      <c r="FJ35" s="25">
        <v>0</v>
      </c>
      <c r="FK35" s="25">
        <v>0</v>
      </c>
      <c r="FL35" s="25">
        <v>0</v>
      </c>
      <c r="FM35" s="25">
        <v>0</v>
      </c>
      <c r="FN35" s="25">
        <v>0</v>
      </c>
      <c r="FO35" s="25">
        <v>0</v>
      </c>
      <c r="FP35" s="25">
        <v>0</v>
      </c>
      <c r="FQ35" s="25">
        <v>0</v>
      </c>
      <c r="FR35" s="25">
        <v>0</v>
      </c>
      <c r="FS35" s="25">
        <v>0</v>
      </c>
      <c r="FT35" s="25">
        <v>0</v>
      </c>
      <c r="FU35" s="25">
        <v>0</v>
      </c>
      <c r="FV35" s="25">
        <v>0</v>
      </c>
      <c r="FW35" s="25">
        <v>0</v>
      </c>
      <c r="FX35" s="25">
        <v>0</v>
      </c>
      <c r="FY35" s="25">
        <v>0</v>
      </c>
      <c r="FZ35" s="25">
        <v>0</v>
      </c>
      <c r="GA35" s="25">
        <v>0</v>
      </c>
      <c r="GB35" s="25">
        <v>1</v>
      </c>
      <c r="GC35" s="25">
        <v>0</v>
      </c>
      <c r="GD35" s="25">
        <v>0</v>
      </c>
      <c r="GE35" s="25">
        <v>0</v>
      </c>
      <c r="GF35" s="25">
        <v>0</v>
      </c>
      <c r="GG35" s="25">
        <v>0</v>
      </c>
      <c r="GH35" s="25">
        <v>0</v>
      </c>
      <c r="GI35" s="25">
        <v>0</v>
      </c>
      <c r="GJ35" s="25">
        <v>0</v>
      </c>
      <c r="GK35" s="25">
        <v>0</v>
      </c>
      <c r="GL35" s="25">
        <v>0</v>
      </c>
      <c r="GM35" s="25">
        <v>0</v>
      </c>
      <c r="GN35" s="25">
        <v>0</v>
      </c>
      <c r="GO35" s="25">
        <v>0</v>
      </c>
      <c r="GP35" s="25">
        <v>0</v>
      </c>
      <c r="GQ35" s="25">
        <v>0</v>
      </c>
      <c r="GR35" s="25">
        <v>0</v>
      </c>
      <c r="GS35" s="25">
        <v>0</v>
      </c>
      <c r="GT35" s="25">
        <v>0</v>
      </c>
      <c r="GU35" s="25">
        <v>0</v>
      </c>
      <c r="GV35" s="25">
        <v>0</v>
      </c>
      <c r="GW35" s="25">
        <v>0</v>
      </c>
      <c r="GX35" s="25">
        <v>0</v>
      </c>
      <c r="GY35" s="46">
        <v>0</v>
      </c>
      <c r="GZ35" s="25">
        <v>0</v>
      </c>
      <c r="HA35" s="25">
        <v>0</v>
      </c>
      <c r="HB35" s="25">
        <v>0</v>
      </c>
      <c r="HC35" s="25">
        <v>0</v>
      </c>
      <c r="HD35" s="25">
        <v>0</v>
      </c>
      <c r="HE35" s="25">
        <v>0</v>
      </c>
      <c r="HF35" s="25">
        <v>0</v>
      </c>
      <c r="HG35" s="25">
        <v>0</v>
      </c>
      <c r="HH35" s="25">
        <v>0</v>
      </c>
      <c r="HI35" s="25">
        <v>0</v>
      </c>
      <c r="HJ35" s="25">
        <v>0</v>
      </c>
      <c r="HK35" s="25">
        <v>0</v>
      </c>
      <c r="HL35" s="25">
        <v>0</v>
      </c>
      <c r="HM35" s="25">
        <v>0</v>
      </c>
      <c r="HN35" s="25">
        <v>0</v>
      </c>
      <c r="HO35" s="25">
        <v>0</v>
      </c>
      <c r="HP35" s="25">
        <v>0</v>
      </c>
      <c r="HQ35" s="25">
        <v>0</v>
      </c>
      <c r="HR35" s="25">
        <v>0</v>
      </c>
      <c r="HS35" s="25">
        <v>0</v>
      </c>
      <c r="HT35" s="25">
        <v>0</v>
      </c>
      <c r="HU35" s="25">
        <v>0</v>
      </c>
      <c r="HV35" s="25">
        <v>0</v>
      </c>
      <c r="HW35" s="25">
        <v>0</v>
      </c>
      <c r="HX35" s="25">
        <v>0</v>
      </c>
      <c r="HY35" s="25">
        <v>0</v>
      </c>
      <c r="HZ35" s="25">
        <v>0</v>
      </c>
      <c r="IA35" s="25">
        <v>0</v>
      </c>
      <c r="IB35" s="25">
        <v>0</v>
      </c>
      <c r="IC35" s="25">
        <v>0</v>
      </c>
      <c r="ID35" s="25">
        <v>0</v>
      </c>
      <c r="IE35" s="25">
        <v>0</v>
      </c>
      <c r="IF35" s="25">
        <v>0</v>
      </c>
      <c r="IG35" s="25">
        <v>0</v>
      </c>
      <c r="IH35" s="25">
        <v>0</v>
      </c>
      <c r="II35" s="25">
        <v>0</v>
      </c>
      <c r="IJ35" s="25">
        <v>0</v>
      </c>
      <c r="IK35" s="25">
        <v>0</v>
      </c>
      <c r="IL35" s="25">
        <v>0</v>
      </c>
      <c r="IM35" s="25">
        <v>0</v>
      </c>
      <c r="IN35" s="25">
        <v>0</v>
      </c>
      <c r="IO35" s="25">
        <v>0</v>
      </c>
      <c r="IP35" s="25">
        <v>0</v>
      </c>
      <c r="IQ35" s="25">
        <v>0</v>
      </c>
      <c r="IR35" s="25">
        <v>0</v>
      </c>
      <c r="IS35" s="25">
        <v>0</v>
      </c>
      <c r="IT35" s="25">
        <v>0</v>
      </c>
      <c r="IU35" s="25">
        <v>0</v>
      </c>
      <c r="IV35" s="25">
        <v>0</v>
      </c>
      <c r="IW35" s="25">
        <v>0</v>
      </c>
      <c r="IX35" s="25">
        <v>0</v>
      </c>
      <c r="IY35" s="25">
        <v>0</v>
      </c>
      <c r="IZ35" s="25">
        <v>0</v>
      </c>
      <c r="JA35" s="25">
        <v>0</v>
      </c>
      <c r="JB35" s="25">
        <v>0</v>
      </c>
      <c r="JC35" s="25">
        <v>0</v>
      </c>
      <c r="JD35" s="25">
        <v>0</v>
      </c>
      <c r="JE35" s="25">
        <v>0</v>
      </c>
      <c r="JF35" s="25">
        <v>0</v>
      </c>
      <c r="JG35" s="25">
        <v>0</v>
      </c>
      <c r="JH35" s="25">
        <v>0</v>
      </c>
      <c r="JI35" s="25">
        <v>0</v>
      </c>
      <c r="JJ35" s="25">
        <v>0</v>
      </c>
      <c r="JK35" s="25">
        <v>0</v>
      </c>
      <c r="JL35" s="25">
        <v>0</v>
      </c>
      <c r="JM35" s="25">
        <v>0</v>
      </c>
      <c r="JN35" s="25">
        <v>0</v>
      </c>
      <c r="JO35" s="25">
        <v>0</v>
      </c>
      <c r="JP35" s="25">
        <v>0</v>
      </c>
      <c r="JQ35" s="25">
        <v>0</v>
      </c>
      <c r="JR35" s="25">
        <v>0</v>
      </c>
      <c r="JS35" s="25">
        <v>0</v>
      </c>
      <c r="JT35" s="25">
        <v>0</v>
      </c>
      <c r="JU35" s="25">
        <v>0</v>
      </c>
      <c r="JV35" s="25">
        <v>0</v>
      </c>
      <c r="JW35" s="25">
        <v>0</v>
      </c>
      <c r="JX35" s="25">
        <v>0</v>
      </c>
      <c r="JY35" s="25">
        <v>0</v>
      </c>
      <c r="JZ35" s="25">
        <v>0</v>
      </c>
      <c r="KA35" s="25">
        <v>0</v>
      </c>
      <c r="KB35" s="25">
        <v>0</v>
      </c>
      <c r="KC35" s="25">
        <v>0</v>
      </c>
      <c r="KD35" s="25">
        <v>0</v>
      </c>
      <c r="KE35" s="25">
        <v>0</v>
      </c>
      <c r="KF35" s="25">
        <v>0</v>
      </c>
      <c r="KG35" s="25">
        <v>0</v>
      </c>
      <c r="KH35" s="25">
        <v>0</v>
      </c>
      <c r="KI35" s="25">
        <v>0</v>
      </c>
      <c r="KJ35" s="25">
        <v>0</v>
      </c>
      <c r="KK35" s="25">
        <v>0</v>
      </c>
      <c r="KL35" s="25">
        <v>0</v>
      </c>
      <c r="KM35" s="25">
        <v>0</v>
      </c>
      <c r="KN35" s="25">
        <v>0</v>
      </c>
      <c r="KO35" s="25">
        <v>0</v>
      </c>
      <c r="KP35" s="25">
        <v>0</v>
      </c>
      <c r="KQ35" s="25">
        <v>0</v>
      </c>
      <c r="KR35" s="25">
        <v>0</v>
      </c>
      <c r="KS35" s="25">
        <v>0</v>
      </c>
      <c r="KT35" s="25">
        <v>0</v>
      </c>
      <c r="KU35" s="25">
        <v>0</v>
      </c>
      <c r="KV35" s="25">
        <v>0</v>
      </c>
      <c r="KW35" s="25">
        <v>0</v>
      </c>
      <c r="KX35" s="25">
        <v>0</v>
      </c>
      <c r="KY35" s="25">
        <v>0</v>
      </c>
      <c r="KZ35" s="25">
        <v>0</v>
      </c>
      <c r="LA35" s="25">
        <v>0</v>
      </c>
      <c r="LB35" s="25">
        <v>0</v>
      </c>
      <c r="LC35" s="25">
        <v>0</v>
      </c>
      <c r="LD35" s="25">
        <v>0</v>
      </c>
      <c r="LE35" s="25">
        <v>0</v>
      </c>
      <c r="LF35" s="25">
        <v>0</v>
      </c>
      <c r="LG35" s="25">
        <v>0</v>
      </c>
      <c r="LH35" s="25">
        <v>0</v>
      </c>
      <c r="LI35" s="25">
        <v>0</v>
      </c>
      <c r="LJ35" s="25">
        <v>0</v>
      </c>
      <c r="LK35" s="25">
        <v>0</v>
      </c>
      <c r="LL35" s="25">
        <v>0</v>
      </c>
      <c r="LM35" s="25">
        <v>0</v>
      </c>
      <c r="LN35" s="278">
        <f ca="1">$A35 - DeathsTimeS!Sweden100dt + 1</f>
        <v>-32</v>
      </c>
      <c r="LO35" s="366">
        <f ca="1">INDEX(OFFSET(DeathsTimeS!HeadRow,ROW()-ROW(DeathsTimeS!HeadRow),0,1,COLUMNS(DeathsTimeS!HeadRow)),1,MATCH(LO$5,DeathsTimeS!HeadRow,0))/LO$8</f>
        <v>0</v>
      </c>
      <c r="LP35" s="278">
        <f ca="1">$A35 - DeathsTimeS!Spain100dt</f>
        <v>-25</v>
      </c>
      <c r="LQ35" s="11">
        <f ca="1">INDEX(OFFSET(DeathsTimeS!HeadRow,ROW()-ROW(DeathsTimeS!HeadRow),0,1,COLUMNS(DeathsTimeS!HeadRow)),1,MATCH(LQ$5,DeathsTimeS!HeadRow,0))/LQ$8</f>
        <v>0</v>
      </c>
      <c r="LR35" s="278">
        <f ca="1">$A35 - DeathsTimeS!Victoria100dt</f>
        <v>-48</v>
      </c>
      <c r="LS35" s="11">
        <f ca="1">INDEX(OFFSET(DeathsTimeS!HeadRow,ROW()-ROW(DeathsTimeS!HeadRow),0,1,COLUMNS(DeathsTimeS!HeadRow)),1,MATCH(LS$5,DeathsTimeS!HeadRow,0))/LS$8</f>
        <v>0</v>
      </c>
      <c r="LT35" s="278">
        <f ca="1">$A35 - DeathsTimeS!Iran100dt</f>
        <v>-18</v>
      </c>
      <c r="LU35" s="11">
        <f ca="1">INDEX(OFFSET(DeathsTimeS!HeadRow,ROW()-ROW(DeathsTimeS!HeadRow),0,1,COLUMNS(DeathsTimeS!HeadRow)),1,MATCH(LU$5,DeathsTimeS!HeadRow,0))/LU$8</f>
        <v>0</v>
      </c>
      <c r="LV35" s="278">
        <f ca="1">$A35 - DeathsTimeS!Japan100dt</f>
        <v>-59</v>
      </c>
      <c r="LW35" s="11">
        <f ca="1">INDEX(OFFSET(DeathsTimeS!HeadRow,ROW()-ROW(DeathsTimeS!HeadRow),0,1,COLUMNS(DeathsTimeS!HeadRow)),1,MATCH(LW$5,DeathsTimeS!HeadRow,0))/LW$8</f>
        <v>7.9017525794856464E-2</v>
      </c>
      <c r="LX35" s="278">
        <f ca="1">$A35 - DeathsTimeS!Queensland100dt</f>
        <v>-63</v>
      </c>
      <c r="LY35" s="11">
        <f ca="1">INDEX(OFFSET(DeathsTimeS!HeadRow,ROW()-ROW(DeathsTimeS!HeadRow),0,1,COLUMNS(DeathsTimeS!HeadRow)),1,MATCH(LY$5,DeathsTimeS!HeadRow,0))/LY$8</f>
        <v>0</v>
      </c>
      <c r="LZ35" s="278">
        <f ca="1">$A35 - DeathsTimeS!Tasmania100dt</f>
        <v>-45</v>
      </c>
      <c r="MA35" s="11">
        <f ca="1">INDEX(OFFSET(DeathsTimeS!HeadRow,ROW()-ROW(DeathsTimeS!HeadRow),0,1,COLUMNS(DeathsTimeS!HeadRow)),1,MATCH(MA$5,DeathsTimeS!HeadRow,0))/MA$8</f>
        <v>0</v>
      </c>
      <c r="MB35" s="278">
        <f ca="1">$A35 - DeathsTimeS!SouthAustralia100dt</f>
        <v>-53</v>
      </c>
      <c r="MC35" s="11">
        <f ca="1">INDEX(OFFSET(DeathsTimeS!HeadRow,ROW()-ROW(DeathsTimeS!HeadRow),0,1,COLUMNS(DeathsTimeS!HeadRow)),1,MATCH(MC$5,DeathsTimeS!HeadRow,0))/MC$8</f>
        <v>0</v>
      </c>
      <c r="MD35" s="278">
        <f ca="1">$A35 - DeathsTimeS!WesternAustralia100dt</f>
        <v>-50</v>
      </c>
      <c r="ME35" s="11">
        <f ca="1">INDEX(OFFSET(DeathsTimeS!HeadRow,ROW()-ROW(DeathsTimeS!HeadRow),0,1,COLUMNS(DeathsTimeS!HeadRow)),1,MATCH(ME$5,DeathsTimeS!HeadRow,0))/ME$8</f>
        <v>0</v>
      </c>
      <c r="MF35" s="278">
        <f ca="1">$A35 - DeathsTimeS!NewSouthWales100dt</f>
        <v>-46</v>
      </c>
      <c r="MG35" s="11">
        <f ca="1">INDEX(OFFSET(DeathsTimeS!HeadRow,ROW()-ROW(DeathsTimeS!HeadRow),0,1,COLUMNS(DeathsTimeS!HeadRow)),1,MATCH(MG$5,DeathsTimeS!HeadRow,0))/MG$8</f>
        <v>0</v>
      </c>
      <c r="MH35" s="278">
        <f ca="1">$A35 - DeathsTimeS!NewYork100dt</f>
        <v>-30</v>
      </c>
      <c r="MI35" s="11">
        <f ca="1">INDEX(OFFSET(DeathsTimeS!HeadRow,ROW()-ROW(DeathsTimeS!HeadRow),0,1,COLUMNS(DeathsTimeS!HeadRow)),1,MATCH(MI$5,DeathsTimeS!HeadRow,0))/MI$8</f>
        <v>0</v>
      </c>
      <c r="MJ35" s="278">
        <f ca="1">$A35 - DeathsTimeS!Italy100dt</f>
        <v>-17</v>
      </c>
      <c r="MK35" s="11">
        <f ca="1">INDEX(OFFSET(DeathsTimeS!HeadRow,ROW()-ROW(DeathsTimeS!HeadRow),0,1,COLUMNS(DeathsTimeS!HeadRow)),1,MATCH(MK$5,DeathsTimeS!HeadRow,0))/MK$8</f>
        <v>0</v>
      </c>
      <c r="ML35" s="278">
        <f ca="1">$A35 - DeathsTimeS!AustralianCapitalTerritory100dt</f>
        <v>-44</v>
      </c>
      <c r="MM35" s="11">
        <f ca="1">INDEX(OFFSET(DeathsTimeS!HeadRow,ROW()-ROW(DeathsTimeS!HeadRow),0,1,COLUMNS(DeathsTimeS!HeadRow)),1,MATCH(MM$5,DeathsTimeS!HeadRow,0))/MM$8</f>
        <v>0</v>
      </c>
      <c r="MN35" s="278">
        <f ca="1">IF(DeathsTimeS!NorthernTerritory100dt&gt;0,$A35 - DeathsTimeS!NorthernTerritory100dt,"")</f>
        <v>-72</v>
      </c>
      <c r="MO35" s="11">
        <f ca="1">INDEX(OFFSET(DeathsTimeS!HeadRow,ROW()-ROW(DeathsTimeS!HeadRow),0,1,COLUMNS(DeathsTimeS!HeadRow)),1,MATCH(MO$5,DeathsTimeS!HeadRow,0))/MO$8</f>
        <v>0</v>
      </c>
      <c r="MP35" s="278">
        <f ca="1">$A35 - DeathsTimeS!SouthAfrica100dt + 1</f>
        <v>-64</v>
      </c>
      <c r="MQ35" s="20">
        <f ca="1">INDEX(OFFSET(DeathsTimeS!HeadRow,ROW()-ROW(DeathsTimeS!HeadRow),0,1,COLUMNS(DeathsTimeS!HeadRow)),1,MATCH(MQ$5,DeathsTimeS!HeadRow,0))/MQ$8</f>
        <v>0</v>
      </c>
      <c r="MR35" s="278">
        <f ca="1">$A35 - DeathsTimeS!Germany100dt + 1</f>
        <v>-34</v>
      </c>
      <c r="MS35" s="20">
        <f ca="1">INDEX(OFFSET(DeathsTimeS!HeadRow,ROW()-ROW(DeathsTimeS!HeadRow),0,1,COLUMNS(DeathsTimeS!HeadRow)),1,MATCH(MS$5,DeathsTimeS!HeadRow,0))/MS$8</f>
        <v>0</v>
      </c>
      <c r="MT35" s="278">
        <f ca="1">$A35 - DeathsTimeS!Ireland100dt + 1</f>
        <v>-36</v>
      </c>
      <c r="MU35" s="73">
        <f ca="1">INDEX(OFFSET(DeathsTimeS!HeadRow,ROW()-ROW(DeathsTimeS!HeadRow),0,1,COLUMNS(DeathsTimeS!HeadRow)),1,MATCH(MU$5,DeathsTimeS!HeadRow,0))/MU$8</f>
        <v>0</v>
      </c>
      <c r="MV35" s="278">
        <f ca="1">$A35 - DeathsTimeS!UnitedKingdom100dt + 1</f>
        <v>-30</v>
      </c>
      <c r="MW35" s="73">
        <f ca="1">INDEX(OFFSET(DeathsTimeS!HeadRow,ROW()-ROW(DeathsTimeS!HeadRow),0,1,COLUMNS(DeathsTimeS!HeadRow)),1,MATCH(MW$5,DeathsTimeS!HeadRow,0))/MW$8</f>
        <v>0</v>
      </c>
      <c r="MX35" s="278">
        <f ca="1">$A35 - DeathsTimeS!Denmark100dt + 1</f>
        <v>-32</v>
      </c>
      <c r="MY35" s="73">
        <f ca="1">INDEX(OFFSET(DeathsTimeS!HeadRow,ROW()-ROW(DeathsTimeS!HeadRow),0,1,COLUMNS(DeathsTimeS!HeadRow)),1,MATCH(MY$5,DeathsTimeS!HeadRow,0))/MY$8</f>
        <v>0</v>
      </c>
      <c r="MZ35" s="278">
        <f ca="1">$A35 - DeathsTimeS!US100dt + 1</f>
        <v>-33</v>
      </c>
      <c r="NA35" s="73">
        <f ca="1">INDEX(OFFSET(DeathsTimeS!HeadRow,ROW()-ROW(DeathsTimeS!HeadRow),0,1,COLUMNS(DeathsTimeS!HeadRow)),1,MATCH(NA$5,DeathsTimeS!HeadRow,0))/NA$8</f>
        <v>0</v>
      </c>
      <c r="NB35" s="278">
        <f ca="1">$A35 - DeathsTimeS!AustraliaSum100dt + 1</f>
        <v>-39</v>
      </c>
      <c r="NC35" s="366">
        <f t="shared" si="6"/>
        <v>0</v>
      </c>
      <c r="ND35" s="278">
        <f ca="1">$A35 - DeathsTimeS!Taiwan100dt + 1</f>
        <v>-71</v>
      </c>
      <c r="NE35" s="366">
        <f ca="1">INDEX(OFFSET(DeathsTimeS!HeadRow,ROW()-ROW(DeathsTimeS!HeadRow),0,1,COLUMNS(DeathsTimeS!HeadRow)),1,MATCH(NE$5,DeathsTimeS!HeadRow,0))/NE$8</f>
        <v>0</v>
      </c>
      <c r="NF35" s="278">
        <f ca="1">$A35 - DeathsTimeS!Hubei100dt + 1</f>
        <v>20</v>
      </c>
      <c r="NG35" s="366">
        <f ca="1">INDEX(OFFSET(DeathsTimeS!HeadRow,ROW()-ROW(DeathsTimeS!HeadRow),0,1,COLUMNS(DeathsTimeS!HeadRow)),1,MATCH(NG$5,DeathsTimeS!HeadRow,0))/NG$8</f>
        <v>272.82051282051282</v>
      </c>
      <c r="NH35" s="278">
        <f ca="1">$A35 - DeathsTimeS!HongKong100dt + 1</f>
        <v>-71</v>
      </c>
      <c r="NI35" s="366">
        <f ca="1">INDEX(OFFSET(DeathsTimeS!HeadRow,ROW()-ROW(DeathsTimeS!HeadRow),0,1,COLUMNS(DeathsTimeS!HeadRow)),1,MATCH(NI$5,DeathsTimeS!HeadRow,0))/NI$8</f>
        <v>1.3421017313112333</v>
      </c>
    </row>
    <row r="36" spans="1:373" x14ac:dyDescent="0.25">
      <c r="A36" s="156">
        <v>43877</v>
      </c>
      <c r="B36" s="25">
        <v>0</v>
      </c>
      <c r="C36" s="25">
        <v>0</v>
      </c>
      <c r="D36" s="25">
        <v>0</v>
      </c>
      <c r="E36" s="25">
        <v>0</v>
      </c>
      <c r="F36" s="25">
        <v>0</v>
      </c>
      <c r="G36" s="25">
        <v>0</v>
      </c>
      <c r="H36" s="25">
        <v>0</v>
      </c>
      <c r="I36" s="25">
        <v>0</v>
      </c>
      <c r="J36" s="25">
        <v>0</v>
      </c>
      <c r="K36" s="25">
        <v>0</v>
      </c>
      <c r="L36" s="25">
        <v>0</v>
      </c>
      <c r="M36" s="25">
        <v>0</v>
      </c>
      <c r="N36" s="25">
        <v>0</v>
      </c>
      <c r="O36" s="25">
        <v>0</v>
      </c>
      <c r="P36" s="25">
        <v>0</v>
      </c>
      <c r="Q36" s="25">
        <v>0</v>
      </c>
      <c r="R36" s="25">
        <v>0</v>
      </c>
      <c r="S36" s="25">
        <v>0</v>
      </c>
      <c r="T36" s="25">
        <v>0</v>
      </c>
      <c r="U36" s="25">
        <v>0</v>
      </c>
      <c r="V36" s="25">
        <v>0</v>
      </c>
      <c r="W36" s="25">
        <v>0</v>
      </c>
      <c r="X36" s="25">
        <v>0</v>
      </c>
      <c r="Y36" s="25">
        <v>0</v>
      </c>
      <c r="Z36" s="25">
        <v>0</v>
      </c>
      <c r="AA36" s="25">
        <v>0</v>
      </c>
      <c r="AB36" s="25">
        <v>0</v>
      </c>
      <c r="AC36" s="25">
        <v>0</v>
      </c>
      <c r="AD36" s="25">
        <v>0</v>
      </c>
      <c r="AE36" s="25">
        <v>0</v>
      </c>
      <c r="AF36" s="25">
        <v>0</v>
      </c>
      <c r="AG36" s="25">
        <v>0</v>
      </c>
      <c r="AH36" s="25">
        <v>0</v>
      </c>
      <c r="AI36" s="25">
        <v>0</v>
      </c>
      <c r="AJ36" s="25">
        <v>0</v>
      </c>
      <c r="AK36" s="25">
        <v>0</v>
      </c>
      <c r="AL36" s="25">
        <v>0</v>
      </c>
      <c r="AM36" s="25">
        <v>0</v>
      </c>
      <c r="AN36" s="25">
        <v>0</v>
      </c>
      <c r="AO36" s="25">
        <v>0</v>
      </c>
      <c r="AP36" s="25">
        <v>0</v>
      </c>
      <c r="AQ36" s="25">
        <v>0</v>
      </c>
      <c r="AR36" s="25">
        <v>0</v>
      </c>
      <c r="AS36" s="25">
        <v>0</v>
      </c>
      <c r="AT36" s="25">
        <v>0</v>
      </c>
      <c r="AU36" s="25">
        <v>0</v>
      </c>
      <c r="AV36" s="25">
        <v>0</v>
      </c>
      <c r="AW36" s="25">
        <v>0</v>
      </c>
      <c r="AX36" s="25">
        <v>0</v>
      </c>
      <c r="AY36" s="25">
        <v>6</v>
      </c>
      <c r="AZ36" s="25">
        <v>4</v>
      </c>
      <c r="BA36" s="25">
        <v>5</v>
      </c>
      <c r="BB36" s="25">
        <v>0</v>
      </c>
      <c r="BC36" s="25">
        <v>2</v>
      </c>
      <c r="BD36" s="25">
        <v>2</v>
      </c>
      <c r="BE36" s="25">
        <v>2</v>
      </c>
      <c r="BF36" s="25">
        <v>1</v>
      </c>
      <c r="BG36" s="25">
        <v>4</v>
      </c>
      <c r="BH36" s="25">
        <v>3</v>
      </c>
      <c r="BI36" s="25">
        <v>11</v>
      </c>
      <c r="BJ36" s="25">
        <v>13</v>
      </c>
      <c r="BK36" s="25">
        <v>1</v>
      </c>
      <c r="BL36" s="25">
        <v>1696</v>
      </c>
      <c r="BM36" s="25">
        <v>3</v>
      </c>
      <c r="BN36" s="25">
        <v>0</v>
      </c>
      <c r="BO36" s="25">
        <v>0</v>
      </c>
      <c r="BP36" s="25">
        <v>1</v>
      </c>
      <c r="BQ36" s="25">
        <v>1</v>
      </c>
      <c r="BR36" s="25">
        <v>1</v>
      </c>
      <c r="BS36" s="25">
        <v>0</v>
      </c>
      <c r="BT36" s="25">
        <v>0</v>
      </c>
      <c r="BU36" s="25">
        <v>0</v>
      </c>
      <c r="BV36" s="25">
        <v>0</v>
      </c>
      <c r="BW36" s="25">
        <v>2</v>
      </c>
      <c r="BX36" s="25">
        <v>1</v>
      </c>
      <c r="BY36" s="25">
        <v>0</v>
      </c>
      <c r="BZ36" s="25">
        <v>3</v>
      </c>
      <c r="CA36" s="25">
        <v>3</v>
      </c>
      <c r="CB36" s="25">
        <v>0</v>
      </c>
      <c r="CC36" s="25">
        <v>1</v>
      </c>
      <c r="CD36" s="25">
        <v>0</v>
      </c>
      <c r="CE36" s="25">
        <v>0</v>
      </c>
      <c r="CF36" s="25">
        <v>0</v>
      </c>
      <c r="CG36" s="25">
        <v>0</v>
      </c>
      <c r="CH36" s="25">
        <v>0</v>
      </c>
      <c r="CI36" s="25">
        <v>0</v>
      </c>
      <c r="CJ36" s="25">
        <v>0</v>
      </c>
      <c r="CK36" s="25">
        <v>0</v>
      </c>
      <c r="CL36" s="25">
        <v>0</v>
      </c>
      <c r="CM36" s="25">
        <v>0</v>
      </c>
      <c r="CN36" s="25">
        <v>0</v>
      </c>
      <c r="CO36" s="25">
        <v>0</v>
      </c>
      <c r="CP36" s="25">
        <v>0</v>
      </c>
      <c r="CQ36" s="25">
        <v>0</v>
      </c>
      <c r="CR36" s="25">
        <v>0</v>
      </c>
      <c r="CS36" s="25">
        <v>0</v>
      </c>
      <c r="CT36" s="25">
        <v>0</v>
      </c>
      <c r="CU36" s="25">
        <v>0</v>
      </c>
      <c r="CV36" s="25">
        <v>0</v>
      </c>
      <c r="CW36" s="25">
        <v>0</v>
      </c>
      <c r="CX36" s="25">
        <v>0</v>
      </c>
      <c r="CY36" s="25">
        <v>0</v>
      </c>
      <c r="CZ36" s="25">
        <v>0</v>
      </c>
      <c r="DA36" s="25">
        <v>0</v>
      </c>
      <c r="DB36" s="25">
        <v>0</v>
      </c>
      <c r="DC36" s="25">
        <v>0</v>
      </c>
      <c r="DD36" s="25">
        <v>0</v>
      </c>
      <c r="DE36" s="25">
        <v>0</v>
      </c>
      <c r="DF36" s="25">
        <v>0</v>
      </c>
      <c r="DG36" s="25">
        <v>0</v>
      </c>
      <c r="DH36" s="25">
        <v>0</v>
      </c>
      <c r="DI36" s="25">
        <v>0</v>
      </c>
      <c r="DJ36" s="25">
        <v>0</v>
      </c>
      <c r="DK36" s="25">
        <v>0</v>
      </c>
      <c r="DL36" s="25">
        <v>0</v>
      </c>
      <c r="DM36" s="25">
        <v>0</v>
      </c>
      <c r="DN36" s="25">
        <v>1</v>
      </c>
      <c r="DO36" s="25">
        <v>0</v>
      </c>
      <c r="DP36" s="25">
        <v>0</v>
      </c>
      <c r="DQ36" s="25">
        <v>0</v>
      </c>
      <c r="DR36" s="25">
        <v>0</v>
      </c>
      <c r="DS36" s="25">
        <v>0</v>
      </c>
      <c r="DT36" s="25">
        <v>0</v>
      </c>
      <c r="DU36" s="25">
        <v>0</v>
      </c>
      <c r="DV36" s="25">
        <v>0</v>
      </c>
      <c r="DW36" s="25">
        <v>0</v>
      </c>
      <c r="DX36" s="25">
        <v>0</v>
      </c>
      <c r="DY36" s="25">
        <v>0</v>
      </c>
      <c r="DZ36" s="25">
        <v>0</v>
      </c>
      <c r="EA36" s="25">
        <v>0</v>
      </c>
      <c r="EB36" s="25">
        <v>0</v>
      </c>
      <c r="EC36" s="25">
        <v>0</v>
      </c>
      <c r="ED36" s="25">
        <v>0</v>
      </c>
      <c r="EE36" s="25">
        <v>0</v>
      </c>
      <c r="EF36" s="25">
        <v>0</v>
      </c>
      <c r="EG36" s="25">
        <v>0</v>
      </c>
      <c r="EH36" s="25">
        <v>0</v>
      </c>
      <c r="EI36" s="25">
        <v>0</v>
      </c>
      <c r="EJ36" s="25">
        <v>0</v>
      </c>
      <c r="EK36" s="25">
        <v>1</v>
      </c>
      <c r="EL36" s="25">
        <v>0</v>
      </c>
      <c r="EM36" s="25">
        <v>0</v>
      </c>
      <c r="EN36" s="25">
        <v>0</v>
      </c>
      <c r="EO36" s="25">
        <v>0</v>
      </c>
      <c r="EP36" s="25">
        <v>0</v>
      </c>
      <c r="EQ36" s="25">
        <v>0</v>
      </c>
      <c r="ER36" s="25">
        <v>0</v>
      </c>
      <c r="ES36" s="25">
        <v>0</v>
      </c>
      <c r="ET36" s="25">
        <v>0</v>
      </c>
      <c r="EU36" s="25">
        <v>0</v>
      </c>
      <c r="EV36" s="25">
        <v>0</v>
      </c>
      <c r="EW36" s="25">
        <v>0</v>
      </c>
      <c r="EX36" s="25">
        <v>0</v>
      </c>
      <c r="EY36" s="25">
        <v>0</v>
      </c>
      <c r="EZ36" s="25">
        <v>0</v>
      </c>
      <c r="FA36" s="25">
        <v>0</v>
      </c>
      <c r="FB36" s="25">
        <v>0</v>
      </c>
      <c r="FC36" s="25">
        <v>0</v>
      </c>
      <c r="FD36" s="25">
        <v>0</v>
      </c>
      <c r="FE36" s="25">
        <v>0</v>
      </c>
      <c r="FF36" s="25">
        <v>0</v>
      </c>
      <c r="FG36" s="25">
        <v>0</v>
      </c>
      <c r="FH36" s="25">
        <v>0</v>
      </c>
      <c r="FI36" s="25">
        <v>0</v>
      </c>
      <c r="FJ36" s="25">
        <v>0</v>
      </c>
      <c r="FK36" s="25">
        <v>0</v>
      </c>
      <c r="FL36" s="25">
        <v>0</v>
      </c>
      <c r="FM36" s="25">
        <v>0</v>
      </c>
      <c r="FN36" s="25">
        <v>0</v>
      </c>
      <c r="FO36" s="25">
        <v>0</v>
      </c>
      <c r="FP36" s="25">
        <v>0</v>
      </c>
      <c r="FQ36" s="25">
        <v>0</v>
      </c>
      <c r="FR36" s="25">
        <v>0</v>
      </c>
      <c r="FS36" s="25">
        <v>0</v>
      </c>
      <c r="FT36" s="25">
        <v>0</v>
      </c>
      <c r="FU36" s="25">
        <v>0</v>
      </c>
      <c r="FV36" s="25">
        <v>0</v>
      </c>
      <c r="FW36" s="25">
        <v>0</v>
      </c>
      <c r="FX36" s="25">
        <v>0</v>
      </c>
      <c r="FY36" s="25">
        <v>0</v>
      </c>
      <c r="FZ36" s="25">
        <v>0</v>
      </c>
      <c r="GA36" s="25">
        <v>0</v>
      </c>
      <c r="GB36" s="25">
        <v>1</v>
      </c>
      <c r="GC36" s="25">
        <v>0</v>
      </c>
      <c r="GD36" s="25">
        <v>0</v>
      </c>
      <c r="GE36" s="25">
        <v>0</v>
      </c>
      <c r="GF36" s="25">
        <v>0</v>
      </c>
      <c r="GG36" s="25">
        <v>0</v>
      </c>
      <c r="GH36" s="25">
        <v>0</v>
      </c>
      <c r="GI36" s="25">
        <v>0</v>
      </c>
      <c r="GJ36" s="25">
        <v>0</v>
      </c>
      <c r="GK36" s="25">
        <v>0</v>
      </c>
      <c r="GL36" s="25">
        <v>0</v>
      </c>
      <c r="GM36" s="25">
        <v>0</v>
      </c>
      <c r="GN36" s="25">
        <v>0</v>
      </c>
      <c r="GO36" s="25">
        <v>0</v>
      </c>
      <c r="GP36" s="25">
        <v>0</v>
      </c>
      <c r="GQ36" s="25">
        <v>0</v>
      </c>
      <c r="GR36" s="25">
        <v>0</v>
      </c>
      <c r="GS36" s="25">
        <v>0</v>
      </c>
      <c r="GT36" s="25">
        <v>0</v>
      </c>
      <c r="GU36" s="25">
        <v>0</v>
      </c>
      <c r="GV36" s="25">
        <v>0</v>
      </c>
      <c r="GW36" s="25">
        <v>0</v>
      </c>
      <c r="GX36" s="25">
        <v>0</v>
      </c>
      <c r="GY36" s="46">
        <v>0</v>
      </c>
      <c r="GZ36" s="25">
        <v>0</v>
      </c>
      <c r="HA36" s="25">
        <v>1</v>
      </c>
      <c r="HB36" s="25">
        <v>0</v>
      </c>
      <c r="HC36" s="25">
        <v>0</v>
      </c>
      <c r="HD36" s="25">
        <v>0</v>
      </c>
      <c r="HE36" s="25">
        <v>0</v>
      </c>
      <c r="HF36" s="25">
        <v>0</v>
      </c>
      <c r="HG36" s="25">
        <v>0</v>
      </c>
      <c r="HH36" s="25">
        <v>0</v>
      </c>
      <c r="HI36" s="25">
        <v>0</v>
      </c>
      <c r="HJ36" s="25">
        <v>0</v>
      </c>
      <c r="HK36" s="25">
        <v>0</v>
      </c>
      <c r="HL36" s="25">
        <v>0</v>
      </c>
      <c r="HM36" s="25">
        <v>0</v>
      </c>
      <c r="HN36" s="25">
        <v>0</v>
      </c>
      <c r="HO36" s="25">
        <v>0</v>
      </c>
      <c r="HP36" s="25">
        <v>0</v>
      </c>
      <c r="HQ36" s="25">
        <v>0</v>
      </c>
      <c r="HR36" s="25">
        <v>0</v>
      </c>
      <c r="HS36" s="25">
        <v>0</v>
      </c>
      <c r="HT36" s="25">
        <v>0</v>
      </c>
      <c r="HU36" s="25">
        <v>0</v>
      </c>
      <c r="HV36" s="25">
        <v>0</v>
      </c>
      <c r="HW36" s="25">
        <v>0</v>
      </c>
      <c r="HX36" s="25">
        <v>0</v>
      </c>
      <c r="HY36" s="25">
        <v>0</v>
      </c>
      <c r="HZ36" s="25">
        <v>0</v>
      </c>
      <c r="IA36" s="25">
        <v>0</v>
      </c>
      <c r="IB36" s="25">
        <v>0</v>
      </c>
      <c r="IC36" s="25">
        <v>0</v>
      </c>
      <c r="ID36" s="25">
        <v>0</v>
      </c>
      <c r="IE36" s="25">
        <v>0</v>
      </c>
      <c r="IF36" s="25">
        <v>0</v>
      </c>
      <c r="IG36" s="25">
        <v>0</v>
      </c>
      <c r="IH36" s="25">
        <v>0</v>
      </c>
      <c r="II36" s="25">
        <v>0</v>
      </c>
      <c r="IJ36" s="25">
        <v>0</v>
      </c>
      <c r="IK36" s="25">
        <v>0</v>
      </c>
      <c r="IL36" s="25">
        <v>0</v>
      </c>
      <c r="IM36" s="25">
        <v>0</v>
      </c>
      <c r="IN36" s="25">
        <v>0</v>
      </c>
      <c r="IO36" s="25">
        <v>0</v>
      </c>
      <c r="IP36" s="25">
        <v>0</v>
      </c>
      <c r="IQ36" s="25">
        <v>0</v>
      </c>
      <c r="IR36" s="25">
        <v>0</v>
      </c>
      <c r="IS36" s="25">
        <v>0</v>
      </c>
      <c r="IT36" s="25">
        <v>0</v>
      </c>
      <c r="IU36" s="25">
        <v>0</v>
      </c>
      <c r="IV36" s="25">
        <v>0</v>
      </c>
      <c r="IW36" s="25">
        <v>0</v>
      </c>
      <c r="IX36" s="25">
        <v>0</v>
      </c>
      <c r="IY36" s="25">
        <v>0</v>
      </c>
      <c r="IZ36" s="25">
        <v>0</v>
      </c>
      <c r="JA36" s="25">
        <v>0</v>
      </c>
      <c r="JB36" s="25">
        <v>0</v>
      </c>
      <c r="JC36" s="25">
        <v>0</v>
      </c>
      <c r="JD36" s="25">
        <v>0</v>
      </c>
      <c r="JE36" s="25">
        <v>0</v>
      </c>
      <c r="JF36" s="25">
        <v>0</v>
      </c>
      <c r="JG36" s="25">
        <v>0</v>
      </c>
      <c r="JH36" s="25">
        <v>0</v>
      </c>
      <c r="JI36" s="25">
        <v>0</v>
      </c>
      <c r="JJ36" s="25">
        <v>0</v>
      </c>
      <c r="JK36" s="25">
        <v>0</v>
      </c>
      <c r="JL36" s="25">
        <v>0</v>
      </c>
      <c r="JM36" s="25">
        <v>0</v>
      </c>
      <c r="JN36" s="25">
        <v>0</v>
      </c>
      <c r="JO36" s="25">
        <v>0</v>
      </c>
      <c r="JP36" s="25">
        <v>0</v>
      </c>
      <c r="JQ36" s="25">
        <v>0</v>
      </c>
      <c r="JR36" s="25">
        <v>0</v>
      </c>
      <c r="JS36" s="25">
        <v>0</v>
      </c>
      <c r="JT36" s="25">
        <v>0</v>
      </c>
      <c r="JU36" s="25">
        <v>0</v>
      </c>
      <c r="JV36" s="25">
        <v>0</v>
      </c>
      <c r="JW36" s="25">
        <v>0</v>
      </c>
      <c r="JX36" s="25">
        <v>0</v>
      </c>
      <c r="JY36" s="25">
        <v>0</v>
      </c>
      <c r="JZ36" s="25">
        <v>0</v>
      </c>
      <c r="KA36" s="25">
        <v>0</v>
      </c>
      <c r="KB36" s="25">
        <v>0</v>
      </c>
      <c r="KC36" s="25">
        <v>0</v>
      </c>
      <c r="KD36" s="25">
        <v>0</v>
      </c>
      <c r="KE36" s="25">
        <v>0</v>
      </c>
      <c r="KF36" s="25">
        <v>0</v>
      </c>
      <c r="KG36" s="25">
        <v>0</v>
      </c>
      <c r="KH36" s="25">
        <v>0</v>
      </c>
      <c r="KI36" s="25">
        <v>0</v>
      </c>
      <c r="KJ36" s="25">
        <v>0</v>
      </c>
      <c r="KK36" s="25">
        <v>0</v>
      </c>
      <c r="KL36" s="25">
        <v>0</v>
      </c>
      <c r="KM36" s="25">
        <v>0</v>
      </c>
      <c r="KN36" s="25">
        <v>0</v>
      </c>
      <c r="KO36" s="25">
        <v>0</v>
      </c>
      <c r="KP36" s="25">
        <v>0</v>
      </c>
      <c r="KQ36" s="25">
        <v>0</v>
      </c>
      <c r="KR36" s="25">
        <v>0</v>
      </c>
      <c r="KS36" s="25">
        <v>0</v>
      </c>
      <c r="KT36" s="25">
        <v>0</v>
      </c>
      <c r="KU36" s="25">
        <v>0</v>
      </c>
      <c r="KV36" s="25">
        <v>0</v>
      </c>
      <c r="KW36" s="25">
        <v>0</v>
      </c>
      <c r="KX36" s="25">
        <v>0</v>
      </c>
      <c r="KY36" s="25">
        <v>0</v>
      </c>
      <c r="KZ36" s="25">
        <v>0</v>
      </c>
      <c r="LA36" s="25">
        <v>0</v>
      </c>
      <c r="LB36" s="25">
        <v>0</v>
      </c>
      <c r="LC36" s="25">
        <v>0</v>
      </c>
      <c r="LD36" s="25">
        <v>0</v>
      </c>
      <c r="LE36" s="25">
        <v>0</v>
      </c>
      <c r="LF36" s="25">
        <v>0</v>
      </c>
      <c r="LG36" s="25">
        <v>0</v>
      </c>
      <c r="LH36" s="25">
        <v>0</v>
      </c>
      <c r="LI36" s="25">
        <v>0</v>
      </c>
      <c r="LJ36" s="25">
        <v>0</v>
      </c>
      <c r="LK36" s="25">
        <v>0</v>
      </c>
      <c r="LL36" s="25">
        <v>0</v>
      </c>
      <c r="LM36" s="25">
        <v>0</v>
      </c>
      <c r="LN36" s="278">
        <f ca="1">$A36 - DeathsTimeS!Sweden100dt + 1</f>
        <v>-31</v>
      </c>
      <c r="LO36" s="366">
        <f ca="1">INDEX(OFFSET(DeathsTimeS!HeadRow,ROW()-ROW(DeathsTimeS!HeadRow),0,1,COLUMNS(DeathsTimeS!HeadRow)),1,MATCH(LO$5,DeathsTimeS!HeadRow,0))/LO$8</f>
        <v>0</v>
      </c>
      <c r="LP36" s="278">
        <f ca="1">$A36 - DeathsTimeS!Spain100dt</f>
        <v>-24</v>
      </c>
      <c r="LQ36" s="11">
        <f ca="1">INDEX(OFFSET(DeathsTimeS!HeadRow,ROW()-ROW(DeathsTimeS!HeadRow),0,1,COLUMNS(DeathsTimeS!HeadRow)),1,MATCH(LQ$5,DeathsTimeS!HeadRow,0))/LQ$8</f>
        <v>0</v>
      </c>
      <c r="LR36" s="278">
        <f ca="1">$A36 - DeathsTimeS!Victoria100dt</f>
        <v>-47</v>
      </c>
      <c r="LS36" s="11">
        <f ca="1">INDEX(OFFSET(DeathsTimeS!HeadRow,ROW()-ROW(DeathsTimeS!HeadRow),0,1,COLUMNS(DeathsTimeS!HeadRow)),1,MATCH(LS$5,DeathsTimeS!HeadRow,0))/LS$8</f>
        <v>0</v>
      </c>
      <c r="LT36" s="278">
        <f ca="1">$A36 - DeathsTimeS!Iran100dt</f>
        <v>-17</v>
      </c>
      <c r="LU36" s="11">
        <f ca="1">INDEX(OFFSET(DeathsTimeS!HeadRow,ROW()-ROW(DeathsTimeS!HeadRow),0,1,COLUMNS(DeathsTimeS!HeadRow)),1,MATCH(LU$5,DeathsTimeS!HeadRow,0))/LU$8</f>
        <v>0</v>
      </c>
      <c r="LV36" s="278">
        <f ca="1">$A36 - DeathsTimeS!Japan100dt</f>
        <v>-58</v>
      </c>
      <c r="LW36" s="11">
        <f ca="1">INDEX(OFFSET(DeathsTimeS!HeadRow,ROW()-ROW(DeathsTimeS!HeadRow),0,1,COLUMNS(DeathsTimeS!HeadRow)),1,MATCH(LW$5,DeathsTimeS!HeadRow,0))/LW$8</f>
        <v>7.9017525794856464E-2</v>
      </c>
      <c r="LX36" s="278">
        <f ca="1">$A36 - DeathsTimeS!Queensland100dt</f>
        <v>-62</v>
      </c>
      <c r="LY36" s="11">
        <f ca="1">INDEX(OFFSET(DeathsTimeS!HeadRow,ROW()-ROW(DeathsTimeS!HeadRow),0,1,COLUMNS(DeathsTimeS!HeadRow)),1,MATCH(LY$5,DeathsTimeS!HeadRow,0))/LY$8</f>
        <v>0</v>
      </c>
      <c r="LZ36" s="278">
        <f ca="1">$A36 - DeathsTimeS!Tasmania100dt</f>
        <v>-44</v>
      </c>
      <c r="MA36" s="11">
        <f ca="1">INDEX(OFFSET(DeathsTimeS!HeadRow,ROW()-ROW(DeathsTimeS!HeadRow),0,1,COLUMNS(DeathsTimeS!HeadRow)),1,MATCH(MA$5,DeathsTimeS!HeadRow,0))/MA$8</f>
        <v>0</v>
      </c>
      <c r="MB36" s="278">
        <f ca="1">$A36 - DeathsTimeS!SouthAustralia100dt</f>
        <v>-52</v>
      </c>
      <c r="MC36" s="11">
        <f ca="1">INDEX(OFFSET(DeathsTimeS!HeadRow,ROW()-ROW(DeathsTimeS!HeadRow),0,1,COLUMNS(DeathsTimeS!HeadRow)),1,MATCH(MC$5,DeathsTimeS!HeadRow,0))/MC$8</f>
        <v>0</v>
      </c>
      <c r="MD36" s="278">
        <f ca="1">$A36 - DeathsTimeS!WesternAustralia100dt</f>
        <v>-49</v>
      </c>
      <c r="ME36" s="11">
        <f ca="1">INDEX(OFFSET(DeathsTimeS!HeadRow,ROW()-ROW(DeathsTimeS!HeadRow),0,1,COLUMNS(DeathsTimeS!HeadRow)),1,MATCH(ME$5,DeathsTimeS!HeadRow,0))/ME$8</f>
        <v>0</v>
      </c>
      <c r="MF36" s="278">
        <f ca="1">$A36 - DeathsTimeS!NewSouthWales100dt</f>
        <v>-45</v>
      </c>
      <c r="MG36" s="11">
        <f ca="1">INDEX(OFFSET(DeathsTimeS!HeadRow,ROW()-ROW(DeathsTimeS!HeadRow),0,1,COLUMNS(DeathsTimeS!HeadRow)),1,MATCH(MG$5,DeathsTimeS!HeadRow,0))/MG$8</f>
        <v>0</v>
      </c>
      <c r="MH36" s="278">
        <f ca="1">$A36 - DeathsTimeS!NewYork100dt</f>
        <v>-29</v>
      </c>
      <c r="MI36" s="11">
        <f ca="1">INDEX(OFFSET(DeathsTimeS!HeadRow,ROW()-ROW(DeathsTimeS!HeadRow),0,1,COLUMNS(DeathsTimeS!HeadRow)),1,MATCH(MI$5,DeathsTimeS!HeadRow,0))/MI$8</f>
        <v>0</v>
      </c>
      <c r="MJ36" s="278">
        <f ca="1">$A36 - DeathsTimeS!Italy100dt</f>
        <v>-16</v>
      </c>
      <c r="MK36" s="11">
        <f ca="1">INDEX(OFFSET(DeathsTimeS!HeadRow,ROW()-ROW(DeathsTimeS!HeadRow),0,1,COLUMNS(DeathsTimeS!HeadRow)),1,MATCH(MK$5,DeathsTimeS!HeadRow,0))/MK$8</f>
        <v>0</v>
      </c>
      <c r="ML36" s="278">
        <f ca="1">$A36 - DeathsTimeS!AustralianCapitalTerritory100dt</f>
        <v>-43</v>
      </c>
      <c r="MM36" s="11">
        <f ca="1">INDEX(OFFSET(DeathsTimeS!HeadRow,ROW()-ROW(DeathsTimeS!HeadRow),0,1,COLUMNS(DeathsTimeS!HeadRow)),1,MATCH(MM$5,DeathsTimeS!HeadRow,0))/MM$8</f>
        <v>0</v>
      </c>
      <c r="MN36" s="278">
        <f ca="1">IF(DeathsTimeS!NorthernTerritory100dt&gt;0,$A36 - DeathsTimeS!NorthernTerritory100dt,"")</f>
        <v>-71</v>
      </c>
      <c r="MO36" s="11">
        <f ca="1">INDEX(OFFSET(DeathsTimeS!HeadRow,ROW()-ROW(DeathsTimeS!HeadRow),0,1,COLUMNS(DeathsTimeS!HeadRow)),1,MATCH(MO$5,DeathsTimeS!HeadRow,0))/MO$8</f>
        <v>0</v>
      </c>
      <c r="MP36" s="278">
        <f ca="1">$A36 - DeathsTimeS!SouthAfrica100dt + 1</f>
        <v>-63</v>
      </c>
      <c r="MQ36" s="20">
        <f ca="1">INDEX(OFFSET(DeathsTimeS!HeadRow,ROW()-ROW(DeathsTimeS!HeadRow),0,1,COLUMNS(DeathsTimeS!HeadRow)),1,MATCH(MQ$5,DeathsTimeS!HeadRow,0))/MQ$8</f>
        <v>0</v>
      </c>
      <c r="MR36" s="278">
        <f ca="1">$A36 - DeathsTimeS!Germany100dt + 1</f>
        <v>-33</v>
      </c>
      <c r="MS36" s="20">
        <f ca="1">INDEX(OFFSET(DeathsTimeS!HeadRow,ROW()-ROW(DeathsTimeS!HeadRow),0,1,COLUMNS(DeathsTimeS!HeadRow)),1,MATCH(MS$5,DeathsTimeS!HeadRow,0))/MS$8</f>
        <v>0</v>
      </c>
      <c r="MT36" s="278">
        <f ca="1">$A36 - DeathsTimeS!Ireland100dt + 1</f>
        <v>-35</v>
      </c>
      <c r="MU36" s="73">
        <f ca="1">INDEX(OFFSET(DeathsTimeS!HeadRow,ROW()-ROW(DeathsTimeS!HeadRow),0,1,COLUMNS(DeathsTimeS!HeadRow)),1,MATCH(MU$5,DeathsTimeS!HeadRow,0))/MU$8</f>
        <v>0</v>
      </c>
      <c r="MV36" s="278">
        <f ca="1">$A36 - DeathsTimeS!UnitedKingdom100dt + 1</f>
        <v>-29</v>
      </c>
      <c r="MW36" s="73">
        <f ca="1">INDEX(OFFSET(DeathsTimeS!HeadRow,ROW()-ROW(DeathsTimeS!HeadRow),0,1,COLUMNS(DeathsTimeS!HeadRow)),1,MATCH(MW$5,DeathsTimeS!HeadRow,0))/MW$8</f>
        <v>0</v>
      </c>
      <c r="MX36" s="278">
        <f ca="1">$A36 - DeathsTimeS!Denmark100dt + 1</f>
        <v>-31</v>
      </c>
      <c r="MY36" s="73">
        <f ca="1">INDEX(OFFSET(DeathsTimeS!HeadRow,ROW()-ROW(DeathsTimeS!HeadRow),0,1,COLUMNS(DeathsTimeS!HeadRow)),1,MATCH(MY$5,DeathsTimeS!HeadRow,0))/MY$8</f>
        <v>0</v>
      </c>
      <c r="MZ36" s="278">
        <f ca="1">$A36 - DeathsTimeS!US100dt + 1</f>
        <v>-32</v>
      </c>
      <c r="NA36" s="73">
        <f ca="1">INDEX(OFFSET(DeathsTimeS!HeadRow,ROW()-ROW(DeathsTimeS!HeadRow),0,1,COLUMNS(DeathsTimeS!HeadRow)),1,MATCH(NA$5,DeathsTimeS!HeadRow,0))/NA$8</f>
        <v>0</v>
      </c>
      <c r="NB36" s="278">
        <f ca="1">$A36 - DeathsTimeS!AustraliaSum100dt + 1</f>
        <v>-38</v>
      </c>
      <c r="NC36" s="366">
        <f t="shared" si="6"/>
        <v>0</v>
      </c>
      <c r="ND36" s="278">
        <f ca="1">$A36 - DeathsTimeS!Taiwan100dt + 1</f>
        <v>-70</v>
      </c>
      <c r="NE36" s="366">
        <f ca="1">INDEX(OFFSET(DeathsTimeS!HeadRow,ROW()-ROW(DeathsTimeS!HeadRow),0,1,COLUMNS(DeathsTimeS!HeadRow)),1,MATCH(NE$5,DeathsTimeS!HeadRow,0))/NE$8</f>
        <v>0.4200395492437986</v>
      </c>
      <c r="NF36" s="278">
        <f ca="1">$A36 - DeathsTimeS!Hubei100dt + 1</f>
        <v>21</v>
      </c>
      <c r="NG36" s="366">
        <f ca="1">INDEX(OFFSET(DeathsTimeS!HeadRow,ROW()-ROW(DeathsTimeS!HeadRow),0,1,COLUMNS(DeathsTimeS!HeadRow)),1,MATCH(NG$5,DeathsTimeS!HeadRow,0))/NG$8</f>
        <v>289.91452991452991</v>
      </c>
      <c r="NH36" s="278">
        <f ca="1">$A36 - DeathsTimeS!HongKong100dt + 1</f>
        <v>-70</v>
      </c>
      <c r="NI36" s="366">
        <f ca="1">INDEX(OFFSET(DeathsTimeS!HeadRow,ROW()-ROW(DeathsTimeS!HeadRow),0,1,COLUMNS(DeathsTimeS!HeadRow)),1,MATCH(NI$5,DeathsTimeS!HeadRow,0))/NI$8</f>
        <v>1.3421017313112333</v>
      </c>
    </row>
    <row r="37" spans="1:373" x14ac:dyDescent="0.25">
      <c r="A37" s="156">
        <v>43878</v>
      </c>
      <c r="B37" s="25">
        <v>0</v>
      </c>
      <c r="C37" s="25">
        <v>0</v>
      </c>
      <c r="D37" s="25">
        <v>0</v>
      </c>
      <c r="E37" s="25">
        <v>0</v>
      </c>
      <c r="F37" s="25">
        <v>0</v>
      </c>
      <c r="G37" s="25">
        <v>0</v>
      </c>
      <c r="H37" s="25">
        <v>0</v>
      </c>
      <c r="I37" s="25">
        <v>0</v>
      </c>
      <c r="J37" s="25">
        <v>0</v>
      </c>
      <c r="K37" s="25">
        <v>0</v>
      </c>
      <c r="L37" s="25">
        <v>0</v>
      </c>
      <c r="M37" s="25">
        <v>0</v>
      </c>
      <c r="N37" s="25">
        <v>0</v>
      </c>
      <c r="O37" s="25">
        <v>0</v>
      </c>
      <c r="P37" s="25">
        <v>0</v>
      </c>
      <c r="Q37" s="25">
        <v>0</v>
      </c>
      <c r="R37" s="25">
        <v>0</v>
      </c>
      <c r="S37" s="25">
        <v>0</v>
      </c>
      <c r="T37" s="25">
        <v>0</v>
      </c>
      <c r="U37" s="25">
        <v>0</v>
      </c>
      <c r="V37" s="25">
        <v>0</v>
      </c>
      <c r="W37" s="25">
        <v>0</v>
      </c>
      <c r="X37" s="25">
        <v>0</v>
      </c>
      <c r="Y37" s="25">
        <v>0</v>
      </c>
      <c r="Z37" s="25">
        <v>0</v>
      </c>
      <c r="AA37" s="25">
        <v>0</v>
      </c>
      <c r="AB37" s="25">
        <v>0</v>
      </c>
      <c r="AC37" s="25">
        <v>0</v>
      </c>
      <c r="AD37" s="25">
        <v>0</v>
      </c>
      <c r="AE37" s="25">
        <v>0</v>
      </c>
      <c r="AF37" s="25">
        <v>0</v>
      </c>
      <c r="AG37" s="25">
        <v>0</v>
      </c>
      <c r="AH37" s="25">
        <v>0</v>
      </c>
      <c r="AI37" s="25">
        <v>0</v>
      </c>
      <c r="AJ37" s="25">
        <v>0</v>
      </c>
      <c r="AK37" s="25">
        <v>0</v>
      </c>
      <c r="AL37" s="25">
        <v>0</v>
      </c>
      <c r="AM37" s="25">
        <v>0</v>
      </c>
      <c r="AN37" s="25">
        <v>0</v>
      </c>
      <c r="AO37" s="25">
        <v>0</v>
      </c>
      <c r="AP37" s="25">
        <v>0</v>
      </c>
      <c r="AQ37" s="25">
        <v>0</v>
      </c>
      <c r="AR37" s="25">
        <v>0</v>
      </c>
      <c r="AS37" s="25">
        <v>0</v>
      </c>
      <c r="AT37" s="25">
        <v>0</v>
      </c>
      <c r="AU37" s="25">
        <v>0</v>
      </c>
      <c r="AV37" s="25">
        <v>0</v>
      </c>
      <c r="AW37" s="25">
        <v>0</v>
      </c>
      <c r="AX37" s="25">
        <v>0</v>
      </c>
      <c r="AY37" s="25">
        <v>6</v>
      </c>
      <c r="AZ37" s="25">
        <v>4</v>
      </c>
      <c r="BA37" s="25">
        <v>5</v>
      </c>
      <c r="BB37" s="25">
        <v>0</v>
      </c>
      <c r="BC37" s="25">
        <v>2</v>
      </c>
      <c r="BD37" s="25">
        <v>4</v>
      </c>
      <c r="BE37" s="25">
        <v>2</v>
      </c>
      <c r="BF37" s="25">
        <v>1</v>
      </c>
      <c r="BG37" s="25">
        <v>4</v>
      </c>
      <c r="BH37" s="25">
        <v>3</v>
      </c>
      <c r="BI37" s="25">
        <v>11</v>
      </c>
      <c r="BJ37" s="25">
        <v>16</v>
      </c>
      <c r="BK37" s="25">
        <v>1</v>
      </c>
      <c r="BL37" s="25">
        <v>1789</v>
      </c>
      <c r="BM37" s="25">
        <v>3</v>
      </c>
      <c r="BN37" s="25">
        <v>0</v>
      </c>
      <c r="BO37" s="25">
        <v>0</v>
      </c>
      <c r="BP37" s="25">
        <v>1</v>
      </c>
      <c r="BQ37" s="25">
        <v>1</v>
      </c>
      <c r="BR37" s="25">
        <v>1</v>
      </c>
      <c r="BS37" s="25">
        <v>0</v>
      </c>
      <c r="BT37" s="25">
        <v>0</v>
      </c>
      <c r="BU37" s="25">
        <v>0</v>
      </c>
      <c r="BV37" s="25">
        <v>0</v>
      </c>
      <c r="BW37" s="25">
        <v>2</v>
      </c>
      <c r="BX37" s="25">
        <v>1</v>
      </c>
      <c r="BY37" s="25">
        <v>0</v>
      </c>
      <c r="BZ37" s="25">
        <v>3</v>
      </c>
      <c r="CA37" s="25">
        <v>3</v>
      </c>
      <c r="CB37" s="25">
        <v>0</v>
      </c>
      <c r="CC37" s="25">
        <v>1</v>
      </c>
      <c r="CD37" s="25">
        <v>0</v>
      </c>
      <c r="CE37" s="25">
        <v>0</v>
      </c>
      <c r="CF37" s="25">
        <v>0</v>
      </c>
      <c r="CG37" s="25">
        <v>0</v>
      </c>
      <c r="CH37" s="25">
        <v>0</v>
      </c>
      <c r="CI37" s="25">
        <v>0</v>
      </c>
      <c r="CJ37" s="25">
        <v>0</v>
      </c>
      <c r="CK37" s="25">
        <v>0</v>
      </c>
      <c r="CL37" s="25">
        <v>0</v>
      </c>
      <c r="CM37" s="25">
        <v>0</v>
      </c>
      <c r="CN37" s="25">
        <v>0</v>
      </c>
      <c r="CO37" s="25">
        <v>0</v>
      </c>
      <c r="CP37" s="25">
        <v>0</v>
      </c>
      <c r="CQ37" s="25">
        <v>0</v>
      </c>
      <c r="CR37" s="25">
        <v>0</v>
      </c>
      <c r="CS37" s="25">
        <v>0</v>
      </c>
      <c r="CT37" s="25">
        <v>0</v>
      </c>
      <c r="CU37" s="25">
        <v>0</v>
      </c>
      <c r="CV37" s="25">
        <v>0</v>
      </c>
      <c r="CW37" s="25">
        <v>0</v>
      </c>
      <c r="CX37" s="25">
        <v>0</v>
      </c>
      <c r="CY37" s="25">
        <v>0</v>
      </c>
      <c r="CZ37" s="25">
        <v>0</v>
      </c>
      <c r="DA37" s="25">
        <v>0</v>
      </c>
      <c r="DB37" s="25">
        <v>0</v>
      </c>
      <c r="DC37" s="25">
        <v>0</v>
      </c>
      <c r="DD37" s="25">
        <v>0</v>
      </c>
      <c r="DE37" s="25">
        <v>0</v>
      </c>
      <c r="DF37" s="25">
        <v>0</v>
      </c>
      <c r="DG37" s="25">
        <v>0</v>
      </c>
      <c r="DH37" s="25">
        <v>0</v>
      </c>
      <c r="DI37" s="25">
        <v>0</v>
      </c>
      <c r="DJ37" s="25">
        <v>0</v>
      </c>
      <c r="DK37" s="25">
        <v>0</v>
      </c>
      <c r="DL37" s="25">
        <v>0</v>
      </c>
      <c r="DM37" s="25">
        <v>0</v>
      </c>
      <c r="DN37" s="25">
        <v>1</v>
      </c>
      <c r="DO37" s="25">
        <v>0</v>
      </c>
      <c r="DP37" s="25">
        <v>0</v>
      </c>
      <c r="DQ37" s="25">
        <v>0</v>
      </c>
      <c r="DR37" s="25">
        <v>0</v>
      </c>
      <c r="DS37" s="25">
        <v>0</v>
      </c>
      <c r="DT37" s="25">
        <v>0</v>
      </c>
      <c r="DU37" s="25">
        <v>0</v>
      </c>
      <c r="DV37" s="25">
        <v>0</v>
      </c>
      <c r="DW37" s="25">
        <v>0</v>
      </c>
      <c r="DX37" s="25">
        <v>0</v>
      </c>
      <c r="DY37" s="25">
        <v>0</v>
      </c>
      <c r="DZ37" s="25">
        <v>0</v>
      </c>
      <c r="EA37" s="25">
        <v>0</v>
      </c>
      <c r="EB37" s="25">
        <v>0</v>
      </c>
      <c r="EC37" s="25">
        <v>0</v>
      </c>
      <c r="ED37" s="25">
        <v>0</v>
      </c>
      <c r="EE37" s="25">
        <v>0</v>
      </c>
      <c r="EF37" s="25">
        <v>0</v>
      </c>
      <c r="EG37" s="25">
        <v>0</v>
      </c>
      <c r="EH37" s="25">
        <v>0</v>
      </c>
      <c r="EI37" s="25">
        <v>0</v>
      </c>
      <c r="EJ37" s="25">
        <v>0</v>
      </c>
      <c r="EK37" s="25">
        <v>1</v>
      </c>
      <c r="EL37" s="25">
        <v>0</v>
      </c>
      <c r="EM37" s="25">
        <v>0</v>
      </c>
      <c r="EN37" s="25">
        <v>0</v>
      </c>
      <c r="EO37" s="25">
        <v>0</v>
      </c>
      <c r="EP37" s="25">
        <v>0</v>
      </c>
      <c r="EQ37" s="25">
        <v>0</v>
      </c>
      <c r="ER37" s="25">
        <v>0</v>
      </c>
      <c r="ES37" s="25">
        <v>0</v>
      </c>
      <c r="ET37" s="25">
        <v>0</v>
      </c>
      <c r="EU37" s="25">
        <v>0</v>
      </c>
      <c r="EV37" s="25">
        <v>0</v>
      </c>
      <c r="EW37" s="25">
        <v>0</v>
      </c>
      <c r="EX37" s="25">
        <v>0</v>
      </c>
      <c r="EY37" s="25">
        <v>0</v>
      </c>
      <c r="EZ37" s="25">
        <v>0</v>
      </c>
      <c r="FA37" s="25">
        <v>0</v>
      </c>
      <c r="FB37" s="25">
        <v>0</v>
      </c>
      <c r="FC37" s="25">
        <v>0</v>
      </c>
      <c r="FD37" s="25">
        <v>0</v>
      </c>
      <c r="FE37" s="25">
        <v>0</v>
      </c>
      <c r="FF37" s="25">
        <v>0</v>
      </c>
      <c r="FG37" s="25">
        <v>0</v>
      </c>
      <c r="FH37" s="25">
        <v>0</v>
      </c>
      <c r="FI37" s="25">
        <v>0</v>
      </c>
      <c r="FJ37" s="25">
        <v>0</v>
      </c>
      <c r="FK37" s="25">
        <v>0</v>
      </c>
      <c r="FL37" s="25">
        <v>0</v>
      </c>
      <c r="FM37" s="25">
        <v>0</v>
      </c>
      <c r="FN37" s="25">
        <v>0</v>
      </c>
      <c r="FO37" s="25">
        <v>0</v>
      </c>
      <c r="FP37" s="25">
        <v>0</v>
      </c>
      <c r="FQ37" s="25">
        <v>0</v>
      </c>
      <c r="FR37" s="25">
        <v>0</v>
      </c>
      <c r="FS37" s="25">
        <v>0</v>
      </c>
      <c r="FT37" s="25">
        <v>0</v>
      </c>
      <c r="FU37" s="25">
        <v>0</v>
      </c>
      <c r="FV37" s="25">
        <v>0</v>
      </c>
      <c r="FW37" s="25">
        <v>0</v>
      </c>
      <c r="FX37" s="25">
        <v>0</v>
      </c>
      <c r="FY37" s="25">
        <v>0</v>
      </c>
      <c r="FZ37" s="25">
        <v>0</v>
      </c>
      <c r="GA37" s="25">
        <v>0</v>
      </c>
      <c r="GB37" s="25">
        <v>1</v>
      </c>
      <c r="GC37" s="25">
        <v>0</v>
      </c>
      <c r="GD37" s="25">
        <v>0</v>
      </c>
      <c r="GE37" s="25">
        <v>0</v>
      </c>
      <c r="GF37" s="25">
        <v>0</v>
      </c>
      <c r="GG37" s="25">
        <v>0</v>
      </c>
      <c r="GH37" s="25">
        <v>0</v>
      </c>
      <c r="GI37" s="25">
        <v>0</v>
      </c>
      <c r="GJ37" s="25">
        <v>0</v>
      </c>
      <c r="GK37" s="25">
        <v>0</v>
      </c>
      <c r="GL37" s="25">
        <v>0</v>
      </c>
      <c r="GM37" s="25">
        <v>0</v>
      </c>
      <c r="GN37" s="25">
        <v>0</v>
      </c>
      <c r="GO37" s="25">
        <v>0</v>
      </c>
      <c r="GP37" s="25">
        <v>0</v>
      </c>
      <c r="GQ37" s="25">
        <v>0</v>
      </c>
      <c r="GR37" s="25">
        <v>0</v>
      </c>
      <c r="GS37" s="25">
        <v>0</v>
      </c>
      <c r="GT37" s="25">
        <v>0</v>
      </c>
      <c r="GU37" s="25">
        <v>0</v>
      </c>
      <c r="GV37" s="25">
        <v>0</v>
      </c>
      <c r="GW37" s="25">
        <v>0</v>
      </c>
      <c r="GX37" s="25">
        <v>0</v>
      </c>
      <c r="GY37" s="46">
        <v>0</v>
      </c>
      <c r="GZ37" s="25">
        <v>0</v>
      </c>
      <c r="HA37" s="25">
        <v>1</v>
      </c>
      <c r="HB37" s="25">
        <v>0</v>
      </c>
      <c r="HC37" s="25">
        <v>0</v>
      </c>
      <c r="HD37" s="25">
        <v>0</v>
      </c>
      <c r="HE37" s="25">
        <v>0</v>
      </c>
      <c r="HF37" s="25">
        <v>0</v>
      </c>
      <c r="HG37" s="25">
        <v>0</v>
      </c>
      <c r="HH37" s="25">
        <v>0</v>
      </c>
      <c r="HI37" s="25">
        <v>0</v>
      </c>
      <c r="HJ37" s="25">
        <v>0</v>
      </c>
      <c r="HK37" s="25">
        <v>0</v>
      </c>
      <c r="HL37" s="25">
        <v>0</v>
      </c>
      <c r="HM37" s="25">
        <v>0</v>
      </c>
      <c r="HN37" s="25">
        <v>0</v>
      </c>
      <c r="HO37" s="25">
        <v>0</v>
      </c>
      <c r="HP37" s="25">
        <v>0</v>
      </c>
      <c r="HQ37" s="25">
        <v>0</v>
      </c>
      <c r="HR37" s="25">
        <v>0</v>
      </c>
      <c r="HS37" s="25">
        <v>0</v>
      </c>
      <c r="HT37" s="25">
        <v>0</v>
      </c>
      <c r="HU37" s="25">
        <v>0</v>
      </c>
      <c r="HV37" s="25">
        <v>0</v>
      </c>
      <c r="HW37" s="25">
        <v>0</v>
      </c>
      <c r="HX37" s="25">
        <v>0</v>
      </c>
      <c r="HY37" s="25">
        <v>0</v>
      </c>
      <c r="HZ37" s="25">
        <v>0</v>
      </c>
      <c r="IA37" s="25">
        <v>0</v>
      </c>
      <c r="IB37" s="25">
        <v>0</v>
      </c>
      <c r="IC37" s="25">
        <v>0</v>
      </c>
      <c r="ID37" s="25">
        <v>0</v>
      </c>
      <c r="IE37" s="25">
        <v>0</v>
      </c>
      <c r="IF37" s="25">
        <v>0</v>
      </c>
      <c r="IG37" s="25">
        <v>0</v>
      </c>
      <c r="IH37" s="25">
        <v>0</v>
      </c>
      <c r="II37" s="25">
        <v>0</v>
      </c>
      <c r="IJ37" s="25">
        <v>0</v>
      </c>
      <c r="IK37" s="25">
        <v>0</v>
      </c>
      <c r="IL37" s="25">
        <v>0</v>
      </c>
      <c r="IM37" s="25">
        <v>0</v>
      </c>
      <c r="IN37" s="25">
        <v>0</v>
      </c>
      <c r="IO37" s="25">
        <v>0</v>
      </c>
      <c r="IP37" s="25">
        <v>0</v>
      </c>
      <c r="IQ37" s="25">
        <v>0</v>
      </c>
      <c r="IR37" s="25">
        <v>0</v>
      </c>
      <c r="IS37" s="25">
        <v>0</v>
      </c>
      <c r="IT37" s="25">
        <v>0</v>
      </c>
      <c r="IU37" s="25">
        <v>0</v>
      </c>
      <c r="IV37" s="25">
        <v>0</v>
      </c>
      <c r="IW37" s="25">
        <v>0</v>
      </c>
      <c r="IX37" s="25">
        <v>0</v>
      </c>
      <c r="IY37" s="25">
        <v>0</v>
      </c>
      <c r="IZ37" s="25">
        <v>0</v>
      </c>
      <c r="JA37" s="25">
        <v>0</v>
      </c>
      <c r="JB37" s="25">
        <v>0</v>
      </c>
      <c r="JC37" s="25">
        <v>0</v>
      </c>
      <c r="JD37" s="25">
        <v>0</v>
      </c>
      <c r="JE37" s="25">
        <v>0</v>
      </c>
      <c r="JF37" s="25">
        <v>0</v>
      </c>
      <c r="JG37" s="25">
        <v>0</v>
      </c>
      <c r="JH37" s="25">
        <v>0</v>
      </c>
      <c r="JI37" s="25">
        <v>0</v>
      </c>
      <c r="JJ37" s="25">
        <v>0</v>
      </c>
      <c r="JK37" s="25">
        <v>0</v>
      </c>
      <c r="JL37" s="25">
        <v>0</v>
      </c>
      <c r="JM37" s="25">
        <v>0</v>
      </c>
      <c r="JN37" s="25">
        <v>0</v>
      </c>
      <c r="JO37" s="25">
        <v>0</v>
      </c>
      <c r="JP37" s="25">
        <v>0</v>
      </c>
      <c r="JQ37" s="25">
        <v>0</v>
      </c>
      <c r="JR37" s="25">
        <v>0</v>
      </c>
      <c r="JS37" s="25">
        <v>0</v>
      </c>
      <c r="JT37" s="25">
        <v>0</v>
      </c>
      <c r="JU37" s="25">
        <v>0</v>
      </c>
      <c r="JV37" s="25">
        <v>0</v>
      </c>
      <c r="JW37" s="25">
        <v>0</v>
      </c>
      <c r="JX37" s="25">
        <v>0</v>
      </c>
      <c r="JY37" s="25">
        <v>0</v>
      </c>
      <c r="JZ37" s="25">
        <v>0</v>
      </c>
      <c r="KA37" s="25">
        <v>0</v>
      </c>
      <c r="KB37" s="25">
        <v>0</v>
      </c>
      <c r="KC37" s="25">
        <v>0</v>
      </c>
      <c r="KD37" s="25">
        <v>0</v>
      </c>
      <c r="KE37" s="25">
        <v>0</v>
      </c>
      <c r="KF37" s="25">
        <v>0</v>
      </c>
      <c r="KG37" s="25">
        <v>0</v>
      </c>
      <c r="KH37" s="25">
        <v>0</v>
      </c>
      <c r="KI37" s="25">
        <v>0</v>
      </c>
      <c r="KJ37" s="25">
        <v>0</v>
      </c>
      <c r="KK37" s="25">
        <v>0</v>
      </c>
      <c r="KL37" s="25">
        <v>0</v>
      </c>
      <c r="KM37" s="25">
        <v>0</v>
      </c>
      <c r="KN37" s="25">
        <v>0</v>
      </c>
      <c r="KO37" s="25">
        <v>0</v>
      </c>
      <c r="KP37" s="25">
        <v>0</v>
      </c>
      <c r="KQ37" s="25">
        <v>0</v>
      </c>
      <c r="KR37" s="25">
        <v>0</v>
      </c>
      <c r="KS37" s="25">
        <v>0</v>
      </c>
      <c r="KT37" s="25">
        <v>0</v>
      </c>
      <c r="KU37" s="25">
        <v>0</v>
      </c>
      <c r="KV37" s="25">
        <v>0</v>
      </c>
      <c r="KW37" s="25">
        <v>0</v>
      </c>
      <c r="KX37" s="25">
        <v>0</v>
      </c>
      <c r="KY37" s="25">
        <v>0</v>
      </c>
      <c r="KZ37" s="25">
        <v>0</v>
      </c>
      <c r="LA37" s="25">
        <v>0</v>
      </c>
      <c r="LB37" s="25">
        <v>0</v>
      </c>
      <c r="LC37" s="25">
        <v>0</v>
      </c>
      <c r="LD37" s="25">
        <v>0</v>
      </c>
      <c r="LE37" s="25">
        <v>0</v>
      </c>
      <c r="LF37" s="25">
        <v>0</v>
      </c>
      <c r="LG37" s="25">
        <v>0</v>
      </c>
      <c r="LH37" s="25">
        <v>0</v>
      </c>
      <c r="LI37" s="25">
        <v>0</v>
      </c>
      <c r="LJ37" s="25">
        <v>0</v>
      </c>
      <c r="LK37" s="25">
        <v>0</v>
      </c>
      <c r="LL37" s="25">
        <v>0</v>
      </c>
      <c r="LM37" s="25">
        <v>0</v>
      </c>
      <c r="LN37" s="278">
        <f ca="1">$A37 - DeathsTimeS!Sweden100dt + 1</f>
        <v>-30</v>
      </c>
      <c r="LO37" s="366">
        <f ca="1">INDEX(OFFSET(DeathsTimeS!HeadRow,ROW()-ROW(DeathsTimeS!HeadRow),0,1,COLUMNS(DeathsTimeS!HeadRow)),1,MATCH(LO$5,DeathsTimeS!HeadRow,0))/LO$8</f>
        <v>0</v>
      </c>
      <c r="LP37" s="278">
        <f ca="1">$A37 - DeathsTimeS!Spain100dt</f>
        <v>-23</v>
      </c>
      <c r="LQ37" s="11">
        <f ca="1">INDEX(OFFSET(DeathsTimeS!HeadRow,ROW()-ROW(DeathsTimeS!HeadRow),0,1,COLUMNS(DeathsTimeS!HeadRow)),1,MATCH(LQ$5,DeathsTimeS!HeadRow,0))/LQ$8</f>
        <v>0</v>
      </c>
      <c r="LR37" s="278">
        <f ca="1">$A37 - DeathsTimeS!Victoria100dt</f>
        <v>-46</v>
      </c>
      <c r="LS37" s="11">
        <f ca="1">INDEX(OFFSET(DeathsTimeS!HeadRow,ROW()-ROW(DeathsTimeS!HeadRow),0,1,COLUMNS(DeathsTimeS!HeadRow)),1,MATCH(LS$5,DeathsTimeS!HeadRow,0))/LS$8</f>
        <v>0</v>
      </c>
      <c r="LT37" s="278">
        <f ca="1">$A37 - DeathsTimeS!Iran100dt</f>
        <v>-16</v>
      </c>
      <c r="LU37" s="11">
        <f ca="1">INDEX(OFFSET(DeathsTimeS!HeadRow,ROW()-ROW(DeathsTimeS!HeadRow),0,1,COLUMNS(DeathsTimeS!HeadRow)),1,MATCH(LU$5,DeathsTimeS!HeadRow,0))/LU$8</f>
        <v>0</v>
      </c>
      <c r="LV37" s="278">
        <f ca="1">$A37 - DeathsTimeS!Japan100dt</f>
        <v>-57</v>
      </c>
      <c r="LW37" s="11">
        <f ca="1">INDEX(OFFSET(DeathsTimeS!HeadRow,ROW()-ROW(DeathsTimeS!HeadRow),0,1,COLUMNS(DeathsTimeS!HeadRow)),1,MATCH(LW$5,DeathsTimeS!HeadRow,0))/LW$8</f>
        <v>7.9017525794856464E-2</v>
      </c>
      <c r="LX37" s="278">
        <f ca="1">$A37 - DeathsTimeS!Queensland100dt</f>
        <v>-61</v>
      </c>
      <c r="LY37" s="11">
        <f ca="1">INDEX(OFFSET(DeathsTimeS!HeadRow,ROW()-ROW(DeathsTimeS!HeadRow),0,1,COLUMNS(DeathsTimeS!HeadRow)),1,MATCH(LY$5,DeathsTimeS!HeadRow,0))/LY$8</f>
        <v>0</v>
      </c>
      <c r="LZ37" s="278">
        <f ca="1">$A37 - DeathsTimeS!Tasmania100dt</f>
        <v>-43</v>
      </c>
      <c r="MA37" s="11">
        <f ca="1">INDEX(OFFSET(DeathsTimeS!HeadRow,ROW()-ROW(DeathsTimeS!HeadRow),0,1,COLUMNS(DeathsTimeS!HeadRow)),1,MATCH(MA$5,DeathsTimeS!HeadRow,0))/MA$8</f>
        <v>0</v>
      </c>
      <c r="MB37" s="278">
        <f ca="1">$A37 - DeathsTimeS!SouthAustralia100dt</f>
        <v>-51</v>
      </c>
      <c r="MC37" s="11">
        <f ca="1">INDEX(OFFSET(DeathsTimeS!HeadRow,ROW()-ROW(DeathsTimeS!HeadRow),0,1,COLUMNS(DeathsTimeS!HeadRow)),1,MATCH(MC$5,DeathsTimeS!HeadRow,0))/MC$8</f>
        <v>0</v>
      </c>
      <c r="MD37" s="278">
        <f ca="1">$A37 - DeathsTimeS!WesternAustralia100dt</f>
        <v>-48</v>
      </c>
      <c r="ME37" s="11">
        <f ca="1">INDEX(OFFSET(DeathsTimeS!HeadRow,ROW()-ROW(DeathsTimeS!HeadRow),0,1,COLUMNS(DeathsTimeS!HeadRow)),1,MATCH(ME$5,DeathsTimeS!HeadRow,0))/ME$8</f>
        <v>0</v>
      </c>
      <c r="MF37" s="278">
        <f ca="1">$A37 - DeathsTimeS!NewSouthWales100dt</f>
        <v>-44</v>
      </c>
      <c r="MG37" s="11">
        <f ca="1">INDEX(OFFSET(DeathsTimeS!HeadRow,ROW()-ROW(DeathsTimeS!HeadRow),0,1,COLUMNS(DeathsTimeS!HeadRow)),1,MATCH(MG$5,DeathsTimeS!HeadRow,0))/MG$8</f>
        <v>0</v>
      </c>
      <c r="MH37" s="278">
        <f ca="1">$A37 - DeathsTimeS!NewYork100dt</f>
        <v>-28</v>
      </c>
      <c r="MI37" s="11">
        <f ca="1">INDEX(OFFSET(DeathsTimeS!HeadRow,ROW()-ROW(DeathsTimeS!HeadRow),0,1,COLUMNS(DeathsTimeS!HeadRow)),1,MATCH(MI$5,DeathsTimeS!HeadRow,0))/MI$8</f>
        <v>0</v>
      </c>
      <c r="MJ37" s="278">
        <f ca="1">$A37 - DeathsTimeS!Italy100dt</f>
        <v>-15</v>
      </c>
      <c r="MK37" s="11">
        <f ca="1">INDEX(OFFSET(DeathsTimeS!HeadRow,ROW()-ROW(DeathsTimeS!HeadRow),0,1,COLUMNS(DeathsTimeS!HeadRow)),1,MATCH(MK$5,DeathsTimeS!HeadRow,0))/MK$8</f>
        <v>0</v>
      </c>
      <c r="ML37" s="278">
        <f ca="1">$A37 - DeathsTimeS!AustralianCapitalTerritory100dt</f>
        <v>-42</v>
      </c>
      <c r="MM37" s="11">
        <f ca="1">INDEX(OFFSET(DeathsTimeS!HeadRow,ROW()-ROW(DeathsTimeS!HeadRow),0,1,COLUMNS(DeathsTimeS!HeadRow)),1,MATCH(MM$5,DeathsTimeS!HeadRow,0))/MM$8</f>
        <v>0</v>
      </c>
      <c r="MN37" s="278">
        <f ca="1">IF(DeathsTimeS!NorthernTerritory100dt&gt;0,$A37 - DeathsTimeS!NorthernTerritory100dt,"")</f>
        <v>-70</v>
      </c>
      <c r="MO37" s="11">
        <f ca="1">INDEX(OFFSET(DeathsTimeS!HeadRow,ROW()-ROW(DeathsTimeS!HeadRow),0,1,COLUMNS(DeathsTimeS!HeadRow)),1,MATCH(MO$5,DeathsTimeS!HeadRow,0))/MO$8</f>
        <v>0</v>
      </c>
      <c r="MP37" s="278">
        <f ca="1">$A37 - DeathsTimeS!SouthAfrica100dt + 1</f>
        <v>-62</v>
      </c>
      <c r="MQ37" s="20">
        <f ca="1">INDEX(OFFSET(DeathsTimeS!HeadRow,ROW()-ROW(DeathsTimeS!HeadRow),0,1,COLUMNS(DeathsTimeS!HeadRow)),1,MATCH(MQ$5,DeathsTimeS!HeadRow,0))/MQ$8</f>
        <v>0</v>
      </c>
      <c r="MR37" s="278">
        <f ca="1">$A37 - DeathsTimeS!Germany100dt + 1</f>
        <v>-32</v>
      </c>
      <c r="MS37" s="20">
        <f ca="1">INDEX(OFFSET(DeathsTimeS!HeadRow,ROW()-ROW(DeathsTimeS!HeadRow),0,1,COLUMNS(DeathsTimeS!HeadRow)),1,MATCH(MS$5,DeathsTimeS!HeadRow,0))/MS$8</f>
        <v>0</v>
      </c>
      <c r="MT37" s="278">
        <f ca="1">$A37 - DeathsTimeS!Ireland100dt + 1</f>
        <v>-34</v>
      </c>
      <c r="MU37" s="73">
        <f ca="1">INDEX(OFFSET(DeathsTimeS!HeadRow,ROW()-ROW(DeathsTimeS!HeadRow),0,1,COLUMNS(DeathsTimeS!HeadRow)),1,MATCH(MU$5,DeathsTimeS!HeadRow,0))/MU$8</f>
        <v>0</v>
      </c>
      <c r="MV37" s="278">
        <f ca="1">$A37 - DeathsTimeS!UnitedKingdom100dt + 1</f>
        <v>-28</v>
      </c>
      <c r="MW37" s="73">
        <f ca="1">INDEX(OFFSET(DeathsTimeS!HeadRow,ROW()-ROW(DeathsTimeS!HeadRow),0,1,COLUMNS(DeathsTimeS!HeadRow)),1,MATCH(MW$5,DeathsTimeS!HeadRow,0))/MW$8</f>
        <v>0</v>
      </c>
      <c r="MX37" s="278">
        <f ca="1">$A37 - DeathsTimeS!Denmark100dt + 1</f>
        <v>-30</v>
      </c>
      <c r="MY37" s="73">
        <f ca="1">INDEX(OFFSET(DeathsTimeS!HeadRow,ROW()-ROW(DeathsTimeS!HeadRow),0,1,COLUMNS(DeathsTimeS!HeadRow)),1,MATCH(MY$5,DeathsTimeS!HeadRow,0))/MY$8</f>
        <v>0</v>
      </c>
      <c r="MZ37" s="278">
        <f ca="1">$A37 - DeathsTimeS!US100dt + 1</f>
        <v>-31</v>
      </c>
      <c r="NA37" s="73">
        <f ca="1">INDEX(OFFSET(DeathsTimeS!HeadRow,ROW()-ROW(DeathsTimeS!HeadRow),0,1,COLUMNS(DeathsTimeS!HeadRow)),1,MATCH(NA$5,DeathsTimeS!HeadRow,0))/NA$8</f>
        <v>0</v>
      </c>
      <c r="NB37" s="278">
        <f ca="1">$A37 - DeathsTimeS!AustraliaSum100dt + 1</f>
        <v>-37</v>
      </c>
      <c r="NC37" s="366">
        <f t="shared" si="6"/>
        <v>0</v>
      </c>
      <c r="ND37" s="278">
        <f ca="1">$A37 - DeathsTimeS!Taiwan100dt + 1</f>
        <v>-69</v>
      </c>
      <c r="NE37" s="366">
        <f ca="1">INDEX(OFFSET(DeathsTimeS!HeadRow,ROW()-ROW(DeathsTimeS!HeadRow),0,1,COLUMNS(DeathsTimeS!HeadRow)),1,MATCH(NE$5,DeathsTimeS!HeadRow,0))/NE$8</f>
        <v>0.4200395492437986</v>
      </c>
      <c r="NF37" s="278">
        <f ca="1">$A37 - DeathsTimeS!Hubei100dt + 1</f>
        <v>22</v>
      </c>
      <c r="NG37" s="366">
        <f ca="1">INDEX(OFFSET(DeathsTimeS!HeadRow,ROW()-ROW(DeathsTimeS!HeadRow),0,1,COLUMNS(DeathsTimeS!HeadRow)),1,MATCH(NG$5,DeathsTimeS!HeadRow,0))/NG$8</f>
        <v>305.81196581196582</v>
      </c>
      <c r="NH37" s="278">
        <f ca="1">$A37 - DeathsTimeS!HongKong100dt + 1</f>
        <v>-69</v>
      </c>
      <c r="NI37" s="366">
        <f ca="1">INDEX(OFFSET(DeathsTimeS!HeadRow,ROW()-ROW(DeathsTimeS!HeadRow),0,1,COLUMNS(DeathsTimeS!HeadRow)),1,MATCH(NI$5,DeathsTimeS!HeadRow,0))/NI$8</f>
        <v>1.3421017313112333</v>
      </c>
    </row>
    <row r="38" spans="1:373" x14ac:dyDescent="0.25">
      <c r="A38" s="156">
        <v>43879</v>
      </c>
      <c r="B38" s="25">
        <v>0</v>
      </c>
      <c r="C38" s="25">
        <v>0</v>
      </c>
      <c r="D38" s="25">
        <v>0</v>
      </c>
      <c r="E38" s="25">
        <v>0</v>
      </c>
      <c r="F38" s="25">
        <v>0</v>
      </c>
      <c r="G38" s="25">
        <v>0</v>
      </c>
      <c r="H38" s="25">
        <v>0</v>
      </c>
      <c r="I38" s="25">
        <v>0</v>
      </c>
      <c r="J38" s="25">
        <v>0</v>
      </c>
      <c r="K38" s="25">
        <v>0</v>
      </c>
      <c r="L38" s="25">
        <v>0</v>
      </c>
      <c r="M38" s="25">
        <v>0</v>
      </c>
      <c r="N38" s="25">
        <v>0</v>
      </c>
      <c r="O38" s="25">
        <v>0</v>
      </c>
      <c r="P38" s="25">
        <v>0</v>
      </c>
      <c r="Q38" s="25">
        <v>0</v>
      </c>
      <c r="R38" s="25">
        <v>0</v>
      </c>
      <c r="S38" s="25">
        <v>0</v>
      </c>
      <c r="T38" s="25">
        <v>0</v>
      </c>
      <c r="U38" s="25">
        <v>0</v>
      </c>
      <c r="V38" s="25">
        <v>0</v>
      </c>
      <c r="W38" s="25">
        <v>0</v>
      </c>
      <c r="X38" s="25">
        <v>0</v>
      </c>
      <c r="Y38" s="25">
        <v>0</v>
      </c>
      <c r="Z38" s="25">
        <v>0</v>
      </c>
      <c r="AA38" s="25">
        <v>0</v>
      </c>
      <c r="AB38" s="25">
        <v>0</v>
      </c>
      <c r="AC38" s="25">
        <v>0</v>
      </c>
      <c r="AD38" s="25">
        <v>0</v>
      </c>
      <c r="AE38" s="25">
        <v>0</v>
      </c>
      <c r="AF38" s="25">
        <v>0</v>
      </c>
      <c r="AG38" s="25">
        <v>0</v>
      </c>
      <c r="AH38" s="25">
        <v>0</v>
      </c>
      <c r="AI38" s="25">
        <v>0</v>
      </c>
      <c r="AJ38" s="25">
        <v>0</v>
      </c>
      <c r="AK38" s="25">
        <v>0</v>
      </c>
      <c r="AL38" s="25">
        <v>0</v>
      </c>
      <c r="AM38" s="25">
        <v>0</v>
      </c>
      <c r="AN38" s="25">
        <v>0</v>
      </c>
      <c r="AO38" s="25">
        <v>0</v>
      </c>
      <c r="AP38" s="25">
        <v>0</v>
      </c>
      <c r="AQ38" s="25">
        <v>0</v>
      </c>
      <c r="AR38" s="25">
        <v>0</v>
      </c>
      <c r="AS38" s="25">
        <v>0</v>
      </c>
      <c r="AT38" s="25">
        <v>0</v>
      </c>
      <c r="AU38" s="25">
        <v>0</v>
      </c>
      <c r="AV38" s="25">
        <v>0</v>
      </c>
      <c r="AW38" s="25">
        <v>0</v>
      </c>
      <c r="AX38" s="25">
        <v>0</v>
      </c>
      <c r="AY38" s="25">
        <v>6</v>
      </c>
      <c r="AZ38" s="25">
        <v>4</v>
      </c>
      <c r="BA38" s="25">
        <v>5</v>
      </c>
      <c r="BB38" s="25">
        <v>0</v>
      </c>
      <c r="BC38" s="25">
        <v>2</v>
      </c>
      <c r="BD38" s="25">
        <v>4</v>
      </c>
      <c r="BE38" s="25">
        <v>2</v>
      </c>
      <c r="BF38" s="25">
        <v>2</v>
      </c>
      <c r="BG38" s="25">
        <v>4</v>
      </c>
      <c r="BH38" s="25">
        <v>4</v>
      </c>
      <c r="BI38" s="25">
        <v>11</v>
      </c>
      <c r="BJ38" s="25">
        <v>19</v>
      </c>
      <c r="BK38" s="25">
        <v>1</v>
      </c>
      <c r="BL38" s="25">
        <v>1921</v>
      </c>
      <c r="BM38" s="25">
        <v>4</v>
      </c>
      <c r="BN38" s="25">
        <v>0</v>
      </c>
      <c r="BO38" s="25">
        <v>0</v>
      </c>
      <c r="BP38" s="25">
        <v>1</v>
      </c>
      <c r="BQ38" s="25">
        <v>1</v>
      </c>
      <c r="BR38" s="25">
        <v>1</v>
      </c>
      <c r="BS38" s="25">
        <v>0</v>
      </c>
      <c r="BT38" s="25">
        <v>0</v>
      </c>
      <c r="BU38" s="25">
        <v>0</v>
      </c>
      <c r="BV38" s="25">
        <v>0</v>
      </c>
      <c r="BW38" s="25">
        <v>3</v>
      </c>
      <c r="BX38" s="25">
        <v>1</v>
      </c>
      <c r="BY38" s="25">
        <v>0</v>
      </c>
      <c r="BZ38" s="25">
        <v>3</v>
      </c>
      <c r="CA38" s="25">
        <v>3</v>
      </c>
      <c r="CB38" s="25">
        <v>0</v>
      </c>
      <c r="CC38" s="25">
        <v>1</v>
      </c>
      <c r="CD38" s="25">
        <v>0</v>
      </c>
      <c r="CE38" s="25">
        <v>0</v>
      </c>
      <c r="CF38" s="25">
        <v>0</v>
      </c>
      <c r="CG38" s="25">
        <v>0</v>
      </c>
      <c r="CH38" s="25">
        <v>0</v>
      </c>
      <c r="CI38" s="25">
        <v>0</v>
      </c>
      <c r="CJ38" s="25">
        <v>0</v>
      </c>
      <c r="CK38" s="25">
        <v>0</v>
      </c>
      <c r="CL38" s="25">
        <v>0</v>
      </c>
      <c r="CM38" s="25">
        <v>0</v>
      </c>
      <c r="CN38" s="25">
        <v>0</v>
      </c>
      <c r="CO38" s="25">
        <v>0</v>
      </c>
      <c r="CP38" s="25">
        <v>0</v>
      </c>
      <c r="CQ38" s="25">
        <v>0</v>
      </c>
      <c r="CR38" s="25">
        <v>0</v>
      </c>
      <c r="CS38" s="25">
        <v>0</v>
      </c>
      <c r="CT38" s="25">
        <v>0</v>
      </c>
      <c r="CU38" s="25">
        <v>0</v>
      </c>
      <c r="CV38" s="25">
        <v>0</v>
      </c>
      <c r="CW38" s="25">
        <v>0</v>
      </c>
      <c r="CX38" s="25">
        <v>0</v>
      </c>
      <c r="CY38" s="25">
        <v>0</v>
      </c>
      <c r="CZ38" s="25">
        <v>0</v>
      </c>
      <c r="DA38" s="25">
        <v>0</v>
      </c>
      <c r="DB38" s="25">
        <v>0</v>
      </c>
      <c r="DC38" s="25">
        <v>0</v>
      </c>
      <c r="DD38" s="25">
        <v>0</v>
      </c>
      <c r="DE38" s="25">
        <v>0</v>
      </c>
      <c r="DF38" s="25">
        <v>0</v>
      </c>
      <c r="DG38" s="25">
        <v>0</v>
      </c>
      <c r="DH38" s="25">
        <v>0</v>
      </c>
      <c r="DI38" s="25">
        <v>0</v>
      </c>
      <c r="DJ38" s="25">
        <v>0</v>
      </c>
      <c r="DK38" s="25">
        <v>0</v>
      </c>
      <c r="DL38" s="25">
        <v>0</v>
      </c>
      <c r="DM38" s="25">
        <v>0</v>
      </c>
      <c r="DN38" s="25">
        <v>1</v>
      </c>
      <c r="DO38" s="25">
        <v>0</v>
      </c>
      <c r="DP38" s="25">
        <v>0</v>
      </c>
      <c r="DQ38" s="25">
        <v>0</v>
      </c>
      <c r="DR38" s="25">
        <v>0</v>
      </c>
      <c r="DS38" s="25">
        <v>0</v>
      </c>
      <c r="DT38" s="25">
        <v>0</v>
      </c>
      <c r="DU38" s="25">
        <v>0</v>
      </c>
      <c r="DV38" s="25">
        <v>0</v>
      </c>
      <c r="DW38" s="25">
        <v>0</v>
      </c>
      <c r="DX38" s="25">
        <v>0</v>
      </c>
      <c r="DY38" s="25">
        <v>0</v>
      </c>
      <c r="DZ38" s="25">
        <v>0</v>
      </c>
      <c r="EA38" s="25">
        <v>0</v>
      </c>
      <c r="EB38" s="25">
        <v>0</v>
      </c>
      <c r="EC38" s="25">
        <v>0</v>
      </c>
      <c r="ED38" s="25">
        <v>0</v>
      </c>
      <c r="EE38" s="25">
        <v>0</v>
      </c>
      <c r="EF38" s="25">
        <v>0</v>
      </c>
      <c r="EG38" s="25">
        <v>0</v>
      </c>
      <c r="EH38" s="25">
        <v>0</v>
      </c>
      <c r="EI38" s="25">
        <v>0</v>
      </c>
      <c r="EJ38" s="25">
        <v>0</v>
      </c>
      <c r="EK38" s="25">
        <v>1</v>
      </c>
      <c r="EL38" s="25">
        <v>0</v>
      </c>
      <c r="EM38" s="25">
        <v>0</v>
      </c>
      <c r="EN38" s="25">
        <v>0</v>
      </c>
      <c r="EO38" s="25">
        <v>0</v>
      </c>
      <c r="EP38" s="25">
        <v>0</v>
      </c>
      <c r="EQ38" s="25">
        <v>0</v>
      </c>
      <c r="ER38" s="25">
        <v>0</v>
      </c>
      <c r="ES38" s="25">
        <v>0</v>
      </c>
      <c r="ET38" s="25">
        <v>0</v>
      </c>
      <c r="EU38" s="25">
        <v>0</v>
      </c>
      <c r="EV38" s="25">
        <v>0</v>
      </c>
      <c r="EW38" s="25">
        <v>0</v>
      </c>
      <c r="EX38" s="25">
        <v>0</v>
      </c>
      <c r="EY38" s="25">
        <v>0</v>
      </c>
      <c r="EZ38" s="25">
        <v>0</v>
      </c>
      <c r="FA38" s="25">
        <v>0</v>
      </c>
      <c r="FB38" s="25">
        <v>0</v>
      </c>
      <c r="FC38" s="25">
        <v>0</v>
      </c>
      <c r="FD38" s="25">
        <v>0</v>
      </c>
      <c r="FE38" s="25">
        <v>0</v>
      </c>
      <c r="FF38" s="25">
        <v>0</v>
      </c>
      <c r="FG38" s="25">
        <v>0</v>
      </c>
      <c r="FH38" s="25">
        <v>0</v>
      </c>
      <c r="FI38" s="25">
        <v>0</v>
      </c>
      <c r="FJ38" s="25">
        <v>0</v>
      </c>
      <c r="FK38" s="25">
        <v>0</v>
      </c>
      <c r="FL38" s="25">
        <v>0</v>
      </c>
      <c r="FM38" s="25">
        <v>0</v>
      </c>
      <c r="FN38" s="25">
        <v>0</v>
      </c>
      <c r="FO38" s="25">
        <v>0</v>
      </c>
      <c r="FP38" s="25">
        <v>0</v>
      </c>
      <c r="FQ38" s="25">
        <v>0</v>
      </c>
      <c r="FR38" s="25">
        <v>0</v>
      </c>
      <c r="FS38" s="25">
        <v>0</v>
      </c>
      <c r="FT38" s="25">
        <v>0</v>
      </c>
      <c r="FU38" s="25">
        <v>0</v>
      </c>
      <c r="FV38" s="25">
        <v>0</v>
      </c>
      <c r="FW38" s="25">
        <v>0</v>
      </c>
      <c r="FX38" s="25">
        <v>0</v>
      </c>
      <c r="FY38" s="25">
        <v>0</v>
      </c>
      <c r="FZ38" s="25">
        <v>0</v>
      </c>
      <c r="GA38" s="25">
        <v>0</v>
      </c>
      <c r="GB38" s="25">
        <v>1</v>
      </c>
      <c r="GC38" s="25">
        <v>0</v>
      </c>
      <c r="GD38" s="25">
        <v>0</v>
      </c>
      <c r="GE38" s="25">
        <v>0</v>
      </c>
      <c r="GF38" s="25">
        <v>0</v>
      </c>
      <c r="GG38" s="25">
        <v>0</v>
      </c>
      <c r="GH38" s="25">
        <v>0</v>
      </c>
      <c r="GI38" s="25">
        <v>0</v>
      </c>
      <c r="GJ38" s="25">
        <v>0</v>
      </c>
      <c r="GK38" s="25">
        <v>0</v>
      </c>
      <c r="GL38" s="25">
        <v>0</v>
      </c>
      <c r="GM38" s="25">
        <v>0</v>
      </c>
      <c r="GN38" s="25">
        <v>0</v>
      </c>
      <c r="GO38" s="25">
        <v>0</v>
      </c>
      <c r="GP38" s="25">
        <v>0</v>
      </c>
      <c r="GQ38" s="25">
        <v>0</v>
      </c>
      <c r="GR38" s="25">
        <v>0</v>
      </c>
      <c r="GS38" s="25">
        <v>0</v>
      </c>
      <c r="GT38" s="25">
        <v>0</v>
      </c>
      <c r="GU38" s="25">
        <v>0</v>
      </c>
      <c r="GV38" s="25">
        <v>0</v>
      </c>
      <c r="GW38" s="25">
        <v>0</v>
      </c>
      <c r="GX38" s="25">
        <v>0</v>
      </c>
      <c r="GY38" s="46">
        <v>0</v>
      </c>
      <c r="GZ38" s="25">
        <v>0</v>
      </c>
      <c r="HA38" s="25">
        <v>1</v>
      </c>
      <c r="HB38" s="25">
        <v>0</v>
      </c>
      <c r="HC38" s="25">
        <v>0</v>
      </c>
      <c r="HD38" s="25">
        <v>0</v>
      </c>
      <c r="HE38" s="25">
        <v>0</v>
      </c>
      <c r="HF38" s="25">
        <v>0</v>
      </c>
      <c r="HG38" s="25">
        <v>0</v>
      </c>
      <c r="HH38" s="25">
        <v>0</v>
      </c>
      <c r="HI38" s="25">
        <v>0</v>
      </c>
      <c r="HJ38" s="25">
        <v>0</v>
      </c>
      <c r="HK38" s="25">
        <v>0</v>
      </c>
      <c r="HL38" s="25">
        <v>0</v>
      </c>
      <c r="HM38" s="25">
        <v>0</v>
      </c>
      <c r="HN38" s="25">
        <v>0</v>
      </c>
      <c r="HO38" s="25">
        <v>0</v>
      </c>
      <c r="HP38" s="25">
        <v>0</v>
      </c>
      <c r="HQ38" s="25">
        <v>0</v>
      </c>
      <c r="HR38" s="25">
        <v>0</v>
      </c>
      <c r="HS38" s="25">
        <v>0</v>
      </c>
      <c r="HT38" s="25">
        <v>0</v>
      </c>
      <c r="HU38" s="25">
        <v>0</v>
      </c>
      <c r="HV38" s="25">
        <v>0</v>
      </c>
      <c r="HW38" s="25">
        <v>0</v>
      </c>
      <c r="HX38" s="25">
        <v>0</v>
      </c>
      <c r="HY38" s="25">
        <v>0</v>
      </c>
      <c r="HZ38" s="25">
        <v>0</v>
      </c>
      <c r="IA38" s="25">
        <v>0</v>
      </c>
      <c r="IB38" s="25">
        <v>0</v>
      </c>
      <c r="IC38" s="25">
        <v>0</v>
      </c>
      <c r="ID38" s="25">
        <v>0</v>
      </c>
      <c r="IE38" s="25">
        <v>0</v>
      </c>
      <c r="IF38" s="25">
        <v>0</v>
      </c>
      <c r="IG38" s="25">
        <v>0</v>
      </c>
      <c r="IH38" s="25">
        <v>0</v>
      </c>
      <c r="II38" s="25">
        <v>0</v>
      </c>
      <c r="IJ38" s="25">
        <v>0</v>
      </c>
      <c r="IK38" s="25">
        <v>0</v>
      </c>
      <c r="IL38" s="25">
        <v>0</v>
      </c>
      <c r="IM38" s="25">
        <v>0</v>
      </c>
      <c r="IN38" s="25">
        <v>0</v>
      </c>
      <c r="IO38" s="25">
        <v>0</v>
      </c>
      <c r="IP38" s="25">
        <v>0</v>
      </c>
      <c r="IQ38" s="25">
        <v>0</v>
      </c>
      <c r="IR38" s="25">
        <v>0</v>
      </c>
      <c r="IS38" s="25">
        <v>0</v>
      </c>
      <c r="IT38" s="25">
        <v>0</v>
      </c>
      <c r="IU38" s="25">
        <v>0</v>
      </c>
      <c r="IV38" s="25">
        <v>0</v>
      </c>
      <c r="IW38" s="25">
        <v>0</v>
      </c>
      <c r="IX38" s="25">
        <v>0</v>
      </c>
      <c r="IY38" s="25">
        <v>0</v>
      </c>
      <c r="IZ38" s="25">
        <v>0</v>
      </c>
      <c r="JA38" s="25">
        <v>0</v>
      </c>
      <c r="JB38" s="25">
        <v>0</v>
      </c>
      <c r="JC38" s="25">
        <v>0</v>
      </c>
      <c r="JD38" s="25">
        <v>0</v>
      </c>
      <c r="JE38" s="25">
        <v>0</v>
      </c>
      <c r="JF38" s="25">
        <v>0</v>
      </c>
      <c r="JG38" s="25">
        <v>0</v>
      </c>
      <c r="JH38" s="25">
        <v>0</v>
      </c>
      <c r="JI38" s="25">
        <v>0</v>
      </c>
      <c r="JJ38" s="25">
        <v>0</v>
      </c>
      <c r="JK38" s="25">
        <v>0</v>
      </c>
      <c r="JL38" s="25">
        <v>0</v>
      </c>
      <c r="JM38" s="25">
        <v>0</v>
      </c>
      <c r="JN38" s="25">
        <v>0</v>
      </c>
      <c r="JO38" s="25">
        <v>0</v>
      </c>
      <c r="JP38" s="25">
        <v>0</v>
      </c>
      <c r="JQ38" s="25">
        <v>0</v>
      </c>
      <c r="JR38" s="25">
        <v>0</v>
      </c>
      <c r="JS38" s="25">
        <v>0</v>
      </c>
      <c r="JT38" s="25">
        <v>0</v>
      </c>
      <c r="JU38" s="25">
        <v>0</v>
      </c>
      <c r="JV38" s="25">
        <v>0</v>
      </c>
      <c r="JW38" s="25">
        <v>0</v>
      </c>
      <c r="JX38" s="25">
        <v>0</v>
      </c>
      <c r="JY38" s="25">
        <v>0</v>
      </c>
      <c r="JZ38" s="25">
        <v>0</v>
      </c>
      <c r="KA38" s="25">
        <v>0</v>
      </c>
      <c r="KB38" s="25">
        <v>0</v>
      </c>
      <c r="KC38" s="25">
        <v>0</v>
      </c>
      <c r="KD38" s="25">
        <v>0</v>
      </c>
      <c r="KE38" s="25">
        <v>0</v>
      </c>
      <c r="KF38" s="25">
        <v>0</v>
      </c>
      <c r="KG38" s="25">
        <v>0</v>
      </c>
      <c r="KH38" s="25">
        <v>0</v>
      </c>
      <c r="KI38" s="25">
        <v>0</v>
      </c>
      <c r="KJ38" s="25">
        <v>0</v>
      </c>
      <c r="KK38" s="25">
        <v>0</v>
      </c>
      <c r="KL38" s="25">
        <v>0</v>
      </c>
      <c r="KM38" s="25">
        <v>0</v>
      </c>
      <c r="KN38" s="25">
        <v>0</v>
      </c>
      <c r="KO38" s="25">
        <v>0</v>
      </c>
      <c r="KP38" s="25">
        <v>0</v>
      </c>
      <c r="KQ38" s="25">
        <v>0</v>
      </c>
      <c r="KR38" s="25">
        <v>0</v>
      </c>
      <c r="KS38" s="25">
        <v>0</v>
      </c>
      <c r="KT38" s="25">
        <v>0</v>
      </c>
      <c r="KU38" s="25">
        <v>0</v>
      </c>
      <c r="KV38" s="25">
        <v>0</v>
      </c>
      <c r="KW38" s="25">
        <v>0</v>
      </c>
      <c r="KX38" s="25">
        <v>0</v>
      </c>
      <c r="KY38" s="25">
        <v>0</v>
      </c>
      <c r="KZ38" s="25">
        <v>0</v>
      </c>
      <c r="LA38" s="25">
        <v>0</v>
      </c>
      <c r="LB38" s="25">
        <v>0</v>
      </c>
      <c r="LC38" s="25">
        <v>0</v>
      </c>
      <c r="LD38" s="25">
        <v>0</v>
      </c>
      <c r="LE38" s="25">
        <v>0</v>
      </c>
      <c r="LF38" s="25">
        <v>0</v>
      </c>
      <c r="LG38" s="25">
        <v>0</v>
      </c>
      <c r="LH38" s="25">
        <v>0</v>
      </c>
      <c r="LI38" s="25">
        <v>0</v>
      </c>
      <c r="LJ38" s="25">
        <v>0</v>
      </c>
      <c r="LK38" s="25">
        <v>0</v>
      </c>
      <c r="LL38" s="25">
        <v>0</v>
      </c>
      <c r="LM38" s="25">
        <v>0</v>
      </c>
      <c r="LN38" s="278">
        <f ca="1">$A38 - DeathsTimeS!Sweden100dt + 1</f>
        <v>-29</v>
      </c>
      <c r="LO38" s="366">
        <f ca="1">INDEX(OFFSET(DeathsTimeS!HeadRow,ROW()-ROW(DeathsTimeS!HeadRow),0,1,COLUMNS(DeathsTimeS!HeadRow)),1,MATCH(LO$5,DeathsTimeS!HeadRow,0))/LO$8</f>
        <v>0</v>
      </c>
      <c r="LP38" s="278">
        <f ca="1">$A38 - DeathsTimeS!Spain100dt</f>
        <v>-22</v>
      </c>
      <c r="LQ38" s="11">
        <f ca="1">INDEX(OFFSET(DeathsTimeS!HeadRow,ROW()-ROW(DeathsTimeS!HeadRow),0,1,COLUMNS(DeathsTimeS!HeadRow)),1,MATCH(LQ$5,DeathsTimeS!HeadRow,0))/LQ$8</f>
        <v>0</v>
      </c>
      <c r="LR38" s="278">
        <f ca="1">$A38 - DeathsTimeS!Victoria100dt</f>
        <v>-45</v>
      </c>
      <c r="LS38" s="11">
        <f ca="1">INDEX(OFFSET(DeathsTimeS!HeadRow,ROW()-ROW(DeathsTimeS!HeadRow),0,1,COLUMNS(DeathsTimeS!HeadRow)),1,MATCH(LS$5,DeathsTimeS!HeadRow,0))/LS$8</f>
        <v>0</v>
      </c>
      <c r="LT38" s="278">
        <f ca="1">$A38 - DeathsTimeS!Iran100dt</f>
        <v>-15</v>
      </c>
      <c r="LU38" s="11">
        <f ca="1">INDEX(OFFSET(DeathsTimeS!HeadRow,ROW()-ROW(DeathsTimeS!HeadRow),0,1,COLUMNS(DeathsTimeS!HeadRow)),1,MATCH(LU$5,DeathsTimeS!HeadRow,0))/LU$8</f>
        <v>0</v>
      </c>
      <c r="LV38" s="278">
        <f ca="1">$A38 - DeathsTimeS!Japan100dt</f>
        <v>-56</v>
      </c>
      <c r="LW38" s="11">
        <f ca="1">INDEX(OFFSET(DeathsTimeS!HeadRow,ROW()-ROW(DeathsTimeS!HeadRow),0,1,COLUMNS(DeathsTimeS!HeadRow)),1,MATCH(LW$5,DeathsTimeS!HeadRow,0))/LW$8</f>
        <v>7.9017525794856464E-2</v>
      </c>
      <c r="LX38" s="278">
        <f ca="1">$A38 - DeathsTimeS!Queensland100dt</f>
        <v>-60</v>
      </c>
      <c r="LY38" s="11">
        <f ca="1">INDEX(OFFSET(DeathsTimeS!HeadRow,ROW()-ROW(DeathsTimeS!HeadRow),0,1,COLUMNS(DeathsTimeS!HeadRow)),1,MATCH(LY$5,DeathsTimeS!HeadRow,0))/LY$8</f>
        <v>0</v>
      </c>
      <c r="LZ38" s="278">
        <f ca="1">$A38 - DeathsTimeS!Tasmania100dt</f>
        <v>-42</v>
      </c>
      <c r="MA38" s="11">
        <f ca="1">INDEX(OFFSET(DeathsTimeS!HeadRow,ROW()-ROW(DeathsTimeS!HeadRow),0,1,COLUMNS(DeathsTimeS!HeadRow)),1,MATCH(MA$5,DeathsTimeS!HeadRow,0))/MA$8</f>
        <v>0</v>
      </c>
      <c r="MB38" s="278">
        <f ca="1">$A38 - DeathsTimeS!SouthAustralia100dt</f>
        <v>-50</v>
      </c>
      <c r="MC38" s="11">
        <f ca="1">INDEX(OFFSET(DeathsTimeS!HeadRow,ROW()-ROW(DeathsTimeS!HeadRow),0,1,COLUMNS(DeathsTimeS!HeadRow)),1,MATCH(MC$5,DeathsTimeS!HeadRow,0))/MC$8</f>
        <v>0</v>
      </c>
      <c r="MD38" s="278">
        <f ca="1">$A38 - DeathsTimeS!WesternAustralia100dt</f>
        <v>-47</v>
      </c>
      <c r="ME38" s="11">
        <f ca="1">INDEX(OFFSET(DeathsTimeS!HeadRow,ROW()-ROW(DeathsTimeS!HeadRow),0,1,COLUMNS(DeathsTimeS!HeadRow)),1,MATCH(ME$5,DeathsTimeS!HeadRow,0))/ME$8</f>
        <v>0</v>
      </c>
      <c r="MF38" s="278">
        <f ca="1">$A38 - DeathsTimeS!NewSouthWales100dt</f>
        <v>-43</v>
      </c>
      <c r="MG38" s="11">
        <f ca="1">INDEX(OFFSET(DeathsTimeS!HeadRow,ROW()-ROW(DeathsTimeS!HeadRow),0,1,COLUMNS(DeathsTimeS!HeadRow)),1,MATCH(MG$5,DeathsTimeS!HeadRow,0))/MG$8</f>
        <v>0</v>
      </c>
      <c r="MH38" s="278">
        <f ca="1">$A38 - DeathsTimeS!NewYork100dt</f>
        <v>-27</v>
      </c>
      <c r="MI38" s="11">
        <f ca="1">INDEX(OFFSET(DeathsTimeS!HeadRow,ROW()-ROW(DeathsTimeS!HeadRow),0,1,COLUMNS(DeathsTimeS!HeadRow)),1,MATCH(MI$5,DeathsTimeS!HeadRow,0))/MI$8</f>
        <v>0</v>
      </c>
      <c r="MJ38" s="278">
        <f ca="1">$A38 - DeathsTimeS!Italy100dt</f>
        <v>-14</v>
      </c>
      <c r="MK38" s="11">
        <f ca="1">INDEX(OFFSET(DeathsTimeS!HeadRow,ROW()-ROW(DeathsTimeS!HeadRow),0,1,COLUMNS(DeathsTimeS!HeadRow)),1,MATCH(MK$5,DeathsTimeS!HeadRow,0))/MK$8</f>
        <v>0</v>
      </c>
      <c r="ML38" s="278">
        <f ca="1">$A38 - DeathsTimeS!AustralianCapitalTerritory100dt</f>
        <v>-41</v>
      </c>
      <c r="MM38" s="11">
        <f ca="1">INDEX(OFFSET(DeathsTimeS!HeadRow,ROW()-ROW(DeathsTimeS!HeadRow),0,1,COLUMNS(DeathsTimeS!HeadRow)),1,MATCH(MM$5,DeathsTimeS!HeadRow,0))/MM$8</f>
        <v>0</v>
      </c>
      <c r="MN38" s="278">
        <f ca="1">IF(DeathsTimeS!NorthernTerritory100dt&gt;0,$A38 - DeathsTimeS!NorthernTerritory100dt,"")</f>
        <v>-69</v>
      </c>
      <c r="MO38" s="11">
        <f ca="1">INDEX(OFFSET(DeathsTimeS!HeadRow,ROW()-ROW(DeathsTimeS!HeadRow),0,1,COLUMNS(DeathsTimeS!HeadRow)),1,MATCH(MO$5,DeathsTimeS!HeadRow,0))/MO$8</f>
        <v>0</v>
      </c>
      <c r="MP38" s="278">
        <f ca="1">$A38 - DeathsTimeS!SouthAfrica100dt + 1</f>
        <v>-61</v>
      </c>
      <c r="MQ38" s="20">
        <f ca="1">INDEX(OFFSET(DeathsTimeS!HeadRow,ROW()-ROW(DeathsTimeS!HeadRow),0,1,COLUMNS(DeathsTimeS!HeadRow)),1,MATCH(MQ$5,DeathsTimeS!HeadRow,0))/MQ$8</f>
        <v>0</v>
      </c>
      <c r="MR38" s="278">
        <f ca="1">$A38 - DeathsTimeS!Germany100dt + 1</f>
        <v>-31</v>
      </c>
      <c r="MS38" s="20">
        <f ca="1">INDEX(OFFSET(DeathsTimeS!HeadRow,ROW()-ROW(DeathsTimeS!HeadRow),0,1,COLUMNS(DeathsTimeS!HeadRow)),1,MATCH(MS$5,DeathsTimeS!HeadRow,0))/MS$8</f>
        <v>0</v>
      </c>
      <c r="MT38" s="278">
        <f ca="1">$A38 - DeathsTimeS!Ireland100dt + 1</f>
        <v>-33</v>
      </c>
      <c r="MU38" s="73">
        <f ca="1">INDEX(OFFSET(DeathsTimeS!HeadRow,ROW()-ROW(DeathsTimeS!HeadRow),0,1,COLUMNS(DeathsTimeS!HeadRow)),1,MATCH(MU$5,DeathsTimeS!HeadRow,0))/MU$8</f>
        <v>0</v>
      </c>
      <c r="MV38" s="278">
        <f ca="1">$A38 - DeathsTimeS!UnitedKingdom100dt + 1</f>
        <v>-27</v>
      </c>
      <c r="MW38" s="73">
        <f ca="1">INDEX(OFFSET(DeathsTimeS!HeadRow,ROW()-ROW(DeathsTimeS!HeadRow),0,1,COLUMNS(DeathsTimeS!HeadRow)),1,MATCH(MW$5,DeathsTimeS!HeadRow,0))/MW$8</f>
        <v>0</v>
      </c>
      <c r="MX38" s="278">
        <f ca="1">$A38 - DeathsTimeS!Denmark100dt + 1</f>
        <v>-29</v>
      </c>
      <c r="MY38" s="73">
        <f ca="1">INDEX(OFFSET(DeathsTimeS!HeadRow,ROW()-ROW(DeathsTimeS!HeadRow),0,1,COLUMNS(DeathsTimeS!HeadRow)),1,MATCH(MY$5,DeathsTimeS!HeadRow,0))/MY$8</f>
        <v>0</v>
      </c>
      <c r="MZ38" s="278">
        <f ca="1">$A38 - DeathsTimeS!US100dt + 1</f>
        <v>-30</v>
      </c>
      <c r="NA38" s="73">
        <f ca="1">INDEX(OFFSET(DeathsTimeS!HeadRow,ROW()-ROW(DeathsTimeS!HeadRow),0,1,COLUMNS(DeathsTimeS!HeadRow)),1,MATCH(NA$5,DeathsTimeS!HeadRow,0))/NA$8</f>
        <v>0</v>
      </c>
      <c r="NB38" s="278">
        <f ca="1">$A38 - DeathsTimeS!AustraliaSum100dt + 1</f>
        <v>-36</v>
      </c>
      <c r="NC38" s="366">
        <f t="shared" si="6"/>
        <v>0</v>
      </c>
      <c r="ND38" s="278">
        <f ca="1">$A38 - DeathsTimeS!Taiwan100dt + 1</f>
        <v>-68</v>
      </c>
      <c r="NE38" s="366">
        <f ca="1">INDEX(OFFSET(DeathsTimeS!HeadRow,ROW()-ROW(DeathsTimeS!HeadRow),0,1,COLUMNS(DeathsTimeS!HeadRow)),1,MATCH(NE$5,DeathsTimeS!HeadRow,0))/NE$8</f>
        <v>0.4200395492437986</v>
      </c>
      <c r="NF38" s="278">
        <f ca="1">$A38 - DeathsTimeS!Hubei100dt + 1</f>
        <v>23</v>
      </c>
      <c r="NG38" s="366">
        <f ca="1">INDEX(OFFSET(DeathsTimeS!HeadRow,ROW()-ROW(DeathsTimeS!HeadRow),0,1,COLUMNS(DeathsTimeS!HeadRow)),1,MATCH(NG$5,DeathsTimeS!HeadRow,0))/NG$8</f>
        <v>328.37606837606842</v>
      </c>
      <c r="NH38" s="278">
        <f ca="1">$A38 - DeathsTimeS!HongKong100dt + 1</f>
        <v>-68</v>
      </c>
      <c r="NI38" s="366">
        <f ca="1">INDEX(OFFSET(DeathsTimeS!HeadRow,ROW()-ROW(DeathsTimeS!HeadRow),0,1,COLUMNS(DeathsTimeS!HeadRow)),1,MATCH(NI$5,DeathsTimeS!HeadRow,0))/NI$8</f>
        <v>1.3421017313112333</v>
      </c>
    </row>
    <row r="39" spans="1:373" x14ac:dyDescent="0.25">
      <c r="A39" s="156">
        <v>43880</v>
      </c>
      <c r="B39" s="25">
        <v>0</v>
      </c>
      <c r="C39" s="25">
        <v>0</v>
      </c>
      <c r="D39" s="25">
        <v>0</v>
      </c>
      <c r="E39" s="25">
        <v>0</v>
      </c>
      <c r="F39" s="25">
        <v>0</v>
      </c>
      <c r="G39" s="25">
        <v>0</v>
      </c>
      <c r="H39" s="25">
        <v>0</v>
      </c>
      <c r="I39" s="25">
        <v>0</v>
      </c>
      <c r="J39" s="25">
        <v>0</v>
      </c>
      <c r="K39" s="25">
        <v>0</v>
      </c>
      <c r="L39" s="25">
        <v>0</v>
      </c>
      <c r="M39" s="25">
        <v>0</v>
      </c>
      <c r="N39" s="25">
        <v>0</v>
      </c>
      <c r="O39" s="25">
        <v>0</v>
      </c>
      <c r="P39" s="25">
        <v>0</v>
      </c>
      <c r="Q39" s="25">
        <v>0</v>
      </c>
      <c r="R39" s="25">
        <v>0</v>
      </c>
      <c r="S39" s="25">
        <v>0</v>
      </c>
      <c r="T39" s="25">
        <v>0</v>
      </c>
      <c r="U39" s="25">
        <v>0</v>
      </c>
      <c r="V39" s="25">
        <v>0</v>
      </c>
      <c r="W39" s="25">
        <v>0</v>
      </c>
      <c r="X39" s="25">
        <v>0</v>
      </c>
      <c r="Y39" s="25">
        <v>0</v>
      </c>
      <c r="Z39" s="25">
        <v>0</v>
      </c>
      <c r="AA39" s="25">
        <v>0</v>
      </c>
      <c r="AB39" s="25">
        <v>0</v>
      </c>
      <c r="AC39" s="25">
        <v>0</v>
      </c>
      <c r="AD39" s="25">
        <v>0</v>
      </c>
      <c r="AE39" s="25">
        <v>0</v>
      </c>
      <c r="AF39" s="25">
        <v>0</v>
      </c>
      <c r="AG39" s="25">
        <v>0</v>
      </c>
      <c r="AH39" s="25">
        <v>0</v>
      </c>
      <c r="AI39" s="25">
        <v>0</v>
      </c>
      <c r="AJ39" s="25">
        <v>0</v>
      </c>
      <c r="AK39" s="25">
        <v>0</v>
      </c>
      <c r="AL39" s="25">
        <v>0</v>
      </c>
      <c r="AM39" s="25">
        <v>0</v>
      </c>
      <c r="AN39" s="25">
        <v>0</v>
      </c>
      <c r="AO39" s="25">
        <v>0</v>
      </c>
      <c r="AP39" s="25">
        <v>0</v>
      </c>
      <c r="AQ39" s="25">
        <v>0</v>
      </c>
      <c r="AR39" s="25">
        <v>0</v>
      </c>
      <c r="AS39" s="25">
        <v>0</v>
      </c>
      <c r="AT39" s="25">
        <v>0</v>
      </c>
      <c r="AU39" s="25">
        <v>0</v>
      </c>
      <c r="AV39" s="25">
        <v>0</v>
      </c>
      <c r="AW39" s="25">
        <v>0</v>
      </c>
      <c r="AX39" s="25">
        <v>0</v>
      </c>
      <c r="AY39" s="25">
        <v>6</v>
      </c>
      <c r="AZ39" s="25">
        <v>4</v>
      </c>
      <c r="BA39" s="25">
        <v>5</v>
      </c>
      <c r="BB39" s="25">
        <v>0</v>
      </c>
      <c r="BC39" s="25">
        <v>2</v>
      </c>
      <c r="BD39" s="25">
        <v>5</v>
      </c>
      <c r="BE39" s="25">
        <v>2</v>
      </c>
      <c r="BF39" s="25">
        <v>2</v>
      </c>
      <c r="BG39" s="25">
        <v>4</v>
      </c>
      <c r="BH39" s="25">
        <v>4</v>
      </c>
      <c r="BI39" s="25">
        <v>12</v>
      </c>
      <c r="BJ39" s="25">
        <v>19</v>
      </c>
      <c r="BK39" s="25">
        <v>2</v>
      </c>
      <c r="BL39" s="25">
        <v>2029</v>
      </c>
      <c r="BM39" s="25">
        <v>4</v>
      </c>
      <c r="BN39" s="25">
        <v>0</v>
      </c>
      <c r="BO39" s="25">
        <v>0</v>
      </c>
      <c r="BP39" s="25">
        <v>1</v>
      </c>
      <c r="BQ39" s="25">
        <v>1</v>
      </c>
      <c r="BR39" s="25">
        <v>1</v>
      </c>
      <c r="BS39" s="25">
        <v>0</v>
      </c>
      <c r="BT39" s="25">
        <v>0</v>
      </c>
      <c r="BU39" s="25">
        <v>0</v>
      </c>
      <c r="BV39" s="25">
        <v>0</v>
      </c>
      <c r="BW39" s="25">
        <v>3</v>
      </c>
      <c r="BX39" s="25">
        <v>2</v>
      </c>
      <c r="BY39" s="25">
        <v>0</v>
      </c>
      <c r="BZ39" s="25">
        <v>3</v>
      </c>
      <c r="CA39" s="25">
        <v>3</v>
      </c>
      <c r="CB39" s="25">
        <v>0</v>
      </c>
      <c r="CC39" s="25">
        <v>1</v>
      </c>
      <c r="CD39" s="25">
        <v>1</v>
      </c>
      <c r="CE39" s="25">
        <v>0</v>
      </c>
      <c r="CF39" s="25">
        <v>0</v>
      </c>
      <c r="CG39" s="25">
        <v>0</v>
      </c>
      <c r="CH39" s="25">
        <v>0</v>
      </c>
      <c r="CI39" s="25">
        <v>0</v>
      </c>
      <c r="CJ39" s="25">
        <v>0</v>
      </c>
      <c r="CK39" s="25">
        <v>0</v>
      </c>
      <c r="CL39" s="25">
        <v>0</v>
      </c>
      <c r="CM39" s="25">
        <v>0</v>
      </c>
      <c r="CN39" s="25">
        <v>0</v>
      </c>
      <c r="CO39" s="25">
        <v>0</v>
      </c>
      <c r="CP39" s="25">
        <v>0</v>
      </c>
      <c r="CQ39" s="25">
        <v>0</v>
      </c>
      <c r="CR39" s="25">
        <v>0</v>
      </c>
      <c r="CS39" s="25">
        <v>0</v>
      </c>
      <c r="CT39" s="25">
        <v>0</v>
      </c>
      <c r="CU39" s="25">
        <v>0</v>
      </c>
      <c r="CV39" s="25">
        <v>0</v>
      </c>
      <c r="CW39" s="25">
        <v>0</v>
      </c>
      <c r="CX39" s="25">
        <v>0</v>
      </c>
      <c r="CY39" s="25">
        <v>0</v>
      </c>
      <c r="CZ39" s="25">
        <v>0</v>
      </c>
      <c r="DA39" s="25">
        <v>0</v>
      </c>
      <c r="DB39" s="25">
        <v>0</v>
      </c>
      <c r="DC39" s="25">
        <v>0</v>
      </c>
      <c r="DD39" s="25">
        <v>0</v>
      </c>
      <c r="DE39" s="25">
        <v>0</v>
      </c>
      <c r="DF39" s="25">
        <v>0</v>
      </c>
      <c r="DG39" s="25">
        <v>0</v>
      </c>
      <c r="DH39" s="25">
        <v>0</v>
      </c>
      <c r="DI39" s="25">
        <v>0</v>
      </c>
      <c r="DJ39" s="25">
        <v>0</v>
      </c>
      <c r="DK39" s="25">
        <v>0</v>
      </c>
      <c r="DL39" s="25">
        <v>0</v>
      </c>
      <c r="DM39" s="25">
        <v>0</v>
      </c>
      <c r="DN39" s="25">
        <v>1</v>
      </c>
      <c r="DO39" s="25">
        <v>0</v>
      </c>
      <c r="DP39" s="25">
        <v>0</v>
      </c>
      <c r="DQ39" s="25">
        <v>0</v>
      </c>
      <c r="DR39" s="25">
        <v>0</v>
      </c>
      <c r="DS39" s="25">
        <v>0</v>
      </c>
      <c r="DT39" s="25">
        <v>0</v>
      </c>
      <c r="DU39" s="25">
        <v>0</v>
      </c>
      <c r="DV39" s="25">
        <v>0</v>
      </c>
      <c r="DW39" s="25">
        <v>0</v>
      </c>
      <c r="DX39" s="25">
        <v>0</v>
      </c>
      <c r="DY39" s="25">
        <v>0</v>
      </c>
      <c r="DZ39" s="25">
        <v>0</v>
      </c>
      <c r="EA39" s="25">
        <v>0</v>
      </c>
      <c r="EB39" s="25">
        <v>0</v>
      </c>
      <c r="EC39" s="25">
        <v>0</v>
      </c>
      <c r="ED39" s="25">
        <v>0</v>
      </c>
      <c r="EE39" s="25">
        <v>2</v>
      </c>
      <c r="EF39" s="25">
        <v>0</v>
      </c>
      <c r="EG39" s="25">
        <v>0</v>
      </c>
      <c r="EH39" s="25">
        <v>0</v>
      </c>
      <c r="EI39" s="25">
        <v>0</v>
      </c>
      <c r="EJ39" s="25">
        <v>0</v>
      </c>
      <c r="EK39" s="25">
        <v>1</v>
      </c>
      <c r="EL39" s="25">
        <v>0</v>
      </c>
      <c r="EM39" s="25">
        <v>0</v>
      </c>
      <c r="EN39" s="25">
        <v>0</v>
      </c>
      <c r="EO39" s="25">
        <v>0</v>
      </c>
      <c r="EP39" s="25">
        <v>0</v>
      </c>
      <c r="EQ39" s="25">
        <v>0</v>
      </c>
      <c r="ER39" s="25">
        <v>0</v>
      </c>
      <c r="ES39" s="25">
        <v>0</v>
      </c>
      <c r="ET39" s="25">
        <v>0</v>
      </c>
      <c r="EU39" s="25">
        <v>0</v>
      </c>
      <c r="EV39" s="25">
        <v>0</v>
      </c>
      <c r="EW39" s="25">
        <v>0</v>
      </c>
      <c r="EX39" s="25">
        <v>0</v>
      </c>
      <c r="EY39" s="25">
        <v>0</v>
      </c>
      <c r="EZ39" s="25">
        <v>0</v>
      </c>
      <c r="FA39" s="25">
        <v>0</v>
      </c>
      <c r="FB39" s="25">
        <v>0</v>
      </c>
      <c r="FC39" s="25">
        <v>0</v>
      </c>
      <c r="FD39" s="25">
        <v>0</v>
      </c>
      <c r="FE39" s="25">
        <v>0</v>
      </c>
      <c r="FF39" s="25">
        <v>0</v>
      </c>
      <c r="FG39" s="25">
        <v>0</v>
      </c>
      <c r="FH39" s="25">
        <v>0</v>
      </c>
      <c r="FI39" s="25">
        <v>0</v>
      </c>
      <c r="FJ39" s="25">
        <v>0</v>
      </c>
      <c r="FK39" s="25">
        <v>0</v>
      </c>
      <c r="FL39" s="25">
        <v>0</v>
      </c>
      <c r="FM39" s="25">
        <v>0</v>
      </c>
      <c r="FN39" s="25">
        <v>0</v>
      </c>
      <c r="FO39" s="25">
        <v>0</v>
      </c>
      <c r="FP39" s="25">
        <v>0</v>
      </c>
      <c r="FQ39" s="25">
        <v>0</v>
      </c>
      <c r="FR39" s="25">
        <v>0</v>
      </c>
      <c r="FS39" s="25">
        <v>0</v>
      </c>
      <c r="FT39" s="25">
        <v>0</v>
      </c>
      <c r="FU39" s="25">
        <v>0</v>
      </c>
      <c r="FV39" s="25">
        <v>0</v>
      </c>
      <c r="FW39" s="25">
        <v>0</v>
      </c>
      <c r="FX39" s="25">
        <v>0</v>
      </c>
      <c r="FY39" s="25">
        <v>0</v>
      </c>
      <c r="FZ39" s="25">
        <v>0</v>
      </c>
      <c r="GA39" s="25">
        <v>0</v>
      </c>
      <c r="GB39" s="25">
        <v>1</v>
      </c>
      <c r="GC39" s="25">
        <v>0</v>
      </c>
      <c r="GD39" s="25">
        <v>0</v>
      </c>
      <c r="GE39" s="25">
        <v>0</v>
      </c>
      <c r="GF39" s="25">
        <v>0</v>
      </c>
      <c r="GG39" s="25">
        <v>0</v>
      </c>
      <c r="GH39" s="25">
        <v>0</v>
      </c>
      <c r="GI39" s="25">
        <v>0</v>
      </c>
      <c r="GJ39" s="25">
        <v>0</v>
      </c>
      <c r="GK39" s="25">
        <v>0</v>
      </c>
      <c r="GL39" s="25">
        <v>0</v>
      </c>
      <c r="GM39" s="25">
        <v>0</v>
      </c>
      <c r="GN39" s="25">
        <v>0</v>
      </c>
      <c r="GO39" s="25">
        <v>0</v>
      </c>
      <c r="GP39" s="25">
        <v>0</v>
      </c>
      <c r="GQ39" s="25">
        <v>0</v>
      </c>
      <c r="GR39" s="25">
        <v>0</v>
      </c>
      <c r="GS39" s="25">
        <v>0</v>
      </c>
      <c r="GT39" s="25">
        <v>0</v>
      </c>
      <c r="GU39" s="25">
        <v>0</v>
      </c>
      <c r="GV39" s="25">
        <v>0</v>
      </c>
      <c r="GW39" s="25">
        <v>0</v>
      </c>
      <c r="GX39" s="25">
        <v>0</v>
      </c>
      <c r="GY39" s="46">
        <v>0</v>
      </c>
      <c r="GZ39" s="25">
        <v>0</v>
      </c>
      <c r="HA39" s="25">
        <v>1</v>
      </c>
      <c r="HB39" s="25">
        <v>0</v>
      </c>
      <c r="HC39" s="25">
        <v>0</v>
      </c>
      <c r="HD39" s="25">
        <v>0</v>
      </c>
      <c r="HE39" s="25">
        <v>0</v>
      </c>
      <c r="HF39" s="25">
        <v>0</v>
      </c>
      <c r="HG39" s="25">
        <v>0</v>
      </c>
      <c r="HH39" s="25">
        <v>0</v>
      </c>
      <c r="HI39" s="25">
        <v>0</v>
      </c>
      <c r="HJ39" s="25">
        <v>0</v>
      </c>
      <c r="HK39" s="25">
        <v>0</v>
      </c>
      <c r="HL39" s="25">
        <v>0</v>
      </c>
      <c r="HM39" s="25">
        <v>0</v>
      </c>
      <c r="HN39" s="25">
        <v>0</v>
      </c>
      <c r="HO39" s="25">
        <v>0</v>
      </c>
      <c r="HP39" s="25">
        <v>0</v>
      </c>
      <c r="HQ39" s="25">
        <v>0</v>
      </c>
      <c r="HR39" s="25">
        <v>0</v>
      </c>
      <c r="HS39" s="25">
        <v>0</v>
      </c>
      <c r="HT39" s="25">
        <v>0</v>
      </c>
      <c r="HU39" s="25">
        <v>0</v>
      </c>
      <c r="HV39" s="25">
        <v>0</v>
      </c>
      <c r="HW39" s="25">
        <v>0</v>
      </c>
      <c r="HX39" s="25">
        <v>0</v>
      </c>
      <c r="HY39" s="25">
        <v>0</v>
      </c>
      <c r="HZ39" s="25">
        <v>0</v>
      </c>
      <c r="IA39" s="25">
        <v>0</v>
      </c>
      <c r="IB39" s="25">
        <v>0</v>
      </c>
      <c r="IC39" s="25">
        <v>0</v>
      </c>
      <c r="ID39" s="25">
        <v>0</v>
      </c>
      <c r="IE39" s="25">
        <v>0</v>
      </c>
      <c r="IF39" s="25">
        <v>0</v>
      </c>
      <c r="IG39" s="25">
        <v>0</v>
      </c>
      <c r="IH39" s="25">
        <v>0</v>
      </c>
      <c r="II39" s="25">
        <v>0</v>
      </c>
      <c r="IJ39" s="25">
        <v>0</v>
      </c>
      <c r="IK39" s="25">
        <v>0</v>
      </c>
      <c r="IL39" s="25">
        <v>0</v>
      </c>
      <c r="IM39" s="25">
        <v>0</v>
      </c>
      <c r="IN39" s="25">
        <v>0</v>
      </c>
      <c r="IO39" s="25">
        <v>0</v>
      </c>
      <c r="IP39" s="25">
        <v>0</v>
      </c>
      <c r="IQ39" s="25">
        <v>0</v>
      </c>
      <c r="IR39" s="25">
        <v>0</v>
      </c>
      <c r="IS39" s="25">
        <v>0</v>
      </c>
      <c r="IT39" s="25">
        <v>0</v>
      </c>
      <c r="IU39" s="25">
        <v>0</v>
      </c>
      <c r="IV39" s="25">
        <v>0</v>
      </c>
      <c r="IW39" s="25">
        <v>0</v>
      </c>
      <c r="IX39" s="25">
        <v>0</v>
      </c>
      <c r="IY39" s="25">
        <v>0</v>
      </c>
      <c r="IZ39" s="25">
        <v>0</v>
      </c>
      <c r="JA39" s="25">
        <v>0</v>
      </c>
      <c r="JB39" s="25">
        <v>0</v>
      </c>
      <c r="JC39" s="25">
        <v>0</v>
      </c>
      <c r="JD39" s="25">
        <v>0</v>
      </c>
      <c r="JE39" s="25">
        <v>0</v>
      </c>
      <c r="JF39" s="25">
        <v>0</v>
      </c>
      <c r="JG39" s="25">
        <v>0</v>
      </c>
      <c r="JH39" s="25">
        <v>0</v>
      </c>
      <c r="JI39" s="25">
        <v>0</v>
      </c>
      <c r="JJ39" s="25">
        <v>0</v>
      </c>
      <c r="JK39" s="25">
        <v>0</v>
      </c>
      <c r="JL39" s="25">
        <v>0</v>
      </c>
      <c r="JM39" s="25">
        <v>0</v>
      </c>
      <c r="JN39" s="25">
        <v>0</v>
      </c>
      <c r="JO39" s="25">
        <v>0</v>
      </c>
      <c r="JP39" s="25">
        <v>0</v>
      </c>
      <c r="JQ39" s="25">
        <v>0</v>
      </c>
      <c r="JR39" s="25">
        <v>0</v>
      </c>
      <c r="JS39" s="25">
        <v>0</v>
      </c>
      <c r="JT39" s="25">
        <v>0</v>
      </c>
      <c r="JU39" s="25">
        <v>0</v>
      </c>
      <c r="JV39" s="25">
        <v>0</v>
      </c>
      <c r="JW39" s="25">
        <v>0</v>
      </c>
      <c r="JX39" s="25">
        <v>0</v>
      </c>
      <c r="JY39" s="25">
        <v>0</v>
      </c>
      <c r="JZ39" s="25">
        <v>0</v>
      </c>
      <c r="KA39" s="25">
        <v>0</v>
      </c>
      <c r="KB39" s="25">
        <v>0</v>
      </c>
      <c r="KC39" s="25">
        <v>0</v>
      </c>
      <c r="KD39" s="25">
        <v>0</v>
      </c>
      <c r="KE39" s="25">
        <v>0</v>
      </c>
      <c r="KF39" s="25">
        <v>0</v>
      </c>
      <c r="KG39" s="25">
        <v>0</v>
      </c>
      <c r="KH39" s="25">
        <v>0</v>
      </c>
      <c r="KI39" s="25">
        <v>0</v>
      </c>
      <c r="KJ39" s="25">
        <v>0</v>
      </c>
      <c r="KK39" s="25">
        <v>0</v>
      </c>
      <c r="KL39" s="25">
        <v>0</v>
      </c>
      <c r="KM39" s="25">
        <v>0</v>
      </c>
      <c r="KN39" s="25">
        <v>0</v>
      </c>
      <c r="KO39" s="25">
        <v>0</v>
      </c>
      <c r="KP39" s="25">
        <v>0</v>
      </c>
      <c r="KQ39" s="25">
        <v>0</v>
      </c>
      <c r="KR39" s="25">
        <v>0</v>
      </c>
      <c r="KS39" s="25">
        <v>0</v>
      </c>
      <c r="KT39" s="25">
        <v>0</v>
      </c>
      <c r="KU39" s="25">
        <v>0</v>
      </c>
      <c r="KV39" s="25">
        <v>0</v>
      </c>
      <c r="KW39" s="25">
        <v>0</v>
      </c>
      <c r="KX39" s="25">
        <v>0</v>
      </c>
      <c r="KY39" s="25">
        <v>0</v>
      </c>
      <c r="KZ39" s="25">
        <v>0</v>
      </c>
      <c r="LA39" s="25">
        <v>0</v>
      </c>
      <c r="LB39" s="25">
        <v>0</v>
      </c>
      <c r="LC39" s="25">
        <v>0</v>
      </c>
      <c r="LD39" s="25">
        <v>0</v>
      </c>
      <c r="LE39" s="25">
        <v>0</v>
      </c>
      <c r="LF39" s="25">
        <v>0</v>
      </c>
      <c r="LG39" s="25">
        <v>0</v>
      </c>
      <c r="LH39" s="25">
        <v>0</v>
      </c>
      <c r="LI39" s="25">
        <v>0</v>
      </c>
      <c r="LJ39" s="25">
        <v>0</v>
      </c>
      <c r="LK39" s="25">
        <v>0</v>
      </c>
      <c r="LL39" s="25">
        <v>0</v>
      </c>
      <c r="LM39" s="25">
        <v>0</v>
      </c>
      <c r="LN39" s="278">
        <f ca="1">$A39 - DeathsTimeS!Sweden100dt + 1</f>
        <v>-28</v>
      </c>
      <c r="LO39" s="366">
        <f ca="1">INDEX(OFFSET(DeathsTimeS!HeadRow,ROW()-ROW(DeathsTimeS!HeadRow),0,1,COLUMNS(DeathsTimeS!HeadRow)),1,MATCH(LO$5,DeathsTimeS!HeadRow,0))/LO$8</f>
        <v>0</v>
      </c>
      <c r="LP39" s="278">
        <f ca="1">$A39 - DeathsTimeS!Spain100dt</f>
        <v>-21</v>
      </c>
      <c r="LQ39" s="11">
        <f ca="1">INDEX(OFFSET(DeathsTimeS!HeadRow,ROW()-ROW(DeathsTimeS!HeadRow),0,1,COLUMNS(DeathsTimeS!HeadRow)),1,MATCH(LQ$5,DeathsTimeS!HeadRow,0))/LQ$8</f>
        <v>0</v>
      </c>
      <c r="LR39" s="278">
        <f ca="1">$A39 - DeathsTimeS!Victoria100dt</f>
        <v>-44</v>
      </c>
      <c r="LS39" s="11">
        <f ca="1">INDEX(OFFSET(DeathsTimeS!HeadRow,ROW()-ROW(DeathsTimeS!HeadRow),0,1,COLUMNS(DeathsTimeS!HeadRow)),1,MATCH(LS$5,DeathsTimeS!HeadRow,0))/LS$8</f>
        <v>0</v>
      </c>
      <c r="LT39" s="278">
        <f ca="1">$A39 - DeathsTimeS!Iran100dt</f>
        <v>-14</v>
      </c>
      <c r="LU39" s="11">
        <f ca="1">INDEX(OFFSET(DeathsTimeS!HeadRow,ROW()-ROW(DeathsTimeS!HeadRow),0,1,COLUMNS(DeathsTimeS!HeadRow)),1,MATCH(LU$5,DeathsTimeS!HeadRow,0))/LU$8</f>
        <v>0.23874040561994914</v>
      </c>
      <c r="LV39" s="278">
        <f ca="1">$A39 - DeathsTimeS!Japan100dt</f>
        <v>-55</v>
      </c>
      <c r="LW39" s="11">
        <f ca="1">INDEX(OFFSET(DeathsTimeS!HeadRow,ROW()-ROW(DeathsTimeS!HeadRow),0,1,COLUMNS(DeathsTimeS!HeadRow)),1,MATCH(LW$5,DeathsTimeS!HeadRow,0))/LW$8</f>
        <v>7.9017525794856464E-2</v>
      </c>
      <c r="LX39" s="278">
        <f ca="1">$A39 - DeathsTimeS!Queensland100dt</f>
        <v>-59</v>
      </c>
      <c r="LY39" s="11">
        <f ca="1">INDEX(OFFSET(DeathsTimeS!HeadRow,ROW()-ROW(DeathsTimeS!HeadRow),0,1,COLUMNS(DeathsTimeS!HeadRow)),1,MATCH(LY$5,DeathsTimeS!HeadRow,0))/LY$8</f>
        <v>0</v>
      </c>
      <c r="LZ39" s="278">
        <f ca="1">$A39 - DeathsTimeS!Tasmania100dt</f>
        <v>-41</v>
      </c>
      <c r="MA39" s="11">
        <f ca="1">INDEX(OFFSET(DeathsTimeS!HeadRow,ROW()-ROW(DeathsTimeS!HeadRow),0,1,COLUMNS(DeathsTimeS!HeadRow)),1,MATCH(MA$5,DeathsTimeS!HeadRow,0))/MA$8</f>
        <v>0</v>
      </c>
      <c r="MB39" s="278">
        <f ca="1">$A39 - DeathsTimeS!SouthAustralia100dt</f>
        <v>-49</v>
      </c>
      <c r="MC39" s="11">
        <f ca="1">INDEX(OFFSET(DeathsTimeS!HeadRow,ROW()-ROW(DeathsTimeS!HeadRow),0,1,COLUMNS(DeathsTimeS!HeadRow)),1,MATCH(MC$5,DeathsTimeS!HeadRow,0))/MC$8</f>
        <v>0</v>
      </c>
      <c r="MD39" s="278">
        <f ca="1">$A39 - DeathsTimeS!WesternAustralia100dt</f>
        <v>-46</v>
      </c>
      <c r="ME39" s="11">
        <f ca="1">INDEX(OFFSET(DeathsTimeS!HeadRow,ROW()-ROW(DeathsTimeS!HeadRow),0,1,COLUMNS(DeathsTimeS!HeadRow)),1,MATCH(ME$5,DeathsTimeS!HeadRow,0))/ME$8</f>
        <v>0</v>
      </c>
      <c r="MF39" s="278">
        <f ca="1">$A39 - DeathsTimeS!NewSouthWales100dt</f>
        <v>-42</v>
      </c>
      <c r="MG39" s="11">
        <f ca="1">INDEX(OFFSET(DeathsTimeS!HeadRow,ROW()-ROW(DeathsTimeS!HeadRow),0,1,COLUMNS(DeathsTimeS!HeadRow)),1,MATCH(MG$5,DeathsTimeS!HeadRow,0))/MG$8</f>
        <v>0</v>
      </c>
      <c r="MH39" s="278">
        <f ca="1">$A39 - DeathsTimeS!NewYork100dt</f>
        <v>-26</v>
      </c>
      <c r="MI39" s="11">
        <f ca="1">INDEX(OFFSET(DeathsTimeS!HeadRow,ROW()-ROW(DeathsTimeS!HeadRow),0,1,COLUMNS(DeathsTimeS!HeadRow)),1,MATCH(MI$5,DeathsTimeS!HeadRow,0))/MI$8</f>
        <v>0</v>
      </c>
      <c r="MJ39" s="278">
        <f ca="1">$A39 - DeathsTimeS!Italy100dt</f>
        <v>-13</v>
      </c>
      <c r="MK39" s="11">
        <f ca="1">INDEX(OFFSET(DeathsTimeS!HeadRow,ROW()-ROW(DeathsTimeS!HeadRow),0,1,COLUMNS(DeathsTimeS!HeadRow)),1,MATCH(MK$5,DeathsTimeS!HeadRow,0))/MK$8</f>
        <v>0</v>
      </c>
      <c r="ML39" s="278">
        <f ca="1">$A39 - DeathsTimeS!AustralianCapitalTerritory100dt</f>
        <v>-40</v>
      </c>
      <c r="MM39" s="11">
        <f ca="1">INDEX(OFFSET(DeathsTimeS!HeadRow,ROW()-ROW(DeathsTimeS!HeadRow),0,1,COLUMNS(DeathsTimeS!HeadRow)),1,MATCH(MM$5,DeathsTimeS!HeadRow,0))/MM$8</f>
        <v>0</v>
      </c>
      <c r="MN39" s="278">
        <f ca="1">IF(DeathsTimeS!NorthernTerritory100dt&gt;0,$A39 - DeathsTimeS!NorthernTerritory100dt,"")</f>
        <v>-68</v>
      </c>
      <c r="MO39" s="11">
        <f ca="1">INDEX(OFFSET(DeathsTimeS!HeadRow,ROW()-ROW(DeathsTimeS!HeadRow),0,1,COLUMNS(DeathsTimeS!HeadRow)),1,MATCH(MO$5,DeathsTimeS!HeadRow,0))/MO$8</f>
        <v>0</v>
      </c>
      <c r="MP39" s="278">
        <f ca="1">$A39 - DeathsTimeS!SouthAfrica100dt + 1</f>
        <v>-60</v>
      </c>
      <c r="MQ39" s="20">
        <f ca="1">INDEX(OFFSET(DeathsTimeS!HeadRow,ROW()-ROW(DeathsTimeS!HeadRow),0,1,COLUMNS(DeathsTimeS!HeadRow)),1,MATCH(MQ$5,DeathsTimeS!HeadRow,0))/MQ$8</f>
        <v>0</v>
      </c>
      <c r="MR39" s="278">
        <f ca="1">$A39 - DeathsTimeS!Germany100dt + 1</f>
        <v>-30</v>
      </c>
      <c r="MS39" s="20">
        <f ca="1">INDEX(OFFSET(DeathsTimeS!HeadRow,ROW()-ROW(DeathsTimeS!HeadRow),0,1,COLUMNS(DeathsTimeS!HeadRow)),1,MATCH(MS$5,DeathsTimeS!HeadRow,0))/MS$8</f>
        <v>0</v>
      </c>
      <c r="MT39" s="278">
        <f ca="1">$A39 - DeathsTimeS!Ireland100dt + 1</f>
        <v>-32</v>
      </c>
      <c r="MU39" s="73">
        <f ca="1">INDEX(OFFSET(DeathsTimeS!HeadRow,ROW()-ROW(DeathsTimeS!HeadRow),0,1,COLUMNS(DeathsTimeS!HeadRow)),1,MATCH(MU$5,DeathsTimeS!HeadRow,0))/MU$8</f>
        <v>0</v>
      </c>
      <c r="MV39" s="278">
        <f ca="1">$A39 - DeathsTimeS!UnitedKingdom100dt + 1</f>
        <v>-26</v>
      </c>
      <c r="MW39" s="73">
        <f ca="1">INDEX(OFFSET(DeathsTimeS!HeadRow,ROW()-ROW(DeathsTimeS!HeadRow),0,1,COLUMNS(DeathsTimeS!HeadRow)),1,MATCH(MW$5,DeathsTimeS!HeadRow,0))/MW$8</f>
        <v>0</v>
      </c>
      <c r="MX39" s="278">
        <f ca="1">$A39 - DeathsTimeS!Denmark100dt + 1</f>
        <v>-28</v>
      </c>
      <c r="MY39" s="73">
        <f ca="1">INDEX(OFFSET(DeathsTimeS!HeadRow,ROW()-ROW(DeathsTimeS!HeadRow),0,1,COLUMNS(DeathsTimeS!HeadRow)),1,MATCH(MY$5,DeathsTimeS!HeadRow,0))/MY$8</f>
        <v>0</v>
      </c>
      <c r="MZ39" s="278">
        <f ca="1">$A39 - DeathsTimeS!US100dt + 1</f>
        <v>-29</v>
      </c>
      <c r="NA39" s="73">
        <f ca="1">INDEX(OFFSET(DeathsTimeS!HeadRow,ROW()-ROW(DeathsTimeS!HeadRow),0,1,COLUMNS(DeathsTimeS!HeadRow)),1,MATCH(NA$5,DeathsTimeS!HeadRow,0))/NA$8</f>
        <v>0</v>
      </c>
      <c r="NB39" s="278">
        <f ca="1">$A39 - DeathsTimeS!AustraliaSum100dt + 1</f>
        <v>-35</v>
      </c>
      <c r="NC39" s="366">
        <f t="shared" si="6"/>
        <v>0</v>
      </c>
      <c r="ND39" s="278">
        <f ca="1">$A39 - DeathsTimeS!Taiwan100dt + 1</f>
        <v>-67</v>
      </c>
      <c r="NE39" s="366">
        <f ca="1">INDEX(OFFSET(DeathsTimeS!HeadRow,ROW()-ROW(DeathsTimeS!HeadRow),0,1,COLUMNS(DeathsTimeS!HeadRow)),1,MATCH(NE$5,DeathsTimeS!HeadRow,0))/NE$8</f>
        <v>0.4200395492437986</v>
      </c>
      <c r="NF39" s="278">
        <f ca="1">$A39 - DeathsTimeS!Hubei100dt + 1</f>
        <v>24</v>
      </c>
      <c r="NG39" s="366">
        <f ca="1">INDEX(OFFSET(DeathsTimeS!HeadRow,ROW()-ROW(DeathsTimeS!HeadRow),0,1,COLUMNS(DeathsTimeS!HeadRow)),1,MATCH(NG$5,DeathsTimeS!HeadRow,0))/NG$8</f>
        <v>346.83760683760687</v>
      </c>
      <c r="NH39" s="278">
        <f ca="1">$A39 - DeathsTimeS!HongKong100dt + 1</f>
        <v>-67</v>
      </c>
      <c r="NI39" s="366">
        <f ca="1">INDEX(OFFSET(DeathsTimeS!HeadRow,ROW()-ROW(DeathsTimeS!HeadRow),0,1,COLUMNS(DeathsTimeS!HeadRow)),1,MATCH(NI$5,DeathsTimeS!HeadRow,0))/NI$8</f>
        <v>2.6842034626224667</v>
      </c>
    </row>
    <row r="40" spans="1:373" x14ac:dyDescent="0.25">
      <c r="A40" s="156">
        <v>43881</v>
      </c>
      <c r="B40" s="25">
        <v>0</v>
      </c>
      <c r="C40" s="25">
        <v>0</v>
      </c>
      <c r="D40" s="25">
        <v>0</v>
      </c>
      <c r="E40" s="25">
        <v>0</v>
      </c>
      <c r="F40" s="25">
        <v>0</v>
      </c>
      <c r="G40" s="25">
        <v>0</v>
      </c>
      <c r="H40" s="25">
        <v>0</v>
      </c>
      <c r="I40" s="25">
        <v>0</v>
      </c>
      <c r="J40" s="25">
        <v>0</v>
      </c>
      <c r="K40" s="25">
        <v>0</v>
      </c>
      <c r="L40" s="25">
        <v>0</v>
      </c>
      <c r="M40" s="25">
        <v>0</v>
      </c>
      <c r="N40" s="25">
        <v>0</v>
      </c>
      <c r="O40" s="25">
        <v>0</v>
      </c>
      <c r="P40" s="25">
        <v>0</v>
      </c>
      <c r="Q40" s="25">
        <v>0</v>
      </c>
      <c r="R40" s="25">
        <v>0</v>
      </c>
      <c r="S40" s="25">
        <v>0</v>
      </c>
      <c r="T40" s="25">
        <v>0</v>
      </c>
      <c r="U40" s="25">
        <v>0</v>
      </c>
      <c r="V40" s="25">
        <v>0</v>
      </c>
      <c r="W40" s="25">
        <v>0</v>
      </c>
      <c r="X40" s="25">
        <v>0</v>
      </c>
      <c r="Y40" s="25">
        <v>0</v>
      </c>
      <c r="Z40" s="25">
        <v>0</v>
      </c>
      <c r="AA40" s="25">
        <v>0</v>
      </c>
      <c r="AB40" s="25">
        <v>0</v>
      </c>
      <c r="AC40" s="25">
        <v>0</v>
      </c>
      <c r="AD40" s="25">
        <v>0</v>
      </c>
      <c r="AE40" s="25">
        <v>0</v>
      </c>
      <c r="AF40" s="25">
        <v>0</v>
      </c>
      <c r="AG40" s="25">
        <v>0</v>
      </c>
      <c r="AH40" s="25">
        <v>0</v>
      </c>
      <c r="AI40" s="25">
        <v>0</v>
      </c>
      <c r="AJ40" s="25">
        <v>0</v>
      </c>
      <c r="AK40" s="25">
        <v>0</v>
      </c>
      <c r="AL40" s="25">
        <v>0</v>
      </c>
      <c r="AM40" s="25">
        <v>0</v>
      </c>
      <c r="AN40" s="25">
        <v>0</v>
      </c>
      <c r="AO40" s="25">
        <v>0</v>
      </c>
      <c r="AP40" s="25">
        <v>0</v>
      </c>
      <c r="AQ40" s="25">
        <v>0</v>
      </c>
      <c r="AR40" s="25">
        <v>0</v>
      </c>
      <c r="AS40" s="25">
        <v>0</v>
      </c>
      <c r="AT40" s="25">
        <v>0</v>
      </c>
      <c r="AU40" s="25">
        <v>0</v>
      </c>
      <c r="AV40" s="25">
        <v>0</v>
      </c>
      <c r="AW40" s="25">
        <v>0</v>
      </c>
      <c r="AX40" s="25">
        <v>0</v>
      </c>
      <c r="AY40" s="25">
        <v>6</v>
      </c>
      <c r="AZ40" s="25">
        <v>4</v>
      </c>
      <c r="BA40" s="25">
        <v>6</v>
      </c>
      <c r="BB40" s="25">
        <v>1</v>
      </c>
      <c r="BC40" s="25">
        <v>2</v>
      </c>
      <c r="BD40" s="25">
        <v>5</v>
      </c>
      <c r="BE40" s="25">
        <v>2</v>
      </c>
      <c r="BF40" s="25">
        <v>2</v>
      </c>
      <c r="BG40" s="25">
        <v>4</v>
      </c>
      <c r="BH40" s="25">
        <v>5</v>
      </c>
      <c r="BI40" s="25">
        <v>12</v>
      </c>
      <c r="BJ40" s="25">
        <v>19</v>
      </c>
      <c r="BK40" s="25">
        <v>2</v>
      </c>
      <c r="BL40" s="25">
        <v>2144</v>
      </c>
      <c r="BM40" s="25">
        <v>4</v>
      </c>
      <c r="BN40" s="25">
        <v>0</v>
      </c>
      <c r="BO40" s="25">
        <v>0</v>
      </c>
      <c r="BP40" s="25">
        <v>1</v>
      </c>
      <c r="BQ40" s="25">
        <v>1</v>
      </c>
      <c r="BR40" s="25">
        <v>1</v>
      </c>
      <c r="BS40" s="25">
        <v>0</v>
      </c>
      <c r="BT40" s="25">
        <v>0</v>
      </c>
      <c r="BU40" s="25">
        <v>0</v>
      </c>
      <c r="BV40" s="25">
        <v>1</v>
      </c>
      <c r="BW40" s="25">
        <v>4</v>
      </c>
      <c r="BX40" s="25">
        <v>2</v>
      </c>
      <c r="BY40" s="25">
        <v>0</v>
      </c>
      <c r="BZ40" s="25">
        <v>3</v>
      </c>
      <c r="CA40" s="25">
        <v>3</v>
      </c>
      <c r="CB40" s="25">
        <v>0</v>
      </c>
      <c r="CC40" s="25">
        <v>1</v>
      </c>
      <c r="CD40" s="25">
        <v>2</v>
      </c>
      <c r="CE40" s="25">
        <v>1</v>
      </c>
      <c r="CF40" s="25">
        <v>0</v>
      </c>
      <c r="CG40" s="25">
        <v>0</v>
      </c>
      <c r="CH40" s="25">
        <v>0</v>
      </c>
      <c r="CI40" s="25">
        <v>0</v>
      </c>
      <c r="CJ40" s="25">
        <v>0</v>
      </c>
      <c r="CK40" s="25">
        <v>0</v>
      </c>
      <c r="CL40" s="25">
        <v>2</v>
      </c>
      <c r="CM40" s="25">
        <v>0</v>
      </c>
      <c r="CN40" s="25">
        <v>0</v>
      </c>
      <c r="CO40" s="25">
        <v>0</v>
      </c>
      <c r="CP40" s="25">
        <v>0</v>
      </c>
      <c r="CQ40" s="25">
        <v>0</v>
      </c>
      <c r="CR40" s="25">
        <v>0</v>
      </c>
      <c r="CS40" s="25">
        <v>0</v>
      </c>
      <c r="CT40" s="25">
        <v>0</v>
      </c>
      <c r="CU40" s="25">
        <v>0</v>
      </c>
      <c r="CV40" s="25">
        <v>0</v>
      </c>
      <c r="CW40" s="25">
        <v>0</v>
      </c>
      <c r="CX40" s="25">
        <v>0</v>
      </c>
      <c r="CY40" s="25">
        <v>0</v>
      </c>
      <c r="CZ40" s="25">
        <v>0</v>
      </c>
      <c r="DA40" s="25">
        <v>0</v>
      </c>
      <c r="DB40" s="25">
        <v>0</v>
      </c>
      <c r="DC40" s="25">
        <v>0</v>
      </c>
      <c r="DD40" s="25">
        <v>0</v>
      </c>
      <c r="DE40" s="25">
        <v>0</v>
      </c>
      <c r="DF40" s="25">
        <v>0</v>
      </c>
      <c r="DG40" s="25">
        <v>0</v>
      </c>
      <c r="DH40" s="25">
        <v>0</v>
      </c>
      <c r="DI40" s="25">
        <v>0</v>
      </c>
      <c r="DJ40" s="25">
        <v>0</v>
      </c>
      <c r="DK40" s="25">
        <v>0</v>
      </c>
      <c r="DL40" s="25">
        <v>0</v>
      </c>
      <c r="DM40" s="25">
        <v>0</v>
      </c>
      <c r="DN40" s="25">
        <v>1</v>
      </c>
      <c r="DO40" s="25">
        <v>0</v>
      </c>
      <c r="DP40" s="25">
        <v>0</v>
      </c>
      <c r="DQ40" s="25">
        <v>0</v>
      </c>
      <c r="DR40" s="25">
        <v>0</v>
      </c>
      <c r="DS40" s="25">
        <v>0</v>
      </c>
      <c r="DT40" s="25">
        <v>0</v>
      </c>
      <c r="DU40" s="25">
        <v>0</v>
      </c>
      <c r="DV40" s="25">
        <v>0</v>
      </c>
      <c r="DW40" s="25">
        <v>0</v>
      </c>
      <c r="DX40" s="25">
        <v>0</v>
      </c>
      <c r="DY40" s="25">
        <v>0</v>
      </c>
      <c r="DZ40" s="25">
        <v>0</v>
      </c>
      <c r="EA40" s="25">
        <v>0</v>
      </c>
      <c r="EB40" s="25">
        <v>0</v>
      </c>
      <c r="EC40" s="25">
        <v>0</v>
      </c>
      <c r="ED40" s="25">
        <v>0</v>
      </c>
      <c r="EE40" s="25">
        <v>2</v>
      </c>
      <c r="EF40" s="25">
        <v>0</v>
      </c>
      <c r="EG40" s="25">
        <v>0</v>
      </c>
      <c r="EH40" s="25">
        <v>0</v>
      </c>
      <c r="EI40" s="25">
        <v>0</v>
      </c>
      <c r="EJ40" s="25">
        <v>0</v>
      </c>
      <c r="EK40" s="25">
        <v>1</v>
      </c>
      <c r="EL40" s="25">
        <v>0</v>
      </c>
      <c r="EM40" s="25">
        <v>0</v>
      </c>
      <c r="EN40" s="25">
        <v>0</v>
      </c>
      <c r="EO40" s="25">
        <v>1</v>
      </c>
      <c r="EP40" s="25">
        <v>0</v>
      </c>
      <c r="EQ40" s="25">
        <v>0</v>
      </c>
      <c r="ER40" s="25">
        <v>0</v>
      </c>
      <c r="ES40" s="25">
        <v>0</v>
      </c>
      <c r="ET40" s="25">
        <v>0</v>
      </c>
      <c r="EU40" s="25">
        <v>0</v>
      </c>
      <c r="EV40" s="25">
        <v>0</v>
      </c>
      <c r="EW40" s="25">
        <v>0</v>
      </c>
      <c r="EX40" s="25">
        <v>0</v>
      </c>
      <c r="EY40" s="25">
        <v>0</v>
      </c>
      <c r="EZ40" s="25">
        <v>0</v>
      </c>
      <c r="FA40" s="25">
        <v>0</v>
      </c>
      <c r="FB40" s="25">
        <v>0</v>
      </c>
      <c r="FC40" s="25">
        <v>0</v>
      </c>
      <c r="FD40" s="25">
        <v>0</v>
      </c>
      <c r="FE40" s="25">
        <v>0</v>
      </c>
      <c r="FF40" s="25">
        <v>0</v>
      </c>
      <c r="FG40" s="25">
        <v>0</v>
      </c>
      <c r="FH40" s="25">
        <v>0</v>
      </c>
      <c r="FI40" s="25">
        <v>0</v>
      </c>
      <c r="FJ40" s="25">
        <v>0</v>
      </c>
      <c r="FK40" s="25">
        <v>0</v>
      </c>
      <c r="FL40" s="25">
        <v>0</v>
      </c>
      <c r="FM40" s="25">
        <v>0</v>
      </c>
      <c r="FN40" s="25">
        <v>0</v>
      </c>
      <c r="FO40" s="25">
        <v>0</v>
      </c>
      <c r="FP40" s="25">
        <v>0</v>
      </c>
      <c r="FQ40" s="25">
        <v>0</v>
      </c>
      <c r="FR40" s="25">
        <v>0</v>
      </c>
      <c r="FS40" s="25">
        <v>0</v>
      </c>
      <c r="FT40" s="25">
        <v>0</v>
      </c>
      <c r="FU40" s="25">
        <v>0</v>
      </c>
      <c r="FV40" s="25">
        <v>0</v>
      </c>
      <c r="FW40" s="25">
        <v>0</v>
      </c>
      <c r="FX40" s="25">
        <v>0</v>
      </c>
      <c r="FY40" s="25">
        <v>0</v>
      </c>
      <c r="FZ40" s="25">
        <v>0</v>
      </c>
      <c r="GA40" s="25">
        <v>0</v>
      </c>
      <c r="GB40" s="25">
        <v>1</v>
      </c>
      <c r="GC40" s="25">
        <v>0</v>
      </c>
      <c r="GD40" s="25">
        <v>0</v>
      </c>
      <c r="GE40" s="25">
        <v>0</v>
      </c>
      <c r="GF40" s="25">
        <v>0</v>
      </c>
      <c r="GG40" s="25">
        <v>0</v>
      </c>
      <c r="GH40" s="25">
        <v>0</v>
      </c>
      <c r="GI40" s="25">
        <v>0</v>
      </c>
      <c r="GJ40" s="25">
        <v>0</v>
      </c>
      <c r="GK40" s="25">
        <v>0</v>
      </c>
      <c r="GL40" s="25">
        <v>0</v>
      </c>
      <c r="GM40" s="25">
        <v>0</v>
      </c>
      <c r="GN40" s="25">
        <v>0</v>
      </c>
      <c r="GO40" s="25">
        <v>0</v>
      </c>
      <c r="GP40" s="25">
        <v>0</v>
      </c>
      <c r="GQ40" s="25">
        <v>0</v>
      </c>
      <c r="GR40" s="25">
        <v>0</v>
      </c>
      <c r="GS40" s="25">
        <v>0</v>
      </c>
      <c r="GT40" s="25">
        <v>0</v>
      </c>
      <c r="GU40" s="25">
        <v>0</v>
      </c>
      <c r="GV40" s="25">
        <v>0</v>
      </c>
      <c r="GW40" s="25">
        <v>0</v>
      </c>
      <c r="GX40" s="25">
        <v>0</v>
      </c>
      <c r="GY40" s="46">
        <v>0</v>
      </c>
      <c r="GZ40" s="25">
        <v>0</v>
      </c>
      <c r="HA40" s="25">
        <v>1</v>
      </c>
      <c r="HB40" s="25">
        <v>0</v>
      </c>
      <c r="HC40" s="25">
        <v>0</v>
      </c>
      <c r="HD40" s="25">
        <v>0</v>
      </c>
      <c r="HE40" s="25">
        <v>0</v>
      </c>
      <c r="HF40" s="25">
        <v>0</v>
      </c>
      <c r="HG40" s="25">
        <v>0</v>
      </c>
      <c r="HH40" s="25">
        <v>0</v>
      </c>
      <c r="HI40" s="25">
        <v>0</v>
      </c>
      <c r="HJ40" s="25">
        <v>0</v>
      </c>
      <c r="HK40" s="25">
        <v>0</v>
      </c>
      <c r="HL40" s="25">
        <v>0</v>
      </c>
      <c r="HM40" s="25">
        <v>0</v>
      </c>
      <c r="HN40" s="25">
        <v>0</v>
      </c>
      <c r="HO40" s="25">
        <v>0</v>
      </c>
      <c r="HP40" s="25">
        <v>0</v>
      </c>
      <c r="HQ40" s="25">
        <v>0</v>
      </c>
      <c r="HR40" s="25">
        <v>0</v>
      </c>
      <c r="HS40" s="25">
        <v>0</v>
      </c>
      <c r="HT40" s="25">
        <v>0</v>
      </c>
      <c r="HU40" s="25">
        <v>0</v>
      </c>
      <c r="HV40" s="25">
        <v>0</v>
      </c>
      <c r="HW40" s="25">
        <v>0</v>
      </c>
      <c r="HX40" s="25">
        <v>0</v>
      </c>
      <c r="HY40" s="25">
        <v>0</v>
      </c>
      <c r="HZ40" s="25">
        <v>0</v>
      </c>
      <c r="IA40" s="25">
        <v>0</v>
      </c>
      <c r="IB40" s="25">
        <v>0</v>
      </c>
      <c r="IC40" s="25">
        <v>0</v>
      </c>
      <c r="ID40" s="25">
        <v>0</v>
      </c>
      <c r="IE40" s="25">
        <v>0</v>
      </c>
      <c r="IF40" s="25">
        <v>0</v>
      </c>
      <c r="IG40" s="25">
        <v>0</v>
      </c>
      <c r="IH40" s="25">
        <v>0</v>
      </c>
      <c r="II40" s="25">
        <v>0</v>
      </c>
      <c r="IJ40" s="25">
        <v>0</v>
      </c>
      <c r="IK40" s="25">
        <v>0</v>
      </c>
      <c r="IL40" s="25">
        <v>0</v>
      </c>
      <c r="IM40" s="25">
        <v>0</v>
      </c>
      <c r="IN40" s="25">
        <v>0</v>
      </c>
      <c r="IO40" s="25">
        <v>0</v>
      </c>
      <c r="IP40" s="25">
        <v>0</v>
      </c>
      <c r="IQ40" s="25">
        <v>0</v>
      </c>
      <c r="IR40" s="25">
        <v>0</v>
      </c>
      <c r="IS40" s="25">
        <v>0</v>
      </c>
      <c r="IT40" s="25">
        <v>0</v>
      </c>
      <c r="IU40" s="25">
        <v>0</v>
      </c>
      <c r="IV40" s="25">
        <v>0</v>
      </c>
      <c r="IW40" s="25">
        <v>0</v>
      </c>
      <c r="IX40" s="25">
        <v>0</v>
      </c>
      <c r="IY40" s="25">
        <v>0</v>
      </c>
      <c r="IZ40" s="25">
        <v>0</v>
      </c>
      <c r="JA40" s="25">
        <v>0</v>
      </c>
      <c r="JB40" s="25">
        <v>0</v>
      </c>
      <c r="JC40" s="25">
        <v>0</v>
      </c>
      <c r="JD40" s="25">
        <v>0</v>
      </c>
      <c r="JE40" s="25">
        <v>0</v>
      </c>
      <c r="JF40" s="25">
        <v>0</v>
      </c>
      <c r="JG40" s="25">
        <v>0</v>
      </c>
      <c r="JH40" s="25">
        <v>0</v>
      </c>
      <c r="JI40" s="25">
        <v>0</v>
      </c>
      <c r="JJ40" s="25">
        <v>0</v>
      </c>
      <c r="JK40" s="25">
        <v>0</v>
      </c>
      <c r="JL40" s="25">
        <v>0</v>
      </c>
      <c r="JM40" s="25">
        <v>0</v>
      </c>
      <c r="JN40" s="25">
        <v>0</v>
      </c>
      <c r="JO40" s="25">
        <v>0</v>
      </c>
      <c r="JP40" s="25">
        <v>0</v>
      </c>
      <c r="JQ40" s="25">
        <v>0</v>
      </c>
      <c r="JR40" s="25">
        <v>0</v>
      </c>
      <c r="JS40" s="25">
        <v>0</v>
      </c>
      <c r="JT40" s="25">
        <v>0</v>
      </c>
      <c r="JU40" s="25">
        <v>0</v>
      </c>
      <c r="JV40" s="25">
        <v>0</v>
      </c>
      <c r="JW40" s="25">
        <v>0</v>
      </c>
      <c r="JX40" s="25">
        <v>0</v>
      </c>
      <c r="JY40" s="25">
        <v>0</v>
      </c>
      <c r="JZ40" s="25">
        <v>0</v>
      </c>
      <c r="KA40" s="25">
        <v>0</v>
      </c>
      <c r="KB40" s="25">
        <v>0</v>
      </c>
      <c r="KC40" s="25">
        <v>0</v>
      </c>
      <c r="KD40" s="25">
        <v>0</v>
      </c>
      <c r="KE40" s="25">
        <v>0</v>
      </c>
      <c r="KF40" s="25">
        <v>0</v>
      </c>
      <c r="KG40" s="25">
        <v>0</v>
      </c>
      <c r="KH40" s="25">
        <v>0</v>
      </c>
      <c r="KI40" s="25">
        <v>0</v>
      </c>
      <c r="KJ40" s="25">
        <v>0</v>
      </c>
      <c r="KK40" s="25">
        <v>0</v>
      </c>
      <c r="KL40" s="25">
        <v>0</v>
      </c>
      <c r="KM40" s="25">
        <v>0</v>
      </c>
      <c r="KN40" s="25">
        <v>0</v>
      </c>
      <c r="KO40" s="25">
        <v>0</v>
      </c>
      <c r="KP40" s="25">
        <v>0</v>
      </c>
      <c r="KQ40" s="25">
        <v>0</v>
      </c>
      <c r="KR40" s="25">
        <v>0</v>
      </c>
      <c r="KS40" s="25">
        <v>0</v>
      </c>
      <c r="KT40" s="25">
        <v>0</v>
      </c>
      <c r="KU40" s="25">
        <v>0</v>
      </c>
      <c r="KV40" s="25">
        <v>0</v>
      </c>
      <c r="KW40" s="25">
        <v>0</v>
      </c>
      <c r="KX40" s="25">
        <v>0</v>
      </c>
      <c r="KY40" s="25">
        <v>0</v>
      </c>
      <c r="KZ40" s="25">
        <v>0</v>
      </c>
      <c r="LA40" s="25">
        <v>0</v>
      </c>
      <c r="LB40" s="25">
        <v>0</v>
      </c>
      <c r="LC40" s="25">
        <v>0</v>
      </c>
      <c r="LD40" s="25">
        <v>0</v>
      </c>
      <c r="LE40" s="25">
        <v>0</v>
      </c>
      <c r="LF40" s="25">
        <v>0</v>
      </c>
      <c r="LG40" s="25">
        <v>0</v>
      </c>
      <c r="LH40" s="25">
        <v>0</v>
      </c>
      <c r="LI40" s="25">
        <v>0</v>
      </c>
      <c r="LJ40" s="25">
        <v>0</v>
      </c>
      <c r="LK40" s="25">
        <v>0</v>
      </c>
      <c r="LL40" s="25">
        <v>0</v>
      </c>
      <c r="LM40" s="25">
        <v>0</v>
      </c>
      <c r="LN40" s="278">
        <f ca="1">$A40 - DeathsTimeS!Sweden100dt + 1</f>
        <v>-27</v>
      </c>
      <c r="LO40" s="366">
        <f ca="1">INDEX(OFFSET(DeathsTimeS!HeadRow,ROW()-ROW(DeathsTimeS!HeadRow),0,1,COLUMNS(DeathsTimeS!HeadRow)),1,MATCH(LO$5,DeathsTimeS!HeadRow,0))/LO$8</f>
        <v>0</v>
      </c>
      <c r="LP40" s="278">
        <f ca="1">$A40 - DeathsTimeS!Spain100dt</f>
        <v>-20</v>
      </c>
      <c r="LQ40" s="11">
        <f ca="1">INDEX(OFFSET(DeathsTimeS!HeadRow,ROW()-ROW(DeathsTimeS!HeadRow),0,1,COLUMNS(DeathsTimeS!HeadRow)),1,MATCH(LQ$5,DeathsTimeS!HeadRow,0))/LQ$8</f>
        <v>0</v>
      </c>
      <c r="LR40" s="278">
        <f ca="1">$A40 - DeathsTimeS!Victoria100dt</f>
        <v>-43</v>
      </c>
      <c r="LS40" s="11">
        <f ca="1">INDEX(OFFSET(DeathsTimeS!HeadRow,ROW()-ROW(DeathsTimeS!HeadRow),0,1,COLUMNS(DeathsTimeS!HeadRow)),1,MATCH(LS$5,DeathsTimeS!HeadRow,0))/LS$8</f>
        <v>0</v>
      </c>
      <c r="LT40" s="278">
        <f ca="1">$A40 - DeathsTimeS!Iran100dt</f>
        <v>-13</v>
      </c>
      <c r="LU40" s="11">
        <f ca="1">INDEX(OFFSET(DeathsTimeS!HeadRow,ROW()-ROW(DeathsTimeS!HeadRow),0,1,COLUMNS(DeathsTimeS!HeadRow)),1,MATCH(LU$5,DeathsTimeS!HeadRow,0))/LU$8</f>
        <v>0.23874040561994914</v>
      </c>
      <c r="LV40" s="278">
        <f ca="1">$A40 - DeathsTimeS!Japan100dt</f>
        <v>-54</v>
      </c>
      <c r="LW40" s="11">
        <f ca="1">INDEX(OFFSET(DeathsTimeS!HeadRow,ROW()-ROW(DeathsTimeS!HeadRow),0,1,COLUMNS(DeathsTimeS!HeadRow)),1,MATCH(LW$5,DeathsTimeS!HeadRow,0))/LW$8</f>
        <v>7.9017525794856464E-2</v>
      </c>
      <c r="LX40" s="278">
        <f ca="1">$A40 - DeathsTimeS!Queensland100dt</f>
        <v>-58</v>
      </c>
      <c r="LY40" s="11">
        <f ca="1">INDEX(OFFSET(DeathsTimeS!HeadRow,ROW()-ROW(DeathsTimeS!HeadRow),0,1,COLUMNS(DeathsTimeS!HeadRow)),1,MATCH(LY$5,DeathsTimeS!HeadRow,0))/LY$8</f>
        <v>0</v>
      </c>
      <c r="LZ40" s="278">
        <f ca="1">$A40 - DeathsTimeS!Tasmania100dt</f>
        <v>-40</v>
      </c>
      <c r="MA40" s="11">
        <f ca="1">INDEX(OFFSET(DeathsTimeS!HeadRow,ROW()-ROW(DeathsTimeS!HeadRow),0,1,COLUMNS(DeathsTimeS!HeadRow)),1,MATCH(MA$5,DeathsTimeS!HeadRow,0))/MA$8</f>
        <v>0</v>
      </c>
      <c r="MB40" s="278">
        <f ca="1">$A40 - DeathsTimeS!SouthAustralia100dt</f>
        <v>-48</v>
      </c>
      <c r="MC40" s="11">
        <f ca="1">INDEX(OFFSET(DeathsTimeS!HeadRow,ROW()-ROW(DeathsTimeS!HeadRow),0,1,COLUMNS(DeathsTimeS!HeadRow)),1,MATCH(MC$5,DeathsTimeS!HeadRow,0))/MC$8</f>
        <v>0</v>
      </c>
      <c r="MD40" s="278">
        <f ca="1">$A40 - DeathsTimeS!WesternAustralia100dt</f>
        <v>-45</v>
      </c>
      <c r="ME40" s="11">
        <f ca="1">INDEX(OFFSET(DeathsTimeS!HeadRow,ROW()-ROW(DeathsTimeS!HeadRow),0,1,COLUMNS(DeathsTimeS!HeadRow)),1,MATCH(ME$5,DeathsTimeS!HeadRow,0))/ME$8</f>
        <v>0</v>
      </c>
      <c r="MF40" s="278">
        <f ca="1">$A40 - DeathsTimeS!NewSouthWales100dt</f>
        <v>-41</v>
      </c>
      <c r="MG40" s="11">
        <f ca="1">INDEX(OFFSET(DeathsTimeS!HeadRow,ROW()-ROW(DeathsTimeS!HeadRow),0,1,COLUMNS(DeathsTimeS!HeadRow)),1,MATCH(MG$5,DeathsTimeS!HeadRow,0))/MG$8</f>
        <v>0</v>
      </c>
      <c r="MH40" s="278">
        <f ca="1">$A40 - DeathsTimeS!NewYork100dt</f>
        <v>-25</v>
      </c>
      <c r="MI40" s="11">
        <f ca="1">INDEX(OFFSET(DeathsTimeS!HeadRow,ROW()-ROW(DeathsTimeS!HeadRow),0,1,COLUMNS(DeathsTimeS!HeadRow)),1,MATCH(MI$5,DeathsTimeS!HeadRow,0))/MI$8</f>
        <v>0</v>
      </c>
      <c r="MJ40" s="278">
        <f ca="1">$A40 - DeathsTimeS!Italy100dt</f>
        <v>-12</v>
      </c>
      <c r="MK40" s="11">
        <f ca="1">INDEX(OFFSET(DeathsTimeS!HeadRow,ROW()-ROW(DeathsTimeS!HeadRow),0,1,COLUMNS(DeathsTimeS!HeadRow)),1,MATCH(MK$5,DeathsTimeS!HeadRow,0))/MK$8</f>
        <v>0</v>
      </c>
      <c r="ML40" s="278">
        <f ca="1">$A40 - DeathsTimeS!AustralianCapitalTerritory100dt</f>
        <v>-39</v>
      </c>
      <c r="MM40" s="11">
        <f ca="1">INDEX(OFFSET(DeathsTimeS!HeadRow,ROW()-ROW(DeathsTimeS!HeadRow),0,1,COLUMNS(DeathsTimeS!HeadRow)),1,MATCH(MM$5,DeathsTimeS!HeadRow,0))/MM$8</f>
        <v>0</v>
      </c>
      <c r="MN40" s="278">
        <f ca="1">IF(DeathsTimeS!NorthernTerritory100dt&gt;0,$A40 - DeathsTimeS!NorthernTerritory100dt,"")</f>
        <v>-67</v>
      </c>
      <c r="MO40" s="11">
        <f ca="1">INDEX(OFFSET(DeathsTimeS!HeadRow,ROW()-ROW(DeathsTimeS!HeadRow),0,1,COLUMNS(DeathsTimeS!HeadRow)),1,MATCH(MO$5,DeathsTimeS!HeadRow,0))/MO$8</f>
        <v>0</v>
      </c>
      <c r="MP40" s="278">
        <f ca="1">$A40 - DeathsTimeS!SouthAfrica100dt + 1</f>
        <v>-59</v>
      </c>
      <c r="MQ40" s="20">
        <f ca="1">INDEX(OFFSET(DeathsTimeS!HeadRow,ROW()-ROW(DeathsTimeS!HeadRow),0,1,COLUMNS(DeathsTimeS!HeadRow)),1,MATCH(MQ$5,DeathsTimeS!HeadRow,0))/MQ$8</f>
        <v>0</v>
      </c>
      <c r="MR40" s="278">
        <f ca="1">$A40 - DeathsTimeS!Germany100dt + 1</f>
        <v>-29</v>
      </c>
      <c r="MS40" s="20">
        <f ca="1">INDEX(OFFSET(DeathsTimeS!HeadRow,ROW()-ROW(DeathsTimeS!HeadRow),0,1,COLUMNS(DeathsTimeS!HeadRow)),1,MATCH(MS$5,DeathsTimeS!HeadRow,0))/MS$8</f>
        <v>0</v>
      </c>
      <c r="MT40" s="278">
        <f ca="1">$A40 - DeathsTimeS!Ireland100dt + 1</f>
        <v>-31</v>
      </c>
      <c r="MU40" s="73">
        <f ca="1">INDEX(OFFSET(DeathsTimeS!HeadRow,ROW()-ROW(DeathsTimeS!HeadRow),0,1,COLUMNS(DeathsTimeS!HeadRow)),1,MATCH(MU$5,DeathsTimeS!HeadRow,0))/MU$8</f>
        <v>0</v>
      </c>
      <c r="MV40" s="278">
        <f ca="1">$A40 - DeathsTimeS!UnitedKingdom100dt + 1</f>
        <v>-25</v>
      </c>
      <c r="MW40" s="73">
        <f ca="1">INDEX(OFFSET(DeathsTimeS!HeadRow,ROW()-ROW(DeathsTimeS!HeadRow),0,1,COLUMNS(DeathsTimeS!HeadRow)),1,MATCH(MW$5,DeathsTimeS!HeadRow,0))/MW$8</f>
        <v>0</v>
      </c>
      <c r="MX40" s="278">
        <f ca="1">$A40 - DeathsTimeS!Denmark100dt + 1</f>
        <v>-27</v>
      </c>
      <c r="MY40" s="73">
        <f ca="1">INDEX(OFFSET(DeathsTimeS!HeadRow,ROW()-ROW(DeathsTimeS!HeadRow),0,1,COLUMNS(DeathsTimeS!HeadRow)),1,MATCH(MY$5,DeathsTimeS!HeadRow,0))/MY$8</f>
        <v>0</v>
      </c>
      <c r="MZ40" s="278">
        <f ca="1">$A40 - DeathsTimeS!US100dt + 1</f>
        <v>-28</v>
      </c>
      <c r="NA40" s="73">
        <f ca="1">INDEX(OFFSET(DeathsTimeS!HeadRow,ROW()-ROW(DeathsTimeS!HeadRow),0,1,COLUMNS(DeathsTimeS!HeadRow)),1,MATCH(NA$5,DeathsTimeS!HeadRow,0))/NA$8</f>
        <v>0</v>
      </c>
      <c r="NB40" s="278">
        <f ca="1">$A40 - DeathsTimeS!AustraliaSum100dt + 1</f>
        <v>-34</v>
      </c>
      <c r="NC40" s="366">
        <f t="shared" si="6"/>
        <v>0</v>
      </c>
      <c r="ND40" s="278">
        <f ca="1">$A40 - DeathsTimeS!Taiwan100dt + 1</f>
        <v>-66</v>
      </c>
      <c r="NE40" s="366">
        <f ca="1">INDEX(OFFSET(DeathsTimeS!HeadRow,ROW()-ROW(DeathsTimeS!HeadRow),0,1,COLUMNS(DeathsTimeS!HeadRow)),1,MATCH(NE$5,DeathsTimeS!HeadRow,0))/NE$8</f>
        <v>0.4200395492437986</v>
      </c>
      <c r="NF40" s="278">
        <f ca="1">$A40 - DeathsTimeS!Hubei100dt + 1</f>
        <v>25</v>
      </c>
      <c r="NG40" s="366">
        <f ca="1">INDEX(OFFSET(DeathsTimeS!HeadRow,ROW()-ROW(DeathsTimeS!HeadRow),0,1,COLUMNS(DeathsTimeS!HeadRow)),1,MATCH(NG$5,DeathsTimeS!HeadRow,0))/NG$8</f>
        <v>366.4957264957265</v>
      </c>
      <c r="NH40" s="278">
        <f ca="1">$A40 - DeathsTimeS!HongKong100dt + 1</f>
        <v>-66</v>
      </c>
      <c r="NI40" s="366">
        <f ca="1">INDEX(OFFSET(DeathsTimeS!HeadRow,ROW()-ROW(DeathsTimeS!HeadRow),0,1,COLUMNS(DeathsTimeS!HeadRow)),1,MATCH(NI$5,DeathsTimeS!HeadRow,0))/NI$8</f>
        <v>2.6842034626224667</v>
      </c>
    </row>
    <row r="41" spans="1:373" x14ac:dyDescent="0.25">
      <c r="A41" s="156">
        <v>43882</v>
      </c>
      <c r="B41" s="25">
        <v>0</v>
      </c>
      <c r="C41" s="25">
        <v>0</v>
      </c>
      <c r="D41" s="25">
        <v>0</v>
      </c>
      <c r="E41" s="25">
        <v>0</v>
      </c>
      <c r="F41" s="25">
        <v>0</v>
      </c>
      <c r="G41" s="25">
        <v>0</v>
      </c>
      <c r="H41" s="25">
        <v>0</v>
      </c>
      <c r="I41" s="25">
        <v>0</v>
      </c>
      <c r="J41" s="25">
        <v>0</v>
      </c>
      <c r="K41" s="25">
        <v>0</v>
      </c>
      <c r="L41" s="25">
        <v>0</v>
      </c>
      <c r="M41" s="25">
        <v>0</v>
      </c>
      <c r="N41" s="25">
        <v>0</v>
      </c>
      <c r="O41" s="25">
        <v>0</v>
      </c>
      <c r="P41" s="25">
        <v>0</v>
      </c>
      <c r="Q41" s="25">
        <v>0</v>
      </c>
      <c r="R41" s="25">
        <v>0</v>
      </c>
      <c r="S41" s="25">
        <v>0</v>
      </c>
      <c r="T41" s="25">
        <v>0</v>
      </c>
      <c r="U41" s="25">
        <v>0</v>
      </c>
      <c r="V41" s="25">
        <v>0</v>
      </c>
      <c r="W41" s="25">
        <v>0</v>
      </c>
      <c r="X41" s="25">
        <v>0</v>
      </c>
      <c r="Y41" s="25">
        <v>0</v>
      </c>
      <c r="Z41" s="25">
        <v>0</v>
      </c>
      <c r="AA41" s="25">
        <v>0</v>
      </c>
      <c r="AB41" s="25">
        <v>0</v>
      </c>
      <c r="AC41" s="25">
        <v>0</v>
      </c>
      <c r="AD41" s="25">
        <v>0</v>
      </c>
      <c r="AE41" s="25">
        <v>0</v>
      </c>
      <c r="AF41" s="25">
        <v>0</v>
      </c>
      <c r="AG41" s="25">
        <v>0</v>
      </c>
      <c r="AH41" s="25">
        <v>0</v>
      </c>
      <c r="AI41" s="25">
        <v>0</v>
      </c>
      <c r="AJ41" s="25">
        <v>0</v>
      </c>
      <c r="AK41" s="25">
        <v>0</v>
      </c>
      <c r="AL41" s="25">
        <v>0</v>
      </c>
      <c r="AM41" s="25">
        <v>0</v>
      </c>
      <c r="AN41" s="25">
        <v>0</v>
      </c>
      <c r="AO41" s="25">
        <v>0</v>
      </c>
      <c r="AP41" s="25">
        <v>0</v>
      </c>
      <c r="AQ41" s="25">
        <v>0</v>
      </c>
      <c r="AR41" s="25">
        <v>0</v>
      </c>
      <c r="AS41" s="25">
        <v>0</v>
      </c>
      <c r="AT41" s="25">
        <v>0</v>
      </c>
      <c r="AU41" s="25">
        <v>0</v>
      </c>
      <c r="AV41" s="25">
        <v>0</v>
      </c>
      <c r="AW41" s="25">
        <v>0</v>
      </c>
      <c r="AX41" s="25">
        <v>0</v>
      </c>
      <c r="AY41" s="25">
        <v>6</v>
      </c>
      <c r="AZ41" s="25">
        <v>4</v>
      </c>
      <c r="BA41" s="25">
        <v>6</v>
      </c>
      <c r="BB41" s="25">
        <v>1</v>
      </c>
      <c r="BC41" s="25">
        <v>2</v>
      </c>
      <c r="BD41" s="25">
        <v>5</v>
      </c>
      <c r="BE41" s="25">
        <v>2</v>
      </c>
      <c r="BF41" s="25">
        <v>2</v>
      </c>
      <c r="BG41" s="25">
        <v>4</v>
      </c>
      <c r="BH41" s="25">
        <v>5</v>
      </c>
      <c r="BI41" s="25">
        <v>12</v>
      </c>
      <c r="BJ41" s="25">
        <v>19</v>
      </c>
      <c r="BK41" s="25">
        <v>2</v>
      </c>
      <c r="BL41" s="25">
        <v>2144</v>
      </c>
      <c r="BM41" s="25">
        <v>4</v>
      </c>
      <c r="BN41" s="25">
        <v>0</v>
      </c>
      <c r="BO41" s="25">
        <v>0</v>
      </c>
      <c r="BP41" s="25">
        <v>1</v>
      </c>
      <c r="BQ41" s="25">
        <v>1</v>
      </c>
      <c r="BR41" s="25">
        <v>1</v>
      </c>
      <c r="BS41" s="25">
        <v>0</v>
      </c>
      <c r="BT41" s="25">
        <v>0</v>
      </c>
      <c r="BU41" s="25">
        <v>0</v>
      </c>
      <c r="BV41" s="25">
        <v>1</v>
      </c>
      <c r="BW41" s="25">
        <v>4</v>
      </c>
      <c r="BX41" s="25">
        <v>2</v>
      </c>
      <c r="BY41" s="25">
        <v>0</v>
      </c>
      <c r="BZ41" s="25">
        <v>3</v>
      </c>
      <c r="CA41" s="25">
        <v>3</v>
      </c>
      <c r="CB41" s="25">
        <v>0</v>
      </c>
      <c r="CC41" s="25">
        <v>1</v>
      </c>
      <c r="CD41" s="25">
        <v>2</v>
      </c>
      <c r="CE41" s="25">
        <v>1</v>
      </c>
      <c r="CF41" s="25">
        <v>0</v>
      </c>
      <c r="CG41" s="25">
        <v>0</v>
      </c>
      <c r="CH41" s="25">
        <v>0</v>
      </c>
      <c r="CI41" s="25">
        <v>0</v>
      </c>
      <c r="CJ41" s="25">
        <v>0</v>
      </c>
      <c r="CK41" s="25">
        <v>0</v>
      </c>
      <c r="CL41" s="25">
        <v>2</v>
      </c>
      <c r="CM41" s="25">
        <v>0</v>
      </c>
      <c r="CN41" s="25">
        <v>0</v>
      </c>
      <c r="CO41" s="25">
        <v>0</v>
      </c>
      <c r="CP41" s="25">
        <v>0</v>
      </c>
      <c r="CQ41" s="25">
        <v>0</v>
      </c>
      <c r="CR41" s="25">
        <v>0</v>
      </c>
      <c r="CS41" s="25">
        <v>0</v>
      </c>
      <c r="CT41" s="25">
        <v>0</v>
      </c>
      <c r="CU41" s="25">
        <v>0</v>
      </c>
      <c r="CV41" s="25">
        <v>0</v>
      </c>
      <c r="CW41" s="25">
        <v>0</v>
      </c>
      <c r="CX41" s="25">
        <v>0</v>
      </c>
      <c r="CY41" s="25">
        <v>0</v>
      </c>
      <c r="CZ41" s="25">
        <v>0</v>
      </c>
      <c r="DA41" s="25">
        <v>0</v>
      </c>
      <c r="DB41" s="25">
        <v>0</v>
      </c>
      <c r="DC41" s="25">
        <v>0</v>
      </c>
      <c r="DD41" s="25">
        <v>0</v>
      </c>
      <c r="DE41" s="25">
        <v>0</v>
      </c>
      <c r="DF41" s="25">
        <v>0</v>
      </c>
      <c r="DG41" s="25">
        <v>0</v>
      </c>
      <c r="DH41" s="25">
        <v>0</v>
      </c>
      <c r="DI41" s="25">
        <v>0</v>
      </c>
      <c r="DJ41" s="25">
        <v>0</v>
      </c>
      <c r="DK41" s="25">
        <v>0</v>
      </c>
      <c r="DL41" s="25">
        <v>0</v>
      </c>
      <c r="DM41" s="25">
        <v>0</v>
      </c>
      <c r="DN41" s="25">
        <v>1</v>
      </c>
      <c r="DO41" s="25">
        <v>0</v>
      </c>
      <c r="DP41" s="25">
        <v>0</v>
      </c>
      <c r="DQ41" s="25">
        <v>0</v>
      </c>
      <c r="DR41" s="25">
        <v>0</v>
      </c>
      <c r="DS41" s="25">
        <v>0</v>
      </c>
      <c r="DT41" s="25">
        <v>0</v>
      </c>
      <c r="DU41" s="25">
        <v>0</v>
      </c>
      <c r="DV41" s="25">
        <v>0</v>
      </c>
      <c r="DW41" s="25">
        <v>0</v>
      </c>
      <c r="DX41" s="25">
        <v>0</v>
      </c>
      <c r="DY41" s="25">
        <v>0</v>
      </c>
      <c r="DZ41" s="25">
        <v>0</v>
      </c>
      <c r="EA41" s="25">
        <v>0</v>
      </c>
      <c r="EB41" s="25">
        <v>0</v>
      </c>
      <c r="EC41" s="25">
        <v>0</v>
      </c>
      <c r="ED41" s="25">
        <v>0</v>
      </c>
      <c r="EE41" s="25">
        <v>4</v>
      </c>
      <c r="EF41" s="25">
        <v>0</v>
      </c>
      <c r="EG41" s="25">
        <v>0</v>
      </c>
      <c r="EH41" s="25">
        <v>0</v>
      </c>
      <c r="EI41" s="25">
        <v>1</v>
      </c>
      <c r="EJ41" s="25">
        <v>0</v>
      </c>
      <c r="EK41" s="25">
        <v>1</v>
      </c>
      <c r="EL41" s="25">
        <v>0</v>
      </c>
      <c r="EM41" s="25">
        <v>0</v>
      </c>
      <c r="EN41" s="25">
        <v>0</v>
      </c>
      <c r="EO41" s="25">
        <v>2</v>
      </c>
      <c r="EP41" s="25">
        <v>0</v>
      </c>
      <c r="EQ41" s="25">
        <v>0</v>
      </c>
      <c r="ER41" s="25">
        <v>0</v>
      </c>
      <c r="ES41" s="25">
        <v>0</v>
      </c>
      <c r="ET41" s="25">
        <v>0</v>
      </c>
      <c r="EU41" s="25">
        <v>0</v>
      </c>
      <c r="EV41" s="25">
        <v>0</v>
      </c>
      <c r="EW41" s="25">
        <v>0</v>
      </c>
      <c r="EX41" s="25">
        <v>0</v>
      </c>
      <c r="EY41" s="25">
        <v>0</v>
      </c>
      <c r="EZ41" s="25">
        <v>0</v>
      </c>
      <c r="FA41" s="25">
        <v>0</v>
      </c>
      <c r="FB41" s="25">
        <v>0</v>
      </c>
      <c r="FC41" s="25">
        <v>0</v>
      </c>
      <c r="FD41" s="25">
        <v>0</v>
      </c>
      <c r="FE41" s="25">
        <v>0</v>
      </c>
      <c r="FF41" s="25">
        <v>0</v>
      </c>
      <c r="FG41" s="25">
        <v>0</v>
      </c>
      <c r="FH41" s="25">
        <v>0</v>
      </c>
      <c r="FI41" s="25">
        <v>0</v>
      </c>
      <c r="FJ41" s="25">
        <v>0</v>
      </c>
      <c r="FK41" s="25">
        <v>0</v>
      </c>
      <c r="FL41" s="25">
        <v>0</v>
      </c>
      <c r="FM41" s="25">
        <v>0</v>
      </c>
      <c r="FN41" s="25">
        <v>0</v>
      </c>
      <c r="FO41" s="25">
        <v>0</v>
      </c>
      <c r="FP41" s="25">
        <v>0</v>
      </c>
      <c r="FQ41" s="25">
        <v>0</v>
      </c>
      <c r="FR41" s="25">
        <v>0</v>
      </c>
      <c r="FS41" s="25">
        <v>0</v>
      </c>
      <c r="FT41" s="25">
        <v>0</v>
      </c>
      <c r="FU41" s="25">
        <v>0</v>
      </c>
      <c r="FV41" s="25">
        <v>0</v>
      </c>
      <c r="FW41" s="25">
        <v>0</v>
      </c>
      <c r="FX41" s="25">
        <v>0</v>
      </c>
      <c r="FY41" s="25">
        <v>0</v>
      </c>
      <c r="FZ41" s="25">
        <v>0</v>
      </c>
      <c r="GA41" s="25">
        <v>0</v>
      </c>
      <c r="GB41" s="25">
        <v>1</v>
      </c>
      <c r="GC41" s="25">
        <v>0</v>
      </c>
      <c r="GD41" s="25">
        <v>0</v>
      </c>
      <c r="GE41" s="25">
        <v>0</v>
      </c>
      <c r="GF41" s="25">
        <v>0</v>
      </c>
      <c r="GG41" s="25">
        <v>0</v>
      </c>
      <c r="GH41" s="25">
        <v>0</v>
      </c>
      <c r="GI41" s="25">
        <v>0</v>
      </c>
      <c r="GJ41" s="25">
        <v>0</v>
      </c>
      <c r="GK41" s="25">
        <v>0</v>
      </c>
      <c r="GL41" s="25">
        <v>0</v>
      </c>
      <c r="GM41" s="25">
        <v>0</v>
      </c>
      <c r="GN41" s="25">
        <v>0</v>
      </c>
      <c r="GO41" s="25">
        <v>0</v>
      </c>
      <c r="GP41" s="25">
        <v>0</v>
      </c>
      <c r="GQ41" s="25">
        <v>0</v>
      </c>
      <c r="GR41" s="25">
        <v>0</v>
      </c>
      <c r="GS41" s="25">
        <v>0</v>
      </c>
      <c r="GT41" s="25">
        <v>0</v>
      </c>
      <c r="GU41" s="25">
        <v>0</v>
      </c>
      <c r="GV41" s="25">
        <v>0</v>
      </c>
      <c r="GW41" s="25">
        <v>0</v>
      </c>
      <c r="GX41" s="25">
        <v>0</v>
      </c>
      <c r="GY41" s="46">
        <v>0</v>
      </c>
      <c r="GZ41" s="25">
        <v>0</v>
      </c>
      <c r="HA41" s="25">
        <v>1</v>
      </c>
      <c r="HB41" s="25">
        <v>0</v>
      </c>
      <c r="HC41" s="25">
        <v>0</v>
      </c>
      <c r="HD41" s="25">
        <v>0</v>
      </c>
      <c r="HE41" s="25">
        <v>0</v>
      </c>
      <c r="HF41" s="25">
        <v>0</v>
      </c>
      <c r="HG41" s="25">
        <v>0</v>
      </c>
      <c r="HH41" s="25">
        <v>0</v>
      </c>
      <c r="HI41" s="25">
        <v>0</v>
      </c>
      <c r="HJ41" s="25">
        <v>0</v>
      </c>
      <c r="HK41" s="25">
        <v>0</v>
      </c>
      <c r="HL41" s="25">
        <v>0</v>
      </c>
      <c r="HM41" s="25">
        <v>0</v>
      </c>
      <c r="HN41" s="25">
        <v>0</v>
      </c>
      <c r="HO41" s="25">
        <v>0</v>
      </c>
      <c r="HP41" s="25">
        <v>0</v>
      </c>
      <c r="HQ41" s="25">
        <v>0</v>
      </c>
      <c r="HR41" s="25">
        <v>0</v>
      </c>
      <c r="HS41" s="25">
        <v>0</v>
      </c>
      <c r="HT41" s="25">
        <v>0</v>
      </c>
      <c r="HU41" s="25">
        <v>0</v>
      </c>
      <c r="HV41" s="25">
        <v>0</v>
      </c>
      <c r="HW41" s="25">
        <v>0</v>
      </c>
      <c r="HX41" s="25">
        <v>0</v>
      </c>
      <c r="HY41" s="25">
        <v>0</v>
      </c>
      <c r="HZ41" s="25">
        <v>0</v>
      </c>
      <c r="IA41" s="25">
        <v>0</v>
      </c>
      <c r="IB41" s="25">
        <v>0</v>
      </c>
      <c r="IC41" s="25">
        <v>0</v>
      </c>
      <c r="ID41" s="25">
        <v>0</v>
      </c>
      <c r="IE41" s="25">
        <v>0</v>
      </c>
      <c r="IF41" s="25">
        <v>0</v>
      </c>
      <c r="IG41" s="25">
        <v>0</v>
      </c>
      <c r="IH41" s="25">
        <v>0</v>
      </c>
      <c r="II41" s="25">
        <v>0</v>
      </c>
      <c r="IJ41" s="25">
        <v>0</v>
      </c>
      <c r="IK41" s="25">
        <v>0</v>
      </c>
      <c r="IL41" s="25">
        <v>0</v>
      </c>
      <c r="IM41" s="25">
        <v>0</v>
      </c>
      <c r="IN41" s="25">
        <v>0</v>
      </c>
      <c r="IO41" s="25">
        <v>0</v>
      </c>
      <c r="IP41" s="25">
        <v>0</v>
      </c>
      <c r="IQ41" s="25">
        <v>0</v>
      </c>
      <c r="IR41" s="25">
        <v>0</v>
      </c>
      <c r="IS41" s="25">
        <v>0</v>
      </c>
      <c r="IT41" s="25">
        <v>0</v>
      </c>
      <c r="IU41" s="25">
        <v>0</v>
      </c>
      <c r="IV41" s="25">
        <v>0</v>
      </c>
      <c r="IW41" s="25">
        <v>0</v>
      </c>
      <c r="IX41" s="25">
        <v>0</v>
      </c>
      <c r="IY41" s="25">
        <v>0</v>
      </c>
      <c r="IZ41" s="25">
        <v>0</v>
      </c>
      <c r="JA41" s="25">
        <v>0</v>
      </c>
      <c r="JB41" s="25">
        <v>0</v>
      </c>
      <c r="JC41" s="25">
        <v>0</v>
      </c>
      <c r="JD41" s="25">
        <v>0</v>
      </c>
      <c r="JE41" s="25">
        <v>0</v>
      </c>
      <c r="JF41" s="25">
        <v>0</v>
      </c>
      <c r="JG41" s="25">
        <v>0</v>
      </c>
      <c r="JH41" s="25">
        <v>0</v>
      </c>
      <c r="JI41" s="25">
        <v>0</v>
      </c>
      <c r="JJ41" s="25">
        <v>0</v>
      </c>
      <c r="JK41" s="25">
        <v>0</v>
      </c>
      <c r="JL41" s="25">
        <v>0</v>
      </c>
      <c r="JM41" s="25">
        <v>0</v>
      </c>
      <c r="JN41" s="25">
        <v>0</v>
      </c>
      <c r="JO41" s="25">
        <v>0</v>
      </c>
      <c r="JP41" s="25">
        <v>0</v>
      </c>
      <c r="JQ41" s="25">
        <v>0</v>
      </c>
      <c r="JR41" s="25">
        <v>0</v>
      </c>
      <c r="JS41" s="25">
        <v>0</v>
      </c>
      <c r="JT41" s="25">
        <v>0</v>
      </c>
      <c r="JU41" s="25">
        <v>0</v>
      </c>
      <c r="JV41" s="25">
        <v>0</v>
      </c>
      <c r="JW41" s="25">
        <v>0</v>
      </c>
      <c r="JX41" s="25">
        <v>0</v>
      </c>
      <c r="JY41" s="25">
        <v>0</v>
      </c>
      <c r="JZ41" s="25">
        <v>0</v>
      </c>
      <c r="KA41" s="25">
        <v>0</v>
      </c>
      <c r="KB41" s="25">
        <v>0</v>
      </c>
      <c r="KC41" s="25">
        <v>0</v>
      </c>
      <c r="KD41" s="25">
        <v>0</v>
      </c>
      <c r="KE41" s="25">
        <v>0</v>
      </c>
      <c r="KF41" s="25">
        <v>0</v>
      </c>
      <c r="KG41" s="25">
        <v>0</v>
      </c>
      <c r="KH41" s="25">
        <v>0</v>
      </c>
      <c r="KI41" s="25">
        <v>0</v>
      </c>
      <c r="KJ41" s="25">
        <v>0</v>
      </c>
      <c r="KK41" s="25">
        <v>0</v>
      </c>
      <c r="KL41" s="25">
        <v>0</v>
      </c>
      <c r="KM41" s="25">
        <v>0</v>
      </c>
      <c r="KN41" s="25">
        <v>0</v>
      </c>
      <c r="KO41" s="25">
        <v>0</v>
      </c>
      <c r="KP41" s="25">
        <v>0</v>
      </c>
      <c r="KQ41" s="25">
        <v>0</v>
      </c>
      <c r="KR41" s="25">
        <v>0</v>
      </c>
      <c r="KS41" s="25">
        <v>0</v>
      </c>
      <c r="KT41" s="25">
        <v>0</v>
      </c>
      <c r="KU41" s="25">
        <v>0</v>
      </c>
      <c r="KV41" s="25">
        <v>0</v>
      </c>
      <c r="KW41" s="25">
        <v>0</v>
      </c>
      <c r="KX41" s="25">
        <v>0</v>
      </c>
      <c r="KY41" s="25">
        <v>0</v>
      </c>
      <c r="KZ41" s="25">
        <v>0</v>
      </c>
      <c r="LA41" s="25">
        <v>0</v>
      </c>
      <c r="LB41" s="25">
        <v>0</v>
      </c>
      <c r="LC41" s="25">
        <v>0</v>
      </c>
      <c r="LD41" s="25">
        <v>0</v>
      </c>
      <c r="LE41" s="25">
        <v>0</v>
      </c>
      <c r="LF41" s="25">
        <v>0</v>
      </c>
      <c r="LG41" s="25">
        <v>0</v>
      </c>
      <c r="LH41" s="25">
        <v>0</v>
      </c>
      <c r="LI41" s="25">
        <v>0</v>
      </c>
      <c r="LJ41" s="25">
        <v>0</v>
      </c>
      <c r="LK41" s="25">
        <v>0</v>
      </c>
      <c r="LL41" s="25">
        <v>0</v>
      </c>
      <c r="LM41" s="25">
        <v>0</v>
      </c>
      <c r="LN41" s="278">
        <f ca="1">$A41 - DeathsTimeS!Sweden100dt + 1</f>
        <v>-26</v>
      </c>
      <c r="LO41" s="366">
        <f ca="1">INDEX(OFFSET(DeathsTimeS!HeadRow,ROW()-ROW(DeathsTimeS!HeadRow),0,1,COLUMNS(DeathsTimeS!HeadRow)),1,MATCH(LO$5,DeathsTimeS!HeadRow,0))/LO$8</f>
        <v>0</v>
      </c>
      <c r="LP41" s="278">
        <f ca="1">$A41 - DeathsTimeS!Spain100dt</f>
        <v>-19</v>
      </c>
      <c r="LQ41" s="11">
        <f ca="1">INDEX(OFFSET(DeathsTimeS!HeadRow,ROW()-ROW(DeathsTimeS!HeadRow),0,1,COLUMNS(DeathsTimeS!HeadRow)),1,MATCH(LQ$5,DeathsTimeS!HeadRow,0))/LQ$8</f>
        <v>0</v>
      </c>
      <c r="LR41" s="278">
        <f ca="1">$A41 - DeathsTimeS!Victoria100dt</f>
        <v>-42</v>
      </c>
      <c r="LS41" s="11">
        <f ca="1">INDEX(OFFSET(DeathsTimeS!HeadRow,ROW()-ROW(DeathsTimeS!HeadRow),0,1,COLUMNS(DeathsTimeS!HeadRow)),1,MATCH(LS$5,DeathsTimeS!HeadRow,0))/LS$8</f>
        <v>0</v>
      </c>
      <c r="LT41" s="278">
        <f ca="1">$A41 - DeathsTimeS!Iran100dt</f>
        <v>-12</v>
      </c>
      <c r="LU41" s="11">
        <f ca="1">INDEX(OFFSET(DeathsTimeS!HeadRow,ROW()-ROW(DeathsTimeS!HeadRow),0,1,COLUMNS(DeathsTimeS!HeadRow)),1,MATCH(LU$5,DeathsTimeS!HeadRow,0))/LU$8</f>
        <v>0.47748081123989827</v>
      </c>
      <c r="LV41" s="278">
        <f ca="1">$A41 - DeathsTimeS!Japan100dt</f>
        <v>-53</v>
      </c>
      <c r="LW41" s="11">
        <f ca="1">INDEX(OFFSET(DeathsTimeS!HeadRow,ROW()-ROW(DeathsTimeS!HeadRow),0,1,COLUMNS(DeathsTimeS!HeadRow)),1,MATCH(LW$5,DeathsTimeS!HeadRow,0))/LW$8</f>
        <v>7.9017525794856464E-2</v>
      </c>
      <c r="LX41" s="278">
        <f ca="1">$A41 - DeathsTimeS!Queensland100dt</f>
        <v>-57</v>
      </c>
      <c r="LY41" s="11">
        <f ca="1">INDEX(OFFSET(DeathsTimeS!HeadRow,ROW()-ROW(DeathsTimeS!HeadRow),0,1,COLUMNS(DeathsTimeS!HeadRow)),1,MATCH(LY$5,DeathsTimeS!HeadRow,0))/LY$8</f>
        <v>0</v>
      </c>
      <c r="LZ41" s="278">
        <f ca="1">$A41 - DeathsTimeS!Tasmania100dt</f>
        <v>-39</v>
      </c>
      <c r="MA41" s="11">
        <f ca="1">INDEX(OFFSET(DeathsTimeS!HeadRow,ROW()-ROW(DeathsTimeS!HeadRow),0,1,COLUMNS(DeathsTimeS!HeadRow)),1,MATCH(MA$5,DeathsTimeS!HeadRow,0))/MA$8</f>
        <v>0</v>
      </c>
      <c r="MB41" s="278">
        <f ca="1">$A41 - DeathsTimeS!SouthAustralia100dt</f>
        <v>-47</v>
      </c>
      <c r="MC41" s="11">
        <f ca="1">INDEX(OFFSET(DeathsTimeS!HeadRow,ROW()-ROW(DeathsTimeS!HeadRow),0,1,COLUMNS(DeathsTimeS!HeadRow)),1,MATCH(MC$5,DeathsTimeS!HeadRow,0))/MC$8</f>
        <v>0</v>
      </c>
      <c r="MD41" s="278">
        <f ca="1">$A41 - DeathsTimeS!WesternAustralia100dt</f>
        <v>-44</v>
      </c>
      <c r="ME41" s="11">
        <f ca="1">INDEX(OFFSET(DeathsTimeS!HeadRow,ROW()-ROW(DeathsTimeS!HeadRow),0,1,COLUMNS(DeathsTimeS!HeadRow)),1,MATCH(ME$5,DeathsTimeS!HeadRow,0))/ME$8</f>
        <v>0</v>
      </c>
      <c r="MF41" s="278">
        <f ca="1">$A41 - DeathsTimeS!NewSouthWales100dt</f>
        <v>-40</v>
      </c>
      <c r="MG41" s="11">
        <f ca="1">INDEX(OFFSET(DeathsTimeS!HeadRow,ROW()-ROW(DeathsTimeS!HeadRow),0,1,COLUMNS(DeathsTimeS!HeadRow)),1,MATCH(MG$5,DeathsTimeS!HeadRow,0))/MG$8</f>
        <v>0</v>
      </c>
      <c r="MH41" s="278">
        <f ca="1">$A41 - DeathsTimeS!NewYork100dt</f>
        <v>-24</v>
      </c>
      <c r="MI41" s="11">
        <f ca="1">INDEX(OFFSET(DeathsTimeS!HeadRow,ROW()-ROW(DeathsTimeS!HeadRow),0,1,COLUMNS(DeathsTimeS!HeadRow)),1,MATCH(MI$5,DeathsTimeS!HeadRow,0))/MI$8</f>
        <v>0</v>
      </c>
      <c r="MJ41" s="278">
        <f ca="1">$A41 - DeathsTimeS!Italy100dt</f>
        <v>-11</v>
      </c>
      <c r="MK41" s="20">
        <f ca="1">INDEX(OFFSET(DeathsTimeS!HeadRow,ROW()-ROW(DeathsTimeS!HeadRow),0,1,COLUMNS(DeathsTimeS!HeadRow)),1,MATCH(MK$5,DeathsTimeS!HeadRow,0))/MK$8</f>
        <v>0.16533024716871952</v>
      </c>
      <c r="ML41" s="278">
        <f ca="1">$A41 - DeathsTimeS!AustralianCapitalTerritory100dt</f>
        <v>-38</v>
      </c>
      <c r="MM41" s="11">
        <f ca="1">INDEX(OFFSET(DeathsTimeS!HeadRow,ROW()-ROW(DeathsTimeS!HeadRow),0,1,COLUMNS(DeathsTimeS!HeadRow)),1,MATCH(MM$5,DeathsTimeS!HeadRow,0))/MM$8</f>
        <v>0</v>
      </c>
      <c r="MN41" s="278">
        <f ca="1">IF(DeathsTimeS!NorthernTerritory100dt&gt;0,$A41 - DeathsTimeS!NorthernTerritory100dt,"")</f>
        <v>-66</v>
      </c>
      <c r="MO41" s="11">
        <f ca="1">INDEX(OFFSET(DeathsTimeS!HeadRow,ROW()-ROW(DeathsTimeS!HeadRow),0,1,COLUMNS(DeathsTimeS!HeadRow)),1,MATCH(MO$5,DeathsTimeS!HeadRow,0))/MO$8</f>
        <v>0</v>
      </c>
      <c r="MP41" s="278">
        <f ca="1">$A41 - DeathsTimeS!SouthAfrica100dt + 1</f>
        <v>-58</v>
      </c>
      <c r="MQ41" s="20">
        <f ca="1">INDEX(OFFSET(DeathsTimeS!HeadRow,ROW()-ROW(DeathsTimeS!HeadRow),0,1,COLUMNS(DeathsTimeS!HeadRow)),1,MATCH(MQ$5,DeathsTimeS!HeadRow,0))/MQ$8</f>
        <v>0</v>
      </c>
      <c r="MR41" s="278">
        <f ca="1">$A41 - DeathsTimeS!Germany100dt + 1</f>
        <v>-28</v>
      </c>
      <c r="MS41" s="20">
        <f ca="1">INDEX(OFFSET(DeathsTimeS!HeadRow,ROW()-ROW(DeathsTimeS!HeadRow),0,1,COLUMNS(DeathsTimeS!HeadRow)),1,MATCH(MS$5,DeathsTimeS!HeadRow,0))/MS$8</f>
        <v>0</v>
      </c>
      <c r="MT41" s="278">
        <f ca="1">$A41 - DeathsTimeS!Ireland100dt + 1</f>
        <v>-30</v>
      </c>
      <c r="MU41" s="73">
        <f ca="1">INDEX(OFFSET(DeathsTimeS!HeadRow,ROW()-ROW(DeathsTimeS!HeadRow),0,1,COLUMNS(DeathsTimeS!HeadRow)),1,MATCH(MU$5,DeathsTimeS!HeadRow,0))/MU$8</f>
        <v>0</v>
      </c>
      <c r="MV41" s="278">
        <f ca="1">$A41 - DeathsTimeS!UnitedKingdom100dt + 1</f>
        <v>-24</v>
      </c>
      <c r="MW41" s="73">
        <f ca="1">INDEX(OFFSET(DeathsTimeS!HeadRow,ROW()-ROW(DeathsTimeS!HeadRow),0,1,COLUMNS(DeathsTimeS!HeadRow)),1,MATCH(MW$5,DeathsTimeS!HeadRow,0))/MW$8</f>
        <v>0</v>
      </c>
      <c r="MX41" s="278">
        <f ca="1">$A41 - DeathsTimeS!Denmark100dt + 1</f>
        <v>-26</v>
      </c>
      <c r="MY41" s="73">
        <f ca="1">INDEX(OFFSET(DeathsTimeS!HeadRow,ROW()-ROW(DeathsTimeS!HeadRow),0,1,COLUMNS(DeathsTimeS!HeadRow)),1,MATCH(MY$5,DeathsTimeS!HeadRow,0))/MY$8</f>
        <v>0</v>
      </c>
      <c r="MZ41" s="278">
        <f ca="1">$A41 - DeathsTimeS!US100dt + 1</f>
        <v>-27</v>
      </c>
      <c r="NA41" s="73">
        <f ca="1">INDEX(OFFSET(DeathsTimeS!HeadRow,ROW()-ROW(DeathsTimeS!HeadRow),0,1,COLUMNS(DeathsTimeS!HeadRow)),1,MATCH(NA$5,DeathsTimeS!HeadRow,0))/NA$8</f>
        <v>0</v>
      </c>
      <c r="NB41" s="278">
        <f ca="1">$A41 - DeathsTimeS!AustraliaSum100dt + 1</f>
        <v>-33</v>
      </c>
      <c r="NC41" s="366">
        <f t="shared" si="6"/>
        <v>0</v>
      </c>
      <c r="ND41" s="278">
        <f ca="1">$A41 - DeathsTimeS!Taiwan100dt + 1</f>
        <v>-65</v>
      </c>
      <c r="NE41" s="366">
        <f ca="1">INDEX(OFFSET(DeathsTimeS!HeadRow,ROW()-ROW(DeathsTimeS!HeadRow),0,1,COLUMNS(DeathsTimeS!HeadRow)),1,MATCH(NE$5,DeathsTimeS!HeadRow,0))/NE$8</f>
        <v>0.4200395492437986</v>
      </c>
      <c r="NF41" s="278">
        <f ca="1">$A41 - DeathsTimeS!Hubei100dt + 1</f>
        <v>26</v>
      </c>
      <c r="NG41" s="366">
        <f ca="1">INDEX(OFFSET(DeathsTimeS!HeadRow,ROW()-ROW(DeathsTimeS!HeadRow),0,1,COLUMNS(DeathsTimeS!HeadRow)),1,MATCH(NG$5,DeathsTimeS!HeadRow,0))/NG$8</f>
        <v>366.4957264957265</v>
      </c>
      <c r="NH41" s="278">
        <f ca="1">$A41 - DeathsTimeS!HongKong100dt + 1</f>
        <v>-65</v>
      </c>
      <c r="NI41" s="366">
        <f ca="1">INDEX(OFFSET(DeathsTimeS!HeadRow,ROW()-ROW(DeathsTimeS!HeadRow),0,1,COLUMNS(DeathsTimeS!HeadRow)),1,MATCH(NI$5,DeathsTimeS!HeadRow,0))/NI$8</f>
        <v>2.6842034626224667</v>
      </c>
    </row>
    <row r="42" spans="1:373" x14ac:dyDescent="0.25">
      <c r="A42" s="156">
        <v>43883</v>
      </c>
      <c r="B42" s="25">
        <v>0</v>
      </c>
      <c r="C42" s="25">
        <v>0</v>
      </c>
      <c r="D42" s="25">
        <v>0</v>
      </c>
      <c r="E42" s="25">
        <v>0</v>
      </c>
      <c r="F42" s="25">
        <v>0</v>
      </c>
      <c r="G42" s="25">
        <v>0</v>
      </c>
      <c r="H42" s="25">
        <v>0</v>
      </c>
      <c r="I42" s="25">
        <v>0</v>
      </c>
      <c r="J42" s="25">
        <v>0</v>
      </c>
      <c r="K42" s="25">
        <v>0</v>
      </c>
      <c r="L42" s="25">
        <v>0</v>
      </c>
      <c r="M42" s="25">
        <v>0</v>
      </c>
      <c r="N42" s="25">
        <v>0</v>
      </c>
      <c r="O42" s="25">
        <v>0</v>
      </c>
      <c r="P42" s="25">
        <v>0</v>
      </c>
      <c r="Q42" s="25">
        <v>0</v>
      </c>
      <c r="R42" s="25">
        <v>0</v>
      </c>
      <c r="S42" s="25">
        <v>0</v>
      </c>
      <c r="T42" s="25">
        <v>0</v>
      </c>
      <c r="U42" s="25">
        <v>0</v>
      </c>
      <c r="V42" s="25">
        <v>0</v>
      </c>
      <c r="W42" s="25">
        <v>0</v>
      </c>
      <c r="X42" s="25">
        <v>0</v>
      </c>
      <c r="Y42" s="25">
        <v>0</v>
      </c>
      <c r="Z42" s="25">
        <v>0</v>
      </c>
      <c r="AA42" s="25">
        <v>0</v>
      </c>
      <c r="AB42" s="25">
        <v>0</v>
      </c>
      <c r="AC42" s="25">
        <v>0</v>
      </c>
      <c r="AD42" s="25">
        <v>0</v>
      </c>
      <c r="AE42" s="25">
        <v>0</v>
      </c>
      <c r="AF42" s="25">
        <v>0</v>
      </c>
      <c r="AG42" s="25">
        <v>0</v>
      </c>
      <c r="AH42" s="25">
        <v>0</v>
      </c>
      <c r="AI42" s="25">
        <v>0</v>
      </c>
      <c r="AJ42" s="25">
        <v>0</v>
      </c>
      <c r="AK42" s="25">
        <v>0</v>
      </c>
      <c r="AL42" s="25">
        <v>0</v>
      </c>
      <c r="AM42" s="25">
        <v>0</v>
      </c>
      <c r="AN42" s="25">
        <v>0</v>
      </c>
      <c r="AO42" s="25">
        <v>0</v>
      </c>
      <c r="AP42" s="25">
        <v>0</v>
      </c>
      <c r="AQ42" s="25">
        <v>0</v>
      </c>
      <c r="AR42" s="25">
        <v>0</v>
      </c>
      <c r="AS42" s="25">
        <v>0</v>
      </c>
      <c r="AT42" s="25">
        <v>0</v>
      </c>
      <c r="AU42" s="25">
        <v>0</v>
      </c>
      <c r="AV42" s="25">
        <v>0</v>
      </c>
      <c r="AW42" s="25">
        <v>0</v>
      </c>
      <c r="AX42" s="25">
        <v>0</v>
      </c>
      <c r="AY42" s="25">
        <v>6</v>
      </c>
      <c r="AZ42" s="25">
        <v>4</v>
      </c>
      <c r="BA42" s="25">
        <v>6</v>
      </c>
      <c r="BB42" s="25">
        <v>1</v>
      </c>
      <c r="BC42" s="25">
        <v>2</v>
      </c>
      <c r="BD42" s="25">
        <v>5</v>
      </c>
      <c r="BE42" s="25">
        <v>2</v>
      </c>
      <c r="BF42" s="25">
        <v>2</v>
      </c>
      <c r="BG42" s="25">
        <v>4</v>
      </c>
      <c r="BH42" s="25">
        <v>6</v>
      </c>
      <c r="BI42" s="25">
        <v>12</v>
      </c>
      <c r="BJ42" s="25">
        <v>19</v>
      </c>
      <c r="BK42" s="25">
        <v>2</v>
      </c>
      <c r="BL42" s="25">
        <v>2346</v>
      </c>
      <c r="BM42" s="25">
        <v>4</v>
      </c>
      <c r="BN42" s="25">
        <v>0</v>
      </c>
      <c r="BO42" s="25">
        <v>0</v>
      </c>
      <c r="BP42" s="25">
        <v>1</v>
      </c>
      <c r="BQ42" s="25">
        <v>1</v>
      </c>
      <c r="BR42" s="25">
        <v>1</v>
      </c>
      <c r="BS42" s="25">
        <v>0</v>
      </c>
      <c r="BT42" s="25">
        <v>0</v>
      </c>
      <c r="BU42" s="25">
        <v>0</v>
      </c>
      <c r="BV42" s="25">
        <v>1</v>
      </c>
      <c r="BW42" s="25">
        <v>4</v>
      </c>
      <c r="BX42" s="25">
        <v>3</v>
      </c>
      <c r="BY42" s="25">
        <v>0</v>
      </c>
      <c r="BZ42" s="25">
        <v>3</v>
      </c>
      <c r="CA42" s="25">
        <v>3</v>
      </c>
      <c r="CB42" s="25">
        <v>0</v>
      </c>
      <c r="CC42" s="25">
        <v>2</v>
      </c>
      <c r="CD42" s="25">
        <v>2</v>
      </c>
      <c r="CE42" s="25">
        <v>1</v>
      </c>
      <c r="CF42" s="25">
        <v>0</v>
      </c>
      <c r="CG42" s="25">
        <v>0</v>
      </c>
      <c r="CH42" s="25">
        <v>0</v>
      </c>
      <c r="CI42" s="25">
        <v>0</v>
      </c>
      <c r="CJ42" s="25">
        <v>0</v>
      </c>
      <c r="CK42" s="25">
        <v>0</v>
      </c>
      <c r="CL42" s="25">
        <v>2</v>
      </c>
      <c r="CM42" s="25">
        <v>0</v>
      </c>
      <c r="CN42" s="25">
        <v>0</v>
      </c>
      <c r="CO42" s="25">
        <v>0</v>
      </c>
      <c r="CP42" s="25">
        <v>0</v>
      </c>
      <c r="CQ42" s="25">
        <v>0</v>
      </c>
      <c r="CR42" s="25">
        <v>0</v>
      </c>
      <c r="CS42" s="25">
        <v>0</v>
      </c>
      <c r="CT42" s="25">
        <v>0</v>
      </c>
      <c r="CU42" s="25">
        <v>0</v>
      </c>
      <c r="CV42" s="25">
        <v>0</v>
      </c>
      <c r="CW42" s="25">
        <v>0</v>
      </c>
      <c r="CX42" s="25">
        <v>0</v>
      </c>
      <c r="CY42" s="25">
        <v>0</v>
      </c>
      <c r="CZ42" s="25">
        <v>0</v>
      </c>
      <c r="DA42" s="25">
        <v>0</v>
      </c>
      <c r="DB42" s="25">
        <v>0</v>
      </c>
      <c r="DC42" s="25">
        <v>0</v>
      </c>
      <c r="DD42" s="25">
        <v>0</v>
      </c>
      <c r="DE42" s="25">
        <v>0</v>
      </c>
      <c r="DF42" s="25">
        <v>0</v>
      </c>
      <c r="DG42" s="25">
        <v>0</v>
      </c>
      <c r="DH42" s="25">
        <v>0</v>
      </c>
      <c r="DI42" s="25">
        <v>0</v>
      </c>
      <c r="DJ42" s="25">
        <v>0</v>
      </c>
      <c r="DK42" s="25">
        <v>0</v>
      </c>
      <c r="DL42" s="25">
        <v>0</v>
      </c>
      <c r="DM42" s="25">
        <v>0</v>
      </c>
      <c r="DN42" s="25">
        <v>1</v>
      </c>
      <c r="DO42" s="25">
        <v>0</v>
      </c>
      <c r="DP42" s="25">
        <v>0</v>
      </c>
      <c r="DQ42" s="25">
        <v>0</v>
      </c>
      <c r="DR42" s="25">
        <v>0</v>
      </c>
      <c r="DS42" s="25">
        <v>0</v>
      </c>
      <c r="DT42" s="25">
        <v>0</v>
      </c>
      <c r="DU42" s="25">
        <v>0</v>
      </c>
      <c r="DV42" s="25">
        <v>0</v>
      </c>
      <c r="DW42" s="25">
        <v>0</v>
      </c>
      <c r="DX42" s="25">
        <v>0</v>
      </c>
      <c r="DY42" s="25">
        <v>0</v>
      </c>
      <c r="DZ42" s="25">
        <v>0</v>
      </c>
      <c r="EA42" s="25">
        <v>0</v>
      </c>
      <c r="EB42" s="25">
        <v>0</v>
      </c>
      <c r="EC42" s="25">
        <v>0</v>
      </c>
      <c r="ED42" s="25">
        <v>0</v>
      </c>
      <c r="EE42" s="25">
        <v>5</v>
      </c>
      <c r="EF42" s="25">
        <v>0</v>
      </c>
      <c r="EG42" s="25">
        <v>0</v>
      </c>
      <c r="EH42" s="25">
        <v>0</v>
      </c>
      <c r="EI42" s="25">
        <v>2</v>
      </c>
      <c r="EJ42" s="25">
        <v>0</v>
      </c>
      <c r="EK42" s="25">
        <v>1</v>
      </c>
      <c r="EL42" s="25">
        <v>0</v>
      </c>
      <c r="EM42" s="25">
        <v>0</v>
      </c>
      <c r="EN42" s="25">
        <v>0</v>
      </c>
      <c r="EO42" s="25">
        <v>2</v>
      </c>
      <c r="EP42" s="25">
        <v>0</v>
      </c>
      <c r="EQ42" s="25">
        <v>0</v>
      </c>
      <c r="ER42" s="25">
        <v>0</v>
      </c>
      <c r="ES42" s="25">
        <v>0</v>
      </c>
      <c r="ET42" s="25">
        <v>0</v>
      </c>
      <c r="EU42" s="25">
        <v>0</v>
      </c>
      <c r="EV42" s="25">
        <v>0</v>
      </c>
      <c r="EW42" s="25">
        <v>0</v>
      </c>
      <c r="EX42" s="25">
        <v>0</v>
      </c>
      <c r="EY42" s="25">
        <v>0</v>
      </c>
      <c r="EZ42" s="25">
        <v>0</v>
      </c>
      <c r="FA42" s="25">
        <v>0</v>
      </c>
      <c r="FB42" s="25">
        <v>0</v>
      </c>
      <c r="FC42" s="25">
        <v>0</v>
      </c>
      <c r="FD42" s="25">
        <v>0</v>
      </c>
      <c r="FE42" s="25">
        <v>0</v>
      </c>
      <c r="FF42" s="25">
        <v>0</v>
      </c>
      <c r="FG42" s="25">
        <v>0</v>
      </c>
      <c r="FH42" s="25">
        <v>0</v>
      </c>
      <c r="FI42" s="25">
        <v>0</v>
      </c>
      <c r="FJ42" s="25">
        <v>0</v>
      </c>
      <c r="FK42" s="25">
        <v>0</v>
      </c>
      <c r="FL42" s="25">
        <v>0</v>
      </c>
      <c r="FM42" s="25">
        <v>0</v>
      </c>
      <c r="FN42" s="25">
        <v>0</v>
      </c>
      <c r="FO42" s="25">
        <v>0</v>
      </c>
      <c r="FP42" s="25">
        <v>0</v>
      </c>
      <c r="FQ42" s="25">
        <v>0</v>
      </c>
      <c r="FR42" s="25">
        <v>0</v>
      </c>
      <c r="FS42" s="25">
        <v>0</v>
      </c>
      <c r="FT42" s="25">
        <v>0</v>
      </c>
      <c r="FU42" s="25">
        <v>0</v>
      </c>
      <c r="FV42" s="25">
        <v>0</v>
      </c>
      <c r="FW42" s="25">
        <v>0</v>
      </c>
      <c r="FX42" s="25">
        <v>0</v>
      </c>
      <c r="FY42" s="25">
        <v>0</v>
      </c>
      <c r="FZ42" s="25">
        <v>0</v>
      </c>
      <c r="GA42" s="25">
        <v>0</v>
      </c>
      <c r="GB42" s="25">
        <v>1</v>
      </c>
      <c r="GC42" s="25">
        <v>0</v>
      </c>
      <c r="GD42" s="25">
        <v>0</v>
      </c>
      <c r="GE42" s="25">
        <v>0</v>
      </c>
      <c r="GF42" s="25">
        <v>0</v>
      </c>
      <c r="GG42" s="25">
        <v>0</v>
      </c>
      <c r="GH42" s="25">
        <v>0</v>
      </c>
      <c r="GI42" s="25">
        <v>0</v>
      </c>
      <c r="GJ42" s="25">
        <v>0</v>
      </c>
      <c r="GK42" s="25">
        <v>0</v>
      </c>
      <c r="GL42" s="25">
        <v>0</v>
      </c>
      <c r="GM42" s="25">
        <v>0</v>
      </c>
      <c r="GN42" s="25">
        <v>0</v>
      </c>
      <c r="GO42" s="25">
        <v>0</v>
      </c>
      <c r="GP42" s="25">
        <v>0</v>
      </c>
      <c r="GQ42" s="25">
        <v>0</v>
      </c>
      <c r="GR42" s="25">
        <v>0</v>
      </c>
      <c r="GS42" s="25">
        <v>0</v>
      </c>
      <c r="GT42" s="25">
        <v>0</v>
      </c>
      <c r="GU42" s="25">
        <v>0</v>
      </c>
      <c r="GV42" s="25">
        <v>0</v>
      </c>
      <c r="GW42" s="25">
        <v>0</v>
      </c>
      <c r="GX42" s="25">
        <v>0</v>
      </c>
      <c r="GY42" s="46">
        <v>0</v>
      </c>
      <c r="GZ42" s="25">
        <v>0</v>
      </c>
      <c r="HA42" s="25">
        <v>1</v>
      </c>
      <c r="HB42" s="25">
        <v>0</v>
      </c>
      <c r="HC42" s="25">
        <v>0</v>
      </c>
      <c r="HD42" s="25">
        <v>0</v>
      </c>
      <c r="HE42" s="25">
        <v>0</v>
      </c>
      <c r="HF42" s="25">
        <v>0</v>
      </c>
      <c r="HG42" s="25">
        <v>0</v>
      </c>
      <c r="HH42" s="25">
        <v>0</v>
      </c>
      <c r="HI42" s="25">
        <v>0</v>
      </c>
      <c r="HJ42" s="25">
        <v>0</v>
      </c>
      <c r="HK42" s="25">
        <v>0</v>
      </c>
      <c r="HL42" s="25">
        <v>0</v>
      </c>
      <c r="HM42" s="25">
        <v>0</v>
      </c>
      <c r="HN42" s="25">
        <v>0</v>
      </c>
      <c r="HO42" s="25">
        <v>0</v>
      </c>
      <c r="HP42" s="25">
        <v>0</v>
      </c>
      <c r="HQ42" s="25">
        <v>0</v>
      </c>
      <c r="HR42" s="25">
        <v>0</v>
      </c>
      <c r="HS42" s="25">
        <v>0</v>
      </c>
      <c r="HT42" s="25">
        <v>0</v>
      </c>
      <c r="HU42" s="25">
        <v>0</v>
      </c>
      <c r="HV42" s="25">
        <v>0</v>
      </c>
      <c r="HW42" s="25">
        <v>0</v>
      </c>
      <c r="HX42" s="25">
        <v>0</v>
      </c>
      <c r="HY42" s="25">
        <v>0</v>
      </c>
      <c r="HZ42" s="25">
        <v>0</v>
      </c>
      <c r="IA42" s="25">
        <v>0</v>
      </c>
      <c r="IB42" s="25">
        <v>0</v>
      </c>
      <c r="IC42" s="25">
        <v>0</v>
      </c>
      <c r="ID42" s="25">
        <v>0</v>
      </c>
      <c r="IE42" s="25">
        <v>0</v>
      </c>
      <c r="IF42" s="25">
        <v>0</v>
      </c>
      <c r="IG42" s="25">
        <v>0</v>
      </c>
      <c r="IH42" s="25">
        <v>0</v>
      </c>
      <c r="II42" s="25">
        <v>0</v>
      </c>
      <c r="IJ42" s="25">
        <v>0</v>
      </c>
      <c r="IK42" s="25">
        <v>0</v>
      </c>
      <c r="IL42" s="25">
        <v>0</v>
      </c>
      <c r="IM42" s="25">
        <v>0</v>
      </c>
      <c r="IN42" s="25">
        <v>0</v>
      </c>
      <c r="IO42" s="25">
        <v>0</v>
      </c>
      <c r="IP42" s="25">
        <v>0</v>
      </c>
      <c r="IQ42" s="25">
        <v>0</v>
      </c>
      <c r="IR42" s="25">
        <v>0</v>
      </c>
      <c r="IS42" s="25">
        <v>0</v>
      </c>
      <c r="IT42" s="25">
        <v>0</v>
      </c>
      <c r="IU42" s="25">
        <v>0</v>
      </c>
      <c r="IV42" s="25">
        <v>0</v>
      </c>
      <c r="IW42" s="25">
        <v>0</v>
      </c>
      <c r="IX42" s="25">
        <v>0</v>
      </c>
      <c r="IY42" s="25">
        <v>0</v>
      </c>
      <c r="IZ42" s="25">
        <v>0</v>
      </c>
      <c r="JA42" s="25">
        <v>0</v>
      </c>
      <c r="JB42" s="25">
        <v>0</v>
      </c>
      <c r="JC42" s="25">
        <v>0</v>
      </c>
      <c r="JD42" s="25">
        <v>0</v>
      </c>
      <c r="JE42" s="25">
        <v>0</v>
      </c>
      <c r="JF42" s="25">
        <v>0</v>
      </c>
      <c r="JG42" s="25">
        <v>0</v>
      </c>
      <c r="JH42" s="25">
        <v>0</v>
      </c>
      <c r="JI42" s="25">
        <v>0</v>
      </c>
      <c r="JJ42" s="25">
        <v>0</v>
      </c>
      <c r="JK42" s="25">
        <v>0</v>
      </c>
      <c r="JL42" s="25">
        <v>0</v>
      </c>
      <c r="JM42" s="25">
        <v>0</v>
      </c>
      <c r="JN42" s="25">
        <v>0</v>
      </c>
      <c r="JO42" s="25">
        <v>0</v>
      </c>
      <c r="JP42" s="25">
        <v>0</v>
      </c>
      <c r="JQ42" s="25">
        <v>0</v>
      </c>
      <c r="JR42" s="25">
        <v>0</v>
      </c>
      <c r="JS42" s="25">
        <v>0</v>
      </c>
      <c r="JT42" s="25">
        <v>0</v>
      </c>
      <c r="JU42" s="25">
        <v>0</v>
      </c>
      <c r="JV42" s="25">
        <v>0</v>
      </c>
      <c r="JW42" s="25">
        <v>0</v>
      </c>
      <c r="JX42" s="25">
        <v>0</v>
      </c>
      <c r="JY42" s="25">
        <v>0</v>
      </c>
      <c r="JZ42" s="25">
        <v>0</v>
      </c>
      <c r="KA42" s="25">
        <v>0</v>
      </c>
      <c r="KB42" s="25">
        <v>0</v>
      </c>
      <c r="KC42" s="25">
        <v>0</v>
      </c>
      <c r="KD42" s="25">
        <v>0</v>
      </c>
      <c r="KE42" s="25">
        <v>0</v>
      </c>
      <c r="KF42" s="25">
        <v>0</v>
      </c>
      <c r="KG42" s="25">
        <v>0</v>
      </c>
      <c r="KH42" s="25">
        <v>0</v>
      </c>
      <c r="KI42" s="25">
        <v>0</v>
      </c>
      <c r="KJ42" s="25">
        <v>0</v>
      </c>
      <c r="KK42" s="25">
        <v>0</v>
      </c>
      <c r="KL42" s="25">
        <v>0</v>
      </c>
      <c r="KM42" s="25">
        <v>0</v>
      </c>
      <c r="KN42" s="25">
        <v>0</v>
      </c>
      <c r="KO42" s="25">
        <v>0</v>
      </c>
      <c r="KP42" s="25">
        <v>0</v>
      </c>
      <c r="KQ42" s="25">
        <v>0</v>
      </c>
      <c r="KR42" s="25">
        <v>0</v>
      </c>
      <c r="KS42" s="25">
        <v>0</v>
      </c>
      <c r="KT42" s="25">
        <v>0</v>
      </c>
      <c r="KU42" s="25">
        <v>0</v>
      </c>
      <c r="KV42" s="25">
        <v>0</v>
      </c>
      <c r="KW42" s="25">
        <v>0</v>
      </c>
      <c r="KX42" s="25">
        <v>0</v>
      </c>
      <c r="KY42" s="25">
        <v>0</v>
      </c>
      <c r="KZ42" s="25">
        <v>0</v>
      </c>
      <c r="LA42" s="25">
        <v>0</v>
      </c>
      <c r="LB42" s="25">
        <v>0</v>
      </c>
      <c r="LC42" s="25">
        <v>0</v>
      </c>
      <c r="LD42" s="25">
        <v>0</v>
      </c>
      <c r="LE42" s="25">
        <v>0</v>
      </c>
      <c r="LF42" s="25">
        <v>0</v>
      </c>
      <c r="LG42" s="25">
        <v>0</v>
      </c>
      <c r="LH42" s="25">
        <v>0</v>
      </c>
      <c r="LI42" s="25">
        <v>0</v>
      </c>
      <c r="LJ42" s="25">
        <v>0</v>
      </c>
      <c r="LK42" s="25">
        <v>0</v>
      </c>
      <c r="LL42" s="25">
        <v>0</v>
      </c>
      <c r="LM42" s="25">
        <v>0</v>
      </c>
      <c r="LN42" s="278">
        <f ca="1">$A42 - DeathsTimeS!Sweden100dt + 1</f>
        <v>-25</v>
      </c>
      <c r="LO42" s="366">
        <f ca="1">INDEX(OFFSET(DeathsTimeS!HeadRow,ROW()-ROW(DeathsTimeS!HeadRow),0,1,COLUMNS(DeathsTimeS!HeadRow)),1,MATCH(LO$5,DeathsTimeS!HeadRow,0))/LO$8</f>
        <v>0</v>
      </c>
      <c r="LP42" s="278">
        <f ca="1">$A42 - DeathsTimeS!Spain100dt</f>
        <v>-18</v>
      </c>
      <c r="LQ42" s="11">
        <f ca="1">INDEX(OFFSET(DeathsTimeS!HeadRow,ROW()-ROW(DeathsTimeS!HeadRow),0,1,COLUMNS(DeathsTimeS!HeadRow)),1,MATCH(LQ$5,DeathsTimeS!HeadRow,0))/LQ$8</f>
        <v>0</v>
      </c>
      <c r="LR42" s="278">
        <f ca="1">$A42 - DeathsTimeS!Victoria100dt</f>
        <v>-41</v>
      </c>
      <c r="LS42" s="11">
        <f ca="1">INDEX(OFFSET(DeathsTimeS!HeadRow,ROW()-ROW(DeathsTimeS!HeadRow),0,1,COLUMNS(DeathsTimeS!HeadRow)),1,MATCH(LS$5,DeathsTimeS!HeadRow,0))/LS$8</f>
        <v>0</v>
      </c>
      <c r="LT42" s="278">
        <f ca="1">$A42 - DeathsTimeS!Iran100dt</f>
        <v>-11</v>
      </c>
      <c r="LU42" s="11">
        <f ca="1">INDEX(OFFSET(DeathsTimeS!HeadRow,ROW()-ROW(DeathsTimeS!HeadRow),0,1,COLUMNS(DeathsTimeS!HeadRow)),1,MATCH(LU$5,DeathsTimeS!HeadRow,0))/LU$8</f>
        <v>0.59685101404987284</v>
      </c>
      <c r="LV42" s="278">
        <f ca="1">$A42 - DeathsTimeS!Japan100dt</f>
        <v>-52</v>
      </c>
      <c r="LW42" s="11">
        <f ca="1">INDEX(OFFSET(DeathsTimeS!HeadRow,ROW()-ROW(DeathsTimeS!HeadRow),0,1,COLUMNS(DeathsTimeS!HeadRow)),1,MATCH(LW$5,DeathsTimeS!HeadRow,0))/LW$8</f>
        <v>7.9017525794856464E-2</v>
      </c>
      <c r="LX42" s="278">
        <f ca="1">$A42 - DeathsTimeS!Queensland100dt</f>
        <v>-56</v>
      </c>
      <c r="LY42" s="11">
        <f ca="1">INDEX(OFFSET(DeathsTimeS!HeadRow,ROW()-ROW(DeathsTimeS!HeadRow),0,1,COLUMNS(DeathsTimeS!HeadRow)),1,MATCH(LY$5,DeathsTimeS!HeadRow,0))/LY$8</f>
        <v>0</v>
      </c>
      <c r="LZ42" s="278">
        <f ca="1">$A42 - DeathsTimeS!Tasmania100dt</f>
        <v>-38</v>
      </c>
      <c r="MA42" s="11">
        <f ca="1">INDEX(OFFSET(DeathsTimeS!HeadRow,ROW()-ROW(DeathsTimeS!HeadRow),0,1,COLUMNS(DeathsTimeS!HeadRow)),1,MATCH(MA$5,DeathsTimeS!HeadRow,0))/MA$8</f>
        <v>0</v>
      </c>
      <c r="MB42" s="278">
        <f ca="1">$A42 - DeathsTimeS!SouthAustralia100dt</f>
        <v>-46</v>
      </c>
      <c r="MC42" s="11">
        <f ca="1">INDEX(OFFSET(DeathsTimeS!HeadRow,ROW()-ROW(DeathsTimeS!HeadRow),0,1,COLUMNS(DeathsTimeS!HeadRow)),1,MATCH(MC$5,DeathsTimeS!HeadRow,0))/MC$8</f>
        <v>0</v>
      </c>
      <c r="MD42" s="278">
        <f ca="1">$A42 - DeathsTimeS!WesternAustralia100dt</f>
        <v>-43</v>
      </c>
      <c r="ME42" s="11">
        <f ca="1">INDEX(OFFSET(DeathsTimeS!HeadRow,ROW()-ROW(DeathsTimeS!HeadRow),0,1,COLUMNS(DeathsTimeS!HeadRow)),1,MATCH(ME$5,DeathsTimeS!HeadRow,0))/ME$8</f>
        <v>0</v>
      </c>
      <c r="MF42" s="278">
        <f ca="1">$A42 - DeathsTimeS!NewSouthWales100dt</f>
        <v>-39</v>
      </c>
      <c r="MG42" s="11">
        <f ca="1">INDEX(OFFSET(DeathsTimeS!HeadRow,ROW()-ROW(DeathsTimeS!HeadRow),0,1,COLUMNS(DeathsTimeS!HeadRow)),1,MATCH(MG$5,DeathsTimeS!HeadRow,0))/MG$8</f>
        <v>0</v>
      </c>
      <c r="MH42" s="278">
        <f ca="1">$A42 - DeathsTimeS!NewYork100dt</f>
        <v>-23</v>
      </c>
      <c r="MI42" s="11">
        <f ca="1">INDEX(OFFSET(DeathsTimeS!HeadRow,ROW()-ROW(DeathsTimeS!HeadRow),0,1,COLUMNS(DeathsTimeS!HeadRow)),1,MATCH(MI$5,DeathsTimeS!HeadRow,0))/MI$8</f>
        <v>0</v>
      </c>
      <c r="MJ42" s="278">
        <f ca="1">$A42 - DeathsTimeS!Italy100dt</f>
        <v>-10</v>
      </c>
      <c r="MK42" s="20">
        <f ca="1">INDEX(OFFSET(DeathsTimeS!HeadRow,ROW()-ROW(DeathsTimeS!HeadRow),0,1,COLUMNS(DeathsTimeS!HeadRow)),1,MATCH(MK$5,DeathsTimeS!HeadRow,0))/MK$8</f>
        <v>0.33066049433743905</v>
      </c>
      <c r="ML42" s="278">
        <f ca="1">$A42 - DeathsTimeS!AustralianCapitalTerritory100dt</f>
        <v>-37</v>
      </c>
      <c r="MM42" s="11">
        <f ca="1">INDEX(OFFSET(DeathsTimeS!HeadRow,ROW()-ROW(DeathsTimeS!HeadRow),0,1,COLUMNS(DeathsTimeS!HeadRow)),1,MATCH(MM$5,DeathsTimeS!HeadRow,0))/MM$8</f>
        <v>0</v>
      </c>
      <c r="MN42" s="278">
        <f ca="1">IF(DeathsTimeS!NorthernTerritory100dt&gt;0,$A42 - DeathsTimeS!NorthernTerritory100dt,"")</f>
        <v>-65</v>
      </c>
      <c r="MO42" s="11">
        <f ca="1">INDEX(OFFSET(DeathsTimeS!HeadRow,ROW()-ROW(DeathsTimeS!HeadRow),0,1,COLUMNS(DeathsTimeS!HeadRow)),1,MATCH(MO$5,DeathsTimeS!HeadRow,0))/MO$8</f>
        <v>0</v>
      </c>
      <c r="MP42" s="278">
        <f ca="1">$A42 - DeathsTimeS!SouthAfrica100dt + 1</f>
        <v>-57</v>
      </c>
      <c r="MQ42" s="20">
        <f ca="1">INDEX(OFFSET(DeathsTimeS!HeadRow,ROW()-ROW(DeathsTimeS!HeadRow),0,1,COLUMNS(DeathsTimeS!HeadRow)),1,MATCH(MQ$5,DeathsTimeS!HeadRow,0))/MQ$8</f>
        <v>0</v>
      </c>
      <c r="MR42" s="278">
        <f ca="1">$A42 - DeathsTimeS!Germany100dt + 1</f>
        <v>-27</v>
      </c>
      <c r="MS42" s="20">
        <f ca="1">INDEX(OFFSET(DeathsTimeS!HeadRow,ROW()-ROW(DeathsTimeS!HeadRow),0,1,COLUMNS(DeathsTimeS!HeadRow)),1,MATCH(MS$5,DeathsTimeS!HeadRow,0))/MS$8</f>
        <v>0</v>
      </c>
      <c r="MT42" s="278">
        <f ca="1">$A42 - DeathsTimeS!Ireland100dt + 1</f>
        <v>-29</v>
      </c>
      <c r="MU42" s="73">
        <f ca="1">INDEX(OFFSET(DeathsTimeS!HeadRow,ROW()-ROW(DeathsTimeS!HeadRow),0,1,COLUMNS(DeathsTimeS!HeadRow)),1,MATCH(MU$5,DeathsTimeS!HeadRow,0))/MU$8</f>
        <v>0</v>
      </c>
      <c r="MV42" s="278">
        <f ca="1">$A42 - DeathsTimeS!UnitedKingdom100dt + 1</f>
        <v>-23</v>
      </c>
      <c r="MW42" s="73">
        <f ca="1">INDEX(OFFSET(DeathsTimeS!HeadRow,ROW()-ROW(DeathsTimeS!HeadRow),0,1,COLUMNS(DeathsTimeS!HeadRow)),1,MATCH(MW$5,DeathsTimeS!HeadRow,0))/MW$8</f>
        <v>0</v>
      </c>
      <c r="MX42" s="278">
        <f ca="1">$A42 - DeathsTimeS!Denmark100dt + 1</f>
        <v>-25</v>
      </c>
      <c r="MY42" s="73">
        <f ca="1">INDEX(OFFSET(DeathsTimeS!HeadRow,ROW()-ROW(DeathsTimeS!HeadRow),0,1,COLUMNS(DeathsTimeS!HeadRow)),1,MATCH(MY$5,DeathsTimeS!HeadRow,0))/MY$8</f>
        <v>0</v>
      </c>
      <c r="MZ42" s="278">
        <f ca="1">$A42 - DeathsTimeS!US100dt + 1</f>
        <v>-26</v>
      </c>
      <c r="NA42" s="73">
        <f ca="1">INDEX(OFFSET(DeathsTimeS!HeadRow,ROW()-ROW(DeathsTimeS!HeadRow),0,1,COLUMNS(DeathsTimeS!HeadRow)),1,MATCH(NA$5,DeathsTimeS!HeadRow,0))/NA$8</f>
        <v>0</v>
      </c>
      <c r="NB42" s="278">
        <f ca="1">$A42 - DeathsTimeS!AustraliaSum100dt + 1</f>
        <v>-32</v>
      </c>
      <c r="NC42" s="366">
        <f t="shared" si="6"/>
        <v>0</v>
      </c>
      <c r="ND42" s="278">
        <f ca="1">$A42 - DeathsTimeS!Taiwan100dt + 1</f>
        <v>-64</v>
      </c>
      <c r="NE42" s="366">
        <f ca="1">INDEX(OFFSET(DeathsTimeS!HeadRow,ROW()-ROW(DeathsTimeS!HeadRow),0,1,COLUMNS(DeathsTimeS!HeadRow)),1,MATCH(NE$5,DeathsTimeS!HeadRow,0))/NE$8</f>
        <v>0.4200395492437986</v>
      </c>
      <c r="NF42" s="278">
        <f ca="1">$A42 - DeathsTimeS!Hubei100dt + 1</f>
        <v>27</v>
      </c>
      <c r="NG42" s="366">
        <f ca="1">INDEX(OFFSET(DeathsTimeS!HeadRow,ROW()-ROW(DeathsTimeS!HeadRow),0,1,COLUMNS(DeathsTimeS!HeadRow)),1,MATCH(NG$5,DeathsTimeS!HeadRow,0))/NG$8</f>
        <v>401.02564102564105</v>
      </c>
      <c r="NH42" s="278">
        <f ca="1">$A42 - DeathsTimeS!HongKong100dt + 1</f>
        <v>-64</v>
      </c>
      <c r="NI42" s="366">
        <f ca="1">INDEX(OFFSET(DeathsTimeS!HeadRow,ROW()-ROW(DeathsTimeS!HeadRow),0,1,COLUMNS(DeathsTimeS!HeadRow)),1,MATCH(NI$5,DeathsTimeS!HeadRow,0))/NI$8</f>
        <v>2.6842034626224667</v>
      </c>
    </row>
    <row r="43" spans="1:373" x14ac:dyDescent="0.25">
      <c r="A43" s="156">
        <v>43884</v>
      </c>
      <c r="B43" s="25">
        <v>0</v>
      </c>
      <c r="C43" s="25">
        <v>0</v>
      </c>
      <c r="D43" s="25">
        <v>0</v>
      </c>
      <c r="E43" s="25">
        <v>0</v>
      </c>
      <c r="F43" s="25">
        <v>0</v>
      </c>
      <c r="G43" s="25">
        <v>0</v>
      </c>
      <c r="H43" s="25">
        <v>0</v>
      </c>
      <c r="I43" s="25">
        <v>0</v>
      </c>
      <c r="J43" s="25">
        <v>0</v>
      </c>
      <c r="K43" s="25">
        <v>0</v>
      </c>
      <c r="L43" s="25">
        <v>0</v>
      </c>
      <c r="M43" s="25">
        <v>0</v>
      </c>
      <c r="N43" s="25">
        <v>0</v>
      </c>
      <c r="O43" s="25">
        <v>0</v>
      </c>
      <c r="P43" s="25">
        <v>0</v>
      </c>
      <c r="Q43" s="25">
        <v>0</v>
      </c>
      <c r="R43" s="25">
        <v>0</v>
      </c>
      <c r="S43" s="25">
        <v>0</v>
      </c>
      <c r="T43" s="25">
        <v>0</v>
      </c>
      <c r="U43" s="25">
        <v>0</v>
      </c>
      <c r="V43" s="25">
        <v>0</v>
      </c>
      <c r="W43" s="25">
        <v>0</v>
      </c>
      <c r="X43" s="25">
        <v>0</v>
      </c>
      <c r="Y43" s="25">
        <v>0</v>
      </c>
      <c r="Z43" s="25">
        <v>0</v>
      </c>
      <c r="AA43" s="25">
        <v>0</v>
      </c>
      <c r="AB43" s="25">
        <v>0</v>
      </c>
      <c r="AC43" s="25">
        <v>0</v>
      </c>
      <c r="AD43" s="25">
        <v>0</v>
      </c>
      <c r="AE43" s="25">
        <v>0</v>
      </c>
      <c r="AF43" s="25">
        <v>0</v>
      </c>
      <c r="AG43" s="25">
        <v>0</v>
      </c>
      <c r="AH43" s="25">
        <v>0</v>
      </c>
      <c r="AI43" s="25">
        <v>0</v>
      </c>
      <c r="AJ43" s="25">
        <v>0</v>
      </c>
      <c r="AK43" s="25">
        <v>0</v>
      </c>
      <c r="AL43" s="25">
        <v>0</v>
      </c>
      <c r="AM43" s="25">
        <v>0</v>
      </c>
      <c r="AN43" s="25">
        <v>0</v>
      </c>
      <c r="AO43" s="25">
        <v>0</v>
      </c>
      <c r="AP43" s="25">
        <v>0</v>
      </c>
      <c r="AQ43" s="25">
        <v>0</v>
      </c>
      <c r="AR43" s="25">
        <v>0</v>
      </c>
      <c r="AS43" s="25">
        <v>0</v>
      </c>
      <c r="AT43" s="25">
        <v>0</v>
      </c>
      <c r="AU43" s="25">
        <v>0</v>
      </c>
      <c r="AV43" s="25">
        <v>0</v>
      </c>
      <c r="AW43" s="25">
        <v>0</v>
      </c>
      <c r="AX43" s="25">
        <v>0</v>
      </c>
      <c r="AY43" s="25">
        <v>6</v>
      </c>
      <c r="AZ43" s="25">
        <v>4</v>
      </c>
      <c r="BA43" s="25">
        <v>6</v>
      </c>
      <c r="BB43" s="25">
        <v>1</v>
      </c>
      <c r="BC43" s="25">
        <v>2</v>
      </c>
      <c r="BD43" s="25">
        <v>6</v>
      </c>
      <c r="BE43" s="25">
        <v>2</v>
      </c>
      <c r="BF43" s="25">
        <v>2</v>
      </c>
      <c r="BG43" s="25">
        <v>5</v>
      </c>
      <c r="BH43" s="25">
        <v>6</v>
      </c>
      <c r="BI43" s="25">
        <v>12</v>
      </c>
      <c r="BJ43" s="25">
        <v>19</v>
      </c>
      <c r="BK43" s="25">
        <v>2</v>
      </c>
      <c r="BL43" s="25">
        <v>2346</v>
      </c>
      <c r="BM43" s="25">
        <v>4</v>
      </c>
      <c r="BN43" s="25">
        <v>0</v>
      </c>
      <c r="BO43" s="25">
        <v>0</v>
      </c>
      <c r="BP43" s="25">
        <v>1</v>
      </c>
      <c r="BQ43" s="25">
        <v>1</v>
      </c>
      <c r="BR43" s="25">
        <v>1</v>
      </c>
      <c r="BS43" s="25">
        <v>0</v>
      </c>
      <c r="BT43" s="25">
        <v>0</v>
      </c>
      <c r="BU43" s="25">
        <v>0</v>
      </c>
      <c r="BV43" s="25">
        <v>1</v>
      </c>
      <c r="BW43" s="25">
        <v>4</v>
      </c>
      <c r="BX43" s="25">
        <v>3</v>
      </c>
      <c r="BY43" s="25">
        <v>0</v>
      </c>
      <c r="BZ43" s="25">
        <v>3</v>
      </c>
      <c r="CA43" s="25">
        <v>3</v>
      </c>
      <c r="CB43" s="25">
        <v>0</v>
      </c>
      <c r="CC43" s="25">
        <v>2</v>
      </c>
      <c r="CD43" s="25">
        <v>2</v>
      </c>
      <c r="CE43" s="25">
        <v>1</v>
      </c>
      <c r="CF43" s="25">
        <v>0</v>
      </c>
      <c r="CG43" s="25">
        <v>0</v>
      </c>
      <c r="CH43" s="25">
        <v>0</v>
      </c>
      <c r="CI43" s="25">
        <v>0</v>
      </c>
      <c r="CJ43" s="25">
        <v>0</v>
      </c>
      <c r="CK43" s="25">
        <v>0</v>
      </c>
      <c r="CL43" s="25">
        <v>3</v>
      </c>
      <c r="CM43" s="25">
        <v>0</v>
      </c>
      <c r="CN43" s="25">
        <v>0</v>
      </c>
      <c r="CO43" s="25">
        <v>0</v>
      </c>
      <c r="CP43" s="25">
        <v>0</v>
      </c>
      <c r="CQ43" s="25">
        <v>0</v>
      </c>
      <c r="CR43" s="25">
        <v>0</v>
      </c>
      <c r="CS43" s="25">
        <v>0</v>
      </c>
      <c r="CT43" s="25">
        <v>0</v>
      </c>
      <c r="CU43" s="25">
        <v>0</v>
      </c>
      <c r="CV43" s="25">
        <v>0</v>
      </c>
      <c r="CW43" s="25">
        <v>0</v>
      </c>
      <c r="CX43" s="25">
        <v>0</v>
      </c>
      <c r="CY43" s="25">
        <v>0</v>
      </c>
      <c r="CZ43" s="25">
        <v>0</v>
      </c>
      <c r="DA43" s="25">
        <v>0</v>
      </c>
      <c r="DB43" s="25">
        <v>0</v>
      </c>
      <c r="DC43" s="25">
        <v>0</v>
      </c>
      <c r="DD43" s="25">
        <v>0</v>
      </c>
      <c r="DE43" s="25">
        <v>0</v>
      </c>
      <c r="DF43" s="25">
        <v>0</v>
      </c>
      <c r="DG43" s="25">
        <v>0</v>
      </c>
      <c r="DH43" s="25">
        <v>0</v>
      </c>
      <c r="DI43" s="25">
        <v>0</v>
      </c>
      <c r="DJ43" s="25">
        <v>0</v>
      </c>
      <c r="DK43" s="25">
        <v>0</v>
      </c>
      <c r="DL43" s="25">
        <v>0</v>
      </c>
      <c r="DM43" s="25">
        <v>0</v>
      </c>
      <c r="DN43" s="25">
        <v>1</v>
      </c>
      <c r="DO43" s="25">
        <v>0</v>
      </c>
      <c r="DP43" s="25">
        <v>0</v>
      </c>
      <c r="DQ43" s="25">
        <v>0</v>
      </c>
      <c r="DR43" s="25">
        <v>0</v>
      </c>
      <c r="DS43" s="25">
        <v>0</v>
      </c>
      <c r="DT43" s="25">
        <v>0</v>
      </c>
      <c r="DU43" s="25">
        <v>0</v>
      </c>
      <c r="DV43" s="25">
        <v>0</v>
      </c>
      <c r="DW43" s="25">
        <v>0</v>
      </c>
      <c r="DX43" s="25">
        <v>0</v>
      </c>
      <c r="DY43" s="25">
        <v>0</v>
      </c>
      <c r="DZ43" s="25">
        <v>0</v>
      </c>
      <c r="EA43" s="25">
        <v>0</v>
      </c>
      <c r="EB43" s="25">
        <v>0</v>
      </c>
      <c r="EC43" s="25">
        <v>0</v>
      </c>
      <c r="ED43" s="25">
        <v>0</v>
      </c>
      <c r="EE43" s="25">
        <v>8</v>
      </c>
      <c r="EF43" s="25">
        <v>0</v>
      </c>
      <c r="EG43" s="25">
        <v>0</v>
      </c>
      <c r="EH43" s="25">
        <v>0</v>
      </c>
      <c r="EI43" s="25">
        <v>3</v>
      </c>
      <c r="EJ43" s="25">
        <v>0</v>
      </c>
      <c r="EK43" s="25">
        <v>1</v>
      </c>
      <c r="EL43" s="25">
        <v>0</v>
      </c>
      <c r="EM43" s="25">
        <v>0</v>
      </c>
      <c r="EN43" s="25">
        <v>0</v>
      </c>
      <c r="EO43" s="25">
        <v>6</v>
      </c>
      <c r="EP43" s="25">
        <v>0</v>
      </c>
      <c r="EQ43" s="25">
        <v>0</v>
      </c>
      <c r="ER43" s="25">
        <v>0</v>
      </c>
      <c r="ES43" s="25">
        <v>0</v>
      </c>
      <c r="ET43" s="25">
        <v>0</v>
      </c>
      <c r="EU43" s="25">
        <v>0</v>
      </c>
      <c r="EV43" s="25">
        <v>0</v>
      </c>
      <c r="EW43" s="25">
        <v>0</v>
      </c>
      <c r="EX43" s="25">
        <v>0</v>
      </c>
      <c r="EY43" s="25">
        <v>0</v>
      </c>
      <c r="EZ43" s="25">
        <v>0</v>
      </c>
      <c r="FA43" s="25">
        <v>0</v>
      </c>
      <c r="FB43" s="25">
        <v>0</v>
      </c>
      <c r="FC43" s="25">
        <v>0</v>
      </c>
      <c r="FD43" s="25">
        <v>0</v>
      </c>
      <c r="FE43" s="25">
        <v>0</v>
      </c>
      <c r="FF43" s="25">
        <v>0</v>
      </c>
      <c r="FG43" s="25">
        <v>0</v>
      </c>
      <c r="FH43" s="25">
        <v>0</v>
      </c>
      <c r="FI43" s="25">
        <v>0</v>
      </c>
      <c r="FJ43" s="25">
        <v>0</v>
      </c>
      <c r="FK43" s="25">
        <v>0</v>
      </c>
      <c r="FL43" s="25">
        <v>0</v>
      </c>
      <c r="FM43" s="25">
        <v>0</v>
      </c>
      <c r="FN43" s="25">
        <v>0</v>
      </c>
      <c r="FO43" s="25">
        <v>0</v>
      </c>
      <c r="FP43" s="25">
        <v>0</v>
      </c>
      <c r="FQ43" s="25">
        <v>0</v>
      </c>
      <c r="FR43" s="25">
        <v>0</v>
      </c>
      <c r="FS43" s="25">
        <v>0</v>
      </c>
      <c r="FT43" s="25">
        <v>0</v>
      </c>
      <c r="FU43" s="25">
        <v>0</v>
      </c>
      <c r="FV43" s="25">
        <v>0</v>
      </c>
      <c r="FW43" s="25">
        <v>0</v>
      </c>
      <c r="FX43" s="25">
        <v>0</v>
      </c>
      <c r="FY43" s="25">
        <v>0</v>
      </c>
      <c r="FZ43" s="25">
        <v>0</v>
      </c>
      <c r="GA43" s="25">
        <v>0</v>
      </c>
      <c r="GB43" s="25">
        <v>1</v>
      </c>
      <c r="GC43" s="25">
        <v>0</v>
      </c>
      <c r="GD43" s="25">
        <v>0</v>
      </c>
      <c r="GE43" s="25">
        <v>0</v>
      </c>
      <c r="GF43" s="25">
        <v>0</v>
      </c>
      <c r="GG43" s="25">
        <v>0</v>
      </c>
      <c r="GH43" s="25">
        <v>0</v>
      </c>
      <c r="GI43" s="25">
        <v>0</v>
      </c>
      <c r="GJ43" s="25">
        <v>0</v>
      </c>
      <c r="GK43" s="25">
        <v>0</v>
      </c>
      <c r="GL43" s="25">
        <v>0</v>
      </c>
      <c r="GM43" s="25">
        <v>0</v>
      </c>
      <c r="GN43" s="25">
        <v>0</v>
      </c>
      <c r="GO43" s="25">
        <v>0</v>
      </c>
      <c r="GP43" s="25">
        <v>0</v>
      </c>
      <c r="GQ43" s="25">
        <v>0</v>
      </c>
      <c r="GR43" s="25">
        <v>0</v>
      </c>
      <c r="GS43" s="25">
        <v>0</v>
      </c>
      <c r="GT43" s="25">
        <v>0</v>
      </c>
      <c r="GU43" s="25">
        <v>0</v>
      </c>
      <c r="GV43" s="25">
        <v>0</v>
      </c>
      <c r="GW43" s="25">
        <v>0</v>
      </c>
      <c r="GX43" s="25">
        <v>0</v>
      </c>
      <c r="GY43" s="46">
        <v>0</v>
      </c>
      <c r="GZ43" s="25">
        <v>0</v>
      </c>
      <c r="HA43" s="25">
        <v>1</v>
      </c>
      <c r="HB43" s="25">
        <v>0</v>
      </c>
      <c r="HC43" s="25">
        <v>0</v>
      </c>
      <c r="HD43" s="25">
        <v>0</v>
      </c>
      <c r="HE43" s="25">
        <v>0</v>
      </c>
      <c r="HF43" s="25">
        <v>0</v>
      </c>
      <c r="HG43" s="25">
        <v>0</v>
      </c>
      <c r="HH43" s="25">
        <v>0</v>
      </c>
      <c r="HI43" s="25">
        <v>0</v>
      </c>
      <c r="HJ43" s="25">
        <v>0</v>
      </c>
      <c r="HK43" s="25">
        <v>0</v>
      </c>
      <c r="HL43" s="25">
        <v>0</v>
      </c>
      <c r="HM43" s="25">
        <v>0</v>
      </c>
      <c r="HN43" s="25">
        <v>0</v>
      </c>
      <c r="HO43" s="25">
        <v>0</v>
      </c>
      <c r="HP43" s="25">
        <v>0</v>
      </c>
      <c r="HQ43" s="25">
        <v>0</v>
      </c>
      <c r="HR43" s="25">
        <v>0</v>
      </c>
      <c r="HS43" s="25">
        <v>0</v>
      </c>
      <c r="HT43" s="25">
        <v>0</v>
      </c>
      <c r="HU43" s="25">
        <v>0</v>
      </c>
      <c r="HV43" s="25">
        <v>0</v>
      </c>
      <c r="HW43" s="25">
        <v>0</v>
      </c>
      <c r="HX43" s="25">
        <v>0</v>
      </c>
      <c r="HY43" s="25">
        <v>0</v>
      </c>
      <c r="HZ43" s="25">
        <v>0</v>
      </c>
      <c r="IA43" s="25">
        <v>0</v>
      </c>
      <c r="IB43" s="25">
        <v>0</v>
      </c>
      <c r="IC43" s="25">
        <v>0</v>
      </c>
      <c r="ID43" s="25">
        <v>0</v>
      </c>
      <c r="IE43" s="25">
        <v>0</v>
      </c>
      <c r="IF43" s="25">
        <v>0</v>
      </c>
      <c r="IG43" s="25">
        <v>0</v>
      </c>
      <c r="IH43" s="25">
        <v>0</v>
      </c>
      <c r="II43" s="25">
        <v>0</v>
      </c>
      <c r="IJ43" s="25">
        <v>0</v>
      </c>
      <c r="IK43" s="25">
        <v>0</v>
      </c>
      <c r="IL43" s="25">
        <v>0</v>
      </c>
      <c r="IM43" s="25">
        <v>0</v>
      </c>
      <c r="IN43" s="25">
        <v>0</v>
      </c>
      <c r="IO43" s="25">
        <v>0</v>
      </c>
      <c r="IP43" s="25">
        <v>0</v>
      </c>
      <c r="IQ43" s="25">
        <v>0</v>
      </c>
      <c r="IR43" s="25">
        <v>0</v>
      </c>
      <c r="IS43" s="25">
        <v>0</v>
      </c>
      <c r="IT43" s="25">
        <v>0</v>
      </c>
      <c r="IU43" s="25">
        <v>0</v>
      </c>
      <c r="IV43" s="25">
        <v>0</v>
      </c>
      <c r="IW43" s="25">
        <v>0</v>
      </c>
      <c r="IX43" s="25">
        <v>0</v>
      </c>
      <c r="IY43" s="25">
        <v>0</v>
      </c>
      <c r="IZ43" s="25">
        <v>0</v>
      </c>
      <c r="JA43" s="25">
        <v>0</v>
      </c>
      <c r="JB43" s="25">
        <v>0</v>
      </c>
      <c r="JC43" s="25">
        <v>0</v>
      </c>
      <c r="JD43" s="25">
        <v>0</v>
      </c>
      <c r="JE43" s="25">
        <v>0</v>
      </c>
      <c r="JF43" s="25">
        <v>0</v>
      </c>
      <c r="JG43" s="25">
        <v>0</v>
      </c>
      <c r="JH43" s="25">
        <v>0</v>
      </c>
      <c r="JI43" s="25">
        <v>0</v>
      </c>
      <c r="JJ43" s="25">
        <v>0</v>
      </c>
      <c r="JK43" s="25">
        <v>0</v>
      </c>
      <c r="JL43" s="25">
        <v>0</v>
      </c>
      <c r="JM43" s="25">
        <v>0</v>
      </c>
      <c r="JN43" s="25">
        <v>0</v>
      </c>
      <c r="JO43" s="25">
        <v>0</v>
      </c>
      <c r="JP43" s="25">
        <v>0</v>
      </c>
      <c r="JQ43" s="25">
        <v>0</v>
      </c>
      <c r="JR43" s="25">
        <v>0</v>
      </c>
      <c r="JS43" s="25">
        <v>0</v>
      </c>
      <c r="JT43" s="25">
        <v>0</v>
      </c>
      <c r="JU43" s="25">
        <v>0</v>
      </c>
      <c r="JV43" s="25">
        <v>0</v>
      </c>
      <c r="JW43" s="25">
        <v>0</v>
      </c>
      <c r="JX43" s="25">
        <v>0</v>
      </c>
      <c r="JY43" s="25">
        <v>0</v>
      </c>
      <c r="JZ43" s="25">
        <v>0</v>
      </c>
      <c r="KA43" s="25">
        <v>0</v>
      </c>
      <c r="KB43" s="25">
        <v>0</v>
      </c>
      <c r="KC43" s="25">
        <v>0</v>
      </c>
      <c r="KD43" s="25">
        <v>0</v>
      </c>
      <c r="KE43" s="25">
        <v>0</v>
      </c>
      <c r="KF43" s="25">
        <v>0</v>
      </c>
      <c r="KG43" s="25">
        <v>0</v>
      </c>
      <c r="KH43" s="25">
        <v>0</v>
      </c>
      <c r="KI43" s="25">
        <v>0</v>
      </c>
      <c r="KJ43" s="25">
        <v>0</v>
      </c>
      <c r="KK43" s="25">
        <v>0</v>
      </c>
      <c r="KL43" s="25">
        <v>0</v>
      </c>
      <c r="KM43" s="25">
        <v>0</v>
      </c>
      <c r="KN43" s="25">
        <v>0</v>
      </c>
      <c r="KO43" s="25">
        <v>0</v>
      </c>
      <c r="KP43" s="25">
        <v>0</v>
      </c>
      <c r="KQ43" s="25">
        <v>0</v>
      </c>
      <c r="KR43" s="25">
        <v>0</v>
      </c>
      <c r="KS43" s="25">
        <v>0</v>
      </c>
      <c r="KT43" s="25">
        <v>0</v>
      </c>
      <c r="KU43" s="25">
        <v>0</v>
      </c>
      <c r="KV43" s="25">
        <v>0</v>
      </c>
      <c r="KW43" s="25">
        <v>0</v>
      </c>
      <c r="KX43" s="25">
        <v>0</v>
      </c>
      <c r="KY43" s="25">
        <v>0</v>
      </c>
      <c r="KZ43" s="25">
        <v>0</v>
      </c>
      <c r="LA43" s="25">
        <v>0</v>
      </c>
      <c r="LB43" s="25">
        <v>0</v>
      </c>
      <c r="LC43" s="25">
        <v>0</v>
      </c>
      <c r="LD43" s="25">
        <v>0</v>
      </c>
      <c r="LE43" s="25">
        <v>0</v>
      </c>
      <c r="LF43" s="25">
        <v>0</v>
      </c>
      <c r="LG43" s="25">
        <v>0</v>
      </c>
      <c r="LH43" s="25">
        <v>0</v>
      </c>
      <c r="LI43" s="25">
        <v>0</v>
      </c>
      <c r="LJ43" s="25">
        <v>0</v>
      </c>
      <c r="LK43" s="25">
        <v>0</v>
      </c>
      <c r="LL43" s="25">
        <v>0</v>
      </c>
      <c r="LM43" s="25">
        <v>0</v>
      </c>
      <c r="LN43" s="278">
        <f ca="1">$A43 - DeathsTimeS!Sweden100dt + 1</f>
        <v>-24</v>
      </c>
      <c r="LO43" s="366">
        <f ca="1">INDEX(OFFSET(DeathsTimeS!HeadRow,ROW()-ROW(DeathsTimeS!HeadRow),0,1,COLUMNS(DeathsTimeS!HeadRow)),1,MATCH(LO$5,DeathsTimeS!HeadRow,0))/LO$8</f>
        <v>0</v>
      </c>
      <c r="LP43" s="278">
        <f ca="1">$A43 - DeathsTimeS!Spain100dt</f>
        <v>-17</v>
      </c>
      <c r="LQ43" s="11">
        <f ca="1">INDEX(OFFSET(DeathsTimeS!HeadRow,ROW()-ROW(DeathsTimeS!HeadRow),0,1,COLUMNS(DeathsTimeS!HeadRow)),1,MATCH(LQ$5,DeathsTimeS!HeadRow,0))/LQ$8</f>
        <v>0</v>
      </c>
      <c r="LR43" s="278">
        <f ca="1">$A43 - DeathsTimeS!Victoria100dt</f>
        <v>-40</v>
      </c>
      <c r="LS43" s="11">
        <f ca="1">INDEX(OFFSET(DeathsTimeS!HeadRow,ROW()-ROW(DeathsTimeS!HeadRow),0,1,COLUMNS(DeathsTimeS!HeadRow)),1,MATCH(LS$5,DeathsTimeS!HeadRow,0))/LS$8</f>
        <v>0</v>
      </c>
      <c r="LT43" s="278">
        <f ca="1">$A43 - DeathsTimeS!Iran100dt</f>
        <v>-10</v>
      </c>
      <c r="LU43" s="11">
        <f ca="1">INDEX(OFFSET(DeathsTimeS!HeadRow,ROW()-ROW(DeathsTimeS!HeadRow),0,1,COLUMNS(DeathsTimeS!HeadRow)),1,MATCH(LU$5,DeathsTimeS!HeadRow,0))/LU$8</f>
        <v>0.95496162247979655</v>
      </c>
      <c r="LV43" s="278">
        <f ca="1">$A43 - DeathsTimeS!Japan100dt</f>
        <v>-51</v>
      </c>
      <c r="LW43" s="11">
        <f ca="1">INDEX(OFFSET(DeathsTimeS!HeadRow,ROW()-ROW(DeathsTimeS!HeadRow),0,1,COLUMNS(DeathsTimeS!HeadRow)),1,MATCH(LW$5,DeathsTimeS!HeadRow,0))/LW$8</f>
        <v>7.9017525794856464E-2</v>
      </c>
      <c r="LX43" s="278">
        <f ca="1">$A43 - DeathsTimeS!Queensland100dt</f>
        <v>-55</v>
      </c>
      <c r="LY43" s="11">
        <f ca="1">INDEX(OFFSET(DeathsTimeS!HeadRow,ROW()-ROW(DeathsTimeS!HeadRow),0,1,COLUMNS(DeathsTimeS!HeadRow)),1,MATCH(LY$5,DeathsTimeS!HeadRow,0))/LY$8</f>
        <v>0</v>
      </c>
      <c r="LZ43" s="278">
        <f ca="1">$A43 - DeathsTimeS!Tasmania100dt</f>
        <v>-37</v>
      </c>
      <c r="MA43" s="11">
        <f ca="1">INDEX(OFFSET(DeathsTimeS!HeadRow,ROW()-ROW(DeathsTimeS!HeadRow),0,1,COLUMNS(DeathsTimeS!HeadRow)),1,MATCH(MA$5,DeathsTimeS!HeadRow,0))/MA$8</f>
        <v>0</v>
      </c>
      <c r="MB43" s="278">
        <f ca="1">$A43 - DeathsTimeS!SouthAustralia100dt</f>
        <v>-45</v>
      </c>
      <c r="MC43" s="11">
        <f ca="1">INDEX(OFFSET(DeathsTimeS!HeadRow,ROW()-ROW(DeathsTimeS!HeadRow),0,1,COLUMNS(DeathsTimeS!HeadRow)),1,MATCH(MC$5,DeathsTimeS!HeadRow,0))/MC$8</f>
        <v>0</v>
      </c>
      <c r="MD43" s="278">
        <f ca="1">$A43 - DeathsTimeS!WesternAustralia100dt</f>
        <v>-42</v>
      </c>
      <c r="ME43" s="11">
        <f ca="1">INDEX(OFFSET(DeathsTimeS!HeadRow,ROW()-ROW(DeathsTimeS!HeadRow),0,1,COLUMNS(DeathsTimeS!HeadRow)),1,MATCH(ME$5,DeathsTimeS!HeadRow,0))/ME$8</f>
        <v>0</v>
      </c>
      <c r="MF43" s="278">
        <f ca="1">$A43 - DeathsTimeS!NewSouthWales100dt</f>
        <v>-38</v>
      </c>
      <c r="MG43" s="11">
        <f ca="1">INDEX(OFFSET(DeathsTimeS!HeadRow,ROW()-ROW(DeathsTimeS!HeadRow),0,1,COLUMNS(DeathsTimeS!HeadRow)),1,MATCH(MG$5,DeathsTimeS!HeadRow,0))/MG$8</f>
        <v>0</v>
      </c>
      <c r="MH43" s="278">
        <f ca="1">$A43 - DeathsTimeS!NewYork100dt</f>
        <v>-22</v>
      </c>
      <c r="MI43" s="11">
        <f ca="1">INDEX(OFFSET(DeathsTimeS!HeadRow,ROW()-ROW(DeathsTimeS!HeadRow),0,1,COLUMNS(DeathsTimeS!HeadRow)),1,MATCH(MI$5,DeathsTimeS!HeadRow,0))/MI$8</f>
        <v>0</v>
      </c>
      <c r="MJ43" s="278">
        <f ca="1">$A43 - DeathsTimeS!Italy100dt</f>
        <v>-9</v>
      </c>
      <c r="MK43" s="20">
        <f ca="1">INDEX(OFFSET(DeathsTimeS!HeadRow,ROW()-ROW(DeathsTimeS!HeadRow),0,1,COLUMNS(DeathsTimeS!HeadRow)),1,MATCH(MK$5,DeathsTimeS!HeadRow,0))/MK$8</f>
        <v>0.49599074150615857</v>
      </c>
      <c r="ML43" s="278">
        <f ca="1">$A43 - DeathsTimeS!AustralianCapitalTerritory100dt</f>
        <v>-36</v>
      </c>
      <c r="MM43" s="11">
        <f ca="1">INDEX(OFFSET(DeathsTimeS!HeadRow,ROW()-ROW(DeathsTimeS!HeadRow),0,1,COLUMNS(DeathsTimeS!HeadRow)),1,MATCH(MM$5,DeathsTimeS!HeadRow,0))/MM$8</f>
        <v>0</v>
      </c>
      <c r="MN43" s="278">
        <f ca="1">IF(DeathsTimeS!NorthernTerritory100dt&gt;0,$A43 - DeathsTimeS!NorthernTerritory100dt,"")</f>
        <v>-64</v>
      </c>
      <c r="MO43" s="11">
        <f ca="1">INDEX(OFFSET(DeathsTimeS!HeadRow,ROW()-ROW(DeathsTimeS!HeadRow),0,1,COLUMNS(DeathsTimeS!HeadRow)),1,MATCH(MO$5,DeathsTimeS!HeadRow,0))/MO$8</f>
        <v>0</v>
      </c>
      <c r="MP43" s="278">
        <f ca="1">$A43 - DeathsTimeS!SouthAfrica100dt + 1</f>
        <v>-56</v>
      </c>
      <c r="MQ43" s="20">
        <f ca="1">INDEX(OFFSET(DeathsTimeS!HeadRow,ROW()-ROW(DeathsTimeS!HeadRow),0,1,COLUMNS(DeathsTimeS!HeadRow)),1,MATCH(MQ$5,DeathsTimeS!HeadRow,0))/MQ$8</f>
        <v>0</v>
      </c>
      <c r="MR43" s="278">
        <f ca="1">$A43 - DeathsTimeS!Germany100dt + 1</f>
        <v>-26</v>
      </c>
      <c r="MS43" s="20">
        <f ca="1">INDEX(OFFSET(DeathsTimeS!HeadRow,ROW()-ROW(DeathsTimeS!HeadRow),0,1,COLUMNS(DeathsTimeS!HeadRow)),1,MATCH(MS$5,DeathsTimeS!HeadRow,0))/MS$8</f>
        <v>0</v>
      </c>
      <c r="MT43" s="278">
        <f ca="1">$A43 - DeathsTimeS!Ireland100dt + 1</f>
        <v>-28</v>
      </c>
      <c r="MU43" s="73">
        <f ca="1">INDEX(OFFSET(DeathsTimeS!HeadRow,ROW()-ROW(DeathsTimeS!HeadRow),0,1,COLUMNS(DeathsTimeS!HeadRow)),1,MATCH(MU$5,DeathsTimeS!HeadRow,0))/MU$8</f>
        <v>0</v>
      </c>
      <c r="MV43" s="278">
        <f ca="1">$A43 - DeathsTimeS!UnitedKingdom100dt + 1</f>
        <v>-22</v>
      </c>
      <c r="MW43" s="73">
        <f ca="1">INDEX(OFFSET(DeathsTimeS!HeadRow,ROW()-ROW(DeathsTimeS!HeadRow),0,1,COLUMNS(DeathsTimeS!HeadRow)),1,MATCH(MW$5,DeathsTimeS!HeadRow,0))/MW$8</f>
        <v>0</v>
      </c>
      <c r="MX43" s="278">
        <f ca="1">$A43 - DeathsTimeS!Denmark100dt + 1</f>
        <v>-24</v>
      </c>
      <c r="MY43" s="73">
        <f ca="1">INDEX(OFFSET(DeathsTimeS!HeadRow,ROW()-ROW(DeathsTimeS!HeadRow),0,1,COLUMNS(DeathsTimeS!HeadRow)),1,MATCH(MY$5,DeathsTimeS!HeadRow,0))/MY$8</f>
        <v>0</v>
      </c>
      <c r="MZ43" s="278">
        <f ca="1">$A43 - DeathsTimeS!US100dt + 1</f>
        <v>-25</v>
      </c>
      <c r="NA43" s="73">
        <f ca="1">INDEX(OFFSET(DeathsTimeS!HeadRow,ROW()-ROW(DeathsTimeS!HeadRow),0,1,COLUMNS(DeathsTimeS!HeadRow)),1,MATCH(NA$5,DeathsTimeS!HeadRow,0))/NA$8</f>
        <v>0</v>
      </c>
      <c r="NB43" s="278">
        <f ca="1">$A43 - DeathsTimeS!AustraliaSum100dt + 1</f>
        <v>-31</v>
      </c>
      <c r="NC43" s="366">
        <f t="shared" si="6"/>
        <v>0</v>
      </c>
      <c r="ND43" s="278">
        <f ca="1">$A43 - DeathsTimeS!Taiwan100dt + 1</f>
        <v>-63</v>
      </c>
      <c r="NE43" s="366">
        <f ca="1">INDEX(OFFSET(DeathsTimeS!HeadRow,ROW()-ROW(DeathsTimeS!HeadRow),0,1,COLUMNS(DeathsTimeS!HeadRow)),1,MATCH(NE$5,DeathsTimeS!HeadRow,0))/NE$8</f>
        <v>0.4200395492437986</v>
      </c>
      <c r="NF43" s="278">
        <f ca="1">$A43 - DeathsTimeS!Hubei100dt + 1</f>
        <v>28</v>
      </c>
      <c r="NG43" s="366">
        <f ca="1">INDEX(OFFSET(DeathsTimeS!HeadRow,ROW()-ROW(DeathsTimeS!HeadRow),0,1,COLUMNS(DeathsTimeS!HeadRow)),1,MATCH(NG$5,DeathsTimeS!HeadRow,0))/NG$8</f>
        <v>401.02564102564105</v>
      </c>
      <c r="NH43" s="278">
        <f ca="1">$A43 - DeathsTimeS!HongKong100dt + 1</f>
        <v>-63</v>
      </c>
      <c r="NI43" s="366">
        <f ca="1">INDEX(OFFSET(DeathsTimeS!HeadRow,ROW()-ROW(DeathsTimeS!HeadRow),0,1,COLUMNS(DeathsTimeS!HeadRow)),1,MATCH(NI$5,DeathsTimeS!HeadRow,0))/NI$8</f>
        <v>2.6842034626224667</v>
      </c>
    </row>
    <row r="44" spans="1:373" x14ac:dyDescent="0.25">
      <c r="A44" s="156">
        <v>43885</v>
      </c>
      <c r="B44" s="25">
        <v>0</v>
      </c>
      <c r="C44" s="25">
        <v>0</v>
      </c>
      <c r="D44" s="25">
        <v>0</v>
      </c>
      <c r="E44" s="25">
        <v>0</v>
      </c>
      <c r="F44" s="25">
        <v>0</v>
      </c>
      <c r="G44" s="25">
        <v>0</v>
      </c>
      <c r="H44" s="25">
        <v>0</v>
      </c>
      <c r="I44" s="25">
        <v>0</v>
      </c>
      <c r="J44" s="25">
        <v>0</v>
      </c>
      <c r="K44" s="25">
        <v>0</v>
      </c>
      <c r="L44" s="25">
        <v>0</v>
      </c>
      <c r="M44" s="25">
        <v>0</v>
      </c>
      <c r="N44" s="25">
        <v>0</v>
      </c>
      <c r="O44" s="25">
        <v>0</v>
      </c>
      <c r="P44" s="25">
        <v>0</v>
      </c>
      <c r="Q44" s="25">
        <v>0</v>
      </c>
      <c r="R44" s="25">
        <v>0</v>
      </c>
      <c r="S44" s="25">
        <v>0</v>
      </c>
      <c r="T44" s="25">
        <v>0</v>
      </c>
      <c r="U44" s="25">
        <v>0</v>
      </c>
      <c r="V44" s="25">
        <v>0</v>
      </c>
      <c r="W44" s="25">
        <v>0</v>
      </c>
      <c r="X44" s="25">
        <v>0</v>
      </c>
      <c r="Y44" s="25">
        <v>0</v>
      </c>
      <c r="Z44" s="25">
        <v>0</v>
      </c>
      <c r="AA44" s="25">
        <v>0</v>
      </c>
      <c r="AB44" s="25">
        <v>0</v>
      </c>
      <c r="AC44" s="25">
        <v>0</v>
      </c>
      <c r="AD44" s="25">
        <v>0</v>
      </c>
      <c r="AE44" s="25">
        <v>0</v>
      </c>
      <c r="AF44" s="25">
        <v>0</v>
      </c>
      <c r="AG44" s="25">
        <v>0</v>
      </c>
      <c r="AH44" s="25">
        <v>0</v>
      </c>
      <c r="AI44" s="25">
        <v>0</v>
      </c>
      <c r="AJ44" s="25">
        <v>0</v>
      </c>
      <c r="AK44" s="25">
        <v>0</v>
      </c>
      <c r="AL44" s="25">
        <v>0</v>
      </c>
      <c r="AM44" s="25">
        <v>0</v>
      </c>
      <c r="AN44" s="25">
        <v>0</v>
      </c>
      <c r="AO44" s="25">
        <v>0</v>
      </c>
      <c r="AP44" s="25">
        <v>0</v>
      </c>
      <c r="AQ44" s="25">
        <v>0</v>
      </c>
      <c r="AR44" s="25">
        <v>0</v>
      </c>
      <c r="AS44" s="25">
        <v>0</v>
      </c>
      <c r="AT44" s="25">
        <v>0</v>
      </c>
      <c r="AU44" s="25">
        <v>0</v>
      </c>
      <c r="AV44" s="25">
        <v>0</v>
      </c>
      <c r="AW44" s="25">
        <v>0</v>
      </c>
      <c r="AX44" s="25">
        <v>0</v>
      </c>
      <c r="AY44" s="25">
        <v>6</v>
      </c>
      <c r="AZ44" s="25">
        <v>4</v>
      </c>
      <c r="BA44" s="25">
        <v>6</v>
      </c>
      <c r="BB44" s="25">
        <v>1</v>
      </c>
      <c r="BC44" s="25">
        <v>2</v>
      </c>
      <c r="BD44" s="25">
        <v>6</v>
      </c>
      <c r="BE44" s="25">
        <v>2</v>
      </c>
      <c r="BF44" s="25">
        <v>2</v>
      </c>
      <c r="BG44" s="25">
        <v>5</v>
      </c>
      <c r="BH44" s="25">
        <v>6</v>
      </c>
      <c r="BI44" s="25">
        <v>12</v>
      </c>
      <c r="BJ44" s="25">
        <v>19</v>
      </c>
      <c r="BK44" s="25">
        <v>2</v>
      </c>
      <c r="BL44" s="25">
        <v>2495</v>
      </c>
      <c r="BM44" s="25">
        <v>4</v>
      </c>
      <c r="BN44" s="25">
        <v>0</v>
      </c>
      <c r="BO44" s="25">
        <v>0</v>
      </c>
      <c r="BP44" s="25">
        <v>1</v>
      </c>
      <c r="BQ44" s="25">
        <v>1</v>
      </c>
      <c r="BR44" s="25">
        <v>1</v>
      </c>
      <c r="BS44" s="25">
        <v>0</v>
      </c>
      <c r="BT44" s="25">
        <v>0</v>
      </c>
      <c r="BU44" s="25">
        <v>0</v>
      </c>
      <c r="BV44" s="25">
        <v>1</v>
      </c>
      <c r="BW44" s="25">
        <v>5</v>
      </c>
      <c r="BX44" s="25">
        <v>3</v>
      </c>
      <c r="BY44" s="25">
        <v>0</v>
      </c>
      <c r="BZ44" s="25">
        <v>3</v>
      </c>
      <c r="CA44" s="25">
        <v>3</v>
      </c>
      <c r="CB44" s="25">
        <v>0</v>
      </c>
      <c r="CC44" s="25">
        <v>2</v>
      </c>
      <c r="CD44" s="25">
        <v>2</v>
      </c>
      <c r="CE44" s="25">
        <v>1</v>
      </c>
      <c r="CF44" s="25">
        <v>0</v>
      </c>
      <c r="CG44" s="25">
        <v>0</v>
      </c>
      <c r="CH44" s="25">
        <v>0</v>
      </c>
      <c r="CI44" s="25">
        <v>0</v>
      </c>
      <c r="CJ44" s="25">
        <v>0</v>
      </c>
      <c r="CK44" s="25">
        <v>0</v>
      </c>
      <c r="CL44" s="25">
        <v>3</v>
      </c>
      <c r="CM44" s="25">
        <v>0</v>
      </c>
      <c r="CN44" s="25">
        <v>0</v>
      </c>
      <c r="CO44" s="25">
        <v>0</v>
      </c>
      <c r="CP44" s="25">
        <v>0</v>
      </c>
      <c r="CQ44" s="25">
        <v>0</v>
      </c>
      <c r="CR44" s="25">
        <v>0</v>
      </c>
      <c r="CS44" s="25">
        <v>0</v>
      </c>
      <c r="CT44" s="25">
        <v>0</v>
      </c>
      <c r="CU44" s="25">
        <v>0</v>
      </c>
      <c r="CV44" s="25">
        <v>0</v>
      </c>
      <c r="CW44" s="25">
        <v>0</v>
      </c>
      <c r="CX44" s="25">
        <v>0</v>
      </c>
      <c r="CY44" s="25">
        <v>0</v>
      </c>
      <c r="CZ44" s="25">
        <v>0</v>
      </c>
      <c r="DA44" s="25">
        <v>0</v>
      </c>
      <c r="DB44" s="25">
        <v>0</v>
      </c>
      <c r="DC44" s="25">
        <v>0</v>
      </c>
      <c r="DD44" s="25">
        <v>0</v>
      </c>
      <c r="DE44" s="25">
        <v>0</v>
      </c>
      <c r="DF44" s="25">
        <v>0</v>
      </c>
      <c r="DG44" s="25">
        <v>0</v>
      </c>
      <c r="DH44" s="25">
        <v>0</v>
      </c>
      <c r="DI44" s="25">
        <v>0</v>
      </c>
      <c r="DJ44" s="25">
        <v>0</v>
      </c>
      <c r="DK44" s="25">
        <v>0</v>
      </c>
      <c r="DL44" s="25">
        <v>0</v>
      </c>
      <c r="DM44" s="25">
        <v>0</v>
      </c>
      <c r="DN44" s="25">
        <v>1</v>
      </c>
      <c r="DO44" s="25">
        <v>0</v>
      </c>
      <c r="DP44" s="25">
        <v>0</v>
      </c>
      <c r="DQ44" s="25">
        <v>0</v>
      </c>
      <c r="DR44" s="25">
        <v>0</v>
      </c>
      <c r="DS44" s="25">
        <v>0</v>
      </c>
      <c r="DT44" s="25">
        <v>0</v>
      </c>
      <c r="DU44" s="25">
        <v>0</v>
      </c>
      <c r="DV44" s="25">
        <v>0</v>
      </c>
      <c r="DW44" s="25">
        <v>0</v>
      </c>
      <c r="DX44" s="25">
        <v>0</v>
      </c>
      <c r="DY44" s="25">
        <v>0</v>
      </c>
      <c r="DZ44" s="25">
        <v>0</v>
      </c>
      <c r="EA44" s="25">
        <v>0</v>
      </c>
      <c r="EB44" s="25">
        <v>0</v>
      </c>
      <c r="EC44" s="25">
        <v>0</v>
      </c>
      <c r="ED44" s="25">
        <v>0</v>
      </c>
      <c r="EE44" s="25">
        <v>12</v>
      </c>
      <c r="EF44" s="25">
        <v>0</v>
      </c>
      <c r="EG44" s="25">
        <v>0</v>
      </c>
      <c r="EH44" s="25">
        <v>0</v>
      </c>
      <c r="EI44" s="25">
        <v>7</v>
      </c>
      <c r="EJ44" s="25">
        <v>0</v>
      </c>
      <c r="EK44" s="25">
        <v>1</v>
      </c>
      <c r="EL44" s="25">
        <v>0</v>
      </c>
      <c r="EM44" s="25">
        <v>0</v>
      </c>
      <c r="EN44" s="25">
        <v>0</v>
      </c>
      <c r="EO44" s="25">
        <v>8</v>
      </c>
      <c r="EP44" s="25">
        <v>0</v>
      </c>
      <c r="EQ44" s="25">
        <v>0</v>
      </c>
      <c r="ER44" s="25">
        <v>0</v>
      </c>
      <c r="ES44" s="25">
        <v>0</v>
      </c>
      <c r="ET44" s="25">
        <v>0</v>
      </c>
      <c r="EU44" s="25">
        <v>0</v>
      </c>
      <c r="EV44" s="25">
        <v>0</v>
      </c>
      <c r="EW44" s="25">
        <v>0</v>
      </c>
      <c r="EX44" s="25">
        <v>0</v>
      </c>
      <c r="EY44" s="25">
        <v>0</v>
      </c>
      <c r="EZ44" s="25">
        <v>0</v>
      </c>
      <c r="FA44" s="25">
        <v>0</v>
      </c>
      <c r="FB44" s="25">
        <v>0</v>
      </c>
      <c r="FC44" s="25">
        <v>0</v>
      </c>
      <c r="FD44" s="25">
        <v>0</v>
      </c>
      <c r="FE44" s="25">
        <v>0</v>
      </c>
      <c r="FF44" s="25">
        <v>0</v>
      </c>
      <c r="FG44" s="25">
        <v>0</v>
      </c>
      <c r="FH44" s="25">
        <v>0</v>
      </c>
      <c r="FI44" s="25">
        <v>0</v>
      </c>
      <c r="FJ44" s="25">
        <v>0</v>
      </c>
      <c r="FK44" s="25">
        <v>0</v>
      </c>
      <c r="FL44" s="25">
        <v>0</v>
      </c>
      <c r="FM44" s="25">
        <v>0</v>
      </c>
      <c r="FN44" s="25">
        <v>0</v>
      </c>
      <c r="FO44" s="25">
        <v>0</v>
      </c>
      <c r="FP44" s="25">
        <v>0</v>
      </c>
      <c r="FQ44" s="25">
        <v>0</v>
      </c>
      <c r="FR44" s="25">
        <v>0</v>
      </c>
      <c r="FS44" s="25">
        <v>0</v>
      </c>
      <c r="FT44" s="25">
        <v>0</v>
      </c>
      <c r="FU44" s="25">
        <v>0</v>
      </c>
      <c r="FV44" s="25">
        <v>0</v>
      </c>
      <c r="FW44" s="25">
        <v>0</v>
      </c>
      <c r="FX44" s="25">
        <v>0</v>
      </c>
      <c r="FY44" s="25">
        <v>0</v>
      </c>
      <c r="FZ44" s="25">
        <v>0</v>
      </c>
      <c r="GA44" s="25">
        <v>0</v>
      </c>
      <c r="GB44" s="25">
        <v>1</v>
      </c>
      <c r="GC44" s="25">
        <v>0</v>
      </c>
      <c r="GD44" s="25">
        <v>0</v>
      </c>
      <c r="GE44" s="25">
        <v>0</v>
      </c>
      <c r="GF44" s="25">
        <v>0</v>
      </c>
      <c r="GG44" s="25">
        <v>0</v>
      </c>
      <c r="GH44" s="25">
        <v>0</v>
      </c>
      <c r="GI44" s="25">
        <v>0</v>
      </c>
      <c r="GJ44" s="25">
        <v>0</v>
      </c>
      <c r="GK44" s="25">
        <v>0</v>
      </c>
      <c r="GL44" s="25">
        <v>0</v>
      </c>
      <c r="GM44" s="25">
        <v>0</v>
      </c>
      <c r="GN44" s="25">
        <v>0</v>
      </c>
      <c r="GO44" s="25">
        <v>0</v>
      </c>
      <c r="GP44" s="25">
        <v>0</v>
      </c>
      <c r="GQ44" s="25">
        <v>0</v>
      </c>
      <c r="GR44" s="25">
        <v>0</v>
      </c>
      <c r="GS44" s="25">
        <v>0</v>
      </c>
      <c r="GT44" s="25">
        <v>0</v>
      </c>
      <c r="GU44" s="25">
        <v>0</v>
      </c>
      <c r="GV44" s="25">
        <v>0</v>
      </c>
      <c r="GW44" s="25">
        <v>0</v>
      </c>
      <c r="GX44" s="25">
        <v>0</v>
      </c>
      <c r="GY44" s="46">
        <v>0</v>
      </c>
      <c r="GZ44" s="25">
        <v>0</v>
      </c>
      <c r="HA44" s="25">
        <v>1</v>
      </c>
      <c r="HB44" s="25">
        <v>0</v>
      </c>
      <c r="HC44" s="25">
        <v>0</v>
      </c>
      <c r="HD44" s="25">
        <v>0</v>
      </c>
      <c r="HE44" s="25">
        <v>0</v>
      </c>
      <c r="HF44" s="25">
        <v>0</v>
      </c>
      <c r="HG44" s="25">
        <v>0</v>
      </c>
      <c r="HH44" s="25">
        <v>0</v>
      </c>
      <c r="HI44" s="25">
        <v>0</v>
      </c>
      <c r="HJ44" s="25">
        <v>0</v>
      </c>
      <c r="HK44" s="25">
        <v>0</v>
      </c>
      <c r="HL44" s="25">
        <v>0</v>
      </c>
      <c r="HM44" s="25">
        <v>0</v>
      </c>
      <c r="HN44" s="25">
        <v>0</v>
      </c>
      <c r="HO44" s="25">
        <v>0</v>
      </c>
      <c r="HP44" s="25">
        <v>0</v>
      </c>
      <c r="HQ44" s="25">
        <v>0</v>
      </c>
      <c r="HR44" s="25">
        <v>0</v>
      </c>
      <c r="HS44" s="25">
        <v>0</v>
      </c>
      <c r="HT44" s="25">
        <v>0</v>
      </c>
      <c r="HU44" s="25">
        <v>0</v>
      </c>
      <c r="HV44" s="25">
        <v>0</v>
      </c>
      <c r="HW44" s="25">
        <v>0</v>
      </c>
      <c r="HX44" s="25">
        <v>0</v>
      </c>
      <c r="HY44" s="25">
        <v>0</v>
      </c>
      <c r="HZ44" s="25">
        <v>0</v>
      </c>
      <c r="IA44" s="25">
        <v>0</v>
      </c>
      <c r="IB44" s="25">
        <v>0</v>
      </c>
      <c r="IC44" s="25">
        <v>0</v>
      </c>
      <c r="ID44" s="25">
        <v>0</v>
      </c>
      <c r="IE44" s="25">
        <v>0</v>
      </c>
      <c r="IF44" s="25">
        <v>0</v>
      </c>
      <c r="IG44" s="25">
        <v>0</v>
      </c>
      <c r="IH44" s="25">
        <v>0</v>
      </c>
      <c r="II44" s="25">
        <v>0</v>
      </c>
      <c r="IJ44" s="25">
        <v>0</v>
      </c>
      <c r="IK44" s="25">
        <v>0</v>
      </c>
      <c r="IL44" s="25">
        <v>0</v>
      </c>
      <c r="IM44" s="25">
        <v>0</v>
      </c>
      <c r="IN44" s="25">
        <v>0</v>
      </c>
      <c r="IO44" s="25">
        <v>0</v>
      </c>
      <c r="IP44" s="25">
        <v>0</v>
      </c>
      <c r="IQ44" s="25">
        <v>0</v>
      </c>
      <c r="IR44" s="25">
        <v>0</v>
      </c>
      <c r="IS44" s="25">
        <v>0</v>
      </c>
      <c r="IT44" s="25">
        <v>0</v>
      </c>
      <c r="IU44" s="25">
        <v>0</v>
      </c>
      <c r="IV44" s="25">
        <v>0</v>
      </c>
      <c r="IW44" s="25">
        <v>0</v>
      </c>
      <c r="IX44" s="25">
        <v>0</v>
      </c>
      <c r="IY44" s="25">
        <v>0</v>
      </c>
      <c r="IZ44" s="25">
        <v>0</v>
      </c>
      <c r="JA44" s="25">
        <v>0</v>
      </c>
      <c r="JB44" s="25">
        <v>0</v>
      </c>
      <c r="JC44" s="25">
        <v>0</v>
      </c>
      <c r="JD44" s="25">
        <v>0</v>
      </c>
      <c r="JE44" s="25">
        <v>0</v>
      </c>
      <c r="JF44" s="25">
        <v>0</v>
      </c>
      <c r="JG44" s="25">
        <v>0</v>
      </c>
      <c r="JH44" s="25">
        <v>0</v>
      </c>
      <c r="JI44" s="25">
        <v>0</v>
      </c>
      <c r="JJ44" s="25">
        <v>0</v>
      </c>
      <c r="JK44" s="25">
        <v>0</v>
      </c>
      <c r="JL44" s="25">
        <v>0</v>
      </c>
      <c r="JM44" s="25">
        <v>0</v>
      </c>
      <c r="JN44" s="25">
        <v>0</v>
      </c>
      <c r="JO44" s="25">
        <v>0</v>
      </c>
      <c r="JP44" s="25">
        <v>0</v>
      </c>
      <c r="JQ44" s="25">
        <v>0</v>
      </c>
      <c r="JR44" s="25">
        <v>0</v>
      </c>
      <c r="JS44" s="25">
        <v>0</v>
      </c>
      <c r="JT44" s="25">
        <v>0</v>
      </c>
      <c r="JU44" s="25">
        <v>0</v>
      </c>
      <c r="JV44" s="25">
        <v>0</v>
      </c>
      <c r="JW44" s="25">
        <v>0</v>
      </c>
      <c r="JX44" s="25">
        <v>0</v>
      </c>
      <c r="JY44" s="25">
        <v>0</v>
      </c>
      <c r="JZ44" s="25">
        <v>0</v>
      </c>
      <c r="KA44" s="25">
        <v>0</v>
      </c>
      <c r="KB44" s="25">
        <v>0</v>
      </c>
      <c r="KC44" s="25">
        <v>0</v>
      </c>
      <c r="KD44" s="25">
        <v>0</v>
      </c>
      <c r="KE44" s="25">
        <v>0</v>
      </c>
      <c r="KF44" s="25">
        <v>0</v>
      </c>
      <c r="KG44" s="25">
        <v>0</v>
      </c>
      <c r="KH44" s="25">
        <v>0</v>
      </c>
      <c r="KI44" s="25">
        <v>0</v>
      </c>
      <c r="KJ44" s="25">
        <v>0</v>
      </c>
      <c r="KK44" s="25">
        <v>0</v>
      </c>
      <c r="KL44" s="25">
        <v>0</v>
      </c>
      <c r="KM44" s="25">
        <v>0</v>
      </c>
      <c r="KN44" s="25">
        <v>0</v>
      </c>
      <c r="KO44" s="25">
        <v>0</v>
      </c>
      <c r="KP44" s="25">
        <v>0</v>
      </c>
      <c r="KQ44" s="25">
        <v>0</v>
      </c>
      <c r="KR44" s="25">
        <v>0</v>
      </c>
      <c r="KS44" s="25">
        <v>0</v>
      </c>
      <c r="KT44" s="25">
        <v>0</v>
      </c>
      <c r="KU44" s="25">
        <v>0</v>
      </c>
      <c r="KV44" s="25">
        <v>0</v>
      </c>
      <c r="KW44" s="25">
        <v>0</v>
      </c>
      <c r="KX44" s="25">
        <v>0</v>
      </c>
      <c r="KY44" s="25">
        <v>0</v>
      </c>
      <c r="KZ44" s="25">
        <v>0</v>
      </c>
      <c r="LA44" s="25">
        <v>0</v>
      </c>
      <c r="LB44" s="25">
        <v>0</v>
      </c>
      <c r="LC44" s="25">
        <v>0</v>
      </c>
      <c r="LD44" s="25">
        <v>0</v>
      </c>
      <c r="LE44" s="25">
        <v>0</v>
      </c>
      <c r="LF44" s="25">
        <v>0</v>
      </c>
      <c r="LG44" s="25">
        <v>0</v>
      </c>
      <c r="LH44" s="25">
        <v>0</v>
      </c>
      <c r="LI44" s="25">
        <v>0</v>
      </c>
      <c r="LJ44" s="25">
        <v>0</v>
      </c>
      <c r="LK44" s="25">
        <v>0</v>
      </c>
      <c r="LL44" s="25">
        <v>0</v>
      </c>
      <c r="LM44" s="25">
        <v>0</v>
      </c>
      <c r="LN44" s="278">
        <f ca="1">$A44 - DeathsTimeS!Sweden100dt + 1</f>
        <v>-23</v>
      </c>
      <c r="LO44" s="366">
        <f ca="1">INDEX(OFFSET(DeathsTimeS!HeadRow,ROW()-ROW(DeathsTimeS!HeadRow),0,1,COLUMNS(DeathsTimeS!HeadRow)),1,MATCH(LO$5,DeathsTimeS!HeadRow,0))/LO$8</f>
        <v>0</v>
      </c>
      <c r="LP44" s="278">
        <f ca="1">$A44 - DeathsTimeS!Spain100dt</f>
        <v>-16</v>
      </c>
      <c r="LQ44" s="11">
        <f ca="1">INDEX(OFFSET(DeathsTimeS!HeadRow,ROW()-ROW(DeathsTimeS!HeadRow),0,1,COLUMNS(DeathsTimeS!HeadRow)),1,MATCH(LQ$5,DeathsTimeS!HeadRow,0))/LQ$8</f>
        <v>0</v>
      </c>
      <c r="LR44" s="278">
        <f ca="1">$A44 - DeathsTimeS!Victoria100dt</f>
        <v>-39</v>
      </c>
      <c r="LS44" s="11">
        <f ca="1">INDEX(OFFSET(DeathsTimeS!HeadRow,ROW()-ROW(DeathsTimeS!HeadRow),0,1,COLUMNS(DeathsTimeS!HeadRow)),1,MATCH(LS$5,DeathsTimeS!HeadRow,0))/LS$8</f>
        <v>0</v>
      </c>
      <c r="LT44" s="278">
        <f ca="1">$A44 - DeathsTimeS!Iran100dt</f>
        <v>-9</v>
      </c>
      <c r="LU44" s="11">
        <f ca="1">INDEX(OFFSET(DeathsTimeS!HeadRow,ROW()-ROW(DeathsTimeS!HeadRow),0,1,COLUMNS(DeathsTimeS!HeadRow)),1,MATCH(LU$5,DeathsTimeS!HeadRow,0))/LU$8</f>
        <v>1.4324424337196948</v>
      </c>
      <c r="LV44" s="278">
        <f ca="1">$A44 - DeathsTimeS!Japan100dt</f>
        <v>-50</v>
      </c>
      <c r="LW44" s="11">
        <f ca="1">INDEX(OFFSET(DeathsTimeS!HeadRow,ROW()-ROW(DeathsTimeS!HeadRow),0,1,COLUMNS(DeathsTimeS!HeadRow)),1,MATCH(LW$5,DeathsTimeS!HeadRow,0))/LW$8</f>
        <v>7.9017525794856464E-2</v>
      </c>
      <c r="LX44" s="278">
        <f ca="1">$A44 - DeathsTimeS!Queensland100dt</f>
        <v>-54</v>
      </c>
      <c r="LY44" s="11">
        <f ca="1">INDEX(OFFSET(DeathsTimeS!HeadRow,ROW()-ROW(DeathsTimeS!HeadRow),0,1,COLUMNS(DeathsTimeS!HeadRow)),1,MATCH(LY$5,DeathsTimeS!HeadRow,0))/LY$8</f>
        <v>0</v>
      </c>
      <c r="LZ44" s="278">
        <f ca="1">$A44 - DeathsTimeS!Tasmania100dt</f>
        <v>-36</v>
      </c>
      <c r="MA44" s="11">
        <f ca="1">INDEX(OFFSET(DeathsTimeS!HeadRow,ROW()-ROW(DeathsTimeS!HeadRow),0,1,COLUMNS(DeathsTimeS!HeadRow)),1,MATCH(MA$5,DeathsTimeS!HeadRow,0))/MA$8</f>
        <v>0</v>
      </c>
      <c r="MB44" s="278">
        <f ca="1">$A44 - DeathsTimeS!SouthAustralia100dt</f>
        <v>-44</v>
      </c>
      <c r="MC44" s="11">
        <f ca="1">INDEX(OFFSET(DeathsTimeS!HeadRow,ROW()-ROW(DeathsTimeS!HeadRow),0,1,COLUMNS(DeathsTimeS!HeadRow)),1,MATCH(MC$5,DeathsTimeS!HeadRow,0))/MC$8</f>
        <v>0</v>
      </c>
      <c r="MD44" s="278">
        <f ca="1">$A44 - DeathsTimeS!WesternAustralia100dt</f>
        <v>-41</v>
      </c>
      <c r="ME44" s="11">
        <f ca="1">INDEX(OFFSET(DeathsTimeS!HeadRow,ROW()-ROW(DeathsTimeS!HeadRow),0,1,COLUMNS(DeathsTimeS!HeadRow)),1,MATCH(ME$5,DeathsTimeS!HeadRow,0))/ME$8</f>
        <v>0</v>
      </c>
      <c r="MF44" s="278">
        <f ca="1">$A44 - DeathsTimeS!NewSouthWales100dt</f>
        <v>-37</v>
      </c>
      <c r="MG44" s="11">
        <f ca="1">INDEX(OFFSET(DeathsTimeS!HeadRow,ROW()-ROW(DeathsTimeS!HeadRow),0,1,COLUMNS(DeathsTimeS!HeadRow)),1,MATCH(MG$5,DeathsTimeS!HeadRow,0))/MG$8</f>
        <v>0</v>
      </c>
      <c r="MH44" s="278">
        <f ca="1">$A44 - DeathsTimeS!NewYork100dt</f>
        <v>-21</v>
      </c>
      <c r="MI44" s="11">
        <f ca="1">INDEX(OFFSET(DeathsTimeS!HeadRow,ROW()-ROW(DeathsTimeS!HeadRow),0,1,COLUMNS(DeathsTimeS!HeadRow)),1,MATCH(MI$5,DeathsTimeS!HeadRow,0))/MI$8</f>
        <v>0</v>
      </c>
      <c r="MJ44" s="278">
        <f ca="1">$A44 - DeathsTimeS!Italy100dt</f>
        <v>-8</v>
      </c>
      <c r="MK44" s="20">
        <f ca="1">INDEX(OFFSET(DeathsTimeS!HeadRow,ROW()-ROW(DeathsTimeS!HeadRow),0,1,COLUMNS(DeathsTimeS!HeadRow)),1,MATCH(MK$5,DeathsTimeS!HeadRow,0))/MK$8</f>
        <v>1.1573117301810367</v>
      </c>
      <c r="ML44" s="278">
        <f ca="1">$A44 - DeathsTimeS!AustralianCapitalTerritory100dt</f>
        <v>-35</v>
      </c>
      <c r="MM44" s="11">
        <f ca="1">INDEX(OFFSET(DeathsTimeS!HeadRow,ROW()-ROW(DeathsTimeS!HeadRow),0,1,COLUMNS(DeathsTimeS!HeadRow)),1,MATCH(MM$5,DeathsTimeS!HeadRow,0))/MM$8</f>
        <v>0</v>
      </c>
      <c r="MN44" s="278">
        <f ca="1">IF(DeathsTimeS!NorthernTerritory100dt&gt;0,$A44 - DeathsTimeS!NorthernTerritory100dt,"")</f>
        <v>-63</v>
      </c>
      <c r="MO44" s="11">
        <f ca="1">INDEX(OFFSET(DeathsTimeS!HeadRow,ROW()-ROW(DeathsTimeS!HeadRow),0,1,COLUMNS(DeathsTimeS!HeadRow)),1,MATCH(MO$5,DeathsTimeS!HeadRow,0))/MO$8</f>
        <v>0</v>
      </c>
      <c r="MP44" s="278">
        <f ca="1">$A44 - DeathsTimeS!SouthAfrica100dt + 1</f>
        <v>-55</v>
      </c>
      <c r="MQ44" s="20">
        <f ca="1">INDEX(OFFSET(DeathsTimeS!HeadRow,ROW()-ROW(DeathsTimeS!HeadRow),0,1,COLUMNS(DeathsTimeS!HeadRow)),1,MATCH(MQ$5,DeathsTimeS!HeadRow,0))/MQ$8</f>
        <v>0</v>
      </c>
      <c r="MR44" s="278">
        <f ca="1">$A44 - DeathsTimeS!Germany100dt + 1</f>
        <v>-25</v>
      </c>
      <c r="MS44" s="20">
        <f ca="1">INDEX(OFFSET(DeathsTimeS!HeadRow,ROW()-ROW(DeathsTimeS!HeadRow),0,1,COLUMNS(DeathsTimeS!HeadRow)),1,MATCH(MS$5,DeathsTimeS!HeadRow,0))/MS$8</f>
        <v>0</v>
      </c>
      <c r="MT44" s="278">
        <f ca="1">$A44 - DeathsTimeS!Ireland100dt + 1</f>
        <v>-27</v>
      </c>
      <c r="MU44" s="73">
        <f ca="1">INDEX(OFFSET(DeathsTimeS!HeadRow,ROW()-ROW(DeathsTimeS!HeadRow),0,1,COLUMNS(DeathsTimeS!HeadRow)),1,MATCH(MU$5,DeathsTimeS!HeadRow,0))/MU$8</f>
        <v>0</v>
      </c>
      <c r="MV44" s="278">
        <f ca="1">$A44 - DeathsTimeS!UnitedKingdom100dt + 1</f>
        <v>-21</v>
      </c>
      <c r="MW44" s="73">
        <f ca="1">INDEX(OFFSET(DeathsTimeS!HeadRow,ROW()-ROW(DeathsTimeS!HeadRow),0,1,COLUMNS(DeathsTimeS!HeadRow)),1,MATCH(MW$5,DeathsTimeS!HeadRow,0))/MW$8</f>
        <v>0</v>
      </c>
      <c r="MX44" s="278">
        <f ca="1">$A44 - DeathsTimeS!Denmark100dt + 1</f>
        <v>-23</v>
      </c>
      <c r="MY44" s="73">
        <f ca="1">INDEX(OFFSET(DeathsTimeS!HeadRow,ROW()-ROW(DeathsTimeS!HeadRow),0,1,COLUMNS(DeathsTimeS!HeadRow)),1,MATCH(MY$5,DeathsTimeS!HeadRow,0))/MY$8</f>
        <v>0</v>
      </c>
      <c r="MZ44" s="278">
        <f ca="1">$A44 - DeathsTimeS!US100dt + 1</f>
        <v>-24</v>
      </c>
      <c r="NA44" s="73">
        <f ca="1">INDEX(OFFSET(DeathsTimeS!HeadRow,ROW()-ROW(DeathsTimeS!HeadRow),0,1,COLUMNS(DeathsTimeS!HeadRow)),1,MATCH(NA$5,DeathsTimeS!HeadRow,0))/NA$8</f>
        <v>0</v>
      </c>
      <c r="NB44" s="278">
        <f ca="1">$A44 - DeathsTimeS!AustraliaSum100dt + 1</f>
        <v>-30</v>
      </c>
      <c r="NC44" s="366">
        <f t="shared" si="6"/>
        <v>0</v>
      </c>
      <c r="ND44" s="278">
        <f ca="1">$A44 - DeathsTimeS!Taiwan100dt + 1</f>
        <v>-62</v>
      </c>
      <c r="NE44" s="366">
        <f ca="1">INDEX(OFFSET(DeathsTimeS!HeadRow,ROW()-ROW(DeathsTimeS!HeadRow),0,1,COLUMNS(DeathsTimeS!HeadRow)),1,MATCH(NE$5,DeathsTimeS!HeadRow,0))/NE$8</f>
        <v>0.4200395492437986</v>
      </c>
      <c r="NF44" s="278">
        <f ca="1">$A44 - DeathsTimeS!Hubei100dt + 1</f>
        <v>29</v>
      </c>
      <c r="NG44" s="366">
        <f ca="1">INDEX(OFFSET(DeathsTimeS!HeadRow,ROW()-ROW(DeathsTimeS!HeadRow),0,1,COLUMNS(DeathsTimeS!HeadRow)),1,MATCH(NG$5,DeathsTimeS!HeadRow,0))/NG$8</f>
        <v>426.4957264957265</v>
      </c>
      <c r="NH44" s="278">
        <f ca="1">$A44 - DeathsTimeS!HongKong100dt + 1</f>
        <v>-62</v>
      </c>
      <c r="NI44" s="366">
        <f ca="1">INDEX(OFFSET(DeathsTimeS!HeadRow,ROW()-ROW(DeathsTimeS!HeadRow),0,1,COLUMNS(DeathsTimeS!HeadRow)),1,MATCH(NI$5,DeathsTimeS!HeadRow,0))/NI$8</f>
        <v>2.6842034626224667</v>
      </c>
    </row>
    <row r="45" spans="1:373" x14ac:dyDescent="0.25">
      <c r="A45" s="156">
        <v>43886</v>
      </c>
      <c r="B45" s="25">
        <v>0</v>
      </c>
      <c r="C45" s="25">
        <v>0</v>
      </c>
      <c r="D45" s="25">
        <v>0</v>
      </c>
      <c r="E45" s="25">
        <v>0</v>
      </c>
      <c r="F45" s="25">
        <v>0</v>
      </c>
      <c r="G45" s="25">
        <v>0</v>
      </c>
      <c r="H45" s="25">
        <v>0</v>
      </c>
      <c r="I45" s="25">
        <v>0</v>
      </c>
      <c r="J45" s="25">
        <v>0</v>
      </c>
      <c r="K45" s="25">
        <v>0</v>
      </c>
      <c r="L45" s="25">
        <v>0</v>
      </c>
      <c r="M45" s="25">
        <v>0</v>
      </c>
      <c r="N45" s="25">
        <v>0</v>
      </c>
      <c r="O45" s="25">
        <v>0</v>
      </c>
      <c r="P45" s="25">
        <v>0</v>
      </c>
      <c r="Q45" s="25">
        <v>0</v>
      </c>
      <c r="R45" s="25">
        <v>0</v>
      </c>
      <c r="S45" s="25">
        <v>0</v>
      </c>
      <c r="T45" s="25">
        <v>0</v>
      </c>
      <c r="U45" s="25">
        <v>0</v>
      </c>
      <c r="V45" s="25">
        <v>0</v>
      </c>
      <c r="W45" s="25">
        <v>0</v>
      </c>
      <c r="X45" s="25">
        <v>0</v>
      </c>
      <c r="Y45" s="25">
        <v>0</v>
      </c>
      <c r="Z45" s="25">
        <v>0</v>
      </c>
      <c r="AA45" s="25">
        <v>0</v>
      </c>
      <c r="AB45" s="25">
        <v>0</v>
      </c>
      <c r="AC45" s="25">
        <v>0</v>
      </c>
      <c r="AD45" s="25">
        <v>0</v>
      </c>
      <c r="AE45" s="25">
        <v>0</v>
      </c>
      <c r="AF45" s="25">
        <v>0</v>
      </c>
      <c r="AG45" s="25">
        <v>0</v>
      </c>
      <c r="AH45" s="25">
        <v>0</v>
      </c>
      <c r="AI45" s="25">
        <v>0</v>
      </c>
      <c r="AJ45" s="25">
        <v>0</v>
      </c>
      <c r="AK45" s="25">
        <v>0</v>
      </c>
      <c r="AL45" s="25">
        <v>0</v>
      </c>
      <c r="AM45" s="25">
        <v>0</v>
      </c>
      <c r="AN45" s="25">
        <v>0</v>
      </c>
      <c r="AO45" s="25">
        <v>0</v>
      </c>
      <c r="AP45" s="25">
        <v>0</v>
      </c>
      <c r="AQ45" s="25">
        <v>0</v>
      </c>
      <c r="AR45" s="25">
        <v>0</v>
      </c>
      <c r="AS45" s="25">
        <v>0</v>
      </c>
      <c r="AT45" s="25">
        <v>0</v>
      </c>
      <c r="AU45" s="25">
        <v>0</v>
      </c>
      <c r="AV45" s="25">
        <v>0</v>
      </c>
      <c r="AW45" s="25">
        <v>0</v>
      </c>
      <c r="AX45" s="25">
        <v>0</v>
      </c>
      <c r="AY45" s="25">
        <v>6</v>
      </c>
      <c r="AZ45" s="25">
        <v>4</v>
      </c>
      <c r="BA45" s="25">
        <v>6</v>
      </c>
      <c r="BB45" s="25">
        <v>1</v>
      </c>
      <c r="BC45" s="25">
        <v>2</v>
      </c>
      <c r="BD45" s="25">
        <v>7</v>
      </c>
      <c r="BE45" s="25">
        <v>2</v>
      </c>
      <c r="BF45" s="25">
        <v>2</v>
      </c>
      <c r="BG45" s="25">
        <v>5</v>
      </c>
      <c r="BH45" s="25">
        <v>6</v>
      </c>
      <c r="BI45" s="25">
        <v>12</v>
      </c>
      <c r="BJ45" s="25">
        <v>19</v>
      </c>
      <c r="BK45" s="25">
        <v>2</v>
      </c>
      <c r="BL45" s="25">
        <v>2563</v>
      </c>
      <c r="BM45" s="25">
        <v>4</v>
      </c>
      <c r="BN45" s="25">
        <v>0</v>
      </c>
      <c r="BO45" s="25">
        <v>0</v>
      </c>
      <c r="BP45" s="25">
        <v>1</v>
      </c>
      <c r="BQ45" s="25">
        <v>1</v>
      </c>
      <c r="BR45" s="25">
        <v>1</v>
      </c>
      <c r="BS45" s="25">
        <v>0</v>
      </c>
      <c r="BT45" s="25">
        <v>0</v>
      </c>
      <c r="BU45" s="25">
        <v>0</v>
      </c>
      <c r="BV45" s="25">
        <v>1</v>
      </c>
      <c r="BW45" s="25">
        <v>6</v>
      </c>
      <c r="BX45" s="25">
        <v>3</v>
      </c>
      <c r="BY45" s="25">
        <v>0</v>
      </c>
      <c r="BZ45" s="25">
        <v>3</v>
      </c>
      <c r="CA45" s="25">
        <v>3</v>
      </c>
      <c r="CB45" s="25">
        <v>0</v>
      </c>
      <c r="CC45" s="25">
        <v>2</v>
      </c>
      <c r="CD45" s="25">
        <v>2</v>
      </c>
      <c r="CE45" s="25">
        <v>1</v>
      </c>
      <c r="CF45" s="25">
        <v>0</v>
      </c>
      <c r="CG45" s="25">
        <v>0</v>
      </c>
      <c r="CH45" s="25">
        <v>0</v>
      </c>
      <c r="CI45" s="25">
        <v>0</v>
      </c>
      <c r="CJ45" s="25">
        <v>0</v>
      </c>
      <c r="CK45" s="25">
        <v>0</v>
      </c>
      <c r="CL45" s="25">
        <v>3</v>
      </c>
      <c r="CM45" s="25">
        <v>0</v>
      </c>
      <c r="CN45" s="25">
        <v>0</v>
      </c>
      <c r="CO45" s="25">
        <v>0</v>
      </c>
      <c r="CP45" s="25">
        <v>0</v>
      </c>
      <c r="CQ45" s="25">
        <v>0</v>
      </c>
      <c r="CR45" s="25">
        <v>0</v>
      </c>
      <c r="CS45" s="25">
        <v>0</v>
      </c>
      <c r="CT45" s="25">
        <v>0</v>
      </c>
      <c r="CU45" s="25">
        <v>0</v>
      </c>
      <c r="CV45" s="25">
        <v>0</v>
      </c>
      <c r="CW45" s="25">
        <v>0</v>
      </c>
      <c r="CX45" s="25">
        <v>0</v>
      </c>
      <c r="CY45" s="25">
        <v>0</v>
      </c>
      <c r="CZ45" s="25">
        <v>0</v>
      </c>
      <c r="DA45" s="25">
        <v>0</v>
      </c>
      <c r="DB45" s="25">
        <v>0</v>
      </c>
      <c r="DC45" s="25">
        <v>0</v>
      </c>
      <c r="DD45" s="25">
        <v>0</v>
      </c>
      <c r="DE45" s="25">
        <v>0</v>
      </c>
      <c r="DF45" s="25">
        <v>0</v>
      </c>
      <c r="DG45" s="25">
        <v>0</v>
      </c>
      <c r="DH45" s="25">
        <v>0</v>
      </c>
      <c r="DI45" s="25">
        <v>0</v>
      </c>
      <c r="DJ45" s="25">
        <v>0</v>
      </c>
      <c r="DK45" s="25">
        <v>0</v>
      </c>
      <c r="DL45" s="25">
        <v>0</v>
      </c>
      <c r="DM45" s="25">
        <v>0</v>
      </c>
      <c r="DN45" s="25">
        <v>1</v>
      </c>
      <c r="DO45" s="25">
        <v>0</v>
      </c>
      <c r="DP45" s="25">
        <v>0</v>
      </c>
      <c r="DQ45" s="25">
        <v>0</v>
      </c>
      <c r="DR45" s="25">
        <v>0</v>
      </c>
      <c r="DS45" s="25">
        <v>0</v>
      </c>
      <c r="DT45" s="25">
        <v>0</v>
      </c>
      <c r="DU45" s="25">
        <v>0</v>
      </c>
      <c r="DV45" s="25">
        <v>0</v>
      </c>
      <c r="DW45" s="25">
        <v>0</v>
      </c>
      <c r="DX45" s="25">
        <v>0</v>
      </c>
      <c r="DY45" s="25">
        <v>0</v>
      </c>
      <c r="DZ45" s="25">
        <v>0</v>
      </c>
      <c r="EA45" s="25">
        <v>0</v>
      </c>
      <c r="EB45" s="25">
        <v>0</v>
      </c>
      <c r="EC45" s="25">
        <v>0</v>
      </c>
      <c r="ED45" s="25">
        <v>0</v>
      </c>
      <c r="EE45" s="25">
        <v>16</v>
      </c>
      <c r="EF45" s="25">
        <v>0</v>
      </c>
      <c r="EG45" s="25">
        <v>0</v>
      </c>
      <c r="EH45" s="25">
        <v>0</v>
      </c>
      <c r="EI45" s="25">
        <v>10</v>
      </c>
      <c r="EJ45" s="25">
        <v>0</v>
      </c>
      <c r="EK45" s="25">
        <v>1</v>
      </c>
      <c r="EL45" s="25">
        <v>0</v>
      </c>
      <c r="EM45" s="25">
        <v>0</v>
      </c>
      <c r="EN45" s="25">
        <v>0</v>
      </c>
      <c r="EO45" s="25">
        <v>10</v>
      </c>
      <c r="EP45" s="25">
        <v>0</v>
      </c>
      <c r="EQ45" s="25">
        <v>0</v>
      </c>
      <c r="ER45" s="25">
        <v>0</v>
      </c>
      <c r="ES45" s="25">
        <v>0</v>
      </c>
      <c r="ET45" s="25">
        <v>0</v>
      </c>
      <c r="EU45" s="25">
        <v>0</v>
      </c>
      <c r="EV45" s="25">
        <v>0</v>
      </c>
      <c r="EW45" s="25">
        <v>0</v>
      </c>
      <c r="EX45" s="25">
        <v>0</v>
      </c>
      <c r="EY45" s="25">
        <v>0</v>
      </c>
      <c r="EZ45" s="25">
        <v>0</v>
      </c>
      <c r="FA45" s="25">
        <v>0</v>
      </c>
      <c r="FB45" s="25">
        <v>0</v>
      </c>
      <c r="FC45" s="25">
        <v>0</v>
      </c>
      <c r="FD45" s="25">
        <v>0</v>
      </c>
      <c r="FE45" s="25">
        <v>0</v>
      </c>
      <c r="FF45" s="25">
        <v>0</v>
      </c>
      <c r="FG45" s="25">
        <v>0</v>
      </c>
      <c r="FH45" s="25">
        <v>0</v>
      </c>
      <c r="FI45" s="25">
        <v>0</v>
      </c>
      <c r="FJ45" s="25">
        <v>0</v>
      </c>
      <c r="FK45" s="25">
        <v>0</v>
      </c>
      <c r="FL45" s="25">
        <v>0</v>
      </c>
      <c r="FM45" s="25">
        <v>0</v>
      </c>
      <c r="FN45" s="25">
        <v>0</v>
      </c>
      <c r="FO45" s="25">
        <v>0</v>
      </c>
      <c r="FP45" s="25">
        <v>0</v>
      </c>
      <c r="FQ45" s="25">
        <v>0</v>
      </c>
      <c r="FR45" s="25">
        <v>0</v>
      </c>
      <c r="FS45" s="25">
        <v>0</v>
      </c>
      <c r="FT45" s="25">
        <v>0</v>
      </c>
      <c r="FU45" s="25">
        <v>0</v>
      </c>
      <c r="FV45" s="25">
        <v>0</v>
      </c>
      <c r="FW45" s="25">
        <v>0</v>
      </c>
      <c r="FX45" s="25">
        <v>0</v>
      </c>
      <c r="FY45" s="25">
        <v>0</v>
      </c>
      <c r="FZ45" s="25">
        <v>0</v>
      </c>
      <c r="GA45" s="25">
        <v>0</v>
      </c>
      <c r="GB45" s="25">
        <v>1</v>
      </c>
      <c r="GC45" s="25">
        <v>0</v>
      </c>
      <c r="GD45" s="25">
        <v>0</v>
      </c>
      <c r="GE45" s="25">
        <v>0</v>
      </c>
      <c r="GF45" s="25">
        <v>0</v>
      </c>
      <c r="GG45" s="25">
        <v>0</v>
      </c>
      <c r="GH45" s="25">
        <v>0</v>
      </c>
      <c r="GI45" s="25">
        <v>0</v>
      </c>
      <c r="GJ45" s="25">
        <v>0</v>
      </c>
      <c r="GK45" s="25">
        <v>0</v>
      </c>
      <c r="GL45" s="25">
        <v>0</v>
      </c>
      <c r="GM45" s="25">
        <v>0</v>
      </c>
      <c r="GN45" s="25">
        <v>0</v>
      </c>
      <c r="GO45" s="25">
        <v>0</v>
      </c>
      <c r="GP45" s="25">
        <v>0</v>
      </c>
      <c r="GQ45" s="25">
        <v>0</v>
      </c>
      <c r="GR45" s="25">
        <v>0</v>
      </c>
      <c r="GS45" s="25">
        <v>0</v>
      </c>
      <c r="GT45" s="25">
        <v>0</v>
      </c>
      <c r="GU45" s="25">
        <v>0</v>
      </c>
      <c r="GV45" s="25">
        <v>0</v>
      </c>
      <c r="GW45" s="25">
        <v>0</v>
      </c>
      <c r="GX45" s="25">
        <v>0</v>
      </c>
      <c r="GY45" s="46">
        <v>0</v>
      </c>
      <c r="GZ45" s="25">
        <v>0</v>
      </c>
      <c r="HA45" s="25">
        <v>1</v>
      </c>
      <c r="HB45" s="25">
        <v>0</v>
      </c>
      <c r="HC45" s="25">
        <v>0</v>
      </c>
      <c r="HD45" s="25">
        <v>0</v>
      </c>
      <c r="HE45" s="25">
        <v>0</v>
      </c>
      <c r="HF45" s="25">
        <v>0</v>
      </c>
      <c r="HG45" s="25">
        <v>0</v>
      </c>
      <c r="HH45" s="25">
        <v>0</v>
      </c>
      <c r="HI45" s="25">
        <v>0</v>
      </c>
      <c r="HJ45" s="25">
        <v>0</v>
      </c>
      <c r="HK45" s="25">
        <v>0</v>
      </c>
      <c r="HL45" s="25">
        <v>0</v>
      </c>
      <c r="HM45" s="25">
        <v>0</v>
      </c>
      <c r="HN45" s="25">
        <v>0</v>
      </c>
      <c r="HO45" s="25">
        <v>0</v>
      </c>
      <c r="HP45" s="25">
        <v>0</v>
      </c>
      <c r="HQ45" s="25">
        <v>0</v>
      </c>
      <c r="HR45" s="25">
        <v>0</v>
      </c>
      <c r="HS45" s="25">
        <v>0</v>
      </c>
      <c r="HT45" s="25">
        <v>0</v>
      </c>
      <c r="HU45" s="25">
        <v>0</v>
      </c>
      <c r="HV45" s="25">
        <v>0</v>
      </c>
      <c r="HW45" s="25">
        <v>0</v>
      </c>
      <c r="HX45" s="25">
        <v>0</v>
      </c>
      <c r="HY45" s="25">
        <v>0</v>
      </c>
      <c r="HZ45" s="25">
        <v>0</v>
      </c>
      <c r="IA45" s="25">
        <v>0</v>
      </c>
      <c r="IB45" s="25">
        <v>0</v>
      </c>
      <c r="IC45" s="25">
        <v>0</v>
      </c>
      <c r="ID45" s="25">
        <v>0</v>
      </c>
      <c r="IE45" s="25">
        <v>0</v>
      </c>
      <c r="IF45" s="25">
        <v>0</v>
      </c>
      <c r="IG45" s="25">
        <v>0</v>
      </c>
      <c r="IH45" s="25">
        <v>0</v>
      </c>
      <c r="II45" s="25">
        <v>0</v>
      </c>
      <c r="IJ45" s="25">
        <v>0</v>
      </c>
      <c r="IK45" s="25">
        <v>0</v>
      </c>
      <c r="IL45" s="25">
        <v>0</v>
      </c>
      <c r="IM45" s="25">
        <v>0</v>
      </c>
      <c r="IN45" s="25">
        <v>0</v>
      </c>
      <c r="IO45" s="25">
        <v>0</v>
      </c>
      <c r="IP45" s="25">
        <v>0</v>
      </c>
      <c r="IQ45" s="25">
        <v>0</v>
      </c>
      <c r="IR45" s="25">
        <v>0</v>
      </c>
      <c r="IS45" s="25">
        <v>0</v>
      </c>
      <c r="IT45" s="25">
        <v>0</v>
      </c>
      <c r="IU45" s="25">
        <v>0</v>
      </c>
      <c r="IV45" s="25">
        <v>0</v>
      </c>
      <c r="IW45" s="25">
        <v>0</v>
      </c>
      <c r="IX45" s="25">
        <v>0</v>
      </c>
      <c r="IY45" s="25">
        <v>0</v>
      </c>
      <c r="IZ45" s="25">
        <v>0</v>
      </c>
      <c r="JA45" s="25">
        <v>0</v>
      </c>
      <c r="JB45" s="25">
        <v>0</v>
      </c>
      <c r="JC45" s="25">
        <v>0</v>
      </c>
      <c r="JD45" s="25">
        <v>0</v>
      </c>
      <c r="JE45" s="25">
        <v>0</v>
      </c>
      <c r="JF45" s="25">
        <v>0</v>
      </c>
      <c r="JG45" s="25">
        <v>0</v>
      </c>
      <c r="JH45" s="25">
        <v>0</v>
      </c>
      <c r="JI45" s="25">
        <v>0</v>
      </c>
      <c r="JJ45" s="25">
        <v>0</v>
      </c>
      <c r="JK45" s="25">
        <v>0</v>
      </c>
      <c r="JL45" s="25">
        <v>0</v>
      </c>
      <c r="JM45" s="25">
        <v>0</v>
      </c>
      <c r="JN45" s="25">
        <v>0</v>
      </c>
      <c r="JO45" s="25">
        <v>0</v>
      </c>
      <c r="JP45" s="25">
        <v>0</v>
      </c>
      <c r="JQ45" s="25">
        <v>0</v>
      </c>
      <c r="JR45" s="25">
        <v>0</v>
      </c>
      <c r="JS45" s="25">
        <v>0</v>
      </c>
      <c r="JT45" s="25">
        <v>0</v>
      </c>
      <c r="JU45" s="25">
        <v>0</v>
      </c>
      <c r="JV45" s="25">
        <v>0</v>
      </c>
      <c r="JW45" s="25">
        <v>0</v>
      </c>
      <c r="JX45" s="25">
        <v>0</v>
      </c>
      <c r="JY45" s="25">
        <v>0</v>
      </c>
      <c r="JZ45" s="25">
        <v>0</v>
      </c>
      <c r="KA45" s="25">
        <v>0</v>
      </c>
      <c r="KB45" s="25">
        <v>0</v>
      </c>
      <c r="KC45" s="25">
        <v>0</v>
      </c>
      <c r="KD45" s="25">
        <v>0</v>
      </c>
      <c r="KE45" s="25">
        <v>0</v>
      </c>
      <c r="KF45" s="25">
        <v>0</v>
      </c>
      <c r="KG45" s="25">
        <v>0</v>
      </c>
      <c r="KH45" s="25">
        <v>0</v>
      </c>
      <c r="KI45" s="25">
        <v>0</v>
      </c>
      <c r="KJ45" s="25">
        <v>0</v>
      </c>
      <c r="KK45" s="25">
        <v>0</v>
      </c>
      <c r="KL45" s="25">
        <v>0</v>
      </c>
      <c r="KM45" s="25">
        <v>0</v>
      </c>
      <c r="KN45" s="25">
        <v>0</v>
      </c>
      <c r="KO45" s="25">
        <v>0</v>
      </c>
      <c r="KP45" s="25">
        <v>0</v>
      </c>
      <c r="KQ45" s="25">
        <v>0</v>
      </c>
      <c r="KR45" s="25">
        <v>0</v>
      </c>
      <c r="KS45" s="25">
        <v>0</v>
      </c>
      <c r="KT45" s="25">
        <v>0</v>
      </c>
      <c r="KU45" s="25">
        <v>0</v>
      </c>
      <c r="KV45" s="25">
        <v>0</v>
      </c>
      <c r="KW45" s="25">
        <v>0</v>
      </c>
      <c r="KX45" s="25">
        <v>0</v>
      </c>
      <c r="KY45" s="25">
        <v>0</v>
      </c>
      <c r="KZ45" s="25">
        <v>0</v>
      </c>
      <c r="LA45" s="25">
        <v>0</v>
      </c>
      <c r="LB45" s="25">
        <v>0</v>
      </c>
      <c r="LC45" s="25">
        <v>0</v>
      </c>
      <c r="LD45" s="25">
        <v>0</v>
      </c>
      <c r="LE45" s="25">
        <v>0</v>
      </c>
      <c r="LF45" s="25">
        <v>0</v>
      </c>
      <c r="LG45" s="25">
        <v>0</v>
      </c>
      <c r="LH45" s="25">
        <v>0</v>
      </c>
      <c r="LI45" s="25">
        <v>0</v>
      </c>
      <c r="LJ45" s="25">
        <v>0</v>
      </c>
      <c r="LK45" s="25">
        <v>0</v>
      </c>
      <c r="LL45" s="25">
        <v>0</v>
      </c>
      <c r="LM45" s="25">
        <v>0</v>
      </c>
      <c r="LN45" s="278">
        <f ca="1">$A45 - DeathsTimeS!Sweden100dt + 1</f>
        <v>-22</v>
      </c>
      <c r="LO45" s="366">
        <f ca="1">INDEX(OFFSET(DeathsTimeS!HeadRow,ROW()-ROW(DeathsTimeS!HeadRow),0,1,COLUMNS(DeathsTimeS!HeadRow)),1,MATCH(LO$5,DeathsTimeS!HeadRow,0))/LO$8</f>
        <v>0</v>
      </c>
      <c r="LP45" s="278">
        <f ca="1">$A45 - DeathsTimeS!Spain100dt</f>
        <v>-15</v>
      </c>
      <c r="LQ45" s="11">
        <f ca="1">INDEX(OFFSET(DeathsTimeS!HeadRow,ROW()-ROW(DeathsTimeS!HeadRow),0,1,COLUMNS(DeathsTimeS!HeadRow)),1,MATCH(LQ$5,DeathsTimeS!HeadRow,0))/LQ$8</f>
        <v>0</v>
      </c>
      <c r="LR45" s="278">
        <f ca="1">$A45 - DeathsTimeS!Victoria100dt</f>
        <v>-38</v>
      </c>
      <c r="LS45" s="11">
        <f ca="1">INDEX(OFFSET(DeathsTimeS!HeadRow,ROW()-ROW(DeathsTimeS!HeadRow),0,1,COLUMNS(DeathsTimeS!HeadRow)),1,MATCH(LS$5,DeathsTimeS!HeadRow,0))/LS$8</f>
        <v>0</v>
      </c>
      <c r="LT45" s="278">
        <f ca="1">$A45 - DeathsTimeS!Iran100dt</f>
        <v>-8</v>
      </c>
      <c r="LU45" s="11">
        <f ca="1">INDEX(OFFSET(DeathsTimeS!HeadRow,ROW()-ROW(DeathsTimeS!HeadRow),0,1,COLUMNS(DeathsTimeS!HeadRow)),1,MATCH(LU$5,DeathsTimeS!HeadRow,0))/LU$8</f>
        <v>1.9099232449595931</v>
      </c>
      <c r="LV45" s="278">
        <f ca="1">$A45 - DeathsTimeS!Japan100dt</f>
        <v>-49</v>
      </c>
      <c r="LW45" s="11">
        <f ca="1">INDEX(OFFSET(DeathsTimeS!HeadRow,ROW()-ROW(DeathsTimeS!HeadRow),0,1,COLUMNS(DeathsTimeS!HeadRow)),1,MATCH(LW$5,DeathsTimeS!HeadRow,0))/LW$8</f>
        <v>7.9017525794856464E-2</v>
      </c>
      <c r="LX45" s="278">
        <f ca="1">$A45 - DeathsTimeS!Queensland100dt</f>
        <v>-53</v>
      </c>
      <c r="LY45" s="11">
        <f ca="1">INDEX(OFFSET(DeathsTimeS!HeadRow,ROW()-ROW(DeathsTimeS!HeadRow),0,1,COLUMNS(DeathsTimeS!HeadRow)),1,MATCH(LY$5,DeathsTimeS!HeadRow,0))/LY$8</f>
        <v>0</v>
      </c>
      <c r="LZ45" s="278">
        <f ca="1">$A45 - DeathsTimeS!Tasmania100dt</f>
        <v>-35</v>
      </c>
      <c r="MA45" s="11">
        <f ca="1">INDEX(OFFSET(DeathsTimeS!HeadRow,ROW()-ROW(DeathsTimeS!HeadRow),0,1,COLUMNS(DeathsTimeS!HeadRow)),1,MATCH(MA$5,DeathsTimeS!HeadRow,0))/MA$8</f>
        <v>0</v>
      </c>
      <c r="MB45" s="278">
        <f ca="1">$A45 - DeathsTimeS!SouthAustralia100dt</f>
        <v>-43</v>
      </c>
      <c r="MC45" s="11">
        <f ca="1">INDEX(OFFSET(DeathsTimeS!HeadRow,ROW()-ROW(DeathsTimeS!HeadRow),0,1,COLUMNS(DeathsTimeS!HeadRow)),1,MATCH(MC$5,DeathsTimeS!HeadRow,0))/MC$8</f>
        <v>0</v>
      </c>
      <c r="MD45" s="278">
        <f ca="1">$A45 - DeathsTimeS!WesternAustralia100dt</f>
        <v>-40</v>
      </c>
      <c r="ME45" s="11">
        <f ca="1">INDEX(OFFSET(DeathsTimeS!HeadRow,ROW()-ROW(DeathsTimeS!HeadRow),0,1,COLUMNS(DeathsTimeS!HeadRow)),1,MATCH(ME$5,DeathsTimeS!HeadRow,0))/ME$8</f>
        <v>0</v>
      </c>
      <c r="MF45" s="278">
        <f ca="1">$A45 - DeathsTimeS!NewSouthWales100dt</f>
        <v>-36</v>
      </c>
      <c r="MG45" s="11">
        <f ca="1">INDEX(OFFSET(DeathsTimeS!HeadRow,ROW()-ROW(DeathsTimeS!HeadRow),0,1,COLUMNS(DeathsTimeS!HeadRow)),1,MATCH(MG$5,DeathsTimeS!HeadRow,0))/MG$8</f>
        <v>0</v>
      </c>
      <c r="MH45" s="278">
        <f ca="1">$A45 - DeathsTimeS!NewYork100dt</f>
        <v>-20</v>
      </c>
      <c r="MI45" s="11">
        <f ca="1">INDEX(OFFSET(DeathsTimeS!HeadRow,ROW()-ROW(DeathsTimeS!HeadRow),0,1,COLUMNS(DeathsTimeS!HeadRow)),1,MATCH(MI$5,DeathsTimeS!HeadRow,0))/MI$8</f>
        <v>0</v>
      </c>
      <c r="MJ45" s="278">
        <f ca="1">$A45 - DeathsTimeS!Italy100dt</f>
        <v>-7</v>
      </c>
      <c r="MK45" s="20">
        <f ca="1">INDEX(OFFSET(DeathsTimeS!HeadRow,ROW()-ROW(DeathsTimeS!HeadRow),0,1,COLUMNS(DeathsTimeS!HeadRow)),1,MATCH(MK$5,DeathsTimeS!HeadRow,0))/MK$8</f>
        <v>1.6533024716871951</v>
      </c>
      <c r="ML45" s="278">
        <f ca="1">$A45 - DeathsTimeS!AustralianCapitalTerritory100dt</f>
        <v>-34</v>
      </c>
      <c r="MM45" s="11">
        <f ca="1">INDEX(OFFSET(DeathsTimeS!HeadRow,ROW()-ROW(DeathsTimeS!HeadRow),0,1,COLUMNS(DeathsTimeS!HeadRow)),1,MATCH(MM$5,DeathsTimeS!HeadRow,0))/MM$8</f>
        <v>0</v>
      </c>
      <c r="MN45" s="278">
        <f ca="1">IF(DeathsTimeS!NorthernTerritory100dt&gt;0,$A45 - DeathsTimeS!NorthernTerritory100dt,"")</f>
        <v>-62</v>
      </c>
      <c r="MO45" s="11">
        <f ca="1">INDEX(OFFSET(DeathsTimeS!HeadRow,ROW()-ROW(DeathsTimeS!HeadRow),0,1,COLUMNS(DeathsTimeS!HeadRow)),1,MATCH(MO$5,DeathsTimeS!HeadRow,0))/MO$8</f>
        <v>0</v>
      </c>
      <c r="MP45" s="278">
        <f ca="1">$A45 - DeathsTimeS!SouthAfrica100dt + 1</f>
        <v>-54</v>
      </c>
      <c r="MQ45" s="20">
        <f ca="1">INDEX(OFFSET(DeathsTimeS!HeadRow,ROW()-ROW(DeathsTimeS!HeadRow),0,1,COLUMNS(DeathsTimeS!HeadRow)),1,MATCH(MQ$5,DeathsTimeS!HeadRow,0))/MQ$8</f>
        <v>0</v>
      </c>
      <c r="MR45" s="278">
        <f ca="1">$A45 - DeathsTimeS!Germany100dt + 1</f>
        <v>-24</v>
      </c>
      <c r="MS45" s="20">
        <f ca="1">INDEX(OFFSET(DeathsTimeS!HeadRow,ROW()-ROW(DeathsTimeS!HeadRow),0,1,COLUMNS(DeathsTimeS!HeadRow)),1,MATCH(MS$5,DeathsTimeS!HeadRow,0))/MS$8</f>
        <v>0</v>
      </c>
      <c r="MT45" s="278">
        <f ca="1">$A45 - DeathsTimeS!Ireland100dt + 1</f>
        <v>-26</v>
      </c>
      <c r="MU45" s="73">
        <f ca="1">INDEX(OFFSET(DeathsTimeS!HeadRow,ROW()-ROW(DeathsTimeS!HeadRow),0,1,COLUMNS(DeathsTimeS!HeadRow)),1,MATCH(MU$5,DeathsTimeS!HeadRow,0))/MU$8</f>
        <v>0</v>
      </c>
      <c r="MV45" s="278">
        <f ca="1">$A45 - DeathsTimeS!UnitedKingdom100dt + 1</f>
        <v>-20</v>
      </c>
      <c r="MW45" s="73">
        <f ca="1">INDEX(OFFSET(DeathsTimeS!HeadRow,ROW()-ROW(DeathsTimeS!HeadRow),0,1,COLUMNS(DeathsTimeS!HeadRow)),1,MATCH(MW$5,DeathsTimeS!HeadRow,0))/MW$8</f>
        <v>0</v>
      </c>
      <c r="MX45" s="278">
        <f ca="1">$A45 - DeathsTimeS!Denmark100dt + 1</f>
        <v>-22</v>
      </c>
      <c r="MY45" s="73">
        <f ca="1">INDEX(OFFSET(DeathsTimeS!HeadRow,ROW()-ROW(DeathsTimeS!HeadRow),0,1,COLUMNS(DeathsTimeS!HeadRow)),1,MATCH(MY$5,DeathsTimeS!HeadRow,0))/MY$8</f>
        <v>0</v>
      </c>
      <c r="MZ45" s="278">
        <f ca="1">$A45 - DeathsTimeS!US100dt + 1</f>
        <v>-23</v>
      </c>
      <c r="NA45" s="73">
        <f ca="1">INDEX(OFFSET(DeathsTimeS!HeadRow,ROW()-ROW(DeathsTimeS!HeadRow),0,1,COLUMNS(DeathsTimeS!HeadRow)),1,MATCH(NA$5,DeathsTimeS!HeadRow,0))/NA$8</f>
        <v>0</v>
      </c>
      <c r="NB45" s="278">
        <f ca="1">$A45 - DeathsTimeS!AustraliaSum100dt + 1</f>
        <v>-29</v>
      </c>
      <c r="NC45" s="366">
        <f t="shared" si="6"/>
        <v>0</v>
      </c>
      <c r="ND45" s="278">
        <f ca="1">$A45 - DeathsTimeS!Taiwan100dt + 1</f>
        <v>-61</v>
      </c>
      <c r="NE45" s="366">
        <f ca="1">INDEX(OFFSET(DeathsTimeS!HeadRow,ROW()-ROW(DeathsTimeS!HeadRow),0,1,COLUMNS(DeathsTimeS!HeadRow)),1,MATCH(NE$5,DeathsTimeS!HeadRow,0))/NE$8</f>
        <v>0.4200395492437986</v>
      </c>
      <c r="NF45" s="278">
        <f ca="1">$A45 - DeathsTimeS!Hubei100dt + 1</f>
        <v>30</v>
      </c>
      <c r="NG45" s="366">
        <f ca="1">INDEX(OFFSET(DeathsTimeS!HeadRow,ROW()-ROW(DeathsTimeS!HeadRow),0,1,COLUMNS(DeathsTimeS!HeadRow)),1,MATCH(NG$5,DeathsTimeS!HeadRow,0))/NG$8</f>
        <v>438.11965811965814</v>
      </c>
      <c r="NH45" s="278">
        <f ca="1">$A45 - DeathsTimeS!HongKong100dt + 1</f>
        <v>-61</v>
      </c>
      <c r="NI45" s="366">
        <f ca="1">INDEX(OFFSET(DeathsTimeS!HeadRow,ROW()-ROW(DeathsTimeS!HeadRow),0,1,COLUMNS(DeathsTimeS!HeadRow)),1,MATCH(NI$5,DeathsTimeS!HeadRow,0))/NI$8</f>
        <v>2.6842034626224667</v>
      </c>
    </row>
    <row r="46" spans="1:373" x14ac:dyDescent="0.25">
      <c r="A46" s="156">
        <v>43887</v>
      </c>
      <c r="B46" s="25">
        <v>0</v>
      </c>
      <c r="C46" s="25">
        <v>0</v>
      </c>
      <c r="D46" s="25">
        <v>0</v>
      </c>
      <c r="E46" s="25">
        <v>0</v>
      </c>
      <c r="F46" s="25">
        <v>0</v>
      </c>
      <c r="G46" s="25">
        <v>0</v>
      </c>
      <c r="H46" s="25">
        <v>0</v>
      </c>
      <c r="I46" s="25">
        <v>0</v>
      </c>
      <c r="J46" s="25">
        <v>0</v>
      </c>
      <c r="K46" s="25">
        <v>0</v>
      </c>
      <c r="L46" s="25">
        <v>0</v>
      </c>
      <c r="M46" s="25">
        <v>0</v>
      </c>
      <c r="N46" s="25">
        <v>0</v>
      </c>
      <c r="O46" s="25">
        <v>0</v>
      </c>
      <c r="P46" s="25">
        <v>0</v>
      </c>
      <c r="Q46" s="25">
        <v>0</v>
      </c>
      <c r="R46" s="25">
        <v>0</v>
      </c>
      <c r="S46" s="25">
        <v>0</v>
      </c>
      <c r="T46" s="25">
        <v>0</v>
      </c>
      <c r="U46" s="25">
        <v>0</v>
      </c>
      <c r="V46" s="25">
        <v>0</v>
      </c>
      <c r="W46" s="25">
        <v>0</v>
      </c>
      <c r="X46" s="25">
        <v>0</v>
      </c>
      <c r="Y46" s="25">
        <v>0</v>
      </c>
      <c r="Z46" s="25">
        <v>0</v>
      </c>
      <c r="AA46" s="25">
        <v>0</v>
      </c>
      <c r="AB46" s="25">
        <v>0</v>
      </c>
      <c r="AC46" s="25">
        <v>0</v>
      </c>
      <c r="AD46" s="25">
        <v>0</v>
      </c>
      <c r="AE46" s="25">
        <v>0</v>
      </c>
      <c r="AF46" s="25">
        <v>0</v>
      </c>
      <c r="AG46" s="25">
        <v>0</v>
      </c>
      <c r="AH46" s="25">
        <v>0</v>
      </c>
      <c r="AI46" s="25">
        <v>0</v>
      </c>
      <c r="AJ46" s="25">
        <v>0</v>
      </c>
      <c r="AK46" s="25">
        <v>0</v>
      </c>
      <c r="AL46" s="25">
        <v>0</v>
      </c>
      <c r="AM46" s="25">
        <v>0</v>
      </c>
      <c r="AN46" s="25">
        <v>0</v>
      </c>
      <c r="AO46" s="25">
        <v>0</v>
      </c>
      <c r="AP46" s="25">
        <v>0</v>
      </c>
      <c r="AQ46" s="25">
        <v>0</v>
      </c>
      <c r="AR46" s="25">
        <v>0</v>
      </c>
      <c r="AS46" s="25">
        <v>0</v>
      </c>
      <c r="AT46" s="25">
        <v>0</v>
      </c>
      <c r="AU46" s="25">
        <v>0</v>
      </c>
      <c r="AV46" s="25">
        <v>0</v>
      </c>
      <c r="AW46" s="25">
        <v>0</v>
      </c>
      <c r="AX46" s="25">
        <v>0</v>
      </c>
      <c r="AY46" s="25">
        <v>6</v>
      </c>
      <c r="AZ46" s="25">
        <v>4</v>
      </c>
      <c r="BA46" s="25">
        <v>6</v>
      </c>
      <c r="BB46" s="25">
        <v>1</v>
      </c>
      <c r="BC46" s="25">
        <v>2</v>
      </c>
      <c r="BD46" s="25">
        <v>7</v>
      </c>
      <c r="BE46" s="25">
        <v>2</v>
      </c>
      <c r="BF46" s="25">
        <v>2</v>
      </c>
      <c r="BG46" s="25">
        <v>5</v>
      </c>
      <c r="BH46" s="25">
        <v>6</v>
      </c>
      <c r="BI46" s="25">
        <v>12</v>
      </c>
      <c r="BJ46" s="25">
        <v>19</v>
      </c>
      <c r="BK46" s="25">
        <v>2</v>
      </c>
      <c r="BL46" s="25">
        <v>2615</v>
      </c>
      <c r="BM46" s="25">
        <v>4</v>
      </c>
      <c r="BN46" s="25">
        <v>0</v>
      </c>
      <c r="BO46" s="25">
        <v>0</v>
      </c>
      <c r="BP46" s="25">
        <v>1</v>
      </c>
      <c r="BQ46" s="25">
        <v>1</v>
      </c>
      <c r="BR46" s="25">
        <v>1</v>
      </c>
      <c r="BS46" s="25">
        <v>0</v>
      </c>
      <c r="BT46" s="25">
        <v>0</v>
      </c>
      <c r="BU46" s="25">
        <v>0</v>
      </c>
      <c r="BV46" s="25">
        <v>1</v>
      </c>
      <c r="BW46" s="25">
        <v>6</v>
      </c>
      <c r="BX46" s="25">
        <v>3</v>
      </c>
      <c r="BY46" s="25">
        <v>0</v>
      </c>
      <c r="BZ46" s="25">
        <v>3</v>
      </c>
      <c r="CA46" s="25">
        <v>3</v>
      </c>
      <c r="CB46" s="25">
        <v>0</v>
      </c>
      <c r="CC46" s="25">
        <v>2</v>
      </c>
      <c r="CD46" s="25">
        <v>2</v>
      </c>
      <c r="CE46" s="25">
        <v>1</v>
      </c>
      <c r="CF46" s="25">
        <v>0</v>
      </c>
      <c r="CG46" s="25">
        <v>0</v>
      </c>
      <c r="CH46" s="25">
        <v>0</v>
      </c>
      <c r="CI46" s="25">
        <v>0</v>
      </c>
      <c r="CJ46" s="25">
        <v>0</v>
      </c>
      <c r="CK46" s="25">
        <v>0</v>
      </c>
      <c r="CL46" s="25">
        <v>4</v>
      </c>
      <c r="CM46" s="25">
        <v>0</v>
      </c>
      <c r="CN46" s="25">
        <v>0</v>
      </c>
      <c r="CO46" s="25">
        <v>0</v>
      </c>
      <c r="CP46" s="25">
        <v>0</v>
      </c>
      <c r="CQ46" s="25">
        <v>0</v>
      </c>
      <c r="CR46" s="25">
        <v>0</v>
      </c>
      <c r="CS46" s="25">
        <v>0</v>
      </c>
      <c r="CT46" s="25">
        <v>0</v>
      </c>
      <c r="CU46" s="25">
        <v>0</v>
      </c>
      <c r="CV46" s="25">
        <v>0</v>
      </c>
      <c r="CW46" s="25">
        <v>0</v>
      </c>
      <c r="CX46" s="25">
        <v>0</v>
      </c>
      <c r="CY46" s="25">
        <v>0</v>
      </c>
      <c r="CZ46" s="25">
        <v>0</v>
      </c>
      <c r="DA46" s="25">
        <v>0</v>
      </c>
      <c r="DB46" s="25">
        <v>0</v>
      </c>
      <c r="DC46" s="25">
        <v>0</v>
      </c>
      <c r="DD46" s="25">
        <v>0</v>
      </c>
      <c r="DE46" s="25">
        <v>0</v>
      </c>
      <c r="DF46" s="25">
        <v>0</v>
      </c>
      <c r="DG46" s="25">
        <v>0</v>
      </c>
      <c r="DH46" s="25">
        <v>0</v>
      </c>
      <c r="DI46" s="25">
        <v>0</v>
      </c>
      <c r="DJ46" s="25">
        <v>0</v>
      </c>
      <c r="DK46" s="25">
        <v>0</v>
      </c>
      <c r="DL46" s="25">
        <v>0</v>
      </c>
      <c r="DM46" s="25">
        <v>0</v>
      </c>
      <c r="DN46" s="25">
        <v>2</v>
      </c>
      <c r="DO46" s="25">
        <v>0</v>
      </c>
      <c r="DP46" s="25">
        <v>0</v>
      </c>
      <c r="DQ46" s="25">
        <v>0</v>
      </c>
      <c r="DR46" s="25">
        <v>0</v>
      </c>
      <c r="DS46" s="25">
        <v>0</v>
      </c>
      <c r="DT46" s="25">
        <v>0</v>
      </c>
      <c r="DU46" s="25">
        <v>0</v>
      </c>
      <c r="DV46" s="25">
        <v>0</v>
      </c>
      <c r="DW46" s="25">
        <v>0</v>
      </c>
      <c r="DX46" s="25">
        <v>0</v>
      </c>
      <c r="DY46" s="25">
        <v>0</v>
      </c>
      <c r="DZ46" s="25">
        <v>0</v>
      </c>
      <c r="EA46" s="25">
        <v>0</v>
      </c>
      <c r="EB46" s="25">
        <v>0</v>
      </c>
      <c r="EC46" s="25">
        <v>0</v>
      </c>
      <c r="ED46" s="25">
        <v>0</v>
      </c>
      <c r="EE46" s="25">
        <v>19</v>
      </c>
      <c r="EF46" s="25">
        <v>0</v>
      </c>
      <c r="EG46" s="25">
        <v>0</v>
      </c>
      <c r="EH46" s="25">
        <v>0</v>
      </c>
      <c r="EI46" s="25">
        <v>12</v>
      </c>
      <c r="EJ46" s="25">
        <v>0</v>
      </c>
      <c r="EK46" s="25">
        <v>2</v>
      </c>
      <c r="EL46" s="25">
        <v>0</v>
      </c>
      <c r="EM46" s="25">
        <v>0</v>
      </c>
      <c r="EN46" s="25">
        <v>0</v>
      </c>
      <c r="EO46" s="25">
        <v>12</v>
      </c>
      <c r="EP46" s="25">
        <v>0</v>
      </c>
      <c r="EQ46" s="25">
        <v>0</v>
      </c>
      <c r="ER46" s="25">
        <v>0</v>
      </c>
      <c r="ES46" s="25">
        <v>0</v>
      </c>
      <c r="ET46" s="25">
        <v>0</v>
      </c>
      <c r="EU46" s="25">
        <v>0</v>
      </c>
      <c r="EV46" s="25">
        <v>0</v>
      </c>
      <c r="EW46" s="25">
        <v>0</v>
      </c>
      <c r="EX46" s="25">
        <v>0</v>
      </c>
      <c r="EY46" s="25">
        <v>0</v>
      </c>
      <c r="EZ46" s="25">
        <v>0</v>
      </c>
      <c r="FA46" s="25">
        <v>0</v>
      </c>
      <c r="FB46" s="25">
        <v>0</v>
      </c>
      <c r="FC46" s="25">
        <v>0</v>
      </c>
      <c r="FD46" s="25">
        <v>0</v>
      </c>
      <c r="FE46" s="25">
        <v>0</v>
      </c>
      <c r="FF46" s="25">
        <v>0</v>
      </c>
      <c r="FG46" s="25">
        <v>0</v>
      </c>
      <c r="FH46" s="25">
        <v>0</v>
      </c>
      <c r="FI46" s="25">
        <v>0</v>
      </c>
      <c r="FJ46" s="25">
        <v>0</v>
      </c>
      <c r="FK46" s="25">
        <v>0</v>
      </c>
      <c r="FL46" s="25">
        <v>0</v>
      </c>
      <c r="FM46" s="25">
        <v>0</v>
      </c>
      <c r="FN46" s="25">
        <v>0</v>
      </c>
      <c r="FO46" s="25">
        <v>0</v>
      </c>
      <c r="FP46" s="25">
        <v>0</v>
      </c>
      <c r="FQ46" s="25">
        <v>0</v>
      </c>
      <c r="FR46" s="25">
        <v>0</v>
      </c>
      <c r="FS46" s="25">
        <v>0</v>
      </c>
      <c r="FT46" s="25">
        <v>0</v>
      </c>
      <c r="FU46" s="25">
        <v>0</v>
      </c>
      <c r="FV46" s="25">
        <v>0</v>
      </c>
      <c r="FW46" s="25">
        <v>0</v>
      </c>
      <c r="FX46" s="25">
        <v>0</v>
      </c>
      <c r="FY46" s="25">
        <v>0</v>
      </c>
      <c r="FZ46" s="25">
        <v>0</v>
      </c>
      <c r="GA46" s="25">
        <v>0</v>
      </c>
      <c r="GB46" s="25">
        <v>1</v>
      </c>
      <c r="GC46" s="25">
        <v>0</v>
      </c>
      <c r="GD46" s="25">
        <v>0</v>
      </c>
      <c r="GE46" s="25">
        <v>0</v>
      </c>
      <c r="GF46" s="25">
        <v>0</v>
      </c>
      <c r="GG46" s="25">
        <v>0</v>
      </c>
      <c r="GH46" s="25">
        <v>0</v>
      </c>
      <c r="GI46" s="25">
        <v>0</v>
      </c>
      <c r="GJ46" s="25">
        <v>0</v>
      </c>
      <c r="GK46" s="25">
        <v>0</v>
      </c>
      <c r="GL46" s="25">
        <v>0</v>
      </c>
      <c r="GM46" s="25">
        <v>0</v>
      </c>
      <c r="GN46" s="25">
        <v>0</v>
      </c>
      <c r="GO46" s="25">
        <v>0</v>
      </c>
      <c r="GP46" s="25">
        <v>0</v>
      </c>
      <c r="GQ46" s="25">
        <v>0</v>
      </c>
      <c r="GR46" s="25">
        <v>0</v>
      </c>
      <c r="GS46" s="25">
        <v>0</v>
      </c>
      <c r="GT46" s="25">
        <v>0</v>
      </c>
      <c r="GU46" s="25">
        <v>0</v>
      </c>
      <c r="GV46" s="25">
        <v>0</v>
      </c>
      <c r="GW46" s="25">
        <v>0</v>
      </c>
      <c r="GX46" s="25">
        <v>0</v>
      </c>
      <c r="GY46" s="46">
        <v>0</v>
      </c>
      <c r="GZ46" s="25">
        <v>0</v>
      </c>
      <c r="HA46" s="25">
        <v>1</v>
      </c>
      <c r="HB46" s="25">
        <v>0</v>
      </c>
      <c r="HC46" s="25">
        <v>0</v>
      </c>
      <c r="HD46" s="25">
        <v>0</v>
      </c>
      <c r="HE46" s="25">
        <v>0</v>
      </c>
      <c r="HF46" s="25">
        <v>0</v>
      </c>
      <c r="HG46" s="25">
        <v>0</v>
      </c>
      <c r="HH46" s="25">
        <v>0</v>
      </c>
      <c r="HI46" s="25">
        <v>0</v>
      </c>
      <c r="HJ46" s="25">
        <v>0</v>
      </c>
      <c r="HK46" s="25">
        <v>0</v>
      </c>
      <c r="HL46" s="25">
        <v>0</v>
      </c>
      <c r="HM46" s="25">
        <v>0</v>
      </c>
      <c r="HN46" s="25">
        <v>0</v>
      </c>
      <c r="HO46" s="25">
        <v>0</v>
      </c>
      <c r="HP46" s="25">
        <v>0</v>
      </c>
      <c r="HQ46" s="25">
        <v>0</v>
      </c>
      <c r="HR46" s="25">
        <v>0</v>
      </c>
      <c r="HS46" s="25">
        <v>0</v>
      </c>
      <c r="HT46" s="25">
        <v>0</v>
      </c>
      <c r="HU46" s="25">
        <v>0</v>
      </c>
      <c r="HV46" s="25">
        <v>0</v>
      </c>
      <c r="HW46" s="25">
        <v>0</v>
      </c>
      <c r="HX46" s="25">
        <v>0</v>
      </c>
      <c r="HY46" s="25">
        <v>0</v>
      </c>
      <c r="HZ46" s="25">
        <v>0</v>
      </c>
      <c r="IA46" s="25">
        <v>0</v>
      </c>
      <c r="IB46" s="25">
        <v>0</v>
      </c>
      <c r="IC46" s="25">
        <v>0</v>
      </c>
      <c r="ID46" s="25">
        <v>0</v>
      </c>
      <c r="IE46" s="25">
        <v>0</v>
      </c>
      <c r="IF46" s="25">
        <v>0</v>
      </c>
      <c r="IG46" s="25">
        <v>0</v>
      </c>
      <c r="IH46" s="25">
        <v>0</v>
      </c>
      <c r="II46" s="25">
        <v>0</v>
      </c>
      <c r="IJ46" s="25">
        <v>0</v>
      </c>
      <c r="IK46" s="25">
        <v>0</v>
      </c>
      <c r="IL46" s="25">
        <v>0</v>
      </c>
      <c r="IM46" s="25">
        <v>0</v>
      </c>
      <c r="IN46" s="25">
        <v>0</v>
      </c>
      <c r="IO46" s="25">
        <v>0</v>
      </c>
      <c r="IP46" s="25">
        <v>0</v>
      </c>
      <c r="IQ46" s="25">
        <v>0</v>
      </c>
      <c r="IR46" s="25">
        <v>0</v>
      </c>
      <c r="IS46" s="25">
        <v>0</v>
      </c>
      <c r="IT46" s="25">
        <v>0</v>
      </c>
      <c r="IU46" s="25">
        <v>0</v>
      </c>
      <c r="IV46" s="25">
        <v>0</v>
      </c>
      <c r="IW46" s="25">
        <v>0</v>
      </c>
      <c r="IX46" s="25">
        <v>0</v>
      </c>
      <c r="IY46" s="25">
        <v>0</v>
      </c>
      <c r="IZ46" s="25">
        <v>0</v>
      </c>
      <c r="JA46" s="25">
        <v>0</v>
      </c>
      <c r="JB46" s="25">
        <v>0</v>
      </c>
      <c r="JC46" s="25">
        <v>0</v>
      </c>
      <c r="JD46" s="25">
        <v>0</v>
      </c>
      <c r="JE46" s="25">
        <v>0</v>
      </c>
      <c r="JF46" s="25">
        <v>0</v>
      </c>
      <c r="JG46" s="25">
        <v>0</v>
      </c>
      <c r="JH46" s="25">
        <v>0</v>
      </c>
      <c r="JI46" s="25">
        <v>0</v>
      </c>
      <c r="JJ46" s="25">
        <v>0</v>
      </c>
      <c r="JK46" s="25">
        <v>0</v>
      </c>
      <c r="JL46" s="25">
        <v>0</v>
      </c>
      <c r="JM46" s="25">
        <v>0</v>
      </c>
      <c r="JN46" s="25">
        <v>0</v>
      </c>
      <c r="JO46" s="25">
        <v>0</v>
      </c>
      <c r="JP46" s="25">
        <v>0</v>
      </c>
      <c r="JQ46" s="25">
        <v>0</v>
      </c>
      <c r="JR46" s="25">
        <v>0</v>
      </c>
      <c r="JS46" s="25">
        <v>0</v>
      </c>
      <c r="JT46" s="25">
        <v>0</v>
      </c>
      <c r="JU46" s="25">
        <v>0</v>
      </c>
      <c r="JV46" s="25">
        <v>0</v>
      </c>
      <c r="JW46" s="25">
        <v>0</v>
      </c>
      <c r="JX46" s="25">
        <v>0</v>
      </c>
      <c r="JY46" s="25">
        <v>0</v>
      </c>
      <c r="JZ46" s="25">
        <v>0</v>
      </c>
      <c r="KA46" s="25">
        <v>0</v>
      </c>
      <c r="KB46" s="25">
        <v>0</v>
      </c>
      <c r="KC46" s="25">
        <v>0</v>
      </c>
      <c r="KD46" s="25">
        <v>0</v>
      </c>
      <c r="KE46" s="25">
        <v>0</v>
      </c>
      <c r="KF46" s="25">
        <v>0</v>
      </c>
      <c r="KG46" s="25">
        <v>0</v>
      </c>
      <c r="KH46" s="25">
        <v>0</v>
      </c>
      <c r="KI46" s="25">
        <v>0</v>
      </c>
      <c r="KJ46" s="25">
        <v>0</v>
      </c>
      <c r="KK46" s="25">
        <v>0</v>
      </c>
      <c r="KL46" s="25">
        <v>0</v>
      </c>
      <c r="KM46" s="25">
        <v>0</v>
      </c>
      <c r="KN46" s="25">
        <v>0</v>
      </c>
      <c r="KO46" s="25">
        <v>0</v>
      </c>
      <c r="KP46" s="25">
        <v>0</v>
      </c>
      <c r="KQ46" s="25">
        <v>0</v>
      </c>
      <c r="KR46" s="25">
        <v>0</v>
      </c>
      <c r="KS46" s="25">
        <v>0</v>
      </c>
      <c r="KT46" s="25">
        <v>0</v>
      </c>
      <c r="KU46" s="25">
        <v>0</v>
      </c>
      <c r="KV46" s="25">
        <v>0</v>
      </c>
      <c r="KW46" s="25">
        <v>0</v>
      </c>
      <c r="KX46" s="25">
        <v>0</v>
      </c>
      <c r="KY46" s="25">
        <v>0</v>
      </c>
      <c r="KZ46" s="25">
        <v>0</v>
      </c>
      <c r="LA46" s="25">
        <v>0</v>
      </c>
      <c r="LB46" s="25">
        <v>0</v>
      </c>
      <c r="LC46" s="25">
        <v>0</v>
      </c>
      <c r="LD46" s="25">
        <v>0</v>
      </c>
      <c r="LE46" s="25">
        <v>0</v>
      </c>
      <c r="LF46" s="25">
        <v>0</v>
      </c>
      <c r="LG46" s="25">
        <v>0</v>
      </c>
      <c r="LH46" s="25">
        <v>0</v>
      </c>
      <c r="LI46" s="25">
        <v>0</v>
      </c>
      <c r="LJ46" s="25">
        <v>0</v>
      </c>
      <c r="LK46" s="25">
        <v>0</v>
      </c>
      <c r="LL46" s="25">
        <v>0</v>
      </c>
      <c r="LM46" s="25">
        <v>0</v>
      </c>
      <c r="LN46" s="278">
        <f ca="1">$A46 - DeathsTimeS!Sweden100dt + 1</f>
        <v>-21</v>
      </c>
      <c r="LO46" s="366">
        <f ca="1">INDEX(OFFSET(DeathsTimeS!HeadRow,ROW()-ROW(DeathsTimeS!HeadRow),0,1,COLUMNS(DeathsTimeS!HeadRow)),1,MATCH(LO$5,DeathsTimeS!HeadRow,0))/LO$8</f>
        <v>0</v>
      </c>
      <c r="LP46" s="278">
        <f ca="1">$A46 - DeathsTimeS!Spain100dt</f>
        <v>-14</v>
      </c>
      <c r="LQ46" s="11">
        <f ca="1">INDEX(OFFSET(DeathsTimeS!HeadRow,ROW()-ROW(DeathsTimeS!HeadRow),0,1,COLUMNS(DeathsTimeS!HeadRow)),1,MATCH(LQ$5,DeathsTimeS!HeadRow,0))/LQ$8</f>
        <v>0</v>
      </c>
      <c r="LR46" s="278">
        <f ca="1">$A46 - DeathsTimeS!Victoria100dt</f>
        <v>-37</v>
      </c>
      <c r="LS46" s="11">
        <f ca="1">INDEX(OFFSET(DeathsTimeS!HeadRow,ROW()-ROW(DeathsTimeS!HeadRow),0,1,COLUMNS(DeathsTimeS!HeadRow)),1,MATCH(LS$5,DeathsTimeS!HeadRow,0))/LS$8</f>
        <v>0</v>
      </c>
      <c r="LT46" s="278">
        <f ca="1">$A46 - DeathsTimeS!Iran100dt</f>
        <v>-7</v>
      </c>
      <c r="LU46" s="11">
        <f ca="1">INDEX(OFFSET(DeathsTimeS!HeadRow,ROW()-ROW(DeathsTimeS!HeadRow),0,1,COLUMNS(DeathsTimeS!HeadRow)),1,MATCH(LU$5,DeathsTimeS!HeadRow,0))/LU$8</f>
        <v>2.2680338533895168</v>
      </c>
      <c r="LV46" s="278">
        <f ca="1">$A46 - DeathsTimeS!Japan100dt</f>
        <v>-48</v>
      </c>
      <c r="LW46" s="11">
        <f ca="1">INDEX(OFFSET(DeathsTimeS!HeadRow,ROW()-ROW(DeathsTimeS!HeadRow),0,1,COLUMNS(DeathsTimeS!HeadRow)),1,MATCH(LW$5,DeathsTimeS!HeadRow,0))/LW$8</f>
        <v>0.15803505158971293</v>
      </c>
      <c r="LX46" s="278">
        <f ca="1">$A46 - DeathsTimeS!Queensland100dt</f>
        <v>-52</v>
      </c>
      <c r="LY46" s="11">
        <f ca="1">INDEX(OFFSET(DeathsTimeS!HeadRow,ROW()-ROW(DeathsTimeS!HeadRow),0,1,COLUMNS(DeathsTimeS!HeadRow)),1,MATCH(LY$5,DeathsTimeS!HeadRow,0))/LY$8</f>
        <v>0</v>
      </c>
      <c r="LZ46" s="278">
        <f ca="1">$A46 - DeathsTimeS!Tasmania100dt</f>
        <v>-34</v>
      </c>
      <c r="MA46" s="11">
        <f ca="1">INDEX(OFFSET(DeathsTimeS!HeadRow,ROW()-ROW(DeathsTimeS!HeadRow),0,1,COLUMNS(DeathsTimeS!HeadRow)),1,MATCH(MA$5,DeathsTimeS!HeadRow,0))/MA$8</f>
        <v>0</v>
      </c>
      <c r="MB46" s="278">
        <f ca="1">$A46 - DeathsTimeS!SouthAustralia100dt</f>
        <v>-42</v>
      </c>
      <c r="MC46" s="11">
        <f ca="1">INDEX(OFFSET(DeathsTimeS!HeadRow,ROW()-ROW(DeathsTimeS!HeadRow),0,1,COLUMNS(DeathsTimeS!HeadRow)),1,MATCH(MC$5,DeathsTimeS!HeadRow,0))/MC$8</f>
        <v>0</v>
      </c>
      <c r="MD46" s="278">
        <f ca="1">$A46 - DeathsTimeS!WesternAustralia100dt</f>
        <v>-39</v>
      </c>
      <c r="ME46" s="11">
        <f ca="1">INDEX(OFFSET(DeathsTimeS!HeadRow,ROW()-ROW(DeathsTimeS!HeadRow),0,1,COLUMNS(DeathsTimeS!HeadRow)),1,MATCH(ME$5,DeathsTimeS!HeadRow,0))/ME$8</f>
        <v>0</v>
      </c>
      <c r="MF46" s="278">
        <f ca="1">$A46 - DeathsTimeS!NewSouthWales100dt</f>
        <v>-35</v>
      </c>
      <c r="MG46" s="11">
        <f ca="1">INDEX(OFFSET(DeathsTimeS!HeadRow,ROW()-ROW(DeathsTimeS!HeadRow),0,1,COLUMNS(DeathsTimeS!HeadRow)),1,MATCH(MG$5,DeathsTimeS!HeadRow,0))/MG$8</f>
        <v>0</v>
      </c>
      <c r="MH46" s="278">
        <f ca="1">$A46 - DeathsTimeS!NewYork100dt</f>
        <v>-19</v>
      </c>
      <c r="MI46" s="11">
        <f ca="1">INDEX(OFFSET(DeathsTimeS!HeadRow,ROW()-ROW(DeathsTimeS!HeadRow),0,1,COLUMNS(DeathsTimeS!HeadRow)),1,MATCH(MI$5,DeathsTimeS!HeadRow,0))/MI$8</f>
        <v>0</v>
      </c>
      <c r="MJ46" s="278">
        <f ca="1">$A46 - DeathsTimeS!Italy100dt</f>
        <v>-6</v>
      </c>
      <c r="MK46" s="20">
        <f ca="1">INDEX(OFFSET(DeathsTimeS!HeadRow,ROW()-ROW(DeathsTimeS!HeadRow),0,1,COLUMNS(DeathsTimeS!HeadRow)),1,MATCH(MK$5,DeathsTimeS!HeadRow,0))/MK$8</f>
        <v>1.9839629660246343</v>
      </c>
      <c r="ML46" s="278">
        <f ca="1">$A46 - DeathsTimeS!AustralianCapitalTerritory100dt</f>
        <v>-33</v>
      </c>
      <c r="MM46" s="11">
        <f ca="1">INDEX(OFFSET(DeathsTimeS!HeadRow,ROW()-ROW(DeathsTimeS!HeadRow),0,1,COLUMNS(DeathsTimeS!HeadRow)),1,MATCH(MM$5,DeathsTimeS!HeadRow,0))/MM$8</f>
        <v>0</v>
      </c>
      <c r="MN46" s="278">
        <f ca="1">IF(DeathsTimeS!NorthernTerritory100dt&gt;0,$A46 - DeathsTimeS!NorthernTerritory100dt,"")</f>
        <v>-61</v>
      </c>
      <c r="MO46" s="11">
        <f ca="1">INDEX(OFFSET(DeathsTimeS!HeadRow,ROW()-ROW(DeathsTimeS!HeadRow),0,1,COLUMNS(DeathsTimeS!HeadRow)),1,MATCH(MO$5,DeathsTimeS!HeadRow,0))/MO$8</f>
        <v>0</v>
      </c>
      <c r="MP46" s="278">
        <f ca="1">$A46 - DeathsTimeS!SouthAfrica100dt + 1</f>
        <v>-53</v>
      </c>
      <c r="MQ46" s="20">
        <f ca="1">INDEX(OFFSET(DeathsTimeS!HeadRow,ROW()-ROW(DeathsTimeS!HeadRow),0,1,COLUMNS(DeathsTimeS!HeadRow)),1,MATCH(MQ$5,DeathsTimeS!HeadRow,0))/MQ$8</f>
        <v>0</v>
      </c>
      <c r="MR46" s="278">
        <f ca="1">$A46 - DeathsTimeS!Germany100dt + 1</f>
        <v>-23</v>
      </c>
      <c r="MS46" s="20">
        <f ca="1">INDEX(OFFSET(DeathsTimeS!HeadRow,ROW()-ROW(DeathsTimeS!HeadRow),0,1,COLUMNS(DeathsTimeS!HeadRow)),1,MATCH(MS$5,DeathsTimeS!HeadRow,0))/MS$8</f>
        <v>0</v>
      </c>
      <c r="MT46" s="278">
        <f ca="1">$A46 - DeathsTimeS!Ireland100dt + 1</f>
        <v>-25</v>
      </c>
      <c r="MU46" s="73">
        <f ca="1">INDEX(OFFSET(DeathsTimeS!HeadRow,ROW()-ROW(DeathsTimeS!HeadRow),0,1,COLUMNS(DeathsTimeS!HeadRow)),1,MATCH(MU$5,DeathsTimeS!HeadRow,0))/MU$8</f>
        <v>0</v>
      </c>
      <c r="MV46" s="278">
        <f ca="1">$A46 - DeathsTimeS!UnitedKingdom100dt + 1</f>
        <v>-19</v>
      </c>
      <c r="MW46" s="73">
        <f ca="1">INDEX(OFFSET(DeathsTimeS!HeadRow,ROW()-ROW(DeathsTimeS!HeadRow),0,1,COLUMNS(DeathsTimeS!HeadRow)),1,MATCH(MW$5,DeathsTimeS!HeadRow,0))/MW$8</f>
        <v>0</v>
      </c>
      <c r="MX46" s="278">
        <f ca="1">$A46 - DeathsTimeS!Denmark100dt + 1</f>
        <v>-21</v>
      </c>
      <c r="MY46" s="73">
        <f ca="1">INDEX(OFFSET(DeathsTimeS!HeadRow,ROW()-ROW(DeathsTimeS!HeadRow),0,1,COLUMNS(DeathsTimeS!HeadRow)),1,MATCH(MY$5,DeathsTimeS!HeadRow,0))/MY$8</f>
        <v>0</v>
      </c>
      <c r="MZ46" s="278">
        <f ca="1">$A46 - DeathsTimeS!US100dt + 1</f>
        <v>-22</v>
      </c>
      <c r="NA46" s="73">
        <f ca="1">INDEX(OFFSET(DeathsTimeS!HeadRow,ROW()-ROW(DeathsTimeS!HeadRow),0,1,COLUMNS(DeathsTimeS!HeadRow)),1,MATCH(NA$5,DeathsTimeS!HeadRow,0))/NA$8</f>
        <v>0</v>
      </c>
      <c r="NB46" s="278">
        <f ca="1">$A46 - DeathsTimeS!AustraliaSum100dt + 1</f>
        <v>-28</v>
      </c>
      <c r="NC46" s="366">
        <f t="shared" si="6"/>
        <v>0</v>
      </c>
      <c r="ND46" s="278">
        <f ca="1">$A46 - DeathsTimeS!Taiwan100dt + 1</f>
        <v>-60</v>
      </c>
      <c r="NE46" s="366">
        <f ca="1">INDEX(OFFSET(DeathsTimeS!HeadRow,ROW()-ROW(DeathsTimeS!HeadRow),0,1,COLUMNS(DeathsTimeS!HeadRow)),1,MATCH(NE$5,DeathsTimeS!HeadRow,0))/NE$8</f>
        <v>0.4200395492437986</v>
      </c>
      <c r="NF46" s="278">
        <f ca="1">$A46 - DeathsTimeS!Hubei100dt + 1</f>
        <v>31</v>
      </c>
      <c r="NG46" s="366">
        <f ca="1">INDEX(OFFSET(DeathsTimeS!HeadRow,ROW()-ROW(DeathsTimeS!HeadRow),0,1,COLUMNS(DeathsTimeS!HeadRow)),1,MATCH(NG$5,DeathsTimeS!HeadRow,0))/NG$8</f>
        <v>447.00854700854705</v>
      </c>
      <c r="NH46" s="278">
        <f ca="1">$A46 - DeathsTimeS!HongKong100dt + 1</f>
        <v>-60</v>
      </c>
      <c r="NI46" s="366">
        <f ca="1">INDEX(OFFSET(DeathsTimeS!HeadRow,ROW()-ROW(DeathsTimeS!HeadRow),0,1,COLUMNS(DeathsTimeS!HeadRow)),1,MATCH(NI$5,DeathsTimeS!HeadRow,0))/NI$8</f>
        <v>2.6842034626224667</v>
      </c>
    </row>
    <row r="47" spans="1:373" x14ac:dyDescent="0.25">
      <c r="A47" s="156">
        <v>43888</v>
      </c>
      <c r="B47" s="25">
        <v>0</v>
      </c>
      <c r="C47" s="25">
        <v>0</v>
      </c>
      <c r="D47" s="25">
        <v>0</v>
      </c>
      <c r="E47" s="25">
        <v>0</v>
      </c>
      <c r="F47" s="25">
        <v>0</v>
      </c>
      <c r="G47" s="25">
        <v>0</v>
      </c>
      <c r="H47" s="25">
        <v>0</v>
      </c>
      <c r="I47" s="25">
        <v>0</v>
      </c>
      <c r="J47" s="25">
        <v>0</v>
      </c>
      <c r="K47" s="25">
        <v>0</v>
      </c>
      <c r="L47" s="25">
        <v>0</v>
      </c>
      <c r="M47" s="25">
        <v>0</v>
      </c>
      <c r="N47" s="25">
        <v>0</v>
      </c>
      <c r="O47" s="25">
        <v>0</v>
      </c>
      <c r="P47" s="25">
        <v>0</v>
      </c>
      <c r="Q47" s="25">
        <v>0</v>
      </c>
      <c r="R47" s="25">
        <v>0</v>
      </c>
      <c r="S47" s="25">
        <v>0</v>
      </c>
      <c r="T47" s="25">
        <v>0</v>
      </c>
      <c r="U47" s="25">
        <v>0</v>
      </c>
      <c r="V47" s="25">
        <v>0</v>
      </c>
      <c r="W47" s="25">
        <v>0</v>
      </c>
      <c r="X47" s="25">
        <v>0</v>
      </c>
      <c r="Y47" s="25">
        <v>0</v>
      </c>
      <c r="Z47" s="25">
        <v>0</v>
      </c>
      <c r="AA47" s="25">
        <v>0</v>
      </c>
      <c r="AB47" s="25">
        <v>0</v>
      </c>
      <c r="AC47" s="25">
        <v>0</v>
      </c>
      <c r="AD47" s="25">
        <v>0</v>
      </c>
      <c r="AE47" s="25">
        <v>0</v>
      </c>
      <c r="AF47" s="25">
        <v>0</v>
      </c>
      <c r="AG47" s="25">
        <v>0</v>
      </c>
      <c r="AH47" s="25">
        <v>0</v>
      </c>
      <c r="AI47" s="25">
        <v>0</v>
      </c>
      <c r="AJ47" s="25">
        <v>0</v>
      </c>
      <c r="AK47" s="25">
        <v>0</v>
      </c>
      <c r="AL47" s="25">
        <v>0</v>
      </c>
      <c r="AM47" s="25">
        <v>0</v>
      </c>
      <c r="AN47" s="25">
        <v>0</v>
      </c>
      <c r="AO47" s="25">
        <v>0</v>
      </c>
      <c r="AP47" s="25">
        <v>0</v>
      </c>
      <c r="AQ47" s="25">
        <v>0</v>
      </c>
      <c r="AR47" s="25">
        <v>0</v>
      </c>
      <c r="AS47" s="25">
        <v>0</v>
      </c>
      <c r="AT47" s="25">
        <v>0</v>
      </c>
      <c r="AU47" s="25">
        <v>0</v>
      </c>
      <c r="AV47" s="25">
        <v>0</v>
      </c>
      <c r="AW47" s="25">
        <v>0</v>
      </c>
      <c r="AX47" s="25">
        <v>0</v>
      </c>
      <c r="AY47" s="25">
        <v>6</v>
      </c>
      <c r="AZ47" s="25">
        <v>5</v>
      </c>
      <c r="BA47" s="25">
        <v>6</v>
      </c>
      <c r="BB47" s="25">
        <v>1</v>
      </c>
      <c r="BC47" s="25">
        <v>2</v>
      </c>
      <c r="BD47" s="25">
        <v>7</v>
      </c>
      <c r="BE47" s="25">
        <v>2</v>
      </c>
      <c r="BF47" s="25">
        <v>2</v>
      </c>
      <c r="BG47" s="25">
        <v>5</v>
      </c>
      <c r="BH47" s="25">
        <v>6</v>
      </c>
      <c r="BI47" s="25">
        <v>13</v>
      </c>
      <c r="BJ47" s="25">
        <v>20</v>
      </c>
      <c r="BK47" s="25">
        <v>2</v>
      </c>
      <c r="BL47" s="25">
        <v>2641</v>
      </c>
      <c r="BM47" s="25">
        <v>4</v>
      </c>
      <c r="BN47" s="25">
        <v>0</v>
      </c>
      <c r="BO47" s="25">
        <v>0</v>
      </c>
      <c r="BP47" s="25">
        <v>1</v>
      </c>
      <c r="BQ47" s="25">
        <v>1</v>
      </c>
      <c r="BR47" s="25">
        <v>1</v>
      </c>
      <c r="BS47" s="25">
        <v>0</v>
      </c>
      <c r="BT47" s="25">
        <v>0</v>
      </c>
      <c r="BU47" s="25">
        <v>0</v>
      </c>
      <c r="BV47" s="25">
        <v>1</v>
      </c>
      <c r="BW47" s="25">
        <v>6</v>
      </c>
      <c r="BX47" s="25">
        <v>3</v>
      </c>
      <c r="BY47" s="25">
        <v>0</v>
      </c>
      <c r="BZ47" s="25">
        <v>3</v>
      </c>
      <c r="CA47" s="25">
        <v>3</v>
      </c>
      <c r="CB47" s="25">
        <v>0</v>
      </c>
      <c r="CC47" s="25">
        <v>2</v>
      </c>
      <c r="CD47" s="25">
        <v>2</v>
      </c>
      <c r="CE47" s="25">
        <v>1</v>
      </c>
      <c r="CF47" s="25">
        <v>0</v>
      </c>
      <c r="CG47" s="25">
        <v>0</v>
      </c>
      <c r="CH47" s="25">
        <v>0</v>
      </c>
      <c r="CI47" s="25">
        <v>0</v>
      </c>
      <c r="CJ47" s="25">
        <v>0</v>
      </c>
      <c r="CK47" s="25">
        <v>0</v>
      </c>
      <c r="CL47" s="25">
        <v>4</v>
      </c>
      <c r="CM47" s="25">
        <v>0</v>
      </c>
      <c r="CN47" s="25">
        <v>0</v>
      </c>
      <c r="CO47" s="25">
        <v>0</v>
      </c>
      <c r="CP47" s="25">
        <v>0</v>
      </c>
      <c r="CQ47" s="25">
        <v>0</v>
      </c>
      <c r="CR47" s="25">
        <v>0</v>
      </c>
      <c r="CS47" s="25">
        <v>0</v>
      </c>
      <c r="CT47" s="25">
        <v>0</v>
      </c>
      <c r="CU47" s="25">
        <v>0</v>
      </c>
      <c r="CV47" s="25">
        <v>0</v>
      </c>
      <c r="CW47" s="25">
        <v>0</v>
      </c>
      <c r="CX47" s="25">
        <v>0</v>
      </c>
      <c r="CY47" s="25">
        <v>0</v>
      </c>
      <c r="CZ47" s="25">
        <v>0</v>
      </c>
      <c r="DA47" s="25">
        <v>0</v>
      </c>
      <c r="DB47" s="25">
        <v>0</v>
      </c>
      <c r="DC47" s="25">
        <v>0</v>
      </c>
      <c r="DD47" s="25">
        <v>0</v>
      </c>
      <c r="DE47" s="25">
        <v>0</v>
      </c>
      <c r="DF47" s="25">
        <v>0</v>
      </c>
      <c r="DG47" s="25">
        <v>0</v>
      </c>
      <c r="DH47" s="25">
        <v>0</v>
      </c>
      <c r="DI47" s="25">
        <v>0</v>
      </c>
      <c r="DJ47" s="25">
        <v>0</v>
      </c>
      <c r="DK47" s="25">
        <v>0</v>
      </c>
      <c r="DL47" s="25">
        <v>0</v>
      </c>
      <c r="DM47" s="25">
        <v>0</v>
      </c>
      <c r="DN47" s="25">
        <v>2</v>
      </c>
      <c r="DO47" s="25">
        <v>0</v>
      </c>
      <c r="DP47" s="25">
        <v>0</v>
      </c>
      <c r="DQ47" s="25">
        <v>0</v>
      </c>
      <c r="DR47" s="25">
        <v>0</v>
      </c>
      <c r="DS47" s="25">
        <v>0</v>
      </c>
      <c r="DT47" s="25">
        <v>0</v>
      </c>
      <c r="DU47" s="25">
        <v>0</v>
      </c>
      <c r="DV47" s="25">
        <v>0</v>
      </c>
      <c r="DW47" s="25">
        <v>0</v>
      </c>
      <c r="DX47" s="25">
        <v>0</v>
      </c>
      <c r="DY47" s="25">
        <v>0</v>
      </c>
      <c r="DZ47" s="25">
        <v>0</v>
      </c>
      <c r="EA47" s="25">
        <v>0</v>
      </c>
      <c r="EB47" s="25">
        <v>0</v>
      </c>
      <c r="EC47" s="25">
        <v>0</v>
      </c>
      <c r="ED47" s="25">
        <v>0</v>
      </c>
      <c r="EE47" s="25">
        <v>26</v>
      </c>
      <c r="EF47" s="25">
        <v>0</v>
      </c>
      <c r="EG47" s="25">
        <v>0</v>
      </c>
      <c r="EH47" s="25">
        <v>0</v>
      </c>
      <c r="EI47" s="25">
        <v>17</v>
      </c>
      <c r="EJ47" s="25">
        <v>0</v>
      </c>
      <c r="EK47" s="25">
        <v>4</v>
      </c>
      <c r="EL47" s="25">
        <v>0</v>
      </c>
      <c r="EM47" s="25">
        <v>0</v>
      </c>
      <c r="EN47" s="25">
        <v>0</v>
      </c>
      <c r="EO47" s="25">
        <v>13</v>
      </c>
      <c r="EP47" s="25">
        <v>0</v>
      </c>
      <c r="EQ47" s="25">
        <v>0</v>
      </c>
      <c r="ER47" s="25">
        <v>0</v>
      </c>
      <c r="ES47" s="25">
        <v>0</v>
      </c>
      <c r="ET47" s="25">
        <v>0</v>
      </c>
      <c r="EU47" s="25">
        <v>0</v>
      </c>
      <c r="EV47" s="25">
        <v>0</v>
      </c>
      <c r="EW47" s="25">
        <v>0</v>
      </c>
      <c r="EX47" s="25">
        <v>0</v>
      </c>
      <c r="EY47" s="25">
        <v>0</v>
      </c>
      <c r="EZ47" s="25">
        <v>0</v>
      </c>
      <c r="FA47" s="25">
        <v>0</v>
      </c>
      <c r="FB47" s="25">
        <v>0</v>
      </c>
      <c r="FC47" s="25">
        <v>0</v>
      </c>
      <c r="FD47" s="25">
        <v>0</v>
      </c>
      <c r="FE47" s="25">
        <v>0</v>
      </c>
      <c r="FF47" s="25">
        <v>0</v>
      </c>
      <c r="FG47" s="25">
        <v>0</v>
      </c>
      <c r="FH47" s="25">
        <v>0</v>
      </c>
      <c r="FI47" s="25">
        <v>0</v>
      </c>
      <c r="FJ47" s="25">
        <v>0</v>
      </c>
      <c r="FK47" s="25">
        <v>0</v>
      </c>
      <c r="FL47" s="25">
        <v>0</v>
      </c>
      <c r="FM47" s="25">
        <v>0</v>
      </c>
      <c r="FN47" s="25">
        <v>0</v>
      </c>
      <c r="FO47" s="25">
        <v>0</v>
      </c>
      <c r="FP47" s="25">
        <v>0</v>
      </c>
      <c r="FQ47" s="25">
        <v>0</v>
      </c>
      <c r="FR47" s="25">
        <v>0</v>
      </c>
      <c r="FS47" s="25">
        <v>0</v>
      </c>
      <c r="FT47" s="25">
        <v>0</v>
      </c>
      <c r="FU47" s="25">
        <v>0</v>
      </c>
      <c r="FV47" s="25">
        <v>0</v>
      </c>
      <c r="FW47" s="25">
        <v>0</v>
      </c>
      <c r="FX47" s="25">
        <v>0</v>
      </c>
      <c r="FY47" s="25">
        <v>0</v>
      </c>
      <c r="FZ47" s="25">
        <v>0</v>
      </c>
      <c r="GA47" s="25">
        <v>0</v>
      </c>
      <c r="GB47" s="25">
        <v>1</v>
      </c>
      <c r="GC47" s="25">
        <v>0</v>
      </c>
      <c r="GD47" s="25">
        <v>0</v>
      </c>
      <c r="GE47" s="25">
        <v>0</v>
      </c>
      <c r="GF47" s="25">
        <v>0</v>
      </c>
      <c r="GG47" s="25">
        <v>0</v>
      </c>
      <c r="GH47" s="25">
        <v>0</v>
      </c>
      <c r="GI47" s="25">
        <v>0</v>
      </c>
      <c r="GJ47" s="25">
        <v>0</v>
      </c>
      <c r="GK47" s="25">
        <v>0</v>
      </c>
      <c r="GL47" s="25">
        <v>0</v>
      </c>
      <c r="GM47" s="25">
        <v>0</v>
      </c>
      <c r="GN47" s="25">
        <v>0</v>
      </c>
      <c r="GO47" s="25">
        <v>0</v>
      </c>
      <c r="GP47" s="25">
        <v>0</v>
      </c>
      <c r="GQ47" s="25">
        <v>0</v>
      </c>
      <c r="GR47" s="25">
        <v>0</v>
      </c>
      <c r="GS47" s="25">
        <v>0</v>
      </c>
      <c r="GT47" s="25">
        <v>0</v>
      </c>
      <c r="GU47" s="25">
        <v>0</v>
      </c>
      <c r="GV47" s="25">
        <v>0</v>
      </c>
      <c r="GW47" s="25">
        <v>0</v>
      </c>
      <c r="GX47" s="25">
        <v>0</v>
      </c>
      <c r="GY47" s="46">
        <v>0</v>
      </c>
      <c r="GZ47" s="25">
        <v>0</v>
      </c>
      <c r="HA47" s="25">
        <v>1</v>
      </c>
      <c r="HB47" s="25">
        <v>0</v>
      </c>
      <c r="HC47" s="25">
        <v>0</v>
      </c>
      <c r="HD47" s="25">
        <v>0</v>
      </c>
      <c r="HE47" s="25">
        <v>0</v>
      </c>
      <c r="HF47" s="25">
        <v>0</v>
      </c>
      <c r="HG47" s="25">
        <v>0</v>
      </c>
      <c r="HH47" s="25">
        <v>0</v>
      </c>
      <c r="HI47" s="25">
        <v>0</v>
      </c>
      <c r="HJ47" s="25">
        <v>0</v>
      </c>
      <c r="HK47" s="25">
        <v>0</v>
      </c>
      <c r="HL47" s="25">
        <v>0</v>
      </c>
      <c r="HM47" s="25">
        <v>0</v>
      </c>
      <c r="HN47" s="25">
        <v>0</v>
      </c>
      <c r="HO47" s="25">
        <v>0</v>
      </c>
      <c r="HP47" s="25">
        <v>0</v>
      </c>
      <c r="HQ47" s="25">
        <v>0</v>
      </c>
      <c r="HR47" s="25">
        <v>0</v>
      </c>
      <c r="HS47" s="25">
        <v>0</v>
      </c>
      <c r="HT47" s="25">
        <v>0</v>
      </c>
      <c r="HU47" s="25">
        <v>0</v>
      </c>
      <c r="HV47" s="25">
        <v>0</v>
      </c>
      <c r="HW47" s="25">
        <v>0</v>
      </c>
      <c r="HX47" s="25">
        <v>0</v>
      </c>
      <c r="HY47" s="25">
        <v>0</v>
      </c>
      <c r="HZ47" s="25">
        <v>0</v>
      </c>
      <c r="IA47" s="25">
        <v>0</v>
      </c>
      <c r="IB47" s="25">
        <v>0</v>
      </c>
      <c r="IC47" s="25">
        <v>0</v>
      </c>
      <c r="ID47" s="25">
        <v>0</v>
      </c>
      <c r="IE47" s="25">
        <v>0</v>
      </c>
      <c r="IF47" s="25">
        <v>0</v>
      </c>
      <c r="IG47" s="25">
        <v>0</v>
      </c>
      <c r="IH47" s="25">
        <v>0</v>
      </c>
      <c r="II47" s="25">
        <v>0</v>
      </c>
      <c r="IJ47" s="25">
        <v>0</v>
      </c>
      <c r="IK47" s="25">
        <v>0</v>
      </c>
      <c r="IL47" s="25">
        <v>0</v>
      </c>
      <c r="IM47" s="25">
        <v>0</v>
      </c>
      <c r="IN47" s="25">
        <v>0</v>
      </c>
      <c r="IO47" s="25">
        <v>0</v>
      </c>
      <c r="IP47" s="25">
        <v>0</v>
      </c>
      <c r="IQ47" s="25">
        <v>0</v>
      </c>
      <c r="IR47" s="25">
        <v>0</v>
      </c>
      <c r="IS47" s="25">
        <v>0</v>
      </c>
      <c r="IT47" s="25">
        <v>0</v>
      </c>
      <c r="IU47" s="25">
        <v>0</v>
      </c>
      <c r="IV47" s="25">
        <v>0</v>
      </c>
      <c r="IW47" s="25">
        <v>0</v>
      </c>
      <c r="IX47" s="25">
        <v>0</v>
      </c>
      <c r="IY47" s="25">
        <v>0</v>
      </c>
      <c r="IZ47" s="25">
        <v>0</v>
      </c>
      <c r="JA47" s="25">
        <v>0</v>
      </c>
      <c r="JB47" s="25">
        <v>0</v>
      </c>
      <c r="JC47" s="25">
        <v>0</v>
      </c>
      <c r="JD47" s="25">
        <v>0</v>
      </c>
      <c r="JE47" s="25">
        <v>0</v>
      </c>
      <c r="JF47" s="25">
        <v>0</v>
      </c>
      <c r="JG47" s="25">
        <v>0</v>
      </c>
      <c r="JH47" s="25">
        <v>0</v>
      </c>
      <c r="JI47" s="25">
        <v>0</v>
      </c>
      <c r="JJ47" s="25">
        <v>0</v>
      </c>
      <c r="JK47" s="25">
        <v>0</v>
      </c>
      <c r="JL47" s="25">
        <v>0</v>
      </c>
      <c r="JM47" s="25">
        <v>0</v>
      </c>
      <c r="JN47" s="25">
        <v>0</v>
      </c>
      <c r="JO47" s="25">
        <v>0</v>
      </c>
      <c r="JP47" s="25">
        <v>0</v>
      </c>
      <c r="JQ47" s="25">
        <v>0</v>
      </c>
      <c r="JR47" s="25">
        <v>0</v>
      </c>
      <c r="JS47" s="25">
        <v>0</v>
      </c>
      <c r="JT47" s="25">
        <v>0</v>
      </c>
      <c r="JU47" s="25">
        <v>0</v>
      </c>
      <c r="JV47" s="25">
        <v>0</v>
      </c>
      <c r="JW47" s="25">
        <v>0</v>
      </c>
      <c r="JX47" s="25">
        <v>0</v>
      </c>
      <c r="JY47" s="25">
        <v>0</v>
      </c>
      <c r="JZ47" s="25">
        <v>0</v>
      </c>
      <c r="KA47" s="25">
        <v>0</v>
      </c>
      <c r="KB47" s="25">
        <v>0</v>
      </c>
      <c r="KC47" s="25">
        <v>0</v>
      </c>
      <c r="KD47" s="25">
        <v>0</v>
      </c>
      <c r="KE47" s="25">
        <v>0</v>
      </c>
      <c r="KF47" s="25">
        <v>0</v>
      </c>
      <c r="KG47" s="25">
        <v>0</v>
      </c>
      <c r="KH47" s="25">
        <v>0</v>
      </c>
      <c r="KI47" s="25">
        <v>0</v>
      </c>
      <c r="KJ47" s="25">
        <v>0</v>
      </c>
      <c r="KK47" s="25">
        <v>0</v>
      </c>
      <c r="KL47" s="25">
        <v>0</v>
      </c>
      <c r="KM47" s="25">
        <v>0</v>
      </c>
      <c r="KN47" s="25">
        <v>0</v>
      </c>
      <c r="KO47" s="25">
        <v>0</v>
      </c>
      <c r="KP47" s="25">
        <v>0</v>
      </c>
      <c r="KQ47" s="25">
        <v>0</v>
      </c>
      <c r="KR47" s="25">
        <v>0</v>
      </c>
      <c r="KS47" s="25">
        <v>0</v>
      </c>
      <c r="KT47" s="25">
        <v>0</v>
      </c>
      <c r="KU47" s="25">
        <v>0</v>
      </c>
      <c r="KV47" s="25">
        <v>0</v>
      </c>
      <c r="KW47" s="25">
        <v>0</v>
      </c>
      <c r="KX47" s="25">
        <v>0</v>
      </c>
      <c r="KY47" s="25">
        <v>0</v>
      </c>
      <c r="KZ47" s="25">
        <v>0</v>
      </c>
      <c r="LA47" s="25">
        <v>0</v>
      </c>
      <c r="LB47" s="25">
        <v>0</v>
      </c>
      <c r="LC47" s="25">
        <v>0</v>
      </c>
      <c r="LD47" s="25">
        <v>0</v>
      </c>
      <c r="LE47" s="25">
        <v>0</v>
      </c>
      <c r="LF47" s="25">
        <v>0</v>
      </c>
      <c r="LG47" s="25">
        <v>0</v>
      </c>
      <c r="LH47" s="25">
        <v>0</v>
      </c>
      <c r="LI47" s="25">
        <v>0</v>
      </c>
      <c r="LJ47" s="25">
        <v>0</v>
      </c>
      <c r="LK47" s="25">
        <v>0</v>
      </c>
      <c r="LL47" s="25">
        <v>0</v>
      </c>
      <c r="LM47" s="25">
        <v>0</v>
      </c>
      <c r="LN47" s="278">
        <f ca="1">$A47 - DeathsTimeS!Sweden100dt + 1</f>
        <v>-20</v>
      </c>
      <c r="LO47" s="366">
        <f ca="1">INDEX(OFFSET(DeathsTimeS!HeadRow,ROW()-ROW(DeathsTimeS!HeadRow),0,1,COLUMNS(DeathsTimeS!HeadRow)),1,MATCH(LO$5,DeathsTimeS!HeadRow,0))/LO$8</f>
        <v>0</v>
      </c>
      <c r="LP47" s="278">
        <f ca="1">$A47 - DeathsTimeS!Spain100dt</f>
        <v>-13</v>
      </c>
      <c r="LQ47" s="11">
        <f ca="1">INDEX(OFFSET(DeathsTimeS!HeadRow,ROW()-ROW(DeathsTimeS!HeadRow),0,1,COLUMNS(DeathsTimeS!HeadRow)),1,MATCH(LQ$5,DeathsTimeS!HeadRow,0))/LQ$8</f>
        <v>0</v>
      </c>
      <c r="LR47" s="278">
        <f ca="1">$A47 - DeathsTimeS!Victoria100dt</f>
        <v>-36</v>
      </c>
      <c r="LS47" s="11">
        <f ca="1">INDEX(OFFSET(DeathsTimeS!HeadRow,ROW()-ROW(DeathsTimeS!HeadRow),0,1,COLUMNS(DeathsTimeS!HeadRow)),1,MATCH(LS$5,DeathsTimeS!HeadRow,0))/LS$8</f>
        <v>0</v>
      </c>
      <c r="LT47" s="278">
        <f ca="1">$A47 - DeathsTimeS!Iran100dt</f>
        <v>-6</v>
      </c>
      <c r="LU47" s="11">
        <f ca="1">INDEX(OFFSET(DeathsTimeS!HeadRow,ROW()-ROW(DeathsTimeS!HeadRow),0,1,COLUMNS(DeathsTimeS!HeadRow)),1,MATCH(LU$5,DeathsTimeS!HeadRow,0))/LU$8</f>
        <v>3.1036252730593388</v>
      </c>
      <c r="LV47" s="278">
        <f ca="1">$A47 - DeathsTimeS!Japan100dt</f>
        <v>-47</v>
      </c>
      <c r="LW47" s="11">
        <f ca="1">INDEX(OFFSET(DeathsTimeS!HeadRow,ROW()-ROW(DeathsTimeS!HeadRow),0,1,COLUMNS(DeathsTimeS!HeadRow)),1,MATCH(LW$5,DeathsTimeS!HeadRow,0))/LW$8</f>
        <v>0.31607010317942585</v>
      </c>
      <c r="LX47" s="278">
        <f ca="1">$A47 - DeathsTimeS!Queensland100dt</f>
        <v>-51</v>
      </c>
      <c r="LY47" s="11">
        <f ca="1">INDEX(OFFSET(DeathsTimeS!HeadRow,ROW()-ROW(DeathsTimeS!HeadRow),0,1,COLUMNS(DeathsTimeS!HeadRow)),1,MATCH(LY$5,DeathsTimeS!HeadRow,0))/LY$8</f>
        <v>0</v>
      </c>
      <c r="LZ47" s="278">
        <f ca="1">$A47 - DeathsTimeS!Tasmania100dt</f>
        <v>-33</v>
      </c>
      <c r="MA47" s="11">
        <f ca="1">INDEX(OFFSET(DeathsTimeS!HeadRow,ROW()-ROW(DeathsTimeS!HeadRow),0,1,COLUMNS(DeathsTimeS!HeadRow)),1,MATCH(MA$5,DeathsTimeS!HeadRow,0))/MA$8</f>
        <v>0</v>
      </c>
      <c r="MB47" s="278">
        <f ca="1">$A47 - DeathsTimeS!SouthAustralia100dt</f>
        <v>-41</v>
      </c>
      <c r="MC47" s="11">
        <f ca="1">INDEX(OFFSET(DeathsTimeS!HeadRow,ROW()-ROW(DeathsTimeS!HeadRow),0,1,COLUMNS(DeathsTimeS!HeadRow)),1,MATCH(MC$5,DeathsTimeS!HeadRow,0))/MC$8</f>
        <v>0</v>
      </c>
      <c r="MD47" s="278">
        <f ca="1">$A47 - DeathsTimeS!WesternAustralia100dt</f>
        <v>-38</v>
      </c>
      <c r="ME47" s="11">
        <f ca="1">INDEX(OFFSET(DeathsTimeS!HeadRow,ROW()-ROW(DeathsTimeS!HeadRow),0,1,COLUMNS(DeathsTimeS!HeadRow)),1,MATCH(ME$5,DeathsTimeS!HeadRow,0))/ME$8</f>
        <v>0</v>
      </c>
      <c r="MF47" s="278">
        <f ca="1">$A47 - DeathsTimeS!NewSouthWales100dt</f>
        <v>-34</v>
      </c>
      <c r="MG47" s="11">
        <f ca="1">INDEX(OFFSET(DeathsTimeS!HeadRow,ROW()-ROW(DeathsTimeS!HeadRow),0,1,COLUMNS(DeathsTimeS!HeadRow)),1,MATCH(MG$5,DeathsTimeS!HeadRow,0))/MG$8</f>
        <v>0</v>
      </c>
      <c r="MH47" s="278">
        <f ca="1">$A47 - DeathsTimeS!NewYork100dt</f>
        <v>-18</v>
      </c>
      <c r="MI47" s="11">
        <f ca="1">INDEX(OFFSET(DeathsTimeS!HeadRow,ROW()-ROW(DeathsTimeS!HeadRow),0,1,COLUMNS(DeathsTimeS!HeadRow)),1,MATCH(MI$5,DeathsTimeS!HeadRow,0))/MI$8</f>
        <v>0</v>
      </c>
      <c r="MJ47" s="278">
        <f ca="1">$A47 - DeathsTimeS!Italy100dt</f>
        <v>-5</v>
      </c>
      <c r="MK47" s="20">
        <f ca="1">INDEX(OFFSET(DeathsTimeS!HeadRow,ROW()-ROW(DeathsTimeS!HeadRow),0,1,COLUMNS(DeathsTimeS!HeadRow)),1,MATCH(MK$5,DeathsTimeS!HeadRow,0))/MK$8</f>
        <v>2.8106142018682321</v>
      </c>
      <c r="ML47" s="278">
        <f ca="1">$A47 - DeathsTimeS!AustralianCapitalTerritory100dt</f>
        <v>-32</v>
      </c>
      <c r="MM47" s="11">
        <f ca="1">INDEX(OFFSET(DeathsTimeS!HeadRow,ROW()-ROW(DeathsTimeS!HeadRow),0,1,COLUMNS(DeathsTimeS!HeadRow)),1,MATCH(MM$5,DeathsTimeS!HeadRow,0))/MM$8</f>
        <v>0</v>
      </c>
      <c r="MN47" s="278">
        <f ca="1">IF(DeathsTimeS!NorthernTerritory100dt&gt;0,$A47 - DeathsTimeS!NorthernTerritory100dt,"")</f>
        <v>-60</v>
      </c>
      <c r="MO47" s="11">
        <f ca="1">INDEX(OFFSET(DeathsTimeS!HeadRow,ROW()-ROW(DeathsTimeS!HeadRow),0,1,COLUMNS(DeathsTimeS!HeadRow)),1,MATCH(MO$5,DeathsTimeS!HeadRow,0))/MO$8</f>
        <v>0</v>
      </c>
      <c r="MP47" s="278">
        <f ca="1">$A47 - DeathsTimeS!SouthAfrica100dt + 1</f>
        <v>-52</v>
      </c>
      <c r="MQ47" s="20">
        <f ca="1">INDEX(OFFSET(DeathsTimeS!HeadRow,ROW()-ROW(DeathsTimeS!HeadRow),0,1,COLUMNS(DeathsTimeS!HeadRow)),1,MATCH(MQ$5,DeathsTimeS!HeadRow,0))/MQ$8</f>
        <v>0</v>
      </c>
      <c r="MR47" s="278">
        <f ca="1">$A47 - DeathsTimeS!Germany100dt + 1</f>
        <v>-22</v>
      </c>
      <c r="MS47" s="20">
        <f ca="1">INDEX(OFFSET(DeathsTimeS!HeadRow,ROW()-ROW(DeathsTimeS!HeadRow),0,1,COLUMNS(DeathsTimeS!HeadRow)),1,MATCH(MS$5,DeathsTimeS!HeadRow,0))/MS$8</f>
        <v>0</v>
      </c>
      <c r="MT47" s="278">
        <f ca="1">$A47 - DeathsTimeS!Ireland100dt + 1</f>
        <v>-24</v>
      </c>
      <c r="MU47" s="73">
        <f ca="1">INDEX(OFFSET(DeathsTimeS!HeadRow,ROW()-ROW(DeathsTimeS!HeadRow),0,1,COLUMNS(DeathsTimeS!HeadRow)),1,MATCH(MU$5,DeathsTimeS!HeadRow,0))/MU$8</f>
        <v>0</v>
      </c>
      <c r="MV47" s="278">
        <f ca="1">$A47 - DeathsTimeS!UnitedKingdom100dt + 1</f>
        <v>-18</v>
      </c>
      <c r="MW47" s="73">
        <f ca="1">INDEX(OFFSET(DeathsTimeS!HeadRow,ROW()-ROW(DeathsTimeS!HeadRow),0,1,COLUMNS(DeathsTimeS!HeadRow)),1,MATCH(MW$5,DeathsTimeS!HeadRow,0))/MW$8</f>
        <v>0</v>
      </c>
      <c r="MX47" s="278">
        <f ca="1">$A47 - DeathsTimeS!Denmark100dt + 1</f>
        <v>-20</v>
      </c>
      <c r="MY47" s="73">
        <f ca="1">INDEX(OFFSET(DeathsTimeS!HeadRow,ROW()-ROW(DeathsTimeS!HeadRow),0,1,COLUMNS(DeathsTimeS!HeadRow)),1,MATCH(MY$5,DeathsTimeS!HeadRow,0))/MY$8</f>
        <v>0</v>
      </c>
      <c r="MZ47" s="278">
        <f ca="1">$A47 - DeathsTimeS!US100dt + 1</f>
        <v>-21</v>
      </c>
      <c r="NA47" s="73">
        <f ca="1">INDEX(OFFSET(DeathsTimeS!HeadRow,ROW()-ROW(DeathsTimeS!HeadRow),0,1,COLUMNS(DeathsTimeS!HeadRow)),1,MATCH(NA$5,DeathsTimeS!HeadRow,0))/NA$8</f>
        <v>0</v>
      </c>
      <c r="NB47" s="278">
        <f ca="1">$A47 - DeathsTimeS!AustraliaSum100dt + 1</f>
        <v>-27</v>
      </c>
      <c r="NC47" s="366">
        <f t="shared" si="6"/>
        <v>0</v>
      </c>
      <c r="ND47" s="278">
        <f ca="1">$A47 - DeathsTimeS!Taiwan100dt + 1</f>
        <v>-59</v>
      </c>
      <c r="NE47" s="366">
        <f ca="1">INDEX(OFFSET(DeathsTimeS!HeadRow,ROW()-ROW(DeathsTimeS!HeadRow),0,1,COLUMNS(DeathsTimeS!HeadRow)),1,MATCH(NE$5,DeathsTimeS!HeadRow,0))/NE$8</f>
        <v>0.4200395492437986</v>
      </c>
      <c r="NF47" s="278">
        <f ca="1">$A47 - DeathsTimeS!Hubei100dt + 1</f>
        <v>32</v>
      </c>
      <c r="NG47" s="366">
        <f ca="1">INDEX(OFFSET(DeathsTimeS!HeadRow,ROW()-ROW(DeathsTimeS!HeadRow),0,1,COLUMNS(DeathsTimeS!HeadRow)),1,MATCH(NG$5,DeathsTimeS!HeadRow,0))/NG$8</f>
        <v>451.45299145299145</v>
      </c>
      <c r="NH47" s="278">
        <f ca="1">$A47 - DeathsTimeS!HongKong100dt + 1</f>
        <v>-59</v>
      </c>
      <c r="NI47" s="366">
        <f ca="1">INDEX(OFFSET(DeathsTimeS!HeadRow,ROW()-ROW(DeathsTimeS!HeadRow),0,1,COLUMNS(DeathsTimeS!HeadRow)),1,MATCH(NI$5,DeathsTimeS!HeadRow,0))/NI$8</f>
        <v>2.6842034626224667</v>
      </c>
    </row>
    <row r="48" spans="1:373" x14ac:dyDescent="0.25">
      <c r="A48" s="156">
        <v>43889</v>
      </c>
      <c r="B48" s="25">
        <v>0</v>
      </c>
      <c r="C48" s="25">
        <v>0</v>
      </c>
      <c r="D48" s="25">
        <v>0</v>
      </c>
      <c r="E48" s="25">
        <v>0</v>
      </c>
      <c r="F48" s="25">
        <v>0</v>
      </c>
      <c r="G48" s="25">
        <v>0</v>
      </c>
      <c r="H48" s="25">
        <v>0</v>
      </c>
      <c r="I48" s="25">
        <v>0</v>
      </c>
      <c r="J48" s="25">
        <v>0</v>
      </c>
      <c r="K48" s="25">
        <v>0</v>
      </c>
      <c r="L48" s="25">
        <v>0</v>
      </c>
      <c r="M48" s="25">
        <v>0</v>
      </c>
      <c r="N48" s="25">
        <v>0</v>
      </c>
      <c r="O48" s="25">
        <v>0</v>
      </c>
      <c r="P48" s="25">
        <v>0</v>
      </c>
      <c r="Q48" s="25">
        <v>0</v>
      </c>
      <c r="R48" s="25">
        <v>0</v>
      </c>
      <c r="S48" s="25">
        <v>0</v>
      </c>
      <c r="T48" s="25">
        <v>0</v>
      </c>
      <c r="U48" s="25">
        <v>0</v>
      </c>
      <c r="V48" s="25">
        <v>0</v>
      </c>
      <c r="W48" s="25">
        <v>0</v>
      </c>
      <c r="X48" s="25">
        <v>0</v>
      </c>
      <c r="Y48" s="25">
        <v>0</v>
      </c>
      <c r="Z48" s="25">
        <v>0</v>
      </c>
      <c r="AA48" s="25">
        <v>0</v>
      </c>
      <c r="AB48" s="25">
        <v>0</v>
      </c>
      <c r="AC48" s="25">
        <v>0</v>
      </c>
      <c r="AD48" s="25">
        <v>0</v>
      </c>
      <c r="AE48" s="25">
        <v>0</v>
      </c>
      <c r="AF48" s="25">
        <v>0</v>
      </c>
      <c r="AG48" s="25">
        <v>0</v>
      </c>
      <c r="AH48" s="25">
        <v>0</v>
      </c>
      <c r="AI48" s="25">
        <v>0</v>
      </c>
      <c r="AJ48" s="25">
        <v>0</v>
      </c>
      <c r="AK48" s="25">
        <v>0</v>
      </c>
      <c r="AL48" s="25">
        <v>0</v>
      </c>
      <c r="AM48" s="25">
        <v>0</v>
      </c>
      <c r="AN48" s="25">
        <v>0</v>
      </c>
      <c r="AO48" s="25">
        <v>0</v>
      </c>
      <c r="AP48" s="25">
        <v>0</v>
      </c>
      <c r="AQ48" s="25">
        <v>0</v>
      </c>
      <c r="AR48" s="25">
        <v>0</v>
      </c>
      <c r="AS48" s="25">
        <v>0</v>
      </c>
      <c r="AT48" s="25">
        <v>0</v>
      </c>
      <c r="AU48" s="25">
        <v>0</v>
      </c>
      <c r="AV48" s="25">
        <v>0</v>
      </c>
      <c r="AW48" s="25">
        <v>0</v>
      </c>
      <c r="AX48" s="25">
        <v>0</v>
      </c>
      <c r="AY48" s="25">
        <v>6</v>
      </c>
      <c r="AZ48" s="25">
        <v>7</v>
      </c>
      <c r="BA48" s="25">
        <v>6</v>
      </c>
      <c r="BB48" s="25">
        <v>1</v>
      </c>
      <c r="BC48" s="25">
        <v>2</v>
      </c>
      <c r="BD48" s="25">
        <v>7</v>
      </c>
      <c r="BE48" s="25">
        <v>2</v>
      </c>
      <c r="BF48" s="25">
        <v>2</v>
      </c>
      <c r="BG48" s="25">
        <v>5</v>
      </c>
      <c r="BH48" s="25">
        <v>6</v>
      </c>
      <c r="BI48" s="25">
        <v>13</v>
      </c>
      <c r="BJ48" s="25">
        <v>20</v>
      </c>
      <c r="BK48" s="25">
        <v>2</v>
      </c>
      <c r="BL48" s="25">
        <v>2682</v>
      </c>
      <c r="BM48" s="25">
        <v>4</v>
      </c>
      <c r="BN48" s="25">
        <v>0</v>
      </c>
      <c r="BO48" s="25">
        <v>0</v>
      </c>
      <c r="BP48" s="25">
        <v>1</v>
      </c>
      <c r="BQ48" s="25">
        <v>1</v>
      </c>
      <c r="BR48" s="25">
        <v>1</v>
      </c>
      <c r="BS48" s="25">
        <v>0</v>
      </c>
      <c r="BT48" s="25">
        <v>0</v>
      </c>
      <c r="BU48" s="25">
        <v>0</v>
      </c>
      <c r="BV48" s="25">
        <v>1</v>
      </c>
      <c r="BW48" s="25">
        <v>6</v>
      </c>
      <c r="BX48" s="25">
        <v>3</v>
      </c>
      <c r="BY48" s="25">
        <v>0</v>
      </c>
      <c r="BZ48" s="25">
        <v>3</v>
      </c>
      <c r="CA48" s="25">
        <v>3</v>
      </c>
      <c r="CB48" s="25">
        <v>0</v>
      </c>
      <c r="CC48" s="25">
        <v>3</v>
      </c>
      <c r="CD48" s="25">
        <v>2</v>
      </c>
      <c r="CE48" s="25">
        <v>1</v>
      </c>
      <c r="CF48" s="25">
        <v>0</v>
      </c>
      <c r="CG48" s="25">
        <v>0</v>
      </c>
      <c r="CH48" s="25">
        <v>0</v>
      </c>
      <c r="CI48" s="25">
        <v>0</v>
      </c>
      <c r="CJ48" s="25">
        <v>0</v>
      </c>
      <c r="CK48" s="25">
        <v>0</v>
      </c>
      <c r="CL48" s="25">
        <v>6</v>
      </c>
      <c r="CM48" s="25">
        <v>0</v>
      </c>
      <c r="CN48" s="25">
        <v>0</v>
      </c>
      <c r="CO48" s="25">
        <v>0</v>
      </c>
      <c r="CP48" s="25">
        <v>0</v>
      </c>
      <c r="CQ48" s="25">
        <v>0</v>
      </c>
      <c r="CR48" s="25">
        <v>0</v>
      </c>
      <c r="CS48" s="25">
        <v>0</v>
      </c>
      <c r="CT48" s="25">
        <v>0</v>
      </c>
      <c r="CU48" s="25">
        <v>0</v>
      </c>
      <c r="CV48" s="25">
        <v>0</v>
      </c>
      <c r="CW48" s="25">
        <v>0</v>
      </c>
      <c r="CX48" s="25">
        <v>0</v>
      </c>
      <c r="CY48" s="25">
        <v>0</v>
      </c>
      <c r="CZ48" s="25">
        <v>0</v>
      </c>
      <c r="DA48" s="25">
        <v>0</v>
      </c>
      <c r="DB48" s="25">
        <v>0</v>
      </c>
      <c r="DC48" s="25">
        <v>0</v>
      </c>
      <c r="DD48" s="25">
        <v>0</v>
      </c>
      <c r="DE48" s="25">
        <v>0</v>
      </c>
      <c r="DF48" s="25">
        <v>0</v>
      </c>
      <c r="DG48" s="25">
        <v>0</v>
      </c>
      <c r="DH48" s="25">
        <v>0</v>
      </c>
      <c r="DI48" s="25">
        <v>0</v>
      </c>
      <c r="DJ48" s="25">
        <v>0</v>
      </c>
      <c r="DK48" s="25">
        <v>0</v>
      </c>
      <c r="DL48" s="25">
        <v>0</v>
      </c>
      <c r="DM48" s="25">
        <v>0</v>
      </c>
      <c r="DN48" s="25">
        <v>2</v>
      </c>
      <c r="DO48" s="25">
        <v>0</v>
      </c>
      <c r="DP48" s="25">
        <v>0</v>
      </c>
      <c r="DQ48" s="25">
        <v>0</v>
      </c>
      <c r="DR48" s="25">
        <v>0</v>
      </c>
      <c r="DS48" s="25">
        <v>0</v>
      </c>
      <c r="DT48" s="25">
        <v>0</v>
      </c>
      <c r="DU48" s="25">
        <v>0</v>
      </c>
      <c r="DV48" s="25">
        <v>0</v>
      </c>
      <c r="DW48" s="25">
        <v>0</v>
      </c>
      <c r="DX48" s="25">
        <v>0</v>
      </c>
      <c r="DY48" s="25">
        <v>0</v>
      </c>
      <c r="DZ48" s="25">
        <v>0</v>
      </c>
      <c r="EA48" s="25">
        <v>0</v>
      </c>
      <c r="EB48" s="25">
        <v>0</v>
      </c>
      <c r="EC48" s="25">
        <v>0</v>
      </c>
      <c r="ED48" s="25">
        <v>0</v>
      </c>
      <c r="EE48" s="25">
        <v>34</v>
      </c>
      <c r="EF48" s="25">
        <v>0</v>
      </c>
      <c r="EG48" s="25">
        <v>0</v>
      </c>
      <c r="EH48" s="25">
        <v>0</v>
      </c>
      <c r="EI48" s="25">
        <v>21</v>
      </c>
      <c r="EJ48" s="25">
        <v>0</v>
      </c>
      <c r="EK48" s="25">
        <v>4</v>
      </c>
      <c r="EL48" s="25">
        <v>0</v>
      </c>
      <c r="EM48" s="25">
        <v>0</v>
      </c>
      <c r="EN48" s="25">
        <v>0</v>
      </c>
      <c r="EO48" s="25">
        <v>13</v>
      </c>
      <c r="EP48" s="25">
        <v>0</v>
      </c>
      <c r="EQ48" s="25">
        <v>0</v>
      </c>
      <c r="ER48" s="25">
        <v>0</v>
      </c>
      <c r="ES48" s="25">
        <v>0</v>
      </c>
      <c r="ET48" s="25">
        <v>0</v>
      </c>
      <c r="EU48" s="25">
        <v>0</v>
      </c>
      <c r="EV48" s="25">
        <v>0</v>
      </c>
      <c r="EW48" s="25">
        <v>0</v>
      </c>
      <c r="EX48" s="25">
        <v>0</v>
      </c>
      <c r="EY48" s="25">
        <v>0</v>
      </c>
      <c r="EZ48" s="25">
        <v>0</v>
      </c>
      <c r="FA48" s="25">
        <v>0</v>
      </c>
      <c r="FB48" s="25">
        <v>0</v>
      </c>
      <c r="FC48" s="25">
        <v>0</v>
      </c>
      <c r="FD48" s="25">
        <v>0</v>
      </c>
      <c r="FE48" s="25">
        <v>0</v>
      </c>
      <c r="FF48" s="25">
        <v>0</v>
      </c>
      <c r="FG48" s="25">
        <v>0</v>
      </c>
      <c r="FH48" s="25">
        <v>0</v>
      </c>
      <c r="FI48" s="25">
        <v>0</v>
      </c>
      <c r="FJ48" s="25">
        <v>0</v>
      </c>
      <c r="FK48" s="25">
        <v>0</v>
      </c>
      <c r="FL48" s="25">
        <v>0</v>
      </c>
      <c r="FM48" s="25">
        <v>0</v>
      </c>
      <c r="FN48" s="25">
        <v>0</v>
      </c>
      <c r="FO48" s="25">
        <v>0</v>
      </c>
      <c r="FP48" s="25">
        <v>0</v>
      </c>
      <c r="FQ48" s="25">
        <v>0</v>
      </c>
      <c r="FR48" s="25">
        <v>0</v>
      </c>
      <c r="FS48" s="25">
        <v>0</v>
      </c>
      <c r="FT48" s="25">
        <v>0</v>
      </c>
      <c r="FU48" s="25">
        <v>0</v>
      </c>
      <c r="FV48" s="25">
        <v>0</v>
      </c>
      <c r="FW48" s="25">
        <v>0</v>
      </c>
      <c r="FX48" s="25">
        <v>0</v>
      </c>
      <c r="FY48" s="25">
        <v>0</v>
      </c>
      <c r="FZ48" s="25">
        <v>0</v>
      </c>
      <c r="GA48" s="25">
        <v>0</v>
      </c>
      <c r="GB48" s="25">
        <v>1</v>
      </c>
      <c r="GC48" s="25">
        <v>0</v>
      </c>
      <c r="GD48" s="25">
        <v>0</v>
      </c>
      <c r="GE48" s="25">
        <v>0</v>
      </c>
      <c r="GF48" s="25">
        <v>0</v>
      </c>
      <c r="GG48" s="25">
        <v>0</v>
      </c>
      <c r="GH48" s="25">
        <v>0</v>
      </c>
      <c r="GI48" s="25">
        <v>0</v>
      </c>
      <c r="GJ48" s="25">
        <v>0</v>
      </c>
      <c r="GK48" s="25">
        <v>0</v>
      </c>
      <c r="GL48" s="25">
        <v>0</v>
      </c>
      <c r="GM48" s="25">
        <v>0</v>
      </c>
      <c r="GN48" s="25">
        <v>0</v>
      </c>
      <c r="GO48" s="25">
        <v>0</v>
      </c>
      <c r="GP48" s="25">
        <v>0</v>
      </c>
      <c r="GQ48" s="25">
        <v>0</v>
      </c>
      <c r="GR48" s="25">
        <v>0</v>
      </c>
      <c r="GS48" s="25">
        <v>0</v>
      </c>
      <c r="GT48" s="25">
        <v>0</v>
      </c>
      <c r="GU48" s="25">
        <v>0</v>
      </c>
      <c r="GV48" s="25">
        <v>0</v>
      </c>
      <c r="GW48" s="25">
        <v>0</v>
      </c>
      <c r="GX48" s="25">
        <v>0</v>
      </c>
      <c r="GY48" s="46">
        <v>0</v>
      </c>
      <c r="GZ48" s="25">
        <v>0</v>
      </c>
      <c r="HA48" s="25">
        <v>1</v>
      </c>
      <c r="HB48" s="25">
        <v>0</v>
      </c>
      <c r="HC48" s="25">
        <v>0</v>
      </c>
      <c r="HD48" s="25">
        <v>0</v>
      </c>
      <c r="HE48" s="25">
        <v>0</v>
      </c>
      <c r="HF48" s="25">
        <v>0</v>
      </c>
      <c r="HG48" s="25">
        <v>0</v>
      </c>
      <c r="HH48" s="25">
        <v>0</v>
      </c>
      <c r="HI48" s="25">
        <v>0</v>
      </c>
      <c r="HJ48" s="25">
        <v>0</v>
      </c>
      <c r="HK48" s="25">
        <v>0</v>
      </c>
      <c r="HL48" s="25">
        <v>0</v>
      </c>
      <c r="HM48" s="25">
        <v>0</v>
      </c>
      <c r="HN48" s="25">
        <v>0</v>
      </c>
      <c r="HO48" s="25">
        <v>0</v>
      </c>
      <c r="HP48" s="25">
        <v>0</v>
      </c>
      <c r="HQ48" s="25">
        <v>0</v>
      </c>
      <c r="HR48" s="25">
        <v>0</v>
      </c>
      <c r="HS48" s="25">
        <v>0</v>
      </c>
      <c r="HT48" s="25">
        <v>0</v>
      </c>
      <c r="HU48" s="25">
        <v>0</v>
      </c>
      <c r="HV48" s="25">
        <v>0</v>
      </c>
      <c r="HW48" s="25">
        <v>0</v>
      </c>
      <c r="HX48" s="25">
        <v>0</v>
      </c>
      <c r="HY48" s="25">
        <v>0</v>
      </c>
      <c r="HZ48" s="25">
        <v>0</v>
      </c>
      <c r="IA48" s="25">
        <v>0</v>
      </c>
      <c r="IB48" s="25">
        <v>0</v>
      </c>
      <c r="IC48" s="25">
        <v>0</v>
      </c>
      <c r="ID48" s="25">
        <v>0</v>
      </c>
      <c r="IE48" s="25">
        <v>0</v>
      </c>
      <c r="IF48" s="25">
        <v>0</v>
      </c>
      <c r="IG48" s="25">
        <v>0</v>
      </c>
      <c r="IH48" s="25">
        <v>0</v>
      </c>
      <c r="II48" s="25">
        <v>0</v>
      </c>
      <c r="IJ48" s="25">
        <v>0</v>
      </c>
      <c r="IK48" s="25">
        <v>0</v>
      </c>
      <c r="IL48" s="25">
        <v>0</v>
      </c>
      <c r="IM48" s="25">
        <v>0</v>
      </c>
      <c r="IN48" s="25">
        <v>0</v>
      </c>
      <c r="IO48" s="25">
        <v>0</v>
      </c>
      <c r="IP48" s="25">
        <v>0</v>
      </c>
      <c r="IQ48" s="25">
        <v>0</v>
      </c>
      <c r="IR48" s="25">
        <v>0</v>
      </c>
      <c r="IS48" s="25">
        <v>0</v>
      </c>
      <c r="IT48" s="25">
        <v>0</v>
      </c>
      <c r="IU48" s="25">
        <v>0</v>
      </c>
      <c r="IV48" s="25">
        <v>0</v>
      </c>
      <c r="IW48" s="25">
        <v>0</v>
      </c>
      <c r="IX48" s="25">
        <v>0</v>
      </c>
      <c r="IY48" s="25">
        <v>0</v>
      </c>
      <c r="IZ48" s="25">
        <v>0</v>
      </c>
      <c r="JA48" s="25">
        <v>0</v>
      </c>
      <c r="JB48" s="25">
        <v>0</v>
      </c>
      <c r="JC48" s="25">
        <v>0</v>
      </c>
      <c r="JD48" s="25">
        <v>0</v>
      </c>
      <c r="JE48" s="25">
        <v>0</v>
      </c>
      <c r="JF48" s="25">
        <v>0</v>
      </c>
      <c r="JG48" s="25">
        <v>0</v>
      </c>
      <c r="JH48" s="25">
        <v>0</v>
      </c>
      <c r="JI48" s="25">
        <v>0</v>
      </c>
      <c r="JJ48" s="25">
        <v>0</v>
      </c>
      <c r="JK48" s="25">
        <v>0</v>
      </c>
      <c r="JL48" s="25">
        <v>0</v>
      </c>
      <c r="JM48" s="25">
        <v>0</v>
      </c>
      <c r="JN48" s="25">
        <v>0</v>
      </c>
      <c r="JO48" s="25">
        <v>0</v>
      </c>
      <c r="JP48" s="25">
        <v>0</v>
      </c>
      <c r="JQ48" s="25">
        <v>0</v>
      </c>
      <c r="JR48" s="25">
        <v>0</v>
      </c>
      <c r="JS48" s="25">
        <v>0</v>
      </c>
      <c r="JT48" s="25">
        <v>0</v>
      </c>
      <c r="JU48" s="25">
        <v>0</v>
      </c>
      <c r="JV48" s="25">
        <v>0</v>
      </c>
      <c r="JW48" s="25">
        <v>0</v>
      </c>
      <c r="JX48" s="25">
        <v>0</v>
      </c>
      <c r="JY48" s="25">
        <v>0</v>
      </c>
      <c r="JZ48" s="25">
        <v>0</v>
      </c>
      <c r="KA48" s="25">
        <v>0</v>
      </c>
      <c r="KB48" s="25">
        <v>0</v>
      </c>
      <c r="KC48" s="25">
        <v>0</v>
      </c>
      <c r="KD48" s="25">
        <v>0</v>
      </c>
      <c r="KE48" s="25">
        <v>0</v>
      </c>
      <c r="KF48" s="25">
        <v>0</v>
      </c>
      <c r="KG48" s="25">
        <v>0</v>
      </c>
      <c r="KH48" s="25">
        <v>0</v>
      </c>
      <c r="KI48" s="25">
        <v>0</v>
      </c>
      <c r="KJ48" s="25">
        <v>0</v>
      </c>
      <c r="KK48" s="25">
        <v>0</v>
      </c>
      <c r="KL48" s="25">
        <v>0</v>
      </c>
      <c r="KM48" s="25">
        <v>0</v>
      </c>
      <c r="KN48" s="25">
        <v>0</v>
      </c>
      <c r="KO48" s="25">
        <v>0</v>
      </c>
      <c r="KP48" s="25">
        <v>0</v>
      </c>
      <c r="KQ48" s="25">
        <v>0</v>
      </c>
      <c r="KR48" s="25">
        <v>0</v>
      </c>
      <c r="KS48" s="25">
        <v>0</v>
      </c>
      <c r="KT48" s="25">
        <v>0</v>
      </c>
      <c r="KU48" s="25">
        <v>0</v>
      </c>
      <c r="KV48" s="25">
        <v>0</v>
      </c>
      <c r="KW48" s="25">
        <v>0</v>
      </c>
      <c r="KX48" s="25">
        <v>0</v>
      </c>
      <c r="KY48" s="25">
        <v>0</v>
      </c>
      <c r="KZ48" s="25">
        <v>0</v>
      </c>
      <c r="LA48" s="25">
        <v>0</v>
      </c>
      <c r="LB48" s="25">
        <v>0</v>
      </c>
      <c r="LC48" s="25">
        <v>0</v>
      </c>
      <c r="LD48" s="25">
        <v>0</v>
      </c>
      <c r="LE48" s="25">
        <v>0</v>
      </c>
      <c r="LF48" s="25">
        <v>0</v>
      </c>
      <c r="LG48" s="25">
        <v>0</v>
      </c>
      <c r="LH48" s="25">
        <v>0</v>
      </c>
      <c r="LI48" s="25">
        <v>0</v>
      </c>
      <c r="LJ48" s="25">
        <v>0</v>
      </c>
      <c r="LK48" s="25">
        <v>0</v>
      </c>
      <c r="LL48" s="25">
        <v>0</v>
      </c>
      <c r="LM48" s="25">
        <v>0</v>
      </c>
      <c r="LN48" s="278">
        <f ca="1">$A48 - DeathsTimeS!Sweden100dt + 1</f>
        <v>-19</v>
      </c>
      <c r="LO48" s="366">
        <f ca="1">INDEX(OFFSET(DeathsTimeS!HeadRow,ROW()-ROW(DeathsTimeS!HeadRow),0,1,COLUMNS(DeathsTimeS!HeadRow)),1,MATCH(LO$5,DeathsTimeS!HeadRow,0))/LO$8</f>
        <v>0</v>
      </c>
      <c r="LP48" s="278">
        <f ca="1">$A48 - DeathsTimeS!Spain100dt</f>
        <v>-12</v>
      </c>
      <c r="LQ48" s="11">
        <f ca="1">INDEX(OFFSET(DeathsTimeS!HeadRow,ROW()-ROW(DeathsTimeS!HeadRow),0,1,COLUMNS(DeathsTimeS!HeadRow)),1,MATCH(LQ$5,DeathsTimeS!HeadRow,0))/LQ$8</f>
        <v>0</v>
      </c>
      <c r="LR48" s="278">
        <f ca="1">$A48 - DeathsTimeS!Victoria100dt</f>
        <v>-35</v>
      </c>
      <c r="LS48" s="11">
        <f ca="1">INDEX(OFFSET(DeathsTimeS!HeadRow,ROW()-ROW(DeathsTimeS!HeadRow),0,1,COLUMNS(DeathsTimeS!HeadRow)),1,MATCH(LS$5,DeathsTimeS!HeadRow,0))/LS$8</f>
        <v>0</v>
      </c>
      <c r="LT48" s="278">
        <f ca="1">$A48 - DeathsTimeS!Iran100dt</f>
        <v>-5</v>
      </c>
      <c r="LU48" s="11">
        <f ca="1">INDEX(OFFSET(DeathsTimeS!HeadRow,ROW()-ROW(DeathsTimeS!HeadRow),0,1,COLUMNS(DeathsTimeS!HeadRow)),1,MATCH(LU$5,DeathsTimeS!HeadRow,0))/LU$8</f>
        <v>4.0585868955391353</v>
      </c>
      <c r="LV48" s="278">
        <f ca="1">$A48 - DeathsTimeS!Japan100dt</f>
        <v>-46</v>
      </c>
      <c r="LW48" s="11">
        <f ca="1">INDEX(OFFSET(DeathsTimeS!HeadRow,ROW()-ROW(DeathsTimeS!HeadRow),0,1,COLUMNS(DeathsTimeS!HeadRow)),1,MATCH(LW$5,DeathsTimeS!HeadRow,0))/LW$8</f>
        <v>0.31607010317942585</v>
      </c>
      <c r="LX48" s="278">
        <f ca="1">$A48 - DeathsTimeS!Queensland100dt</f>
        <v>-50</v>
      </c>
      <c r="LY48" s="11">
        <f ca="1">INDEX(OFFSET(DeathsTimeS!HeadRow,ROW()-ROW(DeathsTimeS!HeadRow),0,1,COLUMNS(DeathsTimeS!HeadRow)),1,MATCH(LY$5,DeathsTimeS!HeadRow,0))/LY$8</f>
        <v>0</v>
      </c>
      <c r="LZ48" s="278">
        <f ca="1">$A48 - DeathsTimeS!Tasmania100dt</f>
        <v>-32</v>
      </c>
      <c r="MA48" s="11">
        <f ca="1">INDEX(OFFSET(DeathsTimeS!HeadRow,ROW()-ROW(DeathsTimeS!HeadRow),0,1,COLUMNS(DeathsTimeS!HeadRow)),1,MATCH(MA$5,DeathsTimeS!HeadRow,0))/MA$8</f>
        <v>0</v>
      </c>
      <c r="MB48" s="278">
        <f ca="1">$A48 - DeathsTimeS!SouthAustralia100dt</f>
        <v>-40</v>
      </c>
      <c r="MC48" s="11">
        <f ca="1">INDEX(OFFSET(DeathsTimeS!HeadRow,ROW()-ROW(DeathsTimeS!HeadRow),0,1,COLUMNS(DeathsTimeS!HeadRow)),1,MATCH(MC$5,DeathsTimeS!HeadRow,0))/MC$8</f>
        <v>0</v>
      </c>
      <c r="MD48" s="278">
        <f ca="1">$A48 - DeathsTimeS!WesternAustralia100dt</f>
        <v>-37</v>
      </c>
      <c r="ME48" s="11">
        <f ca="1">INDEX(OFFSET(DeathsTimeS!HeadRow,ROW()-ROW(DeathsTimeS!HeadRow),0,1,COLUMNS(DeathsTimeS!HeadRow)),1,MATCH(ME$5,DeathsTimeS!HeadRow,0))/ME$8</f>
        <v>0</v>
      </c>
      <c r="MF48" s="278">
        <f ca="1">$A48 - DeathsTimeS!NewSouthWales100dt</f>
        <v>-33</v>
      </c>
      <c r="MG48" s="11">
        <f ca="1">INDEX(OFFSET(DeathsTimeS!HeadRow,ROW()-ROW(DeathsTimeS!HeadRow),0,1,COLUMNS(DeathsTimeS!HeadRow)),1,MATCH(MG$5,DeathsTimeS!HeadRow,0))/MG$8</f>
        <v>0</v>
      </c>
      <c r="MH48" s="278">
        <f ca="1">$A48 - DeathsTimeS!NewYork100dt</f>
        <v>-17</v>
      </c>
      <c r="MI48" s="11">
        <f ca="1">INDEX(OFFSET(DeathsTimeS!HeadRow,ROW()-ROW(DeathsTimeS!HeadRow),0,1,COLUMNS(DeathsTimeS!HeadRow)),1,MATCH(MI$5,DeathsTimeS!HeadRow,0))/MI$8</f>
        <v>0</v>
      </c>
      <c r="MJ48" s="278">
        <f ca="1">$A48 - DeathsTimeS!Italy100dt</f>
        <v>-4</v>
      </c>
      <c r="MK48" s="20">
        <f ca="1">INDEX(OFFSET(DeathsTimeS!HeadRow,ROW()-ROW(DeathsTimeS!HeadRow),0,1,COLUMNS(DeathsTimeS!HeadRow)),1,MATCH(MK$5,DeathsTimeS!HeadRow,0))/MK$8</f>
        <v>3.47193519054311</v>
      </c>
      <c r="ML48" s="278">
        <f ca="1">$A48 - DeathsTimeS!AustralianCapitalTerritory100dt</f>
        <v>-31</v>
      </c>
      <c r="MM48" s="11">
        <f ca="1">INDEX(OFFSET(DeathsTimeS!HeadRow,ROW()-ROW(DeathsTimeS!HeadRow),0,1,COLUMNS(DeathsTimeS!HeadRow)),1,MATCH(MM$5,DeathsTimeS!HeadRow,0))/MM$8</f>
        <v>0</v>
      </c>
      <c r="MN48" s="278">
        <f ca="1">IF(DeathsTimeS!NorthernTerritory100dt&gt;0,$A48 - DeathsTimeS!NorthernTerritory100dt,"")</f>
        <v>-59</v>
      </c>
      <c r="MO48" s="11">
        <f ca="1">INDEX(OFFSET(DeathsTimeS!HeadRow,ROW()-ROW(DeathsTimeS!HeadRow),0,1,COLUMNS(DeathsTimeS!HeadRow)),1,MATCH(MO$5,DeathsTimeS!HeadRow,0))/MO$8</f>
        <v>0</v>
      </c>
      <c r="MP48" s="278">
        <f ca="1">$A48 - DeathsTimeS!SouthAfrica100dt + 1</f>
        <v>-51</v>
      </c>
      <c r="MQ48" s="20">
        <f ca="1">INDEX(OFFSET(DeathsTimeS!HeadRow,ROW()-ROW(DeathsTimeS!HeadRow),0,1,COLUMNS(DeathsTimeS!HeadRow)),1,MATCH(MQ$5,DeathsTimeS!HeadRow,0))/MQ$8</f>
        <v>0</v>
      </c>
      <c r="MR48" s="278">
        <f ca="1">$A48 - DeathsTimeS!Germany100dt + 1</f>
        <v>-21</v>
      </c>
      <c r="MS48" s="20">
        <f ca="1">INDEX(OFFSET(DeathsTimeS!HeadRow,ROW()-ROW(DeathsTimeS!HeadRow),0,1,COLUMNS(DeathsTimeS!HeadRow)),1,MATCH(MS$5,DeathsTimeS!HeadRow,0))/MS$8</f>
        <v>0</v>
      </c>
      <c r="MT48" s="278">
        <f ca="1">$A48 - DeathsTimeS!Ireland100dt + 1</f>
        <v>-23</v>
      </c>
      <c r="MU48" s="73">
        <f ca="1">INDEX(OFFSET(DeathsTimeS!HeadRow,ROW()-ROW(DeathsTimeS!HeadRow),0,1,COLUMNS(DeathsTimeS!HeadRow)),1,MATCH(MU$5,DeathsTimeS!HeadRow,0))/MU$8</f>
        <v>0</v>
      </c>
      <c r="MV48" s="278">
        <f ca="1">$A48 - DeathsTimeS!UnitedKingdom100dt + 1</f>
        <v>-17</v>
      </c>
      <c r="MW48" s="73">
        <f ca="1">INDEX(OFFSET(DeathsTimeS!HeadRow,ROW()-ROW(DeathsTimeS!HeadRow),0,1,COLUMNS(DeathsTimeS!HeadRow)),1,MATCH(MW$5,DeathsTimeS!HeadRow,0))/MW$8</f>
        <v>0</v>
      </c>
      <c r="MX48" s="278">
        <f ca="1">$A48 - DeathsTimeS!Denmark100dt + 1</f>
        <v>-19</v>
      </c>
      <c r="MY48" s="73">
        <f ca="1">INDEX(OFFSET(DeathsTimeS!HeadRow,ROW()-ROW(DeathsTimeS!HeadRow),0,1,COLUMNS(DeathsTimeS!HeadRow)),1,MATCH(MY$5,DeathsTimeS!HeadRow,0))/MY$8</f>
        <v>0</v>
      </c>
      <c r="MZ48" s="278">
        <f ca="1">$A48 - DeathsTimeS!US100dt + 1</f>
        <v>-20</v>
      </c>
      <c r="NA48" s="73">
        <f ca="1">INDEX(OFFSET(DeathsTimeS!HeadRow,ROW()-ROW(DeathsTimeS!HeadRow),0,1,COLUMNS(DeathsTimeS!HeadRow)),1,MATCH(NA$5,DeathsTimeS!HeadRow,0))/NA$8</f>
        <v>0</v>
      </c>
      <c r="NB48" s="278">
        <f ca="1">$A48 - DeathsTimeS!AustraliaSum100dt + 1</f>
        <v>-26</v>
      </c>
      <c r="NC48" s="366">
        <f t="shared" si="6"/>
        <v>0</v>
      </c>
      <c r="ND48" s="278">
        <f ca="1">$A48 - DeathsTimeS!Taiwan100dt + 1</f>
        <v>-58</v>
      </c>
      <c r="NE48" s="366">
        <f ca="1">INDEX(OFFSET(DeathsTimeS!HeadRow,ROW()-ROW(DeathsTimeS!HeadRow),0,1,COLUMNS(DeathsTimeS!HeadRow)),1,MATCH(NE$5,DeathsTimeS!HeadRow,0))/NE$8</f>
        <v>0.4200395492437986</v>
      </c>
      <c r="NF48" s="278">
        <f ca="1">$A48 - DeathsTimeS!Hubei100dt + 1</f>
        <v>33</v>
      </c>
      <c r="NG48" s="366">
        <f ca="1">INDEX(OFFSET(DeathsTimeS!HeadRow,ROW()-ROW(DeathsTimeS!HeadRow),0,1,COLUMNS(DeathsTimeS!HeadRow)),1,MATCH(NG$5,DeathsTimeS!HeadRow,0))/NG$8</f>
        <v>458.46153846153851</v>
      </c>
      <c r="NH48" s="278">
        <f ca="1">$A48 - DeathsTimeS!HongKong100dt + 1</f>
        <v>-58</v>
      </c>
      <c r="NI48" s="366">
        <f ca="1">INDEX(OFFSET(DeathsTimeS!HeadRow,ROW()-ROW(DeathsTimeS!HeadRow),0,1,COLUMNS(DeathsTimeS!HeadRow)),1,MATCH(NI$5,DeathsTimeS!HeadRow,0))/NI$8</f>
        <v>2.6842034626224667</v>
      </c>
    </row>
    <row r="49" spans="1:373" x14ac:dyDescent="0.25">
      <c r="A49" s="156">
        <v>43890</v>
      </c>
      <c r="B49" s="25">
        <v>0</v>
      </c>
      <c r="C49" s="25">
        <v>0</v>
      </c>
      <c r="D49" s="25">
        <v>0</v>
      </c>
      <c r="E49" s="25">
        <v>0</v>
      </c>
      <c r="F49" s="25">
        <v>0</v>
      </c>
      <c r="G49" s="25">
        <v>0</v>
      </c>
      <c r="H49" s="25">
        <v>0</v>
      </c>
      <c r="I49" s="25">
        <v>0</v>
      </c>
      <c r="J49" s="25">
        <v>0</v>
      </c>
      <c r="K49" s="25">
        <v>0</v>
      </c>
      <c r="L49" s="25">
        <v>0</v>
      </c>
      <c r="M49" s="25">
        <v>0</v>
      </c>
      <c r="N49" s="25">
        <v>0</v>
      </c>
      <c r="O49" s="25">
        <v>0</v>
      </c>
      <c r="P49" s="25">
        <v>0</v>
      </c>
      <c r="Q49" s="25">
        <v>0</v>
      </c>
      <c r="R49" s="25">
        <v>0</v>
      </c>
      <c r="S49" s="25">
        <v>0</v>
      </c>
      <c r="T49" s="25">
        <v>0</v>
      </c>
      <c r="U49" s="25">
        <v>0</v>
      </c>
      <c r="V49" s="25">
        <v>0</v>
      </c>
      <c r="W49" s="25">
        <v>0</v>
      </c>
      <c r="X49" s="25">
        <v>0</v>
      </c>
      <c r="Y49" s="25">
        <v>0</v>
      </c>
      <c r="Z49" s="25">
        <v>0</v>
      </c>
      <c r="AA49" s="25">
        <v>0</v>
      </c>
      <c r="AB49" s="25">
        <v>0</v>
      </c>
      <c r="AC49" s="25">
        <v>0</v>
      </c>
      <c r="AD49" s="25">
        <v>0</v>
      </c>
      <c r="AE49" s="25">
        <v>0</v>
      </c>
      <c r="AF49" s="25">
        <v>0</v>
      </c>
      <c r="AG49" s="25">
        <v>0</v>
      </c>
      <c r="AH49" s="25">
        <v>0</v>
      </c>
      <c r="AI49" s="25">
        <v>0</v>
      </c>
      <c r="AJ49" s="25">
        <v>0</v>
      </c>
      <c r="AK49" s="25">
        <v>0</v>
      </c>
      <c r="AL49" s="25">
        <v>0</v>
      </c>
      <c r="AM49" s="25">
        <v>0</v>
      </c>
      <c r="AN49" s="25">
        <v>0</v>
      </c>
      <c r="AO49" s="25">
        <v>0</v>
      </c>
      <c r="AP49" s="25">
        <v>0</v>
      </c>
      <c r="AQ49" s="25">
        <v>0</v>
      </c>
      <c r="AR49" s="25">
        <v>0</v>
      </c>
      <c r="AS49" s="25">
        <v>0</v>
      </c>
      <c r="AT49" s="25">
        <v>0</v>
      </c>
      <c r="AU49" s="25">
        <v>0</v>
      </c>
      <c r="AV49" s="25">
        <v>0</v>
      </c>
      <c r="AW49" s="25">
        <v>0</v>
      </c>
      <c r="AX49" s="25">
        <v>0</v>
      </c>
      <c r="AY49" s="25">
        <v>6</v>
      </c>
      <c r="AZ49" s="25">
        <v>8</v>
      </c>
      <c r="BA49" s="25">
        <v>6</v>
      </c>
      <c r="BB49" s="25">
        <v>1</v>
      </c>
      <c r="BC49" s="25">
        <v>2</v>
      </c>
      <c r="BD49" s="25">
        <v>7</v>
      </c>
      <c r="BE49" s="25">
        <v>2</v>
      </c>
      <c r="BF49" s="25">
        <v>2</v>
      </c>
      <c r="BG49" s="25">
        <v>5</v>
      </c>
      <c r="BH49" s="25">
        <v>6</v>
      </c>
      <c r="BI49" s="25">
        <v>13</v>
      </c>
      <c r="BJ49" s="25">
        <v>21</v>
      </c>
      <c r="BK49" s="25">
        <v>2</v>
      </c>
      <c r="BL49" s="25">
        <v>2727</v>
      </c>
      <c r="BM49" s="25">
        <v>4</v>
      </c>
      <c r="BN49" s="25">
        <v>0</v>
      </c>
      <c r="BO49" s="25">
        <v>0</v>
      </c>
      <c r="BP49" s="25">
        <v>1</v>
      </c>
      <c r="BQ49" s="25">
        <v>1</v>
      </c>
      <c r="BR49" s="25">
        <v>1</v>
      </c>
      <c r="BS49" s="25">
        <v>0</v>
      </c>
      <c r="BT49" s="25">
        <v>0</v>
      </c>
      <c r="BU49" s="25">
        <v>0</v>
      </c>
      <c r="BV49" s="25">
        <v>1</v>
      </c>
      <c r="BW49" s="25">
        <v>6</v>
      </c>
      <c r="BX49" s="25">
        <v>3</v>
      </c>
      <c r="BY49" s="25">
        <v>0</v>
      </c>
      <c r="BZ49" s="25">
        <v>3</v>
      </c>
      <c r="CA49" s="25">
        <v>3</v>
      </c>
      <c r="CB49" s="25">
        <v>0</v>
      </c>
      <c r="CC49" s="25">
        <v>3</v>
      </c>
      <c r="CD49" s="25">
        <v>2</v>
      </c>
      <c r="CE49" s="25">
        <v>1</v>
      </c>
      <c r="CF49" s="25">
        <v>0</v>
      </c>
      <c r="CG49" s="25">
        <v>0</v>
      </c>
      <c r="CH49" s="25">
        <v>0</v>
      </c>
      <c r="CI49" s="25">
        <v>0</v>
      </c>
      <c r="CJ49" s="25">
        <v>0</v>
      </c>
      <c r="CK49" s="25">
        <v>0</v>
      </c>
      <c r="CL49" s="25">
        <v>6</v>
      </c>
      <c r="CM49" s="25">
        <v>0</v>
      </c>
      <c r="CN49" s="25">
        <v>0</v>
      </c>
      <c r="CO49" s="25">
        <v>0</v>
      </c>
      <c r="CP49" s="25">
        <v>0</v>
      </c>
      <c r="CQ49" s="25">
        <v>0</v>
      </c>
      <c r="CR49" s="25">
        <v>0</v>
      </c>
      <c r="CS49" s="25">
        <v>0</v>
      </c>
      <c r="CT49" s="25">
        <v>0</v>
      </c>
      <c r="CU49" s="25">
        <v>0</v>
      </c>
      <c r="CV49" s="25">
        <v>0</v>
      </c>
      <c r="CW49" s="25">
        <v>0</v>
      </c>
      <c r="CX49" s="25">
        <v>0</v>
      </c>
      <c r="CY49" s="25">
        <v>0</v>
      </c>
      <c r="CZ49" s="25">
        <v>0</v>
      </c>
      <c r="DA49" s="25">
        <v>0</v>
      </c>
      <c r="DB49" s="25">
        <v>0</v>
      </c>
      <c r="DC49" s="25">
        <v>0</v>
      </c>
      <c r="DD49" s="25">
        <v>0</v>
      </c>
      <c r="DE49" s="25">
        <v>0</v>
      </c>
      <c r="DF49" s="25">
        <v>0</v>
      </c>
      <c r="DG49" s="25">
        <v>0</v>
      </c>
      <c r="DH49" s="25">
        <v>0</v>
      </c>
      <c r="DI49" s="25">
        <v>0</v>
      </c>
      <c r="DJ49" s="25">
        <v>0</v>
      </c>
      <c r="DK49" s="25">
        <v>0</v>
      </c>
      <c r="DL49" s="25">
        <v>0</v>
      </c>
      <c r="DM49" s="25">
        <v>0</v>
      </c>
      <c r="DN49" s="25">
        <v>2</v>
      </c>
      <c r="DO49" s="25">
        <v>0</v>
      </c>
      <c r="DP49" s="25">
        <v>0</v>
      </c>
      <c r="DQ49" s="25">
        <v>0</v>
      </c>
      <c r="DR49" s="25">
        <v>0</v>
      </c>
      <c r="DS49" s="25">
        <v>0</v>
      </c>
      <c r="DT49" s="25">
        <v>0</v>
      </c>
      <c r="DU49" s="25">
        <v>0</v>
      </c>
      <c r="DV49" s="25">
        <v>0</v>
      </c>
      <c r="DW49" s="25">
        <v>0</v>
      </c>
      <c r="DX49" s="25">
        <v>0</v>
      </c>
      <c r="DY49" s="25">
        <v>0</v>
      </c>
      <c r="DZ49" s="25">
        <v>0</v>
      </c>
      <c r="EA49" s="25">
        <v>0</v>
      </c>
      <c r="EB49" s="25">
        <v>0</v>
      </c>
      <c r="EC49" s="25">
        <v>0</v>
      </c>
      <c r="ED49" s="25">
        <v>0</v>
      </c>
      <c r="EE49" s="25">
        <v>43</v>
      </c>
      <c r="EF49" s="25">
        <v>0</v>
      </c>
      <c r="EG49" s="25">
        <v>0</v>
      </c>
      <c r="EH49" s="25">
        <v>0</v>
      </c>
      <c r="EI49" s="25">
        <v>29</v>
      </c>
      <c r="EJ49" s="25">
        <v>0</v>
      </c>
      <c r="EK49" s="25">
        <v>5</v>
      </c>
      <c r="EL49" s="25">
        <v>0</v>
      </c>
      <c r="EM49" s="25">
        <v>0</v>
      </c>
      <c r="EN49" s="25">
        <v>0</v>
      </c>
      <c r="EO49" s="25">
        <v>16</v>
      </c>
      <c r="EP49" s="25">
        <v>0</v>
      </c>
      <c r="EQ49" s="25">
        <v>0</v>
      </c>
      <c r="ER49" s="25">
        <v>0</v>
      </c>
      <c r="ES49" s="25">
        <v>0</v>
      </c>
      <c r="ET49" s="25">
        <v>0</v>
      </c>
      <c r="EU49" s="25">
        <v>0</v>
      </c>
      <c r="EV49" s="25">
        <v>0</v>
      </c>
      <c r="EW49" s="25">
        <v>0</v>
      </c>
      <c r="EX49" s="25">
        <v>0</v>
      </c>
      <c r="EY49" s="25">
        <v>0</v>
      </c>
      <c r="EZ49" s="25">
        <v>0</v>
      </c>
      <c r="FA49" s="25">
        <v>0</v>
      </c>
      <c r="FB49" s="25">
        <v>0</v>
      </c>
      <c r="FC49" s="25">
        <v>0</v>
      </c>
      <c r="FD49" s="25">
        <v>0</v>
      </c>
      <c r="FE49" s="25">
        <v>0</v>
      </c>
      <c r="FF49" s="25">
        <v>0</v>
      </c>
      <c r="FG49" s="25">
        <v>0</v>
      </c>
      <c r="FH49" s="25">
        <v>0</v>
      </c>
      <c r="FI49" s="25">
        <v>0</v>
      </c>
      <c r="FJ49" s="25">
        <v>0</v>
      </c>
      <c r="FK49" s="25">
        <v>0</v>
      </c>
      <c r="FL49" s="25">
        <v>0</v>
      </c>
      <c r="FM49" s="25">
        <v>0</v>
      </c>
      <c r="FN49" s="25">
        <v>0</v>
      </c>
      <c r="FO49" s="25">
        <v>0</v>
      </c>
      <c r="FP49" s="25">
        <v>0</v>
      </c>
      <c r="FQ49" s="25">
        <v>0</v>
      </c>
      <c r="FR49" s="25">
        <v>0</v>
      </c>
      <c r="FS49" s="25">
        <v>0</v>
      </c>
      <c r="FT49" s="25">
        <v>0</v>
      </c>
      <c r="FU49" s="25">
        <v>0</v>
      </c>
      <c r="FV49" s="25">
        <v>0</v>
      </c>
      <c r="FW49" s="25">
        <v>0</v>
      </c>
      <c r="FX49" s="25">
        <v>0</v>
      </c>
      <c r="FY49" s="25">
        <v>0</v>
      </c>
      <c r="FZ49" s="25">
        <v>0</v>
      </c>
      <c r="GA49" s="25">
        <v>0</v>
      </c>
      <c r="GB49" s="25">
        <v>1</v>
      </c>
      <c r="GC49" s="25">
        <v>0</v>
      </c>
      <c r="GD49" s="25">
        <v>0</v>
      </c>
      <c r="GE49" s="25">
        <v>0</v>
      </c>
      <c r="GF49" s="25">
        <v>0</v>
      </c>
      <c r="GG49" s="25">
        <v>0</v>
      </c>
      <c r="GH49" s="25">
        <v>0</v>
      </c>
      <c r="GI49" s="25">
        <v>0</v>
      </c>
      <c r="GJ49" s="25">
        <v>0</v>
      </c>
      <c r="GK49" s="25">
        <v>0</v>
      </c>
      <c r="GL49" s="25">
        <v>0</v>
      </c>
      <c r="GM49" s="25">
        <v>0</v>
      </c>
      <c r="GN49" s="25">
        <v>0</v>
      </c>
      <c r="GO49" s="25">
        <v>0</v>
      </c>
      <c r="GP49" s="25">
        <v>0</v>
      </c>
      <c r="GQ49" s="25">
        <v>0</v>
      </c>
      <c r="GR49" s="25">
        <v>0</v>
      </c>
      <c r="GS49" s="25">
        <v>0</v>
      </c>
      <c r="GT49" s="25">
        <v>0</v>
      </c>
      <c r="GU49" s="25">
        <v>0</v>
      </c>
      <c r="GV49" s="25">
        <v>0</v>
      </c>
      <c r="GW49" s="25">
        <v>0</v>
      </c>
      <c r="GX49" s="25">
        <v>0</v>
      </c>
      <c r="GY49" s="46">
        <v>0</v>
      </c>
      <c r="GZ49" s="25">
        <v>0</v>
      </c>
      <c r="HA49" s="25">
        <v>1</v>
      </c>
      <c r="HB49" s="25">
        <v>0</v>
      </c>
      <c r="HC49" s="25">
        <v>0</v>
      </c>
      <c r="HD49" s="25">
        <v>0</v>
      </c>
      <c r="HE49" s="25">
        <v>0</v>
      </c>
      <c r="HF49" s="25">
        <v>0</v>
      </c>
      <c r="HG49" s="25">
        <v>0</v>
      </c>
      <c r="HH49" s="25">
        <v>0</v>
      </c>
      <c r="HI49" s="25">
        <v>0</v>
      </c>
      <c r="HJ49" s="25">
        <v>0</v>
      </c>
      <c r="HK49" s="25">
        <v>0</v>
      </c>
      <c r="HL49" s="25">
        <v>0</v>
      </c>
      <c r="HM49" s="25">
        <v>0</v>
      </c>
      <c r="HN49" s="25">
        <v>0</v>
      </c>
      <c r="HO49" s="25">
        <v>0</v>
      </c>
      <c r="HP49" s="25">
        <v>0</v>
      </c>
      <c r="HQ49" s="25">
        <v>0</v>
      </c>
      <c r="HR49" s="25">
        <v>0</v>
      </c>
      <c r="HS49" s="25">
        <v>1</v>
      </c>
      <c r="HT49" s="25">
        <v>0</v>
      </c>
      <c r="HU49" s="25">
        <v>0</v>
      </c>
      <c r="HV49" s="25">
        <v>0</v>
      </c>
      <c r="HW49" s="25">
        <v>0</v>
      </c>
      <c r="HX49" s="25">
        <v>0</v>
      </c>
      <c r="HY49" s="25">
        <v>0</v>
      </c>
      <c r="HZ49" s="25">
        <v>0</v>
      </c>
      <c r="IA49" s="25">
        <v>0</v>
      </c>
      <c r="IB49" s="25">
        <v>0</v>
      </c>
      <c r="IC49" s="25">
        <v>0</v>
      </c>
      <c r="ID49" s="25">
        <v>0</v>
      </c>
      <c r="IE49" s="25">
        <v>0</v>
      </c>
      <c r="IF49" s="25">
        <v>0</v>
      </c>
      <c r="IG49" s="25">
        <v>0</v>
      </c>
      <c r="IH49" s="25">
        <v>0</v>
      </c>
      <c r="II49" s="25">
        <v>0</v>
      </c>
      <c r="IJ49" s="25">
        <v>0</v>
      </c>
      <c r="IK49" s="25">
        <v>0</v>
      </c>
      <c r="IL49" s="25">
        <v>0</v>
      </c>
      <c r="IM49" s="25">
        <v>0</v>
      </c>
      <c r="IN49" s="25">
        <v>0</v>
      </c>
      <c r="IO49" s="25">
        <v>0</v>
      </c>
      <c r="IP49" s="25">
        <v>0</v>
      </c>
      <c r="IQ49" s="25">
        <v>0</v>
      </c>
      <c r="IR49" s="25">
        <v>0</v>
      </c>
      <c r="IS49" s="25">
        <v>0</v>
      </c>
      <c r="IT49" s="25">
        <v>0</v>
      </c>
      <c r="IU49" s="25">
        <v>0</v>
      </c>
      <c r="IV49" s="25">
        <v>0</v>
      </c>
      <c r="IW49" s="25">
        <v>0</v>
      </c>
      <c r="IX49" s="25">
        <v>0</v>
      </c>
      <c r="IY49" s="25">
        <v>0</v>
      </c>
      <c r="IZ49" s="25">
        <v>0</v>
      </c>
      <c r="JA49" s="25">
        <v>0</v>
      </c>
      <c r="JB49" s="25">
        <v>0</v>
      </c>
      <c r="JC49" s="25">
        <v>0</v>
      </c>
      <c r="JD49" s="25">
        <v>0</v>
      </c>
      <c r="JE49" s="25">
        <v>0</v>
      </c>
      <c r="JF49" s="25">
        <v>0</v>
      </c>
      <c r="JG49" s="25">
        <v>0</v>
      </c>
      <c r="JH49" s="25">
        <v>0</v>
      </c>
      <c r="JI49" s="25">
        <v>0</v>
      </c>
      <c r="JJ49" s="25">
        <v>0</v>
      </c>
      <c r="JK49" s="25">
        <v>0</v>
      </c>
      <c r="JL49" s="25">
        <v>0</v>
      </c>
      <c r="JM49" s="25">
        <v>0</v>
      </c>
      <c r="JN49" s="25">
        <v>0</v>
      </c>
      <c r="JO49" s="25">
        <v>0</v>
      </c>
      <c r="JP49" s="25">
        <v>0</v>
      </c>
      <c r="JQ49" s="25">
        <v>0</v>
      </c>
      <c r="JR49" s="25">
        <v>0</v>
      </c>
      <c r="JS49" s="25">
        <v>0</v>
      </c>
      <c r="JT49" s="25">
        <v>0</v>
      </c>
      <c r="JU49" s="25">
        <v>0</v>
      </c>
      <c r="JV49" s="25">
        <v>0</v>
      </c>
      <c r="JW49" s="25">
        <v>0</v>
      </c>
      <c r="JX49" s="25">
        <v>0</v>
      </c>
      <c r="JY49" s="25">
        <v>0</v>
      </c>
      <c r="JZ49" s="25">
        <v>0</v>
      </c>
      <c r="KA49" s="25">
        <v>0</v>
      </c>
      <c r="KB49" s="25">
        <v>0</v>
      </c>
      <c r="KC49" s="25">
        <v>0</v>
      </c>
      <c r="KD49" s="25">
        <v>0</v>
      </c>
      <c r="KE49" s="25">
        <v>0</v>
      </c>
      <c r="KF49" s="25">
        <v>0</v>
      </c>
      <c r="KG49" s="25">
        <v>0</v>
      </c>
      <c r="KH49" s="25">
        <v>0</v>
      </c>
      <c r="KI49" s="25">
        <v>0</v>
      </c>
      <c r="KJ49" s="25">
        <v>0</v>
      </c>
      <c r="KK49" s="25">
        <v>0</v>
      </c>
      <c r="KL49" s="25">
        <v>0</v>
      </c>
      <c r="KM49" s="25">
        <v>0</v>
      </c>
      <c r="KN49" s="25">
        <v>0</v>
      </c>
      <c r="KO49" s="25">
        <v>0</v>
      </c>
      <c r="KP49" s="25">
        <v>0</v>
      </c>
      <c r="KQ49" s="25">
        <v>0</v>
      </c>
      <c r="KR49" s="25">
        <v>0</v>
      </c>
      <c r="KS49" s="25">
        <v>0</v>
      </c>
      <c r="KT49" s="25">
        <v>0</v>
      </c>
      <c r="KU49" s="25">
        <v>0</v>
      </c>
      <c r="KV49" s="25">
        <v>0</v>
      </c>
      <c r="KW49" s="25">
        <v>0</v>
      </c>
      <c r="KX49" s="25">
        <v>0</v>
      </c>
      <c r="KY49" s="25">
        <v>0</v>
      </c>
      <c r="KZ49" s="25">
        <v>0</v>
      </c>
      <c r="LA49" s="25">
        <v>0</v>
      </c>
      <c r="LB49" s="25">
        <v>0</v>
      </c>
      <c r="LC49" s="25">
        <v>0</v>
      </c>
      <c r="LD49" s="25">
        <v>0</v>
      </c>
      <c r="LE49" s="25">
        <v>0</v>
      </c>
      <c r="LF49" s="25">
        <v>0</v>
      </c>
      <c r="LG49" s="25">
        <v>0</v>
      </c>
      <c r="LH49" s="25">
        <v>1</v>
      </c>
      <c r="LI49" s="25">
        <v>0</v>
      </c>
      <c r="LJ49" s="25">
        <v>0</v>
      </c>
      <c r="LK49" s="25">
        <v>0</v>
      </c>
      <c r="LL49" s="25">
        <v>0</v>
      </c>
      <c r="LM49" s="25">
        <v>0</v>
      </c>
      <c r="LN49" s="278">
        <f ca="1">$A49 - DeathsTimeS!Sweden100dt + 1</f>
        <v>-18</v>
      </c>
      <c r="LO49" s="366">
        <f ca="1">INDEX(OFFSET(DeathsTimeS!HeadRow,ROW()-ROW(DeathsTimeS!HeadRow),0,1,COLUMNS(DeathsTimeS!HeadRow)),1,MATCH(LO$5,DeathsTimeS!HeadRow,0))/LO$8</f>
        <v>0</v>
      </c>
      <c r="LP49" s="278">
        <f ca="1">$A49 - DeathsTimeS!Spain100dt</f>
        <v>-11</v>
      </c>
      <c r="LQ49" s="11">
        <f ca="1">INDEX(OFFSET(DeathsTimeS!HeadRow,ROW()-ROW(DeathsTimeS!HeadRow),0,1,COLUMNS(DeathsTimeS!HeadRow)),1,MATCH(LQ$5,DeathsTimeS!HeadRow,0))/LQ$8</f>
        <v>0</v>
      </c>
      <c r="LR49" s="278">
        <f ca="1">$A49 - DeathsTimeS!Victoria100dt</f>
        <v>-34</v>
      </c>
      <c r="LS49" s="11">
        <f ca="1">INDEX(OFFSET(DeathsTimeS!HeadRow,ROW()-ROW(DeathsTimeS!HeadRow),0,1,COLUMNS(DeathsTimeS!HeadRow)),1,MATCH(LS$5,DeathsTimeS!HeadRow,0))/LS$8</f>
        <v>0</v>
      </c>
      <c r="LT49" s="278">
        <f ca="1">$A49 - DeathsTimeS!Iran100dt</f>
        <v>-4</v>
      </c>
      <c r="LU49" s="11">
        <f ca="1">INDEX(OFFSET(DeathsTimeS!HeadRow,ROW()-ROW(DeathsTimeS!HeadRow),0,1,COLUMNS(DeathsTimeS!HeadRow)),1,MATCH(LU$5,DeathsTimeS!HeadRow,0))/LU$8</f>
        <v>5.1329187208289069</v>
      </c>
      <c r="LV49" s="278">
        <f ca="1">$A49 - DeathsTimeS!Japan100dt</f>
        <v>-45</v>
      </c>
      <c r="LW49" s="11">
        <f ca="1">INDEX(OFFSET(DeathsTimeS!HeadRow,ROW()-ROW(DeathsTimeS!HeadRow),0,1,COLUMNS(DeathsTimeS!HeadRow)),1,MATCH(LW$5,DeathsTimeS!HeadRow,0))/LW$8</f>
        <v>0.39508762897428229</v>
      </c>
      <c r="LX49" s="278">
        <f ca="1">$A49 - DeathsTimeS!Queensland100dt</f>
        <v>-49</v>
      </c>
      <c r="LY49" s="11">
        <f ca="1">INDEX(OFFSET(DeathsTimeS!HeadRow,ROW()-ROW(DeathsTimeS!HeadRow),0,1,COLUMNS(DeathsTimeS!HeadRow)),1,MATCH(LY$5,DeathsTimeS!HeadRow,0))/LY$8</f>
        <v>0</v>
      </c>
      <c r="LZ49" s="278">
        <f ca="1">$A49 - DeathsTimeS!Tasmania100dt</f>
        <v>-31</v>
      </c>
      <c r="MA49" s="11">
        <f ca="1">INDEX(OFFSET(DeathsTimeS!HeadRow,ROW()-ROW(DeathsTimeS!HeadRow),0,1,COLUMNS(DeathsTimeS!HeadRow)),1,MATCH(MA$5,DeathsTimeS!HeadRow,0))/MA$8</f>
        <v>0</v>
      </c>
      <c r="MB49" s="278">
        <f ca="1">$A49 - DeathsTimeS!SouthAustralia100dt</f>
        <v>-39</v>
      </c>
      <c r="MC49" s="11">
        <f ca="1">INDEX(OFFSET(DeathsTimeS!HeadRow,ROW()-ROW(DeathsTimeS!HeadRow),0,1,COLUMNS(DeathsTimeS!HeadRow)),1,MATCH(MC$5,DeathsTimeS!HeadRow,0))/MC$8</f>
        <v>0</v>
      </c>
      <c r="MD49" s="278">
        <f ca="1">$A49 - DeathsTimeS!WesternAustralia100dt</f>
        <v>-36</v>
      </c>
      <c r="ME49" s="11">
        <f ca="1">INDEX(OFFSET(DeathsTimeS!HeadRow,ROW()-ROW(DeathsTimeS!HeadRow),0,1,COLUMNS(DeathsTimeS!HeadRow)),1,MATCH(ME$5,DeathsTimeS!HeadRow,0))/ME$8</f>
        <v>0</v>
      </c>
      <c r="MF49" s="278">
        <f ca="1">$A49 - DeathsTimeS!NewSouthWales100dt</f>
        <v>-32</v>
      </c>
      <c r="MG49" s="11">
        <f ca="1">INDEX(OFFSET(DeathsTimeS!HeadRow,ROW()-ROW(DeathsTimeS!HeadRow),0,1,COLUMNS(DeathsTimeS!HeadRow)),1,MATCH(MG$5,DeathsTimeS!HeadRow,0))/MG$8</f>
        <v>0</v>
      </c>
      <c r="MH49" s="278">
        <f ca="1">$A49 - DeathsTimeS!NewYork100dt</f>
        <v>-16</v>
      </c>
      <c r="MI49" s="11">
        <f ca="1">INDEX(OFFSET(DeathsTimeS!HeadRow,ROW()-ROW(DeathsTimeS!HeadRow),0,1,COLUMNS(DeathsTimeS!HeadRow)),1,MATCH(MI$5,DeathsTimeS!HeadRow,0))/MI$8</f>
        <v>0</v>
      </c>
      <c r="MJ49" s="278">
        <f ca="1">$A49 - DeathsTimeS!Italy100dt</f>
        <v>-3</v>
      </c>
      <c r="MK49" s="20">
        <f ca="1">INDEX(OFFSET(DeathsTimeS!HeadRow,ROW()-ROW(DeathsTimeS!HeadRow),0,1,COLUMNS(DeathsTimeS!HeadRow)),1,MATCH(MK$5,DeathsTimeS!HeadRow,0))/MK$8</f>
        <v>4.7945771678928661</v>
      </c>
      <c r="ML49" s="278">
        <f ca="1">$A49 - DeathsTimeS!AustralianCapitalTerritory100dt</f>
        <v>-30</v>
      </c>
      <c r="MM49" s="11">
        <f ca="1">INDEX(OFFSET(DeathsTimeS!HeadRow,ROW()-ROW(DeathsTimeS!HeadRow),0,1,COLUMNS(DeathsTimeS!HeadRow)),1,MATCH(MM$5,DeathsTimeS!HeadRow,0))/MM$8</f>
        <v>0</v>
      </c>
      <c r="MN49" s="278">
        <f ca="1">IF(DeathsTimeS!NorthernTerritory100dt&gt;0,$A49 - DeathsTimeS!NorthernTerritory100dt,"")</f>
        <v>-58</v>
      </c>
      <c r="MO49" s="11">
        <f ca="1">INDEX(OFFSET(DeathsTimeS!HeadRow,ROW()-ROW(DeathsTimeS!HeadRow),0,1,COLUMNS(DeathsTimeS!HeadRow)),1,MATCH(MO$5,DeathsTimeS!HeadRow,0))/MO$8</f>
        <v>0</v>
      </c>
      <c r="MP49" s="278">
        <f ca="1">$A49 - DeathsTimeS!SouthAfrica100dt + 1</f>
        <v>-50</v>
      </c>
      <c r="MQ49" s="20">
        <f ca="1">INDEX(OFFSET(DeathsTimeS!HeadRow,ROW()-ROW(DeathsTimeS!HeadRow),0,1,COLUMNS(DeathsTimeS!HeadRow)),1,MATCH(MQ$5,DeathsTimeS!HeadRow,0))/MQ$8</f>
        <v>0</v>
      </c>
      <c r="MR49" s="278">
        <f ca="1">$A49 - DeathsTimeS!Germany100dt + 1</f>
        <v>-20</v>
      </c>
      <c r="MS49" s="20">
        <f ca="1">INDEX(OFFSET(DeathsTimeS!HeadRow,ROW()-ROW(DeathsTimeS!HeadRow),0,1,COLUMNS(DeathsTimeS!HeadRow)),1,MATCH(MS$5,DeathsTimeS!HeadRow,0))/MS$8</f>
        <v>0</v>
      </c>
      <c r="MT49" s="278">
        <f ca="1">$A49 - DeathsTimeS!Ireland100dt + 1</f>
        <v>-22</v>
      </c>
      <c r="MU49" s="73">
        <f ca="1">INDEX(OFFSET(DeathsTimeS!HeadRow,ROW()-ROW(DeathsTimeS!HeadRow),0,1,COLUMNS(DeathsTimeS!HeadRow)),1,MATCH(MU$5,DeathsTimeS!HeadRow,0))/MU$8</f>
        <v>0</v>
      </c>
      <c r="MV49" s="278">
        <f ca="1">$A49 - DeathsTimeS!UnitedKingdom100dt + 1</f>
        <v>-16</v>
      </c>
      <c r="MW49" s="73">
        <f ca="1">INDEX(OFFSET(DeathsTimeS!HeadRow,ROW()-ROW(DeathsTimeS!HeadRow),0,1,COLUMNS(DeathsTimeS!HeadRow)),1,MATCH(MW$5,DeathsTimeS!HeadRow,0))/MW$8</f>
        <v>0</v>
      </c>
      <c r="MX49" s="278">
        <f ca="1">$A49 - DeathsTimeS!Denmark100dt + 1</f>
        <v>-18</v>
      </c>
      <c r="MY49" s="73">
        <f ca="1">INDEX(OFFSET(DeathsTimeS!HeadRow,ROW()-ROW(DeathsTimeS!HeadRow),0,1,COLUMNS(DeathsTimeS!HeadRow)),1,MATCH(MY$5,DeathsTimeS!HeadRow,0))/MY$8</f>
        <v>0</v>
      </c>
      <c r="MZ49" s="278">
        <f ca="1">$A49 - DeathsTimeS!US100dt + 1</f>
        <v>-19</v>
      </c>
      <c r="NA49" s="73">
        <f ca="1">INDEX(OFFSET(DeathsTimeS!HeadRow,ROW()-ROW(DeathsTimeS!HeadRow),0,1,COLUMNS(DeathsTimeS!HeadRow)),1,MATCH(NA$5,DeathsTimeS!HeadRow,0))/NA$8</f>
        <v>3.037411069235945E-2</v>
      </c>
      <c r="NB49" s="278">
        <f ca="1">$A49 - DeathsTimeS!AustraliaSum100dt + 1</f>
        <v>-25</v>
      </c>
      <c r="NC49" s="366">
        <f t="shared" si="6"/>
        <v>0</v>
      </c>
      <c r="ND49" s="278">
        <f ca="1">$A49 - DeathsTimeS!Taiwan100dt + 1</f>
        <v>-57</v>
      </c>
      <c r="NE49" s="366">
        <f ca="1">INDEX(OFFSET(DeathsTimeS!HeadRow,ROW()-ROW(DeathsTimeS!HeadRow),0,1,COLUMNS(DeathsTimeS!HeadRow)),1,MATCH(NE$5,DeathsTimeS!HeadRow,0))/NE$8</f>
        <v>0.4200395492437986</v>
      </c>
      <c r="NF49" s="278">
        <f ca="1">$A49 - DeathsTimeS!Hubei100dt + 1</f>
        <v>34</v>
      </c>
      <c r="NG49" s="366">
        <f ca="1">INDEX(OFFSET(DeathsTimeS!HeadRow,ROW()-ROW(DeathsTimeS!HeadRow),0,1,COLUMNS(DeathsTimeS!HeadRow)),1,MATCH(NG$5,DeathsTimeS!HeadRow,0))/NG$8</f>
        <v>466.15384615384619</v>
      </c>
      <c r="NH49" s="278">
        <f ca="1">$A49 - DeathsTimeS!HongKong100dt + 1</f>
        <v>-57</v>
      </c>
      <c r="NI49" s="366">
        <f ca="1">INDEX(OFFSET(DeathsTimeS!HeadRow,ROW()-ROW(DeathsTimeS!HeadRow),0,1,COLUMNS(DeathsTimeS!HeadRow)),1,MATCH(NI$5,DeathsTimeS!HeadRow,0))/NI$8</f>
        <v>2.6842034626224667</v>
      </c>
    </row>
    <row r="50" spans="1:373" x14ac:dyDescent="0.25">
      <c r="A50" s="156">
        <v>43891</v>
      </c>
      <c r="B50" s="25">
        <v>0</v>
      </c>
      <c r="C50" s="25">
        <v>0</v>
      </c>
      <c r="D50" s="25">
        <v>0</v>
      </c>
      <c r="E50" s="25">
        <v>0</v>
      </c>
      <c r="F50" s="25">
        <v>0</v>
      </c>
      <c r="G50" s="25">
        <v>0</v>
      </c>
      <c r="H50" s="25">
        <v>0</v>
      </c>
      <c r="I50" s="25">
        <v>0</v>
      </c>
      <c r="J50" s="25">
        <v>0</v>
      </c>
      <c r="K50" s="25">
        <v>0</v>
      </c>
      <c r="L50" s="25">
        <v>0</v>
      </c>
      <c r="M50" s="25">
        <v>0</v>
      </c>
      <c r="N50" s="25">
        <v>0</v>
      </c>
      <c r="O50" s="25">
        <v>0</v>
      </c>
      <c r="P50" s="25">
        <v>0</v>
      </c>
      <c r="Q50" s="25">
        <v>1</v>
      </c>
      <c r="R50" s="25">
        <v>0</v>
      </c>
      <c r="S50" s="25">
        <v>0</v>
      </c>
      <c r="T50" s="25">
        <v>0</v>
      </c>
      <c r="U50" s="25">
        <v>0</v>
      </c>
      <c r="V50" s="25">
        <v>0</v>
      </c>
      <c r="W50" s="25">
        <v>0</v>
      </c>
      <c r="X50" s="25">
        <v>0</v>
      </c>
      <c r="Y50" s="25">
        <v>0</v>
      </c>
      <c r="Z50" s="25">
        <v>0</v>
      </c>
      <c r="AA50" s="25">
        <v>0</v>
      </c>
      <c r="AB50" s="25">
        <v>0</v>
      </c>
      <c r="AC50" s="25">
        <v>0</v>
      </c>
      <c r="AD50" s="25">
        <v>0</v>
      </c>
      <c r="AE50" s="25">
        <v>0</v>
      </c>
      <c r="AF50" s="25">
        <v>0</v>
      </c>
      <c r="AG50" s="25">
        <v>0</v>
      </c>
      <c r="AH50" s="25">
        <v>0</v>
      </c>
      <c r="AI50" s="25">
        <v>0</v>
      </c>
      <c r="AJ50" s="25">
        <v>0</v>
      </c>
      <c r="AK50" s="25">
        <v>0</v>
      </c>
      <c r="AL50" s="25">
        <v>0</v>
      </c>
      <c r="AM50" s="25">
        <v>0</v>
      </c>
      <c r="AN50" s="25">
        <v>0</v>
      </c>
      <c r="AO50" s="25">
        <v>0</v>
      </c>
      <c r="AP50" s="25">
        <v>0</v>
      </c>
      <c r="AQ50" s="25">
        <v>0</v>
      </c>
      <c r="AR50" s="25">
        <v>0</v>
      </c>
      <c r="AS50" s="25">
        <v>0</v>
      </c>
      <c r="AT50" s="25">
        <v>0</v>
      </c>
      <c r="AU50" s="25">
        <v>0</v>
      </c>
      <c r="AV50" s="25">
        <v>0</v>
      </c>
      <c r="AW50" s="25">
        <v>0</v>
      </c>
      <c r="AX50" s="25">
        <v>0</v>
      </c>
      <c r="AY50" s="25">
        <v>6</v>
      </c>
      <c r="AZ50" s="25">
        <v>8</v>
      </c>
      <c r="BA50" s="25">
        <v>6</v>
      </c>
      <c r="BB50" s="25">
        <v>1</v>
      </c>
      <c r="BC50" s="25">
        <v>2</v>
      </c>
      <c r="BD50" s="25">
        <v>7</v>
      </c>
      <c r="BE50" s="25">
        <v>2</v>
      </c>
      <c r="BF50" s="25">
        <v>2</v>
      </c>
      <c r="BG50" s="25">
        <v>5</v>
      </c>
      <c r="BH50" s="25">
        <v>6</v>
      </c>
      <c r="BI50" s="25">
        <v>13</v>
      </c>
      <c r="BJ50" s="25">
        <v>22</v>
      </c>
      <c r="BK50" s="25">
        <v>2</v>
      </c>
      <c r="BL50" s="25">
        <v>2761</v>
      </c>
      <c r="BM50" s="25">
        <v>4</v>
      </c>
      <c r="BN50" s="25">
        <v>0</v>
      </c>
      <c r="BO50" s="25">
        <v>0</v>
      </c>
      <c r="BP50" s="25">
        <v>1</v>
      </c>
      <c r="BQ50" s="25">
        <v>1</v>
      </c>
      <c r="BR50" s="25">
        <v>1</v>
      </c>
      <c r="BS50" s="25">
        <v>0</v>
      </c>
      <c r="BT50" s="25">
        <v>0</v>
      </c>
      <c r="BU50" s="25">
        <v>0</v>
      </c>
      <c r="BV50" s="25">
        <v>1</v>
      </c>
      <c r="BW50" s="25">
        <v>6</v>
      </c>
      <c r="BX50" s="25">
        <v>3</v>
      </c>
      <c r="BY50" s="25">
        <v>0</v>
      </c>
      <c r="BZ50" s="25">
        <v>3</v>
      </c>
      <c r="CA50" s="25">
        <v>3</v>
      </c>
      <c r="CB50" s="25">
        <v>0</v>
      </c>
      <c r="CC50" s="25">
        <v>3</v>
      </c>
      <c r="CD50" s="25">
        <v>2</v>
      </c>
      <c r="CE50" s="25">
        <v>1</v>
      </c>
      <c r="CF50" s="25">
        <v>0</v>
      </c>
      <c r="CG50" s="25">
        <v>0</v>
      </c>
      <c r="CH50" s="25">
        <v>0</v>
      </c>
      <c r="CI50" s="25">
        <v>0</v>
      </c>
      <c r="CJ50" s="25">
        <v>0</v>
      </c>
      <c r="CK50" s="25">
        <v>0</v>
      </c>
      <c r="CL50" s="25">
        <v>6</v>
      </c>
      <c r="CM50" s="25">
        <v>0</v>
      </c>
      <c r="CN50" s="25">
        <v>0</v>
      </c>
      <c r="CO50" s="25">
        <v>0</v>
      </c>
      <c r="CP50" s="25">
        <v>0</v>
      </c>
      <c r="CQ50" s="25">
        <v>0</v>
      </c>
      <c r="CR50" s="25">
        <v>0</v>
      </c>
      <c r="CS50" s="25">
        <v>0</v>
      </c>
      <c r="CT50" s="25">
        <v>0</v>
      </c>
      <c r="CU50" s="25">
        <v>0</v>
      </c>
      <c r="CV50" s="25">
        <v>0</v>
      </c>
      <c r="CW50" s="25">
        <v>0</v>
      </c>
      <c r="CX50" s="25">
        <v>0</v>
      </c>
      <c r="CY50" s="25">
        <v>0</v>
      </c>
      <c r="CZ50" s="25">
        <v>0</v>
      </c>
      <c r="DA50" s="25">
        <v>0</v>
      </c>
      <c r="DB50" s="25">
        <v>0</v>
      </c>
      <c r="DC50" s="25">
        <v>0</v>
      </c>
      <c r="DD50" s="25">
        <v>0</v>
      </c>
      <c r="DE50" s="25">
        <v>0</v>
      </c>
      <c r="DF50" s="25">
        <v>0</v>
      </c>
      <c r="DG50" s="25">
        <v>0</v>
      </c>
      <c r="DH50" s="25">
        <v>0</v>
      </c>
      <c r="DI50" s="25">
        <v>0</v>
      </c>
      <c r="DJ50" s="25">
        <v>0</v>
      </c>
      <c r="DK50" s="25">
        <v>0</v>
      </c>
      <c r="DL50" s="25">
        <v>0</v>
      </c>
      <c r="DM50" s="25">
        <v>0</v>
      </c>
      <c r="DN50" s="25">
        <v>2</v>
      </c>
      <c r="DO50" s="25">
        <v>0</v>
      </c>
      <c r="DP50" s="25">
        <v>0</v>
      </c>
      <c r="DQ50" s="25">
        <v>0</v>
      </c>
      <c r="DR50" s="25">
        <v>0</v>
      </c>
      <c r="DS50" s="25">
        <v>0</v>
      </c>
      <c r="DT50" s="25">
        <v>0</v>
      </c>
      <c r="DU50" s="25">
        <v>0</v>
      </c>
      <c r="DV50" s="25">
        <v>0</v>
      </c>
      <c r="DW50" s="25">
        <v>0</v>
      </c>
      <c r="DX50" s="25">
        <v>0</v>
      </c>
      <c r="DY50" s="25">
        <v>0</v>
      </c>
      <c r="DZ50" s="25">
        <v>0</v>
      </c>
      <c r="EA50" s="25">
        <v>0</v>
      </c>
      <c r="EB50" s="25">
        <v>0</v>
      </c>
      <c r="EC50" s="25">
        <v>0</v>
      </c>
      <c r="ED50" s="25">
        <v>0</v>
      </c>
      <c r="EE50" s="25">
        <v>54</v>
      </c>
      <c r="EF50" s="25">
        <v>0</v>
      </c>
      <c r="EG50" s="25">
        <v>0</v>
      </c>
      <c r="EH50" s="25">
        <v>0</v>
      </c>
      <c r="EI50" s="25">
        <v>34</v>
      </c>
      <c r="EJ50" s="25">
        <v>0</v>
      </c>
      <c r="EK50" s="25">
        <v>6</v>
      </c>
      <c r="EL50" s="25">
        <v>0</v>
      </c>
      <c r="EM50" s="25">
        <v>0</v>
      </c>
      <c r="EN50" s="25">
        <v>0</v>
      </c>
      <c r="EO50" s="25">
        <v>17</v>
      </c>
      <c r="EP50" s="25">
        <v>0</v>
      </c>
      <c r="EQ50" s="25">
        <v>0</v>
      </c>
      <c r="ER50" s="25">
        <v>0</v>
      </c>
      <c r="ES50" s="25">
        <v>0</v>
      </c>
      <c r="ET50" s="25">
        <v>0</v>
      </c>
      <c r="EU50" s="25">
        <v>0</v>
      </c>
      <c r="EV50" s="25">
        <v>0</v>
      </c>
      <c r="EW50" s="25">
        <v>0</v>
      </c>
      <c r="EX50" s="25">
        <v>0</v>
      </c>
      <c r="EY50" s="25">
        <v>0</v>
      </c>
      <c r="EZ50" s="25">
        <v>0</v>
      </c>
      <c r="FA50" s="25">
        <v>0</v>
      </c>
      <c r="FB50" s="25">
        <v>0</v>
      </c>
      <c r="FC50" s="25">
        <v>0</v>
      </c>
      <c r="FD50" s="25">
        <v>0</v>
      </c>
      <c r="FE50" s="25">
        <v>0</v>
      </c>
      <c r="FF50" s="25">
        <v>0</v>
      </c>
      <c r="FG50" s="25">
        <v>0</v>
      </c>
      <c r="FH50" s="25">
        <v>0</v>
      </c>
      <c r="FI50" s="25">
        <v>0</v>
      </c>
      <c r="FJ50" s="25">
        <v>0</v>
      </c>
      <c r="FK50" s="25">
        <v>0</v>
      </c>
      <c r="FL50" s="25">
        <v>0</v>
      </c>
      <c r="FM50" s="25">
        <v>0</v>
      </c>
      <c r="FN50" s="25">
        <v>0</v>
      </c>
      <c r="FO50" s="25">
        <v>0</v>
      </c>
      <c r="FP50" s="25">
        <v>0</v>
      </c>
      <c r="FQ50" s="25">
        <v>0</v>
      </c>
      <c r="FR50" s="25">
        <v>0</v>
      </c>
      <c r="FS50" s="25">
        <v>0</v>
      </c>
      <c r="FT50" s="25">
        <v>0</v>
      </c>
      <c r="FU50" s="25">
        <v>0</v>
      </c>
      <c r="FV50" s="25">
        <v>0</v>
      </c>
      <c r="FW50" s="25">
        <v>0</v>
      </c>
      <c r="FX50" s="25">
        <v>0</v>
      </c>
      <c r="FY50" s="25">
        <v>0</v>
      </c>
      <c r="FZ50" s="25">
        <v>0</v>
      </c>
      <c r="GA50" s="25">
        <v>0</v>
      </c>
      <c r="GB50" s="25">
        <v>1</v>
      </c>
      <c r="GC50" s="25">
        <v>0</v>
      </c>
      <c r="GD50" s="25">
        <v>0</v>
      </c>
      <c r="GE50" s="25">
        <v>0</v>
      </c>
      <c r="GF50" s="25">
        <v>0</v>
      </c>
      <c r="GG50" s="25">
        <v>0</v>
      </c>
      <c r="GH50" s="25">
        <v>0</v>
      </c>
      <c r="GI50" s="25">
        <v>0</v>
      </c>
      <c r="GJ50" s="25">
        <v>0</v>
      </c>
      <c r="GK50" s="25">
        <v>0</v>
      </c>
      <c r="GL50" s="25">
        <v>0</v>
      </c>
      <c r="GM50" s="25">
        <v>0</v>
      </c>
      <c r="GN50" s="25">
        <v>0</v>
      </c>
      <c r="GO50" s="25">
        <v>0</v>
      </c>
      <c r="GP50" s="25">
        <v>0</v>
      </c>
      <c r="GQ50" s="25">
        <v>0</v>
      </c>
      <c r="GR50" s="25">
        <v>0</v>
      </c>
      <c r="GS50" s="25">
        <v>0</v>
      </c>
      <c r="GT50" s="25">
        <v>0</v>
      </c>
      <c r="GU50" s="25">
        <v>0</v>
      </c>
      <c r="GV50" s="25">
        <v>0</v>
      </c>
      <c r="GW50" s="25">
        <v>0</v>
      </c>
      <c r="GX50" s="25">
        <v>0</v>
      </c>
      <c r="GY50" s="46">
        <v>0</v>
      </c>
      <c r="GZ50" s="25">
        <v>0</v>
      </c>
      <c r="HA50" s="25">
        <v>1</v>
      </c>
      <c r="HB50" s="25">
        <v>0</v>
      </c>
      <c r="HC50" s="25">
        <v>1</v>
      </c>
      <c r="HD50" s="25">
        <v>0</v>
      </c>
      <c r="HE50" s="25">
        <v>0</v>
      </c>
      <c r="HF50" s="25">
        <v>0</v>
      </c>
      <c r="HG50" s="25">
        <v>0</v>
      </c>
      <c r="HH50" s="25">
        <v>0</v>
      </c>
      <c r="HI50" s="25">
        <v>0</v>
      </c>
      <c r="HJ50" s="25">
        <v>0</v>
      </c>
      <c r="HK50" s="25">
        <v>0</v>
      </c>
      <c r="HL50" s="25">
        <v>0</v>
      </c>
      <c r="HM50" s="25">
        <v>0</v>
      </c>
      <c r="HN50" s="25">
        <v>0</v>
      </c>
      <c r="HO50" s="25">
        <v>0</v>
      </c>
      <c r="HP50" s="25">
        <v>0</v>
      </c>
      <c r="HQ50" s="25">
        <v>0</v>
      </c>
      <c r="HR50" s="25">
        <v>0</v>
      </c>
      <c r="HS50" s="25">
        <v>1</v>
      </c>
      <c r="HT50" s="25">
        <v>0</v>
      </c>
      <c r="HU50" s="25">
        <v>0</v>
      </c>
      <c r="HV50" s="25">
        <v>0</v>
      </c>
      <c r="HW50" s="25">
        <v>0</v>
      </c>
      <c r="HX50" s="25">
        <v>0</v>
      </c>
      <c r="HY50" s="25">
        <v>0</v>
      </c>
      <c r="HZ50" s="25">
        <v>0</v>
      </c>
      <c r="IA50" s="25">
        <v>0</v>
      </c>
      <c r="IB50" s="25">
        <v>0</v>
      </c>
      <c r="IC50" s="25">
        <v>0</v>
      </c>
      <c r="ID50" s="25">
        <v>0</v>
      </c>
      <c r="IE50" s="25">
        <v>0</v>
      </c>
      <c r="IF50" s="25">
        <v>0</v>
      </c>
      <c r="IG50" s="25">
        <v>0</v>
      </c>
      <c r="IH50" s="25">
        <v>0</v>
      </c>
      <c r="II50" s="25">
        <v>0</v>
      </c>
      <c r="IJ50" s="25">
        <v>0</v>
      </c>
      <c r="IK50" s="25">
        <v>0</v>
      </c>
      <c r="IL50" s="25">
        <v>0</v>
      </c>
      <c r="IM50" s="25">
        <v>0</v>
      </c>
      <c r="IN50" s="25">
        <v>0</v>
      </c>
      <c r="IO50" s="25">
        <v>0</v>
      </c>
      <c r="IP50" s="25">
        <v>0</v>
      </c>
      <c r="IQ50" s="25">
        <v>0</v>
      </c>
      <c r="IR50" s="25">
        <v>0</v>
      </c>
      <c r="IS50" s="25">
        <v>0</v>
      </c>
      <c r="IT50" s="25">
        <v>0</v>
      </c>
      <c r="IU50" s="25">
        <v>0</v>
      </c>
      <c r="IV50" s="25">
        <v>0</v>
      </c>
      <c r="IW50" s="25">
        <v>0</v>
      </c>
      <c r="IX50" s="25">
        <v>0</v>
      </c>
      <c r="IY50" s="25">
        <v>0</v>
      </c>
      <c r="IZ50" s="25">
        <v>0</v>
      </c>
      <c r="JA50" s="25">
        <v>0</v>
      </c>
      <c r="JB50" s="25">
        <v>0</v>
      </c>
      <c r="JC50" s="25">
        <v>0</v>
      </c>
      <c r="JD50" s="25">
        <v>0</v>
      </c>
      <c r="JE50" s="25">
        <v>0</v>
      </c>
      <c r="JF50" s="25">
        <v>0</v>
      </c>
      <c r="JG50" s="25">
        <v>0</v>
      </c>
      <c r="JH50" s="25">
        <v>0</v>
      </c>
      <c r="JI50" s="25">
        <v>0</v>
      </c>
      <c r="JJ50" s="25">
        <v>0</v>
      </c>
      <c r="JK50" s="25">
        <v>0</v>
      </c>
      <c r="JL50" s="25">
        <v>0</v>
      </c>
      <c r="JM50" s="25">
        <v>0</v>
      </c>
      <c r="JN50" s="25">
        <v>0</v>
      </c>
      <c r="JO50" s="25">
        <v>0</v>
      </c>
      <c r="JP50" s="25">
        <v>0</v>
      </c>
      <c r="JQ50" s="25">
        <v>0</v>
      </c>
      <c r="JR50" s="25">
        <v>0</v>
      </c>
      <c r="JS50" s="25">
        <v>0</v>
      </c>
      <c r="JT50" s="25">
        <v>0</v>
      </c>
      <c r="JU50" s="25">
        <v>0</v>
      </c>
      <c r="JV50" s="25">
        <v>0</v>
      </c>
      <c r="JW50" s="25">
        <v>0</v>
      </c>
      <c r="JX50" s="25">
        <v>0</v>
      </c>
      <c r="JY50" s="25">
        <v>0</v>
      </c>
      <c r="JZ50" s="25">
        <v>0</v>
      </c>
      <c r="KA50" s="25">
        <v>0</v>
      </c>
      <c r="KB50" s="25">
        <v>0</v>
      </c>
      <c r="KC50" s="25">
        <v>0</v>
      </c>
      <c r="KD50" s="25">
        <v>0</v>
      </c>
      <c r="KE50" s="25">
        <v>0</v>
      </c>
      <c r="KF50" s="25">
        <v>0</v>
      </c>
      <c r="KG50" s="25">
        <v>0</v>
      </c>
      <c r="KH50" s="25">
        <v>0</v>
      </c>
      <c r="KI50" s="25">
        <v>0</v>
      </c>
      <c r="KJ50" s="25">
        <v>0</v>
      </c>
      <c r="KK50" s="25">
        <v>0</v>
      </c>
      <c r="KL50" s="25">
        <v>0</v>
      </c>
      <c r="KM50" s="25">
        <v>0</v>
      </c>
      <c r="KN50" s="25">
        <v>0</v>
      </c>
      <c r="KO50" s="25">
        <v>0</v>
      </c>
      <c r="KP50" s="25">
        <v>0</v>
      </c>
      <c r="KQ50" s="25">
        <v>0</v>
      </c>
      <c r="KR50" s="25">
        <v>0</v>
      </c>
      <c r="KS50" s="25">
        <v>0</v>
      </c>
      <c r="KT50" s="25">
        <v>0</v>
      </c>
      <c r="KU50" s="25">
        <v>0</v>
      </c>
      <c r="KV50" s="25">
        <v>0</v>
      </c>
      <c r="KW50" s="25">
        <v>0</v>
      </c>
      <c r="KX50" s="25">
        <v>0</v>
      </c>
      <c r="KY50" s="25">
        <v>0</v>
      </c>
      <c r="KZ50" s="25">
        <v>0</v>
      </c>
      <c r="LA50" s="25">
        <v>0</v>
      </c>
      <c r="LB50" s="25">
        <v>0</v>
      </c>
      <c r="LC50" s="25">
        <v>0</v>
      </c>
      <c r="LD50" s="25">
        <v>0</v>
      </c>
      <c r="LE50" s="25">
        <v>0</v>
      </c>
      <c r="LF50" s="25">
        <v>0</v>
      </c>
      <c r="LG50" s="25">
        <v>0</v>
      </c>
      <c r="LH50" s="25">
        <v>1</v>
      </c>
      <c r="LI50" s="25">
        <v>0</v>
      </c>
      <c r="LJ50" s="25">
        <v>0</v>
      </c>
      <c r="LK50" s="25">
        <v>0</v>
      </c>
      <c r="LL50" s="25">
        <v>0</v>
      </c>
      <c r="LM50" s="25">
        <v>0</v>
      </c>
      <c r="LN50" s="278">
        <f ca="1">$A50 - DeathsTimeS!Sweden100dt + 1</f>
        <v>-17</v>
      </c>
      <c r="LO50" s="366">
        <f ca="1">INDEX(OFFSET(DeathsTimeS!HeadRow,ROW()-ROW(DeathsTimeS!HeadRow),0,1,COLUMNS(DeathsTimeS!HeadRow)),1,MATCH(LO$5,DeathsTimeS!HeadRow,0))/LO$8</f>
        <v>0</v>
      </c>
      <c r="LP50" s="278">
        <f ca="1">$A50 - DeathsTimeS!Spain100dt</f>
        <v>-10</v>
      </c>
      <c r="LQ50" s="11">
        <f ca="1">INDEX(OFFSET(DeathsTimeS!HeadRow,ROW()-ROW(DeathsTimeS!HeadRow),0,1,COLUMNS(DeathsTimeS!HeadRow)),1,MATCH(LQ$5,DeathsTimeS!HeadRow,0))/LQ$8</f>
        <v>0</v>
      </c>
      <c r="LR50" s="278">
        <f ca="1">$A50 - DeathsTimeS!Victoria100dt</f>
        <v>-33</v>
      </c>
      <c r="LS50" s="11">
        <f ca="1">INDEX(OFFSET(DeathsTimeS!HeadRow,ROW()-ROW(DeathsTimeS!HeadRow),0,1,COLUMNS(DeathsTimeS!HeadRow)),1,MATCH(LS$5,DeathsTimeS!HeadRow,0))/LS$8</f>
        <v>0</v>
      </c>
      <c r="LT50" s="278">
        <f ca="1">$A50 - DeathsTimeS!Iran100dt</f>
        <v>-3</v>
      </c>
      <c r="LU50" s="11">
        <f ca="1">INDEX(OFFSET(DeathsTimeS!HeadRow,ROW()-ROW(DeathsTimeS!HeadRow),0,1,COLUMNS(DeathsTimeS!HeadRow)),1,MATCH(LU$5,DeathsTimeS!HeadRow,0))/LU$8</f>
        <v>6.4459909517386267</v>
      </c>
      <c r="LV50" s="278">
        <f ca="1">$A50 - DeathsTimeS!Japan100dt</f>
        <v>-44</v>
      </c>
      <c r="LW50" s="11">
        <f ca="1">INDEX(OFFSET(DeathsTimeS!HeadRow,ROW()-ROW(DeathsTimeS!HeadRow),0,1,COLUMNS(DeathsTimeS!HeadRow)),1,MATCH(LW$5,DeathsTimeS!HeadRow,0))/LW$8</f>
        <v>0.47410515476913873</v>
      </c>
      <c r="LX50" s="278">
        <f ca="1">$A50 - DeathsTimeS!Queensland100dt</f>
        <v>-48</v>
      </c>
      <c r="LY50" s="11">
        <f ca="1">INDEX(OFFSET(DeathsTimeS!HeadRow,ROW()-ROW(DeathsTimeS!HeadRow),0,1,COLUMNS(DeathsTimeS!HeadRow)),1,MATCH(LY$5,DeathsTimeS!HeadRow,0))/LY$8</f>
        <v>0</v>
      </c>
      <c r="LZ50" s="278">
        <f ca="1">$A50 - DeathsTimeS!Tasmania100dt</f>
        <v>-30</v>
      </c>
      <c r="MA50" s="11">
        <f ca="1">INDEX(OFFSET(DeathsTimeS!HeadRow,ROW()-ROW(DeathsTimeS!HeadRow),0,1,COLUMNS(DeathsTimeS!HeadRow)),1,MATCH(MA$5,DeathsTimeS!HeadRow,0))/MA$8</f>
        <v>0</v>
      </c>
      <c r="MB50" s="278">
        <f ca="1">$A50 - DeathsTimeS!SouthAustralia100dt</f>
        <v>-38</v>
      </c>
      <c r="MC50" s="11">
        <f ca="1">INDEX(OFFSET(DeathsTimeS!HeadRow,ROW()-ROW(DeathsTimeS!HeadRow),0,1,COLUMNS(DeathsTimeS!HeadRow)),1,MATCH(MC$5,DeathsTimeS!HeadRow,0))/MC$8</f>
        <v>0</v>
      </c>
      <c r="MD50" s="278">
        <f ca="1">$A50 - DeathsTimeS!WesternAustralia100dt</f>
        <v>-35</v>
      </c>
      <c r="ME50" s="11">
        <f ca="1">INDEX(OFFSET(DeathsTimeS!HeadRow,ROW()-ROW(DeathsTimeS!HeadRow),0,1,COLUMNS(DeathsTimeS!HeadRow)),1,MATCH(ME$5,DeathsTimeS!HeadRow,0))/ME$8</f>
        <v>3.8624951718810348</v>
      </c>
      <c r="MF50" s="278">
        <f ca="1">$A50 - DeathsTimeS!NewSouthWales100dt</f>
        <v>-31</v>
      </c>
      <c r="MG50" s="11">
        <f ca="1">INDEX(OFFSET(DeathsTimeS!HeadRow,ROW()-ROW(DeathsTimeS!HeadRow),0,1,COLUMNS(DeathsTimeS!HeadRow)),1,MATCH(MG$5,DeathsTimeS!HeadRow,0))/MG$8</f>
        <v>0</v>
      </c>
      <c r="MH50" s="278">
        <f ca="1">$A50 - DeathsTimeS!NewYork100dt</f>
        <v>-15</v>
      </c>
      <c r="MI50" s="11">
        <f ca="1">INDEX(OFFSET(DeathsTimeS!HeadRow,ROW()-ROW(DeathsTimeS!HeadRow),0,1,COLUMNS(DeathsTimeS!HeadRow)),1,MATCH(MI$5,DeathsTimeS!HeadRow,0))/MI$8</f>
        <v>0</v>
      </c>
      <c r="MJ50" s="278">
        <f ca="1">$A50 - DeathsTimeS!Italy100dt</f>
        <v>-2</v>
      </c>
      <c r="MK50" s="20">
        <f ca="1">INDEX(OFFSET(DeathsTimeS!HeadRow,ROW()-ROW(DeathsTimeS!HeadRow),0,1,COLUMNS(DeathsTimeS!HeadRow)),1,MATCH(MK$5,DeathsTimeS!HeadRow,0))/MK$8</f>
        <v>5.6212284037364642</v>
      </c>
      <c r="ML50" s="278">
        <f ca="1">$A50 - DeathsTimeS!AustralianCapitalTerritory100dt</f>
        <v>-29</v>
      </c>
      <c r="MM50" s="11">
        <f ca="1">INDEX(OFFSET(DeathsTimeS!HeadRow,ROW()-ROW(DeathsTimeS!HeadRow),0,1,COLUMNS(DeathsTimeS!HeadRow)),1,MATCH(MM$5,DeathsTimeS!HeadRow,0))/MM$8</f>
        <v>0</v>
      </c>
      <c r="MN50" s="278">
        <f ca="1">IF(DeathsTimeS!NorthernTerritory100dt&gt;0,$A50 - DeathsTimeS!NorthernTerritory100dt,"")</f>
        <v>-57</v>
      </c>
      <c r="MO50" s="11">
        <f ca="1">INDEX(OFFSET(DeathsTimeS!HeadRow,ROW()-ROW(DeathsTimeS!HeadRow),0,1,COLUMNS(DeathsTimeS!HeadRow)),1,MATCH(MO$5,DeathsTimeS!HeadRow,0))/MO$8</f>
        <v>0</v>
      </c>
      <c r="MP50" s="278">
        <f ca="1">$A50 - DeathsTimeS!SouthAfrica100dt + 1</f>
        <v>-49</v>
      </c>
      <c r="MQ50" s="20">
        <f ca="1">INDEX(OFFSET(DeathsTimeS!HeadRow,ROW()-ROW(DeathsTimeS!HeadRow),0,1,COLUMNS(DeathsTimeS!HeadRow)),1,MATCH(MQ$5,DeathsTimeS!HeadRow,0))/MQ$8</f>
        <v>0</v>
      </c>
      <c r="MR50" s="278">
        <f ca="1">$A50 - DeathsTimeS!Germany100dt + 1</f>
        <v>-19</v>
      </c>
      <c r="MS50" s="20">
        <f ca="1">INDEX(OFFSET(DeathsTimeS!HeadRow,ROW()-ROW(DeathsTimeS!HeadRow),0,1,COLUMNS(DeathsTimeS!HeadRow)),1,MATCH(MS$5,DeathsTimeS!HeadRow,0))/MS$8</f>
        <v>0</v>
      </c>
      <c r="MT50" s="278">
        <f ca="1">$A50 - DeathsTimeS!Ireland100dt + 1</f>
        <v>-21</v>
      </c>
      <c r="MU50" s="73">
        <f ca="1">INDEX(OFFSET(DeathsTimeS!HeadRow,ROW()-ROW(DeathsTimeS!HeadRow),0,1,COLUMNS(DeathsTimeS!HeadRow)),1,MATCH(MU$5,DeathsTimeS!HeadRow,0))/MU$8</f>
        <v>0</v>
      </c>
      <c r="MV50" s="278">
        <f ca="1">$A50 - DeathsTimeS!UnitedKingdom100dt + 1</f>
        <v>-15</v>
      </c>
      <c r="MW50" s="73">
        <f ca="1">INDEX(OFFSET(DeathsTimeS!HeadRow,ROW()-ROW(DeathsTimeS!HeadRow),0,1,COLUMNS(DeathsTimeS!HeadRow)),1,MATCH(MW$5,DeathsTimeS!HeadRow,0))/MW$8</f>
        <v>0</v>
      </c>
      <c r="MX50" s="278">
        <f ca="1">$A50 - DeathsTimeS!Denmark100dt + 1</f>
        <v>-17</v>
      </c>
      <c r="MY50" s="73">
        <f ca="1">INDEX(OFFSET(DeathsTimeS!HeadRow,ROW()-ROW(DeathsTimeS!HeadRow),0,1,COLUMNS(DeathsTimeS!HeadRow)),1,MATCH(MY$5,DeathsTimeS!HeadRow,0))/MY$8</f>
        <v>0</v>
      </c>
      <c r="MZ50" s="278">
        <f ca="1">$A50 - DeathsTimeS!US100dt + 1</f>
        <v>-18</v>
      </c>
      <c r="NA50" s="73">
        <f ca="1">INDEX(OFFSET(DeathsTimeS!HeadRow,ROW()-ROW(DeathsTimeS!HeadRow),0,1,COLUMNS(DeathsTimeS!HeadRow)),1,MATCH(NA$5,DeathsTimeS!HeadRow,0))/NA$8</f>
        <v>3.037411069235945E-2</v>
      </c>
      <c r="NB50" s="278">
        <f ca="1">$A50 - DeathsTimeS!AustraliaSum100dt + 1</f>
        <v>-24</v>
      </c>
      <c r="NC50" s="366">
        <f t="shared" si="6"/>
        <v>1</v>
      </c>
      <c r="ND50" s="278">
        <f ca="1">$A50 - DeathsTimeS!Taiwan100dt + 1</f>
        <v>-56</v>
      </c>
      <c r="NE50" s="366">
        <f ca="1">INDEX(OFFSET(DeathsTimeS!HeadRow,ROW()-ROW(DeathsTimeS!HeadRow),0,1,COLUMNS(DeathsTimeS!HeadRow)),1,MATCH(NE$5,DeathsTimeS!HeadRow,0))/NE$8</f>
        <v>0.4200395492437986</v>
      </c>
      <c r="NF50" s="278">
        <f ca="1">$A50 - DeathsTimeS!Hubei100dt + 1</f>
        <v>35</v>
      </c>
      <c r="NG50" s="366">
        <f ca="1">INDEX(OFFSET(DeathsTimeS!HeadRow,ROW()-ROW(DeathsTimeS!HeadRow),0,1,COLUMNS(DeathsTimeS!HeadRow)),1,MATCH(NG$5,DeathsTimeS!HeadRow,0))/NG$8</f>
        <v>471.96581196581201</v>
      </c>
      <c r="NH50" s="278">
        <f ca="1">$A50 - DeathsTimeS!HongKong100dt + 1</f>
        <v>-56</v>
      </c>
      <c r="NI50" s="366">
        <f ca="1">INDEX(OFFSET(DeathsTimeS!HeadRow,ROW()-ROW(DeathsTimeS!HeadRow),0,1,COLUMNS(DeathsTimeS!HeadRow)),1,MATCH(NI$5,DeathsTimeS!HeadRow,0))/NI$8</f>
        <v>2.6842034626224667</v>
      </c>
    </row>
    <row r="51" spans="1:373" x14ac:dyDescent="0.25">
      <c r="A51" s="156">
        <v>43892</v>
      </c>
      <c r="B51" s="25">
        <v>0</v>
      </c>
      <c r="C51" s="25">
        <v>0</v>
      </c>
      <c r="D51" s="25">
        <v>0</v>
      </c>
      <c r="E51" s="25">
        <v>0</v>
      </c>
      <c r="F51" s="25">
        <v>0</v>
      </c>
      <c r="G51" s="25">
        <v>0</v>
      </c>
      <c r="H51" s="25">
        <v>0</v>
      </c>
      <c r="I51" s="25">
        <v>0</v>
      </c>
      <c r="J51" s="25">
        <v>0</v>
      </c>
      <c r="K51" s="25">
        <v>0</v>
      </c>
      <c r="L51" s="25">
        <v>0</v>
      </c>
      <c r="M51" s="25">
        <v>0</v>
      </c>
      <c r="N51" s="25">
        <v>0</v>
      </c>
      <c r="O51" s="25">
        <v>0</v>
      </c>
      <c r="P51" s="25">
        <v>0</v>
      </c>
      <c r="Q51" s="25">
        <v>1</v>
      </c>
      <c r="R51" s="25">
        <v>0</v>
      </c>
      <c r="S51" s="25">
        <v>0</v>
      </c>
      <c r="T51" s="25">
        <v>0</v>
      </c>
      <c r="U51" s="25">
        <v>0</v>
      </c>
      <c r="V51" s="25">
        <v>0</v>
      </c>
      <c r="W51" s="25">
        <v>0</v>
      </c>
      <c r="X51" s="25">
        <v>0</v>
      </c>
      <c r="Y51" s="25">
        <v>0</v>
      </c>
      <c r="Z51" s="25">
        <v>0</v>
      </c>
      <c r="AA51" s="25">
        <v>0</v>
      </c>
      <c r="AB51" s="25">
        <v>0</v>
      </c>
      <c r="AC51" s="25">
        <v>0</v>
      </c>
      <c r="AD51" s="25">
        <v>0</v>
      </c>
      <c r="AE51" s="25">
        <v>0</v>
      </c>
      <c r="AF51" s="25">
        <v>0</v>
      </c>
      <c r="AG51" s="25">
        <v>0</v>
      </c>
      <c r="AH51" s="25">
        <v>0</v>
      </c>
      <c r="AI51" s="25">
        <v>0</v>
      </c>
      <c r="AJ51" s="25">
        <v>0</v>
      </c>
      <c r="AK51" s="25">
        <v>0</v>
      </c>
      <c r="AL51" s="25">
        <v>0</v>
      </c>
      <c r="AM51" s="25">
        <v>0</v>
      </c>
      <c r="AN51" s="25">
        <v>0</v>
      </c>
      <c r="AO51" s="25">
        <v>0</v>
      </c>
      <c r="AP51" s="25">
        <v>0</v>
      </c>
      <c r="AQ51" s="25">
        <v>0</v>
      </c>
      <c r="AR51" s="25">
        <v>0</v>
      </c>
      <c r="AS51" s="25">
        <v>0</v>
      </c>
      <c r="AT51" s="25">
        <v>0</v>
      </c>
      <c r="AU51" s="25">
        <v>0</v>
      </c>
      <c r="AV51" s="25">
        <v>0</v>
      </c>
      <c r="AW51" s="25">
        <v>0</v>
      </c>
      <c r="AX51" s="25">
        <v>0</v>
      </c>
      <c r="AY51" s="25">
        <v>6</v>
      </c>
      <c r="AZ51" s="25">
        <v>8</v>
      </c>
      <c r="BA51" s="25">
        <v>6</v>
      </c>
      <c r="BB51" s="25">
        <v>1</v>
      </c>
      <c r="BC51" s="25">
        <v>2</v>
      </c>
      <c r="BD51" s="25">
        <v>7</v>
      </c>
      <c r="BE51" s="25">
        <v>2</v>
      </c>
      <c r="BF51" s="25">
        <v>2</v>
      </c>
      <c r="BG51" s="25">
        <v>5</v>
      </c>
      <c r="BH51" s="25">
        <v>6</v>
      </c>
      <c r="BI51" s="25">
        <v>13</v>
      </c>
      <c r="BJ51" s="25">
        <v>22</v>
      </c>
      <c r="BK51" s="25">
        <v>2</v>
      </c>
      <c r="BL51" s="25">
        <v>2803</v>
      </c>
      <c r="BM51" s="25">
        <v>4</v>
      </c>
      <c r="BN51" s="25">
        <v>0</v>
      </c>
      <c r="BO51" s="25">
        <v>0</v>
      </c>
      <c r="BP51" s="25">
        <v>1</v>
      </c>
      <c r="BQ51" s="25">
        <v>1</v>
      </c>
      <c r="BR51" s="25">
        <v>1</v>
      </c>
      <c r="BS51" s="25">
        <v>0</v>
      </c>
      <c r="BT51" s="25">
        <v>0</v>
      </c>
      <c r="BU51" s="25">
        <v>0</v>
      </c>
      <c r="BV51" s="25">
        <v>1</v>
      </c>
      <c r="BW51" s="25">
        <v>6</v>
      </c>
      <c r="BX51" s="25">
        <v>3</v>
      </c>
      <c r="BY51" s="25">
        <v>0</v>
      </c>
      <c r="BZ51" s="25">
        <v>3</v>
      </c>
      <c r="CA51" s="25">
        <v>3</v>
      </c>
      <c r="CB51" s="25">
        <v>0</v>
      </c>
      <c r="CC51" s="25">
        <v>3</v>
      </c>
      <c r="CD51" s="25">
        <v>2</v>
      </c>
      <c r="CE51" s="25">
        <v>1</v>
      </c>
      <c r="CF51" s="25">
        <v>0</v>
      </c>
      <c r="CG51" s="25">
        <v>0</v>
      </c>
      <c r="CH51" s="25">
        <v>0</v>
      </c>
      <c r="CI51" s="25">
        <v>0</v>
      </c>
      <c r="CJ51" s="25">
        <v>0</v>
      </c>
      <c r="CK51" s="25">
        <v>0</v>
      </c>
      <c r="CL51" s="25">
        <v>6</v>
      </c>
      <c r="CM51" s="25">
        <v>0</v>
      </c>
      <c r="CN51" s="25">
        <v>0</v>
      </c>
      <c r="CO51" s="25">
        <v>0</v>
      </c>
      <c r="CP51" s="25">
        <v>0</v>
      </c>
      <c r="CQ51" s="25">
        <v>0</v>
      </c>
      <c r="CR51" s="25">
        <v>0</v>
      </c>
      <c r="CS51" s="25">
        <v>0</v>
      </c>
      <c r="CT51" s="25">
        <v>0</v>
      </c>
      <c r="CU51" s="25">
        <v>0</v>
      </c>
      <c r="CV51" s="25">
        <v>0</v>
      </c>
      <c r="CW51" s="25">
        <v>0</v>
      </c>
      <c r="CX51" s="25">
        <v>0</v>
      </c>
      <c r="CY51" s="25">
        <v>0</v>
      </c>
      <c r="CZ51" s="25">
        <v>0</v>
      </c>
      <c r="DA51" s="25">
        <v>0</v>
      </c>
      <c r="DB51" s="25">
        <v>0</v>
      </c>
      <c r="DC51" s="25">
        <v>0</v>
      </c>
      <c r="DD51" s="25">
        <v>0</v>
      </c>
      <c r="DE51" s="25">
        <v>0</v>
      </c>
      <c r="DF51" s="25">
        <v>0</v>
      </c>
      <c r="DG51" s="25">
        <v>0</v>
      </c>
      <c r="DH51" s="25">
        <v>0</v>
      </c>
      <c r="DI51" s="25">
        <v>0</v>
      </c>
      <c r="DJ51" s="25">
        <v>0</v>
      </c>
      <c r="DK51" s="25">
        <v>0</v>
      </c>
      <c r="DL51" s="25">
        <v>0</v>
      </c>
      <c r="DM51" s="25">
        <v>0</v>
      </c>
      <c r="DN51" s="25">
        <v>3</v>
      </c>
      <c r="DO51" s="25">
        <v>0</v>
      </c>
      <c r="DP51" s="25">
        <v>0</v>
      </c>
      <c r="DQ51" s="25">
        <v>0</v>
      </c>
      <c r="DR51" s="25">
        <v>0</v>
      </c>
      <c r="DS51" s="25">
        <v>0</v>
      </c>
      <c r="DT51" s="25">
        <v>0</v>
      </c>
      <c r="DU51" s="25">
        <v>0</v>
      </c>
      <c r="DV51" s="25">
        <v>0</v>
      </c>
      <c r="DW51" s="25">
        <v>0</v>
      </c>
      <c r="DX51" s="25">
        <v>0</v>
      </c>
      <c r="DY51" s="25">
        <v>0</v>
      </c>
      <c r="DZ51" s="25">
        <v>0</v>
      </c>
      <c r="EA51" s="25">
        <v>0</v>
      </c>
      <c r="EB51" s="25">
        <v>0</v>
      </c>
      <c r="EC51" s="25">
        <v>0</v>
      </c>
      <c r="ED51" s="25">
        <v>0</v>
      </c>
      <c r="EE51" s="25">
        <v>66</v>
      </c>
      <c r="EF51" s="25">
        <v>0</v>
      </c>
      <c r="EG51" s="25">
        <v>0</v>
      </c>
      <c r="EH51" s="25">
        <v>0</v>
      </c>
      <c r="EI51" s="25">
        <v>52</v>
      </c>
      <c r="EJ51" s="25">
        <v>0</v>
      </c>
      <c r="EK51" s="25">
        <v>6</v>
      </c>
      <c r="EL51" s="25">
        <v>0</v>
      </c>
      <c r="EM51" s="25">
        <v>0</v>
      </c>
      <c r="EN51" s="25">
        <v>0</v>
      </c>
      <c r="EO51" s="25">
        <v>28</v>
      </c>
      <c r="EP51" s="25">
        <v>0</v>
      </c>
      <c r="EQ51" s="25">
        <v>0</v>
      </c>
      <c r="ER51" s="25">
        <v>0</v>
      </c>
      <c r="ES51" s="25">
        <v>0</v>
      </c>
      <c r="ET51" s="25">
        <v>0</v>
      </c>
      <c r="EU51" s="25">
        <v>0</v>
      </c>
      <c r="EV51" s="25">
        <v>0</v>
      </c>
      <c r="EW51" s="25">
        <v>0</v>
      </c>
      <c r="EX51" s="25">
        <v>0</v>
      </c>
      <c r="EY51" s="25">
        <v>0</v>
      </c>
      <c r="EZ51" s="25">
        <v>0</v>
      </c>
      <c r="FA51" s="25">
        <v>0</v>
      </c>
      <c r="FB51" s="25">
        <v>0</v>
      </c>
      <c r="FC51" s="25">
        <v>0</v>
      </c>
      <c r="FD51" s="25">
        <v>0</v>
      </c>
      <c r="FE51" s="25">
        <v>0</v>
      </c>
      <c r="FF51" s="25">
        <v>0</v>
      </c>
      <c r="FG51" s="25">
        <v>0</v>
      </c>
      <c r="FH51" s="25">
        <v>0</v>
      </c>
      <c r="FI51" s="25">
        <v>0</v>
      </c>
      <c r="FJ51" s="25">
        <v>0</v>
      </c>
      <c r="FK51" s="25">
        <v>0</v>
      </c>
      <c r="FL51" s="25">
        <v>0</v>
      </c>
      <c r="FM51" s="25">
        <v>0</v>
      </c>
      <c r="FN51" s="25">
        <v>0</v>
      </c>
      <c r="FO51" s="25">
        <v>0</v>
      </c>
      <c r="FP51" s="25">
        <v>0</v>
      </c>
      <c r="FQ51" s="25">
        <v>0</v>
      </c>
      <c r="FR51" s="25">
        <v>0</v>
      </c>
      <c r="FS51" s="25">
        <v>0</v>
      </c>
      <c r="FT51" s="25">
        <v>0</v>
      </c>
      <c r="FU51" s="25">
        <v>0</v>
      </c>
      <c r="FV51" s="25">
        <v>0</v>
      </c>
      <c r="FW51" s="25">
        <v>0</v>
      </c>
      <c r="FX51" s="25">
        <v>0</v>
      </c>
      <c r="FY51" s="25">
        <v>0</v>
      </c>
      <c r="FZ51" s="25">
        <v>0</v>
      </c>
      <c r="GA51" s="25">
        <v>0</v>
      </c>
      <c r="GB51" s="25">
        <v>1</v>
      </c>
      <c r="GC51" s="25">
        <v>0</v>
      </c>
      <c r="GD51" s="25">
        <v>0</v>
      </c>
      <c r="GE51" s="25">
        <v>0</v>
      </c>
      <c r="GF51" s="25">
        <v>0</v>
      </c>
      <c r="GG51" s="25">
        <v>0</v>
      </c>
      <c r="GH51" s="25">
        <v>0</v>
      </c>
      <c r="GI51" s="25">
        <v>0</v>
      </c>
      <c r="GJ51" s="25">
        <v>0</v>
      </c>
      <c r="GK51" s="25">
        <v>0</v>
      </c>
      <c r="GL51" s="25">
        <v>0</v>
      </c>
      <c r="GM51" s="25">
        <v>0</v>
      </c>
      <c r="GN51" s="25">
        <v>0</v>
      </c>
      <c r="GO51" s="25">
        <v>0</v>
      </c>
      <c r="GP51" s="25">
        <v>0</v>
      </c>
      <c r="GQ51" s="25">
        <v>0</v>
      </c>
      <c r="GR51" s="25">
        <v>0</v>
      </c>
      <c r="GS51" s="25">
        <v>0</v>
      </c>
      <c r="GT51" s="25">
        <v>0</v>
      </c>
      <c r="GU51" s="25">
        <v>0</v>
      </c>
      <c r="GV51" s="25">
        <v>0</v>
      </c>
      <c r="GW51" s="25">
        <v>0</v>
      </c>
      <c r="GX51" s="25">
        <v>0</v>
      </c>
      <c r="GY51" s="46">
        <v>0</v>
      </c>
      <c r="GZ51" s="25">
        <v>0</v>
      </c>
      <c r="HA51" s="25">
        <v>1</v>
      </c>
      <c r="HB51" s="25">
        <v>0</v>
      </c>
      <c r="HC51" s="25">
        <v>1</v>
      </c>
      <c r="HD51" s="25">
        <v>0</v>
      </c>
      <c r="HE51" s="25">
        <v>0</v>
      </c>
      <c r="HF51" s="25">
        <v>0</v>
      </c>
      <c r="HG51" s="25">
        <v>0</v>
      </c>
      <c r="HH51" s="25">
        <v>0</v>
      </c>
      <c r="HI51" s="25">
        <v>0</v>
      </c>
      <c r="HJ51" s="25">
        <v>0</v>
      </c>
      <c r="HK51" s="25">
        <v>0</v>
      </c>
      <c r="HL51" s="25">
        <v>0</v>
      </c>
      <c r="HM51" s="25">
        <v>0</v>
      </c>
      <c r="HN51" s="25">
        <v>0</v>
      </c>
      <c r="HO51" s="25">
        <v>0</v>
      </c>
      <c r="HP51" s="25">
        <v>0</v>
      </c>
      <c r="HQ51" s="25">
        <v>0</v>
      </c>
      <c r="HR51" s="25">
        <v>0</v>
      </c>
      <c r="HS51" s="25">
        <v>6</v>
      </c>
      <c r="HT51" s="25">
        <v>0</v>
      </c>
      <c r="HU51" s="25">
        <v>0</v>
      </c>
      <c r="HV51" s="25">
        <v>0</v>
      </c>
      <c r="HW51" s="25">
        <v>0</v>
      </c>
      <c r="HX51" s="25">
        <v>0</v>
      </c>
      <c r="HY51" s="25">
        <v>0</v>
      </c>
      <c r="HZ51" s="25">
        <v>0</v>
      </c>
      <c r="IA51" s="25">
        <v>0</v>
      </c>
      <c r="IB51" s="25">
        <v>0</v>
      </c>
      <c r="IC51" s="25">
        <v>0</v>
      </c>
      <c r="ID51" s="25">
        <v>0</v>
      </c>
      <c r="IE51" s="25">
        <v>0</v>
      </c>
      <c r="IF51" s="25">
        <v>0</v>
      </c>
      <c r="IG51" s="25">
        <v>0</v>
      </c>
      <c r="IH51" s="25">
        <v>0</v>
      </c>
      <c r="II51" s="25">
        <v>0</v>
      </c>
      <c r="IJ51" s="25">
        <v>0</v>
      </c>
      <c r="IK51" s="25">
        <v>0</v>
      </c>
      <c r="IL51" s="25">
        <v>0</v>
      </c>
      <c r="IM51" s="25">
        <v>0</v>
      </c>
      <c r="IN51" s="25">
        <v>0</v>
      </c>
      <c r="IO51" s="25">
        <v>0</v>
      </c>
      <c r="IP51" s="25">
        <v>0</v>
      </c>
      <c r="IQ51" s="25">
        <v>0</v>
      </c>
      <c r="IR51" s="25">
        <v>0</v>
      </c>
      <c r="IS51" s="25">
        <v>0</v>
      </c>
      <c r="IT51" s="25">
        <v>0</v>
      </c>
      <c r="IU51" s="25">
        <v>0</v>
      </c>
      <c r="IV51" s="25">
        <v>0</v>
      </c>
      <c r="IW51" s="25">
        <v>0</v>
      </c>
      <c r="IX51" s="25">
        <v>0</v>
      </c>
      <c r="IY51" s="25">
        <v>0</v>
      </c>
      <c r="IZ51" s="25">
        <v>0</v>
      </c>
      <c r="JA51" s="25">
        <v>0</v>
      </c>
      <c r="JB51" s="25">
        <v>0</v>
      </c>
      <c r="JC51" s="25">
        <v>0</v>
      </c>
      <c r="JD51" s="25">
        <v>0</v>
      </c>
      <c r="JE51" s="25">
        <v>0</v>
      </c>
      <c r="JF51" s="25">
        <v>0</v>
      </c>
      <c r="JG51" s="25">
        <v>0</v>
      </c>
      <c r="JH51" s="25">
        <v>0</v>
      </c>
      <c r="JI51" s="25">
        <v>0</v>
      </c>
      <c r="JJ51" s="25">
        <v>0</v>
      </c>
      <c r="JK51" s="25">
        <v>0</v>
      </c>
      <c r="JL51" s="25">
        <v>0</v>
      </c>
      <c r="JM51" s="25">
        <v>0</v>
      </c>
      <c r="JN51" s="25">
        <v>0</v>
      </c>
      <c r="JO51" s="25">
        <v>0</v>
      </c>
      <c r="JP51" s="25">
        <v>0</v>
      </c>
      <c r="JQ51" s="25">
        <v>0</v>
      </c>
      <c r="JR51" s="25">
        <v>0</v>
      </c>
      <c r="JS51" s="25">
        <v>0</v>
      </c>
      <c r="JT51" s="25">
        <v>0</v>
      </c>
      <c r="JU51" s="25">
        <v>0</v>
      </c>
      <c r="JV51" s="25">
        <v>0</v>
      </c>
      <c r="JW51" s="25">
        <v>0</v>
      </c>
      <c r="JX51" s="25">
        <v>0</v>
      </c>
      <c r="JY51" s="25">
        <v>0</v>
      </c>
      <c r="JZ51" s="25">
        <v>0</v>
      </c>
      <c r="KA51" s="25">
        <v>0</v>
      </c>
      <c r="KB51" s="25">
        <v>0</v>
      </c>
      <c r="KC51" s="25">
        <v>0</v>
      </c>
      <c r="KD51" s="25">
        <v>0</v>
      </c>
      <c r="KE51" s="25">
        <v>0</v>
      </c>
      <c r="KF51" s="25">
        <v>0</v>
      </c>
      <c r="KG51" s="25">
        <v>0</v>
      </c>
      <c r="KH51" s="25">
        <v>0</v>
      </c>
      <c r="KI51" s="25">
        <v>0</v>
      </c>
      <c r="KJ51" s="25">
        <v>0</v>
      </c>
      <c r="KK51" s="25">
        <v>0</v>
      </c>
      <c r="KL51" s="25">
        <v>0</v>
      </c>
      <c r="KM51" s="25">
        <v>0</v>
      </c>
      <c r="KN51" s="25">
        <v>0</v>
      </c>
      <c r="KO51" s="25">
        <v>0</v>
      </c>
      <c r="KP51" s="25">
        <v>0</v>
      </c>
      <c r="KQ51" s="25">
        <v>0</v>
      </c>
      <c r="KR51" s="25">
        <v>0</v>
      </c>
      <c r="KS51" s="25">
        <v>0</v>
      </c>
      <c r="KT51" s="25">
        <v>0</v>
      </c>
      <c r="KU51" s="25">
        <v>0</v>
      </c>
      <c r="KV51" s="25">
        <v>0</v>
      </c>
      <c r="KW51" s="25">
        <v>0</v>
      </c>
      <c r="KX51" s="25">
        <v>0</v>
      </c>
      <c r="KY51" s="25">
        <v>0</v>
      </c>
      <c r="KZ51" s="25">
        <v>0</v>
      </c>
      <c r="LA51" s="25">
        <v>0</v>
      </c>
      <c r="LB51" s="25">
        <v>0</v>
      </c>
      <c r="LC51" s="25">
        <v>0</v>
      </c>
      <c r="LD51" s="25">
        <v>0</v>
      </c>
      <c r="LE51" s="25">
        <v>0</v>
      </c>
      <c r="LF51" s="25">
        <v>0</v>
      </c>
      <c r="LG51" s="25">
        <v>0</v>
      </c>
      <c r="LH51" s="25">
        <v>6</v>
      </c>
      <c r="LI51" s="25">
        <v>0</v>
      </c>
      <c r="LJ51" s="25">
        <v>0</v>
      </c>
      <c r="LK51" s="25">
        <v>0</v>
      </c>
      <c r="LL51" s="25">
        <v>0</v>
      </c>
      <c r="LM51" s="25">
        <v>0</v>
      </c>
      <c r="LN51" s="278">
        <f ca="1">$A51 - DeathsTimeS!Sweden100dt + 1</f>
        <v>-16</v>
      </c>
      <c r="LO51" s="366">
        <f ca="1">INDEX(OFFSET(DeathsTimeS!HeadRow,ROW()-ROW(DeathsTimeS!HeadRow),0,1,COLUMNS(DeathsTimeS!HeadRow)),1,MATCH(LO$5,DeathsTimeS!HeadRow,0))/LO$8</f>
        <v>0</v>
      </c>
      <c r="LP51" s="278">
        <f ca="1">$A51 - DeathsTimeS!Spain100dt</f>
        <v>-9</v>
      </c>
      <c r="LQ51" s="11">
        <f ca="1">INDEX(OFFSET(DeathsTimeS!HeadRow,ROW()-ROW(DeathsTimeS!HeadRow),0,1,COLUMNS(DeathsTimeS!HeadRow)),1,MATCH(LQ$5,DeathsTimeS!HeadRow,0))/LQ$8</f>
        <v>0</v>
      </c>
      <c r="LR51" s="278">
        <f ca="1">$A51 - DeathsTimeS!Victoria100dt</f>
        <v>-32</v>
      </c>
      <c r="LS51" s="11">
        <f ca="1">INDEX(OFFSET(DeathsTimeS!HeadRow,ROW()-ROW(DeathsTimeS!HeadRow),0,1,COLUMNS(DeathsTimeS!HeadRow)),1,MATCH(LS$5,DeathsTimeS!HeadRow,0))/LS$8</f>
        <v>0</v>
      </c>
      <c r="LT51" s="278">
        <f ca="1">$A51 - DeathsTimeS!Iran100dt</f>
        <v>-2</v>
      </c>
      <c r="LU51" s="11">
        <f ca="1">INDEX(OFFSET(DeathsTimeS!HeadRow,ROW()-ROW(DeathsTimeS!HeadRow),0,1,COLUMNS(DeathsTimeS!HeadRow)),1,MATCH(LU$5,DeathsTimeS!HeadRow,0))/LU$8</f>
        <v>7.8784333854583215</v>
      </c>
      <c r="LV51" s="278">
        <f ca="1">$A51 - DeathsTimeS!Japan100dt</f>
        <v>-43</v>
      </c>
      <c r="LW51" s="11">
        <f ca="1">INDEX(OFFSET(DeathsTimeS!HeadRow,ROW()-ROW(DeathsTimeS!HeadRow),0,1,COLUMNS(DeathsTimeS!HeadRow)),1,MATCH(LW$5,DeathsTimeS!HeadRow,0))/LW$8</f>
        <v>0.47410515476913873</v>
      </c>
      <c r="LX51" s="278">
        <f ca="1">$A51 - DeathsTimeS!Queensland100dt</f>
        <v>-47</v>
      </c>
      <c r="LY51" s="11">
        <f ca="1">INDEX(OFFSET(DeathsTimeS!HeadRow,ROW()-ROW(DeathsTimeS!HeadRow),0,1,COLUMNS(DeathsTimeS!HeadRow)),1,MATCH(LY$5,DeathsTimeS!HeadRow,0))/LY$8</f>
        <v>0</v>
      </c>
      <c r="LZ51" s="278">
        <f ca="1">$A51 - DeathsTimeS!Tasmania100dt</f>
        <v>-29</v>
      </c>
      <c r="MA51" s="11">
        <f ca="1">INDEX(OFFSET(DeathsTimeS!HeadRow,ROW()-ROW(DeathsTimeS!HeadRow),0,1,COLUMNS(DeathsTimeS!HeadRow)),1,MATCH(MA$5,DeathsTimeS!HeadRow,0))/MA$8</f>
        <v>0</v>
      </c>
      <c r="MB51" s="278">
        <f ca="1">$A51 - DeathsTimeS!SouthAustralia100dt</f>
        <v>-37</v>
      </c>
      <c r="MC51" s="11">
        <f ca="1">INDEX(OFFSET(DeathsTimeS!HeadRow,ROW()-ROW(DeathsTimeS!HeadRow),0,1,COLUMNS(DeathsTimeS!HeadRow)),1,MATCH(MC$5,DeathsTimeS!HeadRow,0))/MC$8</f>
        <v>0</v>
      </c>
      <c r="MD51" s="278">
        <f ca="1">$A51 - DeathsTimeS!WesternAustralia100dt</f>
        <v>-34</v>
      </c>
      <c r="ME51" s="11">
        <f ca="1">INDEX(OFFSET(DeathsTimeS!HeadRow,ROW()-ROW(DeathsTimeS!HeadRow),0,1,COLUMNS(DeathsTimeS!HeadRow)),1,MATCH(ME$5,DeathsTimeS!HeadRow,0))/ME$8</f>
        <v>3.8624951718810348</v>
      </c>
      <c r="MF51" s="278">
        <f ca="1">$A51 - DeathsTimeS!NewSouthWales100dt</f>
        <v>-30</v>
      </c>
      <c r="MG51" s="11">
        <f ca="1">INDEX(OFFSET(DeathsTimeS!HeadRow,ROW()-ROW(DeathsTimeS!HeadRow),0,1,COLUMNS(DeathsTimeS!HeadRow)),1,MATCH(MG$5,DeathsTimeS!HeadRow,0))/MG$8</f>
        <v>0</v>
      </c>
      <c r="MH51" s="278">
        <f ca="1">$A51 - DeathsTimeS!NewYork100dt</f>
        <v>-14</v>
      </c>
      <c r="MI51" s="11">
        <f ca="1">INDEX(OFFSET(DeathsTimeS!HeadRow,ROW()-ROW(DeathsTimeS!HeadRow),0,1,COLUMNS(DeathsTimeS!HeadRow)),1,MATCH(MI$5,DeathsTimeS!HeadRow,0))/MI$8</f>
        <v>0</v>
      </c>
      <c r="MJ51" s="278">
        <f ca="1">$A51 - DeathsTimeS!Italy100dt</f>
        <v>-1</v>
      </c>
      <c r="MK51" s="20">
        <f ca="1">INDEX(OFFSET(DeathsTimeS!HeadRow,ROW()-ROW(DeathsTimeS!HeadRow),0,1,COLUMNS(DeathsTimeS!HeadRow)),1,MATCH(MK$5,DeathsTimeS!HeadRow,0))/MK$8</f>
        <v>8.597172852773415</v>
      </c>
      <c r="ML51" s="278">
        <f ca="1">$A51 - DeathsTimeS!AustralianCapitalTerritory100dt</f>
        <v>-28</v>
      </c>
      <c r="MM51" s="11">
        <f ca="1">INDEX(OFFSET(DeathsTimeS!HeadRow,ROW()-ROW(DeathsTimeS!HeadRow),0,1,COLUMNS(DeathsTimeS!HeadRow)),1,MATCH(MM$5,DeathsTimeS!HeadRow,0))/MM$8</f>
        <v>0</v>
      </c>
      <c r="MN51" s="278">
        <f ca="1">IF(DeathsTimeS!NorthernTerritory100dt&gt;0,$A51 - DeathsTimeS!NorthernTerritory100dt,"")</f>
        <v>-56</v>
      </c>
      <c r="MO51" s="11">
        <f ca="1">INDEX(OFFSET(DeathsTimeS!HeadRow,ROW()-ROW(DeathsTimeS!HeadRow),0,1,COLUMNS(DeathsTimeS!HeadRow)),1,MATCH(MO$5,DeathsTimeS!HeadRow,0))/MO$8</f>
        <v>0</v>
      </c>
      <c r="MP51" s="278">
        <f ca="1">$A51 - DeathsTimeS!SouthAfrica100dt + 1</f>
        <v>-48</v>
      </c>
      <c r="MQ51" s="20">
        <f ca="1">INDEX(OFFSET(DeathsTimeS!HeadRow,ROW()-ROW(DeathsTimeS!HeadRow),0,1,COLUMNS(DeathsTimeS!HeadRow)),1,MATCH(MQ$5,DeathsTimeS!HeadRow,0))/MQ$8</f>
        <v>0</v>
      </c>
      <c r="MR51" s="278">
        <f ca="1">$A51 - DeathsTimeS!Germany100dt + 1</f>
        <v>-18</v>
      </c>
      <c r="MS51" s="20">
        <f ca="1">INDEX(OFFSET(DeathsTimeS!HeadRow,ROW()-ROW(DeathsTimeS!HeadRow),0,1,COLUMNS(DeathsTimeS!HeadRow)),1,MATCH(MS$5,DeathsTimeS!HeadRow,0))/MS$8</f>
        <v>0</v>
      </c>
      <c r="MT51" s="278">
        <f ca="1">$A51 - DeathsTimeS!Ireland100dt + 1</f>
        <v>-20</v>
      </c>
      <c r="MU51" s="73">
        <f ca="1">INDEX(OFFSET(DeathsTimeS!HeadRow,ROW()-ROW(DeathsTimeS!HeadRow),0,1,COLUMNS(DeathsTimeS!HeadRow)),1,MATCH(MU$5,DeathsTimeS!HeadRow,0))/MU$8</f>
        <v>0</v>
      </c>
      <c r="MV51" s="278">
        <f ca="1">$A51 - DeathsTimeS!UnitedKingdom100dt + 1</f>
        <v>-14</v>
      </c>
      <c r="MW51" s="73">
        <f ca="1">INDEX(OFFSET(DeathsTimeS!HeadRow,ROW()-ROW(DeathsTimeS!HeadRow),0,1,COLUMNS(DeathsTimeS!HeadRow)),1,MATCH(MW$5,DeathsTimeS!HeadRow,0))/MW$8</f>
        <v>0</v>
      </c>
      <c r="MX51" s="278">
        <f ca="1">$A51 - DeathsTimeS!Denmark100dt + 1</f>
        <v>-16</v>
      </c>
      <c r="MY51" s="73">
        <f ca="1">INDEX(OFFSET(DeathsTimeS!HeadRow,ROW()-ROW(DeathsTimeS!HeadRow),0,1,COLUMNS(DeathsTimeS!HeadRow)),1,MATCH(MY$5,DeathsTimeS!HeadRow,0))/MY$8</f>
        <v>0</v>
      </c>
      <c r="MZ51" s="278">
        <f ca="1">$A51 - DeathsTimeS!US100dt + 1</f>
        <v>-17</v>
      </c>
      <c r="NA51" s="73">
        <f ca="1">INDEX(OFFSET(DeathsTimeS!HeadRow,ROW()-ROW(DeathsTimeS!HeadRow),0,1,COLUMNS(DeathsTimeS!HeadRow)),1,MATCH(NA$5,DeathsTimeS!HeadRow,0))/NA$8</f>
        <v>0.18224466415415669</v>
      </c>
      <c r="NB51" s="278">
        <f ca="1">$A51 - DeathsTimeS!AustraliaSum100dt + 1</f>
        <v>-23</v>
      </c>
      <c r="NC51" s="366">
        <f t="shared" si="6"/>
        <v>1</v>
      </c>
      <c r="ND51" s="278">
        <f ca="1">$A51 - DeathsTimeS!Taiwan100dt + 1</f>
        <v>-55</v>
      </c>
      <c r="NE51" s="366">
        <f ca="1">INDEX(OFFSET(DeathsTimeS!HeadRow,ROW()-ROW(DeathsTimeS!HeadRow),0,1,COLUMNS(DeathsTimeS!HeadRow)),1,MATCH(NE$5,DeathsTimeS!HeadRow,0))/NE$8</f>
        <v>0.4200395492437986</v>
      </c>
      <c r="NF51" s="278">
        <f ca="1">$A51 - DeathsTimeS!Hubei100dt + 1</f>
        <v>36</v>
      </c>
      <c r="NG51" s="366">
        <f ca="1">INDEX(OFFSET(DeathsTimeS!HeadRow,ROW()-ROW(DeathsTimeS!HeadRow),0,1,COLUMNS(DeathsTimeS!HeadRow)),1,MATCH(NG$5,DeathsTimeS!HeadRow,0))/NG$8</f>
        <v>479.14529914529919</v>
      </c>
      <c r="NH51" s="278">
        <f ca="1">$A51 - DeathsTimeS!HongKong100dt + 1</f>
        <v>-55</v>
      </c>
      <c r="NI51" s="366">
        <f ca="1">INDEX(OFFSET(DeathsTimeS!HeadRow,ROW()-ROW(DeathsTimeS!HeadRow),0,1,COLUMNS(DeathsTimeS!HeadRow)),1,MATCH(NI$5,DeathsTimeS!HeadRow,0))/NI$8</f>
        <v>2.6842034626224667</v>
      </c>
    </row>
    <row r="52" spans="1:373" x14ac:dyDescent="0.25">
      <c r="A52" s="156">
        <v>43893</v>
      </c>
      <c r="B52" s="25">
        <v>0</v>
      </c>
      <c r="C52" s="25">
        <v>0</v>
      </c>
      <c r="D52" s="25">
        <v>0</v>
      </c>
      <c r="E52" s="25">
        <v>0</v>
      </c>
      <c r="F52" s="25">
        <v>0</v>
      </c>
      <c r="G52" s="25">
        <v>0</v>
      </c>
      <c r="H52" s="25">
        <v>0</v>
      </c>
      <c r="I52" s="25">
        <v>0</v>
      </c>
      <c r="J52" s="25">
        <v>0</v>
      </c>
      <c r="K52" s="25">
        <v>0</v>
      </c>
      <c r="L52" s="25">
        <v>0</v>
      </c>
      <c r="M52" s="25">
        <v>0</v>
      </c>
      <c r="N52" s="25">
        <v>0</v>
      </c>
      <c r="O52" s="25">
        <v>0</v>
      </c>
      <c r="P52" s="25">
        <v>0</v>
      </c>
      <c r="Q52" s="25">
        <v>1</v>
      </c>
      <c r="R52" s="25">
        <v>0</v>
      </c>
      <c r="S52" s="25">
        <v>0</v>
      </c>
      <c r="T52" s="25">
        <v>0</v>
      </c>
      <c r="U52" s="25">
        <v>0</v>
      </c>
      <c r="V52" s="25">
        <v>0</v>
      </c>
      <c r="W52" s="25">
        <v>0</v>
      </c>
      <c r="X52" s="25">
        <v>0</v>
      </c>
      <c r="Y52" s="25">
        <v>0</v>
      </c>
      <c r="Z52" s="25">
        <v>0</v>
      </c>
      <c r="AA52" s="25">
        <v>0</v>
      </c>
      <c r="AB52" s="25">
        <v>0</v>
      </c>
      <c r="AC52" s="25">
        <v>0</v>
      </c>
      <c r="AD52" s="25">
        <v>0</v>
      </c>
      <c r="AE52" s="25">
        <v>0</v>
      </c>
      <c r="AF52" s="25">
        <v>0</v>
      </c>
      <c r="AG52" s="25">
        <v>0</v>
      </c>
      <c r="AH52" s="25">
        <v>0</v>
      </c>
      <c r="AI52" s="25">
        <v>0</v>
      </c>
      <c r="AJ52" s="25">
        <v>0</v>
      </c>
      <c r="AK52" s="25">
        <v>0</v>
      </c>
      <c r="AL52" s="25">
        <v>0</v>
      </c>
      <c r="AM52" s="25">
        <v>0</v>
      </c>
      <c r="AN52" s="25">
        <v>0</v>
      </c>
      <c r="AO52" s="25">
        <v>0</v>
      </c>
      <c r="AP52" s="25">
        <v>0</v>
      </c>
      <c r="AQ52" s="25">
        <v>0</v>
      </c>
      <c r="AR52" s="25">
        <v>0</v>
      </c>
      <c r="AS52" s="25">
        <v>0</v>
      </c>
      <c r="AT52" s="25">
        <v>0</v>
      </c>
      <c r="AU52" s="25">
        <v>0</v>
      </c>
      <c r="AV52" s="25">
        <v>0</v>
      </c>
      <c r="AW52" s="25">
        <v>0</v>
      </c>
      <c r="AX52" s="25">
        <v>0</v>
      </c>
      <c r="AY52" s="25">
        <v>6</v>
      </c>
      <c r="AZ52" s="25">
        <v>8</v>
      </c>
      <c r="BA52" s="25">
        <v>6</v>
      </c>
      <c r="BB52" s="25">
        <v>1</v>
      </c>
      <c r="BC52" s="25">
        <v>2</v>
      </c>
      <c r="BD52" s="25">
        <v>7</v>
      </c>
      <c r="BE52" s="25">
        <v>2</v>
      </c>
      <c r="BF52" s="25">
        <v>2</v>
      </c>
      <c r="BG52" s="25">
        <v>5</v>
      </c>
      <c r="BH52" s="25">
        <v>6</v>
      </c>
      <c r="BI52" s="25">
        <v>13</v>
      </c>
      <c r="BJ52" s="25">
        <v>22</v>
      </c>
      <c r="BK52" s="25">
        <v>2</v>
      </c>
      <c r="BL52" s="25">
        <v>2835</v>
      </c>
      <c r="BM52" s="25">
        <v>4</v>
      </c>
      <c r="BN52" s="25">
        <v>1</v>
      </c>
      <c r="BO52" s="25">
        <v>0</v>
      </c>
      <c r="BP52" s="25">
        <v>1</v>
      </c>
      <c r="BQ52" s="25">
        <v>1</v>
      </c>
      <c r="BR52" s="25">
        <v>1</v>
      </c>
      <c r="BS52" s="25">
        <v>0</v>
      </c>
      <c r="BT52" s="25">
        <v>0</v>
      </c>
      <c r="BU52" s="25">
        <v>0</v>
      </c>
      <c r="BV52" s="25">
        <v>1</v>
      </c>
      <c r="BW52" s="25">
        <v>6</v>
      </c>
      <c r="BX52" s="25">
        <v>3</v>
      </c>
      <c r="BY52" s="25">
        <v>0</v>
      </c>
      <c r="BZ52" s="25">
        <v>3</v>
      </c>
      <c r="CA52" s="25">
        <v>3</v>
      </c>
      <c r="CB52" s="25">
        <v>0</v>
      </c>
      <c r="CC52" s="25">
        <v>3</v>
      </c>
      <c r="CD52" s="25">
        <v>2</v>
      </c>
      <c r="CE52" s="25">
        <v>1</v>
      </c>
      <c r="CF52" s="25">
        <v>0</v>
      </c>
      <c r="CG52" s="25">
        <v>0</v>
      </c>
      <c r="CH52" s="25">
        <v>0</v>
      </c>
      <c r="CI52" s="25">
        <v>0</v>
      </c>
      <c r="CJ52" s="25">
        <v>0</v>
      </c>
      <c r="CK52" s="25">
        <v>0</v>
      </c>
      <c r="CL52" s="25">
        <v>6</v>
      </c>
      <c r="CM52" s="25">
        <v>0</v>
      </c>
      <c r="CN52" s="25">
        <v>0</v>
      </c>
      <c r="CO52" s="25">
        <v>0</v>
      </c>
      <c r="CP52" s="25">
        <v>0</v>
      </c>
      <c r="CQ52" s="25">
        <v>0</v>
      </c>
      <c r="CR52" s="25">
        <v>0</v>
      </c>
      <c r="CS52" s="25">
        <v>0</v>
      </c>
      <c r="CT52" s="25">
        <v>0</v>
      </c>
      <c r="CU52" s="25">
        <v>0</v>
      </c>
      <c r="CV52" s="25">
        <v>0</v>
      </c>
      <c r="CW52" s="25">
        <v>0</v>
      </c>
      <c r="CX52" s="25">
        <v>0</v>
      </c>
      <c r="CY52" s="25">
        <v>0</v>
      </c>
      <c r="CZ52" s="25">
        <v>0</v>
      </c>
      <c r="DA52" s="25">
        <v>0</v>
      </c>
      <c r="DB52" s="25">
        <v>0</v>
      </c>
      <c r="DC52" s="25">
        <v>0</v>
      </c>
      <c r="DD52" s="25">
        <v>0</v>
      </c>
      <c r="DE52" s="25">
        <v>0</v>
      </c>
      <c r="DF52" s="25">
        <v>0</v>
      </c>
      <c r="DG52" s="25">
        <v>0</v>
      </c>
      <c r="DH52" s="25">
        <v>0</v>
      </c>
      <c r="DI52" s="25">
        <v>0</v>
      </c>
      <c r="DJ52" s="25">
        <v>0</v>
      </c>
      <c r="DK52" s="25">
        <v>0</v>
      </c>
      <c r="DL52" s="25">
        <v>0</v>
      </c>
      <c r="DM52" s="25">
        <v>0</v>
      </c>
      <c r="DN52" s="25">
        <v>4</v>
      </c>
      <c r="DO52" s="25">
        <v>0</v>
      </c>
      <c r="DP52" s="25">
        <v>0</v>
      </c>
      <c r="DQ52" s="25">
        <v>0</v>
      </c>
      <c r="DR52" s="25">
        <v>0</v>
      </c>
      <c r="DS52" s="25">
        <v>0</v>
      </c>
      <c r="DT52" s="25">
        <v>0</v>
      </c>
      <c r="DU52" s="25">
        <v>0</v>
      </c>
      <c r="DV52" s="25">
        <v>0</v>
      </c>
      <c r="DW52" s="25">
        <v>0</v>
      </c>
      <c r="DX52" s="25">
        <v>0</v>
      </c>
      <c r="DY52" s="25">
        <v>0</v>
      </c>
      <c r="DZ52" s="25">
        <v>0</v>
      </c>
      <c r="EA52" s="25">
        <v>0</v>
      </c>
      <c r="EB52" s="25">
        <v>0</v>
      </c>
      <c r="EC52" s="25">
        <v>0</v>
      </c>
      <c r="ED52" s="25">
        <v>0</v>
      </c>
      <c r="EE52" s="25">
        <v>77</v>
      </c>
      <c r="EF52" s="25">
        <v>0</v>
      </c>
      <c r="EG52" s="25">
        <v>0</v>
      </c>
      <c r="EH52" s="25">
        <v>0</v>
      </c>
      <c r="EI52" s="25">
        <v>79</v>
      </c>
      <c r="EJ52" s="25">
        <v>0</v>
      </c>
      <c r="EK52" s="25">
        <v>6</v>
      </c>
      <c r="EL52" s="25">
        <v>0</v>
      </c>
      <c r="EM52" s="25">
        <v>0</v>
      </c>
      <c r="EN52" s="25">
        <v>0</v>
      </c>
      <c r="EO52" s="25">
        <v>28</v>
      </c>
      <c r="EP52" s="25">
        <v>0</v>
      </c>
      <c r="EQ52" s="25">
        <v>0</v>
      </c>
      <c r="ER52" s="25">
        <v>0</v>
      </c>
      <c r="ES52" s="25">
        <v>0</v>
      </c>
      <c r="ET52" s="25">
        <v>0</v>
      </c>
      <c r="EU52" s="25">
        <v>0</v>
      </c>
      <c r="EV52" s="25">
        <v>0</v>
      </c>
      <c r="EW52" s="25">
        <v>0</v>
      </c>
      <c r="EX52" s="25">
        <v>0</v>
      </c>
      <c r="EY52" s="25">
        <v>0</v>
      </c>
      <c r="EZ52" s="25">
        <v>0</v>
      </c>
      <c r="FA52" s="25">
        <v>0</v>
      </c>
      <c r="FB52" s="25">
        <v>0</v>
      </c>
      <c r="FC52" s="25">
        <v>0</v>
      </c>
      <c r="FD52" s="25">
        <v>0</v>
      </c>
      <c r="FE52" s="25">
        <v>0</v>
      </c>
      <c r="FF52" s="25">
        <v>0</v>
      </c>
      <c r="FG52" s="25">
        <v>0</v>
      </c>
      <c r="FH52" s="25">
        <v>0</v>
      </c>
      <c r="FI52" s="25">
        <v>0</v>
      </c>
      <c r="FJ52" s="25">
        <v>0</v>
      </c>
      <c r="FK52" s="25">
        <v>0</v>
      </c>
      <c r="FL52" s="25">
        <v>0</v>
      </c>
      <c r="FM52" s="25">
        <v>0</v>
      </c>
      <c r="FN52" s="25">
        <v>0</v>
      </c>
      <c r="FO52" s="25">
        <v>0</v>
      </c>
      <c r="FP52" s="25">
        <v>0</v>
      </c>
      <c r="FQ52" s="25">
        <v>0</v>
      </c>
      <c r="FR52" s="25">
        <v>0</v>
      </c>
      <c r="FS52" s="25">
        <v>0</v>
      </c>
      <c r="FT52" s="25">
        <v>0</v>
      </c>
      <c r="FU52" s="25">
        <v>0</v>
      </c>
      <c r="FV52" s="25">
        <v>0</v>
      </c>
      <c r="FW52" s="25">
        <v>0</v>
      </c>
      <c r="FX52" s="25">
        <v>0</v>
      </c>
      <c r="FY52" s="25">
        <v>0</v>
      </c>
      <c r="FZ52" s="25">
        <v>0</v>
      </c>
      <c r="GA52" s="25">
        <v>0</v>
      </c>
      <c r="GB52" s="25">
        <v>1</v>
      </c>
      <c r="GC52" s="25">
        <v>0</v>
      </c>
      <c r="GD52" s="25">
        <v>0</v>
      </c>
      <c r="GE52" s="25">
        <v>0</v>
      </c>
      <c r="GF52" s="25">
        <v>0</v>
      </c>
      <c r="GG52" s="25">
        <v>0</v>
      </c>
      <c r="GH52" s="25">
        <v>0</v>
      </c>
      <c r="GI52" s="25">
        <v>0</v>
      </c>
      <c r="GJ52" s="25">
        <v>0</v>
      </c>
      <c r="GK52" s="25">
        <v>1</v>
      </c>
      <c r="GL52" s="25">
        <v>0</v>
      </c>
      <c r="GM52" s="25">
        <v>0</v>
      </c>
      <c r="GN52" s="25">
        <v>0</v>
      </c>
      <c r="GO52" s="25">
        <v>0</v>
      </c>
      <c r="GP52" s="25">
        <v>0</v>
      </c>
      <c r="GQ52" s="25">
        <v>0</v>
      </c>
      <c r="GR52" s="25">
        <v>0</v>
      </c>
      <c r="GS52" s="25">
        <v>0</v>
      </c>
      <c r="GT52" s="25">
        <v>0</v>
      </c>
      <c r="GU52" s="25">
        <v>1</v>
      </c>
      <c r="GV52" s="25">
        <v>0</v>
      </c>
      <c r="GW52" s="25">
        <v>0</v>
      </c>
      <c r="GX52" s="25">
        <v>0</v>
      </c>
      <c r="GY52" s="46">
        <v>0</v>
      </c>
      <c r="GZ52" s="25">
        <v>0</v>
      </c>
      <c r="HA52" s="25">
        <v>1</v>
      </c>
      <c r="HB52" s="25">
        <v>0</v>
      </c>
      <c r="HC52" s="25">
        <v>1</v>
      </c>
      <c r="HD52" s="25">
        <v>0</v>
      </c>
      <c r="HE52" s="25">
        <v>0</v>
      </c>
      <c r="HF52" s="25">
        <v>0</v>
      </c>
      <c r="HG52" s="25">
        <v>0</v>
      </c>
      <c r="HH52" s="25">
        <v>0</v>
      </c>
      <c r="HI52" s="25">
        <v>0</v>
      </c>
      <c r="HJ52" s="25">
        <v>0</v>
      </c>
      <c r="HK52" s="25">
        <v>0</v>
      </c>
      <c r="HL52" s="25">
        <v>0</v>
      </c>
      <c r="HM52" s="25">
        <v>0</v>
      </c>
      <c r="HN52" s="25">
        <v>0</v>
      </c>
      <c r="HO52" s="25">
        <v>0</v>
      </c>
      <c r="HP52" s="25">
        <v>0</v>
      </c>
      <c r="HQ52" s="25">
        <v>0</v>
      </c>
      <c r="HR52" s="25">
        <v>0</v>
      </c>
      <c r="HS52" s="25">
        <v>7</v>
      </c>
      <c r="HT52" s="25">
        <v>0</v>
      </c>
      <c r="HU52" s="25">
        <v>0</v>
      </c>
      <c r="HV52" s="25">
        <v>0</v>
      </c>
      <c r="HW52" s="25">
        <v>0</v>
      </c>
      <c r="HX52" s="25">
        <v>0</v>
      </c>
      <c r="HY52" s="25">
        <v>0</v>
      </c>
      <c r="HZ52" s="25">
        <v>0</v>
      </c>
      <c r="IA52" s="25">
        <v>0</v>
      </c>
      <c r="IB52" s="25">
        <v>0</v>
      </c>
      <c r="IC52" s="25">
        <v>0</v>
      </c>
      <c r="ID52" s="25">
        <v>0</v>
      </c>
      <c r="IE52" s="25">
        <v>0</v>
      </c>
      <c r="IF52" s="25">
        <v>0</v>
      </c>
      <c r="IG52" s="25">
        <v>0</v>
      </c>
      <c r="IH52" s="25">
        <v>0</v>
      </c>
      <c r="II52" s="25">
        <v>0</v>
      </c>
      <c r="IJ52" s="25">
        <v>0</v>
      </c>
      <c r="IK52" s="25">
        <v>0</v>
      </c>
      <c r="IL52" s="25">
        <v>0</v>
      </c>
      <c r="IM52" s="25">
        <v>0</v>
      </c>
      <c r="IN52" s="25">
        <v>0</v>
      </c>
      <c r="IO52" s="25">
        <v>0</v>
      </c>
      <c r="IP52" s="25">
        <v>0</v>
      </c>
      <c r="IQ52" s="25">
        <v>0</v>
      </c>
      <c r="IR52" s="25">
        <v>0</v>
      </c>
      <c r="IS52" s="25">
        <v>0</v>
      </c>
      <c r="IT52" s="25">
        <v>0</v>
      </c>
      <c r="IU52" s="25">
        <v>0</v>
      </c>
      <c r="IV52" s="25">
        <v>0</v>
      </c>
      <c r="IW52" s="25">
        <v>0</v>
      </c>
      <c r="IX52" s="25">
        <v>0</v>
      </c>
      <c r="IY52" s="25">
        <v>0</v>
      </c>
      <c r="IZ52" s="25">
        <v>0</v>
      </c>
      <c r="JA52" s="25">
        <v>0</v>
      </c>
      <c r="JB52" s="25">
        <v>0</v>
      </c>
      <c r="JC52" s="25">
        <v>0</v>
      </c>
      <c r="JD52" s="25">
        <v>0</v>
      </c>
      <c r="JE52" s="25">
        <v>0</v>
      </c>
      <c r="JF52" s="25">
        <v>0</v>
      </c>
      <c r="JG52" s="25">
        <v>0</v>
      </c>
      <c r="JH52" s="25">
        <v>0</v>
      </c>
      <c r="JI52" s="25">
        <v>0</v>
      </c>
      <c r="JJ52" s="25">
        <v>0</v>
      </c>
      <c r="JK52" s="25">
        <v>0</v>
      </c>
      <c r="JL52" s="25">
        <v>0</v>
      </c>
      <c r="JM52" s="25">
        <v>0</v>
      </c>
      <c r="JN52" s="25">
        <v>0</v>
      </c>
      <c r="JO52" s="25">
        <v>0</v>
      </c>
      <c r="JP52" s="25">
        <v>0</v>
      </c>
      <c r="JQ52" s="25">
        <v>0</v>
      </c>
      <c r="JR52" s="25">
        <v>0</v>
      </c>
      <c r="JS52" s="25">
        <v>0</v>
      </c>
      <c r="JT52" s="25">
        <v>0</v>
      </c>
      <c r="JU52" s="25">
        <v>0</v>
      </c>
      <c r="JV52" s="25">
        <v>0</v>
      </c>
      <c r="JW52" s="25">
        <v>0</v>
      </c>
      <c r="JX52" s="25">
        <v>0</v>
      </c>
      <c r="JY52" s="25">
        <v>0</v>
      </c>
      <c r="JZ52" s="25">
        <v>0</v>
      </c>
      <c r="KA52" s="25">
        <v>0</v>
      </c>
      <c r="KB52" s="25">
        <v>0</v>
      </c>
      <c r="KC52" s="25">
        <v>0</v>
      </c>
      <c r="KD52" s="25">
        <v>0</v>
      </c>
      <c r="KE52" s="25">
        <v>0</v>
      </c>
      <c r="KF52" s="25">
        <v>0</v>
      </c>
      <c r="KG52" s="25">
        <v>0</v>
      </c>
      <c r="KH52" s="25">
        <v>0</v>
      </c>
      <c r="KI52" s="25">
        <v>0</v>
      </c>
      <c r="KJ52" s="25">
        <v>0</v>
      </c>
      <c r="KK52" s="25">
        <v>0</v>
      </c>
      <c r="KL52" s="25">
        <v>0</v>
      </c>
      <c r="KM52" s="25">
        <v>0</v>
      </c>
      <c r="KN52" s="25">
        <v>0</v>
      </c>
      <c r="KO52" s="25">
        <v>0</v>
      </c>
      <c r="KP52" s="25">
        <v>0</v>
      </c>
      <c r="KQ52" s="25">
        <v>0</v>
      </c>
      <c r="KR52" s="25">
        <v>0</v>
      </c>
      <c r="KS52" s="25">
        <v>0</v>
      </c>
      <c r="KT52" s="25">
        <v>0</v>
      </c>
      <c r="KU52" s="25">
        <v>0</v>
      </c>
      <c r="KV52" s="25">
        <v>0</v>
      </c>
      <c r="KW52" s="25">
        <v>0</v>
      </c>
      <c r="KX52" s="25">
        <v>0</v>
      </c>
      <c r="KY52" s="25">
        <v>0</v>
      </c>
      <c r="KZ52" s="25">
        <v>0</v>
      </c>
      <c r="LA52" s="25">
        <v>0</v>
      </c>
      <c r="LB52" s="25">
        <v>0</v>
      </c>
      <c r="LC52" s="25">
        <v>0</v>
      </c>
      <c r="LD52" s="25">
        <v>0</v>
      </c>
      <c r="LE52" s="25">
        <v>0</v>
      </c>
      <c r="LF52" s="25">
        <v>0</v>
      </c>
      <c r="LG52" s="25">
        <v>0</v>
      </c>
      <c r="LH52" s="25">
        <v>7</v>
      </c>
      <c r="LI52" s="25">
        <v>0</v>
      </c>
      <c r="LJ52" s="25">
        <v>0</v>
      </c>
      <c r="LK52" s="25">
        <v>0</v>
      </c>
      <c r="LL52" s="25">
        <v>0</v>
      </c>
      <c r="LM52" s="25">
        <v>0</v>
      </c>
      <c r="LN52" s="278">
        <f ca="1">$A52 - DeathsTimeS!Sweden100dt + 1</f>
        <v>-15</v>
      </c>
      <c r="LO52" s="366">
        <f ca="1">INDEX(OFFSET(DeathsTimeS!HeadRow,ROW()-ROW(DeathsTimeS!HeadRow),0,1,COLUMNS(DeathsTimeS!HeadRow)),1,MATCH(LO$5,DeathsTimeS!HeadRow,0))/LO$8</f>
        <v>0</v>
      </c>
      <c r="LP52" s="278">
        <f ca="1">$A52 - DeathsTimeS!Spain100dt</f>
        <v>-8</v>
      </c>
      <c r="LQ52" s="11">
        <f ca="1">INDEX(OFFSET(DeathsTimeS!HeadRow,ROW()-ROW(DeathsTimeS!HeadRow),0,1,COLUMNS(DeathsTimeS!HeadRow)),1,MATCH(LQ$5,DeathsTimeS!HeadRow,0))/LQ$8</f>
        <v>0.21303792074989347</v>
      </c>
      <c r="LR52" s="278">
        <f ca="1">$A52 - DeathsTimeS!Victoria100dt</f>
        <v>-31</v>
      </c>
      <c r="LS52" s="11">
        <f ca="1">INDEX(OFFSET(DeathsTimeS!HeadRow,ROW()-ROW(DeathsTimeS!HeadRow),0,1,COLUMNS(DeathsTimeS!HeadRow)),1,MATCH(LS$5,DeathsTimeS!HeadRow,0))/LS$8</f>
        <v>0</v>
      </c>
      <c r="LT52" s="278">
        <f ca="1">$A52 - DeathsTimeS!Iran100dt</f>
        <v>-1</v>
      </c>
      <c r="LU52" s="11">
        <f ca="1">INDEX(OFFSET(DeathsTimeS!HeadRow,ROW()-ROW(DeathsTimeS!HeadRow),0,1,COLUMNS(DeathsTimeS!HeadRow)),1,MATCH(LU$5,DeathsTimeS!HeadRow,0))/LU$8</f>
        <v>9.1915056163680422</v>
      </c>
      <c r="LV52" s="278">
        <f ca="1">$A52 - DeathsTimeS!Japan100dt</f>
        <v>-42</v>
      </c>
      <c r="LW52" s="11">
        <f ca="1">INDEX(OFFSET(DeathsTimeS!HeadRow,ROW()-ROW(DeathsTimeS!HeadRow),0,1,COLUMNS(DeathsTimeS!HeadRow)),1,MATCH(LW$5,DeathsTimeS!HeadRow,0))/LW$8</f>
        <v>0.47410515476913873</v>
      </c>
      <c r="LX52" s="278">
        <f ca="1">$A52 - DeathsTimeS!Queensland100dt</f>
        <v>-46</v>
      </c>
      <c r="LY52" s="11">
        <f ca="1">INDEX(OFFSET(DeathsTimeS!HeadRow,ROW()-ROW(DeathsTimeS!HeadRow),0,1,COLUMNS(DeathsTimeS!HeadRow)),1,MATCH(LY$5,DeathsTimeS!HeadRow,0))/LY$8</f>
        <v>0</v>
      </c>
      <c r="LZ52" s="278">
        <f ca="1">$A52 - DeathsTimeS!Tasmania100dt</f>
        <v>-28</v>
      </c>
      <c r="MA52" s="11">
        <f ca="1">INDEX(OFFSET(DeathsTimeS!HeadRow,ROW()-ROW(DeathsTimeS!HeadRow),0,1,COLUMNS(DeathsTimeS!HeadRow)),1,MATCH(MA$5,DeathsTimeS!HeadRow,0))/MA$8</f>
        <v>0</v>
      </c>
      <c r="MB52" s="278">
        <f ca="1">$A52 - DeathsTimeS!SouthAustralia100dt</f>
        <v>-36</v>
      </c>
      <c r="MC52" s="11">
        <f ca="1">INDEX(OFFSET(DeathsTimeS!HeadRow,ROW()-ROW(DeathsTimeS!HeadRow),0,1,COLUMNS(DeathsTimeS!HeadRow)),1,MATCH(MC$5,DeathsTimeS!HeadRow,0))/MC$8</f>
        <v>0</v>
      </c>
      <c r="MD52" s="278">
        <f ca="1">$A52 - DeathsTimeS!WesternAustralia100dt</f>
        <v>-33</v>
      </c>
      <c r="ME52" s="11">
        <f ca="1">INDEX(OFFSET(DeathsTimeS!HeadRow,ROW()-ROW(DeathsTimeS!HeadRow),0,1,COLUMNS(DeathsTimeS!HeadRow)),1,MATCH(ME$5,DeathsTimeS!HeadRow,0))/ME$8</f>
        <v>3.8624951718810348</v>
      </c>
      <c r="MF52" s="278">
        <f ca="1">$A52 - DeathsTimeS!NewSouthWales100dt</f>
        <v>-29</v>
      </c>
      <c r="MG52" s="11">
        <f ca="1">INDEX(OFFSET(DeathsTimeS!HeadRow,ROW()-ROW(DeathsTimeS!HeadRow),0,1,COLUMNS(DeathsTimeS!HeadRow)),1,MATCH(MG$5,DeathsTimeS!HeadRow,0))/MG$8</f>
        <v>0</v>
      </c>
      <c r="MH52" s="278">
        <f ca="1">$A52 - DeathsTimeS!NewYork100dt</f>
        <v>-13</v>
      </c>
      <c r="MI52" s="11">
        <f ca="1">INDEX(OFFSET(DeathsTimeS!HeadRow,ROW()-ROW(DeathsTimeS!HeadRow),0,1,COLUMNS(DeathsTimeS!HeadRow)),1,MATCH(MI$5,DeathsTimeS!HeadRow,0))/MI$8</f>
        <v>0</v>
      </c>
      <c r="MJ52" s="278">
        <f ca="1">$A52 - DeathsTimeS!Italy100dt</f>
        <v>0</v>
      </c>
      <c r="MK52" s="20">
        <f ca="1">INDEX(OFFSET(DeathsTimeS!HeadRow,ROW()-ROW(DeathsTimeS!HeadRow),0,1,COLUMNS(DeathsTimeS!HeadRow)),1,MATCH(MK$5,DeathsTimeS!HeadRow,0))/MK$8</f>
        <v>13.061089526328843</v>
      </c>
      <c r="ML52" s="278">
        <f ca="1">$A52 - DeathsTimeS!AustralianCapitalTerritory100dt</f>
        <v>-27</v>
      </c>
      <c r="MM52" s="11">
        <f ca="1">INDEX(OFFSET(DeathsTimeS!HeadRow,ROW()-ROW(DeathsTimeS!HeadRow),0,1,COLUMNS(DeathsTimeS!HeadRow)),1,MATCH(MM$5,DeathsTimeS!HeadRow,0))/MM$8</f>
        <v>0</v>
      </c>
      <c r="MN52" s="278">
        <f ca="1">IF(DeathsTimeS!NorthernTerritory100dt&gt;0,$A52 - DeathsTimeS!NorthernTerritory100dt,"")</f>
        <v>-55</v>
      </c>
      <c r="MO52" s="11">
        <f ca="1">INDEX(OFFSET(DeathsTimeS!HeadRow,ROW()-ROW(DeathsTimeS!HeadRow),0,1,COLUMNS(DeathsTimeS!HeadRow)),1,MATCH(MO$5,DeathsTimeS!HeadRow,0))/MO$8</f>
        <v>0</v>
      </c>
      <c r="MP52" s="278">
        <f ca="1">$A52 - DeathsTimeS!SouthAfrica100dt + 1</f>
        <v>-47</v>
      </c>
      <c r="MQ52" s="20">
        <f ca="1">INDEX(OFFSET(DeathsTimeS!HeadRow,ROW()-ROW(DeathsTimeS!HeadRow),0,1,COLUMNS(DeathsTimeS!HeadRow)),1,MATCH(MQ$5,DeathsTimeS!HeadRow,0))/MQ$8</f>
        <v>0</v>
      </c>
      <c r="MR52" s="278">
        <f ca="1">$A52 - DeathsTimeS!Germany100dt + 1</f>
        <v>-17</v>
      </c>
      <c r="MS52" s="20">
        <f ca="1">INDEX(OFFSET(DeathsTimeS!HeadRow,ROW()-ROW(DeathsTimeS!HeadRow),0,1,COLUMNS(DeathsTimeS!HeadRow)),1,MATCH(MS$5,DeathsTimeS!HeadRow,0))/MS$8</f>
        <v>0</v>
      </c>
      <c r="MT52" s="278">
        <f ca="1">$A52 - DeathsTimeS!Ireland100dt + 1</f>
        <v>-19</v>
      </c>
      <c r="MU52" s="73">
        <f ca="1">INDEX(OFFSET(DeathsTimeS!HeadRow,ROW()-ROW(DeathsTimeS!HeadRow),0,1,COLUMNS(DeathsTimeS!HeadRow)),1,MATCH(MU$5,DeathsTimeS!HeadRow,0))/MU$8</f>
        <v>0</v>
      </c>
      <c r="MV52" s="278">
        <f ca="1">$A52 - DeathsTimeS!UnitedKingdom100dt + 1</f>
        <v>-13</v>
      </c>
      <c r="MW52" s="73">
        <f ca="1">INDEX(OFFSET(DeathsTimeS!HeadRow,ROW()-ROW(DeathsTimeS!HeadRow),0,1,COLUMNS(DeathsTimeS!HeadRow)),1,MATCH(MW$5,DeathsTimeS!HeadRow,0))/MW$8</f>
        <v>0</v>
      </c>
      <c r="MX52" s="278">
        <f ca="1">$A52 - DeathsTimeS!Denmark100dt + 1</f>
        <v>-15</v>
      </c>
      <c r="MY52" s="73">
        <f ca="1">INDEX(OFFSET(DeathsTimeS!HeadRow,ROW()-ROW(DeathsTimeS!HeadRow),0,1,COLUMNS(DeathsTimeS!HeadRow)),1,MATCH(MY$5,DeathsTimeS!HeadRow,0))/MY$8</f>
        <v>0</v>
      </c>
      <c r="MZ52" s="278">
        <f ca="1">$A52 - DeathsTimeS!US100dt + 1</f>
        <v>-16</v>
      </c>
      <c r="NA52" s="73">
        <f ca="1">INDEX(OFFSET(DeathsTimeS!HeadRow,ROW()-ROW(DeathsTimeS!HeadRow),0,1,COLUMNS(DeathsTimeS!HeadRow)),1,MATCH(NA$5,DeathsTimeS!HeadRow,0))/NA$8</f>
        <v>0.21261877484651615</v>
      </c>
      <c r="NB52" s="278">
        <f ca="1">$A52 - DeathsTimeS!AustraliaSum100dt + 1</f>
        <v>-22</v>
      </c>
      <c r="NC52" s="366">
        <f t="shared" si="6"/>
        <v>1</v>
      </c>
      <c r="ND52" s="278">
        <f ca="1">$A52 - DeathsTimeS!Taiwan100dt + 1</f>
        <v>-54</v>
      </c>
      <c r="NE52" s="366">
        <f ca="1">INDEX(OFFSET(DeathsTimeS!HeadRow,ROW()-ROW(DeathsTimeS!HeadRow),0,1,COLUMNS(DeathsTimeS!HeadRow)),1,MATCH(NE$5,DeathsTimeS!HeadRow,0))/NE$8</f>
        <v>0.4200395492437986</v>
      </c>
      <c r="NF52" s="278">
        <f ca="1">$A52 - DeathsTimeS!Hubei100dt + 1</f>
        <v>37</v>
      </c>
      <c r="NG52" s="366">
        <f ca="1">INDEX(OFFSET(DeathsTimeS!HeadRow,ROW()-ROW(DeathsTimeS!HeadRow),0,1,COLUMNS(DeathsTimeS!HeadRow)),1,MATCH(NG$5,DeathsTimeS!HeadRow,0))/NG$8</f>
        <v>484.61538461538464</v>
      </c>
      <c r="NH52" s="278">
        <f ca="1">$A52 - DeathsTimeS!HongKong100dt + 1</f>
        <v>-54</v>
      </c>
      <c r="NI52" s="366">
        <f ca="1">INDEX(OFFSET(DeathsTimeS!HeadRow,ROW()-ROW(DeathsTimeS!HeadRow),0,1,COLUMNS(DeathsTimeS!HeadRow)),1,MATCH(NI$5,DeathsTimeS!HeadRow,0))/NI$8</f>
        <v>2.6842034626224667</v>
      </c>
    </row>
    <row r="53" spans="1:373" x14ac:dyDescent="0.25">
      <c r="A53" s="156">
        <v>43894</v>
      </c>
      <c r="B53" s="25">
        <v>0</v>
      </c>
      <c r="C53" s="25">
        <v>0</v>
      </c>
      <c r="D53" s="25">
        <v>0</v>
      </c>
      <c r="E53" s="25">
        <v>0</v>
      </c>
      <c r="F53" s="25">
        <v>0</v>
      </c>
      <c r="G53" s="25">
        <v>0</v>
      </c>
      <c r="H53" s="25">
        <v>0</v>
      </c>
      <c r="I53" s="25">
        <v>0</v>
      </c>
      <c r="J53" s="25">
        <v>0</v>
      </c>
      <c r="K53" s="25">
        <v>1</v>
      </c>
      <c r="L53" s="25">
        <v>0</v>
      </c>
      <c r="M53" s="25">
        <v>0</v>
      </c>
      <c r="N53" s="25">
        <v>0</v>
      </c>
      <c r="O53" s="25">
        <v>0</v>
      </c>
      <c r="P53" s="25">
        <v>0</v>
      </c>
      <c r="Q53" s="25">
        <v>1</v>
      </c>
      <c r="R53" s="25">
        <v>0</v>
      </c>
      <c r="S53" s="25">
        <v>0</v>
      </c>
      <c r="T53" s="25">
        <v>0</v>
      </c>
      <c r="U53" s="25">
        <v>0</v>
      </c>
      <c r="V53" s="25">
        <v>0</v>
      </c>
      <c r="W53" s="25">
        <v>0</v>
      </c>
      <c r="X53" s="25">
        <v>0</v>
      </c>
      <c r="Y53" s="25">
        <v>0</v>
      </c>
      <c r="Z53" s="25">
        <v>0</v>
      </c>
      <c r="AA53" s="25">
        <v>0</v>
      </c>
      <c r="AB53" s="25">
        <v>0</v>
      </c>
      <c r="AC53" s="25">
        <v>0</v>
      </c>
      <c r="AD53" s="25">
        <v>0</v>
      </c>
      <c r="AE53" s="25">
        <v>0</v>
      </c>
      <c r="AF53" s="25">
        <v>0</v>
      </c>
      <c r="AG53" s="25">
        <v>0</v>
      </c>
      <c r="AH53" s="25">
        <v>0</v>
      </c>
      <c r="AI53" s="25">
        <v>0</v>
      </c>
      <c r="AJ53" s="25">
        <v>0</v>
      </c>
      <c r="AK53" s="25">
        <v>0</v>
      </c>
      <c r="AL53" s="25">
        <v>0</v>
      </c>
      <c r="AM53" s="25">
        <v>0</v>
      </c>
      <c r="AN53" s="25">
        <v>0</v>
      </c>
      <c r="AO53" s="25">
        <v>0</v>
      </c>
      <c r="AP53" s="25">
        <v>0</v>
      </c>
      <c r="AQ53" s="25">
        <v>0</v>
      </c>
      <c r="AR53" s="25">
        <v>0</v>
      </c>
      <c r="AS53" s="25">
        <v>0</v>
      </c>
      <c r="AT53" s="25">
        <v>0</v>
      </c>
      <c r="AU53" s="25">
        <v>0</v>
      </c>
      <c r="AV53" s="25">
        <v>0</v>
      </c>
      <c r="AW53" s="25">
        <v>0</v>
      </c>
      <c r="AX53" s="25">
        <v>0</v>
      </c>
      <c r="AY53" s="25">
        <v>6</v>
      </c>
      <c r="AZ53" s="25">
        <v>8</v>
      </c>
      <c r="BA53" s="25">
        <v>6</v>
      </c>
      <c r="BB53" s="25">
        <v>1</v>
      </c>
      <c r="BC53" s="25">
        <v>2</v>
      </c>
      <c r="BD53" s="25">
        <v>7</v>
      </c>
      <c r="BE53" s="25">
        <v>2</v>
      </c>
      <c r="BF53" s="25">
        <v>2</v>
      </c>
      <c r="BG53" s="25">
        <v>5</v>
      </c>
      <c r="BH53" s="25">
        <v>6</v>
      </c>
      <c r="BI53" s="25">
        <v>13</v>
      </c>
      <c r="BJ53" s="25">
        <v>22</v>
      </c>
      <c r="BK53" s="25">
        <v>2</v>
      </c>
      <c r="BL53" s="25">
        <v>2871</v>
      </c>
      <c r="BM53" s="25">
        <v>4</v>
      </c>
      <c r="BN53" s="25">
        <v>1</v>
      </c>
      <c r="BO53" s="25">
        <v>0</v>
      </c>
      <c r="BP53" s="25">
        <v>1</v>
      </c>
      <c r="BQ53" s="25">
        <v>1</v>
      </c>
      <c r="BR53" s="25">
        <v>1</v>
      </c>
      <c r="BS53" s="25">
        <v>0</v>
      </c>
      <c r="BT53" s="25">
        <v>0</v>
      </c>
      <c r="BU53" s="25">
        <v>0</v>
      </c>
      <c r="BV53" s="25">
        <v>1</v>
      </c>
      <c r="BW53" s="25">
        <v>6</v>
      </c>
      <c r="BX53" s="25">
        <v>3</v>
      </c>
      <c r="BY53" s="25">
        <v>0</v>
      </c>
      <c r="BZ53" s="25">
        <v>3</v>
      </c>
      <c r="CA53" s="25">
        <v>3</v>
      </c>
      <c r="CB53" s="25">
        <v>0</v>
      </c>
      <c r="CC53" s="25">
        <v>3</v>
      </c>
      <c r="CD53" s="25">
        <v>2</v>
      </c>
      <c r="CE53" s="25">
        <v>1</v>
      </c>
      <c r="CF53" s="25">
        <v>0</v>
      </c>
      <c r="CG53" s="25">
        <v>0</v>
      </c>
      <c r="CH53" s="25">
        <v>0</v>
      </c>
      <c r="CI53" s="25">
        <v>0</v>
      </c>
      <c r="CJ53" s="25">
        <v>0</v>
      </c>
      <c r="CK53" s="25">
        <v>0</v>
      </c>
      <c r="CL53" s="25">
        <v>6</v>
      </c>
      <c r="CM53" s="25">
        <v>0</v>
      </c>
      <c r="CN53" s="25">
        <v>0</v>
      </c>
      <c r="CO53" s="25">
        <v>0</v>
      </c>
      <c r="CP53" s="25">
        <v>0</v>
      </c>
      <c r="CQ53" s="25">
        <v>0</v>
      </c>
      <c r="CR53" s="25">
        <v>0</v>
      </c>
      <c r="CS53" s="25">
        <v>0</v>
      </c>
      <c r="CT53" s="25">
        <v>0</v>
      </c>
      <c r="CU53" s="25">
        <v>0</v>
      </c>
      <c r="CV53" s="25">
        <v>0</v>
      </c>
      <c r="CW53" s="25">
        <v>0</v>
      </c>
      <c r="CX53" s="25">
        <v>0</v>
      </c>
      <c r="CY53" s="25">
        <v>0</v>
      </c>
      <c r="CZ53" s="25">
        <v>0</v>
      </c>
      <c r="DA53" s="25">
        <v>0</v>
      </c>
      <c r="DB53" s="25">
        <v>0</v>
      </c>
      <c r="DC53" s="25">
        <v>0</v>
      </c>
      <c r="DD53" s="25">
        <v>0</v>
      </c>
      <c r="DE53" s="25">
        <v>0</v>
      </c>
      <c r="DF53" s="25">
        <v>0</v>
      </c>
      <c r="DG53" s="25">
        <v>0</v>
      </c>
      <c r="DH53" s="25">
        <v>0</v>
      </c>
      <c r="DI53" s="25">
        <v>0</v>
      </c>
      <c r="DJ53" s="25">
        <v>0</v>
      </c>
      <c r="DK53" s="25">
        <v>0</v>
      </c>
      <c r="DL53" s="25">
        <v>0</v>
      </c>
      <c r="DM53" s="25">
        <v>0</v>
      </c>
      <c r="DN53" s="25">
        <v>4</v>
      </c>
      <c r="DO53" s="25">
        <v>0</v>
      </c>
      <c r="DP53" s="25">
        <v>0</v>
      </c>
      <c r="DQ53" s="25">
        <v>0</v>
      </c>
      <c r="DR53" s="25">
        <v>0</v>
      </c>
      <c r="DS53" s="25">
        <v>0</v>
      </c>
      <c r="DT53" s="25">
        <v>0</v>
      </c>
      <c r="DU53" s="25">
        <v>0</v>
      </c>
      <c r="DV53" s="25">
        <v>0</v>
      </c>
      <c r="DW53" s="25">
        <v>0</v>
      </c>
      <c r="DX53" s="25">
        <v>0</v>
      </c>
      <c r="DY53" s="25">
        <v>0</v>
      </c>
      <c r="DZ53" s="25">
        <v>0</v>
      </c>
      <c r="EA53" s="25">
        <v>0</v>
      </c>
      <c r="EB53" s="25">
        <v>0</v>
      </c>
      <c r="EC53" s="25">
        <v>0</v>
      </c>
      <c r="ED53" s="25">
        <v>0</v>
      </c>
      <c r="EE53" s="25">
        <v>92</v>
      </c>
      <c r="EF53" s="25">
        <v>2</v>
      </c>
      <c r="EG53" s="25">
        <v>0</v>
      </c>
      <c r="EH53" s="25">
        <v>0</v>
      </c>
      <c r="EI53" s="25">
        <v>107</v>
      </c>
      <c r="EJ53" s="25">
        <v>0</v>
      </c>
      <c r="EK53" s="25">
        <v>6</v>
      </c>
      <c r="EL53" s="25">
        <v>0</v>
      </c>
      <c r="EM53" s="25">
        <v>0</v>
      </c>
      <c r="EN53" s="25">
        <v>0</v>
      </c>
      <c r="EO53" s="25">
        <v>35</v>
      </c>
      <c r="EP53" s="25">
        <v>0</v>
      </c>
      <c r="EQ53" s="25">
        <v>0</v>
      </c>
      <c r="ER53" s="25">
        <v>0</v>
      </c>
      <c r="ES53" s="25">
        <v>0</v>
      </c>
      <c r="ET53" s="25">
        <v>0</v>
      </c>
      <c r="EU53" s="25">
        <v>0</v>
      </c>
      <c r="EV53" s="25">
        <v>0</v>
      </c>
      <c r="EW53" s="25">
        <v>0</v>
      </c>
      <c r="EX53" s="25">
        <v>0</v>
      </c>
      <c r="EY53" s="25">
        <v>0</v>
      </c>
      <c r="EZ53" s="25">
        <v>0</v>
      </c>
      <c r="FA53" s="25">
        <v>0</v>
      </c>
      <c r="FB53" s="25">
        <v>0</v>
      </c>
      <c r="FC53" s="25">
        <v>0</v>
      </c>
      <c r="FD53" s="25">
        <v>0</v>
      </c>
      <c r="FE53" s="25">
        <v>0</v>
      </c>
      <c r="FF53" s="25">
        <v>0</v>
      </c>
      <c r="FG53" s="25">
        <v>0</v>
      </c>
      <c r="FH53" s="25">
        <v>0</v>
      </c>
      <c r="FI53" s="25">
        <v>0</v>
      </c>
      <c r="FJ53" s="25">
        <v>0</v>
      </c>
      <c r="FK53" s="25">
        <v>0</v>
      </c>
      <c r="FL53" s="25">
        <v>0</v>
      </c>
      <c r="FM53" s="25">
        <v>0</v>
      </c>
      <c r="FN53" s="25">
        <v>0</v>
      </c>
      <c r="FO53" s="25">
        <v>0</v>
      </c>
      <c r="FP53" s="25">
        <v>0</v>
      </c>
      <c r="FQ53" s="25">
        <v>0</v>
      </c>
      <c r="FR53" s="25">
        <v>0</v>
      </c>
      <c r="FS53" s="25">
        <v>0</v>
      </c>
      <c r="FT53" s="25">
        <v>0</v>
      </c>
      <c r="FU53" s="25">
        <v>0</v>
      </c>
      <c r="FV53" s="25">
        <v>0</v>
      </c>
      <c r="FW53" s="25">
        <v>0</v>
      </c>
      <c r="FX53" s="25">
        <v>0</v>
      </c>
      <c r="FY53" s="25">
        <v>0</v>
      </c>
      <c r="FZ53" s="25">
        <v>0</v>
      </c>
      <c r="GA53" s="25">
        <v>0</v>
      </c>
      <c r="GB53" s="25">
        <v>1</v>
      </c>
      <c r="GC53" s="25">
        <v>0</v>
      </c>
      <c r="GD53" s="25">
        <v>0</v>
      </c>
      <c r="GE53" s="25">
        <v>0</v>
      </c>
      <c r="GF53" s="25">
        <v>0</v>
      </c>
      <c r="GG53" s="25">
        <v>0</v>
      </c>
      <c r="GH53" s="25">
        <v>0</v>
      </c>
      <c r="GI53" s="25">
        <v>0</v>
      </c>
      <c r="GJ53" s="25">
        <v>0</v>
      </c>
      <c r="GK53" s="25">
        <v>1</v>
      </c>
      <c r="GL53" s="25">
        <v>0</v>
      </c>
      <c r="GM53" s="25">
        <v>0</v>
      </c>
      <c r="GN53" s="25">
        <v>0</v>
      </c>
      <c r="GO53" s="25">
        <v>0</v>
      </c>
      <c r="GP53" s="25">
        <v>0</v>
      </c>
      <c r="GQ53" s="25">
        <v>0</v>
      </c>
      <c r="GR53" s="25">
        <v>0</v>
      </c>
      <c r="GS53" s="25">
        <v>0</v>
      </c>
      <c r="GT53" s="25">
        <v>0</v>
      </c>
      <c r="GU53" s="25">
        <v>2</v>
      </c>
      <c r="GV53" s="25">
        <v>0</v>
      </c>
      <c r="GW53" s="25">
        <v>0</v>
      </c>
      <c r="GX53" s="25">
        <v>0</v>
      </c>
      <c r="GY53" s="46">
        <v>0</v>
      </c>
      <c r="GZ53" s="25">
        <v>0</v>
      </c>
      <c r="HA53" s="25">
        <v>1</v>
      </c>
      <c r="HB53" s="25">
        <v>0</v>
      </c>
      <c r="HC53" s="25">
        <v>1</v>
      </c>
      <c r="HD53" s="25">
        <v>0</v>
      </c>
      <c r="HE53" s="25">
        <v>0</v>
      </c>
      <c r="HF53" s="25">
        <v>0</v>
      </c>
      <c r="HG53" s="25">
        <v>0</v>
      </c>
      <c r="HH53" s="25">
        <v>0</v>
      </c>
      <c r="HI53" s="25">
        <v>0</v>
      </c>
      <c r="HJ53" s="25">
        <v>0</v>
      </c>
      <c r="HK53" s="25">
        <v>0</v>
      </c>
      <c r="HL53" s="25">
        <v>0</v>
      </c>
      <c r="HM53" s="25">
        <v>0</v>
      </c>
      <c r="HN53" s="25">
        <v>0</v>
      </c>
      <c r="HO53" s="25">
        <v>0</v>
      </c>
      <c r="HP53" s="25">
        <v>0</v>
      </c>
      <c r="HQ53" s="25">
        <v>0</v>
      </c>
      <c r="HR53" s="25">
        <v>0</v>
      </c>
      <c r="HS53" s="25">
        <v>11</v>
      </c>
      <c r="HT53" s="25">
        <v>0</v>
      </c>
      <c r="HU53" s="25">
        <v>0</v>
      </c>
      <c r="HV53" s="25">
        <v>0</v>
      </c>
      <c r="HW53" s="25">
        <v>0</v>
      </c>
      <c r="HX53" s="25">
        <v>0</v>
      </c>
      <c r="HY53" s="25">
        <v>0</v>
      </c>
      <c r="HZ53" s="25">
        <v>0</v>
      </c>
      <c r="IA53" s="25">
        <v>0</v>
      </c>
      <c r="IB53" s="25">
        <v>0</v>
      </c>
      <c r="IC53" s="25">
        <v>0</v>
      </c>
      <c r="ID53" s="25">
        <v>0</v>
      </c>
      <c r="IE53" s="25">
        <v>0</v>
      </c>
      <c r="IF53" s="25">
        <v>0</v>
      </c>
      <c r="IG53" s="25">
        <v>0</v>
      </c>
      <c r="IH53" s="25">
        <v>0</v>
      </c>
      <c r="II53" s="25">
        <v>0</v>
      </c>
      <c r="IJ53" s="25">
        <v>0</v>
      </c>
      <c r="IK53" s="25">
        <v>0</v>
      </c>
      <c r="IL53" s="25">
        <v>0</v>
      </c>
      <c r="IM53" s="25">
        <v>0</v>
      </c>
      <c r="IN53" s="25">
        <v>0</v>
      </c>
      <c r="IO53" s="25">
        <v>0</v>
      </c>
      <c r="IP53" s="25">
        <v>0</v>
      </c>
      <c r="IQ53" s="25">
        <v>0</v>
      </c>
      <c r="IR53" s="25">
        <v>0</v>
      </c>
      <c r="IS53" s="25">
        <v>0</v>
      </c>
      <c r="IT53" s="25">
        <v>0</v>
      </c>
      <c r="IU53" s="25">
        <v>0</v>
      </c>
      <c r="IV53" s="25">
        <v>0</v>
      </c>
      <c r="IW53" s="25">
        <v>0</v>
      </c>
      <c r="IX53" s="25">
        <v>0</v>
      </c>
      <c r="IY53" s="25">
        <v>0</v>
      </c>
      <c r="IZ53" s="25">
        <v>0</v>
      </c>
      <c r="JA53" s="25">
        <v>0</v>
      </c>
      <c r="JB53" s="25">
        <v>0</v>
      </c>
      <c r="JC53" s="25">
        <v>0</v>
      </c>
      <c r="JD53" s="25">
        <v>0</v>
      </c>
      <c r="JE53" s="25">
        <v>0</v>
      </c>
      <c r="JF53" s="25">
        <v>0</v>
      </c>
      <c r="JG53" s="25">
        <v>0</v>
      </c>
      <c r="JH53" s="25">
        <v>0</v>
      </c>
      <c r="JI53" s="25">
        <v>0</v>
      </c>
      <c r="JJ53" s="25">
        <v>0</v>
      </c>
      <c r="JK53" s="25">
        <v>0</v>
      </c>
      <c r="JL53" s="25">
        <v>0</v>
      </c>
      <c r="JM53" s="25">
        <v>0</v>
      </c>
      <c r="JN53" s="25">
        <v>0</v>
      </c>
      <c r="JO53" s="25">
        <v>0</v>
      </c>
      <c r="JP53" s="25">
        <v>0</v>
      </c>
      <c r="JQ53" s="25">
        <v>1</v>
      </c>
      <c r="JR53" s="25">
        <v>0</v>
      </c>
      <c r="JS53" s="25">
        <v>0</v>
      </c>
      <c r="JT53" s="25">
        <v>0</v>
      </c>
      <c r="JU53" s="25">
        <v>0</v>
      </c>
      <c r="JV53" s="25">
        <v>0</v>
      </c>
      <c r="JW53" s="25">
        <v>0</v>
      </c>
      <c r="JX53" s="25">
        <v>0</v>
      </c>
      <c r="JY53" s="25">
        <v>0</v>
      </c>
      <c r="JZ53" s="25">
        <v>0</v>
      </c>
      <c r="KA53" s="25">
        <v>0</v>
      </c>
      <c r="KB53" s="25">
        <v>0</v>
      </c>
      <c r="KC53" s="25">
        <v>0</v>
      </c>
      <c r="KD53" s="25">
        <v>0</v>
      </c>
      <c r="KE53" s="25">
        <v>0</v>
      </c>
      <c r="KF53" s="25">
        <v>0</v>
      </c>
      <c r="KG53" s="25">
        <v>0</v>
      </c>
      <c r="KH53" s="25">
        <v>0</v>
      </c>
      <c r="KI53" s="25">
        <v>0</v>
      </c>
      <c r="KJ53" s="25">
        <v>0</v>
      </c>
      <c r="KK53" s="25">
        <v>0</v>
      </c>
      <c r="KL53" s="25">
        <v>0</v>
      </c>
      <c r="KM53" s="25">
        <v>0</v>
      </c>
      <c r="KN53" s="25">
        <v>0</v>
      </c>
      <c r="KO53" s="25">
        <v>0</v>
      </c>
      <c r="KP53" s="25">
        <v>0</v>
      </c>
      <c r="KQ53" s="25">
        <v>0</v>
      </c>
      <c r="KR53" s="25">
        <v>0</v>
      </c>
      <c r="KS53" s="25">
        <v>0</v>
      </c>
      <c r="KT53" s="25">
        <v>0</v>
      </c>
      <c r="KU53" s="25">
        <v>0</v>
      </c>
      <c r="KV53" s="25">
        <v>0</v>
      </c>
      <c r="KW53" s="25">
        <v>0</v>
      </c>
      <c r="KX53" s="25">
        <v>0</v>
      </c>
      <c r="KY53" s="25">
        <v>0</v>
      </c>
      <c r="KZ53" s="25">
        <v>0</v>
      </c>
      <c r="LA53" s="25">
        <v>0</v>
      </c>
      <c r="LB53" s="25">
        <v>0</v>
      </c>
      <c r="LC53" s="25">
        <v>0</v>
      </c>
      <c r="LD53" s="25">
        <v>0</v>
      </c>
      <c r="LE53" s="25">
        <v>0</v>
      </c>
      <c r="LF53" s="25">
        <v>0</v>
      </c>
      <c r="LG53" s="25">
        <v>0</v>
      </c>
      <c r="LH53" s="25">
        <v>10</v>
      </c>
      <c r="LI53" s="25">
        <v>0</v>
      </c>
      <c r="LJ53" s="25">
        <v>0</v>
      </c>
      <c r="LK53" s="25">
        <v>0</v>
      </c>
      <c r="LL53" s="25">
        <v>0</v>
      </c>
      <c r="LM53" s="25">
        <v>0</v>
      </c>
      <c r="LN53" s="278">
        <f ca="1">$A53 - DeathsTimeS!Sweden100dt + 1</f>
        <v>-14</v>
      </c>
      <c r="LO53" s="366">
        <f ca="1">INDEX(OFFSET(DeathsTimeS!HeadRow,ROW()-ROW(DeathsTimeS!HeadRow),0,1,COLUMNS(DeathsTimeS!HeadRow)),1,MATCH(LO$5,DeathsTimeS!HeadRow,0))/LO$8</f>
        <v>0</v>
      </c>
      <c r="LP53" s="278">
        <f ca="1">$A53 - DeathsTimeS!Spain100dt</f>
        <v>-7</v>
      </c>
      <c r="LQ53" s="11">
        <f ca="1">INDEX(OFFSET(DeathsTimeS!HeadRow,ROW()-ROW(DeathsTimeS!HeadRow),0,1,COLUMNS(DeathsTimeS!HeadRow)),1,MATCH(LQ$5,DeathsTimeS!HeadRow,0))/LQ$8</f>
        <v>0.42607584149978694</v>
      </c>
      <c r="LR53" s="278">
        <f ca="1">$A53 - DeathsTimeS!Victoria100dt</f>
        <v>-30</v>
      </c>
      <c r="LS53" s="11">
        <f ca="1">INDEX(OFFSET(DeathsTimeS!HeadRow,ROW()-ROW(DeathsTimeS!HeadRow),0,1,COLUMNS(DeathsTimeS!HeadRow)),1,MATCH(LS$5,DeathsTimeS!HeadRow,0))/LS$8</f>
        <v>0</v>
      </c>
      <c r="LT53" s="278">
        <f ca="1">$A53 - DeathsTimeS!Iran100dt</f>
        <v>0</v>
      </c>
      <c r="LU53" s="11">
        <f ca="1">INDEX(OFFSET(DeathsTimeS!HeadRow,ROW()-ROW(DeathsTimeS!HeadRow),0,1,COLUMNS(DeathsTimeS!HeadRow)),1,MATCH(LU$5,DeathsTimeS!HeadRow,0))/LU$8</f>
        <v>10.98205865851766</v>
      </c>
      <c r="LV53" s="278">
        <f ca="1">$A53 - DeathsTimeS!Japan100dt</f>
        <v>-41</v>
      </c>
      <c r="LW53" s="11">
        <f ca="1">INDEX(OFFSET(DeathsTimeS!HeadRow,ROW()-ROW(DeathsTimeS!HeadRow),0,1,COLUMNS(DeathsTimeS!HeadRow)),1,MATCH(LW$5,DeathsTimeS!HeadRow,0))/LW$8</f>
        <v>0.47410515476913873</v>
      </c>
      <c r="LX53" s="278">
        <f ca="1">$A53 - DeathsTimeS!Queensland100dt</f>
        <v>-45</v>
      </c>
      <c r="LY53" s="11">
        <f ca="1">INDEX(OFFSET(DeathsTimeS!HeadRow,ROW()-ROW(DeathsTimeS!HeadRow),0,1,COLUMNS(DeathsTimeS!HeadRow)),1,MATCH(LY$5,DeathsTimeS!HeadRow,0))/LY$8</f>
        <v>0</v>
      </c>
      <c r="LZ53" s="278">
        <f ca="1">$A53 - DeathsTimeS!Tasmania100dt</f>
        <v>-27</v>
      </c>
      <c r="MA53" s="11">
        <f ca="1">INDEX(OFFSET(DeathsTimeS!HeadRow,ROW()-ROW(DeathsTimeS!HeadRow),0,1,COLUMNS(DeathsTimeS!HeadRow)),1,MATCH(MA$5,DeathsTimeS!HeadRow,0))/MA$8</f>
        <v>0</v>
      </c>
      <c r="MB53" s="278">
        <f ca="1">$A53 - DeathsTimeS!SouthAustralia100dt</f>
        <v>-35</v>
      </c>
      <c r="MC53" s="11">
        <f ca="1">INDEX(OFFSET(DeathsTimeS!HeadRow,ROW()-ROW(DeathsTimeS!HeadRow),0,1,COLUMNS(DeathsTimeS!HeadRow)),1,MATCH(MC$5,DeathsTimeS!HeadRow,0))/MC$8</f>
        <v>0</v>
      </c>
      <c r="MD53" s="278">
        <f ca="1">$A53 - DeathsTimeS!WesternAustralia100dt</f>
        <v>-32</v>
      </c>
      <c r="ME53" s="11">
        <f ca="1">INDEX(OFFSET(DeathsTimeS!HeadRow,ROW()-ROW(DeathsTimeS!HeadRow),0,1,COLUMNS(DeathsTimeS!HeadRow)),1,MATCH(ME$5,DeathsTimeS!HeadRow,0))/ME$8</f>
        <v>3.8624951718810348</v>
      </c>
      <c r="MF53" s="278">
        <f ca="1">$A53 - DeathsTimeS!NewSouthWales100dt</f>
        <v>-28</v>
      </c>
      <c r="MG53" s="11">
        <f ca="1">INDEX(OFFSET(DeathsTimeS!HeadRow,ROW()-ROW(DeathsTimeS!HeadRow),0,1,COLUMNS(DeathsTimeS!HeadRow)),1,MATCH(MG$5,DeathsTimeS!HeadRow,0))/MG$8</f>
        <v>1.2376237623762376</v>
      </c>
      <c r="MH53" s="278">
        <f ca="1">$A53 - DeathsTimeS!NewYork100dt</f>
        <v>-12</v>
      </c>
      <c r="MI53" s="11">
        <f ca="1">INDEX(OFFSET(DeathsTimeS!HeadRow,ROW()-ROW(DeathsTimeS!HeadRow),0,1,COLUMNS(DeathsTimeS!HeadRow)),1,MATCH(MI$5,DeathsTimeS!HeadRow,0))/MI$8</f>
        <v>0</v>
      </c>
      <c r="MJ53" s="278">
        <f ca="1">$A53 - DeathsTimeS!Italy100dt</f>
        <v>1</v>
      </c>
      <c r="MK53" s="20">
        <f ca="1">INDEX(OFFSET(DeathsTimeS!HeadRow,ROW()-ROW(DeathsTimeS!HeadRow),0,1,COLUMNS(DeathsTimeS!HeadRow)),1,MATCH(MK$5,DeathsTimeS!HeadRow,0))/MK$8</f>
        <v>17.690336447052989</v>
      </c>
      <c r="ML53" s="278">
        <f ca="1">$A53 - DeathsTimeS!AustralianCapitalTerritory100dt</f>
        <v>-26</v>
      </c>
      <c r="MM53" s="11">
        <f ca="1">INDEX(OFFSET(DeathsTimeS!HeadRow,ROW()-ROW(DeathsTimeS!HeadRow),0,1,COLUMNS(DeathsTimeS!HeadRow)),1,MATCH(MM$5,DeathsTimeS!HeadRow,0))/MM$8</f>
        <v>0</v>
      </c>
      <c r="MN53" s="278">
        <f ca="1">IF(DeathsTimeS!NorthernTerritory100dt&gt;0,$A53 - DeathsTimeS!NorthernTerritory100dt,"")</f>
        <v>-54</v>
      </c>
      <c r="MO53" s="11">
        <f ca="1">INDEX(OFFSET(DeathsTimeS!HeadRow,ROW()-ROW(DeathsTimeS!HeadRow),0,1,COLUMNS(DeathsTimeS!HeadRow)),1,MATCH(MO$5,DeathsTimeS!HeadRow,0))/MO$8</f>
        <v>0</v>
      </c>
      <c r="MP53" s="278">
        <f ca="1">$A53 - DeathsTimeS!SouthAfrica100dt + 1</f>
        <v>-46</v>
      </c>
      <c r="MQ53" s="20">
        <f ca="1">INDEX(OFFSET(DeathsTimeS!HeadRow,ROW()-ROW(DeathsTimeS!HeadRow),0,1,COLUMNS(DeathsTimeS!HeadRow)),1,MATCH(MQ$5,DeathsTimeS!HeadRow,0))/MQ$8</f>
        <v>0</v>
      </c>
      <c r="MR53" s="278">
        <f ca="1">$A53 - DeathsTimeS!Germany100dt + 1</f>
        <v>-16</v>
      </c>
      <c r="MS53" s="20">
        <f ca="1">INDEX(OFFSET(DeathsTimeS!HeadRow,ROW()-ROW(DeathsTimeS!HeadRow),0,1,COLUMNS(DeathsTimeS!HeadRow)),1,MATCH(MS$5,DeathsTimeS!HeadRow,0))/MS$8</f>
        <v>0</v>
      </c>
      <c r="MT53" s="278">
        <f ca="1">$A53 - DeathsTimeS!Ireland100dt + 1</f>
        <v>-18</v>
      </c>
      <c r="MU53" s="73">
        <f ca="1">INDEX(OFFSET(DeathsTimeS!HeadRow,ROW()-ROW(DeathsTimeS!HeadRow),0,1,COLUMNS(DeathsTimeS!HeadRow)),1,MATCH(MU$5,DeathsTimeS!HeadRow,0))/MU$8</f>
        <v>0</v>
      </c>
      <c r="MV53" s="278">
        <f ca="1">$A53 - DeathsTimeS!UnitedKingdom100dt + 1</f>
        <v>-12</v>
      </c>
      <c r="MW53" s="73">
        <f ca="1">INDEX(OFFSET(DeathsTimeS!HeadRow,ROW()-ROW(DeathsTimeS!HeadRow),0,1,COLUMNS(DeathsTimeS!HeadRow)),1,MATCH(MW$5,DeathsTimeS!HeadRow,0))/MW$8</f>
        <v>0</v>
      </c>
      <c r="MX53" s="278">
        <f ca="1">$A53 - DeathsTimeS!Denmark100dt + 1</f>
        <v>-14</v>
      </c>
      <c r="MY53" s="73">
        <f ca="1">INDEX(OFFSET(DeathsTimeS!HeadRow,ROW()-ROW(DeathsTimeS!HeadRow),0,1,COLUMNS(DeathsTimeS!HeadRow)),1,MATCH(MY$5,DeathsTimeS!HeadRow,0))/MY$8</f>
        <v>0</v>
      </c>
      <c r="MZ53" s="278">
        <f ca="1">$A53 - DeathsTimeS!US100dt + 1</f>
        <v>-15</v>
      </c>
      <c r="NA53" s="73">
        <f ca="1">INDEX(OFFSET(DeathsTimeS!HeadRow,ROW()-ROW(DeathsTimeS!HeadRow),0,1,COLUMNS(DeathsTimeS!HeadRow)),1,MATCH(NA$5,DeathsTimeS!HeadRow,0))/NA$8</f>
        <v>0.33411521761595392</v>
      </c>
      <c r="NB53" s="278">
        <f ca="1">$A53 - DeathsTimeS!AustraliaSum100dt + 1</f>
        <v>-21</v>
      </c>
      <c r="NC53" s="366">
        <f t="shared" si="6"/>
        <v>2</v>
      </c>
      <c r="ND53" s="278">
        <f ca="1">$A53 - DeathsTimeS!Taiwan100dt + 1</f>
        <v>-53</v>
      </c>
      <c r="NE53" s="366">
        <f ca="1">INDEX(OFFSET(DeathsTimeS!HeadRow,ROW()-ROW(DeathsTimeS!HeadRow),0,1,COLUMNS(DeathsTimeS!HeadRow)),1,MATCH(NE$5,DeathsTimeS!HeadRow,0))/NE$8</f>
        <v>0.4200395492437986</v>
      </c>
      <c r="NF53" s="278">
        <f ca="1">$A53 - DeathsTimeS!Hubei100dt + 1</f>
        <v>38</v>
      </c>
      <c r="NG53" s="366">
        <f ca="1">INDEX(OFFSET(DeathsTimeS!HeadRow,ROW()-ROW(DeathsTimeS!HeadRow),0,1,COLUMNS(DeathsTimeS!HeadRow)),1,MATCH(NG$5,DeathsTimeS!HeadRow,0))/NG$8</f>
        <v>490.76923076923077</v>
      </c>
      <c r="NH53" s="278">
        <f ca="1">$A53 - DeathsTimeS!HongKong100dt + 1</f>
        <v>-53</v>
      </c>
      <c r="NI53" s="366">
        <f ca="1">INDEX(OFFSET(DeathsTimeS!HeadRow,ROW()-ROW(DeathsTimeS!HeadRow),0,1,COLUMNS(DeathsTimeS!HeadRow)),1,MATCH(NI$5,DeathsTimeS!HeadRow,0))/NI$8</f>
        <v>2.6842034626224667</v>
      </c>
    </row>
    <row r="54" spans="1:373" x14ac:dyDescent="0.25">
      <c r="A54" s="156">
        <v>43895</v>
      </c>
      <c r="B54" s="25">
        <v>0</v>
      </c>
      <c r="C54" s="25">
        <v>0</v>
      </c>
      <c r="D54" s="25">
        <v>0</v>
      </c>
      <c r="E54" s="25">
        <v>0</v>
      </c>
      <c r="F54" s="25">
        <v>0</v>
      </c>
      <c r="G54" s="25">
        <v>0</v>
      </c>
      <c r="H54" s="25">
        <v>0</v>
      </c>
      <c r="I54" s="25">
        <v>0</v>
      </c>
      <c r="J54" s="25">
        <v>0</v>
      </c>
      <c r="K54" s="25">
        <v>1</v>
      </c>
      <c r="L54" s="25">
        <v>0</v>
      </c>
      <c r="M54" s="25">
        <v>0</v>
      </c>
      <c r="N54" s="25">
        <v>0</v>
      </c>
      <c r="O54" s="25">
        <v>0</v>
      </c>
      <c r="P54" s="25">
        <v>0</v>
      </c>
      <c r="Q54" s="25">
        <v>1</v>
      </c>
      <c r="R54" s="25">
        <v>0</v>
      </c>
      <c r="S54" s="25">
        <v>0</v>
      </c>
      <c r="T54" s="25">
        <v>0</v>
      </c>
      <c r="U54" s="25">
        <v>0</v>
      </c>
      <c r="V54" s="25">
        <v>0</v>
      </c>
      <c r="W54" s="25">
        <v>0</v>
      </c>
      <c r="X54" s="25">
        <v>0</v>
      </c>
      <c r="Y54" s="25">
        <v>0</v>
      </c>
      <c r="Z54" s="25">
        <v>0</v>
      </c>
      <c r="AA54" s="25">
        <v>0</v>
      </c>
      <c r="AB54" s="25">
        <v>0</v>
      </c>
      <c r="AC54" s="25">
        <v>0</v>
      </c>
      <c r="AD54" s="25">
        <v>0</v>
      </c>
      <c r="AE54" s="25">
        <v>0</v>
      </c>
      <c r="AF54" s="25">
        <v>0</v>
      </c>
      <c r="AG54" s="25">
        <v>0</v>
      </c>
      <c r="AH54" s="25">
        <v>0</v>
      </c>
      <c r="AI54" s="25">
        <v>0</v>
      </c>
      <c r="AJ54" s="25">
        <v>0</v>
      </c>
      <c r="AK54" s="25">
        <v>0</v>
      </c>
      <c r="AL54" s="25">
        <v>0</v>
      </c>
      <c r="AM54" s="25">
        <v>0</v>
      </c>
      <c r="AN54" s="25">
        <v>0</v>
      </c>
      <c r="AO54" s="25">
        <v>0</v>
      </c>
      <c r="AP54" s="25">
        <v>0</v>
      </c>
      <c r="AQ54" s="25">
        <v>0</v>
      </c>
      <c r="AR54" s="25">
        <v>0</v>
      </c>
      <c r="AS54" s="25">
        <v>0</v>
      </c>
      <c r="AT54" s="25">
        <v>0</v>
      </c>
      <c r="AU54" s="25">
        <v>0</v>
      </c>
      <c r="AV54" s="25">
        <v>0</v>
      </c>
      <c r="AW54" s="25">
        <v>0</v>
      </c>
      <c r="AX54" s="25">
        <v>0</v>
      </c>
      <c r="AY54" s="25">
        <v>6</v>
      </c>
      <c r="AZ54" s="25">
        <v>8</v>
      </c>
      <c r="BA54" s="25">
        <v>6</v>
      </c>
      <c r="BB54" s="25">
        <v>1</v>
      </c>
      <c r="BC54" s="25">
        <v>2</v>
      </c>
      <c r="BD54" s="25">
        <v>7</v>
      </c>
      <c r="BE54" s="25">
        <v>2</v>
      </c>
      <c r="BF54" s="25">
        <v>2</v>
      </c>
      <c r="BG54" s="25">
        <v>6</v>
      </c>
      <c r="BH54" s="25">
        <v>6</v>
      </c>
      <c r="BI54" s="25">
        <v>13</v>
      </c>
      <c r="BJ54" s="25">
        <v>22</v>
      </c>
      <c r="BK54" s="25">
        <v>2</v>
      </c>
      <c r="BL54" s="25">
        <v>2902</v>
      </c>
      <c r="BM54" s="25">
        <v>4</v>
      </c>
      <c r="BN54" s="25">
        <v>1</v>
      </c>
      <c r="BO54" s="25">
        <v>0</v>
      </c>
      <c r="BP54" s="25">
        <v>1</v>
      </c>
      <c r="BQ54" s="25">
        <v>1</v>
      </c>
      <c r="BR54" s="25">
        <v>1</v>
      </c>
      <c r="BS54" s="25">
        <v>0</v>
      </c>
      <c r="BT54" s="25">
        <v>0</v>
      </c>
      <c r="BU54" s="25">
        <v>0</v>
      </c>
      <c r="BV54" s="25">
        <v>1</v>
      </c>
      <c r="BW54" s="25">
        <v>6</v>
      </c>
      <c r="BX54" s="25">
        <v>3</v>
      </c>
      <c r="BY54" s="25">
        <v>0</v>
      </c>
      <c r="BZ54" s="25">
        <v>3</v>
      </c>
      <c r="CA54" s="25">
        <v>3</v>
      </c>
      <c r="CB54" s="25">
        <v>0</v>
      </c>
      <c r="CC54" s="25">
        <v>3</v>
      </c>
      <c r="CD54" s="25">
        <v>2</v>
      </c>
      <c r="CE54" s="25">
        <v>1</v>
      </c>
      <c r="CF54" s="25">
        <v>0</v>
      </c>
      <c r="CG54" s="25">
        <v>0</v>
      </c>
      <c r="CH54" s="25">
        <v>0</v>
      </c>
      <c r="CI54" s="25">
        <v>0</v>
      </c>
      <c r="CJ54" s="25">
        <v>0</v>
      </c>
      <c r="CK54" s="25">
        <v>0</v>
      </c>
      <c r="CL54" s="25">
        <v>6</v>
      </c>
      <c r="CM54" s="25">
        <v>0</v>
      </c>
      <c r="CN54" s="25">
        <v>0</v>
      </c>
      <c r="CO54" s="25">
        <v>0</v>
      </c>
      <c r="CP54" s="25">
        <v>0</v>
      </c>
      <c r="CQ54" s="25">
        <v>0</v>
      </c>
      <c r="CR54" s="25">
        <v>0</v>
      </c>
      <c r="CS54" s="25">
        <v>0</v>
      </c>
      <c r="CT54" s="25">
        <v>0</v>
      </c>
      <c r="CU54" s="25">
        <v>0</v>
      </c>
      <c r="CV54" s="25">
        <v>0</v>
      </c>
      <c r="CW54" s="25">
        <v>0</v>
      </c>
      <c r="CX54" s="25">
        <v>0</v>
      </c>
      <c r="CY54" s="25">
        <v>0</v>
      </c>
      <c r="CZ54" s="25">
        <v>0</v>
      </c>
      <c r="DA54" s="25">
        <v>0</v>
      </c>
      <c r="DB54" s="25">
        <v>0</v>
      </c>
      <c r="DC54" s="25">
        <v>0</v>
      </c>
      <c r="DD54" s="25">
        <v>0</v>
      </c>
      <c r="DE54" s="25">
        <v>0</v>
      </c>
      <c r="DF54" s="25">
        <v>0</v>
      </c>
      <c r="DG54" s="25">
        <v>0</v>
      </c>
      <c r="DH54" s="25">
        <v>0</v>
      </c>
      <c r="DI54" s="25">
        <v>0</v>
      </c>
      <c r="DJ54" s="25">
        <v>0</v>
      </c>
      <c r="DK54" s="25">
        <v>0</v>
      </c>
      <c r="DL54" s="25">
        <v>0</v>
      </c>
      <c r="DM54" s="25">
        <v>0</v>
      </c>
      <c r="DN54" s="25">
        <v>6</v>
      </c>
      <c r="DO54" s="25">
        <v>0</v>
      </c>
      <c r="DP54" s="25">
        <v>0</v>
      </c>
      <c r="DQ54" s="25">
        <v>0</v>
      </c>
      <c r="DR54" s="25">
        <v>0</v>
      </c>
      <c r="DS54" s="25">
        <v>0</v>
      </c>
      <c r="DT54" s="25">
        <v>0</v>
      </c>
      <c r="DU54" s="25">
        <v>0</v>
      </c>
      <c r="DV54" s="25">
        <v>0</v>
      </c>
      <c r="DW54" s="25">
        <v>0</v>
      </c>
      <c r="DX54" s="25">
        <v>0</v>
      </c>
      <c r="DY54" s="25">
        <v>0</v>
      </c>
      <c r="DZ54" s="25">
        <v>0</v>
      </c>
      <c r="EA54" s="25">
        <v>0</v>
      </c>
      <c r="EB54" s="25">
        <v>0</v>
      </c>
      <c r="EC54" s="25">
        <v>0</v>
      </c>
      <c r="ED54" s="25">
        <v>0</v>
      </c>
      <c r="EE54" s="25">
        <v>107</v>
      </c>
      <c r="EF54" s="25">
        <v>2</v>
      </c>
      <c r="EG54" s="25">
        <v>0</v>
      </c>
      <c r="EH54" s="25">
        <v>0</v>
      </c>
      <c r="EI54" s="25">
        <v>148</v>
      </c>
      <c r="EJ54" s="25">
        <v>0</v>
      </c>
      <c r="EK54" s="25">
        <v>6</v>
      </c>
      <c r="EL54" s="25">
        <v>0</v>
      </c>
      <c r="EM54" s="25">
        <v>0</v>
      </c>
      <c r="EN54" s="25">
        <v>0</v>
      </c>
      <c r="EO54" s="25">
        <v>35</v>
      </c>
      <c r="EP54" s="25">
        <v>0</v>
      </c>
      <c r="EQ54" s="25">
        <v>0</v>
      </c>
      <c r="ER54" s="25">
        <v>0</v>
      </c>
      <c r="ES54" s="25">
        <v>0</v>
      </c>
      <c r="ET54" s="25">
        <v>0</v>
      </c>
      <c r="EU54" s="25">
        <v>0</v>
      </c>
      <c r="EV54" s="25">
        <v>0</v>
      </c>
      <c r="EW54" s="25">
        <v>0</v>
      </c>
      <c r="EX54" s="25">
        <v>0</v>
      </c>
      <c r="EY54" s="25">
        <v>0</v>
      </c>
      <c r="EZ54" s="25">
        <v>0</v>
      </c>
      <c r="FA54" s="25">
        <v>0</v>
      </c>
      <c r="FB54" s="25">
        <v>0</v>
      </c>
      <c r="FC54" s="25">
        <v>0</v>
      </c>
      <c r="FD54" s="25">
        <v>0</v>
      </c>
      <c r="FE54" s="25">
        <v>0</v>
      </c>
      <c r="FF54" s="25">
        <v>0</v>
      </c>
      <c r="FG54" s="25">
        <v>0</v>
      </c>
      <c r="FH54" s="25">
        <v>0</v>
      </c>
      <c r="FI54" s="25">
        <v>0</v>
      </c>
      <c r="FJ54" s="25">
        <v>0</v>
      </c>
      <c r="FK54" s="25">
        <v>0</v>
      </c>
      <c r="FL54" s="25">
        <v>0</v>
      </c>
      <c r="FM54" s="25">
        <v>0</v>
      </c>
      <c r="FN54" s="25">
        <v>0</v>
      </c>
      <c r="FO54" s="25">
        <v>0</v>
      </c>
      <c r="FP54" s="25">
        <v>0</v>
      </c>
      <c r="FQ54" s="25">
        <v>0</v>
      </c>
      <c r="FR54" s="25">
        <v>0</v>
      </c>
      <c r="FS54" s="25">
        <v>0</v>
      </c>
      <c r="FT54" s="25">
        <v>0</v>
      </c>
      <c r="FU54" s="25">
        <v>0</v>
      </c>
      <c r="FV54" s="25">
        <v>0</v>
      </c>
      <c r="FW54" s="25">
        <v>0</v>
      </c>
      <c r="FX54" s="25">
        <v>0</v>
      </c>
      <c r="FY54" s="25">
        <v>0</v>
      </c>
      <c r="FZ54" s="25">
        <v>0</v>
      </c>
      <c r="GA54" s="25">
        <v>0</v>
      </c>
      <c r="GB54" s="25">
        <v>1</v>
      </c>
      <c r="GC54" s="25">
        <v>0</v>
      </c>
      <c r="GD54" s="25">
        <v>0</v>
      </c>
      <c r="GE54" s="25">
        <v>0</v>
      </c>
      <c r="GF54" s="25">
        <v>0</v>
      </c>
      <c r="GG54" s="25">
        <v>0</v>
      </c>
      <c r="GH54" s="25">
        <v>0</v>
      </c>
      <c r="GI54" s="25">
        <v>0</v>
      </c>
      <c r="GJ54" s="25">
        <v>0</v>
      </c>
      <c r="GK54" s="25">
        <v>1</v>
      </c>
      <c r="GL54" s="25">
        <v>0</v>
      </c>
      <c r="GM54" s="25">
        <v>0</v>
      </c>
      <c r="GN54" s="25">
        <v>0</v>
      </c>
      <c r="GO54" s="25">
        <v>0</v>
      </c>
      <c r="GP54" s="25">
        <v>0</v>
      </c>
      <c r="GQ54" s="25">
        <v>0</v>
      </c>
      <c r="GR54" s="25">
        <v>0</v>
      </c>
      <c r="GS54" s="25">
        <v>0</v>
      </c>
      <c r="GT54" s="25">
        <v>0</v>
      </c>
      <c r="GU54" s="25">
        <v>3</v>
      </c>
      <c r="GV54" s="25">
        <v>0</v>
      </c>
      <c r="GW54" s="25">
        <v>0</v>
      </c>
      <c r="GX54" s="25">
        <v>0</v>
      </c>
      <c r="GY54" s="46">
        <v>0</v>
      </c>
      <c r="GZ54" s="25">
        <v>1</v>
      </c>
      <c r="HA54" s="25">
        <v>1</v>
      </c>
      <c r="HB54" s="25">
        <v>0</v>
      </c>
      <c r="HC54" s="25">
        <v>1</v>
      </c>
      <c r="HD54" s="25">
        <v>0</v>
      </c>
      <c r="HE54" s="25">
        <v>0</v>
      </c>
      <c r="HF54" s="25">
        <v>0</v>
      </c>
      <c r="HG54" s="25">
        <v>0</v>
      </c>
      <c r="HH54" s="25">
        <v>0</v>
      </c>
      <c r="HI54" s="25">
        <v>0</v>
      </c>
      <c r="HJ54" s="25">
        <v>0</v>
      </c>
      <c r="HK54" s="25">
        <v>0</v>
      </c>
      <c r="HL54" s="25">
        <v>0</v>
      </c>
      <c r="HM54" s="25">
        <v>0</v>
      </c>
      <c r="HN54" s="25">
        <v>0</v>
      </c>
      <c r="HO54" s="25">
        <v>0</v>
      </c>
      <c r="HP54" s="25">
        <v>0</v>
      </c>
      <c r="HQ54" s="25">
        <v>0</v>
      </c>
      <c r="HR54" s="25">
        <v>0</v>
      </c>
      <c r="HS54" s="25">
        <v>12</v>
      </c>
      <c r="HT54" s="25">
        <v>0</v>
      </c>
      <c r="HU54" s="25">
        <v>0</v>
      </c>
      <c r="HV54" s="25">
        <v>0</v>
      </c>
      <c r="HW54" s="25">
        <v>0</v>
      </c>
      <c r="HX54" s="25">
        <v>0</v>
      </c>
      <c r="HY54" s="25">
        <v>0</v>
      </c>
      <c r="HZ54" s="25">
        <v>0</v>
      </c>
      <c r="IA54" s="25">
        <v>0</v>
      </c>
      <c r="IB54" s="25">
        <v>0</v>
      </c>
      <c r="IC54" s="25">
        <v>0</v>
      </c>
      <c r="ID54" s="25">
        <v>0</v>
      </c>
      <c r="IE54" s="25">
        <v>0</v>
      </c>
      <c r="IF54" s="25">
        <v>0</v>
      </c>
      <c r="IG54" s="25">
        <v>0</v>
      </c>
      <c r="IH54" s="25">
        <v>0</v>
      </c>
      <c r="II54" s="25">
        <v>0</v>
      </c>
      <c r="IJ54" s="25">
        <v>0</v>
      </c>
      <c r="IK54" s="25">
        <v>0</v>
      </c>
      <c r="IL54" s="25">
        <v>0</v>
      </c>
      <c r="IM54" s="25">
        <v>0</v>
      </c>
      <c r="IN54" s="25">
        <v>0</v>
      </c>
      <c r="IO54" s="25">
        <v>0</v>
      </c>
      <c r="IP54" s="25">
        <v>0</v>
      </c>
      <c r="IQ54" s="25">
        <v>0</v>
      </c>
      <c r="IR54" s="25">
        <v>0</v>
      </c>
      <c r="IS54" s="25">
        <v>0</v>
      </c>
      <c r="IT54" s="25">
        <v>0</v>
      </c>
      <c r="IU54" s="25">
        <v>0</v>
      </c>
      <c r="IV54" s="25">
        <v>0</v>
      </c>
      <c r="IW54" s="25">
        <v>0</v>
      </c>
      <c r="IX54" s="25">
        <v>0</v>
      </c>
      <c r="IY54" s="25">
        <v>0</v>
      </c>
      <c r="IZ54" s="25">
        <v>0</v>
      </c>
      <c r="JA54" s="25">
        <v>0</v>
      </c>
      <c r="JB54" s="25">
        <v>0</v>
      </c>
      <c r="JC54" s="25">
        <v>0</v>
      </c>
      <c r="JD54" s="25">
        <v>0</v>
      </c>
      <c r="JE54" s="25">
        <v>0</v>
      </c>
      <c r="JF54" s="25">
        <v>0</v>
      </c>
      <c r="JG54" s="25">
        <v>0</v>
      </c>
      <c r="JH54" s="25">
        <v>0</v>
      </c>
      <c r="JI54" s="25">
        <v>0</v>
      </c>
      <c r="JJ54" s="25">
        <v>0</v>
      </c>
      <c r="JK54" s="25">
        <v>0</v>
      </c>
      <c r="JL54" s="25">
        <v>0</v>
      </c>
      <c r="JM54" s="25">
        <v>0</v>
      </c>
      <c r="JN54" s="25">
        <v>0</v>
      </c>
      <c r="JO54" s="25">
        <v>0</v>
      </c>
      <c r="JP54" s="25">
        <v>0</v>
      </c>
      <c r="JQ54" s="25">
        <v>1</v>
      </c>
      <c r="JR54" s="25">
        <v>0</v>
      </c>
      <c r="JS54" s="25">
        <v>0</v>
      </c>
      <c r="JT54" s="25">
        <v>0</v>
      </c>
      <c r="JU54" s="25">
        <v>0</v>
      </c>
      <c r="JV54" s="25">
        <v>0</v>
      </c>
      <c r="JW54" s="25">
        <v>0</v>
      </c>
      <c r="JX54" s="25">
        <v>0</v>
      </c>
      <c r="JY54" s="25">
        <v>0</v>
      </c>
      <c r="JZ54" s="25">
        <v>0</v>
      </c>
      <c r="KA54" s="25">
        <v>0</v>
      </c>
      <c r="KB54" s="25">
        <v>0</v>
      </c>
      <c r="KC54" s="25">
        <v>0</v>
      </c>
      <c r="KD54" s="25">
        <v>0</v>
      </c>
      <c r="KE54" s="25">
        <v>0</v>
      </c>
      <c r="KF54" s="25">
        <v>0</v>
      </c>
      <c r="KG54" s="25">
        <v>0</v>
      </c>
      <c r="KH54" s="25">
        <v>0</v>
      </c>
      <c r="KI54" s="25">
        <v>0</v>
      </c>
      <c r="KJ54" s="25">
        <v>0</v>
      </c>
      <c r="KK54" s="25">
        <v>0</v>
      </c>
      <c r="KL54" s="25">
        <v>0</v>
      </c>
      <c r="KM54" s="25">
        <v>0</v>
      </c>
      <c r="KN54" s="25">
        <v>0</v>
      </c>
      <c r="KO54" s="25">
        <v>0</v>
      </c>
      <c r="KP54" s="25">
        <v>0</v>
      </c>
      <c r="KQ54" s="25">
        <v>0</v>
      </c>
      <c r="KR54" s="25">
        <v>0</v>
      </c>
      <c r="KS54" s="25">
        <v>0</v>
      </c>
      <c r="KT54" s="25">
        <v>0</v>
      </c>
      <c r="KU54" s="25">
        <v>0</v>
      </c>
      <c r="KV54" s="25">
        <v>0</v>
      </c>
      <c r="KW54" s="25">
        <v>0</v>
      </c>
      <c r="KX54" s="25">
        <v>0</v>
      </c>
      <c r="KY54" s="25">
        <v>0</v>
      </c>
      <c r="KZ54" s="25">
        <v>0</v>
      </c>
      <c r="LA54" s="25">
        <v>0</v>
      </c>
      <c r="LB54" s="25">
        <v>0</v>
      </c>
      <c r="LC54" s="25">
        <v>0</v>
      </c>
      <c r="LD54" s="25">
        <v>0</v>
      </c>
      <c r="LE54" s="25">
        <v>0</v>
      </c>
      <c r="LF54" s="25">
        <v>0</v>
      </c>
      <c r="LG54" s="25">
        <v>0</v>
      </c>
      <c r="LH54" s="25">
        <v>11</v>
      </c>
      <c r="LI54" s="25">
        <v>0</v>
      </c>
      <c r="LJ54" s="25">
        <v>0</v>
      </c>
      <c r="LK54" s="25">
        <v>0</v>
      </c>
      <c r="LL54" s="25">
        <v>0</v>
      </c>
      <c r="LM54" s="25">
        <v>0</v>
      </c>
      <c r="LN54" s="278">
        <f ca="1">$A54 - DeathsTimeS!Sweden100dt + 1</f>
        <v>-13</v>
      </c>
      <c r="LO54" s="366">
        <f ca="1">INDEX(OFFSET(DeathsTimeS!HeadRow,ROW()-ROW(DeathsTimeS!HeadRow),0,1,COLUMNS(DeathsTimeS!HeadRow)),1,MATCH(LO$5,DeathsTimeS!HeadRow,0))/LO$8</f>
        <v>0</v>
      </c>
      <c r="LP54" s="278">
        <f ca="1">$A54 - DeathsTimeS!Spain100dt</f>
        <v>-6</v>
      </c>
      <c r="LQ54" s="11">
        <f ca="1">INDEX(OFFSET(DeathsTimeS!HeadRow,ROW()-ROW(DeathsTimeS!HeadRow),0,1,COLUMNS(DeathsTimeS!HeadRow)),1,MATCH(LQ$5,DeathsTimeS!HeadRow,0))/LQ$8</f>
        <v>0.63911376224968042</v>
      </c>
      <c r="LR54" s="278">
        <f ca="1">$A54 - DeathsTimeS!Victoria100dt</f>
        <v>-29</v>
      </c>
      <c r="LS54" s="11">
        <f ca="1">INDEX(OFFSET(DeathsTimeS!HeadRow,ROW()-ROW(DeathsTimeS!HeadRow),0,1,COLUMNS(DeathsTimeS!HeadRow)),1,MATCH(LS$5,DeathsTimeS!HeadRow,0))/LS$8</f>
        <v>0</v>
      </c>
      <c r="LT54" s="278">
        <f ca="1">$A54 - DeathsTimeS!Iran100dt</f>
        <v>1</v>
      </c>
      <c r="LU54" s="11">
        <f ca="1">INDEX(OFFSET(DeathsTimeS!HeadRow,ROW()-ROW(DeathsTimeS!HeadRow),0,1,COLUMNS(DeathsTimeS!HeadRow)),1,MATCH(LU$5,DeathsTimeS!HeadRow,0))/LU$8</f>
        <v>12.77261170066728</v>
      </c>
      <c r="LV54" s="278">
        <f ca="1">$A54 - DeathsTimeS!Japan100dt</f>
        <v>-40</v>
      </c>
      <c r="LW54" s="11">
        <f ca="1">INDEX(OFFSET(DeathsTimeS!HeadRow,ROW()-ROW(DeathsTimeS!HeadRow),0,1,COLUMNS(DeathsTimeS!HeadRow)),1,MATCH(LW$5,DeathsTimeS!HeadRow,0))/LW$8</f>
        <v>0.47410515476913873</v>
      </c>
      <c r="LX54" s="278">
        <f ca="1">$A54 - DeathsTimeS!Queensland100dt</f>
        <v>-44</v>
      </c>
      <c r="LY54" s="11">
        <f ca="1">INDEX(OFFSET(DeathsTimeS!HeadRow,ROW()-ROW(DeathsTimeS!HeadRow),0,1,COLUMNS(DeathsTimeS!HeadRow)),1,MATCH(LY$5,DeathsTimeS!HeadRow,0))/LY$8</f>
        <v>0</v>
      </c>
      <c r="LZ54" s="278">
        <f ca="1">$A54 - DeathsTimeS!Tasmania100dt</f>
        <v>-26</v>
      </c>
      <c r="MA54" s="11">
        <f ca="1">INDEX(OFFSET(DeathsTimeS!HeadRow,ROW()-ROW(DeathsTimeS!HeadRow),0,1,COLUMNS(DeathsTimeS!HeadRow)),1,MATCH(MA$5,DeathsTimeS!HeadRow,0))/MA$8</f>
        <v>0</v>
      </c>
      <c r="MB54" s="278">
        <f ca="1">$A54 - DeathsTimeS!SouthAustralia100dt</f>
        <v>-34</v>
      </c>
      <c r="MC54" s="11">
        <f ca="1">INDEX(OFFSET(DeathsTimeS!HeadRow,ROW()-ROW(DeathsTimeS!HeadRow),0,1,COLUMNS(DeathsTimeS!HeadRow)),1,MATCH(MC$5,DeathsTimeS!HeadRow,0))/MC$8</f>
        <v>0</v>
      </c>
      <c r="MD54" s="278">
        <f ca="1">$A54 - DeathsTimeS!WesternAustralia100dt</f>
        <v>-31</v>
      </c>
      <c r="ME54" s="11">
        <f ca="1">INDEX(OFFSET(DeathsTimeS!HeadRow,ROW()-ROW(DeathsTimeS!HeadRow),0,1,COLUMNS(DeathsTimeS!HeadRow)),1,MATCH(ME$5,DeathsTimeS!HeadRow,0))/ME$8</f>
        <v>3.8624951718810348</v>
      </c>
      <c r="MF54" s="278">
        <f ca="1">$A54 - DeathsTimeS!NewSouthWales100dt</f>
        <v>-27</v>
      </c>
      <c r="MG54" s="11">
        <f ca="1">INDEX(OFFSET(DeathsTimeS!HeadRow,ROW()-ROW(DeathsTimeS!HeadRow),0,1,COLUMNS(DeathsTimeS!HeadRow)),1,MATCH(MG$5,DeathsTimeS!HeadRow,0))/MG$8</f>
        <v>1.2376237623762376</v>
      </c>
      <c r="MH54" s="278">
        <f ca="1">$A54 - DeathsTimeS!NewYork100dt</f>
        <v>-11</v>
      </c>
      <c r="MI54" s="11">
        <f ca="1">INDEX(OFFSET(DeathsTimeS!HeadRow,ROW()-ROW(DeathsTimeS!HeadRow),0,1,COLUMNS(DeathsTimeS!HeadRow)),1,MATCH(MI$5,DeathsTimeS!HeadRow,0))/MI$8</f>
        <v>0</v>
      </c>
      <c r="MJ54" s="278">
        <f ca="1">$A54 - DeathsTimeS!Italy100dt</f>
        <v>2</v>
      </c>
      <c r="MK54" s="20">
        <f ca="1">INDEX(OFFSET(DeathsTimeS!HeadRow,ROW()-ROW(DeathsTimeS!HeadRow),0,1,COLUMNS(DeathsTimeS!HeadRow)),1,MATCH(MK$5,DeathsTimeS!HeadRow,0))/MK$8</f>
        <v>24.468876580970491</v>
      </c>
      <c r="ML54" s="278">
        <f ca="1">$A54 - DeathsTimeS!AustralianCapitalTerritory100dt</f>
        <v>-25</v>
      </c>
      <c r="MM54" s="11">
        <f ca="1">INDEX(OFFSET(DeathsTimeS!HeadRow,ROW()-ROW(DeathsTimeS!HeadRow),0,1,COLUMNS(DeathsTimeS!HeadRow)),1,MATCH(MM$5,DeathsTimeS!HeadRow,0))/MM$8</f>
        <v>0</v>
      </c>
      <c r="MN54" s="278">
        <f ca="1">IF(DeathsTimeS!NorthernTerritory100dt&gt;0,$A54 - DeathsTimeS!NorthernTerritory100dt,"")</f>
        <v>-53</v>
      </c>
      <c r="MO54" s="11">
        <f ca="1">INDEX(OFFSET(DeathsTimeS!HeadRow,ROW()-ROW(DeathsTimeS!HeadRow),0,1,COLUMNS(DeathsTimeS!HeadRow)),1,MATCH(MO$5,DeathsTimeS!HeadRow,0))/MO$8</f>
        <v>0</v>
      </c>
      <c r="MP54" s="278">
        <f ca="1">$A54 - DeathsTimeS!SouthAfrica100dt + 1</f>
        <v>-45</v>
      </c>
      <c r="MQ54" s="20">
        <f ca="1">INDEX(OFFSET(DeathsTimeS!HeadRow,ROW()-ROW(DeathsTimeS!HeadRow),0,1,COLUMNS(DeathsTimeS!HeadRow)),1,MATCH(MQ$5,DeathsTimeS!HeadRow,0))/MQ$8</f>
        <v>0</v>
      </c>
      <c r="MR54" s="278">
        <f ca="1">$A54 - DeathsTimeS!Germany100dt + 1</f>
        <v>-15</v>
      </c>
      <c r="MS54" s="20">
        <f ca="1">INDEX(OFFSET(DeathsTimeS!HeadRow,ROW()-ROW(DeathsTimeS!HeadRow),0,1,COLUMNS(DeathsTimeS!HeadRow)),1,MATCH(MS$5,DeathsTimeS!HeadRow,0))/MS$8</f>
        <v>0</v>
      </c>
      <c r="MT54" s="278">
        <f ca="1">$A54 - DeathsTimeS!Ireland100dt + 1</f>
        <v>-17</v>
      </c>
      <c r="MU54" s="73">
        <f ca="1">INDEX(OFFSET(DeathsTimeS!HeadRow,ROW()-ROW(DeathsTimeS!HeadRow),0,1,COLUMNS(DeathsTimeS!HeadRow)),1,MATCH(MU$5,DeathsTimeS!HeadRow,0))/MU$8</f>
        <v>0</v>
      </c>
      <c r="MV54" s="278">
        <f ca="1">$A54 - DeathsTimeS!UnitedKingdom100dt + 1</f>
        <v>-11</v>
      </c>
      <c r="MW54" s="73">
        <f ca="1">INDEX(OFFSET(DeathsTimeS!HeadRow,ROW()-ROW(DeathsTimeS!HeadRow),0,1,COLUMNS(DeathsTimeS!HeadRow)),1,MATCH(MW$5,DeathsTimeS!HeadRow,0))/MW$8</f>
        <v>0</v>
      </c>
      <c r="MX54" s="278">
        <f ca="1">$A54 - DeathsTimeS!Denmark100dt + 1</f>
        <v>-13</v>
      </c>
      <c r="MY54" s="73">
        <f ca="1">INDEX(OFFSET(DeathsTimeS!HeadRow,ROW()-ROW(DeathsTimeS!HeadRow),0,1,COLUMNS(DeathsTimeS!HeadRow)),1,MATCH(MY$5,DeathsTimeS!HeadRow,0))/MY$8</f>
        <v>0</v>
      </c>
      <c r="MZ54" s="278">
        <f ca="1">$A54 - DeathsTimeS!US100dt + 1</f>
        <v>-14</v>
      </c>
      <c r="NA54" s="73">
        <f ca="1">INDEX(OFFSET(DeathsTimeS!HeadRow,ROW()-ROW(DeathsTimeS!HeadRow),0,1,COLUMNS(DeathsTimeS!HeadRow)),1,MATCH(NA$5,DeathsTimeS!HeadRow,0))/NA$8</f>
        <v>0.36448932830831338</v>
      </c>
      <c r="NB54" s="278">
        <f ca="1">$A54 - DeathsTimeS!AustraliaSum100dt + 1</f>
        <v>-20</v>
      </c>
      <c r="NC54" s="366">
        <f t="shared" si="6"/>
        <v>2</v>
      </c>
      <c r="ND54" s="278">
        <f ca="1">$A54 - DeathsTimeS!Taiwan100dt + 1</f>
        <v>-52</v>
      </c>
      <c r="NE54" s="366">
        <f ca="1">INDEX(OFFSET(DeathsTimeS!HeadRow,ROW()-ROW(DeathsTimeS!HeadRow),0,1,COLUMNS(DeathsTimeS!HeadRow)),1,MATCH(NE$5,DeathsTimeS!HeadRow,0))/NE$8</f>
        <v>0.4200395492437986</v>
      </c>
      <c r="NF54" s="278">
        <f ca="1">$A54 - DeathsTimeS!Hubei100dt + 1</f>
        <v>39</v>
      </c>
      <c r="NG54" s="366">
        <f ca="1">INDEX(OFFSET(DeathsTimeS!HeadRow,ROW()-ROW(DeathsTimeS!HeadRow),0,1,COLUMNS(DeathsTimeS!HeadRow)),1,MATCH(NG$5,DeathsTimeS!HeadRow,0))/NG$8</f>
        <v>496.0683760683761</v>
      </c>
      <c r="NH54" s="278">
        <f ca="1">$A54 - DeathsTimeS!HongKong100dt + 1</f>
        <v>-52</v>
      </c>
      <c r="NI54" s="366">
        <f ca="1">INDEX(OFFSET(DeathsTimeS!HeadRow,ROW()-ROW(DeathsTimeS!HeadRow),0,1,COLUMNS(DeathsTimeS!HeadRow)),1,MATCH(NI$5,DeathsTimeS!HeadRow,0))/NI$8</f>
        <v>2.6842034626224667</v>
      </c>
    </row>
    <row r="55" spans="1:373" x14ac:dyDescent="0.25">
      <c r="A55" s="156">
        <v>43896</v>
      </c>
      <c r="B55" s="25">
        <v>0</v>
      </c>
      <c r="C55" s="25">
        <v>0</v>
      </c>
      <c r="D55" s="25">
        <v>0</v>
      </c>
      <c r="E55" s="25">
        <v>0</v>
      </c>
      <c r="F55" s="25">
        <v>0</v>
      </c>
      <c r="G55" s="25">
        <v>0</v>
      </c>
      <c r="H55" s="25">
        <v>0</v>
      </c>
      <c r="I55" s="25">
        <v>0</v>
      </c>
      <c r="J55" s="25">
        <v>0</v>
      </c>
      <c r="K55" s="25">
        <v>1</v>
      </c>
      <c r="L55" s="25">
        <v>0</v>
      </c>
      <c r="M55" s="25">
        <v>0</v>
      </c>
      <c r="N55" s="25">
        <v>0</v>
      </c>
      <c r="O55" s="25">
        <v>0</v>
      </c>
      <c r="P55" s="25">
        <v>0</v>
      </c>
      <c r="Q55" s="25">
        <v>1</v>
      </c>
      <c r="R55" s="25">
        <v>0</v>
      </c>
      <c r="S55" s="25">
        <v>0</v>
      </c>
      <c r="T55" s="25">
        <v>0</v>
      </c>
      <c r="U55" s="25">
        <v>0</v>
      </c>
      <c r="V55" s="25">
        <v>0</v>
      </c>
      <c r="W55" s="25">
        <v>0</v>
      </c>
      <c r="X55" s="25">
        <v>0</v>
      </c>
      <c r="Y55" s="25">
        <v>0</v>
      </c>
      <c r="Z55" s="25">
        <v>0</v>
      </c>
      <c r="AA55" s="25">
        <v>0</v>
      </c>
      <c r="AB55" s="25">
        <v>0</v>
      </c>
      <c r="AC55" s="25">
        <v>0</v>
      </c>
      <c r="AD55" s="25">
        <v>0</v>
      </c>
      <c r="AE55" s="25">
        <v>0</v>
      </c>
      <c r="AF55" s="25">
        <v>0</v>
      </c>
      <c r="AG55" s="25">
        <v>0</v>
      </c>
      <c r="AH55" s="25">
        <v>0</v>
      </c>
      <c r="AI55" s="25">
        <v>0</v>
      </c>
      <c r="AJ55" s="25">
        <v>0</v>
      </c>
      <c r="AK55" s="25">
        <v>0</v>
      </c>
      <c r="AL55" s="25">
        <v>0</v>
      </c>
      <c r="AM55" s="25">
        <v>0</v>
      </c>
      <c r="AN55" s="25">
        <v>0</v>
      </c>
      <c r="AO55" s="25">
        <v>0</v>
      </c>
      <c r="AP55" s="25">
        <v>0</v>
      </c>
      <c r="AQ55" s="25">
        <v>0</v>
      </c>
      <c r="AR55" s="25">
        <v>0</v>
      </c>
      <c r="AS55" s="25">
        <v>0</v>
      </c>
      <c r="AT55" s="25">
        <v>0</v>
      </c>
      <c r="AU55" s="25">
        <v>0</v>
      </c>
      <c r="AV55" s="25">
        <v>0</v>
      </c>
      <c r="AW55" s="25">
        <v>0</v>
      </c>
      <c r="AX55" s="25">
        <v>0</v>
      </c>
      <c r="AY55" s="25">
        <v>6</v>
      </c>
      <c r="AZ55" s="25">
        <v>8</v>
      </c>
      <c r="BA55" s="25">
        <v>6</v>
      </c>
      <c r="BB55" s="25">
        <v>1</v>
      </c>
      <c r="BC55" s="25">
        <v>2</v>
      </c>
      <c r="BD55" s="25">
        <v>7</v>
      </c>
      <c r="BE55" s="25">
        <v>2</v>
      </c>
      <c r="BF55" s="25">
        <v>2</v>
      </c>
      <c r="BG55" s="25">
        <v>6</v>
      </c>
      <c r="BH55" s="25">
        <v>6</v>
      </c>
      <c r="BI55" s="25">
        <v>13</v>
      </c>
      <c r="BJ55" s="25">
        <v>22</v>
      </c>
      <c r="BK55" s="25">
        <v>2</v>
      </c>
      <c r="BL55" s="25">
        <v>2931</v>
      </c>
      <c r="BM55" s="25">
        <v>4</v>
      </c>
      <c r="BN55" s="25">
        <v>1</v>
      </c>
      <c r="BO55" s="25">
        <v>0</v>
      </c>
      <c r="BP55" s="25">
        <v>1</v>
      </c>
      <c r="BQ55" s="25">
        <v>1</v>
      </c>
      <c r="BR55" s="25">
        <v>1</v>
      </c>
      <c r="BS55" s="25">
        <v>0</v>
      </c>
      <c r="BT55" s="25">
        <v>0</v>
      </c>
      <c r="BU55" s="25">
        <v>0</v>
      </c>
      <c r="BV55" s="25">
        <v>1</v>
      </c>
      <c r="BW55" s="25">
        <v>6</v>
      </c>
      <c r="BX55" s="25">
        <v>3</v>
      </c>
      <c r="BY55" s="25">
        <v>0</v>
      </c>
      <c r="BZ55" s="25">
        <v>3</v>
      </c>
      <c r="CA55" s="25">
        <v>3</v>
      </c>
      <c r="CB55" s="25">
        <v>0</v>
      </c>
      <c r="CC55" s="25">
        <v>3</v>
      </c>
      <c r="CD55" s="25">
        <v>2</v>
      </c>
      <c r="CE55" s="25">
        <v>1</v>
      </c>
      <c r="CF55" s="25">
        <v>0</v>
      </c>
      <c r="CG55" s="25">
        <v>0</v>
      </c>
      <c r="CH55" s="25">
        <v>0</v>
      </c>
      <c r="CI55" s="25">
        <v>0</v>
      </c>
      <c r="CJ55" s="25">
        <v>0</v>
      </c>
      <c r="CK55" s="25">
        <v>0</v>
      </c>
      <c r="CL55" s="25">
        <v>6</v>
      </c>
      <c r="CM55" s="25">
        <v>0</v>
      </c>
      <c r="CN55" s="25">
        <v>0</v>
      </c>
      <c r="CO55" s="25">
        <v>0</v>
      </c>
      <c r="CP55" s="25">
        <v>0</v>
      </c>
      <c r="CQ55" s="25">
        <v>0</v>
      </c>
      <c r="CR55" s="25">
        <v>0</v>
      </c>
      <c r="CS55" s="25">
        <v>0</v>
      </c>
      <c r="CT55" s="25">
        <v>0</v>
      </c>
      <c r="CU55" s="25">
        <v>0</v>
      </c>
      <c r="CV55" s="25">
        <v>0</v>
      </c>
      <c r="CW55" s="25">
        <v>0</v>
      </c>
      <c r="CX55" s="25">
        <v>0</v>
      </c>
      <c r="CY55" s="25">
        <v>0</v>
      </c>
      <c r="CZ55" s="25">
        <v>0</v>
      </c>
      <c r="DA55" s="25">
        <v>0</v>
      </c>
      <c r="DB55" s="25">
        <v>0</v>
      </c>
      <c r="DC55" s="25">
        <v>0</v>
      </c>
      <c r="DD55" s="25">
        <v>0</v>
      </c>
      <c r="DE55" s="25">
        <v>0</v>
      </c>
      <c r="DF55" s="25">
        <v>0</v>
      </c>
      <c r="DG55" s="25">
        <v>0</v>
      </c>
      <c r="DH55" s="25">
        <v>0</v>
      </c>
      <c r="DI55" s="25">
        <v>0</v>
      </c>
      <c r="DJ55" s="25">
        <v>0</v>
      </c>
      <c r="DK55" s="25">
        <v>0</v>
      </c>
      <c r="DL55" s="25">
        <v>0</v>
      </c>
      <c r="DM55" s="25">
        <v>0</v>
      </c>
      <c r="DN55" s="25">
        <v>9</v>
      </c>
      <c r="DO55" s="25">
        <v>0</v>
      </c>
      <c r="DP55" s="25">
        <v>0</v>
      </c>
      <c r="DQ55" s="25">
        <v>0</v>
      </c>
      <c r="DR55" s="25">
        <v>0</v>
      </c>
      <c r="DS55" s="25">
        <v>0</v>
      </c>
      <c r="DT55" s="25">
        <v>0</v>
      </c>
      <c r="DU55" s="25">
        <v>0</v>
      </c>
      <c r="DV55" s="25">
        <v>0</v>
      </c>
      <c r="DW55" s="25">
        <v>0</v>
      </c>
      <c r="DX55" s="25">
        <v>0</v>
      </c>
      <c r="DY55" s="25">
        <v>0</v>
      </c>
      <c r="DZ55" s="25">
        <v>0</v>
      </c>
      <c r="EA55" s="25">
        <v>0</v>
      </c>
      <c r="EB55" s="25">
        <v>0</v>
      </c>
      <c r="EC55" s="25">
        <v>0</v>
      </c>
      <c r="ED55" s="25">
        <v>0</v>
      </c>
      <c r="EE55" s="25">
        <v>124</v>
      </c>
      <c r="EF55" s="25">
        <v>3</v>
      </c>
      <c r="EG55" s="25">
        <v>0</v>
      </c>
      <c r="EH55" s="25">
        <v>0</v>
      </c>
      <c r="EI55" s="25">
        <v>197</v>
      </c>
      <c r="EJ55" s="25">
        <v>0</v>
      </c>
      <c r="EK55" s="25">
        <v>6</v>
      </c>
      <c r="EL55" s="25">
        <v>0</v>
      </c>
      <c r="EM55" s="25">
        <v>0</v>
      </c>
      <c r="EN55" s="25">
        <v>0</v>
      </c>
      <c r="EO55" s="25">
        <v>42</v>
      </c>
      <c r="EP55" s="25">
        <v>0</v>
      </c>
      <c r="EQ55" s="25">
        <v>0</v>
      </c>
      <c r="ER55" s="25">
        <v>0</v>
      </c>
      <c r="ES55" s="25">
        <v>0</v>
      </c>
      <c r="ET55" s="25">
        <v>0</v>
      </c>
      <c r="EU55" s="25">
        <v>0</v>
      </c>
      <c r="EV55" s="25">
        <v>0</v>
      </c>
      <c r="EW55" s="25">
        <v>0</v>
      </c>
      <c r="EX55" s="25">
        <v>0</v>
      </c>
      <c r="EY55" s="25">
        <v>0</v>
      </c>
      <c r="EZ55" s="25">
        <v>0</v>
      </c>
      <c r="FA55" s="25">
        <v>0</v>
      </c>
      <c r="FB55" s="25">
        <v>0</v>
      </c>
      <c r="FC55" s="25">
        <v>0</v>
      </c>
      <c r="FD55" s="25">
        <v>0</v>
      </c>
      <c r="FE55" s="25">
        <v>0</v>
      </c>
      <c r="FF55" s="25">
        <v>0</v>
      </c>
      <c r="FG55" s="25">
        <v>0</v>
      </c>
      <c r="FH55" s="25">
        <v>0</v>
      </c>
      <c r="FI55" s="25">
        <v>0</v>
      </c>
      <c r="FJ55" s="25">
        <v>0</v>
      </c>
      <c r="FK55" s="25">
        <v>0</v>
      </c>
      <c r="FL55" s="25">
        <v>0</v>
      </c>
      <c r="FM55" s="25">
        <v>0</v>
      </c>
      <c r="FN55" s="25">
        <v>0</v>
      </c>
      <c r="FO55" s="25">
        <v>1</v>
      </c>
      <c r="FP55" s="25">
        <v>0</v>
      </c>
      <c r="FQ55" s="25">
        <v>0</v>
      </c>
      <c r="FR55" s="25">
        <v>0</v>
      </c>
      <c r="FS55" s="25">
        <v>0</v>
      </c>
      <c r="FT55" s="25">
        <v>0</v>
      </c>
      <c r="FU55" s="25">
        <v>0</v>
      </c>
      <c r="FV55" s="25">
        <v>0</v>
      </c>
      <c r="FW55" s="25">
        <v>0</v>
      </c>
      <c r="FX55" s="25">
        <v>0</v>
      </c>
      <c r="FY55" s="25">
        <v>0</v>
      </c>
      <c r="FZ55" s="25">
        <v>0</v>
      </c>
      <c r="GA55" s="25">
        <v>0</v>
      </c>
      <c r="GB55" s="25">
        <v>1</v>
      </c>
      <c r="GC55" s="25">
        <v>0</v>
      </c>
      <c r="GD55" s="25">
        <v>0</v>
      </c>
      <c r="GE55" s="25">
        <v>0</v>
      </c>
      <c r="GF55" s="25">
        <v>0</v>
      </c>
      <c r="GG55" s="25">
        <v>0</v>
      </c>
      <c r="GH55" s="25">
        <v>0</v>
      </c>
      <c r="GI55" s="25">
        <v>0</v>
      </c>
      <c r="GJ55" s="25">
        <v>0</v>
      </c>
      <c r="GK55" s="25">
        <v>1</v>
      </c>
      <c r="GL55" s="25">
        <v>0</v>
      </c>
      <c r="GM55" s="25">
        <v>0</v>
      </c>
      <c r="GN55" s="25">
        <v>0</v>
      </c>
      <c r="GO55" s="25">
        <v>0</v>
      </c>
      <c r="GP55" s="25">
        <v>0</v>
      </c>
      <c r="GQ55" s="25">
        <v>0</v>
      </c>
      <c r="GR55" s="25">
        <v>0</v>
      </c>
      <c r="GS55" s="25">
        <v>0</v>
      </c>
      <c r="GT55" s="25">
        <v>0</v>
      </c>
      <c r="GU55" s="25">
        <v>5</v>
      </c>
      <c r="GV55" s="25">
        <v>0</v>
      </c>
      <c r="GW55" s="25">
        <v>0</v>
      </c>
      <c r="GX55" s="25">
        <v>0</v>
      </c>
      <c r="GY55" s="46">
        <v>0</v>
      </c>
      <c r="GZ55" s="25">
        <v>1</v>
      </c>
      <c r="HA55" s="25">
        <v>1</v>
      </c>
      <c r="HB55" s="25">
        <v>0</v>
      </c>
      <c r="HC55" s="25">
        <v>1</v>
      </c>
      <c r="HD55" s="25">
        <v>0</v>
      </c>
      <c r="HE55" s="25">
        <v>0</v>
      </c>
      <c r="HF55" s="25">
        <v>0</v>
      </c>
      <c r="HG55" s="25">
        <v>0</v>
      </c>
      <c r="HH55" s="25">
        <v>0</v>
      </c>
      <c r="HI55" s="25">
        <v>0</v>
      </c>
      <c r="HJ55" s="25">
        <v>0</v>
      </c>
      <c r="HK55" s="25">
        <v>0</v>
      </c>
      <c r="HL55" s="25">
        <v>0</v>
      </c>
      <c r="HM55" s="25">
        <v>0</v>
      </c>
      <c r="HN55" s="25">
        <v>0</v>
      </c>
      <c r="HO55" s="25">
        <v>0</v>
      </c>
      <c r="HP55" s="25">
        <v>0</v>
      </c>
      <c r="HQ55" s="25">
        <v>1</v>
      </c>
      <c r="HR55" s="25">
        <v>0</v>
      </c>
      <c r="HS55" s="25">
        <v>14</v>
      </c>
      <c r="HT55" s="25">
        <v>0</v>
      </c>
      <c r="HU55" s="25">
        <v>0</v>
      </c>
      <c r="HV55" s="25">
        <v>0</v>
      </c>
      <c r="HW55" s="25">
        <v>0</v>
      </c>
      <c r="HX55" s="25">
        <v>0</v>
      </c>
      <c r="HY55" s="25">
        <v>0</v>
      </c>
      <c r="HZ55" s="25">
        <v>0</v>
      </c>
      <c r="IA55" s="25">
        <v>0</v>
      </c>
      <c r="IB55" s="25">
        <v>0</v>
      </c>
      <c r="IC55" s="25">
        <v>0</v>
      </c>
      <c r="ID55" s="25">
        <v>0</v>
      </c>
      <c r="IE55" s="25">
        <v>0</v>
      </c>
      <c r="IF55" s="25">
        <v>0</v>
      </c>
      <c r="IG55" s="25">
        <v>0</v>
      </c>
      <c r="IH55" s="25">
        <v>0</v>
      </c>
      <c r="II55" s="25">
        <v>0</v>
      </c>
      <c r="IJ55" s="25">
        <v>0</v>
      </c>
      <c r="IK55" s="25">
        <v>0</v>
      </c>
      <c r="IL55" s="25">
        <v>0</v>
      </c>
      <c r="IM55" s="25">
        <v>0</v>
      </c>
      <c r="IN55" s="25">
        <v>0</v>
      </c>
      <c r="IO55" s="25">
        <v>0</v>
      </c>
      <c r="IP55" s="25">
        <v>0</v>
      </c>
      <c r="IQ55" s="25">
        <v>0</v>
      </c>
      <c r="IR55" s="25">
        <v>0</v>
      </c>
      <c r="IS55" s="25">
        <v>0</v>
      </c>
      <c r="IT55" s="25">
        <v>0</v>
      </c>
      <c r="IU55" s="25">
        <v>0</v>
      </c>
      <c r="IV55" s="25">
        <v>0</v>
      </c>
      <c r="IW55" s="25">
        <v>0</v>
      </c>
      <c r="IX55" s="25">
        <v>0</v>
      </c>
      <c r="IY55" s="25">
        <v>0</v>
      </c>
      <c r="IZ55" s="25">
        <v>0</v>
      </c>
      <c r="JA55" s="25">
        <v>0</v>
      </c>
      <c r="JB55" s="25">
        <v>0</v>
      </c>
      <c r="JC55" s="25">
        <v>0</v>
      </c>
      <c r="JD55" s="25">
        <v>0</v>
      </c>
      <c r="JE55" s="25">
        <v>0</v>
      </c>
      <c r="JF55" s="25">
        <v>0</v>
      </c>
      <c r="JG55" s="25">
        <v>0</v>
      </c>
      <c r="JH55" s="25">
        <v>0</v>
      </c>
      <c r="JI55" s="25">
        <v>0</v>
      </c>
      <c r="JJ55" s="25">
        <v>0</v>
      </c>
      <c r="JK55" s="25">
        <v>0</v>
      </c>
      <c r="JL55" s="25">
        <v>0</v>
      </c>
      <c r="JM55" s="25">
        <v>0</v>
      </c>
      <c r="JN55" s="25">
        <v>0</v>
      </c>
      <c r="JO55" s="25">
        <v>0</v>
      </c>
      <c r="JP55" s="25">
        <v>0</v>
      </c>
      <c r="JQ55" s="25">
        <v>1</v>
      </c>
      <c r="JR55" s="25">
        <v>0</v>
      </c>
      <c r="JS55" s="25">
        <v>0</v>
      </c>
      <c r="JT55" s="25">
        <v>0</v>
      </c>
      <c r="JU55" s="25">
        <v>0</v>
      </c>
      <c r="JV55" s="25">
        <v>0</v>
      </c>
      <c r="JW55" s="25">
        <v>0</v>
      </c>
      <c r="JX55" s="25">
        <v>0</v>
      </c>
      <c r="JY55" s="25">
        <v>0</v>
      </c>
      <c r="JZ55" s="25">
        <v>0</v>
      </c>
      <c r="KA55" s="25">
        <v>0</v>
      </c>
      <c r="KB55" s="25">
        <v>0</v>
      </c>
      <c r="KC55" s="25">
        <v>0</v>
      </c>
      <c r="KD55" s="25">
        <v>0</v>
      </c>
      <c r="KE55" s="25">
        <v>0</v>
      </c>
      <c r="KF55" s="25">
        <v>0</v>
      </c>
      <c r="KG55" s="25">
        <v>0</v>
      </c>
      <c r="KH55" s="25">
        <v>0</v>
      </c>
      <c r="KI55" s="25">
        <v>0</v>
      </c>
      <c r="KJ55" s="25">
        <v>0</v>
      </c>
      <c r="KK55" s="25">
        <v>0</v>
      </c>
      <c r="KL55" s="25">
        <v>0</v>
      </c>
      <c r="KM55" s="25">
        <v>0</v>
      </c>
      <c r="KN55" s="25">
        <v>0</v>
      </c>
      <c r="KO55" s="25">
        <v>0</v>
      </c>
      <c r="KP55" s="25">
        <v>0</v>
      </c>
      <c r="KQ55" s="25">
        <v>0</v>
      </c>
      <c r="KR55" s="25">
        <v>0</v>
      </c>
      <c r="KS55" s="25">
        <v>0</v>
      </c>
      <c r="KT55" s="25">
        <v>0</v>
      </c>
      <c r="KU55" s="25">
        <v>0</v>
      </c>
      <c r="KV55" s="25">
        <v>0</v>
      </c>
      <c r="KW55" s="25">
        <v>0</v>
      </c>
      <c r="KX55" s="25">
        <v>0</v>
      </c>
      <c r="KY55" s="25">
        <v>0</v>
      </c>
      <c r="KZ55" s="25">
        <v>0</v>
      </c>
      <c r="LA55" s="25">
        <v>0</v>
      </c>
      <c r="LB55" s="25">
        <v>0</v>
      </c>
      <c r="LC55" s="25">
        <v>0</v>
      </c>
      <c r="LD55" s="25">
        <v>0</v>
      </c>
      <c r="LE55" s="25">
        <v>0</v>
      </c>
      <c r="LF55" s="25">
        <v>0</v>
      </c>
      <c r="LG55" s="25">
        <v>0</v>
      </c>
      <c r="LH55" s="25">
        <v>13</v>
      </c>
      <c r="LI55" s="25">
        <v>0</v>
      </c>
      <c r="LJ55" s="25">
        <v>0</v>
      </c>
      <c r="LK55" s="25">
        <v>0</v>
      </c>
      <c r="LL55" s="25">
        <v>0</v>
      </c>
      <c r="LM55" s="25">
        <v>0</v>
      </c>
      <c r="LN55" s="278">
        <f ca="1">$A55 - DeathsTimeS!Sweden100dt + 1</f>
        <v>-12</v>
      </c>
      <c r="LO55" s="366">
        <f ca="1">INDEX(OFFSET(DeathsTimeS!HeadRow,ROW()-ROW(DeathsTimeS!HeadRow),0,1,COLUMNS(DeathsTimeS!HeadRow)),1,MATCH(LO$5,DeathsTimeS!HeadRow,0))/LO$8</f>
        <v>0</v>
      </c>
      <c r="LP55" s="278">
        <f ca="1">$A55 - DeathsTimeS!Spain100dt</f>
        <v>-5</v>
      </c>
      <c r="LQ55" s="11">
        <f ca="1">INDEX(OFFSET(DeathsTimeS!HeadRow,ROW()-ROW(DeathsTimeS!HeadRow),0,1,COLUMNS(DeathsTimeS!HeadRow)),1,MATCH(LQ$5,DeathsTimeS!HeadRow,0))/LQ$8</f>
        <v>1.0651896037494675</v>
      </c>
      <c r="LR55" s="278">
        <f ca="1">$A55 - DeathsTimeS!Victoria100dt</f>
        <v>-28</v>
      </c>
      <c r="LS55" s="11">
        <f ca="1">INDEX(OFFSET(DeathsTimeS!HeadRow,ROW()-ROW(DeathsTimeS!HeadRow),0,1,COLUMNS(DeathsTimeS!HeadRow)),1,MATCH(LS$5,DeathsTimeS!HeadRow,0))/LS$8</f>
        <v>0</v>
      </c>
      <c r="LT55" s="278">
        <f ca="1">$A55 - DeathsTimeS!Iran100dt</f>
        <v>2</v>
      </c>
      <c r="LU55" s="11">
        <f ca="1">INDEX(OFFSET(DeathsTimeS!HeadRow,ROW()-ROW(DeathsTimeS!HeadRow),0,1,COLUMNS(DeathsTimeS!HeadRow)),1,MATCH(LU$5,DeathsTimeS!HeadRow,0))/LU$8</f>
        <v>14.801905148436846</v>
      </c>
      <c r="LV55" s="278">
        <f ca="1">$A55 - DeathsTimeS!Japan100dt</f>
        <v>-39</v>
      </c>
      <c r="LW55" s="11">
        <f ca="1">INDEX(OFFSET(DeathsTimeS!HeadRow,ROW()-ROW(DeathsTimeS!HeadRow),0,1,COLUMNS(DeathsTimeS!HeadRow)),1,MATCH(LW$5,DeathsTimeS!HeadRow,0))/LW$8</f>
        <v>0.47410515476913873</v>
      </c>
      <c r="LX55" s="278">
        <f ca="1">$A55 - DeathsTimeS!Queensland100dt</f>
        <v>-43</v>
      </c>
      <c r="LY55" s="11">
        <f ca="1">INDEX(OFFSET(DeathsTimeS!HeadRow,ROW()-ROW(DeathsTimeS!HeadRow),0,1,COLUMNS(DeathsTimeS!HeadRow)),1,MATCH(LY$5,DeathsTimeS!HeadRow,0))/LY$8</f>
        <v>0</v>
      </c>
      <c r="LZ55" s="278">
        <f ca="1">$A55 - DeathsTimeS!Tasmania100dt</f>
        <v>-25</v>
      </c>
      <c r="MA55" s="11">
        <f ca="1">INDEX(OFFSET(DeathsTimeS!HeadRow,ROW()-ROW(DeathsTimeS!HeadRow),0,1,COLUMNS(DeathsTimeS!HeadRow)),1,MATCH(MA$5,DeathsTimeS!HeadRow,0))/MA$8</f>
        <v>0</v>
      </c>
      <c r="MB55" s="278">
        <f ca="1">$A55 - DeathsTimeS!SouthAustralia100dt</f>
        <v>-33</v>
      </c>
      <c r="MC55" s="11">
        <f ca="1">INDEX(OFFSET(DeathsTimeS!HeadRow,ROW()-ROW(DeathsTimeS!HeadRow),0,1,COLUMNS(DeathsTimeS!HeadRow)),1,MATCH(MC$5,DeathsTimeS!HeadRow,0))/MC$8</f>
        <v>0</v>
      </c>
      <c r="MD55" s="278">
        <f ca="1">$A55 - DeathsTimeS!WesternAustralia100dt</f>
        <v>-30</v>
      </c>
      <c r="ME55" s="11">
        <f ca="1">INDEX(OFFSET(DeathsTimeS!HeadRow,ROW()-ROW(DeathsTimeS!HeadRow),0,1,COLUMNS(DeathsTimeS!HeadRow)),1,MATCH(ME$5,DeathsTimeS!HeadRow,0))/ME$8</f>
        <v>3.8624951718810348</v>
      </c>
      <c r="MF55" s="278">
        <f ca="1">$A55 - DeathsTimeS!NewSouthWales100dt</f>
        <v>-26</v>
      </c>
      <c r="MG55" s="11">
        <f ca="1">INDEX(OFFSET(DeathsTimeS!HeadRow,ROW()-ROW(DeathsTimeS!HeadRow),0,1,COLUMNS(DeathsTimeS!HeadRow)),1,MATCH(MG$5,DeathsTimeS!HeadRow,0))/MG$8</f>
        <v>1.2376237623762376</v>
      </c>
      <c r="MH55" s="278">
        <f ca="1">$A55 - DeathsTimeS!NewYork100dt</f>
        <v>-10</v>
      </c>
      <c r="MI55" s="11">
        <f ca="1">INDEX(OFFSET(DeathsTimeS!HeadRow,ROW()-ROW(DeathsTimeS!HeadRow),0,1,COLUMNS(DeathsTimeS!HeadRow)),1,MATCH(MI$5,DeathsTimeS!HeadRow,0))/MI$8</f>
        <v>0</v>
      </c>
      <c r="MJ55" s="278">
        <f ca="1">$A55 - DeathsTimeS!Italy100dt</f>
        <v>3</v>
      </c>
      <c r="MK55" s="20">
        <f ca="1">INDEX(OFFSET(DeathsTimeS!HeadRow,ROW()-ROW(DeathsTimeS!HeadRow),0,1,COLUMNS(DeathsTimeS!HeadRow)),1,MATCH(MK$5,DeathsTimeS!HeadRow,0))/MK$8</f>
        <v>32.570058692237744</v>
      </c>
      <c r="ML55" s="278">
        <f ca="1">$A55 - DeathsTimeS!AustralianCapitalTerritory100dt</f>
        <v>-24</v>
      </c>
      <c r="MM55" s="11">
        <f ca="1">INDEX(OFFSET(DeathsTimeS!HeadRow,ROW()-ROW(DeathsTimeS!HeadRow),0,1,COLUMNS(DeathsTimeS!HeadRow)),1,MATCH(MM$5,DeathsTimeS!HeadRow,0))/MM$8</f>
        <v>0</v>
      </c>
      <c r="MN55" s="278">
        <f ca="1">IF(DeathsTimeS!NorthernTerritory100dt&gt;0,$A55 - DeathsTimeS!NorthernTerritory100dt,"")</f>
        <v>-52</v>
      </c>
      <c r="MO55" s="11">
        <f ca="1">INDEX(OFFSET(DeathsTimeS!HeadRow,ROW()-ROW(DeathsTimeS!HeadRow),0,1,COLUMNS(DeathsTimeS!HeadRow)),1,MATCH(MO$5,DeathsTimeS!HeadRow,0))/MO$8</f>
        <v>0</v>
      </c>
      <c r="MP55" s="278">
        <f ca="1">$A55 - DeathsTimeS!SouthAfrica100dt + 1</f>
        <v>-44</v>
      </c>
      <c r="MQ55" s="20">
        <f ca="1">INDEX(OFFSET(DeathsTimeS!HeadRow,ROW()-ROW(DeathsTimeS!HeadRow),0,1,COLUMNS(DeathsTimeS!HeadRow)),1,MATCH(MQ$5,DeathsTimeS!HeadRow,0))/MQ$8</f>
        <v>0</v>
      </c>
      <c r="MR55" s="278">
        <f ca="1">$A55 - DeathsTimeS!Germany100dt + 1</f>
        <v>-14</v>
      </c>
      <c r="MS55" s="20">
        <f ca="1">INDEX(OFFSET(DeathsTimeS!HeadRow,ROW()-ROW(DeathsTimeS!HeadRow),0,1,COLUMNS(DeathsTimeS!HeadRow)),1,MATCH(MS$5,DeathsTimeS!HeadRow,0))/MS$8</f>
        <v>0</v>
      </c>
      <c r="MT55" s="278">
        <f ca="1">$A55 - DeathsTimeS!Ireland100dt + 1</f>
        <v>-16</v>
      </c>
      <c r="MU55" s="73">
        <f ca="1">INDEX(OFFSET(DeathsTimeS!HeadRow,ROW()-ROW(DeathsTimeS!HeadRow),0,1,COLUMNS(DeathsTimeS!HeadRow)),1,MATCH(MU$5,DeathsTimeS!HeadRow,0))/MU$8</f>
        <v>0</v>
      </c>
      <c r="MV55" s="278">
        <f ca="1">$A55 - DeathsTimeS!UnitedKingdom100dt + 1</f>
        <v>-10</v>
      </c>
      <c r="MW55" s="73">
        <f ca="1">INDEX(OFFSET(DeathsTimeS!HeadRow,ROW()-ROW(DeathsTimeS!HeadRow),0,1,COLUMNS(DeathsTimeS!HeadRow)),1,MATCH(MW$5,DeathsTimeS!HeadRow,0))/MW$8</f>
        <v>0.15051173991571343</v>
      </c>
      <c r="MX55" s="278">
        <f ca="1">$A55 - DeathsTimeS!Denmark100dt + 1</f>
        <v>-12</v>
      </c>
      <c r="MY55" s="73">
        <f ca="1">INDEX(OFFSET(DeathsTimeS!HeadRow,ROW()-ROW(DeathsTimeS!HeadRow),0,1,COLUMNS(DeathsTimeS!HeadRow)),1,MATCH(MY$5,DeathsTimeS!HeadRow,0))/MY$8</f>
        <v>0</v>
      </c>
      <c r="MZ55" s="278">
        <f ca="1">$A55 - DeathsTimeS!US100dt + 1</f>
        <v>-13</v>
      </c>
      <c r="NA55" s="73">
        <f ca="1">INDEX(OFFSET(DeathsTimeS!HeadRow,ROW()-ROW(DeathsTimeS!HeadRow),0,1,COLUMNS(DeathsTimeS!HeadRow)),1,MATCH(NA$5,DeathsTimeS!HeadRow,0))/NA$8</f>
        <v>0.42523754969303229</v>
      </c>
      <c r="NB55" s="278">
        <f ca="1">$A55 - DeathsTimeS!AustraliaSum100dt + 1</f>
        <v>-19</v>
      </c>
      <c r="NC55" s="366">
        <f t="shared" si="6"/>
        <v>2</v>
      </c>
      <c r="ND55" s="278">
        <f ca="1">$A55 - DeathsTimeS!Taiwan100dt + 1</f>
        <v>-51</v>
      </c>
      <c r="NE55" s="366">
        <f ca="1">INDEX(OFFSET(DeathsTimeS!HeadRow,ROW()-ROW(DeathsTimeS!HeadRow),0,1,COLUMNS(DeathsTimeS!HeadRow)),1,MATCH(NE$5,DeathsTimeS!HeadRow,0))/NE$8</f>
        <v>0.4200395492437986</v>
      </c>
      <c r="NF55" s="278">
        <f ca="1">$A55 - DeathsTimeS!Hubei100dt + 1</f>
        <v>40</v>
      </c>
      <c r="NG55" s="366">
        <f ca="1">INDEX(OFFSET(DeathsTimeS!HeadRow,ROW()-ROW(DeathsTimeS!HeadRow),0,1,COLUMNS(DeathsTimeS!HeadRow)),1,MATCH(NG$5,DeathsTimeS!HeadRow,0))/NG$8</f>
        <v>501.02564102564105</v>
      </c>
      <c r="NH55" s="278">
        <f ca="1">$A55 - DeathsTimeS!HongKong100dt + 1</f>
        <v>-51</v>
      </c>
      <c r="NI55" s="366">
        <f ca="1">INDEX(OFFSET(DeathsTimeS!HeadRow,ROW()-ROW(DeathsTimeS!HeadRow),0,1,COLUMNS(DeathsTimeS!HeadRow)),1,MATCH(NI$5,DeathsTimeS!HeadRow,0))/NI$8</f>
        <v>2.6842034626224667</v>
      </c>
    </row>
    <row r="56" spans="1:373" x14ac:dyDescent="0.25">
      <c r="A56" s="156">
        <v>43897</v>
      </c>
      <c r="B56" s="25">
        <v>0</v>
      </c>
      <c r="C56" s="25">
        <v>0</v>
      </c>
      <c r="D56" s="25">
        <v>0</v>
      </c>
      <c r="E56" s="25">
        <v>0</v>
      </c>
      <c r="F56" s="25">
        <v>0</v>
      </c>
      <c r="G56" s="25">
        <v>0</v>
      </c>
      <c r="H56" s="25">
        <v>0</v>
      </c>
      <c r="I56" s="25">
        <v>0</v>
      </c>
      <c r="J56" s="25">
        <v>0</v>
      </c>
      <c r="K56" s="25">
        <v>1</v>
      </c>
      <c r="L56" s="25">
        <v>0</v>
      </c>
      <c r="M56" s="25">
        <v>0</v>
      </c>
      <c r="N56" s="25">
        <v>0</v>
      </c>
      <c r="O56" s="25">
        <v>0</v>
      </c>
      <c r="P56" s="25">
        <v>0</v>
      </c>
      <c r="Q56" s="25">
        <v>1</v>
      </c>
      <c r="R56" s="25">
        <v>0</v>
      </c>
      <c r="S56" s="25">
        <v>0</v>
      </c>
      <c r="T56" s="25">
        <v>0</v>
      </c>
      <c r="U56" s="25">
        <v>0</v>
      </c>
      <c r="V56" s="25">
        <v>0</v>
      </c>
      <c r="W56" s="25">
        <v>0</v>
      </c>
      <c r="X56" s="25">
        <v>0</v>
      </c>
      <c r="Y56" s="25">
        <v>0</v>
      </c>
      <c r="Z56" s="25">
        <v>0</v>
      </c>
      <c r="AA56" s="25">
        <v>0</v>
      </c>
      <c r="AB56" s="25">
        <v>0</v>
      </c>
      <c r="AC56" s="25">
        <v>0</v>
      </c>
      <c r="AD56" s="25">
        <v>0</v>
      </c>
      <c r="AE56" s="25">
        <v>0</v>
      </c>
      <c r="AF56" s="25">
        <v>0</v>
      </c>
      <c r="AG56" s="25">
        <v>0</v>
      </c>
      <c r="AH56" s="25">
        <v>0</v>
      </c>
      <c r="AI56" s="25">
        <v>0</v>
      </c>
      <c r="AJ56" s="25">
        <v>0</v>
      </c>
      <c r="AK56" s="25">
        <v>0</v>
      </c>
      <c r="AL56" s="25">
        <v>0</v>
      </c>
      <c r="AM56" s="25">
        <v>0</v>
      </c>
      <c r="AN56" s="25">
        <v>0</v>
      </c>
      <c r="AO56" s="25">
        <v>0</v>
      </c>
      <c r="AP56" s="25">
        <v>0</v>
      </c>
      <c r="AQ56" s="25">
        <v>0</v>
      </c>
      <c r="AR56" s="25">
        <v>0</v>
      </c>
      <c r="AS56" s="25">
        <v>0</v>
      </c>
      <c r="AT56" s="25">
        <v>0</v>
      </c>
      <c r="AU56" s="25">
        <v>0</v>
      </c>
      <c r="AV56" s="25">
        <v>0</v>
      </c>
      <c r="AW56" s="25">
        <v>0</v>
      </c>
      <c r="AX56" s="25">
        <v>0</v>
      </c>
      <c r="AY56" s="25">
        <v>6</v>
      </c>
      <c r="AZ56" s="25">
        <v>8</v>
      </c>
      <c r="BA56" s="25">
        <v>6</v>
      </c>
      <c r="BB56" s="25">
        <v>1</v>
      </c>
      <c r="BC56" s="25">
        <v>2</v>
      </c>
      <c r="BD56" s="25">
        <v>7</v>
      </c>
      <c r="BE56" s="25">
        <v>2</v>
      </c>
      <c r="BF56" s="25">
        <v>2</v>
      </c>
      <c r="BG56" s="25">
        <v>6</v>
      </c>
      <c r="BH56" s="25">
        <v>6</v>
      </c>
      <c r="BI56" s="25">
        <v>13</v>
      </c>
      <c r="BJ56" s="25">
        <v>22</v>
      </c>
      <c r="BK56" s="25">
        <v>2</v>
      </c>
      <c r="BL56" s="25">
        <v>2959</v>
      </c>
      <c r="BM56" s="25">
        <v>4</v>
      </c>
      <c r="BN56" s="25">
        <v>1</v>
      </c>
      <c r="BO56" s="25">
        <v>0</v>
      </c>
      <c r="BP56" s="25">
        <v>1</v>
      </c>
      <c r="BQ56" s="25">
        <v>1</v>
      </c>
      <c r="BR56" s="25">
        <v>1</v>
      </c>
      <c r="BS56" s="25">
        <v>0</v>
      </c>
      <c r="BT56" s="25">
        <v>0</v>
      </c>
      <c r="BU56" s="25">
        <v>0</v>
      </c>
      <c r="BV56" s="25">
        <v>1</v>
      </c>
      <c r="BW56" s="25">
        <v>6</v>
      </c>
      <c r="BX56" s="25">
        <v>3</v>
      </c>
      <c r="BY56" s="25">
        <v>0</v>
      </c>
      <c r="BZ56" s="25">
        <v>3</v>
      </c>
      <c r="CA56" s="25">
        <v>3</v>
      </c>
      <c r="CB56" s="25">
        <v>0</v>
      </c>
      <c r="CC56" s="25">
        <v>3</v>
      </c>
      <c r="CD56" s="25">
        <v>2</v>
      </c>
      <c r="CE56" s="25">
        <v>1</v>
      </c>
      <c r="CF56" s="25">
        <v>0</v>
      </c>
      <c r="CG56" s="25">
        <v>0</v>
      </c>
      <c r="CH56" s="25">
        <v>0</v>
      </c>
      <c r="CI56" s="25">
        <v>0</v>
      </c>
      <c r="CJ56" s="25">
        <v>0</v>
      </c>
      <c r="CK56" s="25">
        <v>0</v>
      </c>
      <c r="CL56" s="25">
        <v>6</v>
      </c>
      <c r="CM56" s="25">
        <v>0</v>
      </c>
      <c r="CN56" s="25">
        <v>0</v>
      </c>
      <c r="CO56" s="25">
        <v>0</v>
      </c>
      <c r="CP56" s="25">
        <v>0</v>
      </c>
      <c r="CQ56" s="25">
        <v>0</v>
      </c>
      <c r="CR56" s="25">
        <v>0</v>
      </c>
      <c r="CS56" s="25">
        <v>0</v>
      </c>
      <c r="CT56" s="25">
        <v>0</v>
      </c>
      <c r="CU56" s="25">
        <v>0</v>
      </c>
      <c r="CV56" s="25">
        <v>0</v>
      </c>
      <c r="CW56" s="25">
        <v>0</v>
      </c>
      <c r="CX56" s="25">
        <v>0</v>
      </c>
      <c r="CY56" s="25">
        <v>0</v>
      </c>
      <c r="CZ56" s="25">
        <v>0</v>
      </c>
      <c r="DA56" s="25">
        <v>0</v>
      </c>
      <c r="DB56" s="25">
        <v>0</v>
      </c>
      <c r="DC56" s="25">
        <v>0</v>
      </c>
      <c r="DD56" s="25">
        <v>0</v>
      </c>
      <c r="DE56" s="25">
        <v>0</v>
      </c>
      <c r="DF56" s="25">
        <v>0</v>
      </c>
      <c r="DG56" s="25">
        <v>0</v>
      </c>
      <c r="DH56" s="25">
        <v>0</v>
      </c>
      <c r="DI56" s="25">
        <v>0</v>
      </c>
      <c r="DJ56" s="25">
        <v>0</v>
      </c>
      <c r="DK56" s="25">
        <v>0</v>
      </c>
      <c r="DL56" s="25">
        <v>0</v>
      </c>
      <c r="DM56" s="25">
        <v>0</v>
      </c>
      <c r="DN56" s="25">
        <v>11</v>
      </c>
      <c r="DO56" s="25">
        <v>0</v>
      </c>
      <c r="DP56" s="25">
        <v>0</v>
      </c>
      <c r="DQ56" s="25">
        <v>0</v>
      </c>
      <c r="DR56" s="25">
        <v>0</v>
      </c>
      <c r="DS56" s="25">
        <v>0</v>
      </c>
      <c r="DT56" s="25">
        <v>0</v>
      </c>
      <c r="DU56" s="25">
        <v>0</v>
      </c>
      <c r="DV56" s="25">
        <v>0</v>
      </c>
      <c r="DW56" s="25">
        <v>0</v>
      </c>
      <c r="DX56" s="25">
        <v>0</v>
      </c>
      <c r="DY56" s="25">
        <v>0</v>
      </c>
      <c r="DZ56" s="25">
        <v>0</v>
      </c>
      <c r="EA56" s="25">
        <v>0</v>
      </c>
      <c r="EB56" s="25">
        <v>0</v>
      </c>
      <c r="EC56" s="25">
        <v>0</v>
      </c>
      <c r="ED56" s="25">
        <v>0</v>
      </c>
      <c r="EE56" s="25">
        <v>145</v>
      </c>
      <c r="EF56" s="25">
        <v>4</v>
      </c>
      <c r="EG56" s="25">
        <v>0</v>
      </c>
      <c r="EH56" s="25">
        <v>0</v>
      </c>
      <c r="EI56" s="25">
        <v>233</v>
      </c>
      <c r="EJ56" s="25">
        <v>0</v>
      </c>
      <c r="EK56" s="25">
        <v>6</v>
      </c>
      <c r="EL56" s="25">
        <v>0</v>
      </c>
      <c r="EM56" s="25">
        <v>0</v>
      </c>
      <c r="EN56" s="25">
        <v>0</v>
      </c>
      <c r="EO56" s="25">
        <v>44</v>
      </c>
      <c r="EP56" s="25">
        <v>0</v>
      </c>
      <c r="EQ56" s="25">
        <v>0</v>
      </c>
      <c r="ER56" s="25">
        <v>0</v>
      </c>
      <c r="ES56" s="25">
        <v>0</v>
      </c>
      <c r="ET56" s="25">
        <v>0</v>
      </c>
      <c r="EU56" s="25">
        <v>0</v>
      </c>
      <c r="EV56" s="25">
        <v>0</v>
      </c>
      <c r="EW56" s="25">
        <v>0</v>
      </c>
      <c r="EX56" s="25">
        <v>0</v>
      </c>
      <c r="EY56" s="25">
        <v>0</v>
      </c>
      <c r="EZ56" s="25">
        <v>0</v>
      </c>
      <c r="FA56" s="25">
        <v>0</v>
      </c>
      <c r="FB56" s="25">
        <v>0</v>
      </c>
      <c r="FC56" s="25">
        <v>0</v>
      </c>
      <c r="FD56" s="25">
        <v>0</v>
      </c>
      <c r="FE56" s="25">
        <v>0</v>
      </c>
      <c r="FF56" s="25">
        <v>0</v>
      </c>
      <c r="FG56" s="25">
        <v>0</v>
      </c>
      <c r="FH56" s="25">
        <v>0</v>
      </c>
      <c r="FI56" s="25">
        <v>0</v>
      </c>
      <c r="FJ56" s="25">
        <v>0</v>
      </c>
      <c r="FK56" s="25">
        <v>0</v>
      </c>
      <c r="FL56" s="25">
        <v>0</v>
      </c>
      <c r="FM56" s="25">
        <v>0</v>
      </c>
      <c r="FN56" s="25">
        <v>0</v>
      </c>
      <c r="FO56" s="25">
        <v>1</v>
      </c>
      <c r="FP56" s="25">
        <v>0</v>
      </c>
      <c r="FQ56" s="25">
        <v>0</v>
      </c>
      <c r="FR56" s="25">
        <v>0</v>
      </c>
      <c r="FS56" s="25">
        <v>0</v>
      </c>
      <c r="FT56" s="25">
        <v>0</v>
      </c>
      <c r="FU56" s="25">
        <v>0</v>
      </c>
      <c r="FV56" s="25">
        <v>0</v>
      </c>
      <c r="FW56" s="25">
        <v>0</v>
      </c>
      <c r="FX56" s="25">
        <v>0</v>
      </c>
      <c r="FY56" s="25">
        <v>0</v>
      </c>
      <c r="FZ56" s="25">
        <v>0</v>
      </c>
      <c r="GA56" s="25">
        <v>0</v>
      </c>
      <c r="GB56" s="25">
        <v>1</v>
      </c>
      <c r="GC56" s="25">
        <v>0</v>
      </c>
      <c r="GD56" s="25">
        <v>0</v>
      </c>
      <c r="GE56" s="25">
        <v>0</v>
      </c>
      <c r="GF56" s="25">
        <v>0</v>
      </c>
      <c r="GG56" s="25">
        <v>0</v>
      </c>
      <c r="GH56" s="25">
        <v>0</v>
      </c>
      <c r="GI56" s="25">
        <v>0</v>
      </c>
      <c r="GJ56" s="25">
        <v>0</v>
      </c>
      <c r="GK56" s="25">
        <v>1</v>
      </c>
      <c r="GL56" s="25">
        <v>0</v>
      </c>
      <c r="GM56" s="25">
        <v>0</v>
      </c>
      <c r="GN56" s="25">
        <v>0</v>
      </c>
      <c r="GO56" s="25">
        <v>0</v>
      </c>
      <c r="GP56" s="25">
        <v>0</v>
      </c>
      <c r="GQ56" s="25">
        <v>0</v>
      </c>
      <c r="GR56" s="25">
        <v>0</v>
      </c>
      <c r="GS56" s="25">
        <v>0</v>
      </c>
      <c r="GT56" s="25">
        <v>0</v>
      </c>
      <c r="GU56" s="25">
        <v>10</v>
      </c>
      <c r="GV56" s="25">
        <v>0</v>
      </c>
      <c r="GW56" s="25">
        <v>0</v>
      </c>
      <c r="GX56" s="25">
        <v>0</v>
      </c>
      <c r="GY56" s="46">
        <v>0</v>
      </c>
      <c r="GZ56" s="25">
        <v>1</v>
      </c>
      <c r="HA56" s="25">
        <v>1</v>
      </c>
      <c r="HB56" s="25">
        <v>0</v>
      </c>
      <c r="HC56" s="25">
        <v>1</v>
      </c>
      <c r="HD56" s="25">
        <v>0</v>
      </c>
      <c r="HE56" s="25">
        <v>0</v>
      </c>
      <c r="HF56" s="25">
        <v>0</v>
      </c>
      <c r="HG56" s="25">
        <v>0</v>
      </c>
      <c r="HH56" s="25">
        <v>0</v>
      </c>
      <c r="HI56" s="25">
        <v>0</v>
      </c>
      <c r="HJ56" s="25">
        <v>0</v>
      </c>
      <c r="HK56" s="25">
        <v>0</v>
      </c>
      <c r="HL56" s="25">
        <v>0</v>
      </c>
      <c r="HM56" s="25">
        <v>0</v>
      </c>
      <c r="HN56" s="25">
        <v>0</v>
      </c>
      <c r="HO56" s="25">
        <v>0</v>
      </c>
      <c r="HP56" s="25">
        <v>0</v>
      </c>
      <c r="HQ56" s="25">
        <v>2</v>
      </c>
      <c r="HR56" s="25">
        <v>0</v>
      </c>
      <c r="HS56" s="25">
        <v>17</v>
      </c>
      <c r="HT56" s="25">
        <v>0</v>
      </c>
      <c r="HU56" s="25">
        <v>0</v>
      </c>
      <c r="HV56" s="25">
        <v>0</v>
      </c>
      <c r="HW56" s="25">
        <v>0</v>
      </c>
      <c r="HX56" s="25">
        <v>0</v>
      </c>
      <c r="HY56" s="25">
        <v>0</v>
      </c>
      <c r="HZ56" s="25">
        <v>0</v>
      </c>
      <c r="IA56" s="25">
        <v>0</v>
      </c>
      <c r="IB56" s="25">
        <v>0</v>
      </c>
      <c r="IC56" s="25">
        <v>0</v>
      </c>
      <c r="ID56" s="25">
        <v>0</v>
      </c>
      <c r="IE56" s="25">
        <v>0</v>
      </c>
      <c r="IF56" s="25">
        <v>0</v>
      </c>
      <c r="IG56" s="25">
        <v>0</v>
      </c>
      <c r="IH56" s="25">
        <v>0</v>
      </c>
      <c r="II56" s="25">
        <v>0</v>
      </c>
      <c r="IJ56" s="25">
        <v>0</v>
      </c>
      <c r="IK56" s="25">
        <v>0</v>
      </c>
      <c r="IL56" s="25">
        <v>0</v>
      </c>
      <c r="IM56" s="25">
        <v>0</v>
      </c>
      <c r="IN56" s="25">
        <v>0</v>
      </c>
      <c r="IO56" s="25">
        <v>0</v>
      </c>
      <c r="IP56" s="25">
        <v>0</v>
      </c>
      <c r="IQ56" s="25">
        <v>0</v>
      </c>
      <c r="IR56" s="25">
        <v>0</v>
      </c>
      <c r="IS56" s="25">
        <v>0</v>
      </c>
      <c r="IT56" s="25">
        <v>0</v>
      </c>
      <c r="IU56" s="25">
        <v>0</v>
      </c>
      <c r="IV56" s="25">
        <v>0</v>
      </c>
      <c r="IW56" s="25">
        <v>0</v>
      </c>
      <c r="IX56" s="25">
        <v>0</v>
      </c>
      <c r="IY56" s="25">
        <v>0</v>
      </c>
      <c r="IZ56" s="25">
        <v>0</v>
      </c>
      <c r="JA56" s="25">
        <v>0</v>
      </c>
      <c r="JB56" s="25">
        <v>0</v>
      </c>
      <c r="JC56" s="25">
        <v>0</v>
      </c>
      <c r="JD56" s="25">
        <v>0</v>
      </c>
      <c r="JE56" s="25">
        <v>0</v>
      </c>
      <c r="JF56" s="25">
        <v>0</v>
      </c>
      <c r="JG56" s="25">
        <v>0</v>
      </c>
      <c r="JH56" s="25">
        <v>0</v>
      </c>
      <c r="JI56" s="25">
        <v>0</v>
      </c>
      <c r="JJ56" s="25">
        <v>0</v>
      </c>
      <c r="JK56" s="25">
        <v>0</v>
      </c>
      <c r="JL56" s="25">
        <v>0</v>
      </c>
      <c r="JM56" s="25">
        <v>0</v>
      </c>
      <c r="JN56" s="25">
        <v>0</v>
      </c>
      <c r="JO56" s="25">
        <v>0</v>
      </c>
      <c r="JP56" s="25">
        <v>0</v>
      </c>
      <c r="JQ56" s="25">
        <v>1</v>
      </c>
      <c r="JR56" s="25">
        <v>0</v>
      </c>
      <c r="JS56" s="25">
        <v>0</v>
      </c>
      <c r="JT56" s="25">
        <v>0</v>
      </c>
      <c r="JU56" s="25">
        <v>0</v>
      </c>
      <c r="JV56" s="25">
        <v>0</v>
      </c>
      <c r="JW56" s="25">
        <v>0</v>
      </c>
      <c r="JX56" s="25">
        <v>0</v>
      </c>
      <c r="JY56" s="25">
        <v>0</v>
      </c>
      <c r="JZ56" s="25">
        <v>0</v>
      </c>
      <c r="KA56" s="25">
        <v>0</v>
      </c>
      <c r="KB56" s="25">
        <v>0</v>
      </c>
      <c r="KC56" s="25">
        <v>0</v>
      </c>
      <c r="KD56" s="25">
        <v>0</v>
      </c>
      <c r="KE56" s="25">
        <v>0</v>
      </c>
      <c r="KF56" s="25">
        <v>0</v>
      </c>
      <c r="KG56" s="25">
        <v>0</v>
      </c>
      <c r="KH56" s="25">
        <v>0</v>
      </c>
      <c r="KI56" s="25">
        <v>0</v>
      </c>
      <c r="KJ56" s="25">
        <v>0</v>
      </c>
      <c r="KK56" s="25">
        <v>0</v>
      </c>
      <c r="KL56" s="25">
        <v>0</v>
      </c>
      <c r="KM56" s="25">
        <v>0</v>
      </c>
      <c r="KN56" s="25">
        <v>0</v>
      </c>
      <c r="KO56" s="25">
        <v>0</v>
      </c>
      <c r="KP56" s="25">
        <v>0</v>
      </c>
      <c r="KQ56" s="25">
        <v>0</v>
      </c>
      <c r="KR56" s="25">
        <v>0</v>
      </c>
      <c r="KS56" s="25">
        <v>0</v>
      </c>
      <c r="KT56" s="25">
        <v>0</v>
      </c>
      <c r="KU56" s="25">
        <v>0</v>
      </c>
      <c r="KV56" s="25">
        <v>0</v>
      </c>
      <c r="KW56" s="25">
        <v>0</v>
      </c>
      <c r="KX56" s="25">
        <v>0</v>
      </c>
      <c r="KY56" s="25">
        <v>0</v>
      </c>
      <c r="KZ56" s="25">
        <v>0</v>
      </c>
      <c r="LA56" s="25">
        <v>0</v>
      </c>
      <c r="LB56" s="25">
        <v>0</v>
      </c>
      <c r="LC56" s="25">
        <v>0</v>
      </c>
      <c r="LD56" s="25">
        <v>0</v>
      </c>
      <c r="LE56" s="25">
        <v>0</v>
      </c>
      <c r="LF56" s="25">
        <v>0</v>
      </c>
      <c r="LG56" s="25">
        <v>0</v>
      </c>
      <c r="LH56" s="25">
        <v>16</v>
      </c>
      <c r="LI56" s="25">
        <v>0</v>
      </c>
      <c r="LJ56" s="25">
        <v>0</v>
      </c>
      <c r="LK56" s="25">
        <v>0</v>
      </c>
      <c r="LL56" s="25">
        <v>0</v>
      </c>
      <c r="LM56" s="25">
        <v>0</v>
      </c>
      <c r="LN56" s="278">
        <f ca="1">$A56 - DeathsTimeS!Sweden100dt + 1</f>
        <v>-11</v>
      </c>
      <c r="LO56" s="366">
        <f ca="1">INDEX(OFFSET(DeathsTimeS!HeadRow,ROW()-ROW(DeathsTimeS!HeadRow),0,1,COLUMNS(DeathsTimeS!HeadRow)),1,MATCH(LO$5,DeathsTimeS!HeadRow,0))/LO$8</f>
        <v>0</v>
      </c>
      <c r="LP56" s="278">
        <f ca="1">$A56 - DeathsTimeS!Spain100dt</f>
        <v>-4</v>
      </c>
      <c r="LQ56" s="11">
        <f ca="1">INDEX(OFFSET(DeathsTimeS!HeadRow,ROW()-ROW(DeathsTimeS!HeadRow),0,1,COLUMNS(DeathsTimeS!HeadRow)),1,MATCH(LQ$5,DeathsTimeS!HeadRow,0))/LQ$8</f>
        <v>2.1303792074989349</v>
      </c>
      <c r="LR56" s="278">
        <f ca="1">$A56 - DeathsTimeS!Victoria100dt</f>
        <v>-27</v>
      </c>
      <c r="LS56" s="11">
        <f ca="1">INDEX(OFFSET(DeathsTimeS!HeadRow,ROW()-ROW(DeathsTimeS!HeadRow),0,1,COLUMNS(DeathsTimeS!HeadRow)),1,MATCH(LS$5,DeathsTimeS!HeadRow,0))/LS$8</f>
        <v>0</v>
      </c>
      <c r="LT56" s="278">
        <f ca="1">$A56 - DeathsTimeS!Iran100dt</f>
        <v>3</v>
      </c>
      <c r="LU56" s="11">
        <f ca="1">INDEX(OFFSET(DeathsTimeS!HeadRow,ROW()-ROW(DeathsTimeS!HeadRow),0,1,COLUMNS(DeathsTimeS!HeadRow)),1,MATCH(LU$5,DeathsTimeS!HeadRow,0))/LU$8</f>
        <v>17.308679407446313</v>
      </c>
      <c r="LV56" s="278">
        <f ca="1">$A56 - DeathsTimeS!Japan100dt</f>
        <v>-38</v>
      </c>
      <c r="LW56" s="11">
        <f ca="1">INDEX(OFFSET(DeathsTimeS!HeadRow,ROW()-ROW(DeathsTimeS!HeadRow),0,1,COLUMNS(DeathsTimeS!HeadRow)),1,MATCH(LW$5,DeathsTimeS!HeadRow,0))/LW$8</f>
        <v>0.47410515476913873</v>
      </c>
      <c r="LX56" s="278">
        <f ca="1">$A56 - DeathsTimeS!Queensland100dt</f>
        <v>-42</v>
      </c>
      <c r="LY56" s="11">
        <f ca="1">INDEX(OFFSET(DeathsTimeS!HeadRow,ROW()-ROW(DeathsTimeS!HeadRow),0,1,COLUMNS(DeathsTimeS!HeadRow)),1,MATCH(LY$5,DeathsTimeS!HeadRow,0))/LY$8</f>
        <v>0</v>
      </c>
      <c r="LZ56" s="278">
        <f ca="1">$A56 - DeathsTimeS!Tasmania100dt</f>
        <v>-24</v>
      </c>
      <c r="MA56" s="11">
        <f ca="1">INDEX(OFFSET(DeathsTimeS!HeadRow,ROW()-ROW(DeathsTimeS!HeadRow),0,1,COLUMNS(DeathsTimeS!HeadRow)),1,MATCH(MA$5,DeathsTimeS!HeadRow,0))/MA$8</f>
        <v>0</v>
      </c>
      <c r="MB56" s="278">
        <f ca="1">$A56 - DeathsTimeS!SouthAustralia100dt</f>
        <v>-32</v>
      </c>
      <c r="MC56" s="11">
        <f ca="1">INDEX(OFFSET(DeathsTimeS!HeadRow,ROW()-ROW(DeathsTimeS!HeadRow),0,1,COLUMNS(DeathsTimeS!HeadRow)),1,MATCH(MC$5,DeathsTimeS!HeadRow,0))/MC$8</f>
        <v>0</v>
      </c>
      <c r="MD56" s="278">
        <f ca="1">$A56 - DeathsTimeS!WesternAustralia100dt</f>
        <v>-29</v>
      </c>
      <c r="ME56" s="11">
        <f ca="1">INDEX(OFFSET(DeathsTimeS!HeadRow,ROW()-ROW(DeathsTimeS!HeadRow),0,1,COLUMNS(DeathsTimeS!HeadRow)),1,MATCH(ME$5,DeathsTimeS!HeadRow,0))/ME$8</f>
        <v>3.8624951718810348</v>
      </c>
      <c r="MF56" s="278">
        <f ca="1">$A56 - DeathsTimeS!NewSouthWales100dt</f>
        <v>-25</v>
      </c>
      <c r="MG56" s="11">
        <f ca="1">INDEX(OFFSET(DeathsTimeS!HeadRow,ROW()-ROW(DeathsTimeS!HeadRow),0,1,COLUMNS(DeathsTimeS!HeadRow)),1,MATCH(MG$5,DeathsTimeS!HeadRow,0))/MG$8</f>
        <v>1.2376237623762376</v>
      </c>
      <c r="MH56" s="278">
        <f ca="1">$A56 - DeathsTimeS!NewYork100dt</f>
        <v>-9</v>
      </c>
      <c r="MI56" s="11">
        <f ca="1">INDEX(OFFSET(DeathsTimeS!HeadRow,ROW()-ROW(DeathsTimeS!HeadRow),0,1,COLUMNS(DeathsTimeS!HeadRow)),1,MATCH(MI$5,DeathsTimeS!HeadRow,0))/MI$8</f>
        <v>0</v>
      </c>
      <c r="MJ56" s="278">
        <f ca="1">$A56 - DeathsTimeS!Italy100dt</f>
        <v>4</v>
      </c>
      <c r="MK56" s="20">
        <f ca="1">INDEX(OFFSET(DeathsTimeS!HeadRow,ROW()-ROW(DeathsTimeS!HeadRow),0,1,COLUMNS(DeathsTimeS!HeadRow)),1,MATCH(MK$5,DeathsTimeS!HeadRow,0))/MK$8</f>
        <v>38.521947590311648</v>
      </c>
      <c r="ML56" s="278">
        <f ca="1">$A56 - DeathsTimeS!AustralianCapitalTerritory100dt</f>
        <v>-23</v>
      </c>
      <c r="MM56" s="11">
        <f ca="1">INDEX(OFFSET(DeathsTimeS!HeadRow,ROW()-ROW(DeathsTimeS!HeadRow),0,1,COLUMNS(DeathsTimeS!HeadRow)),1,MATCH(MM$5,DeathsTimeS!HeadRow,0))/MM$8</f>
        <v>0</v>
      </c>
      <c r="MN56" s="278">
        <f ca="1">IF(DeathsTimeS!NorthernTerritory100dt&gt;0,$A56 - DeathsTimeS!NorthernTerritory100dt,"")</f>
        <v>-51</v>
      </c>
      <c r="MO56" s="11">
        <f ca="1">INDEX(OFFSET(DeathsTimeS!HeadRow,ROW()-ROW(DeathsTimeS!HeadRow),0,1,COLUMNS(DeathsTimeS!HeadRow)),1,MATCH(MO$5,DeathsTimeS!HeadRow,0))/MO$8</f>
        <v>0</v>
      </c>
      <c r="MP56" s="278">
        <f ca="1">$A56 - DeathsTimeS!SouthAfrica100dt + 1</f>
        <v>-43</v>
      </c>
      <c r="MQ56" s="20">
        <f ca="1">INDEX(OFFSET(DeathsTimeS!HeadRow,ROW()-ROW(DeathsTimeS!HeadRow),0,1,COLUMNS(DeathsTimeS!HeadRow)),1,MATCH(MQ$5,DeathsTimeS!HeadRow,0))/MQ$8</f>
        <v>0</v>
      </c>
      <c r="MR56" s="278">
        <f ca="1">$A56 - DeathsTimeS!Germany100dt + 1</f>
        <v>-13</v>
      </c>
      <c r="MS56" s="20">
        <f ca="1">INDEX(OFFSET(DeathsTimeS!HeadRow,ROW()-ROW(DeathsTimeS!HeadRow),0,1,COLUMNS(DeathsTimeS!HeadRow)),1,MATCH(MS$5,DeathsTimeS!HeadRow,0))/MS$8</f>
        <v>0</v>
      </c>
      <c r="MT56" s="278">
        <f ca="1">$A56 - DeathsTimeS!Ireland100dt + 1</f>
        <v>-15</v>
      </c>
      <c r="MU56" s="73">
        <f ca="1">INDEX(OFFSET(DeathsTimeS!HeadRow,ROW()-ROW(DeathsTimeS!HeadRow),0,1,COLUMNS(DeathsTimeS!HeadRow)),1,MATCH(MU$5,DeathsTimeS!HeadRow,0))/MU$8</f>
        <v>0</v>
      </c>
      <c r="MV56" s="278">
        <f ca="1">$A56 - DeathsTimeS!UnitedKingdom100dt + 1</f>
        <v>-9</v>
      </c>
      <c r="MW56" s="73">
        <f ca="1">INDEX(OFFSET(DeathsTimeS!HeadRow,ROW()-ROW(DeathsTimeS!HeadRow),0,1,COLUMNS(DeathsTimeS!HeadRow)),1,MATCH(MW$5,DeathsTimeS!HeadRow,0))/MW$8</f>
        <v>0.30102347983142685</v>
      </c>
      <c r="MX56" s="278">
        <f ca="1">$A56 - DeathsTimeS!Denmark100dt + 1</f>
        <v>-11</v>
      </c>
      <c r="MY56" s="73">
        <f ca="1">INDEX(OFFSET(DeathsTimeS!HeadRow,ROW()-ROW(DeathsTimeS!HeadRow),0,1,COLUMNS(DeathsTimeS!HeadRow)),1,MATCH(MY$5,DeathsTimeS!HeadRow,0))/MY$8</f>
        <v>0</v>
      </c>
      <c r="MZ56" s="278">
        <f ca="1">$A56 - DeathsTimeS!US100dt + 1</f>
        <v>-12</v>
      </c>
      <c r="NA56" s="73">
        <f ca="1">INDEX(OFFSET(DeathsTimeS!HeadRow,ROW()-ROW(DeathsTimeS!HeadRow),0,1,COLUMNS(DeathsTimeS!HeadRow)),1,MATCH(NA$5,DeathsTimeS!HeadRow,0))/NA$8</f>
        <v>0.51635988177011061</v>
      </c>
      <c r="NB56" s="278">
        <f ca="1">$A56 - DeathsTimeS!AustraliaSum100dt + 1</f>
        <v>-18</v>
      </c>
      <c r="NC56" s="366">
        <f t="shared" si="6"/>
        <v>2</v>
      </c>
      <c r="ND56" s="278">
        <f ca="1">$A56 - DeathsTimeS!Taiwan100dt + 1</f>
        <v>-50</v>
      </c>
      <c r="NE56" s="366">
        <f ca="1">INDEX(OFFSET(DeathsTimeS!HeadRow,ROW()-ROW(DeathsTimeS!HeadRow),0,1,COLUMNS(DeathsTimeS!HeadRow)),1,MATCH(NE$5,DeathsTimeS!HeadRow,0))/NE$8</f>
        <v>0.4200395492437986</v>
      </c>
      <c r="NF56" s="278">
        <f ca="1">$A56 - DeathsTimeS!Hubei100dt + 1</f>
        <v>41</v>
      </c>
      <c r="NG56" s="366">
        <f ca="1">INDEX(OFFSET(DeathsTimeS!HeadRow,ROW()-ROW(DeathsTimeS!HeadRow),0,1,COLUMNS(DeathsTimeS!HeadRow)),1,MATCH(NG$5,DeathsTimeS!HeadRow,0))/NG$8</f>
        <v>505.81196581196582</v>
      </c>
      <c r="NH56" s="278">
        <f ca="1">$A56 - DeathsTimeS!HongKong100dt + 1</f>
        <v>-50</v>
      </c>
      <c r="NI56" s="366">
        <f ca="1">INDEX(OFFSET(DeathsTimeS!HeadRow,ROW()-ROW(DeathsTimeS!HeadRow),0,1,COLUMNS(DeathsTimeS!HeadRow)),1,MATCH(NI$5,DeathsTimeS!HeadRow,0))/NI$8</f>
        <v>2.6842034626224667</v>
      </c>
    </row>
    <row r="57" spans="1:373" x14ac:dyDescent="0.25">
      <c r="A57" s="156">
        <v>43898</v>
      </c>
      <c r="B57" s="25">
        <v>0</v>
      </c>
      <c r="C57" s="25">
        <v>0</v>
      </c>
      <c r="D57" s="25">
        <v>0</v>
      </c>
      <c r="E57" s="25">
        <v>0</v>
      </c>
      <c r="F57" s="25">
        <v>0</v>
      </c>
      <c r="G57" s="25">
        <v>0</v>
      </c>
      <c r="H57" s="25">
        <v>1</v>
      </c>
      <c r="I57" s="25">
        <v>0</v>
      </c>
      <c r="J57" s="25">
        <v>0</v>
      </c>
      <c r="K57" s="25">
        <v>2</v>
      </c>
      <c r="L57" s="25">
        <v>0</v>
      </c>
      <c r="M57" s="25">
        <v>0</v>
      </c>
      <c r="N57" s="25">
        <v>0</v>
      </c>
      <c r="O57" s="25">
        <v>0</v>
      </c>
      <c r="P57" s="25">
        <v>0</v>
      </c>
      <c r="Q57" s="25">
        <v>1</v>
      </c>
      <c r="R57" s="25">
        <v>0</v>
      </c>
      <c r="S57" s="25">
        <v>0</v>
      </c>
      <c r="T57" s="25">
        <v>0</v>
      </c>
      <c r="U57" s="25">
        <v>0</v>
      </c>
      <c r="V57" s="25">
        <v>0</v>
      </c>
      <c r="W57" s="25">
        <v>0</v>
      </c>
      <c r="X57" s="25">
        <v>0</v>
      </c>
      <c r="Y57" s="25">
        <v>0</v>
      </c>
      <c r="Z57" s="25">
        <v>0</v>
      </c>
      <c r="AA57" s="25">
        <v>0</v>
      </c>
      <c r="AB57" s="25">
        <v>0</v>
      </c>
      <c r="AC57" s="25">
        <v>0</v>
      </c>
      <c r="AD57" s="25">
        <v>0</v>
      </c>
      <c r="AE57" s="25">
        <v>0</v>
      </c>
      <c r="AF57" s="25">
        <v>0</v>
      </c>
      <c r="AG57" s="25">
        <v>0</v>
      </c>
      <c r="AH57" s="25">
        <v>0</v>
      </c>
      <c r="AI57" s="25">
        <v>0</v>
      </c>
      <c r="AJ57" s="25">
        <v>0</v>
      </c>
      <c r="AK57" s="25">
        <v>0</v>
      </c>
      <c r="AL57" s="25">
        <v>0</v>
      </c>
      <c r="AM57" s="25">
        <v>0</v>
      </c>
      <c r="AN57" s="25">
        <v>0</v>
      </c>
      <c r="AO57" s="25">
        <v>0</v>
      </c>
      <c r="AP57" s="25">
        <v>0</v>
      </c>
      <c r="AQ57" s="25">
        <v>0</v>
      </c>
      <c r="AR57" s="25">
        <v>0</v>
      </c>
      <c r="AS57" s="25">
        <v>0</v>
      </c>
      <c r="AT57" s="25">
        <v>0</v>
      </c>
      <c r="AU57" s="25">
        <v>0</v>
      </c>
      <c r="AV57" s="25">
        <v>0</v>
      </c>
      <c r="AW57" s="25">
        <v>0</v>
      </c>
      <c r="AX57" s="25">
        <v>0</v>
      </c>
      <c r="AY57" s="25">
        <v>6</v>
      </c>
      <c r="AZ57" s="25">
        <v>8</v>
      </c>
      <c r="BA57" s="25">
        <v>6</v>
      </c>
      <c r="BB57" s="25">
        <v>1</v>
      </c>
      <c r="BC57" s="25">
        <v>2</v>
      </c>
      <c r="BD57" s="25">
        <v>7</v>
      </c>
      <c r="BE57" s="25">
        <v>2</v>
      </c>
      <c r="BF57" s="25">
        <v>2</v>
      </c>
      <c r="BG57" s="25">
        <v>6</v>
      </c>
      <c r="BH57" s="25">
        <v>6</v>
      </c>
      <c r="BI57" s="25">
        <v>13</v>
      </c>
      <c r="BJ57" s="25">
        <v>22</v>
      </c>
      <c r="BK57" s="25">
        <v>3</v>
      </c>
      <c r="BL57" s="25">
        <v>2986</v>
      </c>
      <c r="BM57" s="25">
        <v>4</v>
      </c>
      <c r="BN57" s="25">
        <v>1</v>
      </c>
      <c r="BO57" s="25">
        <v>0</v>
      </c>
      <c r="BP57" s="25">
        <v>1</v>
      </c>
      <c r="BQ57" s="25">
        <v>1</v>
      </c>
      <c r="BR57" s="25">
        <v>1</v>
      </c>
      <c r="BS57" s="25">
        <v>0</v>
      </c>
      <c r="BT57" s="25">
        <v>0</v>
      </c>
      <c r="BU57" s="25">
        <v>0</v>
      </c>
      <c r="BV57" s="25">
        <v>1</v>
      </c>
      <c r="BW57" s="25">
        <v>6</v>
      </c>
      <c r="BX57" s="25">
        <v>3</v>
      </c>
      <c r="BY57" s="25">
        <v>0</v>
      </c>
      <c r="BZ57" s="25">
        <v>3</v>
      </c>
      <c r="CA57" s="25">
        <v>3</v>
      </c>
      <c r="CB57" s="25">
        <v>0</v>
      </c>
      <c r="CC57" s="25">
        <v>3</v>
      </c>
      <c r="CD57" s="25">
        <v>2</v>
      </c>
      <c r="CE57" s="25">
        <v>1</v>
      </c>
      <c r="CF57" s="25">
        <v>0</v>
      </c>
      <c r="CG57" s="25">
        <v>0</v>
      </c>
      <c r="CH57" s="25">
        <v>0</v>
      </c>
      <c r="CI57" s="25">
        <v>0</v>
      </c>
      <c r="CJ57" s="25">
        <v>0</v>
      </c>
      <c r="CK57" s="25">
        <v>0</v>
      </c>
      <c r="CL57" s="25">
        <v>6</v>
      </c>
      <c r="CM57" s="25">
        <v>0</v>
      </c>
      <c r="CN57" s="25">
        <v>0</v>
      </c>
      <c r="CO57" s="25">
        <v>0</v>
      </c>
      <c r="CP57" s="25">
        <v>0</v>
      </c>
      <c r="CQ57" s="25">
        <v>0</v>
      </c>
      <c r="CR57" s="25">
        <v>0</v>
      </c>
      <c r="CS57" s="25">
        <v>0</v>
      </c>
      <c r="CT57" s="25">
        <v>0</v>
      </c>
      <c r="CU57" s="25">
        <v>0</v>
      </c>
      <c r="CV57" s="25">
        <v>1</v>
      </c>
      <c r="CW57" s="25">
        <v>0</v>
      </c>
      <c r="CX57" s="25">
        <v>0</v>
      </c>
      <c r="CY57" s="25">
        <v>0</v>
      </c>
      <c r="CZ57" s="25">
        <v>0</v>
      </c>
      <c r="DA57" s="25">
        <v>0</v>
      </c>
      <c r="DB57" s="25">
        <v>0</v>
      </c>
      <c r="DC57" s="25">
        <v>0</v>
      </c>
      <c r="DD57" s="25">
        <v>0</v>
      </c>
      <c r="DE57" s="25">
        <v>0</v>
      </c>
      <c r="DF57" s="25">
        <v>0</v>
      </c>
      <c r="DG57" s="25">
        <v>0</v>
      </c>
      <c r="DH57" s="25">
        <v>0</v>
      </c>
      <c r="DI57" s="25">
        <v>0</v>
      </c>
      <c r="DJ57" s="25">
        <v>0</v>
      </c>
      <c r="DK57" s="25">
        <v>0</v>
      </c>
      <c r="DL57" s="25">
        <v>0</v>
      </c>
      <c r="DM57" s="25">
        <v>0</v>
      </c>
      <c r="DN57" s="25">
        <v>19</v>
      </c>
      <c r="DO57" s="25">
        <v>0</v>
      </c>
      <c r="DP57" s="25">
        <v>0</v>
      </c>
      <c r="DQ57" s="25">
        <v>0</v>
      </c>
      <c r="DR57" s="25">
        <v>0</v>
      </c>
      <c r="DS57" s="25">
        <v>0</v>
      </c>
      <c r="DT57" s="25">
        <v>0</v>
      </c>
      <c r="DU57" s="25">
        <v>0</v>
      </c>
      <c r="DV57" s="25">
        <v>0</v>
      </c>
      <c r="DW57" s="25">
        <v>0</v>
      </c>
      <c r="DX57" s="25">
        <v>0</v>
      </c>
      <c r="DY57" s="25">
        <v>0</v>
      </c>
      <c r="DZ57" s="25">
        <v>0</v>
      </c>
      <c r="EA57" s="25">
        <v>0</v>
      </c>
      <c r="EB57" s="25">
        <v>0</v>
      </c>
      <c r="EC57" s="25">
        <v>0</v>
      </c>
      <c r="ED57" s="25">
        <v>0</v>
      </c>
      <c r="EE57" s="25">
        <v>194</v>
      </c>
      <c r="EF57" s="25">
        <v>6</v>
      </c>
      <c r="EG57" s="25">
        <v>0</v>
      </c>
      <c r="EH57" s="25">
        <v>0</v>
      </c>
      <c r="EI57" s="25">
        <v>366</v>
      </c>
      <c r="EJ57" s="25">
        <v>0</v>
      </c>
      <c r="EK57" s="25">
        <v>6</v>
      </c>
      <c r="EL57" s="25">
        <v>0</v>
      </c>
      <c r="EM57" s="25">
        <v>0</v>
      </c>
      <c r="EN57" s="25">
        <v>0</v>
      </c>
      <c r="EO57" s="25">
        <v>50</v>
      </c>
      <c r="EP57" s="25">
        <v>0</v>
      </c>
      <c r="EQ57" s="25">
        <v>0</v>
      </c>
      <c r="ER57" s="25">
        <v>0</v>
      </c>
      <c r="ES57" s="25">
        <v>0</v>
      </c>
      <c r="ET57" s="25">
        <v>0</v>
      </c>
      <c r="EU57" s="25">
        <v>0</v>
      </c>
      <c r="EV57" s="25">
        <v>0</v>
      </c>
      <c r="EW57" s="25">
        <v>0</v>
      </c>
      <c r="EX57" s="25">
        <v>0</v>
      </c>
      <c r="EY57" s="25">
        <v>0</v>
      </c>
      <c r="EZ57" s="25">
        <v>0</v>
      </c>
      <c r="FA57" s="25">
        <v>0</v>
      </c>
      <c r="FB57" s="25">
        <v>0</v>
      </c>
      <c r="FC57" s="25">
        <v>0</v>
      </c>
      <c r="FD57" s="25">
        <v>0</v>
      </c>
      <c r="FE57" s="25">
        <v>0</v>
      </c>
      <c r="FF57" s="25">
        <v>0</v>
      </c>
      <c r="FG57" s="25">
        <v>0</v>
      </c>
      <c r="FH57" s="25">
        <v>0</v>
      </c>
      <c r="FI57" s="25">
        <v>0</v>
      </c>
      <c r="FJ57" s="25">
        <v>0</v>
      </c>
      <c r="FK57" s="25">
        <v>0</v>
      </c>
      <c r="FL57" s="25">
        <v>0</v>
      </c>
      <c r="FM57" s="25">
        <v>0</v>
      </c>
      <c r="FN57" s="25">
        <v>0</v>
      </c>
      <c r="FO57" s="25">
        <v>3</v>
      </c>
      <c r="FP57" s="25">
        <v>0</v>
      </c>
      <c r="FQ57" s="25">
        <v>0</v>
      </c>
      <c r="FR57" s="25">
        <v>0</v>
      </c>
      <c r="FS57" s="25">
        <v>0</v>
      </c>
      <c r="FT57" s="25">
        <v>0</v>
      </c>
      <c r="FU57" s="25">
        <v>0</v>
      </c>
      <c r="FV57" s="25">
        <v>0</v>
      </c>
      <c r="FW57" s="25">
        <v>0</v>
      </c>
      <c r="FX57" s="25">
        <v>0</v>
      </c>
      <c r="FY57" s="25">
        <v>0</v>
      </c>
      <c r="FZ57" s="25">
        <v>0</v>
      </c>
      <c r="GA57" s="25">
        <v>0</v>
      </c>
      <c r="GB57" s="25">
        <v>1</v>
      </c>
      <c r="GC57" s="25">
        <v>0</v>
      </c>
      <c r="GD57" s="25">
        <v>0</v>
      </c>
      <c r="GE57" s="25">
        <v>0</v>
      </c>
      <c r="GF57" s="25">
        <v>0</v>
      </c>
      <c r="GG57" s="25">
        <v>0</v>
      </c>
      <c r="GH57" s="25">
        <v>0</v>
      </c>
      <c r="GI57" s="25">
        <v>0</v>
      </c>
      <c r="GJ57" s="25">
        <v>0</v>
      </c>
      <c r="GK57" s="25">
        <v>1</v>
      </c>
      <c r="GL57" s="25">
        <v>0</v>
      </c>
      <c r="GM57" s="25">
        <v>0</v>
      </c>
      <c r="GN57" s="25">
        <v>0</v>
      </c>
      <c r="GO57" s="25">
        <v>0</v>
      </c>
      <c r="GP57" s="25">
        <v>0</v>
      </c>
      <c r="GQ57" s="25">
        <v>0</v>
      </c>
      <c r="GR57" s="25">
        <v>0</v>
      </c>
      <c r="GS57" s="25">
        <v>0</v>
      </c>
      <c r="GT57" s="25">
        <v>0</v>
      </c>
      <c r="GU57" s="25">
        <v>17</v>
      </c>
      <c r="GV57" s="25">
        <v>0</v>
      </c>
      <c r="GW57" s="25">
        <v>0</v>
      </c>
      <c r="GX57" s="25">
        <v>0</v>
      </c>
      <c r="GY57" s="46">
        <v>0</v>
      </c>
      <c r="GZ57" s="25">
        <v>2</v>
      </c>
      <c r="HA57" s="25">
        <v>1</v>
      </c>
      <c r="HB57" s="25">
        <v>0</v>
      </c>
      <c r="HC57" s="25">
        <v>1</v>
      </c>
      <c r="HD57" s="25">
        <v>0</v>
      </c>
      <c r="HE57" s="25">
        <v>0</v>
      </c>
      <c r="HF57" s="25">
        <v>0</v>
      </c>
      <c r="HG57" s="25">
        <v>0</v>
      </c>
      <c r="HH57" s="25">
        <v>0</v>
      </c>
      <c r="HI57" s="25">
        <v>0</v>
      </c>
      <c r="HJ57" s="25">
        <v>0</v>
      </c>
      <c r="HK57" s="25">
        <v>0</v>
      </c>
      <c r="HL57" s="25">
        <v>0</v>
      </c>
      <c r="HM57" s="25">
        <v>0</v>
      </c>
      <c r="HN57" s="25">
        <v>0</v>
      </c>
      <c r="HO57" s="25">
        <v>0</v>
      </c>
      <c r="HP57" s="25">
        <v>0</v>
      </c>
      <c r="HQ57" s="25">
        <v>2</v>
      </c>
      <c r="HR57" s="25">
        <v>0</v>
      </c>
      <c r="HS57" s="25">
        <v>21</v>
      </c>
      <c r="HT57" s="25">
        <v>0</v>
      </c>
      <c r="HU57" s="25">
        <v>0</v>
      </c>
      <c r="HV57" s="25">
        <v>0</v>
      </c>
      <c r="HW57" s="25">
        <v>0</v>
      </c>
      <c r="HX57" s="25">
        <v>0</v>
      </c>
      <c r="HY57" s="25">
        <v>0</v>
      </c>
      <c r="HZ57" s="25">
        <v>0</v>
      </c>
      <c r="IA57" s="25">
        <v>0</v>
      </c>
      <c r="IB57" s="25">
        <v>0</v>
      </c>
      <c r="IC57" s="25">
        <v>0</v>
      </c>
      <c r="ID57" s="25">
        <v>0</v>
      </c>
      <c r="IE57" s="25">
        <v>0</v>
      </c>
      <c r="IF57" s="25">
        <v>0</v>
      </c>
      <c r="IG57" s="25">
        <v>0</v>
      </c>
      <c r="IH57" s="25">
        <v>0</v>
      </c>
      <c r="II57" s="25">
        <v>0</v>
      </c>
      <c r="IJ57" s="25">
        <v>0</v>
      </c>
      <c r="IK57" s="25">
        <v>0</v>
      </c>
      <c r="IL57" s="25">
        <v>0</v>
      </c>
      <c r="IM57" s="25">
        <v>0</v>
      </c>
      <c r="IN57" s="25">
        <v>0</v>
      </c>
      <c r="IO57" s="25">
        <v>0</v>
      </c>
      <c r="IP57" s="25">
        <v>0</v>
      </c>
      <c r="IQ57" s="25">
        <v>0</v>
      </c>
      <c r="IR57" s="25">
        <v>0</v>
      </c>
      <c r="IS57" s="25">
        <v>0</v>
      </c>
      <c r="IT57" s="25">
        <v>0</v>
      </c>
      <c r="IU57" s="25">
        <v>0</v>
      </c>
      <c r="IV57" s="25">
        <v>0</v>
      </c>
      <c r="IW57" s="25">
        <v>0</v>
      </c>
      <c r="IX57" s="25">
        <v>0</v>
      </c>
      <c r="IY57" s="25">
        <v>0</v>
      </c>
      <c r="IZ57" s="25">
        <v>0</v>
      </c>
      <c r="JA57" s="25">
        <v>0</v>
      </c>
      <c r="JB57" s="25">
        <v>0</v>
      </c>
      <c r="JC57" s="25">
        <v>0</v>
      </c>
      <c r="JD57" s="25">
        <v>0</v>
      </c>
      <c r="JE57" s="25">
        <v>0</v>
      </c>
      <c r="JF57" s="25">
        <v>0</v>
      </c>
      <c r="JG57" s="25">
        <v>0</v>
      </c>
      <c r="JH57" s="25">
        <v>0</v>
      </c>
      <c r="JI57" s="25">
        <v>0</v>
      </c>
      <c r="JJ57" s="25">
        <v>0</v>
      </c>
      <c r="JK57" s="25">
        <v>0</v>
      </c>
      <c r="JL57" s="25">
        <v>0</v>
      </c>
      <c r="JM57" s="25">
        <v>0</v>
      </c>
      <c r="JN57" s="25">
        <v>0</v>
      </c>
      <c r="JO57" s="25">
        <v>0</v>
      </c>
      <c r="JP57" s="25">
        <v>0</v>
      </c>
      <c r="JQ57" s="25">
        <v>1</v>
      </c>
      <c r="JR57" s="25">
        <v>0</v>
      </c>
      <c r="JS57" s="25">
        <v>0</v>
      </c>
      <c r="JT57" s="25">
        <v>0</v>
      </c>
      <c r="JU57" s="25">
        <v>0</v>
      </c>
      <c r="JV57" s="25">
        <v>2</v>
      </c>
      <c r="JW57" s="25">
        <v>0</v>
      </c>
      <c r="JX57" s="25">
        <v>0</v>
      </c>
      <c r="JY57" s="25">
        <v>0</v>
      </c>
      <c r="JZ57" s="25">
        <v>0</v>
      </c>
      <c r="KA57" s="25">
        <v>0</v>
      </c>
      <c r="KB57" s="25">
        <v>0</v>
      </c>
      <c r="KC57" s="25">
        <v>0</v>
      </c>
      <c r="KD57" s="25">
        <v>0</v>
      </c>
      <c r="KE57" s="25">
        <v>0</v>
      </c>
      <c r="KF57" s="25">
        <v>0</v>
      </c>
      <c r="KG57" s="25">
        <v>0</v>
      </c>
      <c r="KH57" s="25">
        <v>0</v>
      </c>
      <c r="KI57" s="25">
        <v>0</v>
      </c>
      <c r="KJ57" s="25">
        <v>0</v>
      </c>
      <c r="KK57" s="25">
        <v>0</v>
      </c>
      <c r="KL57" s="25">
        <v>0</v>
      </c>
      <c r="KM57" s="25">
        <v>0</v>
      </c>
      <c r="KN57" s="25">
        <v>0</v>
      </c>
      <c r="KO57" s="25">
        <v>0</v>
      </c>
      <c r="KP57" s="25">
        <v>0</v>
      </c>
      <c r="KQ57" s="25">
        <v>0</v>
      </c>
      <c r="KR57" s="25">
        <v>0</v>
      </c>
      <c r="KS57" s="25">
        <v>0</v>
      </c>
      <c r="KT57" s="25">
        <v>0</v>
      </c>
      <c r="KU57" s="25">
        <v>0</v>
      </c>
      <c r="KV57" s="25">
        <v>0</v>
      </c>
      <c r="KW57" s="25">
        <v>0</v>
      </c>
      <c r="KX57" s="25">
        <v>0</v>
      </c>
      <c r="KY57" s="25">
        <v>0</v>
      </c>
      <c r="KZ57" s="25">
        <v>0</v>
      </c>
      <c r="LA57" s="25">
        <v>0</v>
      </c>
      <c r="LB57" s="25">
        <v>0</v>
      </c>
      <c r="LC57" s="25">
        <v>0</v>
      </c>
      <c r="LD57" s="25">
        <v>0</v>
      </c>
      <c r="LE57" s="25">
        <v>0</v>
      </c>
      <c r="LF57" s="25">
        <v>0</v>
      </c>
      <c r="LG57" s="25">
        <v>0</v>
      </c>
      <c r="LH57" s="25">
        <v>18</v>
      </c>
      <c r="LI57" s="25">
        <v>0</v>
      </c>
      <c r="LJ57" s="25">
        <v>0</v>
      </c>
      <c r="LK57" s="25">
        <v>0</v>
      </c>
      <c r="LL57" s="25">
        <v>0</v>
      </c>
      <c r="LM57" s="25">
        <v>0</v>
      </c>
      <c r="LN57" s="278">
        <f ca="1">$A57 - DeathsTimeS!Sweden100dt + 1</f>
        <v>-10</v>
      </c>
      <c r="LO57" s="366">
        <f ca="1">INDEX(OFFSET(DeathsTimeS!HeadRow,ROW()-ROW(DeathsTimeS!HeadRow),0,1,COLUMNS(DeathsTimeS!HeadRow)),1,MATCH(LO$5,DeathsTimeS!HeadRow,0))/LO$8</f>
        <v>0</v>
      </c>
      <c r="LP57" s="278">
        <f ca="1">$A57 - DeathsTimeS!Spain100dt</f>
        <v>-3</v>
      </c>
      <c r="LQ57" s="11">
        <f ca="1">INDEX(OFFSET(DeathsTimeS!HeadRow,ROW()-ROW(DeathsTimeS!HeadRow),0,1,COLUMNS(DeathsTimeS!HeadRow)),1,MATCH(LQ$5,DeathsTimeS!HeadRow,0))/LQ$8</f>
        <v>3.6216446527481891</v>
      </c>
      <c r="LR57" s="278">
        <f ca="1">$A57 - DeathsTimeS!Victoria100dt</f>
        <v>-26</v>
      </c>
      <c r="LS57" s="11">
        <f ca="1">INDEX(OFFSET(DeathsTimeS!HeadRow,ROW()-ROW(DeathsTimeS!HeadRow),0,1,COLUMNS(DeathsTimeS!HeadRow)),1,MATCH(LS$5,DeathsTimeS!HeadRow,0))/LS$8</f>
        <v>0</v>
      </c>
      <c r="LT57" s="278">
        <f ca="1">$A57 - DeathsTimeS!Iran100dt</f>
        <v>4</v>
      </c>
      <c r="LU57" s="11">
        <f ca="1">INDEX(OFFSET(DeathsTimeS!HeadRow,ROW()-ROW(DeathsTimeS!HeadRow),0,1,COLUMNS(DeathsTimeS!HeadRow)),1,MATCH(LU$5,DeathsTimeS!HeadRow,0))/LU$8</f>
        <v>23.157819345135067</v>
      </c>
      <c r="LV57" s="278">
        <f ca="1">$A57 - DeathsTimeS!Japan100dt</f>
        <v>-37</v>
      </c>
      <c r="LW57" s="11">
        <f ca="1">INDEX(OFFSET(DeathsTimeS!HeadRow,ROW()-ROW(DeathsTimeS!HeadRow),0,1,COLUMNS(DeathsTimeS!HeadRow)),1,MATCH(LW$5,DeathsTimeS!HeadRow,0))/LW$8</f>
        <v>0.47410515476913873</v>
      </c>
      <c r="LX57" s="278">
        <f ca="1">$A57 - DeathsTimeS!Queensland100dt</f>
        <v>-41</v>
      </c>
      <c r="LY57" s="11">
        <f ca="1">INDEX(OFFSET(DeathsTimeS!HeadRow,ROW()-ROW(DeathsTimeS!HeadRow),0,1,COLUMNS(DeathsTimeS!HeadRow)),1,MATCH(LY$5,DeathsTimeS!HeadRow,0))/LY$8</f>
        <v>0</v>
      </c>
      <c r="LZ57" s="278">
        <f ca="1">$A57 - DeathsTimeS!Tasmania100dt</f>
        <v>-23</v>
      </c>
      <c r="MA57" s="11">
        <f ca="1">INDEX(OFFSET(DeathsTimeS!HeadRow,ROW()-ROW(DeathsTimeS!HeadRow),0,1,COLUMNS(DeathsTimeS!HeadRow)),1,MATCH(MA$5,DeathsTimeS!HeadRow,0))/MA$8</f>
        <v>0</v>
      </c>
      <c r="MB57" s="278">
        <f ca="1">$A57 - DeathsTimeS!SouthAustralia100dt</f>
        <v>-31</v>
      </c>
      <c r="MC57" s="11">
        <f ca="1">INDEX(OFFSET(DeathsTimeS!HeadRow,ROW()-ROW(DeathsTimeS!HeadRow),0,1,COLUMNS(DeathsTimeS!HeadRow)),1,MATCH(MC$5,DeathsTimeS!HeadRow,0))/MC$8</f>
        <v>0</v>
      </c>
      <c r="MD57" s="278">
        <f ca="1">$A57 - DeathsTimeS!WesternAustralia100dt</f>
        <v>-28</v>
      </c>
      <c r="ME57" s="11">
        <f ca="1">INDEX(OFFSET(DeathsTimeS!HeadRow,ROW()-ROW(DeathsTimeS!HeadRow),0,1,COLUMNS(DeathsTimeS!HeadRow)),1,MATCH(ME$5,DeathsTimeS!HeadRow,0))/ME$8</f>
        <v>3.8624951718810348</v>
      </c>
      <c r="MF57" s="278">
        <f ca="1">$A57 - DeathsTimeS!NewSouthWales100dt</f>
        <v>-24</v>
      </c>
      <c r="MG57" s="11">
        <f ca="1">INDEX(OFFSET(DeathsTimeS!HeadRow,ROW()-ROW(DeathsTimeS!HeadRow),0,1,COLUMNS(DeathsTimeS!HeadRow)),1,MATCH(MG$5,DeathsTimeS!HeadRow,0))/MG$8</f>
        <v>2.4752475247524752</v>
      </c>
      <c r="MH57" s="278">
        <f ca="1">$A57 - DeathsTimeS!NewYork100dt</f>
        <v>-8</v>
      </c>
      <c r="MI57" s="11">
        <f ca="1">INDEX(OFFSET(DeathsTimeS!HeadRow,ROW()-ROW(DeathsTimeS!HeadRow),0,1,COLUMNS(DeathsTimeS!HeadRow)),1,MATCH(MI$5,DeathsTimeS!HeadRow,0))/MI$8</f>
        <v>0</v>
      </c>
      <c r="MJ57" s="278">
        <f ca="1">$A57 - DeathsTimeS!Italy100dt</f>
        <v>5</v>
      </c>
      <c r="MK57" s="20">
        <f ca="1">INDEX(OFFSET(DeathsTimeS!HeadRow,ROW()-ROW(DeathsTimeS!HeadRow),0,1,COLUMNS(DeathsTimeS!HeadRow)),1,MATCH(MK$5,DeathsTimeS!HeadRow,0))/MK$8</f>
        <v>60.510870463751345</v>
      </c>
      <c r="ML57" s="278">
        <f ca="1">$A57 - DeathsTimeS!AustralianCapitalTerritory100dt</f>
        <v>-22</v>
      </c>
      <c r="MM57" s="11">
        <f ca="1">INDEX(OFFSET(DeathsTimeS!HeadRow,ROW()-ROW(DeathsTimeS!HeadRow),0,1,COLUMNS(DeathsTimeS!HeadRow)),1,MATCH(MM$5,DeathsTimeS!HeadRow,0))/MM$8</f>
        <v>0</v>
      </c>
      <c r="MN57" s="278">
        <f ca="1">IF(DeathsTimeS!NorthernTerritory100dt&gt;0,$A57 - DeathsTimeS!NorthernTerritory100dt,"")</f>
        <v>-50</v>
      </c>
      <c r="MO57" s="11">
        <f ca="1">INDEX(OFFSET(DeathsTimeS!HeadRow,ROW()-ROW(DeathsTimeS!HeadRow),0,1,COLUMNS(DeathsTimeS!HeadRow)),1,MATCH(MO$5,DeathsTimeS!HeadRow,0))/MO$8</f>
        <v>0</v>
      </c>
      <c r="MP57" s="278">
        <f ca="1">$A57 - DeathsTimeS!SouthAfrica100dt + 1</f>
        <v>-42</v>
      </c>
      <c r="MQ57" s="20">
        <f ca="1">INDEX(OFFSET(DeathsTimeS!HeadRow,ROW()-ROW(DeathsTimeS!HeadRow),0,1,COLUMNS(DeathsTimeS!HeadRow)),1,MATCH(MQ$5,DeathsTimeS!HeadRow,0))/MQ$8</f>
        <v>0</v>
      </c>
      <c r="MR57" s="278">
        <f ca="1">$A57 - DeathsTimeS!Germany100dt + 1</f>
        <v>-12</v>
      </c>
      <c r="MS57" s="20">
        <f ca="1">INDEX(OFFSET(DeathsTimeS!HeadRow,ROW()-ROW(DeathsTimeS!HeadRow),0,1,COLUMNS(DeathsTimeS!HeadRow)),1,MATCH(MS$5,DeathsTimeS!HeadRow,0))/MS$8</f>
        <v>0</v>
      </c>
      <c r="MT57" s="278">
        <f ca="1">$A57 - DeathsTimeS!Ireland100dt + 1</f>
        <v>-14</v>
      </c>
      <c r="MU57" s="73">
        <f ca="1">INDEX(OFFSET(DeathsTimeS!HeadRow,ROW()-ROW(DeathsTimeS!HeadRow),0,1,COLUMNS(DeathsTimeS!HeadRow)),1,MATCH(MU$5,DeathsTimeS!HeadRow,0))/MU$8</f>
        <v>0</v>
      </c>
      <c r="MV57" s="278">
        <f ca="1">$A57 - DeathsTimeS!UnitedKingdom100dt + 1</f>
        <v>-8</v>
      </c>
      <c r="MW57" s="73">
        <f ca="1">INDEX(OFFSET(DeathsTimeS!HeadRow,ROW()-ROW(DeathsTimeS!HeadRow),0,1,COLUMNS(DeathsTimeS!HeadRow)),1,MATCH(MW$5,DeathsTimeS!HeadRow,0))/MW$8</f>
        <v>0.30102347983142685</v>
      </c>
      <c r="MX57" s="278">
        <f ca="1">$A57 - DeathsTimeS!Denmark100dt + 1</f>
        <v>-10</v>
      </c>
      <c r="MY57" s="73">
        <f ca="1">INDEX(OFFSET(DeathsTimeS!HeadRow,ROW()-ROW(DeathsTimeS!HeadRow),0,1,COLUMNS(DeathsTimeS!HeadRow)),1,MATCH(MY$5,DeathsTimeS!HeadRow,0))/MY$8</f>
        <v>0</v>
      </c>
      <c r="MZ57" s="278">
        <f ca="1">$A57 - DeathsTimeS!US100dt + 1</f>
        <v>-11</v>
      </c>
      <c r="NA57" s="73">
        <f ca="1">INDEX(OFFSET(DeathsTimeS!HeadRow,ROW()-ROW(DeathsTimeS!HeadRow),0,1,COLUMNS(DeathsTimeS!HeadRow)),1,MATCH(NA$5,DeathsTimeS!HeadRow,0))/NA$8</f>
        <v>0.63785632453954844</v>
      </c>
      <c r="NB57" s="278">
        <f ca="1">$A57 - DeathsTimeS!AustraliaSum100dt + 1</f>
        <v>-17</v>
      </c>
      <c r="NC57" s="366">
        <f t="shared" si="6"/>
        <v>3</v>
      </c>
      <c r="ND57" s="278">
        <f ca="1">$A57 - DeathsTimeS!Taiwan100dt + 1</f>
        <v>-49</v>
      </c>
      <c r="NE57" s="366">
        <f ca="1">INDEX(OFFSET(DeathsTimeS!HeadRow,ROW()-ROW(DeathsTimeS!HeadRow),0,1,COLUMNS(DeathsTimeS!HeadRow)),1,MATCH(NE$5,DeathsTimeS!HeadRow,0))/NE$8</f>
        <v>0.4200395492437986</v>
      </c>
      <c r="NF57" s="278">
        <f ca="1">$A57 - DeathsTimeS!Hubei100dt + 1</f>
        <v>42</v>
      </c>
      <c r="NG57" s="366">
        <f ca="1">INDEX(OFFSET(DeathsTimeS!HeadRow,ROW()-ROW(DeathsTimeS!HeadRow),0,1,COLUMNS(DeathsTimeS!HeadRow)),1,MATCH(NG$5,DeathsTimeS!HeadRow,0))/NG$8</f>
        <v>510.42735042735046</v>
      </c>
      <c r="NH57" s="278">
        <f ca="1">$A57 - DeathsTimeS!HongKong100dt + 1</f>
        <v>-49</v>
      </c>
      <c r="NI57" s="366">
        <f ca="1">INDEX(OFFSET(DeathsTimeS!HeadRow,ROW()-ROW(DeathsTimeS!HeadRow),0,1,COLUMNS(DeathsTimeS!HeadRow)),1,MATCH(NI$5,DeathsTimeS!HeadRow,0))/NI$8</f>
        <v>4.0263051939337</v>
      </c>
    </row>
    <row r="58" spans="1:373" x14ac:dyDescent="0.25">
      <c r="A58" s="156">
        <v>43899</v>
      </c>
      <c r="B58" s="25">
        <v>0</v>
      </c>
      <c r="C58" s="25">
        <v>0</v>
      </c>
      <c r="D58" s="25">
        <v>0</v>
      </c>
      <c r="E58" s="25">
        <v>0</v>
      </c>
      <c r="F58" s="25">
        <v>0</v>
      </c>
      <c r="G58" s="25">
        <v>0</v>
      </c>
      <c r="H58" s="25">
        <v>1</v>
      </c>
      <c r="I58" s="25">
        <v>0</v>
      </c>
      <c r="J58" s="25">
        <v>0</v>
      </c>
      <c r="K58" s="25">
        <v>2</v>
      </c>
      <c r="L58" s="25">
        <v>0</v>
      </c>
      <c r="M58" s="25">
        <v>0</v>
      </c>
      <c r="N58" s="25">
        <v>0</v>
      </c>
      <c r="O58" s="25">
        <v>0</v>
      </c>
      <c r="P58" s="25">
        <v>0</v>
      </c>
      <c r="Q58" s="25">
        <v>1</v>
      </c>
      <c r="R58" s="25">
        <v>0</v>
      </c>
      <c r="S58" s="25">
        <v>0</v>
      </c>
      <c r="T58" s="25">
        <v>0</v>
      </c>
      <c r="U58" s="25">
        <v>0</v>
      </c>
      <c r="V58" s="25">
        <v>0</v>
      </c>
      <c r="W58" s="25">
        <v>0</v>
      </c>
      <c r="X58" s="25">
        <v>0</v>
      </c>
      <c r="Y58" s="25">
        <v>0</v>
      </c>
      <c r="Z58" s="25">
        <v>0</v>
      </c>
      <c r="AA58" s="25">
        <v>0</v>
      </c>
      <c r="AB58" s="25">
        <v>0</v>
      </c>
      <c r="AC58" s="25">
        <v>0</v>
      </c>
      <c r="AD58" s="25">
        <v>0</v>
      </c>
      <c r="AE58" s="25">
        <v>0</v>
      </c>
      <c r="AF58" s="25">
        <v>0</v>
      </c>
      <c r="AG58" s="25">
        <v>0</v>
      </c>
      <c r="AH58" s="25">
        <v>0</v>
      </c>
      <c r="AI58" s="25">
        <v>0</v>
      </c>
      <c r="AJ58" s="25">
        <v>0</v>
      </c>
      <c r="AK58" s="25">
        <v>0</v>
      </c>
      <c r="AL58" s="25">
        <v>1</v>
      </c>
      <c r="AM58" s="25">
        <v>0</v>
      </c>
      <c r="AN58" s="25">
        <v>0</v>
      </c>
      <c r="AO58" s="25">
        <v>0</v>
      </c>
      <c r="AP58" s="25">
        <v>0</v>
      </c>
      <c r="AQ58" s="25">
        <v>0</v>
      </c>
      <c r="AR58" s="25">
        <v>0</v>
      </c>
      <c r="AS58" s="25">
        <v>0</v>
      </c>
      <c r="AT58" s="25">
        <v>0</v>
      </c>
      <c r="AU58" s="25">
        <v>0</v>
      </c>
      <c r="AV58" s="25">
        <v>0</v>
      </c>
      <c r="AW58" s="25">
        <v>0</v>
      </c>
      <c r="AX58" s="25">
        <v>0</v>
      </c>
      <c r="AY58" s="25">
        <v>6</v>
      </c>
      <c r="AZ58" s="25">
        <v>8</v>
      </c>
      <c r="BA58" s="25">
        <v>6</v>
      </c>
      <c r="BB58" s="25">
        <v>1</v>
      </c>
      <c r="BC58" s="25">
        <v>2</v>
      </c>
      <c r="BD58" s="25">
        <v>8</v>
      </c>
      <c r="BE58" s="25">
        <v>2</v>
      </c>
      <c r="BF58" s="25">
        <v>2</v>
      </c>
      <c r="BG58" s="25">
        <v>6</v>
      </c>
      <c r="BH58" s="25">
        <v>6</v>
      </c>
      <c r="BI58" s="25">
        <v>13</v>
      </c>
      <c r="BJ58" s="25">
        <v>22</v>
      </c>
      <c r="BK58" s="25">
        <v>3</v>
      </c>
      <c r="BL58" s="25">
        <v>3008</v>
      </c>
      <c r="BM58" s="25">
        <v>4</v>
      </c>
      <c r="BN58" s="25">
        <v>1</v>
      </c>
      <c r="BO58" s="25">
        <v>0</v>
      </c>
      <c r="BP58" s="25">
        <v>1</v>
      </c>
      <c r="BQ58" s="25">
        <v>1</v>
      </c>
      <c r="BR58" s="25">
        <v>1</v>
      </c>
      <c r="BS58" s="25">
        <v>0</v>
      </c>
      <c r="BT58" s="25">
        <v>0</v>
      </c>
      <c r="BU58" s="25">
        <v>0</v>
      </c>
      <c r="BV58" s="25">
        <v>1</v>
      </c>
      <c r="BW58" s="25">
        <v>6</v>
      </c>
      <c r="BX58" s="25">
        <v>3</v>
      </c>
      <c r="BY58" s="25">
        <v>0</v>
      </c>
      <c r="BZ58" s="25">
        <v>3</v>
      </c>
      <c r="CA58" s="25">
        <v>3</v>
      </c>
      <c r="CB58" s="25">
        <v>0</v>
      </c>
      <c r="CC58" s="25">
        <v>3</v>
      </c>
      <c r="CD58" s="25">
        <v>2</v>
      </c>
      <c r="CE58" s="25">
        <v>1</v>
      </c>
      <c r="CF58" s="25">
        <v>0</v>
      </c>
      <c r="CG58" s="25">
        <v>0</v>
      </c>
      <c r="CH58" s="25">
        <v>0</v>
      </c>
      <c r="CI58" s="25">
        <v>0</v>
      </c>
      <c r="CJ58" s="25">
        <v>0</v>
      </c>
      <c r="CK58" s="25">
        <v>0</v>
      </c>
      <c r="CL58" s="25">
        <v>6</v>
      </c>
      <c r="CM58" s="25">
        <v>0</v>
      </c>
      <c r="CN58" s="25">
        <v>0</v>
      </c>
      <c r="CO58" s="25">
        <v>0</v>
      </c>
      <c r="CP58" s="25">
        <v>0</v>
      </c>
      <c r="CQ58" s="25">
        <v>0</v>
      </c>
      <c r="CR58" s="25">
        <v>0</v>
      </c>
      <c r="CS58" s="25">
        <v>0</v>
      </c>
      <c r="CT58" s="25">
        <v>0</v>
      </c>
      <c r="CU58" s="25">
        <v>0</v>
      </c>
      <c r="CV58" s="25">
        <v>1</v>
      </c>
      <c r="CW58" s="25">
        <v>0</v>
      </c>
      <c r="CX58" s="25">
        <v>0</v>
      </c>
      <c r="CY58" s="25">
        <v>0</v>
      </c>
      <c r="CZ58" s="25">
        <v>0</v>
      </c>
      <c r="DA58" s="25">
        <v>0</v>
      </c>
      <c r="DB58" s="25">
        <v>0</v>
      </c>
      <c r="DC58" s="25">
        <v>0</v>
      </c>
      <c r="DD58" s="25">
        <v>0</v>
      </c>
      <c r="DE58" s="25">
        <v>0</v>
      </c>
      <c r="DF58" s="25">
        <v>0</v>
      </c>
      <c r="DG58" s="25">
        <v>0</v>
      </c>
      <c r="DH58" s="25">
        <v>0</v>
      </c>
      <c r="DI58" s="25">
        <v>0</v>
      </c>
      <c r="DJ58" s="25">
        <v>0</v>
      </c>
      <c r="DK58" s="25">
        <v>0</v>
      </c>
      <c r="DL58" s="25">
        <v>0</v>
      </c>
      <c r="DM58" s="25">
        <v>0</v>
      </c>
      <c r="DN58" s="25">
        <v>19</v>
      </c>
      <c r="DO58" s="25">
        <v>0</v>
      </c>
      <c r="DP58" s="25">
        <v>0</v>
      </c>
      <c r="DQ58" s="25">
        <v>0</v>
      </c>
      <c r="DR58" s="25">
        <v>2</v>
      </c>
      <c r="DS58" s="25">
        <v>0</v>
      </c>
      <c r="DT58" s="25">
        <v>0</v>
      </c>
      <c r="DU58" s="25">
        <v>0</v>
      </c>
      <c r="DV58" s="25">
        <v>0</v>
      </c>
      <c r="DW58" s="25">
        <v>0</v>
      </c>
      <c r="DX58" s="25">
        <v>0</v>
      </c>
      <c r="DY58" s="25">
        <v>0</v>
      </c>
      <c r="DZ58" s="25">
        <v>0</v>
      </c>
      <c r="EA58" s="25">
        <v>0</v>
      </c>
      <c r="EB58" s="25">
        <v>0</v>
      </c>
      <c r="EC58" s="25">
        <v>0</v>
      </c>
      <c r="ED58" s="25">
        <v>0</v>
      </c>
      <c r="EE58" s="25">
        <v>237</v>
      </c>
      <c r="EF58" s="25">
        <v>6</v>
      </c>
      <c r="EG58" s="25">
        <v>0</v>
      </c>
      <c r="EH58" s="25">
        <v>0</v>
      </c>
      <c r="EI58" s="25">
        <v>463</v>
      </c>
      <c r="EJ58" s="25">
        <v>0</v>
      </c>
      <c r="EK58" s="25">
        <v>10</v>
      </c>
      <c r="EL58" s="25">
        <v>0</v>
      </c>
      <c r="EM58" s="25">
        <v>0</v>
      </c>
      <c r="EN58" s="25">
        <v>0</v>
      </c>
      <c r="EO58" s="25">
        <v>53</v>
      </c>
      <c r="EP58" s="25">
        <v>0</v>
      </c>
      <c r="EQ58" s="25">
        <v>0</v>
      </c>
      <c r="ER58" s="25">
        <v>0</v>
      </c>
      <c r="ES58" s="25">
        <v>0</v>
      </c>
      <c r="ET58" s="25">
        <v>0</v>
      </c>
      <c r="EU58" s="25">
        <v>0</v>
      </c>
      <c r="EV58" s="25">
        <v>0</v>
      </c>
      <c r="EW58" s="25">
        <v>0</v>
      </c>
      <c r="EX58" s="25">
        <v>0</v>
      </c>
      <c r="EY58" s="25">
        <v>0</v>
      </c>
      <c r="EZ58" s="25">
        <v>0</v>
      </c>
      <c r="FA58" s="25">
        <v>0</v>
      </c>
      <c r="FB58" s="25">
        <v>0</v>
      </c>
      <c r="FC58" s="25">
        <v>0</v>
      </c>
      <c r="FD58" s="25">
        <v>0</v>
      </c>
      <c r="FE58" s="25">
        <v>0</v>
      </c>
      <c r="FF58" s="25">
        <v>0</v>
      </c>
      <c r="FG58" s="25">
        <v>0</v>
      </c>
      <c r="FH58" s="25">
        <v>0</v>
      </c>
      <c r="FI58" s="25">
        <v>0</v>
      </c>
      <c r="FJ58" s="25">
        <v>0</v>
      </c>
      <c r="FK58" s="25">
        <v>0</v>
      </c>
      <c r="FL58" s="25">
        <v>0</v>
      </c>
      <c r="FM58" s="25">
        <v>0</v>
      </c>
      <c r="FN58" s="25">
        <v>0</v>
      </c>
      <c r="FO58" s="25">
        <v>3</v>
      </c>
      <c r="FP58" s="25">
        <v>0</v>
      </c>
      <c r="FQ58" s="25">
        <v>0</v>
      </c>
      <c r="FR58" s="25">
        <v>0</v>
      </c>
      <c r="FS58" s="25">
        <v>0</v>
      </c>
      <c r="FT58" s="25">
        <v>0</v>
      </c>
      <c r="FU58" s="25">
        <v>0</v>
      </c>
      <c r="FV58" s="25">
        <v>0</v>
      </c>
      <c r="FW58" s="25">
        <v>0</v>
      </c>
      <c r="FX58" s="25">
        <v>0</v>
      </c>
      <c r="FY58" s="25">
        <v>0</v>
      </c>
      <c r="FZ58" s="25">
        <v>0</v>
      </c>
      <c r="GA58" s="25">
        <v>0</v>
      </c>
      <c r="GB58" s="25">
        <v>1</v>
      </c>
      <c r="GC58" s="25">
        <v>0</v>
      </c>
      <c r="GD58" s="25">
        <v>0</v>
      </c>
      <c r="GE58" s="25">
        <v>0</v>
      </c>
      <c r="GF58" s="25">
        <v>0</v>
      </c>
      <c r="GG58" s="25">
        <v>0</v>
      </c>
      <c r="GH58" s="25">
        <v>0</v>
      </c>
      <c r="GI58" s="25">
        <v>0</v>
      </c>
      <c r="GJ58" s="25">
        <v>0</v>
      </c>
      <c r="GK58" s="25">
        <v>1</v>
      </c>
      <c r="GL58" s="25">
        <v>0</v>
      </c>
      <c r="GM58" s="25">
        <v>0</v>
      </c>
      <c r="GN58" s="25">
        <v>0</v>
      </c>
      <c r="GO58" s="25">
        <v>0</v>
      </c>
      <c r="GP58" s="25">
        <v>0</v>
      </c>
      <c r="GQ58" s="25">
        <v>0</v>
      </c>
      <c r="GR58" s="25">
        <v>0</v>
      </c>
      <c r="GS58" s="25">
        <v>0</v>
      </c>
      <c r="GT58" s="25">
        <v>0</v>
      </c>
      <c r="GU58" s="25">
        <v>28</v>
      </c>
      <c r="GV58" s="25">
        <v>0</v>
      </c>
      <c r="GW58" s="25">
        <v>0</v>
      </c>
      <c r="GX58" s="25">
        <v>0</v>
      </c>
      <c r="GY58" s="46">
        <v>0</v>
      </c>
      <c r="GZ58" s="25">
        <v>2</v>
      </c>
      <c r="HA58" s="25">
        <v>1</v>
      </c>
      <c r="HB58" s="25">
        <v>0</v>
      </c>
      <c r="HC58" s="25">
        <v>1</v>
      </c>
      <c r="HD58" s="25">
        <v>0</v>
      </c>
      <c r="HE58" s="25">
        <v>0</v>
      </c>
      <c r="HF58" s="25">
        <v>0</v>
      </c>
      <c r="HG58" s="25">
        <v>0</v>
      </c>
      <c r="HH58" s="25">
        <v>0</v>
      </c>
      <c r="HI58" s="25">
        <v>0</v>
      </c>
      <c r="HJ58" s="25">
        <v>0</v>
      </c>
      <c r="HK58" s="25">
        <v>0</v>
      </c>
      <c r="HL58" s="25">
        <v>0</v>
      </c>
      <c r="HM58" s="25">
        <v>0</v>
      </c>
      <c r="HN58" s="25">
        <v>0</v>
      </c>
      <c r="HO58" s="25">
        <v>0</v>
      </c>
      <c r="HP58" s="25">
        <v>0</v>
      </c>
      <c r="HQ58" s="25">
        <v>3</v>
      </c>
      <c r="HR58" s="25">
        <v>0</v>
      </c>
      <c r="HS58" s="25">
        <v>22</v>
      </c>
      <c r="HT58" s="25">
        <v>0</v>
      </c>
      <c r="HU58" s="25">
        <v>0</v>
      </c>
      <c r="HV58" s="25">
        <v>0</v>
      </c>
      <c r="HW58" s="25">
        <v>0</v>
      </c>
      <c r="HX58" s="25">
        <v>0</v>
      </c>
      <c r="HY58" s="25">
        <v>0</v>
      </c>
      <c r="HZ58" s="25">
        <v>0</v>
      </c>
      <c r="IA58" s="25">
        <v>0</v>
      </c>
      <c r="IB58" s="25">
        <v>0</v>
      </c>
      <c r="IC58" s="25">
        <v>0</v>
      </c>
      <c r="ID58" s="25">
        <v>0</v>
      </c>
      <c r="IE58" s="25">
        <v>0</v>
      </c>
      <c r="IF58" s="25">
        <v>0</v>
      </c>
      <c r="IG58" s="25">
        <v>0</v>
      </c>
      <c r="IH58" s="25">
        <v>0</v>
      </c>
      <c r="II58" s="25">
        <v>0</v>
      </c>
      <c r="IJ58" s="25">
        <v>0</v>
      </c>
      <c r="IK58" s="25">
        <v>0</v>
      </c>
      <c r="IL58" s="25">
        <v>0</v>
      </c>
      <c r="IM58" s="25">
        <v>0</v>
      </c>
      <c r="IN58" s="25">
        <v>0</v>
      </c>
      <c r="IO58" s="25">
        <v>0</v>
      </c>
      <c r="IP58" s="25">
        <v>0</v>
      </c>
      <c r="IQ58" s="25">
        <v>0</v>
      </c>
      <c r="IR58" s="25">
        <v>0</v>
      </c>
      <c r="IS58" s="25">
        <v>0</v>
      </c>
      <c r="IT58" s="25">
        <v>0</v>
      </c>
      <c r="IU58" s="25">
        <v>0</v>
      </c>
      <c r="IV58" s="25">
        <v>0</v>
      </c>
      <c r="IW58" s="25">
        <v>0</v>
      </c>
      <c r="IX58" s="25">
        <v>0</v>
      </c>
      <c r="IY58" s="25">
        <v>0</v>
      </c>
      <c r="IZ58" s="25">
        <v>0</v>
      </c>
      <c r="JA58" s="25">
        <v>0</v>
      </c>
      <c r="JB58" s="25">
        <v>0</v>
      </c>
      <c r="JC58" s="25">
        <v>0</v>
      </c>
      <c r="JD58" s="25">
        <v>0</v>
      </c>
      <c r="JE58" s="25">
        <v>0</v>
      </c>
      <c r="JF58" s="25">
        <v>0</v>
      </c>
      <c r="JG58" s="25">
        <v>0</v>
      </c>
      <c r="JH58" s="25">
        <v>0</v>
      </c>
      <c r="JI58" s="25">
        <v>0</v>
      </c>
      <c r="JJ58" s="25">
        <v>0</v>
      </c>
      <c r="JK58" s="25">
        <v>0</v>
      </c>
      <c r="JL58" s="25">
        <v>0</v>
      </c>
      <c r="JM58" s="25">
        <v>0</v>
      </c>
      <c r="JN58" s="25">
        <v>0</v>
      </c>
      <c r="JO58" s="25">
        <v>0</v>
      </c>
      <c r="JP58" s="25">
        <v>0</v>
      </c>
      <c r="JQ58" s="25">
        <v>1</v>
      </c>
      <c r="JR58" s="25">
        <v>0</v>
      </c>
      <c r="JS58" s="25">
        <v>0</v>
      </c>
      <c r="JT58" s="25">
        <v>0</v>
      </c>
      <c r="JU58" s="25">
        <v>0</v>
      </c>
      <c r="JV58" s="25">
        <v>2</v>
      </c>
      <c r="JW58" s="25">
        <v>0</v>
      </c>
      <c r="JX58" s="25">
        <v>0</v>
      </c>
      <c r="JY58" s="25">
        <v>0</v>
      </c>
      <c r="JZ58" s="25">
        <v>0</v>
      </c>
      <c r="KA58" s="25">
        <v>0</v>
      </c>
      <c r="KB58" s="25">
        <v>0</v>
      </c>
      <c r="KC58" s="25">
        <v>0</v>
      </c>
      <c r="KD58" s="25">
        <v>0</v>
      </c>
      <c r="KE58" s="25">
        <v>0</v>
      </c>
      <c r="KF58" s="25">
        <v>0</v>
      </c>
      <c r="KG58" s="25">
        <v>0</v>
      </c>
      <c r="KH58" s="25">
        <v>0</v>
      </c>
      <c r="KI58" s="25">
        <v>0</v>
      </c>
      <c r="KJ58" s="25">
        <v>0</v>
      </c>
      <c r="KK58" s="25">
        <v>0</v>
      </c>
      <c r="KL58" s="25">
        <v>0</v>
      </c>
      <c r="KM58" s="25">
        <v>0</v>
      </c>
      <c r="KN58" s="25">
        <v>0</v>
      </c>
      <c r="KO58" s="25">
        <v>0</v>
      </c>
      <c r="KP58" s="25">
        <v>0</v>
      </c>
      <c r="KQ58" s="25">
        <v>0</v>
      </c>
      <c r="KR58" s="25">
        <v>0</v>
      </c>
      <c r="KS58" s="25">
        <v>0</v>
      </c>
      <c r="KT58" s="25">
        <v>0</v>
      </c>
      <c r="KU58" s="25">
        <v>0</v>
      </c>
      <c r="KV58" s="25">
        <v>0</v>
      </c>
      <c r="KW58" s="25">
        <v>0</v>
      </c>
      <c r="KX58" s="25">
        <v>0</v>
      </c>
      <c r="KY58" s="25">
        <v>0</v>
      </c>
      <c r="KZ58" s="25">
        <v>0</v>
      </c>
      <c r="LA58" s="25">
        <v>0</v>
      </c>
      <c r="LB58" s="25">
        <v>0</v>
      </c>
      <c r="LC58" s="25">
        <v>0</v>
      </c>
      <c r="LD58" s="25">
        <v>0</v>
      </c>
      <c r="LE58" s="25">
        <v>0</v>
      </c>
      <c r="LF58" s="25">
        <v>0</v>
      </c>
      <c r="LG58" s="25">
        <v>0</v>
      </c>
      <c r="LH58" s="25">
        <v>19</v>
      </c>
      <c r="LI58" s="25">
        <v>0</v>
      </c>
      <c r="LJ58" s="25">
        <v>0</v>
      </c>
      <c r="LK58" s="25">
        <v>0</v>
      </c>
      <c r="LL58" s="25">
        <v>0</v>
      </c>
      <c r="LM58" s="25">
        <v>0</v>
      </c>
      <c r="LN58" s="278">
        <f ca="1">$A58 - DeathsTimeS!Sweden100dt + 1</f>
        <v>-9</v>
      </c>
      <c r="LO58" s="366">
        <f ca="1">INDEX(OFFSET(DeathsTimeS!HeadRow,ROW()-ROW(DeathsTimeS!HeadRow),0,1,COLUMNS(DeathsTimeS!HeadRow)),1,MATCH(LO$5,DeathsTimeS!HeadRow,0))/LO$8</f>
        <v>0</v>
      </c>
      <c r="LP58" s="278">
        <f ca="1">$A58 - DeathsTimeS!Spain100dt</f>
        <v>-2</v>
      </c>
      <c r="LQ58" s="11">
        <f ca="1">INDEX(OFFSET(DeathsTimeS!HeadRow,ROW()-ROW(DeathsTimeS!HeadRow),0,1,COLUMNS(DeathsTimeS!HeadRow)),1,MATCH(LQ$5,DeathsTimeS!HeadRow,0))/LQ$8</f>
        <v>5.9650617809970177</v>
      </c>
      <c r="LR58" s="278">
        <f ca="1">$A58 - DeathsTimeS!Victoria100dt</f>
        <v>-25</v>
      </c>
      <c r="LS58" s="11">
        <f ca="1">INDEX(OFFSET(DeathsTimeS!HeadRow,ROW()-ROW(DeathsTimeS!HeadRow),0,1,COLUMNS(DeathsTimeS!HeadRow)),1,MATCH(LS$5,DeathsTimeS!HeadRow,0))/LS$8</f>
        <v>0</v>
      </c>
      <c r="LT58" s="278">
        <f ca="1">$A58 - DeathsTimeS!Iran100dt</f>
        <v>5</v>
      </c>
      <c r="LU58" s="11">
        <f ca="1">INDEX(OFFSET(DeathsTimeS!HeadRow,ROW()-ROW(DeathsTimeS!HeadRow),0,1,COLUMNS(DeathsTimeS!HeadRow)),1,MATCH(LU$5,DeathsTimeS!HeadRow,0))/LU$8</f>
        <v>28.290738065963975</v>
      </c>
      <c r="LV58" s="278">
        <f ca="1">$A58 - DeathsTimeS!Japan100dt</f>
        <v>-36</v>
      </c>
      <c r="LW58" s="11">
        <f ca="1">INDEX(OFFSET(DeathsTimeS!HeadRow,ROW()-ROW(DeathsTimeS!HeadRow),0,1,COLUMNS(DeathsTimeS!HeadRow)),1,MATCH(LW$5,DeathsTimeS!HeadRow,0))/LW$8</f>
        <v>0.79017525794856458</v>
      </c>
      <c r="LX58" s="278">
        <f ca="1">$A58 - DeathsTimeS!Queensland100dt</f>
        <v>-40</v>
      </c>
      <c r="LY58" s="11">
        <f ca="1">INDEX(OFFSET(DeathsTimeS!HeadRow,ROW()-ROW(DeathsTimeS!HeadRow),0,1,COLUMNS(DeathsTimeS!HeadRow)),1,MATCH(LY$5,DeathsTimeS!HeadRow,0))/LY$8</f>
        <v>0</v>
      </c>
      <c r="LZ58" s="278">
        <f ca="1">$A58 - DeathsTimeS!Tasmania100dt</f>
        <v>-22</v>
      </c>
      <c r="MA58" s="11">
        <f ca="1">INDEX(OFFSET(DeathsTimeS!HeadRow,ROW()-ROW(DeathsTimeS!HeadRow),0,1,COLUMNS(DeathsTimeS!HeadRow)),1,MATCH(MA$5,DeathsTimeS!HeadRow,0))/MA$8</f>
        <v>0</v>
      </c>
      <c r="MB58" s="278">
        <f ca="1">$A58 - DeathsTimeS!SouthAustralia100dt</f>
        <v>-30</v>
      </c>
      <c r="MC58" s="11">
        <f ca="1">INDEX(OFFSET(DeathsTimeS!HeadRow,ROW()-ROW(DeathsTimeS!HeadRow),0,1,COLUMNS(DeathsTimeS!HeadRow)),1,MATCH(MC$5,DeathsTimeS!HeadRow,0))/MC$8</f>
        <v>0</v>
      </c>
      <c r="MD58" s="278">
        <f ca="1">$A58 - DeathsTimeS!WesternAustralia100dt</f>
        <v>-27</v>
      </c>
      <c r="ME58" s="11">
        <f ca="1">INDEX(OFFSET(DeathsTimeS!HeadRow,ROW()-ROW(DeathsTimeS!HeadRow),0,1,COLUMNS(DeathsTimeS!HeadRow)),1,MATCH(ME$5,DeathsTimeS!HeadRow,0))/ME$8</f>
        <v>3.8624951718810348</v>
      </c>
      <c r="MF58" s="278">
        <f ca="1">$A58 - DeathsTimeS!NewSouthWales100dt</f>
        <v>-23</v>
      </c>
      <c r="MG58" s="11">
        <f ca="1">INDEX(OFFSET(DeathsTimeS!HeadRow,ROW()-ROW(DeathsTimeS!HeadRow),0,1,COLUMNS(DeathsTimeS!HeadRow)),1,MATCH(MG$5,DeathsTimeS!HeadRow,0))/MG$8</f>
        <v>2.4752475247524752</v>
      </c>
      <c r="MH58" s="278">
        <f ca="1">$A58 - DeathsTimeS!NewYork100dt</f>
        <v>-7</v>
      </c>
      <c r="MI58" s="11">
        <f ca="1">INDEX(OFFSET(DeathsTimeS!HeadRow,ROW()-ROW(DeathsTimeS!HeadRow),0,1,COLUMNS(DeathsTimeS!HeadRow)),1,MATCH(MI$5,DeathsTimeS!HeadRow,0))/MI$8</f>
        <v>0</v>
      </c>
      <c r="MJ58" s="278">
        <f ca="1">$A58 - DeathsTimeS!Italy100dt</f>
        <v>6</v>
      </c>
      <c r="MK58" s="20">
        <f ca="1">INDEX(OFFSET(DeathsTimeS!HeadRow,ROW()-ROW(DeathsTimeS!HeadRow),0,1,COLUMNS(DeathsTimeS!HeadRow)),1,MATCH(MK$5,DeathsTimeS!HeadRow,0))/MK$8</f>
        <v>76.547904439117133</v>
      </c>
      <c r="ML58" s="278">
        <f ca="1">$A58 - DeathsTimeS!AustralianCapitalTerritory100dt</f>
        <v>-21</v>
      </c>
      <c r="MM58" s="11">
        <f ca="1">INDEX(OFFSET(DeathsTimeS!HeadRow,ROW()-ROW(DeathsTimeS!HeadRow),0,1,COLUMNS(DeathsTimeS!HeadRow)),1,MATCH(MM$5,DeathsTimeS!HeadRow,0))/MM$8</f>
        <v>0</v>
      </c>
      <c r="MN58" s="278">
        <f ca="1">IF(DeathsTimeS!NorthernTerritory100dt&gt;0,$A58 - DeathsTimeS!NorthernTerritory100dt,"")</f>
        <v>-49</v>
      </c>
      <c r="MO58" s="11">
        <f ca="1">INDEX(OFFSET(DeathsTimeS!HeadRow,ROW()-ROW(DeathsTimeS!HeadRow),0,1,COLUMNS(DeathsTimeS!HeadRow)),1,MATCH(MO$5,DeathsTimeS!HeadRow,0))/MO$8</f>
        <v>0</v>
      </c>
      <c r="MP58" s="278">
        <f ca="1">$A58 - DeathsTimeS!SouthAfrica100dt + 1</f>
        <v>-41</v>
      </c>
      <c r="MQ58" s="20">
        <f ca="1">INDEX(OFFSET(DeathsTimeS!HeadRow,ROW()-ROW(DeathsTimeS!HeadRow),0,1,COLUMNS(DeathsTimeS!HeadRow)),1,MATCH(MQ$5,DeathsTimeS!HeadRow,0))/MQ$8</f>
        <v>0</v>
      </c>
      <c r="MR58" s="278">
        <f ca="1">$A58 - DeathsTimeS!Germany100dt + 1</f>
        <v>-11</v>
      </c>
      <c r="MS58" s="20">
        <f ca="1">INDEX(OFFSET(DeathsTimeS!HeadRow,ROW()-ROW(DeathsTimeS!HeadRow),0,1,COLUMNS(DeathsTimeS!HeadRow)),1,MATCH(MS$5,DeathsTimeS!HeadRow,0))/MS$8</f>
        <v>0.24090580582992052</v>
      </c>
      <c r="MT58" s="278">
        <f ca="1">$A58 - DeathsTimeS!Ireland100dt + 1</f>
        <v>-13</v>
      </c>
      <c r="MU58" s="73">
        <f ca="1">INDEX(OFFSET(DeathsTimeS!HeadRow,ROW()-ROW(DeathsTimeS!HeadRow),0,1,COLUMNS(DeathsTimeS!HeadRow)),1,MATCH(MU$5,DeathsTimeS!HeadRow,0))/MU$8</f>
        <v>0</v>
      </c>
      <c r="MV58" s="278">
        <f ca="1">$A58 - DeathsTimeS!UnitedKingdom100dt + 1</f>
        <v>-7</v>
      </c>
      <c r="MW58" s="73">
        <f ca="1">INDEX(OFFSET(DeathsTimeS!HeadRow,ROW()-ROW(DeathsTimeS!HeadRow),0,1,COLUMNS(DeathsTimeS!HeadRow)),1,MATCH(MW$5,DeathsTimeS!HeadRow,0))/MW$8</f>
        <v>0.45153521974714028</v>
      </c>
      <c r="MX58" s="278">
        <f ca="1">$A58 - DeathsTimeS!Denmark100dt + 1</f>
        <v>-9</v>
      </c>
      <c r="MY58" s="73">
        <f ca="1">INDEX(OFFSET(DeathsTimeS!HeadRow,ROW()-ROW(DeathsTimeS!HeadRow),0,1,COLUMNS(DeathsTimeS!HeadRow)),1,MATCH(MY$5,DeathsTimeS!HeadRow,0))/MY$8</f>
        <v>0</v>
      </c>
      <c r="MZ58" s="278">
        <f ca="1">$A58 - DeathsTimeS!US100dt + 1</f>
        <v>-10</v>
      </c>
      <c r="NA58" s="73">
        <f ca="1">INDEX(OFFSET(DeathsTimeS!HeadRow,ROW()-ROW(DeathsTimeS!HeadRow),0,1,COLUMNS(DeathsTimeS!HeadRow)),1,MATCH(NA$5,DeathsTimeS!HeadRow,0))/NA$8</f>
        <v>0.66823043523190784</v>
      </c>
      <c r="NB58" s="278">
        <f ca="1">$A58 - DeathsTimeS!AustraliaSum100dt + 1</f>
        <v>-16</v>
      </c>
      <c r="NC58" s="366">
        <f t="shared" si="6"/>
        <v>3</v>
      </c>
      <c r="ND58" s="278">
        <f ca="1">$A58 - DeathsTimeS!Taiwan100dt + 1</f>
        <v>-48</v>
      </c>
      <c r="NE58" s="366">
        <f ca="1">INDEX(OFFSET(DeathsTimeS!HeadRow,ROW()-ROW(DeathsTimeS!HeadRow),0,1,COLUMNS(DeathsTimeS!HeadRow)),1,MATCH(NE$5,DeathsTimeS!HeadRow,0))/NE$8</f>
        <v>0.4200395492437986</v>
      </c>
      <c r="NF58" s="278">
        <f ca="1">$A58 - DeathsTimeS!Hubei100dt + 1</f>
        <v>43</v>
      </c>
      <c r="NG58" s="366">
        <f ca="1">INDEX(OFFSET(DeathsTimeS!HeadRow,ROW()-ROW(DeathsTimeS!HeadRow),0,1,COLUMNS(DeathsTimeS!HeadRow)),1,MATCH(NG$5,DeathsTimeS!HeadRow,0))/NG$8</f>
        <v>514.18803418803418</v>
      </c>
      <c r="NH58" s="278">
        <f ca="1">$A58 - DeathsTimeS!HongKong100dt + 1</f>
        <v>-48</v>
      </c>
      <c r="NI58" s="366">
        <f ca="1">INDEX(OFFSET(DeathsTimeS!HeadRow,ROW()-ROW(DeathsTimeS!HeadRow),0,1,COLUMNS(DeathsTimeS!HeadRow)),1,MATCH(NI$5,DeathsTimeS!HeadRow,0))/NI$8</f>
        <v>4.0263051939337</v>
      </c>
    </row>
    <row r="59" spans="1:373" x14ac:dyDescent="0.25">
      <c r="A59" s="156">
        <v>43900</v>
      </c>
      <c r="B59" s="25">
        <v>0</v>
      </c>
      <c r="C59" s="25">
        <v>0</v>
      </c>
      <c r="D59" s="25">
        <v>0</v>
      </c>
      <c r="E59" s="25">
        <v>0</v>
      </c>
      <c r="F59" s="25">
        <v>0</v>
      </c>
      <c r="G59" s="25">
        <v>0</v>
      </c>
      <c r="H59" s="25">
        <v>1</v>
      </c>
      <c r="I59" s="25">
        <v>0</v>
      </c>
      <c r="J59" s="25">
        <v>0</v>
      </c>
      <c r="K59" s="25">
        <v>2</v>
      </c>
      <c r="L59" s="25">
        <v>0</v>
      </c>
      <c r="M59" s="25">
        <v>0</v>
      </c>
      <c r="N59" s="25">
        <v>0</v>
      </c>
      <c r="O59" s="25">
        <v>0</v>
      </c>
      <c r="P59" s="25">
        <v>0</v>
      </c>
      <c r="Q59" s="25">
        <v>1</v>
      </c>
      <c r="R59" s="25">
        <v>0</v>
      </c>
      <c r="S59" s="25">
        <v>0</v>
      </c>
      <c r="T59" s="25">
        <v>0</v>
      </c>
      <c r="U59" s="25">
        <v>0</v>
      </c>
      <c r="V59" s="25">
        <v>0</v>
      </c>
      <c r="W59" s="25">
        <v>0</v>
      </c>
      <c r="X59" s="25">
        <v>0</v>
      </c>
      <c r="Y59" s="25">
        <v>0</v>
      </c>
      <c r="Z59" s="25">
        <v>0</v>
      </c>
      <c r="AA59" s="25">
        <v>0</v>
      </c>
      <c r="AB59" s="25">
        <v>0</v>
      </c>
      <c r="AC59" s="25">
        <v>0</v>
      </c>
      <c r="AD59" s="25">
        <v>0</v>
      </c>
      <c r="AE59" s="25">
        <v>0</v>
      </c>
      <c r="AF59" s="25">
        <v>0</v>
      </c>
      <c r="AG59" s="25">
        <v>0</v>
      </c>
      <c r="AH59" s="25">
        <v>0</v>
      </c>
      <c r="AI59" s="25">
        <v>0</v>
      </c>
      <c r="AJ59" s="25">
        <v>0</v>
      </c>
      <c r="AK59" s="25">
        <v>0</v>
      </c>
      <c r="AL59" s="25">
        <v>1</v>
      </c>
      <c r="AM59" s="25">
        <v>0</v>
      </c>
      <c r="AN59" s="25">
        <v>0</v>
      </c>
      <c r="AO59" s="25">
        <v>0</v>
      </c>
      <c r="AP59" s="25">
        <v>0</v>
      </c>
      <c r="AQ59" s="25">
        <v>0</v>
      </c>
      <c r="AR59" s="25">
        <v>0</v>
      </c>
      <c r="AS59" s="25">
        <v>0</v>
      </c>
      <c r="AT59" s="25">
        <v>0</v>
      </c>
      <c r="AU59" s="25">
        <v>0</v>
      </c>
      <c r="AV59" s="25">
        <v>0</v>
      </c>
      <c r="AW59" s="25">
        <v>0</v>
      </c>
      <c r="AX59" s="25">
        <v>0</v>
      </c>
      <c r="AY59" s="25">
        <v>6</v>
      </c>
      <c r="AZ59" s="25">
        <v>8</v>
      </c>
      <c r="BA59" s="25">
        <v>6</v>
      </c>
      <c r="BB59" s="25">
        <v>1</v>
      </c>
      <c r="BC59" s="25">
        <v>2</v>
      </c>
      <c r="BD59" s="25">
        <v>8</v>
      </c>
      <c r="BE59" s="25">
        <v>2</v>
      </c>
      <c r="BF59" s="25">
        <v>2</v>
      </c>
      <c r="BG59" s="25">
        <v>6</v>
      </c>
      <c r="BH59" s="25">
        <v>6</v>
      </c>
      <c r="BI59" s="25">
        <v>13</v>
      </c>
      <c r="BJ59" s="25">
        <v>22</v>
      </c>
      <c r="BK59" s="25">
        <v>3</v>
      </c>
      <c r="BL59" s="25">
        <v>3024</v>
      </c>
      <c r="BM59" s="25">
        <v>4</v>
      </c>
      <c r="BN59" s="25">
        <v>1</v>
      </c>
      <c r="BO59" s="25">
        <v>0</v>
      </c>
      <c r="BP59" s="25">
        <v>1</v>
      </c>
      <c r="BQ59" s="25">
        <v>1</v>
      </c>
      <c r="BR59" s="25">
        <v>1</v>
      </c>
      <c r="BS59" s="25">
        <v>0</v>
      </c>
      <c r="BT59" s="25">
        <v>0</v>
      </c>
      <c r="BU59" s="25">
        <v>0</v>
      </c>
      <c r="BV59" s="25">
        <v>1</v>
      </c>
      <c r="BW59" s="25">
        <v>6</v>
      </c>
      <c r="BX59" s="25">
        <v>3</v>
      </c>
      <c r="BY59" s="25">
        <v>0</v>
      </c>
      <c r="BZ59" s="25">
        <v>3</v>
      </c>
      <c r="CA59" s="25">
        <v>3</v>
      </c>
      <c r="CB59" s="25">
        <v>0</v>
      </c>
      <c r="CC59" s="25">
        <v>3</v>
      </c>
      <c r="CD59" s="25">
        <v>2</v>
      </c>
      <c r="CE59" s="25">
        <v>1</v>
      </c>
      <c r="CF59" s="25">
        <v>0</v>
      </c>
      <c r="CG59" s="25">
        <v>0</v>
      </c>
      <c r="CH59" s="25">
        <v>0</v>
      </c>
      <c r="CI59" s="25">
        <v>0</v>
      </c>
      <c r="CJ59" s="25">
        <v>0</v>
      </c>
      <c r="CK59" s="25">
        <v>0</v>
      </c>
      <c r="CL59" s="25">
        <v>6</v>
      </c>
      <c r="CM59" s="25">
        <v>0</v>
      </c>
      <c r="CN59" s="25">
        <v>0</v>
      </c>
      <c r="CO59" s="25">
        <v>0</v>
      </c>
      <c r="CP59" s="25">
        <v>0</v>
      </c>
      <c r="CQ59" s="25">
        <v>0</v>
      </c>
      <c r="CR59" s="25">
        <v>0</v>
      </c>
      <c r="CS59" s="25">
        <v>0</v>
      </c>
      <c r="CT59" s="25">
        <v>0</v>
      </c>
      <c r="CU59" s="25">
        <v>0</v>
      </c>
      <c r="CV59" s="25">
        <v>1</v>
      </c>
      <c r="CW59" s="25">
        <v>0</v>
      </c>
      <c r="CX59" s="25">
        <v>0</v>
      </c>
      <c r="CY59" s="25">
        <v>0</v>
      </c>
      <c r="CZ59" s="25">
        <v>0</v>
      </c>
      <c r="DA59" s="25">
        <v>0</v>
      </c>
      <c r="DB59" s="25">
        <v>0</v>
      </c>
      <c r="DC59" s="25">
        <v>0</v>
      </c>
      <c r="DD59" s="25">
        <v>0</v>
      </c>
      <c r="DE59" s="25">
        <v>0</v>
      </c>
      <c r="DF59" s="25">
        <v>0</v>
      </c>
      <c r="DG59" s="25">
        <v>0</v>
      </c>
      <c r="DH59" s="25">
        <v>0</v>
      </c>
      <c r="DI59" s="25">
        <v>0</v>
      </c>
      <c r="DJ59" s="25">
        <v>0</v>
      </c>
      <c r="DK59" s="25">
        <v>0</v>
      </c>
      <c r="DL59" s="25">
        <v>0</v>
      </c>
      <c r="DM59" s="25">
        <v>0</v>
      </c>
      <c r="DN59" s="25">
        <v>33</v>
      </c>
      <c r="DO59" s="25">
        <v>0</v>
      </c>
      <c r="DP59" s="25">
        <v>0</v>
      </c>
      <c r="DQ59" s="25">
        <v>0</v>
      </c>
      <c r="DR59" s="25">
        <v>2</v>
      </c>
      <c r="DS59" s="25">
        <v>0</v>
      </c>
      <c r="DT59" s="25">
        <v>0</v>
      </c>
      <c r="DU59" s="25">
        <v>0</v>
      </c>
      <c r="DV59" s="25">
        <v>0</v>
      </c>
      <c r="DW59" s="25">
        <v>0</v>
      </c>
      <c r="DX59" s="25">
        <v>0</v>
      </c>
      <c r="DY59" s="25">
        <v>0</v>
      </c>
      <c r="DZ59" s="25">
        <v>0</v>
      </c>
      <c r="EA59" s="25">
        <v>0</v>
      </c>
      <c r="EB59" s="25">
        <v>0</v>
      </c>
      <c r="EC59" s="25">
        <v>0</v>
      </c>
      <c r="ED59" s="25">
        <v>0</v>
      </c>
      <c r="EE59" s="25">
        <v>291</v>
      </c>
      <c r="EF59" s="25">
        <v>7</v>
      </c>
      <c r="EG59" s="25">
        <v>0</v>
      </c>
      <c r="EH59" s="25">
        <v>0</v>
      </c>
      <c r="EI59" s="25">
        <v>631</v>
      </c>
      <c r="EJ59" s="25">
        <v>0</v>
      </c>
      <c r="EK59" s="25">
        <v>10</v>
      </c>
      <c r="EL59" s="25">
        <v>0</v>
      </c>
      <c r="EM59" s="25">
        <v>0</v>
      </c>
      <c r="EN59" s="25">
        <v>0</v>
      </c>
      <c r="EO59" s="25">
        <v>54</v>
      </c>
      <c r="EP59" s="25">
        <v>0</v>
      </c>
      <c r="EQ59" s="25">
        <v>0</v>
      </c>
      <c r="ER59" s="25">
        <v>0</v>
      </c>
      <c r="ES59" s="25">
        <v>1</v>
      </c>
      <c r="ET59" s="25">
        <v>0</v>
      </c>
      <c r="EU59" s="25">
        <v>0</v>
      </c>
      <c r="EV59" s="25">
        <v>0</v>
      </c>
      <c r="EW59" s="25">
        <v>0</v>
      </c>
      <c r="EX59" s="25">
        <v>0</v>
      </c>
      <c r="EY59" s="25">
        <v>0</v>
      </c>
      <c r="EZ59" s="25">
        <v>0</v>
      </c>
      <c r="FA59" s="25">
        <v>0</v>
      </c>
      <c r="FB59" s="25">
        <v>0</v>
      </c>
      <c r="FC59" s="25">
        <v>0</v>
      </c>
      <c r="FD59" s="25">
        <v>0</v>
      </c>
      <c r="FE59" s="25">
        <v>0</v>
      </c>
      <c r="FF59" s="25">
        <v>0</v>
      </c>
      <c r="FG59" s="25">
        <v>0</v>
      </c>
      <c r="FH59" s="25">
        <v>0</v>
      </c>
      <c r="FI59" s="25">
        <v>1</v>
      </c>
      <c r="FJ59" s="25">
        <v>0</v>
      </c>
      <c r="FK59" s="25">
        <v>0</v>
      </c>
      <c r="FL59" s="25">
        <v>0</v>
      </c>
      <c r="FM59" s="25">
        <v>0</v>
      </c>
      <c r="FN59" s="25">
        <v>0</v>
      </c>
      <c r="FO59" s="25">
        <v>4</v>
      </c>
      <c r="FP59" s="25">
        <v>0</v>
      </c>
      <c r="FQ59" s="25">
        <v>0</v>
      </c>
      <c r="FR59" s="25">
        <v>0</v>
      </c>
      <c r="FS59" s="25">
        <v>0</v>
      </c>
      <c r="FT59" s="25">
        <v>0</v>
      </c>
      <c r="FU59" s="25">
        <v>0</v>
      </c>
      <c r="FV59" s="25">
        <v>0</v>
      </c>
      <c r="FW59" s="25">
        <v>0</v>
      </c>
      <c r="FX59" s="25">
        <v>0</v>
      </c>
      <c r="FY59" s="25">
        <v>0</v>
      </c>
      <c r="FZ59" s="25">
        <v>0</v>
      </c>
      <c r="GA59" s="25">
        <v>0</v>
      </c>
      <c r="GB59" s="25">
        <v>1</v>
      </c>
      <c r="GC59" s="25">
        <v>0</v>
      </c>
      <c r="GD59" s="25">
        <v>0</v>
      </c>
      <c r="GE59" s="25">
        <v>0</v>
      </c>
      <c r="GF59" s="25">
        <v>0</v>
      </c>
      <c r="GG59" s="25">
        <v>0</v>
      </c>
      <c r="GH59" s="25">
        <v>0</v>
      </c>
      <c r="GI59" s="25">
        <v>0</v>
      </c>
      <c r="GJ59" s="25">
        <v>0</v>
      </c>
      <c r="GK59" s="25">
        <v>2</v>
      </c>
      <c r="GL59" s="25">
        <v>0</v>
      </c>
      <c r="GM59" s="25">
        <v>0</v>
      </c>
      <c r="GN59" s="25">
        <v>0</v>
      </c>
      <c r="GO59" s="25">
        <v>0</v>
      </c>
      <c r="GP59" s="25">
        <v>0</v>
      </c>
      <c r="GQ59" s="25">
        <v>0</v>
      </c>
      <c r="GR59" s="25">
        <v>0</v>
      </c>
      <c r="GS59" s="25">
        <v>0</v>
      </c>
      <c r="GT59" s="25">
        <v>0</v>
      </c>
      <c r="GU59" s="25">
        <v>35</v>
      </c>
      <c r="GV59" s="25">
        <v>0</v>
      </c>
      <c r="GW59" s="25">
        <v>0</v>
      </c>
      <c r="GX59" s="25">
        <v>0</v>
      </c>
      <c r="GY59" s="46">
        <v>0</v>
      </c>
      <c r="GZ59" s="25">
        <v>3</v>
      </c>
      <c r="HA59" s="25">
        <v>1</v>
      </c>
      <c r="HB59" s="25">
        <v>0</v>
      </c>
      <c r="HC59" s="25">
        <v>1</v>
      </c>
      <c r="HD59" s="25">
        <v>0</v>
      </c>
      <c r="HE59" s="25">
        <v>0</v>
      </c>
      <c r="HF59" s="25">
        <v>0</v>
      </c>
      <c r="HG59" s="25">
        <v>0</v>
      </c>
      <c r="HH59" s="25">
        <v>0</v>
      </c>
      <c r="HI59" s="25">
        <v>0</v>
      </c>
      <c r="HJ59" s="25">
        <v>0</v>
      </c>
      <c r="HK59" s="25">
        <v>0</v>
      </c>
      <c r="HL59" s="25">
        <v>0</v>
      </c>
      <c r="HM59" s="25">
        <v>0</v>
      </c>
      <c r="HN59" s="25">
        <v>0</v>
      </c>
      <c r="HO59" s="25">
        <v>0</v>
      </c>
      <c r="HP59" s="25">
        <v>0</v>
      </c>
      <c r="HQ59" s="25">
        <v>7</v>
      </c>
      <c r="HR59" s="25">
        <v>0</v>
      </c>
      <c r="HS59" s="25">
        <v>28</v>
      </c>
      <c r="HT59" s="25">
        <v>0</v>
      </c>
      <c r="HU59" s="25">
        <v>0</v>
      </c>
      <c r="HV59" s="25">
        <v>0</v>
      </c>
      <c r="HW59" s="25">
        <v>0</v>
      </c>
      <c r="HX59" s="25">
        <v>0</v>
      </c>
      <c r="HY59" s="25">
        <v>0</v>
      </c>
      <c r="HZ59" s="25">
        <v>0</v>
      </c>
      <c r="IA59" s="25">
        <v>0</v>
      </c>
      <c r="IB59" s="25">
        <v>0</v>
      </c>
      <c r="IC59" s="25">
        <v>0</v>
      </c>
      <c r="ID59" s="25">
        <v>0</v>
      </c>
      <c r="IE59" s="25">
        <v>0</v>
      </c>
      <c r="IF59" s="25">
        <v>0</v>
      </c>
      <c r="IG59" s="25">
        <v>0</v>
      </c>
      <c r="IH59" s="25">
        <v>0</v>
      </c>
      <c r="II59" s="25">
        <v>0</v>
      </c>
      <c r="IJ59" s="25">
        <v>0</v>
      </c>
      <c r="IK59" s="25">
        <v>0</v>
      </c>
      <c r="IL59" s="25">
        <v>0</v>
      </c>
      <c r="IM59" s="25">
        <v>0</v>
      </c>
      <c r="IN59" s="25">
        <v>0</v>
      </c>
      <c r="IO59" s="25">
        <v>0</v>
      </c>
      <c r="IP59" s="25">
        <v>0</v>
      </c>
      <c r="IQ59" s="25">
        <v>0</v>
      </c>
      <c r="IR59" s="25">
        <v>0</v>
      </c>
      <c r="IS59" s="25">
        <v>0</v>
      </c>
      <c r="IT59" s="25">
        <v>0</v>
      </c>
      <c r="IU59" s="25">
        <v>0</v>
      </c>
      <c r="IV59" s="25">
        <v>0</v>
      </c>
      <c r="IW59" s="25">
        <v>0</v>
      </c>
      <c r="IX59" s="25">
        <v>0</v>
      </c>
      <c r="IY59" s="25">
        <v>0</v>
      </c>
      <c r="IZ59" s="25">
        <v>0</v>
      </c>
      <c r="JA59" s="25">
        <v>0</v>
      </c>
      <c r="JB59" s="25">
        <v>0</v>
      </c>
      <c r="JC59" s="25">
        <v>0</v>
      </c>
      <c r="JD59" s="25">
        <v>0</v>
      </c>
      <c r="JE59" s="25">
        <v>0</v>
      </c>
      <c r="JF59" s="25">
        <v>0</v>
      </c>
      <c r="JG59" s="25">
        <v>0</v>
      </c>
      <c r="JH59" s="25">
        <v>0</v>
      </c>
      <c r="JI59" s="25">
        <v>0</v>
      </c>
      <c r="JJ59" s="25">
        <v>0</v>
      </c>
      <c r="JK59" s="25">
        <v>0</v>
      </c>
      <c r="JL59" s="25">
        <v>0</v>
      </c>
      <c r="JM59" s="25">
        <v>0</v>
      </c>
      <c r="JN59" s="25">
        <v>0</v>
      </c>
      <c r="JO59" s="25">
        <v>0</v>
      </c>
      <c r="JP59" s="25">
        <v>0</v>
      </c>
      <c r="JQ59" s="25">
        <v>2</v>
      </c>
      <c r="JR59" s="25">
        <v>0</v>
      </c>
      <c r="JS59" s="25">
        <v>0</v>
      </c>
      <c r="JT59" s="25">
        <v>0</v>
      </c>
      <c r="JU59" s="25">
        <v>0</v>
      </c>
      <c r="JV59" s="25">
        <v>2</v>
      </c>
      <c r="JW59" s="25">
        <v>0</v>
      </c>
      <c r="JX59" s="25">
        <v>0</v>
      </c>
      <c r="JY59" s="25">
        <v>0</v>
      </c>
      <c r="JZ59" s="25">
        <v>0</v>
      </c>
      <c r="KA59" s="25">
        <v>0</v>
      </c>
      <c r="KB59" s="25">
        <v>0</v>
      </c>
      <c r="KC59" s="25">
        <v>0</v>
      </c>
      <c r="KD59" s="25">
        <v>0</v>
      </c>
      <c r="KE59" s="25">
        <v>0</v>
      </c>
      <c r="KF59" s="25">
        <v>0</v>
      </c>
      <c r="KG59" s="25">
        <v>0</v>
      </c>
      <c r="KH59" s="25">
        <v>0</v>
      </c>
      <c r="KI59" s="25">
        <v>0</v>
      </c>
      <c r="KJ59" s="25">
        <v>0</v>
      </c>
      <c r="KK59" s="25">
        <v>0</v>
      </c>
      <c r="KL59" s="25">
        <v>0</v>
      </c>
      <c r="KM59" s="25">
        <v>0</v>
      </c>
      <c r="KN59" s="25">
        <v>0</v>
      </c>
      <c r="KO59" s="25">
        <v>0</v>
      </c>
      <c r="KP59" s="25">
        <v>0</v>
      </c>
      <c r="KQ59" s="25">
        <v>1</v>
      </c>
      <c r="KR59" s="25">
        <v>0</v>
      </c>
      <c r="KS59" s="25">
        <v>0</v>
      </c>
      <c r="KT59" s="25">
        <v>0</v>
      </c>
      <c r="KU59" s="25">
        <v>0</v>
      </c>
      <c r="KV59" s="25">
        <v>0</v>
      </c>
      <c r="KW59" s="25">
        <v>0</v>
      </c>
      <c r="KX59" s="25">
        <v>0</v>
      </c>
      <c r="KY59" s="25">
        <v>0</v>
      </c>
      <c r="KZ59" s="25">
        <v>0</v>
      </c>
      <c r="LA59" s="25">
        <v>0</v>
      </c>
      <c r="LB59" s="25">
        <v>0</v>
      </c>
      <c r="LC59" s="25">
        <v>0</v>
      </c>
      <c r="LD59" s="25">
        <v>0</v>
      </c>
      <c r="LE59" s="25">
        <v>0</v>
      </c>
      <c r="LF59" s="25">
        <v>0</v>
      </c>
      <c r="LG59" s="25">
        <v>0</v>
      </c>
      <c r="LH59" s="25">
        <v>23</v>
      </c>
      <c r="LI59" s="25">
        <v>0</v>
      </c>
      <c r="LJ59" s="25">
        <v>0</v>
      </c>
      <c r="LK59" s="25">
        <v>0</v>
      </c>
      <c r="LL59" s="25">
        <v>0</v>
      </c>
      <c r="LM59" s="25">
        <v>0</v>
      </c>
      <c r="LN59" s="278">
        <f ca="1">$A59 - DeathsTimeS!Sweden100dt + 1</f>
        <v>-8</v>
      </c>
      <c r="LO59" s="366">
        <f ca="1">INDEX(OFFSET(DeathsTimeS!HeadRow,ROW()-ROW(DeathsTimeS!HeadRow),0,1,COLUMNS(DeathsTimeS!HeadRow)),1,MATCH(LO$5,DeathsTimeS!HeadRow,0))/LO$8</f>
        <v>0</v>
      </c>
      <c r="LP59" s="278">
        <f ca="1">$A59 - DeathsTimeS!Spain100dt</f>
        <v>-1</v>
      </c>
      <c r="LQ59" s="11">
        <f ca="1">INDEX(OFFSET(DeathsTimeS!HeadRow,ROW()-ROW(DeathsTimeS!HeadRow),0,1,COLUMNS(DeathsTimeS!HeadRow)),1,MATCH(LQ$5,DeathsTimeS!HeadRow,0))/LQ$8</f>
        <v>7.4563272262462723</v>
      </c>
      <c r="LR59" s="278">
        <f ca="1">$A59 - DeathsTimeS!Victoria100dt</f>
        <v>-24</v>
      </c>
      <c r="LS59" s="11">
        <f ca="1">INDEX(OFFSET(DeathsTimeS!HeadRow,ROW()-ROW(DeathsTimeS!HeadRow),0,1,COLUMNS(DeathsTimeS!HeadRow)),1,MATCH(LS$5,DeathsTimeS!HeadRow,0))/LS$8</f>
        <v>0</v>
      </c>
      <c r="LT59" s="278">
        <f ca="1">$A59 - DeathsTimeS!Iran100dt</f>
        <v>6</v>
      </c>
      <c r="LU59" s="11">
        <f ca="1">INDEX(OFFSET(DeathsTimeS!HeadRow,ROW()-ROW(DeathsTimeS!HeadRow),0,1,COLUMNS(DeathsTimeS!HeadRow)),1,MATCH(LU$5,DeathsTimeS!HeadRow,0))/LU$8</f>
        <v>34.736729017702601</v>
      </c>
      <c r="LV59" s="278">
        <f ca="1">$A59 - DeathsTimeS!Japan100dt</f>
        <v>-35</v>
      </c>
      <c r="LW59" s="11">
        <f ca="1">INDEX(OFFSET(DeathsTimeS!HeadRow,ROW()-ROW(DeathsTimeS!HeadRow),0,1,COLUMNS(DeathsTimeS!HeadRow)),1,MATCH(LW$5,DeathsTimeS!HeadRow,0))/LW$8</f>
        <v>0.79017525794856458</v>
      </c>
      <c r="LX59" s="278">
        <f ca="1">$A59 - DeathsTimeS!Queensland100dt</f>
        <v>-39</v>
      </c>
      <c r="LY59" s="11">
        <f ca="1">INDEX(OFFSET(DeathsTimeS!HeadRow,ROW()-ROW(DeathsTimeS!HeadRow),0,1,COLUMNS(DeathsTimeS!HeadRow)),1,MATCH(LY$5,DeathsTimeS!HeadRow,0))/LY$8</f>
        <v>0</v>
      </c>
      <c r="LZ59" s="278">
        <f ca="1">$A59 - DeathsTimeS!Tasmania100dt</f>
        <v>-21</v>
      </c>
      <c r="MA59" s="11">
        <f ca="1">INDEX(OFFSET(DeathsTimeS!HeadRow,ROW()-ROW(DeathsTimeS!HeadRow),0,1,COLUMNS(DeathsTimeS!HeadRow)),1,MATCH(MA$5,DeathsTimeS!HeadRow,0))/MA$8</f>
        <v>0</v>
      </c>
      <c r="MB59" s="278">
        <f ca="1">$A59 - DeathsTimeS!SouthAustralia100dt</f>
        <v>-29</v>
      </c>
      <c r="MC59" s="11">
        <f ca="1">INDEX(OFFSET(DeathsTimeS!HeadRow,ROW()-ROW(DeathsTimeS!HeadRow),0,1,COLUMNS(DeathsTimeS!HeadRow)),1,MATCH(MC$5,DeathsTimeS!HeadRow,0))/MC$8</f>
        <v>0</v>
      </c>
      <c r="MD59" s="278">
        <f ca="1">$A59 - DeathsTimeS!WesternAustralia100dt</f>
        <v>-26</v>
      </c>
      <c r="ME59" s="11">
        <f ca="1">INDEX(OFFSET(DeathsTimeS!HeadRow,ROW()-ROW(DeathsTimeS!HeadRow),0,1,COLUMNS(DeathsTimeS!HeadRow)),1,MATCH(ME$5,DeathsTimeS!HeadRow,0))/ME$8</f>
        <v>3.8624951718810348</v>
      </c>
      <c r="MF59" s="278">
        <f ca="1">$A59 - DeathsTimeS!NewSouthWales100dt</f>
        <v>-22</v>
      </c>
      <c r="MG59" s="11">
        <f ca="1">INDEX(OFFSET(DeathsTimeS!HeadRow,ROW()-ROW(DeathsTimeS!HeadRow),0,1,COLUMNS(DeathsTimeS!HeadRow)),1,MATCH(MG$5,DeathsTimeS!HeadRow,0))/MG$8</f>
        <v>2.4752475247524752</v>
      </c>
      <c r="MH59" s="278">
        <f ca="1">$A59 - DeathsTimeS!NewYork100dt</f>
        <v>-6</v>
      </c>
      <c r="MI59" s="11">
        <f ca="1">INDEX(OFFSET(DeathsTimeS!HeadRow,ROW()-ROW(DeathsTimeS!HeadRow),0,1,COLUMNS(DeathsTimeS!HeadRow)),1,MATCH(MI$5,DeathsTimeS!HeadRow,0))/MI$8</f>
        <v>0</v>
      </c>
      <c r="MJ59" s="278">
        <f ca="1">$A59 - DeathsTimeS!Italy100dt</f>
        <v>7</v>
      </c>
      <c r="MK59" s="20">
        <f ca="1">INDEX(OFFSET(DeathsTimeS!HeadRow,ROW()-ROW(DeathsTimeS!HeadRow),0,1,COLUMNS(DeathsTimeS!HeadRow)),1,MATCH(MK$5,DeathsTimeS!HeadRow,0))/MK$8</f>
        <v>104.32338596346202</v>
      </c>
      <c r="ML59" s="278">
        <f ca="1">$A59 - DeathsTimeS!AustralianCapitalTerritory100dt</f>
        <v>-20</v>
      </c>
      <c r="MM59" s="11">
        <f ca="1">INDEX(OFFSET(DeathsTimeS!HeadRow,ROW()-ROW(DeathsTimeS!HeadRow),0,1,COLUMNS(DeathsTimeS!HeadRow)),1,MATCH(MM$5,DeathsTimeS!HeadRow,0))/MM$8</f>
        <v>0</v>
      </c>
      <c r="MN59" s="278">
        <f ca="1">IF(DeathsTimeS!NorthernTerritory100dt&gt;0,$A59 - DeathsTimeS!NorthernTerritory100dt,"")</f>
        <v>-48</v>
      </c>
      <c r="MO59" s="11">
        <f ca="1">INDEX(OFFSET(DeathsTimeS!HeadRow,ROW()-ROW(DeathsTimeS!HeadRow),0,1,COLUMNS(DeathsTimeS!HeadRow)),1,MATCH(MO$5,DeathsTimeS!HeadRow,0))/MO$8</f>
        <v>0</v>
      </c>
      <c r="MP59" s="278">
        <f ca="1">$A59 - DeathsTimeS!SouthAfrica100dt + 1</f>
        <v>-40</v>
      </c>
      <c r="MQ59" s="20">
        <f ca="1">INDEX(OFFSET(DeathsTimeS!HeadRow,ROW()-ROW(DeathsTimeS!HeadRow),0,1,COLUMNS(DeathsTimeS!HeadRow)),1,MATCH(MQ$5,DeathsTimeS!HeadRow,0))/MQ$8</f>
        <v>0</v>
      </c>
      <c r="MR59" s="278">
        <f ca="1">$A59 - DeathsTimeS!Germany100dt + 1</f>
        <v>-10</v>
      </c>
      <c r="MS59" s="20">
        <f ca="1">INDEX(OFFSET(DeathsTimeS!HeadRow,ROW()-ROW(DeathsTimeS!HeadRow),0,1,COLUMNS(DeathsTimeS!HeadRow)),1,MATCH(MS$5,DeathsTimeS!HeadRow,0))/MS$8</f>
        <v>0.24090580582992052</v>
      </c>
      <c r="MT59" s="278">
        <f ca="1">$A59 - DeathsTimeS!Ireland100dt + 1</f>
        <v>-12</v>
      </c>
      <c r="MU59" s="73">
        <f ca="1">INDEX(OFFSET(DeathsTimeS!HeadRow,ROW()-ROW(DeathsTimeS!HeadRow),0,1,COLUMNS(DeathsTimeS!HeadRow)),1,MATCH(MU$5,DeathsTimeS!HeadRow,0))/MU$8</f>
        <v>0</v>
      </c>
      <c r="MV59" s="278">
        <f ca="1">$A59 - DeathsTimeS!UnitedKingdom100dt + 1</f>
        <v>-6</v>
      </c>
      <c r="MW59" s="73">
        <f ca="1">INDEX(OFFSET(DeathsTimeS!HeadRow,ROW()-ROW(DeathsTimeS!HeadRow),0,1,COLUMNS(DeathsTimeS!HeadRow)),1,MATCH(MW$5,DeathsTimeS!HeadRow,0))/MW$8</f>
        <v>1.053582179409994</v>
      </c>
      <c r="MX59" s="278">
        <f ca="1">$A59 - DeathsTimeS!Denmark100dt + 1</f>
        <v>-8</v>
      </c>
      <c r="MY59" s="73">
        <f ca="1">INDEX(OFFSET(DeathsTimeS!HeadRow,ROW()-ROW(DeathsTimeS!HeadRow),0,1,COLUMNS(DeathsTimeS!HeadRow)),1,MATCH(MY$5,DeathsTimeS!HeadRow,0))/MY$8</f>
        <v>0</v>
      </c>
      <c r="MZ59" s="278">
        <f ca="1">$A59 - DeathsTimeS!US100dt + 1</f>
        <v>-9</v>
      </c>
      <c r="NA59" s="73">
        <f ca="1">INDEX(OFFSET(DeathsTimeS!HeadRow,ROW()-ROW(DeathsTimeS!HeadRow),0,1,COLUMNS(DeathsTimeS!HeadRow)),1,MATCH(NA$5,DeathsTimeS!HeadRow,0))/NA$8</f>
        <v>0.85047509938606458</v>
      </c>
      <c r="NB59" s="278">
        <f ca="1">$A59 - DeathsTimeS!AustraliaSum100dt + 1</f>
        <v>-15</v>
      </c>
      <c r="NC59" s="366">
        <f t="shared" si="6"/>
        <v>3</v>
      </c>
      <c r="ND59" s="278">
        <f ca="1">$A59 - DeathsTimeS!Taiwan100dt + 1</f>
        <v>-47</v>
      </c>
      <c r="NE59" s="366">
        <f ca="1">INDEX(OFFSET(DeathsTimeS!HeadRow,ROW()-ROW(DeathsTimeS!HeadRow),0,1,COLUMNS(DeathsTimeS!HeadRow)),1,MATCH(NE$5,DeathsTimeS!HeadRow,0))/NE$8</f>
        <v>0.4200395492437986</v>
      </c>
      <c r="NF59" s="278">
        <f ca="1">$A59 - DeathsTimeS!Hubei100dt + 1</f>
        <v>44</v>
      </c>
      <c r="NG59" s="366">
        <f ca="1">INDEX(OFFSET(DeathsTimeS!HeadRow,ROW()-ROW(DeathsTimeS!HeadRow),0,1,COLUMNS(DeathsTimeS!HeadRow)),1,MATCH(NG$5,DeathsTimeS!HeadRow,0))/NG$8</f>
        <v>516.92307692307691</v>
      </c>
      <c r="NH59" s="278">
        <f ca="1">$A59 - DeathsTimeS!HongKong100dt + 1</f>
        <v>-47</v>
      </c>
      <c r="NI59" s="366">
        <f ca="1">INDEX(OFFSET(DeathsTimeS!HeadRow,ROW()-ROW(DeathsTimeS!HeadRow),0,1,COLUMNS(DeathsTimeS!HeadRow)),1,MATCH(NI$5,DeathsTimeS!HeadRow,0))/NI$8</f>
        <v>4.0263051939337</v>
      </c>
    </row>
    <row r="60" spans="1:373" x14ac:dyDescent="0.25">
      <c r="A60" s="156">
        <v>43901</v>
      </c>
      <c r="B60" s="25">
        <v>0</v>
      </c>
      <c r="C60" s="25">
        <v>1</v>
      </c>
      <c r="D60" s="25">
        <v>0</v>
      </c>
      <c r="E60" s="25">
        <v>0</v>
      </c>
      <c r="F60" s="25">
        <v>0</v>
      </c>
      <c r="G60" s="25">
        <v>0</v>
      </c>
      <c r="H60" s="25">
        <v>1</v>
      </c>
      <c r="I60" s="25">
        <v>0</v>
      </c>
      <c r="J60" s="25">
        <v>0</v>
      </c>
      <c r="K60" s="25">
        <v>2</v>
      </c>
      <c r="L60" s="25">
        <v>0</v>
      </c>
      <c r="M60" s="25">
        <v>0</v>
      </c>
      <c r="N60" s="25">
        <v>0</v>
      </c>
      <c r="O60" s="25">
        <v>0</v>
      </c>
      <c r="P60" s="25">
        <v>0</v>
      </c>
      <c r="Q60" s="25">
        <v>1</v>
      </c>
      <c r="R60" s="25">
        <v>0</v>
      </c>
      <c r="S60" s="25">
        <v>0</v>
      </c>
      <c r="T60" s="25">
        <v>0</v>
      </c>
      <c r="U60" s="25">
        <v>0</v>
      </c>
      <c r="V60" s="25">
        <v>0</v>
      </c>
      <c r="W60" s="25">
        <v>0</v>
      </c>
      <c r="X60" s="25">
        <v>0</v>
      </c>
      <c r="Y60" s="25">
        <v>3</v>
      </c>
      <c r="Z60" s="25">
        <v>0</v>
      </c>
      <c r="AA60" s="25">
        <v>0</v>
      </c>
      <c r="AB60" s="25">
        <v>0</v>
      </c>
      <c r="AC60" s="25">
        <v>0</v>
      </c>
      <c r="AD60" s="25">
        <v>0</v>
      </c>
      <c r="AE60" s="25">
        <v>0</v>
      </c>
      <c r="AF60" s="25">
        <v>1</v>
      </c>
      <c r="AG60" s="25">
        <v>0</v>
      </c>
      <c r="AH60" s="25">
        <v>0</v>
      </c>
      <c r="AI60" s="25">
        <v>0</v>
      </c>
      <c r="AJ60" s="25">
        <v>0</v>
      </c>
      <c r="AK60" s="25">
        <v>0</v>
      </c>
      <c r="AL60" s="25">
        <v>1</v>
      </c>
      <c r="AM60" s="25">
        <v>0</v>
      </c>
      <c r="AN60" s="25">
        <v>0</v>
      </c>
      <c r="AO60" s="25">
        <v>0</v>
      </c>
      <c r="AP60" s="25">
        <v>0</v>
      </c>
      <c r="AQ60" s="25">
        <v>0</v>
      </c>
      <c r="AR60" s="25">
        <v>0</v>
      </c>
      <c r="AS60" s="25">
        <v>0</v>
      </c>
      <c r="AT60" s="25">
        <v>0</v>
      </c>
      <c r="AU60" s="25">
        <v>0</v>
      </c>
      <c r="AV60" s="25">
        <v>0</v>
      </c>
      <c r="AW60" s="25">
        <v>0</v>
      </c>
      <c r="AX60" s="25">
        <v>0</v>
      </c>
      <c r="AY60" s="25">
        <v>6</v>
      </c>
      <c r="AZ60" s="25">
        <v>8</v>
      </c>
      <c r="BA60" s="25">
        <v>6</v>
      </c>
      <c r="BB60" s="25">
        <v>1</v>
      </c>
      <c r="BC60" s="25">
        <v>2</v>
      </c>
      <c r="BD60" s="25">
        <v>8</v>
      </c>
      <c r="BE60" s="25">
        <v>2</v>
      </c>
      <c r="BF60" s="25">
        <v>2</v>
      </c>
      <c r="BG60" s="25">
        <v>6</v>
      </c>
      <c r="BH60" s="25">
        <v>6</v>
      </c>
      <c r="BI60" s="25">
        <v>13</v>
      </c>
      <c r="BJ60" s="25">
        <v>22</v>
      </c>
      <c r="BK60" s="25">
        <v>3</v>
      </c>
      <c r="BL60" s="25">
        <v>3046</v>
      </c>
      <c r="BM60" s="25">
        <v>4</v>
      </c>
      <c r="BN60" s="25">
        <v>1</v>
      </c>
      <c r="BO60" s="25">
        <v>0</v>
      </c>
      <c r="BP60" s="25">
        <v>1</v>
      </c>
      <c r="BQ60" s="25">
        <v>1</v>
      </c>
      <c r="BR60" s="25">
        <v>1</v>
      </c>
      <c r="BS60" s="25">
        <v>0</v>
      </c>
      <c r="BT60" s="25">
        <v>0</v>
      </c>
      <c r="BU60" s="25">
        <v>0</v>
      </c>
      <c r="BV60" s="25">
        <v>1</v>
      </c>
      <c r="BW60" s="25">
        <v>6</v>
      </c>
      <c r="BX60" s="25">
        <v>3</v>
      </c>
      <c r="BY60" s="25">
        <v>0</v>
      </c>
      <c r="BZ60" s="25">
        <v>3</v>
      </c>
      <c r="CA60" s="25">
        <v>3</v>
      </c>
      <c r="CB60" s="25">
        <v>0</v>
      </c>
      <c r="CC60" s="25">
        <v>3</v>
      </c>
      <c r="CD60" s="25">
        <v>2</v>
      </c>
      <c r="CE60" s="25">
        <v>1</v>
      </c>
      <c r="CF60" s="25">
        <v>0</v>
      </c>
      <c r="CG60" s="25">
        <v>0</v>
      </c>
      <c r="CH60" s="25">
        <v>0</v>
      </c>
      <c r="CI60" s="25">
        <v>0</v>
      </c>
      <c r="CJ60" s="25">
        <v>0</v>
      </c>
      <c r="CK60" s="25">
        <v>0</v>
      </c>
      <c r="CL60" s="25">
        <v>7</v>
      </c>
      <c r="CM60" s="25">
        <v>0</v>
      </c>
      <c r="CN60" s="25">
        <v>0</v>
      </c>
      <c r="CO60" s="25">
        <v>0</v>
      </c>
      <c r="CP60" s="25">
        <v>0</v>
      </c>
      <c r="CQ60" s="25">
        <v>0</v>
      </c>
      <c r="CR60" s="25">
        <v>0</v>
      </c>
      <c r="CS60" s="25">
        <v>0</v>
      </c>
      <c r="CT60" s="25">
        <v>0</v>
      </c>
      <c r="CU60" s="25">
        <v>0</v>
      </c>
      <c r="CV60" s="25">
        <v>1</v>
      </c>
      <c r="CW60" s="25">
        <v>0</v>
      </c>
      <c r="CX60" s="25">
        <v>0</v>
      </c>
      <c r="CY60" s="25">
        <v>0</v>
      </c>
      <c r="CZ60" s="25">
        <v>0</v>
      </c>
      <c r="DA60" s="25">
        <v>0</v>
      </c>
      <c r="DB60" s="25">
        <v>0</v>
      </c>
      <c r="DC60" s="25">
        <v>0</v>
      </c>
      <c r="DD60" s="25">
        <v>0</v>
      </c>
      <c r="DE60" s="25">
        <v>0</v>
      </c>
      <c r="DF60" s="25">
        <v>0</v>
      </c>
      <c r="DG60" s="25">
        <v>0</v>
      </c>
      <c r="DH60" s="25">
        <v>0</v>
      </c>
      <c r="DI60" s="25">
        <v>0</v>
      </c>
      <c r="DJ60" s="25">
        <v>0</v>
      </c>
      <c r="DK60" s="25">
        <v>0</v>
      </c>
      <c r="DL60" s="25">
        <v>0</v>
      </c>
      <c r="DM60" s="25">
        <v>0</v>
      </c>
      <c r="DN60" s="25">
        <v>48</v>
      </c>
      <c r="DO60" s="25">
        <v>0</v>
      </c>
      <c r="DP60" s="25">
        <v>0</v>
      </c>
      <c r="DQ60" s="25">
        <v>0</v>
      </c>
      <c r="DR60" s="25">
        <v>3</v>
      </c>
      <c r="DS60" s="25">
        <v>0</v>
      </c>
      <c r="DT60" s="25">
        <v>1</v>
      </c>
      <c r="DU60" s="25">
        <v>0</v>
      </c>
      <c r="DV60" s="25">
        <v>0</v>
      </c>
      <c r="DW60" s="25">
        <v>0</v>
      </c>
      <c r="DX60" s="25">
        <v>0</v>
      </c>
      <c r="DY60" s="25">
        <v>0</v>
      </c>
      <c r="DZ60" s="25">
        <v>0</v>
      </c>
      <c r="EA60" s="25">
        <v>0</v>
      </c>
      <c r="EB60" s="25">
        <v>0</v>
      </c>
      <c r="EC60" s="25">
        <v>1</v>
      </c>
      <c r="ED60" s="25">
        <v>1</v>
      </c>
      <c r="EE60" s="25">
        <v>354</v>
      </c>
      <c r="EF60" s="25">
        <v>7</v>
      </c>
      <c r="EG60" s="25">
        <v>1</v>
      </c>
      <c r="EH60" s="25">
        <v>0</v>
      </c>
      <c r="EI60" s="25">
        <v>827</v>
      </c>
      <c r="EJ60" s="25">
        <v>0</v>
      </c>
      <c r="EK60" s="25">
        <v>15</v>
      </c>
      <c r="EL60" s="25">
        <v>0</v>
      </c>
      <c r="EM60" s="25">
        <v>0</v>
      </c>
      <c r="EN60" s="25">
        <v>0</v>
      </c>
      <c r="EO60" s="25">
        <v>60</v>
      </c>
      <c r="EP60" s="25">
        <v>0</v>
      </c>
      <c r="EQ60" s="25">
        <v>0</v>
      </c>
      <c r="ER60" s="25">
        <v>0</v>
      </c>
      <c r="ES60" s="25">
        <v>3</v>
      </c>
      <c r="ET60" s="25">
        <v>0</v>
      </c>
      <c r="EU60" s="25">
        <v>0</v>
      </c>
      <c r="EV60" s="25">
        <v>0</v>
      </c>
      <c r="EW60" s="25">
        <v>0</v>
      </c>
      <c r="EX60" s="25">
        <v>0</v>
      </c>
      <c r="EY60" s="25">
        <v>0</v>
      </c>
      <c r="EZ60" s="25">
        <v>0</v>
      </c>
      <c r="FA60" s="25">
        <v>0</v>
      </c>
      <c r="FB60" s="25">
        <v>0</v>
      </c>
      <c r="FC60" s="25">
        <v>0</v>
      </c>
      <c r="FD60" s="25">
        <v>0</v>
      </c>
      <c r="FE60" s="25">
        <v>0</v>
      </c>
      <c r="FF60" s="25">
        <v>0</v>
      </c>
      <c r="FG60" s="25">
        <v>0</v>
      </c>
      <c r="FH60" s="25">
        <v>0</v>
      </c>
      <c r="FI60" s="25">
        <v>1</v>
      </c>
      <c r="FJ60" s="25">
        <v>0</v>
      </c>
      <c r="FK60" s="25">
        <v>0</v>
      </c>
      <c r="FL60" s="25">
        <v>0</v>
      </c>
      <c r="FM60" s="25">
        <v>0</v>
      </c>
      <c r="FN60" s="25">
        <v>0</v>
      </c>
      <c r="FO60" s="25">
        <v>5</v>
      </c>
      <c r="FP60" s="25">
        <v>0</v>
      </c>
      <c r="FQ60" s="25">
        <v>0</v>
      </c>
      <c r="FR60" s="25">
        <v>0</v>
      </c>
      <c r="FS60" s="25">
        <v>0</v>
      </c>
      <c r="FT60" s="25">
        <v>0</v>
      </c>
      <c r="FU60" s="25">
        <v>0</v>
      </c>
      <c r="FV60" s="25">
        <v>0</v>
      </c>
      <c r="FW60" s="25">
        <v>0</v>
      </c>
      <c r="FX60" s="25">
        <v>1</v>
      </c>
      <c r="FY60" s="25">
        <v>0</v>
      </c>
      <c r="FZ60" s="25">
        <v>0</v>
      </c>
      <c r="GA60" s="25">
        <v>0</v>
      </c>
      <c r="GB60" s="25">
        <v>1</v>
      </c>
      <c r="GC60" s="25">
        <v>0</v>
      </c>
      <c r="GD60" s="25">
        <v>0</v>
      </c>
      <c r="GE60" s="25">
        <v>0</v>
      </c>
      <c r="GF60" s="25">
        <v>0</v>
      </c>
      <c r="GG60" s="25">
        <v>0</v>
      </c>
      <c r="GH60" s="25">
        <v>0</v>
      </c>
      <c r="GI60" s="25">
        <v>0</v>
      </c>
      <c r="GJ60" s="25">
        <v>0</v>
      </c>
      <c r="GK60" s="25">
        <v>2</v>
      </c>
      <c r="GL60" s="25">
        <v>0</v>
      </c>
      <c r="GM60" s="25">
        <v>0</v>
      </c>
      <c r="GN60" s="25">
        <v>0</v>
      </c>
      <c r="GO60" s="25">
        <v>0</v>
      </c>
      <c r="GP60" s="25">
        <v>0</v>
      </c>
      <c r="GQ60" s="25">
        <v>0</v>
      </c>
      <c r="GR60" s="25">
        <v>0</v>
      </c>
      <c r="GS60" s="25">
        <v>0</v>
      </c>
      <c r="GT60" s="25">
        <v>0</v>
      </c>
      <c r="GU60" s="25">
        <v>54</v>
      </c>
      <c r="GV60" s="25">
        <v>0</v>
      </c>
      <c r="GW60" s="25">
        <v>0</v>
      </c>
      <c r="GX60" s="25">
        <v>0</v>
      </c>
      <c r="GY60" s="46">
        <v>1</v>
      </c>
      <c r="GZ60" s="25">
        <v>4</v>
      </c>
      <c r="HA60" s="25">
        <v>1</v>
      </c>
      <c r="HB60" s="25">
        <v>0</v>
      </c>
      <c r="HC60" s="25">
        <v>1</v>
      </c>
      <c r="HD60" s="25">
        <v>0</v>
      </c>
      <c r="HE60" s="25">
        <v>0</v>
      </c>
      <c r="HF60" s="25">
        <v>0</v>
      </c>
      <c r="HG60" s="25">
        <v>0</v>
      </c>
      <c r="HH60" s="25">
        <v>0</v>
      </c>
      <c r="HI60" s="25">
        <v>0</v>
      </c>
      <c r="HJ60" s="25">
        <v>0</v>
      </c>
      <c r="HK60" s="25">
        <v>0</v>
      </c>
      <c r="HL60" s="25">
        <v>0</v>
      </c>
      <c r="HM60" s="25">
        <v>0</v>
      </c>
      <c r="HN60" s="25">
        <v>0</v>
      </c>
      <c r="HO60" s="25">
        <v>0</v>
      </c>
      <c r="HP60" s="25">
        <v>0</v>
      </c>
      <c r="HQ60" s="25">
        <v>7</v>
      </c>
      <c r="HR60" s="25">
        <v>0</v>
      </c>
      <c r="HS60" s="25">
        <v>36</v>
      </c>
      <c r="HT60" s="25">
        <v>0</v>
      </c>
      <c r="HU60" s="25">
        <v>0</v>
      </c>
      <c r="HV60" s="25">
        <v>0</v>
      </c>
      <c r="HW60" s="25">
        <v>0</v>
      </c>
      <c r="HX60" s="25">
        <v>0</v>
      </c>
      <c r="HY60" s="25">
        <v>0</v>
      </c>
      <c r="HZ60" s="25">
        <v>0</v>
      </c>
      <c r="IA60" s="25">
        <v>0</v>
      </c>
      <c r="IB60" s="25">
        <v>0</v>
      </c>
      <c r="IC60" s="25">
        <v>0</v>
      </c>
      <c r="ID60" s="25">
        <v>0</v>
      </c>
      <c r="IE60" s="25">
        <v>0</v>
      </c>
      <c r="IF60" s="25">
        <v>0</v>
      </c>
      <c r="IG60" s="25">
        <v>0</v>
      </c>
      <c r="IH60" s="25">
        <v>0</v>
      </c>
      <c r="II60" s="25">
        <v>0</v>
      </c>
      <c r="IJ60" s="25">
        <v>0</v>
      </c>
      <c r="IK60" s="25">
        <v>0</v>
      </c>
      <c r="IL60" s="25">
        <v>0</v>
      </c>
      <c r="IM60" s="25">
        <v>0</v>
      </c>
      <c r="IN60" s="25">
        <v>0</v>
      </c>
      <c r="IO60" s="25">
        <v>0</v>
      </c>
      <c r="IP60" s="25">
        <v>0</v>
      </c>
      <c r="IQ60" s="25">
        <v>0</v>
      </c>
      <c r="IR60" s="25">
        <v>0</v>
      </c>
      <c r="IS60" s="25">
        <v>0</v>
      </c>
      <c r="IT60" s="25">
        <v>0</v>
      </c>
      <c r="IU60" s="25">
        <v>0</v>
      </c>
      <c r="IV60" s="25">
        <v>0</v>
      </c>
      <c r="IW60" s="25">
        <v>0</v>
      </c>
      <c r="IX60" s="25">
        <v>0</v>
      </c>
      <c r="IY60" s="25">
        <v>0</v>
      </c>
      <c r="IZ60" s="25">
        <v>0</v>
      </c>
      <c r="JA60" s="25">
        <v>0</v>
      </c>
      <c r="JB60" s="25">
        <v>0</v>
      </c>
      <c r="JC60" s="25">
        <v>0</v>
      </c>
      <c r="JD60" s="25">
        <v>0</v>
      </c>
      <c r="JE60" s="25">
        <v>0</v>
      </c>
      <c r="JF60" s="25">
        <v>0</v>
      </c>
      <c r="JG60" s="25">
        <v>0</v>
      </c>
      <c r="JH60" s="25">
        <v>0</v>
      </c>
      <c r="JI60" s="25">
        <v>0</v>
      </c>
      <c r="JJ60" s="25">
        <v>0</v>
      </c>
      <c r="JK60" s="25">
        <v>0</v>
      </c>
      <c r="JL60" s="25">
        <v>0</v>
      </c>
      <c r="JM60" s="25">
        <v>0</v>
      </c>
      <c r="JN60" s="25">
        <v>0</v>
      </c>
      <c r="JO60" s="25">
        <v>0</v>
      </c>
      <c r="JP60" s="25">
        <v>0</v>
      </c>
      <c r="JQ60" s="25">
        <v>4</v>
      </c>
      <c r="JR60" s="25">
        <v>0</v>
      </c>
      <c r="JS60" s="25">
        <v>0</v>
      </c>
      <c r="JT60" s="25">
        <v>0</v>
      </c>
      <c r="JU60" s="25">
        <v>0</v>
      </c>
      <c r="JV60" s="25">
        <v>2</v>
      </c>
      <c r="JW60" s="25">
        <v>0</v>
      </c>
      <c r="JX60" s="25">
        <v>0</v>
      </c>
      <c r="JY60" s="25">
        <v>0</v>
      </c>
      <c r="JZ60" s="25">
        <v>0</v>
      </c>
      <c r="KA60" s="25">
        <v>0</v>
      </c>
      <c r="KB60" s="25">
        <v>0</v>
      </c>
      <c r="KC60" s="25">
        <v>0</v>
      </c>
      <c r="KD60" s="25">
        <v>0</v>
      </c>
      <c r="KE60" s="25">
        <v>0</v>
      </c>
      <c r="KF60" s="25">
        <v>0</v>
      </c>
      <c r="KG60" s="25">
        <v>0</v>
      </c>
      <c r="KH60" s="25">
        <v>0</v>
      </c>
      <c r="KI60" s="25">
        <v>0</v>
      </c>
      <c r="KJ60" s="25">
        <v>0</v>
      </c>
      <c r="KK60" s="25">
        <v>0</v>
      </c>
      <c r="KL60" s="25">
        <v>0</v>
      </c>
      <c r="KM60" s="25">
        <v>0</v>
      </c>
      <c r="KN60" s="25">
        <v>0</v>
      </c>
      <c r="KO60" s="25">
        <v>0</v>
      </c>
      <c r="KP60" s="25">
        <v>0</v>
      </c>
      <c r="KQ60" s="25">
        <v>1</v>
      </c>
      <c r="KR60" s="25">
        <v>0</v>
      </c>
      <c r="KS60" s="25">
        <v>0</v>
      </c>
      <c r="KT60" s="25">
        <v>0</v>
      </c>
      <c r="KU60" s="25">
        <v>0</v>
      </c>
      <c r="KV60" s="25">
        <v>0</v>
      </c>
      <c r="KW60" s="25">
        <v>0</v>
      </c>
      <c r="KX60" s="25">
        <v>0</v>
      </c>
      <c r="KY60" s="25">
        <v>0</v>
      </c>
      <c r="KZ60" s="25">
        <v>0</v>
      </c>
      <c r="LA60" s="25">
        <v>0</v>
      </c>
      <c r="LB60" s="25">
        <v>1</v>
      </c>
      <c r="LC60" s="25">
        <v>0</v>
      </c>
      <c r="LD60" s="25">
        <v>0</v>
      </c>
      <c r="LE60" s="25">
        <v>0</v>
      </c>
      <c r="LF60" s="25">
        <v>0</v>
      </c>
      <c r="LG60" s="25">
        <v>0</v>
      </c>
      <c r="LH60" s="25">
        <v>24</v>
      </c>
      <c r="LI60" s="25">
        <v>0</v>
      </c>
      <c r="LJ60" s="25">
        <v>0</v>
      </c>
      <c r="LK60" s="25">
        <v>0</v>
      </c>
      <c r="LL60" s="25">
        <v>0</v>
      </c>
      <c r="LM60" s="25">
        <v>0</v>
      </c>
      <c r="LN60" s="278">
        <f ca="1">$A60 - DeathsTimeS!Sweden100dt + 1</f>
        <v>-7</v>
      </c>
      <c r="LO60" s="366">
        <f ca="1">INDEX(OFFSET(DeathsTimeS!HeadRow,ROW()-ROW(DeathsTimeS!HeadRow),0,1,COLUMNS(DeathsTimeS!HeadRow)),1,MATCH(LO$5,DeathsTimeS!HeadRow,0))/LO$8</f>
        <v>0.97751710654936474</v>
      </c>
      <c r="LP60" s="278">
        <f ca="1">$A60 - DeathsTimeS!Spain100dt</f>
        <v>0</v>
      </c>
      <c r="LQ60" s="11">
        <f ca="1">INDEX(OFFSET(DeathsTimeS!HeadRow,ROW()-ROW(DeathsTimeS!HeadRow),0,1,COLUMNS(DeathsTimeS!HeadRow)),1,MATCH(LQ$5,DeathsTimeS!HeadRow,0))/LQ$8</f>
        <v>11.504047720494247</v>
      </c>
      <c r="LR60" s="278">
        <f ca="1">$A60 - DeathsTimeS!Victoria100dt</f>
        <v>-23</v>
      </c>
      <c r="LS60" s="11">
        <f ca="1">INDEX(OFFSET(DeathsTimeS!HeadRow,ROW()-ROW(DeathsTimeS!HeadRow),0,1,COLUMNS(DeathsTimeS!HeadRow)),1,MATCH(LS$5,DeathsTimeS!HeadRow,0))/LS$8</f>
        <v>0</v>
      </c>
      <c r="LT60" s="278">
        <f ca="1">$A60 - DeathsTimeS!Iran100dt</f>
        <v>7</v>
      </c>
      <c r="LU60" s="11">
        <f ca="1">INDEX(OFFSET(DeathsTimeS!HeadRow,ROW()-ROW(DeathsTimeS!HeadRow),0,1,COLUMNS(DeathsTimeS!HeadRow)),1,MATCH(LU$5,DeathsTimeS!HeadRow,0))/LU$8</f>
        <v>42.257051794730998</v>
      </c>
      <c r="LV60" s="278">
        <f ca="1">$A60 - DeathsTimeS!Japan100dt</f>
        <v>-34</v>
      </c>
      <c r="LW60" s="11">
        <f ca="1">INDEX(OFFSET(DeathsTimeS!HeadRow,ROW()-ROW(DeathsTimeS!HeadRow),0,1,COLUMNS(DeathsTimeS!HeadRow)),1,MATCH(LW$5,DeathsTimeS!HeadRow,0))/LW$8</f>
        <v>1.1852628869228468</v>
      </c>
      <c r="LX60" s="278">
        <f ca="1">$A60 - DeathsTimeS!Queensland100dt</f>
        <v>-38</v>
      </c>
      <c r="LY60" s="11">
        <f ca="1">INDEX(OFFSET(DeathsTimeS!HeadRow,ROW()-ROW(DeathsTimeS!HeadRow),0,1,COLUMNS(DeathsTimeS!HeadRow)),1,MATCH(LY$5,DeathsTimeS!HeadRow,0))/LY$8</f>
        <v>0</v>
      </c>
      <c r="LZ60" s="278">
        <f ca="1">$A60 - DeathsTimeS!Tasmania100dt</f>
        <v>-20</v>
      </c>
      <c r="MA60" s="11">
        <f ca="1">INDEX(OFFSET(DeathsTimeS!HeadRow,ROW()-ROW(DeathsTimeS!HeadRow),0,1,COLUMNS(DeathsTimeS!HeadRow)),1,MATCH(MA$5,DeathsTimeS!HeadRow,0))/MA$8</f>
        <v>0</v>
      </c>
      <c r="MB60" s="278">
        <f ca="1">$A60 - DeathsTimeS!SouthAustralia100dt</f>
        <v>-28</v>
      </c>
      <c r="MC60" s="11">
        <f ca="1">INDEX(OFFSET(DeathsTimeS!HeadRow,ROW()-ROW(DeathsTimeS!HeadRow),0,1,COLUMNS(DeathsTimeS!HeadRow)),1,MATCH(MC$5,DeathsTimeS!HeadRow,0))/MC$8</f>
        <v>0</v>
      </c>
      <c r="MD60" s="278">
        <f ca="1">$A60 - DeathsTimeS!WesternAustralia100dt</f>
        <v>-25</v>
      </c>
      <c r="ME60" s="11">
        <f ca="1">INDEX(OFFSET(DeathsTimeS!HeadRow,ROW()-ROW(DeathsTimeS!HeadRow),0,1,COLUMNS(DeathsTimeS!HeadRow)),1,MATCH(ME$5,DeathsTimeS!HeadRow,0))/ME$8</f>
        <v>3.8624951718810348</v>
      </c>
      <c r="MF60" s="278">
        <f ca="1">$A60 - DeathsTimeS!NewSouthWales100dt</f>
        <v>-21</v>
      </c>
      <c r="MG60" s="11">
        <f ca="1">INDEX(OFFSET(DeathsTimeS!HeadRow,ROW()-ROW(DeathsTimeS!HeadRow),0,1,COLUMNS(DeathsTimeS!HeadRow)),1,MATCH(MG$5,DeathsTimeS!HeadRow,0))/MG$8</f>
        <v>2.4752475247524752</v>
      </c>
      <c r="MH60" s="278">
        <f ca="1">$A60 - DeathsTimeS!NewYork100dt</f>
        <v>-5</v>
      </c>
      <c r="MI60" s="11">
        <f ca="1">INDEX(OFFSET(DeathsTimeS!HeadRow,ROW()-ROW(DeathsTimeS!HeadRow),0,1,COLUMNS(DeathsTimeS!HeadRow)),1,MATCH(MI$5,DeathsTimeS!HeadRow,0))/MI$8</f>
        <v>0</v>
      </c>
      <c r="MJ60" s="278">
        <f ca="1">$A60 - DeathsTimeS!Italy100dt</f>
        <v>8</v>
      </c>
      <c r="MK60" s="20">
        <f ca="1">INDEX(OFFSET(DeathsTimeS!HeadRow,ROW()-ROW(DeathsTimeS!HeadRow),0,1,COLUMNS(DeathsTimeS!HeadRow)),1,MATCH(MK$5,DeathsTimeS!HeadRow,0))/MK$8</f>
        <v>136.72811440853104</v>
      </c>
      <c r="ML60" s="278">
        <f ca="1">$A60 - DeathsTimeS!AustralianCapitalTerritory100dt</f>
        <v>-19</v>
      </c>
      <c r="MM60" s="11">
        <f ca="1">INDEX(OFFSET(DeathsTimeS!HeadRow,ROW()-ROW(DeathsTimeS!HeadRow),0,1,COLUMNS(DeathsTimeS!HeadRow)),1,MATCH(MM$5,DeathsTimeS!HeadRow,0))/MM$8</f>
        <v>0</v>
      </c>
      <c r="MN60" s="278">
        <f ca="1">IF(DeathsTimeS!NorthernTerritory100dt&gt;0,$A60 - DeathsTimeS!NorthernTerritory100dt,"")</f>
        <v>-47</v>
      </c>
      <c r="MO60" s="11">
        <f ca="1">INDEX(OFFSET(DeathsTimeS!HeadRow,ROW()-ROW(DeathsTimeS!HeadRow),0,1,COLUMNS(DeathsTimeS!HeadRow)),1,MATCH(MO$5,DeathsTimeS!HeadRow,0))/MO$8</f>
        <v>0</v>
      </c>
      <c r="MP60" s="278">
        <f ca="1">$A60 - DeathsTimeS!SouthAfrica100dt + 1</f>
        <v>-39</v>
      </c>
      <c r="MQ60" s="20">
        <f ca="1">INDEX(OFFSET(DeathsTimeS!HeadRow,ROW()-ROW(DeathsTimeS!HeadRow),0,1,COLUMNS(DeathsTimeS!HeadRow)),1,MATCH(MQ$5,DeathsTimeS!HeadRow,0))/MQ$8</f>
        <v>0</v>
      </c>
      <c r="MR60" s="278">
        <f ca="1">$A60 - DeathsTimeS!Germany100dt + 1</f>
        <v>-9</v>
      </c>
      <c r="MS60" s="20">
        <f ca="1">INDEX(OFFSET(DeathsTimeS!HeadRow,ROW()-ROW(DeathsTimeS!HeadRow),0,1,COLUMNS(DeathsTimeS!HeadRow)),1,MATCH(MS$5,DeathsTimeS!HeadRow,0))/MS$8</f>
        <v>0.3613587087448808</v>
      </c>
      <c r="MT60" s="278">
        <f ca="1">$A60 - DeathsTimeS!Ireland100dt + 1</f>
        <v>-11</v>
      </c>
      <c r="MU60" s="73">
        <f ca="1">INDEX(OFFSET(DeathsTimeS!HeadRow,ROW()-ROW(DeathsTimeS!HeadRow),0,1,COLUMNS(DeathsTimeS!HeadRow)),1,MATCH(MU$5,DeathsTimeS!HeadRow,0))/MU$8</f>
        <v>2.0408163265306123</v>
      </c>
      <c r="MV60" s="278">
        <f ca="1">$A60 - DeathsTimeS!UnitedKingdom100dt + 1</f>
        <v>-5</v>
      </c>
      <c r="MW60" s="73">
        <f ca="1">INDEX(OFFSET(DeathsTimeS!HeadRow,ROW()-ROW(DeathsTimeS!HeadRow),0,1,COLUMNS(DeathsTimeS!HeadRow)),1,MATCH(MW$5,DeathsTimeS!HeadRow,0))/MW$8</f>
        <v>1.053582179409994</v>
      </c>
      <c r="MX60" s="278">
        <f ca="1">$A60 - DeathsTimeS!Denmark100dt + 1</f>
        <v>-7</v>
      </c>
      <c r="MY60" s="73">
        <f ca="1">INDEX(OFFSET(DeathsTimeS!HeadRow,ROW()-ROW(DeathsTimeS!HeadRow),0,1,COLUMNS(DeathsTimeS!HeadRow)),1,MATCH(MY$5,DeathsTimeS!HeadRow,0))/MY$8</f>
        <v>0</v>
      </c>
      <c r="MZ60" s="278">
        <f ca="1">$A60 - DeathsTimeS!US100dt + 1</f>
        <v>-8</v>
      </c>
      <c r="NA60" s="73">
        <f ca="1">INDEX(OFFSET(DeathsTimeS!HeadRow,ROW()-ROW(DeathsTimeS!HeadRow),0,1,COLUMNS(DeathsTimeS!HeadRow)),1,MATCH(NA$5,DeathsTimeS!HeadRow,0))/NA$8</f>
        <v>1.0934679849249402</v>
      </c>
      <c r="NB60" s="278">
        <f ca="1">$A60 - DeathsTimeS!AustraliaSum100dt + 1</f>
        <v>-14</v>
      </c>
      <c r="NC60" s="366">
        <f t="shared" si="6"/>
        <v>3</v>
      </c>
      <c r="ND60" s="278">
        <f ca="1">$A60 - DeathsTimeS!Taiwan100dt + 1</f>
        <v>-46</v>
      </c>
      <c r="NE60" s="366">
        <f ca="1">INDEX(OFFSET(DeathsTimeS!HeadRow,ROW()-ROW(DeathsTimeS!HeadRow),0,1,COLUMNS(DeathsTimeS!HeadRow)),1,MATCH(NE$5,DeathsTimeS!HeadRow,0))/NE$8</f>
        <v>0.4200395492437986</v>
      </c>
      <c r="NF60" s="278">
        <f ca="1">$A60 - DeathsTimeS!Hubei100dt + 1</f>
        <v>45</v>
      </c>
      <c r="NG60" s="366">
        <f ca="1">INDEX(OFFSET(DeathsTimeS!HeadRow,ROW()-ROW(DeathsTimeS!HeadRow),0,1,COLUMNS(DeathsTimeS!HeadRow)),1,MATCH(NG$5,DeathsTimeS!HeadRow,0))/NG$8</f>
        <v>520.68376068376074</v>
      </c>
      <c r="NH60" s="278">
        <f ca="1">$A60 - DeathsTimeS!HongKong100dt + 1</f>
        <v>-46</v>
      </c>
      <c r="NI60" s="366">
        <f ca="1">INDEX(OFFSET(DeathsTimeS!HeadRow,ROW()-ROW(DeathsTimeS!HeadRow),0,1,COLUMNS(DeathsTimeS!HeadRow)),1,MATCH(NI$5,DeathsTimeS!HeadRow,0))/NI$8</f>
        <v>4.0263051939337</v>
      </c>
    </row>
    <row r="61" spans="1:373" x14ac:dyDescent="0.25">
      <c r="A61" s="156">
        <v>43902</v>
      </c>
      <c r="B61" s="25">
        <v>0</v>
      </c>
      <c r="C61" s="25">
        <v>1</v>
      </c>
      <c r="D61" s="25">
        <v>1</v>
      </c>
      <c r="E61" s="25">
        <v>0</v>
      </c>
      <c r="F61" s="25">
        <v>0</v>
      </c>
      <c r="G61" s="25">
        <v>0</v>
      </c>
      <c r="H61" s="25">
        <v>1</v>
      </c>
      <c r="I61" s="25">
        <v>0</v>
      </c>
      <c r="J61" s="25">
        <v>0</v>
      </c>
      <c r="K61" s="25">
        <v>2</v>
      </c>
      <c r="L61" s="25">
        <v>0</v>
      </c>
      <c r="M61" s="25">
        <v>0</v>
      </c>
      <c r="N61" s="25">
        <v>0</v>
      </c>
      <c r="O61" s="25">
        <v>0</v>
      </c>
      <c r="P61" s="25">
        <v>0</v>
      </c>
      <c r="Q61" s="25">
        <v>1</v>
      </c>
      <c r="R61" s="25">
        <v>1</v>
      </c>
      <c r="S61" s="25">
        <v>0</v>
      </c>
      <c r="T61" s="25">
        <v>0</v>
      </c>
      <c r="U61" s="25">
        <v>0</v>
      </c>
      <c r="V61" s="25">
        <v>0</v>
      </c>
      <c r="W61" s="25">
        <v>0</v>
      </c>
      <c r="X61" s="25">
        <v>0</v>
      </c>
      <c r="Y61" s="25">
        <v>3</v>
      </c>
      <c r="Z61" s="25">
        <v>0</v>
      </c>
      <c r="AA61" s="25">
        <v>0</v>
      </c>
      <c r="AB61" s="25">
        <v>0</v>
      </c>
      <c r="AC61" s="25">
        <v>0</v>
      </c>
      <c r="AD61" s="25">
        <v>0</v>
      </c>
      <c r="AE61" s="25">
        <v>0</v>
      </c>
      <c r="AF61" s="25">
        <v>1</v>
      </c>
      <c r="AG61" s="25">
        <v>0</v>
      </c>
      <c r="AH61" s="25">
        <v>0</v>
      </c>
      <c r="AI61" s="25">
        <v>0</v>
      </c>
      <c r="AJ61" s="25">
        <v>0</v>
      </c>
      <c r="AK61" s="25">
        <v>0</v>
      </c>
      <c r="AL61" s="25">
        <v>1</v>
      </c>
      <c r="AM61" s="25">
        <v>0</v>
      </c>
      <c r="AN61" s="25">
        <v>0</v>
      </c>
      <c r="AO61" s="25">
        <v>0</v>
      </c>
      <c r="AP61" s="25">
        <v>0</v>
      </c>
      <c r="AQ61" s="25">
        <v>0</v>
      </c>
      <c r="AR61" s="25">
        <v>0</v>
      </c>
      <c r="AS61" s="25">
        <v>0</v>
      </c>
      <c r="AT61" s="25">
        <v>0</v>
      </c>
      <c r="AU61" s="25">
        <v>0</v>
      </c>
      <c r="AV61" s="25">
        <v>0</v>
      </c>
      <c r="AW61" s="25">
        <v>0</v>
      </c>
      <c r="AX61" s="25">
        <v>0</v>
      </c>
      <c r="AY61" s="25">
        <v>6</v>
      </c>
      <c r="AZ61" s="25">
        <v>8</v>
      </c>
      <c r="BA61" s="25">
        <v>6</v>
      </c>
      <c r="BB61" s="25">
        <v>1</v>
      </c>
      <c r="BC61" s="25">
        <v>2</v>
      </c>
      <c r="BD61" s="25">
        <v>8</v>
      </c>
      <c r="BE61" s="25">
        <v>2</v>
      </c>
      <c r="BF61" s="25">
        <v>2</v>
      </c>
      <c r="BG61" s="25">
        <v>6</v>
      </c>
      <c r="BH61" s="25">
        <v>6</v>
      </c>
      <c r="BI61" s="25">
        <v>13</v>
      </c>
      <c r="BJ61" s="25">
        <v>22</v>
      </c>
      <c r="BK61" s="25">
        <v>3</v>
      </c>
      <c r="BL61" s="25">
        <v>3056</v>
      </c>
      <c r="BM61" s="25">
        <v>4</v>
      </c>
      <c r="BN61" s="25">
        <v>1</v>
      </c>
      <c r="BO61" s="25">
        <v>0</v>
      </c>
      <c r="BP61" s="25">
        <v>1</v>
      </c>
      <c r="BQ61" s="25">
        <v>1</v>
      </c>
      <c r="BR61" s="25">
        <v>1</v>
      </c>
      <c r="BS61" s="25">
        <v>0</v>
      </c>
      <c r="BT61" s="25">
        <v>0</v>
      </c>
      <c r="BU61" s="25">
        <v>0</v>
      </c>
      <c r="BV61" s="25">
        <v>2</v>
      </c>
      <c r="BW61" s="25">
        <v>6</v>
      </c>
      <c r="BX61" s="25">
        <v>3</v>
      </c>
      <c r="BY61" s="25">
        <v>0</v>
      </c>
      <c r="BZ61" s="25">
        <v>3</v>
      </c>
      <c r="CA61" s="25">
        <v>3</v>
      </c>
      <c r="CB61" s="25">
        <v>0</v>
      </c>
      <c r="CC61" s="25">
        <v>3</v>
      </c>
      <c r="CD61" s="25">
        <v>2</v>
      </c>
      <c r="CE61" s="25">
        <v>1</v>
      </c>
      <c r="CF61" s="25">
        <v>0</v>
      </c>
      <c r="CG61" s="25">
        <v>0</v>
      </c>
      <c r="CH61" s="25">
        <v>0</v>
      </c>
      <c r="CI61" s="25">
        <v>0</v>
      </c>
      <c r="CJ61" s="25">
        <v>0</v>
      </c>
      <c r="CK61" s="25">
        <v>0</v>
      </c>
      <c r="CL61" s="25">
        <v>7</v>
      </c>
      <c r="CM61" s="25">
        <v>0</v>
      </c>
      <c r="CN61" s="25">
        <v>0</v>
      </c>
      <c r="CO61" s="25">
        <v>0</v>
      </c>
      <c r="CP61" s="25">
        <v>0</v>
      </c>
      <c r="CQ61" s="25">
        <v>0</v>
      </c>
      <c r="CR61" s="25">
        <v>0</v>
      </c>
      <c r="CS61" s="25">
        <v>0</v>
      </c>
      <c r="CT61" s="25">
        <v>0</v>
      </c>
      <c r="CU61" s="25">
        <v>0</v>
      </c>
      <c r="CV61" s="25">
        <v>1</v>
      </c>
      <c r="CW61" s="25">
        <v>0</v>
      </c>
      <c r="CX61" s="25">
        <v>0</v>
      </c>
      <c r="CY61" s="25">
        <v>0</v>
      </c>
      <c r="CZ61" s="25">
        <v>0</v>
      </c>
      <c r="DA61" s="25">
        <v>0</v>
      </c>
      <c r="DB61" s="25">
        <v>0</v>
      </c>
      <c r="DC61" s="25">
        <v>0</v>
      </c>
      <c r="DD61" s="25">
        <v>0</v>
      </c>
      <c r="DE61" s="25">
        <v>0</v>
      </c>
      <c r="DF61" s="25">
        <v>0</v>
      </c>
      <c r="DG61" s="25">
        <v>0</v>
      </c>
      <c r="DH61" s="25">
        <v>0</v>
      </c>
      <c r="DI61" s="25">
        <v>0</v>
      </c>
      <c r="DJ61" s="25">
        <v>0</v>
      </c>
      <c r="DK61" s="25">
        <v>0</v>
      </c>
      <c r="DL61" s="25">
        <v>0</v>
      </c>
      <c r="DM61" s="25">
        <v>0</v>
      </c>
      <c r="DN61" s="25">
        <v>48</v>
      </c>
      <c r="DO61" s="25">
        <v>0</v>
      </c>
      <c r="DP61" s="25">
        <v>0</v>
      </c>
      <c r="DQ61" s="25">
        <v>0</v>
      </c>
      <c r="DR61" s="25">
        <v>3</v>
      </c>
      <c r="DS61" s="25">
        <v>0</v>
      </c>
      <c r="DT61" s="25">
        <v>1</v>
      </c>
      <c r="DU61" s="25">
        <v>0</v>
      </c>
      <c r="DV61" s="25">
        <v>0</v>
      </c>
      <c r="DW61" s="25">
        <v>1</v>
      </c>
      <c r="DX61" s="25">
        <v>0</v>
      </c>
      <c r="DY61" s="25">
        <v>0</v>
      </c>
      <c r="DZ61" s="25">
        <v>0</v>
      </c>
      <c r="EA61" s="25">
        <v>0</v>
      </c>
      <c r="EB61" s="25">
        <v>0</v>
      </c>
      <c r="EC61" s="25">
        <v>1</v>
      </c>
      <c r="ED61" s="25">
        <v>1</v>
      </c>
      <c r="EE61" s="25">
        <v>429</v>
      </c>
      <c r="EF61" s="25">
        <v>8</v>
      </c>
      <c r="EG61" s="25">
        <v>1</v>
      </c>
      <c r="EH61" s="25">
        <v>0</v>
      </c>
      <c r="EI61" s="25">
        <v>827</v>
      </c>
      <c r="EJ61" s="25">
        <v>0</v>
      </c>
      <c r="EK61" s="25">
        <v>16</v>
      </c>
      <c r="EL61" s="25">
        <v>0</v>
      </c>
      <c r="EM61" s="25">
        <v>0</v>
      </c>
      <c r="EN61" s="25">
        <v>0</v>
      </c>
      <c r="EO61" s="25">
        <v>66</v>
      </c>
      <c r="EP61" s="25">
        <v>0</v>
      </c>
      <c r="EQ61" s="25">
        <v>0</v>
      </c>
      <c r="ER61" s="25">
        <v>0</v>
      </c>
      <c r="ES61" s="25">
        <v>3</v>
      </c>
      <c r="ET61" s="25">
        <v>0</v>
      </c>
      <c r="EU61" s="25">
        <v>0</v>
      </c>
      <c r="EV61" s="25">
        <v>0</v>
      </c>
      <c r="EW61" s="25">
        <v>0</v>
      </c>
      <c r="EX61" s="25">
        <v>0</v>
      </c>
      <c r="EY61" s="25">
        <v>0</v>
      </c>
      <c r="EZ61" s="25">
        <v>0</v>
      </c>
      <c r="FA61" s="25">
        <v>0</v>
      </c>
      <c r="FB61" s="25">
        <v>0</v>
      </c>
      <c r="FC61" s="25">
        <v>0</v>
      </c>
      <c r="FD61" s="25">
        <v>0</v>
      </c>
      <c r="FE61" s="25">
        <v>0</v>
      </c>
      <c r="FF61" s="25">
        <v>0</v>
      </c>
      <c r="FG61" s="25">
        <v>0</v>
      </c>
      <c r="FH61" s="25">
        <v>0</v>
      </c>
      <c r="FI61" s="25">
        <v>1</v>
      </c>
      <c r="FJ61" s="25">
        <v>0</v>
      </c>
      <c r="FK61" s="25">
        <v>0</v>
      </c>
      <c r="FL61" s="25">
        <v>0</v>
      </c>
      <c r="FM61" s="25">
        <v>0</v>
      </c>
      <c r="FN61" s="25">
        <v>0</v>
      </c>
      <c r="FO61" s="25">
        <v>5</v>
      </c>
      <c r="FP61" s="25">
        <v>0</v>
      </c>
      <c r="FQ61" s="25">
        <v>0</v>
      </c>
      <c r="FR61" s="25">
        <v>0</v>
      </c>
      <c r="FS61" s="25">
        <v>0</v>
      </c>
      <c r="FT61" s="25">
        <v>0</v>
      </c>
      <c r="FU61" s="25">
        <v>0</v>
      </c>
      <c r="FV61" s="25">
        <v>0</v>
      </c>
      <c r="FW61" s="25">
        <v>0</v>
      </c>
      <c r="FX61" s="25">
        <v>1</v>
      </c>
      <c r="FY61" s="25">
        <v>0</v>
      </c>
      <c r="FZ61" s="25">
        <v>0</v>
      </c>
      <c r="GA61" s="25">
        <v>0</v>
      </c>
      <c r="GB61" s="25">
        <v>2</v>
      </c>
      <c r="GC61" s="25">
        <v>1</v>
      </c>
      <c r="GD61" s="25">
        <v>0</v>
      </c>
      <c r="GE61" s="25">
        <v>0</v>
      </c>
      <c r="GF61" s="25">
        <v>0</v>
      </c>
      <c r="GG61" s="25">
        <v>0</v>
      </c>
      <c r="GH61" s="25">
        <v>0</v>
      </c>
      <c r="GI61" s="25">
        <v>0</v>
      </c>
      <c r="GJ61" s="25">
        <v>0</v>
      </c>
      <c r="GK61" s="25">
        <v>3</v>
      </c>
      <c r="GL61" s="25">
        <v>0</v>
      </c>
      <c r="GM61" s="25">
        <v>0</v>
      </c>
      <c r="GN61" s="25">
        <v>0</v>
      </c>
      <c r="GO61" s="25">
        <v>0</v>
      </c>
      <c r="GP61" s="25">
        <v>0</v>
      </c>
      <c r="GQ61" s="25">
        <v>0</v>
      </c>
      <c r="GR61" s="25">
        <v>0</v>
      </c>
      <c r="GS61" s="25">
        <v>0</v>
      </c>
      <c r="GT61" s="25">
        <v>0</v>
      </c>
      <c r="GU61" s="25">
        <v>55</v>
      </c>
      <c r="GV61" s="25">
        <v>0</v>
      </c>
      <c r="GW61" s="25">
        <v>0</v>
      </c>
      <c r="GX61" s="25">
        <v>0</v>
      </c>
      <c r="GY61" s="46">
        <v>1</v>
      </c>
      <c r="GZ61" s="25">
        <v>4</v>
      </c>
      <c r="HA61" s="25">
        <v>1</v>
      </c>
      <c r="HB61" s="25">
        <v>0</v>
      </c>
      <c r="HC61" s="25">
        <v>1</v>
      </c>
      <c r="HD61" s="25">
        <v>0</v>
      </c>
      <c r="HE61" s="25">
        <v>0</v>
      </c>
      <c r="HF61" s="25">
        <v>0</v>
      </c>
      <c r="HG61" s="25">
        <v>0</v>
      </c>
      <c r="HH61" s="25">
        <v>0</v>
      </c>
      <c r="HI61" s="25">
        <v>0</v>
      </c>
      <c r="HJ61" s="25">
        <v>0</v>
      </c>
      <c r="HK61" s="25">
        <v>0</v>
      </c>
      <c r="HL61" s="25">
        <v>0</v>
      </c>
      <c r="HM61" s="25">
        <v>0</v>
      </c>
      <c r="HN61" s="25">
        <v>0</v>
      </c>
      <c r="HO61" s="25">
        <v>0</v>
      </c>
      <c r="HP61" s="25">
        <v>0</v>
      </c>
      <c r="HQ61" s="25">
        <v>9</v>
      </c>
      <c r="HR61" s="25">
        <v>0</v>
      </c>
      <c r="HS61" s="25">
        <v>41</v>
      </c>
      <c r="HT61" s="25">
        <v>0</v>
      </c>
      <c r="HU61" s="25">
        <v>0</v>
      </c>
      <c r="HV61" s="25">
        <v>0</v>
      </c>
      <c r="HW61" s="25">
        <v>0</v>
      </c>
      <c r="HX61" s="25">
        <v>0</v>
      </c>
      <c r="HY61" s="25">
        <v>0</v>
      </c>
      <c r="HZ61" s="25">
        <v>0</v>
      </c>
      <c r="IA61" s="25">
        <v>0</v>
      </c>
      <c r="IB61" s="25">
        <v>0</v>
      </c>
      <c r="IC61" s="25">
        <v>0</v>
      </c>
      <c r="ID61" s="25">
        <v>0</v>
      </c>
      <c r="IE61" s="25">
        <v>0</v>
      </c>
      <c r="IF61" s="25">
        <v>0</v>
      </c>
      <c r="IG61" s="25">
        <v>0</v>
      </c>
      <c r="IH61" s="25">
        <v>0</v>
      </c>
      <c r="II61" s="25">
        <v>0</v>
      </c>
      <c r="IJ61" s="25">
        <v>0</v>
      </c>
      <c r="IK61" s="25">
        <v>0</v>
      </c>
      <c r="IL61" s="25">
        <v>0</v>
      </c>
      <c r="IM61" s="25">
        <v>0</v>
      </c>
      <c r="IN61" s="25">
        <v>0</v>
      </c>
      <c r="IO61" s="25">
        <v>0</v>
      </c>
      <c r="IP61" s="25">
        <v>0</v>
      </c>
      <c r="IQ61" s="25">
        <v>0</v>
      </c>
      <c r="IR61" s="25">
        <v>0</v>
      </c>
      <c r="IS61" s="25">
        <v>0</v>
      </c>
      <c r="IT61" s="25">
        <v>0</v>
      </c>
      <c r="IU61" s="25">
        <v>0</v>
      </c>
      <c r="IV61" s="25">
        <v>0</v>
      </c>
      <c r="IW61" s="25">
        <v>0</v>
      </c>
      <c r="IX61" s="25">
        <v>0</v>
      </c>
      <c r="IY61" s="25">
        <v>0</v>
      </c>
      <c r="IZ61" s="25">
        <v>0</v>
      </c>
      <c r="JA61" s="25">
        <v>0</v>
      </c>
      <c r="JB61" s="25">
        <v>0</v>
      </c>
      <c r="JC61" s="25">
        <v>0</v>
      </c>
      <c r="JD61" s="25">
        <v>0</v>
      </c>
      <c r="JE61" s="25">
        <v>0</v>
      </c>
      <c r="JF61" s="25">
        <v>0</v>
      </c>
      <c r="JG61" s="25">
        <v>0</v>
      </c>
      <c r="JH61" s="25">
        <v>0</v>
      </c>
      <c r="JI61" s="25">
        <v>0</v>
      </c>
      <c r="JJ61" s="25">
        <v>0</v>
      </c>
      <c r="JK61" s="25">
        <v>0</v>
      </c>
      <c r="JL61" s="25">
        <v>0</v>
      </c>
      <c r="JM61" s="25">
        <v>0</v>
      </c>
      <c r="JN61" s="25">
        <v>0</v>
      </c>
      <c r="JO61" s="25">
        <v>0</v>
      </c>
      <c r="JP61" s="25">
        <v>0</v>
      </c>
      <c r="JQ61" s="25">
        <v>4</v>
      </c>
      <c r="JR61" s="25">
        <v>0</v>
      </c>
      <c r="JS61" s="25">
        <v>0</v>
      </c>
      <c r="JT61" s="25">
        <v>0</v>
      </c>
      <c r="JU61" s="25">
        <v>0</v>
      </c>
      <c r="JV61" s="25">
        <v>2</v>
      </c>
      <c r="JW61" s="25">
        <v>1</v>
      </c>
      <c r="JX61" s="25">
        <v>0</v>
      </c>
      <c r="JY61" s="25">
        <v>0</v>
      </c>
      <c r="JZ61" s="25">
        <v>0</v>
      </c>
      <c r="KA61" s="25">
        <v>0</v>
      </c>
      <c r="KB61" s="25">
        <v>0</v>
      </c>
      <c r="KC61" s="25">
        <v>0</v>
      </c>
      <c r="KD61" s="25">
        <v>0</v>
      </c>
      <c r="KE61" s="25">
        <v>0</v>
      </c>
      <c r="KF61" s="25">
        <v>0</v>
      </c>
      <c r="KG61" s="25">
        <v>0</v>
      </c>
      <c r="KH61" s="25">
        <v>0</v>
      </c>
      <c r="KI61" s="25">
        <v>0</v>
      </c>
      <c r="KJ61" s="25">
        <v>0</v>
      </c>
      <c r="KK61" s="25">
        <v>0</v>
      </c>
      <c r="KL61" s="25">
        <v>0</v>
      </c>
      <c r="KM61" s="25">
        <v>0</v>
      </c>
      <c r="KN61" s="25">
        <v>0</v>
      </c>
      <c r="KO61" s="25">
        <v>0</v>
      </c>
      <c r="KP61" s="25">
        <v>0</v>
      </c>
      <c r="KQ61" s="25">
        <v>1</v>
      </c>
      <c r="KR61" s="25">
        <v>0</v>
      </c>
      <c r="KS61" s="25">
        <v>1</v>
      </c>
      <c r="KT61" s="25">
        <v>0</v>
      </c>
      <c r="KU61" s="25">
        <v>0</v>
      </c>
      <c r="KV61" s="25">
        <v>0</v>
      </c>
      <c r="KW61" s="25">
        <v>0</v>
      </c>
      <c r="KX61" s="25">
        <v>0</v>
      </c>
      <c r="KY61" s="25">
        <v>0</v>
      </c>
      <c r="KZ61" s="25">
        <v>0</v>
      </c>
      <c r="LA61" s="25">
        <v>0</v>
      </c>
      <c r="LB61" s="25">
        <v>1</v>
      </c>
      <c r="LC61" s="25">
        <v>0</v>
      </c>
      <c r="LD61" s="25">
        <v>0</v>
      </c>
      <c r="LE61" s="25">
        <v>0</v>
      </c>
      <c r="LF61" s="25">
        <v>0</v>
      </c>
      <c r="LG61" s="25">
        <v>0</v>
      </c>
      <c r="LH61" s="25">
        <v>31</v>
      </c>
      <c r="LI61" s="25">
        <v>0</v>
      </c>
      <c r="LJ61" s="25">
        <v>0</v>
      </c>
      <c r="LK61" s="25">
        <v>0</v>
      </c>
      <c r="LL61" s="25">
        <v>0</v>
      </c>
      <c r="LM61" s="25">
        <v>0</v>
      </c>
      <c r="LN61" s="278">
        <f ca="1">$A61 - DeathsTimeS!Sweden100dt + 1</f>
        <v>-6</v>
      </c>
      <c r="LO61" s="366">
        <f ca="1">INDEX(OFFSET(DeathsTimeS!HeadRow,ROW()-ROW(DeathsTimeS!HeadRow),0,1,COLUMNS(DeathsTimeS!HeadRow)),1,MATCH(LO$5,DeathsTimeS!HeadRow,0))/LO$8</f>
        <v>0.97751710654936474</v>
      </c>
      <c r="LP61" s="278">
        <f ca="1">$A61 - DeathsTimeS!Spain100dt</f>
        <v>1</v>
      </c>
      <c r="LQ61" s="11">
        <f ca="1">INDEX(OFFSET(DeathsTimeS!HeadRow,ROW()-ROW(DeathsTimeS!HeadRow),0,1,COLUMNS(DeathsTimeS!HeadRow)),1,MATCH(LQ$5,DeathsTimeS!HeadRow,0))/LQ$8</f>
        <v>11.717085641244141</v>
      </c>
      <c r="LR61" s="278">
        <f ca="1">$A61 - DeathsTimeS!Victoria100dt</f>
        <v>-22</v>
      </c>
      <c r="LS61" s="11">
        <f ca="1">INDEX(OFFSET(DeathsTimeS!HeadRow,ROW()-ROW(DeathsTimeS!HeadRow),0,1,COLUMNS(DeathsTimeS!HeadRow)),1,MATCH(LS$5,DeathsTimeS!HeadRow,0))/LS$8</f>
        <v>0</v>
      </c>
      <c r="LT61" s="278">
        <f ca="1">$A61 - DeathsTimeS!Iran100dt</f>
        <v>8</v>
      </c>
      <c r="LU61" s="11">
        <f ca="1">INDEX(OFFSET(DeathsTimeS!HeadRow,ROW()-ROW(DeathsTimeS!HeadRow),0,1,COLUMNS(DeathsTimeS!HeadRow)),1,MATCH(LU$5,DeathsTimeS!HeadRow,0))/LU$8</f>
        <v>51.209817005479096</v>
      </c>
      <c r="LV61" s="278">
        <f ca="1">$A61 - DeathsTimeS!Japan100dt</f>
        <v>-33</v>
      </c>
      <c r="LW61" s="11">
        <f ca="1">INDEX(OFFSET(DeathsTimeS!HeadRow,ROW()-ROW(DeathsTimeS!HeadRow),0,1,COLUMNS(DeathsTimeS!HeadRow)),1,MATCH(LW$5,DeathsTimeS!HeadRow,0))/LW$8</f>
        <v>1.2642804127177034</v>
      </c>
      <c r="LX61" s="278">
        <f ca="1">$A61 - DeathsTimeS!Queensland100dt</f>
        <v>-37</v>
      </c>
      <c r="LY61" s="11">
        <f ca="1">INDEX(OFFSET(DeathsTimeS!HeadRow,ROW()-ROW(DeathsTimeS!HeadRow),0,1,COLUMNS(DeathsTimeS!HeadRow)),1,MATCH(LY$5,DeathsTimeS!HeadRow,0))/LY$8</f>
        <v>0</v>
      </c>
      <c r="LZ61" s="278">
        <f ca="1">$A61 - DeathsTimeS!Tasmania100dt</f>
        <v>-19</v>
      </c>
      <c r="MA61" s="11">
        <f ca="1">INDEX(OFFSET(DeathsTimeS!HeadRow,ROW()-ROW(DeathsTimeS!HeadRow),0,1,COLUMNS(DeathsTimeS!HeadRow)),1,MATCH(MA$5,DeathsTimeS!HeadRow,0))/MA$8</f>
        <v>0</v>
      </c>
      <c r="MB61" s="278">
        <f ca="1">$A61 - DeathsTimeS!SouthAustralia100dt</f>
        <v>-27</v>
      </c>
      <c r="MC61" s="11">
        <f ca="1">INDEX(OFFSET(DeathsTimeS!HeadRow,ROW()-ROW(DeathsTimeS!HeadRow),0,1,COLUMNS(DeathsTimeS!HeadRow)),1,MATCH(MC$5,DeathsTimeS!HeadRow,0))/MC$8</f>
        <v>0</v>
      </c>
      <c r="MD61" s="278">
        <f ca="1">$A61 - DeathsTimeS!WesternAustralia100dt</f>
        <v>-24</v>
      </c>
      <c r="ME61" s="11">
        <f ca="1">INDEX(OFFSET(DeathsTimeS!HeadRow,ROW()-ROW(DeathsTimeS!HeadRow),0,1,COLUMNS(DeathsTimeS!HeadRow)),1,MATCH(ME$5,DeathsTimeS!HeadRow,0))/ME$8</f>
        <v>3.8624951718810348</v>
      </c>
      <c r="MF61" s="278">
        <f ca="1">$A61 - DeathsTimeS!NewSouthWales100dt</f>
        <v>-20</v>
      </c>
      <c r="MG61" s="11">
        <f ca="1">INDEX(OFFSET(DeathsTimeS!HeadRow,ROW()-ROW(DeathsTimeS!HeadRow),0,1,COLUMNS(DeathsTimeS!HeadRow)),1,MATCH(MG$5,DeathsTimeS!HeadRow,0))/MG$8</f>
        <v>2.4752475247524752</v>
      </c>
      <c r="MH61" s="278">
        <f ca="1">$A61 - DeathsTimeS!NewYork100dt</f>
        <v>-4</v>
      </c>
      <c r="MI61" s="11">
        <f ca="1">INDEX(OFFSET(DeathsTimeS!HeadRow,ROW()-ROW(DeathsTimeS!HeadRow),0,1,COLUMNS(DeathsTimeS!HeadRow)),1,MATCH(MI$5,DeathsTimeS!HeadRow,0))/MI$8</f>
        <v>0.42322551592777485</v>
      </c>
      <c r="MJ61" s="278">
        <f ca="1">$A61 - DeathsTimeS!Italy100dt</f>
        <v>9</v>
      </c>
      <c r="MK61" s="20">
        <f ca="1">INDEX(OFFSET(DeathsTimeS!HeadRow,ROW()-ROW(DeathsTimeS!HeadRow),0,1,COLUMNS(DeathsTimeS!HeadRow)),1,MATCH(MK$5,DeathsTimeS!HeadRow,0))/MK$8</f>
        <v>136.72811440853104</v>
      </c>
      <c r="ML61" s="278">
        <f ca="1">$A61 - DeathsTimeS!AustralianCapitalTerritory100dt</f>
        <v>-18</v>
      </c>
      <c r="MM61" s="11">
        <f ca="1">INDEX(OFFSET(DeathsTimeS!HeadRow,ROW()-ROW(DeathsTimeS!HeadRow),0,1,COLUMNS(DeathsTimeS!HeadRow)),1,MATCH(MM$5,DeathsTimeS!HeadRow,0))/MM$8</f>
        <v>0</v>
      </c>
      <c r="MN61" s="278">
        <f ca="1">IF(DeathsTimeS!NorthernTerritory100dt&gt;0,$A61 - DeathsTimeS!NorthernTerritory100dt,"")</f>
        <v>-46</v>
      </c>
      <c r="MO61" s="11">
        <f ca="1">INDEX(OFFSET(DeathsTimeS!HeadRow,ROW()-ROW(DeathsTimeS!HeadRow),0,1,COLUMNS(DeathsTimeS!HeadRow)),1,MATCH(MO$5,DeathsTimeS!HeadRow,0))/MO$8</f>
        <v>0</v>
      </c>
      <c r="MP61" s="278">
        <f ca="1">$A61 - DeathsTimeS!SouthAfrica100dt + 1</f>
        <v>-38</v>
      </c>
      <c r="MQ61" s="20">
        <f ca="1">INDEX(OFFSET(DeathsTimeS!HeadRow,ROW()-ROW(DeathsTimeS!HeadRow),0,1,COLUMNS(DeathsTimeS!HeadRow)),1,MATCH(MQ$5,DeathsTimeS!HeadRow,0))/MQ$8</f>
        <v>0</v>
      </c>
      <c r="MR61" s="278">
        <f ca="1">$A61 - DeathsTimeS!Germany100dt + 1</f>
        <v>-8</v>
      </c>
      <c r="MS61" s="20">
        <f ca="1">INDEX(OFFSET(DeathsTimeS!HeadRow,ROW()-ROW(DeathsTimeS!HeadRow),0,1,COLUMNS(DeathsTimeS!HeadRow)),1,MATCH(MS$5,DeathsTimeS!HeadRow,0))/MS$8</f>
        <v>0.3613587087448808</v>
      </c>
      <c r="MT61" s="278">
        <f ca="1">$A61 - DeathsTimeS!Ireland100dt + 1</f>
        <v>-10</v>
      </c>
      <c r="MU61" s="73">
        <f ca="1">INDEX(OFFSET(DeathsTimeS!HeadRow,ROW()-ROW(DeathsTimeS!HeadRow),0,1,COLUMNS(DeathsTimeS!HeadRow)),1,MATCH(MU$5,DeathsTimeS!HeadRow,0))/MU$8</f>
        <v>2.0408163265306123</v>
      </c>
      <c r="MV61" s="278">
        <f ca="1">$A61 - DeathsTimeS!UnitedKingdom100dt + 1</f>
        <v>-4</v>
      </c>
      <c r="MW61" s="73">
        <f ca="1">INDEX(OFFSET(DeathsTimeS!HeadRow,ROW()-ROW(DeathsTimeS!HeadRow),0,1,COLUMNS(DeathsTimeS!HeadRow)),1,MATCH(MW$5,DeathsTimeS!HeadRow,0))/MW$8</f>
        <v>1.3546056592414208</v>
      </c>
      <c r="MX61" s="278">
        <f ca="1">$A61 - DeathsTimeS!Denmark100dt + 1</f>
        <v>-6</v>
      </c>
      <c r="MY61" s="73">
        <f ca="1">INDEX(OFFSET(DeathsTimeS!HeadRow,ROW()-ROW(DeathsTimeS!HeadRow),0,1,COLUMNS(DeathsTimeS!HeadRow)),1,MATCH(MY$5,DeathsTimeS!HeadRow,0))/MY$8</f>
        <v>0</v>
      </c>
      <c r="MZ61" s="278">
        <f ca="1">$A61 - DeathsTimeS!US100dt + 1</f>
        <v>-7</v>
      </c>
      <c r="NA61" s="73">
        <f ca="1">INDEX(OFFSET(DeathsTimeS!HeadRow,ROW()-ROW(DeathsTimeS!HeadRow),0,1,COLUMNS(DeathsTimeS!HeadRow)),1,MATCH(NA$5,DeathsTimeS!HeadRow,0))/NA$8</f>
        <v>1.2453385383867375</v>
      </c>
      <c r="NB61" s="278">
        <f ca="1">$A61 - DeathsTimeS!AustraliaSum100dt + 1</f>
        <v>-13</v>
      </c>
      <c r="NC61" s="366">
        <f t="shared" si="6"/>
        <v>3</v>
      </c>
      <c r="ND61" s="278">
        <f ca="1">$A61 - DeathsTimeS!Taiwan100dt + 1</f>
        <v>-45</v>
      </c>
      <c r="NE61" s="366">
        <f ca="1">INDEX(OFFSET(DeathsTimeS!HeadRow,ROW()-ROW(DeathsTimeS!HeadRow),0,1,COLUMNS(DeathsTimeS!HeadRow)),1,MATCH(NE$5,DeathsTimeS!HeadRow,0))/NE$8</f>
        <v>0.4200395492437986</v>
      </c>
      <c r="NF61" s="278">
        <f ca="1">$A61 - DeathsTimeS!Hubei100dt + 1</f>
        <v>46</v>
      </c>
      <c r="NG61" s="366">
        <f ca="1">INDEX(OFFSET(DeathsTimeS!HeadRow,ROW()-ROW(DeathsTimeS!HeadRow),0,1,COLUMNS(DeathsTimeS!HeadRow)),1,MATCH(NG$5,DeathsTimeS!HeadRow,0))/NG$8</f>
        <v>522.39316239316247</v>
      </c>
      <c r="NH61" s="278">
        <f ca="1">$A61 - DeathsTimeS!HongKong100dt + 1</f>
        <v>-45</v>
      </c>
      <c r="NI61" s="366">
        <f ca="1">INDEX(OFFSET(DeathsTimeS!HeadRow,ROW()-ROW(DeathsTimeS!HeadRow),0,1,COLUMNS(DeathsTimeS!HeadRow)),1,MATCH(NI$5,DeathsTimeS!HeadRow,0))/NI$8</f>
        <v>4.0263051939337</v>
      </c>
    </row>
    <row r="62" spans="1:373" x14ac:dyDescent="0.25">
      <c r="A62" s="156">
        <v>43903</v>
      </c>
      <c r="B62" s="25">
        <v>0</v>
      </c>
      <c r="C62" s="25">
        <v>1</v>
      </c>
      <c r="D62" s="25">
        <v>2</v>
      </c>
      <c r="E62" s="25">
        <v>0</v>
      </c>
      <c r="F62" s="25">
        <v>0</v>
      </c>
      <c r="G62" s="25">
        <v>0</v>
      </c>
      <c r="H62" s="25">
        <v>2</v>
      </c>
      <c r="I62" s="25">
        <v>0</v>
      </c>
      <c r="J62" s="25">
        <v>0</v>
      </c>
      <c r="K62" s="25">
        <v>2</v>
      </c>
      <c r="L62" s="25">
        <v>0</v>
      </c>
      <c r="M62" s="25">
        <v>0</v>
      </c>
      <c r="N62" s="25">
        <v>0</v>
      </c>
      <c r="O62" s="25">
        <v>0</v>
      </c>
      <c r="P62" s="25">
        <v>0</v>
      </c>
      <c r="Q62" s="25">
        <v>1</v>
      </c>
      <c r="R62" s="25">
        <v>1</v>
      </c>
      <c r="S62" s="25">
        <v>1</v>
      </c>
      <c r="T62" s="25">
        <v>0</v>
      </c>
      <c r="U62" s="25">
        <v>0</v>
      </c>
      <c r="V62" s="25">
        <v>0</v>
      </c>
      <c r="W62" s="25">
        <v>0</v>
      </c>
      <c r="X62" s="25">
        <v>0</v>
      </c>
      <c r="Y62" s="25">
        <v>3</v>
      </c>
      <c r="Z62" s="25">
        <v>0</v>
      </c>
      <c r="AA62" s="25">
        <v>0</v>
      </c>
      <c r="AB62" s="25">
        <v>0</v>
      </c>
      <c r="AC62" s="25">
        <v>0</v>
      </c>
      <c r="AD62" s="25">
        <v>0</v>
      </c>
      <c r="AE62" s="25">
        <v>0</v>
      </c>
      <c r="AF62" s="25">
        <v>1</v>
      </c>
      <c r="AG62" s="25">
        <v>0</v>
      </c>
      <c r="AH62" s="25">
        <v>0</v>
      </c>
      <c r="AI62" s="25">
        <v>0</v>
      </c>
      <c r="AJ62" s="25">
        <v>0</v>
      </c>
      <c r="AK62" s="25">
        <v>0</v>
      </c>
      <c r="AL62" s="25">
        <v>1</v>
      </c>
      <c r="AM62" s="25">
        <v>0</v>
      </c>
      <c r="AN62" s="25">
        <v>0</v>
      </c>
      <c r="AO62" s="25">
        <v>0</v>
      </c>
      <c r="AP62" s="25">
        <v>0</v>
      </c>
      <c r="AQ62" s="25">
        <v>0</v>
      </c>
      <c r="AR62" s="25">
        <v>0</v>
      </c>
      <c r="AS62" s="25">
        <v>0</v>
      </c>
      <c r="AT62" s="25">
        <v>0</v>
      </c>
      <c r="AU62" s="25">
        <v>0</v>
      </c>
      <c r="AV62" s="25">
        <v>0</v>
      </c>
      <c r="AW62" s="25">
        <v>0</v>
      </c>
      <c r="AX62" s="25">
        <v>0</v>
      </c>
      <c r="AY62" s="25">
        <v>6</v>
      </c>
      <c r="AZ62" s="25">
        <v>8</v>
      </c>
      <c r="BA62" s="25">
        <v>6</v>
      </c>
      <c r="BB62" s="25">
        <v>1</v>
      </c>
      <c r="BC62" s="25">
        <v>2</v>
      </c>
      <c r="BD62" s="25">
        <v>8</v>
      </c>
      <c r="BE62" s="25">
        <v>2</v>
      </c>
      <c r="BF62" s="25">
        <v>2</v>
      </c>
      <c r="BG62" s="25">
        <v>6</v>
      </c>
      <c r="BH62" s="25">
        <v>6</v>
      </c>
      <c r="BI62" s="25">
        <v>13</v>
      </c>
      <c r="BJ62" s="25">
        <v>22</v>
      </c>
      <c r="BK62" s="25">
        <v>4</v>
      </c>
      <c r="BL62" s="25">
        <v>3062</v>
      </c>
      <c r="BM62" s="25">
        <v>4</v>
      </c>
      <c r="BN62" s="25">
        <v>1</v>
      </c>
      <c r="BO62" s="25">
        <v>0</v>
      </c>
      <c r="BP62" s="25">
        <v>1</v>
      </c>
      <c r="BQ62" s="25">
        <v>1</v>
      </c>
      <c r="BR62" s="25">
        <v>1</v>
      </c>
      <c r="BS62" s="25">
        <v>0</v>
      </c>
      <c r="BT62" s="25">
        <v>0</v>
      </c>
      <c r="BU62" s="25">
        <v>0</v>
      </c>
      <c r="BV62" s="25">
        <v>2</v>
      </c>
      <c r="BW62" s="25">
        <v>7</v>
      </c>
      <c r="BX62" s="25">
        <v>3</v>
      </c>
      <c r="BY62" s="25">
        <v>0</v>
      </c>
      <c r="BZ62" s="25">
        <v>3</v>
      </c>
      <c r="CA62" s="25">
        <v>3</v>
      </c>
      <c r="CB62" s="25">
        <v>0</v>
      </c>
      <c r="CC62" s="25">
        <v>3</v>
      </c>
      <c r="CD62" s="25">
        <v>2</v>
      </c>
      <c r="CE62" s="25">
        <v>1</v>
      </c>
      <c r="CF62" s="25">
        <v>0</v>
      </c>
      <c r="CG62" s="25">
        <v>0</v>
      </c>
      <c r="CH62" s="25">
        <v>0</v>
      </c>
      <c r="CI62" s="25">
        <v>0</v>
      </c>
      <c r="CJ62" s="25">
        <v>0</v>
      </c>
      <c r="CK62" s="25">
        <v>0</v>
      </c>
      <c r="CL62" s="25">
        <v>7</v>
      </c>
      <c r="CM62" s="25">
        <v>0</v>
      </c>
      <c r="CN62" s="25">
        <v>0</v>
      </c>
      <c r="CO62" s="25">
        <v>0</v>
      </c>
      <c r="CP62" s="25">
        <v>0</v>
      </c>
      <c r="CQ62" s="25">
        <v>0</v>
      </c>
      <c r="CR62" s="25">
        <v>0</v>
      </c>
      <c r="CS62" s="25">
        <v>0</v>
      </c>
      <c r="CT62" s="25">
        <v>0</v>
      </c>
      <c r="CU62" s="25">
        <v>0</v>
      </c>
      <c r="CV62" s="25">
        <v>2</v>
      </c>
      <c r="CW62" s="25">
        <v>0</v>
      </c>
      <c r="CX62" s="25">
        <v>0</v>
      </c>
      <c r="CY62" s="25">
        <v>0</v>
      </c>
      <c r="CZ62" s="25">
        <v>0</v>
      </c>
      <c r="DA62" s="25">
        <v>0</v>
      </c>
      <c r="DB62" s="25">
        <v>0</v>
      </c>
      <c r="DC62" s="25">
        <v>0</v>
      </c>
      <c r="DD62" s="25">
        <v>0</v>
      </c>
      <c r="DE62" s="25">
        <v>0</v>
      </c>
      <c r="DF62" s="25">
        <v>0</v>
      </c>
      <c r="DG62" s="25">
        <v>0</v>
      </c>
      <c r="DH62" s="25">
        <v>0</v>
      </c>
      <c r="DI62" s="25">
        <v>0</v>
      </c>
      <c r="DJ62" s="25">
        <v>0</v>
      </c>
      <c r="DK62" s="25">
        <v>0</v>
      </c>
      <c r="DL62" s="25">
        <v>0</v>
      </c>
      <c r="DM62" s="25">
        <v>0</v>
      </c>
      <c r="DN62" s="25">
        <v>79</v>
      </c>
      <c r="DO62" s="25">
        <v>0</v>
      </c>
      <c r="DP62" s="25">
        <v>0</v>
      </c>
      <c r="DQ62" s="25">
        <v>0</v>
      </c>
      <c r="DR62" s="25">
        <v>7</v>
      </c>
      <c r="DS62" s="25">
        <v>0</v>
      </c>
      <c r="DT62" s="25">
        <v>1</v>
      </c>
      <c r="DU62" s="25">
        <v>0</v>
      </c>
      <c r="DV62" s="25">
        <v>0</v>
      </c>
      <c r="DW62" s="25">
        <v>1</v>
      </c>
      <c r="DX62" s="25">
        <v>0</v>
      </c>
      <c r="DY62" s="25">
        <v>0</v>
      </c>
      <c r="DZ62" s="25">
        <v>0</v>
      </c>
      <c r="EA62" s="25">
        <v>0</v>
      </c>
      <c r="EB62" s="25">
        <v>0</v>
      </c>
      <c r="EC62" s="25">
        <v>2</v>
      </c>
      <c r="ED62" s="25">
        <v>4</v>
      </c>
      <c r="EE62" s="25">
        <v>514</v>
      </c>
      <c r="EF62" s="25">
        <v>9</v>
      </c>
      <c r="EG62" s="25">
        <v>1</v>
      </c>
      <c r="EH62" s="25">
        <v>0</v>
      </c>
      <c r="EI62" s="25">
        <v>1266</v>
      </c>
      <c r="EJ62" s="25">
        <v>0</v>
      </c>
      <c r="EK62" s="25">
        <v>19</v>
      </c>
      <c r="EL62" s="25">
        <v>0</v>
      </c>
      <c r="EM62" s="25">
        <v>0</v>
      </c>
      <c r="EN62" s="25">
        <v>0</v>
      </c>
      <c r="EO62" s="25">
        <v>66</v>
      </c>
      <c r="EP62" s="25">
        <v>0</v>
      </c>
      <c r="EQ62" s="25">
        <v>0</v>
      </c>
      <c r="ER62" s="25">
        <v>0</v>
      </c>
      <c r="ES62" s="25">
        <v>3</v>
      </c>
      <c r="ET62" s="25">
        <v>0</v>
      </c>
      <c r="EU62" s="25">
        <v>0</v>
      </c>
      <c r="EV62" s="25">
        <v>0</v>
      </c>
      <c r="EW62" s="25">
        <v>0</v>
      </c>
      <c r="EX62" s="25">
        <v>0</v>
      </c>
      <c r="EY62" s="25">
        <v>0</v>
      </c>
      <c r="EZ62" s="25">
        <v>0</v>
      </c>
      <c r="FA62" s="25">
        <v>0</v>
      </c>
      <c r="FB62" s="25">
        <v>0</v>
      </c>
      <c r="FC62" s="25">
        <v>0</v>
      </c>
      <c r="FD62" s="25">
        <v>0</v>
      </c>
      <c r="FE62" s="25">
        <v>0</v>
      </c>
      <c r="FF62" s="25">
        <v>0</v>
      </c>
      <c r="FG62" s="25">
        <v>0</v>
      </c>
      <c r="FH62" s="25">
        <v>0</v>
      </c>
      <c r="FI62" s="25">
        <v>1</v>
      </c>
      <c r="FJ62" s="25">
        <v>0</v>
      </c>
      <c r="FK62" s="25">
        <v>0</v>
      </c>
      <c r="FL62" s="25">
        <v>0</v>
      </c>
      <c r="FM62" s="25">
        <v>0</v>
      </c>
      <c r="FN62" s="25">
        <v>0</v>
      </c>
      <c r="FO62" s="25">
        <v>10</v>
      </c>
      <c r="FP62" s="25">
        <v>0</v>
      </c>
      <c r="FQ62" s="25">
        <v>0</v>
      </c>
      <c r="FR62" s="25">
        <v>0</v>
      </c>
      <c r="FS62" s="25">
        <v>0</v>
      </c>
      <c r="FT62" s="25">
        <v>0</v>
      </c>
      <c r="FU62" s="25">
        <v>0</v>
      </c>
      <c r="FV62" s="25">
        <v>0</v>
      </c>
      <c r="FW62" s="25">
        <v>0</v>
      </c>
      <c r="FX62" s="25">
        <v>1</v>
      </c>
      <c r="FY62" s="25">
        <v>0</v>
      </c>
      <c r="FZ62" s="25">
        <v>0</v>
      </c>
      <c r="GA62" s="25">
        <v>0</v>
      </c>
      <c r="GB62" s="25">
        <v>5</v>
      </c>
      <c r="GC62" s="25">
        <v>2</v>
      </c>
      <c r="GD62" s="25">
        <v>0</v>
      </c>
      <c r="GE62" s="25">
        <v>0</v>
      </c>
      <c r="GF62" s="25">
        <v>0</v>
      </c>
      <c r="GG62" s="25">
        <v>0</v>
      </c>
      <c r="GH62" s="25">
        <v>0</v>
      </c>
      <c r="GI62" s="25">
        <v>0</v>
      </c>
      <c r="GJ62" s="25">
        <v>0</v>
      </c>
      <c r="GK62" s="25">
        <v>5</v>
      </c>
      <c r="GL62" s="25">
        <v>0</v>
      </c>
      <c r="GM62" s="25">
        <v>0</v>
      </c>
      <c r="GN62" s="25">
        <v>0</v>
      </c>
      <c r="GO62" s="25">
        <v>0</v>
      </c>
      <c r="GP62" s="25">
        <v>0</v>
      </c>
      <c r="GQ62" s="25">
        <v>0</v>
      </c>
      <c r="GR62" s="25">
        <v>0</v>
      </c>
      <c r="GS62" s="25">
        <v>0</v>
      </c>
      <c r="GT62" s="25">
        <v>0</v>
      </c>
      <c r="GU62" s="25">
        <v>133</v>
      </c>
      <c r="GV62" s="25">
        <v>0</v>
      </c>
      <c r="GW62" s="25">
        <v>1</v>
      </c>
      <c r="GX62" s="25">
        <v>0</v>
      </c>
      <c r="GY62" s="46">
        <v>1</v>
      </c>
      <c r="GZ62" s="25">
        <v>11</v>
      </c>
      <c r="HA62" s="25">
        <v>1</v>
      </c>
      <c r="HB62" s="25">
        <v>0</v>
      </c>
      <c r="HC62" s="25">
        <v>1</v>
      </c>
      <c r="HD62" s="25">
        <v>0</v>
      </c>
      <c r="HE62" s="25">
        <v>0</v>
      </c>
      <c r="HF62" s="25">
        <v>0</v>
      </c>
      <c r="HG62" s="25">
        <v>0</v>
      </c>
      <c r="HH62" s="25">
        <v>0</v>
      </c>
      <c r="HI62" s="25">
        <v>1</v>
      </c>
      <c r="HJ62" s="25">
        <v>0</v>
      </c>
      <c r="HK62" s="25">
        <v>0</v>
      </c>
      <c r="HL62" s="25">
        <v>0</v>
      </c>
      <c r="HM62" s="25">
        <v>0</v>
      </c>
      <c r="HN62" s="25">
        <v>0</v>
      </c>
      <c r="HO62" s="25">
        <v>0</v>
      </c>
      <c r="HP62" s="25">
        <v>0</v>
      </c>
      <c r="HQ62" s="25">
        <v>10</v>
      </c>
      <c r="HR62" s="25">
        <v>0</v>
      </c>
      <c r="HS62" s="25">
        <v>49</v>
      </c>
      <c r="HT62" s="25">
        <v>0</v>
      </c>
      <c r="HU62" s="25">
        <v>0</v>
      </c>
      <c r="HV62" s="25">
        <v>0</v>
      </c>
      <c r="HW62" s="25">
        <v>0</v>
      </c>
      <c r="HX62" s="25">
        <v>0</v>
      </c>
      <c r="HY62" s="25">
        <v>0</v>
      </c>
      <c r="HZ62" s="25">
        <v>0</v>
      </c>
      <c r="IA62" s="25">
        <v>0</v>
      </c>
      <c r="IB62" s="25">
        <v>0</v>
      </c>
      <c r="IC62" s="25">
        <v>0</v>
      </c>
      <c r="ID62" s="25">
        <v>0</v>
      </c>
      <c r="IE62" s="25">
        <v>0</v>
      </c>
      <c r="IF62" s="25">
        <v>0</v>
      </c>
      <c r="IG62" s="25">
        <v>0</v>
      </c>
      <c r="IH62" s="25">
        <v>0</v>
      </c>
      <c r="II62" s="25">
        <v>0</v>
      </c>
      <c r="IJ62" s="25">
        <v>0</v>
      </c>
      <c r="IK62" s="25">
        <v>0</v>
      </c>
      <c r="IL62" s="25">
        <v>0</v>
      </c>
      <c r="IM62" s="25">
        <v>0</v>
      </c>
      <c r="IN62" s="25">
        <v>0</v>
      </c>
      <c r="IO62" s="25">
        <v>0</v>
      </c>
      <c r="IP62" s="25">
        <v>0</v>
      </c>
      <c r="IQ62" s="25">
        <v>0</v>
      </c>
      <c r="IR62" s="25">
        <v>0</v>
      </c>
      <c r="IS62" s="25">
        <v>0</v>
      </c>
      <c r="IT62" s="25">
        <v>0</v>
      </c>
      <c r="IU62" s="25">
        <v>0</v>
      </c>
      <c r="IV62" s="25">
        <v>0</v>
      </c>
      <c r="IW62" s="25">
        <v>0</v>
      </c>
      <c r="IX62" s="25">
        <v>0</v>
      </c>
      <c r="IY62" s="25">
        <v>0</v>
      </c>
      <c r="IZ62" s="25">
        <v>0</v>
      </c>
      <c r="JA62" s="25">
        <v>0</v>
      </c>
      <c r="JB62" s="25">
        <v>0</v>
      </c>
      <c r="JC62" s="25">
        <v>0</v>
      </c>
      <c r="JD62" s="25">
        <v>0</v>
      </c>
      <c r="JE62" s="25">
        <v>0</v>
      </c>
      <c r="JF62" s="25">
        <v>0</v>
      </c>
      <c r="JG62" s="25">
        <v>0</v>
      </c>
      <c r="JH62" s="25">
        <v>0</v>
      </c>
      <c r="JI62" s="25">
        <v>0</v>
      </c>
      <c r="JJ62" s="25">
        <v>0</v>
      </c>
      <c r="JK62" s="25">
        <v>0</v>
      </c>
      <c r="JL62" s="25">
        <v>0</v>
      </c>
      <c r="JM62" s="25">
        <v>0</v>
      </c>
      <c r="JN62" s="25">
        <v>0</v>
      </c>
      <c r="JO62" s="25">
        <v>0</v>
      </c>
      <c r="JP62" s="25">
        <v>0</v>
      </c>
      <c r="JQ62" s="25">
        <v>4</v>
      </c>
      <c r="JR62" s="25">
        <v>1</v>
      </c>
      <c r="JS62" s="25">
        <v>0</v>
      </c>
      <c r="JT62" s="25">
        <v>0</v>
      </c>
      <c r="JU62" s="25">
        <v>0</v>
      </c>
      <c r="JV62" s="25">
        <v>2</v>
      </c>
      <c r="JW62" s="25">
        <v>1</v>
      </c>
      <c r="JX62" s="25">
        <v>0</v>
      </c>
      <c r="JY62" s="25">
        <v>0</v>
      </c>
      <c r="JZ62" s="25">
        <v>0</v>
      </c>
      <c r="KA62" s="25">
        <v>0</v>
      </c>
      <c r="KB62" s="25">
        <v>0</v>
      </c>
      <c r="KC62" s="25">
        <v>1</v>
      </c>
      <c r="KD62" s="25">
        <v>0</v>
      </c>
      <c r="KE62" s="25">
        <v>0</v>
      </c>
      <c r="KF62" s="25">
        <v>0</v>
      </c>
      <c r="KG62" s="25">
        <v>0</v>
      </c>
      <c r="KH62" s="25">
        <v>0</v>
      </c>
      <c r="KI62" s="25">
        <v>0</v>
      </c>
      <c r="KJ62" s="25">
        <v>0</v>
      </c>
      <c r="KK62" s="25">
        <v>0</v>
      </c>
      <c r="KL62" s="25">
        <v>0</v>
      </c>
      <c r="KM62" s="25">
        <v>0</v>
      </c>
      <c r="KN62" s="25">
        <v>0</v>
      </c>
      <c r="KO62" s="25">
        <v>0</v>
      </c>
      <c r="KP62" s="25">
        <v>0</v>
      </c>
      <c r="KQ62" s="25">
        <v>1</v>
      </c>
      <c r="KR62" s="25">
        <v>0</v>
      </c>
      <c r="KS62" s="25">
        <v>2</v>
      </c>
      <c r="KT62" s="25">
        <v>0</v>
      </c>
      <c r="KU62" s="25">
        <v>0</v>
      </c>
      <c r="KV62" s="25">
        <v>0</v>
      </c>
      <c r="KW62" s="25">
        <v>0</v>
      </c>
      <c r="KX62" s="25">
        <v>0</v>
      </c>
      <c r="KY62" s="25">
        <v>0</v>
      </c>
      <c r="KZ62" s="25">
        <v>0</v>
      </c>
      <c r="LA62" s="25">
        <v>0</v>
      </c>
      <c r="LB62" s="25">
        <v>1</v>
      </c>
      <c r="LC62" s="25">
        <v>0</v>
      </c>
      <c r="LD62" s="25">
        <v>0</v>
      </c>
      <c r="LE62" s="25">
        <v>0</v>
      </c>
      <c r="LF62" s="25">
        <v>0</v>
      </c>
      <c r="LG62" s="25">
        <v>0</v>
      </c>
      <c r="LH62" s="25">
        <v>37</v>
      </c>
      <c r="LI62" s="25">
        <v>0</v>
      </c>
      <c r="LJ62" s="25">
        <v>0</v>
      </c>
      <c r="LK62" s="25">
        <v>0</v>
      </c>
      <c r="LL62" s="25">
        <v>0</v>
      </c>
      <c r="LM62" s="25">
        <v>0</v>
      </c>
      <c r="LN62" s="278">
        <f ca="1">$A62 - DeathsTimeS!Sweden100dt + 1</f>
        <v>-5</v>
      </c>
      <c r="LO62" s="366">
        <f ca="1">INDEX(OFFSET(DeathsTimeS!HeadRow,ROW()-ROW(DeathsTimeS!HeadRow),0,1,COLUMNS(DeathsTimeS!HeadRow)),1,MATCH(LO$5,DeathsTimeS!HeadRow,0))/LO$8</f>
        <v>0.97751710654936474</v>
      </c>
      <c r="LP62" s="278">
        <f ca="1">$A62 - DeathsTimeS!Spain100dt</f>
        <v>2</v>
      </c>
      <c r="LQ62" s="11">
        <f ca="1">INDEX(OFFSET(DeathsTimeS!HeadRow,ROW()-ROW(DeathsTimeS!HeadRow),0,1,COLUMNS(DeathsTimeS!HeadRow)),1,MATCH(LQ$5,DeathsTimeS!HeadRow,0))/LQ$8</f>
        <v>28.334043459735835</v>
      </c>
      <c r="LR62" s="278">
        <f ca="1">$A62 - DeathsTimeS!Victoria100dt</f>
        <v>-21</v>
      </c>
      <c r="LS62" s="11">
        <f ca="1">INDEX(OFFSET(DeathsTimeS!HeadRow,ROW()-ROW(DeathsTimeS!HeadRow),0,1,COLUMNS(DeathsTimeS!HeadRow)),1,MATCH(LS$5,DeathsTimeS!HeadRow,0))/LS$8</f>
        <v>0</v>
      </c>
      <c r="LT62" s="278">
        <f ca="1">$A62 - DeathsTimeS!Iran100dt</f>
        <v>9</v>
      </c>
      <c r="LU62" s="11">
        <f ca="1">INDEX(OFFSET(DeathsTimeS!HeadRow,ROW()-ROW(DeathsTimeS!HeadRow),0,1,COLUMNS(DeathsTimeS!HeadRow)),1,MATCH(LU$5,DeathsTimeS!HeadRow,0))/LU$8</f>
        <v>61.356284244326929</v>
      </c>
      <c r="LV62" s="278">
        <f ca="1">$A62 - DeathsTimeS!Japan100dt</f>
        <v>-32</v>
      </c>
      <c r="LW62" s="11">
        <f ca="1">INDEX(OFFSET(DeathsTimeS!HeadRow,ROW()-ROW(DeathsTimeS!HeadRow),0,1,COLUMNS(DeathsTimeS!HeadRow)),1,MATCH(LW$5,DeathsTimeS!HeadRow,0))/LW$8</f>
        <v>1.5013329901022727</v>
      </c>
      <c r="LX62" s="278">
        <f ca="1">$A62 - DeathsTimeS!Queensland100dt</f>
        <v>-36</v>
      </c>
      <c r="LY62" s="11">
        <f ca="1">INDEX(OFFSET(DeathsTimeS!HeadRow,ROW()-ROW(DeathsTimeS!HeadRow),0,1,COLUMNS(DeathsTimeS!HeadRow)),1,MATCH(LY$5,DeathsTimeS!HeadRow,0))/LY$8</f>
        <v>0</v>
      </c>
      <c r="LZ62" s="278">
        <f ca="1">$A62 - DeathsTimeS!Tasmania100dt</f>
        <v>-18</v>
      </c>
      <c r="MA62" s="11">
        <f ca="1">INDEX(OFFSET(DeathsTimeS!HeadRow,ROW()-ROW(DeathsTimeS!HeadRow),0,1,COLUMNS(DeathsTimeS!HeadRow)),1,MATCH(MA$5,DeathsTimeS!HeadRow,0))/MA$8</f>
        <v>0</v>
      </c>
      <c r="MB62" s="278">
        <f ca="1">$A62 - DeathsTimeS!SouthAustralia100dt</f>
        <v>-26</v>
      </c>
      <c r="MC62" s="11">
        <f ca="1">INDEX(OFFSET(DeathsTimeS!HeadRow,ROW()-ROW(DeathsTimeS!HeadRow),0,1,COLUMNS(DeathsTimeS!HeadRow)),1,MATCH(MC$5,DeathsTimeS!HeadRow,0))/MC$8</f>
        <v>0</v>
      </c>
      <c r="MD62" s="278">
        <f ca="1">$A62 - DeathsTimeS!WesternAustralia100dt</f>
        <v>-23</v>
      </c>
      <c r="ME62" s="11">
        <f ca="1">INDEX(OFFSET(DeathsTimeS!HeadRow,ROW()-ROW(DeathsTimeS!HeadRow),0,1,COLUMNS(DeathsTimeS!HeadRow)),1,MATCH(ME$5,DeathsTimeS!HeadRow,0))/ME$8</f>
        <v>3.8624951718810348</v>
      </c>
      <c r="MF62" s="278">
        <f ca="1">$A62 - DeathsTimeS!NewSouthWales100dt</f>
        <v>-19</v>
      </c>
      <c r="MG62" s="11">
        <f ca="1">INDEX(OFFSET(DeathsTimeS!HeadRow,ROW()-ROW(DeathsTimeS!HeadRow),0,1,COLUMNS(DeathsTimeS!HeadRow)),1,MATCH(MG$5,DeathsTimeS!HeadRow,0))/MG$8</f>
        <v>2.4752475247524752</v>
      </c>
      <c r="MH62" s="278">
        <f ca="1">$A62 - DeathsTimeS!NewYork100dt</f>
        <v>-3</v>
      </c>
      <c r="MI62" s="11">
        <f ca="1">INDEX(OFFSET(DeathsTimeS!HeadRow,ROW()-ROW(DeathsTimeS!HeadRow),0,1,COLUMNS(DeathsTimeS!HeadRow)),1,MATCH(MI$5,DeathsTimeS!HeadRow,0))/MI$8</f>
        <v>0.84645103185554971</v>
      </c>
      <c r="MJ62" s="278">
        <f ca="1">$A62 - DeathsTimeS!Italy100dt</f>
        <v>10</v>
      </c>
      <c r="MK62" s="20">
        <f ca="1">INDEX(OFFSET(DeathsTimeS!HeadRow,ROW()-ROW(DeathsTimeS!HeadRow),0,1,COLUMNS(DeathsTimeS!HeadRow)),1,MATCH(MK$5,DeathsTimeS!HeadRow,0))/MK$8</f>
        <v>209.30809291559891</v>
      </c>
      <c r="ML62" s="278">
        <f ca="1">$A62 - DeathsTimeS!AustralianCapitalTerritory100dt</f>
        <v>-17</v>
      </c>
      <c r="MM62" s="11">
        <f ca="1">INDEX(OFFSET(DeathsTimeS!HeadRow,ROW()-ROW(DeathsTimeS!HeadRow),0,1,COLUMNS(DeathsTimeS!HeadRow)),1,MATCH(MM$5,DeathsTimeS!HeadRow,0))/MM$8</f>
        <v>0</v>
      </c>
      <c r="MN62" s="278">
        <f ca="1">IF(DeathsTimeS!NorthernTerritory100dt&gt;0,$A62 - DeathsTimeS!NorthernTerritory100dt,"")</f>
        <v>-45</v>
      </c>
      <c r="MO62" s="11">
        <f ca="1">INDEX(OFFSET(DeathsTimeS!HeadRow,ROW()-ROW(DeathsTimeS!HeadRow),0,1,COLUMNS(DeathsTimeS!HeadRow)),1,MATCH(MO$5,DeathsTimeS!HeadRow,0))/MO$8</f>
        <v>0</v>
      </c>
      <c r="MP62" s="278">
        <f ca="1">$A62 - DeathsTimeS!SouthAfrica100dt + 1</f>
        <v>-37</v>
      </c>
      <c r="MQ62" s="20">
        <f ca="1">INDEX(OFFSET(DeathsTimeS!HeadRow,ROW()-ROW(DeathsTimeS!HeadRow),0,1,COLUMNS(DeathsTimeS!HeadRow)),1,MATCH(MQ$5,DeathsTimeS!HeadRow,0))/MQ$8</f>
        <v>0</v>
      </c>
      <c r="MR62" s="278">
        <f ca="1">$A62 - DeathsTimeS!Germany100dt + 1</f>
        <v>-7</v>
      </c>
      <c r="MS62" s="20">
        <f ca="1">INDEX(OFFSET(DeathsTimeS!HeadRow,ROW()-ROW(DeathsTimeS!HeadRow),0,1,COLUMNS(DeathsTimeS!HeadRow)),1,MATCH(MS$5,DeathsTimeS!HeadRow,0))/MS$8</f>
        <v>0.84317032040472184</v>
      </c>
      <c r="MT62" s="278">
        <f ca="1">$A62 - DeathsTimeS!Ireland100dt + 1</f>
        <v>-9</v>
      </c>
      <c r="MU62" s="73">
        <f ca="1">INDEX(OFFSET(DeathsTimeS!HeadRow,ROW()-ROW(DeathsTimeS!HeadRow),0,1,COLUMNS(DeathsTimeS!HeadRow)),1,MATCH(MU$5,DeathsTimeS!HeadRow,0))/MU$8</f>
        <v>2.0408163265306123</v>
      </c>
      <c r="MV62" s="278">
        <f ca="1">$A62 - DeathsTimeS!UnitedKingdom100dt + 1</f>
        <v>-3</v>
      </c>
      <c r="MW62" s="73">
        <f ca="1">INDEX(OFFSET(DeathsTimeS!HeadRow,ROW()-ROW(DeathsTimeS!HeadRow),0,1,COLUMNS(DeathsTimeS!HeadRow)),1,MATCH(MW$5,DeathsTimeS!HeadRow,0))/MW$8</f>
        <v>1.5051173991571343</v>
      </c>
      <c r="MX62" s="278">
        <f ca="1">$A62 - DeathsTimeS!Denmark100dt + 1</f>
        <v>-5</v>
      </c>
      <c r="MY62" s="73">
        <f ca="1">INDEX(OFFSET(DeathsTimeS!HeadRow,ROW()-ROW(DeathsTimeS!HeadRow),0,1,COLUMNS(DeathsTimeS!HeadRow)),1,MATCH(MY$5,DeathsTimeS!HeadRow,0))/MY$8</f>
        <v>0</v>
      </c>
      <c r="MZ62" s="278">
        <f ca="1">$A62 - DeathsTimeS!US100dt + 1</f>
        <v>-6</v>
      </c>
      <c r="NA62" s="73">
        <f ca="1">INDEX(OFFSET(DeathsTimeS!HeadRow,ROW()-ROW(DeathsTimeS!HeadRow),0,1,COLUMNS(DeathsTimeS!HeadRow)),1,MATCH(NA$5,DeathsTimeS!HeadRow,0))/NA$8</f>
        <v>1.4883314239256131</v>
      </c>
      <c r="NB62" s="278">
        <f ca="1">$A62 - DeathsTimeS!AustraliaSum100dt + 1</f>
        <v>-12</v>
      </c>
      <c r="NC62" s="366">
        <f t="shared" si="6"/>
        <v>3</v>
      </c>
      <c r="ND62" s="278">
        <f ca="1">$A62 - DeathsTimeS!Taiwan100dt + 1</f>
        <v>-44</v>
      </c>
      <c r="NE62" s="366">
        <f ca="1">INDEX(OFFSET(DeathsTimeS!HeadRow,ROW()-ROW(DeathsTimeS!HeadRow),0,1,COLUMNS(DeathsTimeS!HeadRow)),1,MATCH(NE$5,DeathsTimeS!HeadRow,0))/NE$8</f>
        <v>0.4200395492437986</v>
      </c>
      <c r="NF62" s="278">
        <f ca="1">$A62 - DeathsTimeS!Hubei100dt + 1</f>
        <v>47</v>
      </c>
      <c r="NG62" s="366">
        <f ca="1">INDEX(OFFSET(DeathsTimeS!HeadRow,ROW()-ROW(DeathsTimeS!HeadRow),0,1,COLUMNS(DeathsTimeS!HeadRow)),1,MATCH(NG$5,DeathsTimeS!HeadRow,0))/NG$8</f>
        <v>523.41880341880346</v>
      </c>
      <c r="NH62" s="278">
        <f ca="1">$A62 - DeathsTimeS!HongKong100dt + 1</f>
        <v>-44</v>
      </c>
      <c r="NI62" s="366">
        <f ca="1">INDEX(OFFSET(DeathsTimeS!HeadRow,ROW()-ROW(DeathsTimeS!HeadRow),0,1,COLUMNS(DeathsTimeS!HeadRow)),1,MATCH(NI$5,DeathsTimeS!HeadRow,0))/NI$8</f>
        <v>5.3684069252449333</v>
      </c>
    </row>
    <row r="63" spans="1:373" x14ac:dyDescent="0.25">
      <c r="A63" s="156">
        <v>43904</v>
      </c>
      <c r="B63" s="25">
        <v>0</v>
      </c>
      <c r="C63" s="25">
        <v>1</v>
      </c>
      <c r="D63" s="25">
        <v>3</v>
      </c>
      <c r="E63" s="25">
        <v>0</v>
      </c>
      <c r="F63" s="25">
        <v>0</v>
      </c>
      <c r="G63" s="25">
        <v>0</v>
      </c>
      <c r="H63" s="25">
        <v>2</v>
      </c>
      <c r="I63" s="25">
        <v>0</v>
      </c>
      <c r="J63" s="25">
        <v>0</v>
      </c>
      <c r="K63" s="25">
        <v>2</v>
      </c>
      <c r="L63" s="25">
        <v>0</v>
      </c>
      <c r="M63" s="25">
        <v>0</v>
      </c>
      <c r="N63" s="25">
        <v>0</v>
      </c>
      <c r="O63" s="25">
        <v>0</v>
      </c>
      <c r="P63" s="25">
        <v>0</v>
      </c>
      <c r="Q63" s="25">
        <v>1</v>
      </c>
      <c r="R63" s="25">
        <v>1</v>
      </c>
      <c r="S63" s="25">
        <v>1</v>
      </c>
      <c r="T63" s="25">
        <v>0</v>
      </c>
      <c r="U63" s="25">
        <v>0</v>
      </c>
      <c r="V63" s="25">
        <v>0</v>
      </c>
      <c r="W63" s="25">
        <v>0</v>
      </c>
      <c r="X63" s="25">
        <v>0</v>
      </c>
      <c r="Y63" s="25">
        <v>4</v>
      </c>
      <c r="Z63" s="25">
        <v>0</v>
      </c>
      <c r="AA63" s="25">
        <v>0</v>
      </c>
      <c r="AB63" s="25">
        <v>0</v>
      </c>
      <c r="AC63" s="25">
        <v>0</v>
      </c>
      <c r="AD63" s="25">
        <v>0</v>
      </c>
      <c r="AE63" s="25">
        <v>0</v>
      </c>
      <c r="AF63" s="25">
        <v>2</v>
      </c>
      <c r="AG63" s="25">
        <v>0</v>
      </c>
      <c r="AH63" s="25">
        <v>0</v>
      </c>
      <c r="AI63" s="25">
        <v>0</v>
      </c>
      <c r="AJ63" s="25">
        <v>0</v>
      </c>
      <c r="AK63" s="25">
        <v>0</v>
      </c>
      <c r="AL63" s="25">
        <v>1</v>
      </c>
      <c r="AM63" s="25">
        <v>0</v>
      </c>
      <c r="AN63" s="25">
        <v>0</v>
      </c>
      <c r="AO63" s="25">
        <v>0</v>
      </c>
      <c r="AP63" s="25">
        <v>0</v>
      </c>
      <c r="AQ63" s="25">
        <v>0</v>
      </c>
      <c r="AR63" s="25">
        <v>0</v>
      </c>
      <c r="AS63" s="25">
        <v>0</v>
      </c>
      <c r="AT63" s="25">
        <v>0</v>
      </c>
      <c r="AU63" s="25">
        <v>0</v>
      </c>
      <c r="AV63" s="25">
        <v>0</v>
      </c>
      <c r="AW63" s="25">
        <v>0</v>
      </c>
      <c r="AX63" s="25">
        <v>0</v>
      </c>
      <c r="AY63" s="25">
        <v>6</v>
      </c>
      <c r="AZ63" s="25">
        <v>8</v>
      </c>
      <c r="BA63" s="25">
        <v>6</v>
      </c>
      <c r="BB63" s="25">
        <v>1</v>
      </c>
      <c r="BC63" s="25">
        <v>2</v>
      </c>
      <c r="BD63" s="25">
        <v>8</v>
      </c>
      <c r="BE63" s="25">
        <v>2</v>
      </c>
      <c r="BF63" s="25">
        <v>2</v>
      </c>
      <c r="BG63" s="25">
        <v>6</v>
      </c>
      <c r="BH63" s="25">
        <v>6</v>
      </c>
      <c r="BI63" s="25">
        <v>13</v>
      </c>
      <c r="BJ63" s="25">
        <v>22</v>
      </c>
      <c r="BK63" s="25">
        <v>4</v>
      </c>
      <c r="BL63" s="25">
        <v>3075</v>
      </c>
      <c r="BM63" s="25">
        <v>4</v>
      </c>
      <c r="BN63" s="25">
        <v>1</v>
      </c>
      <c r="BO63" s="25">
        <v>0</v>
      </c>
      <c r="BP63" s="25">
        <v>1</v>
      </c>
      <c r="BQ63" s="25">
        <v>1</v>
      </c>
      <c r="BR63" s="25">
        <v>1</v>
      </c>
      <c r="BS63" s="25">
        <v>0</v>
      </c>
      <c r="BT63" s="25">
        <v>0</v>
      </c>
      <c r="BU63" s="25">
        <v>0</v>
      </c>
      <c r="BV63" s="25">
        <v>2</v>
      </c>
      <c r="BW63" s="25">
        <v>7</v>
      </c>
      <c r="BX63" s="25">
        <v>3</v>
      </c>
      <c r="BY63" s="25">
        <v>0</v>
      </c>
      <c r="BZ63" s="25">
        <v>3</v>
      </c>
      <c r="CA63" s="25">
        <v>3</v>
      </c>
      <c r="CB63" s="25">
        <v>0</v>
      </c>
      <c r="CC63" s="25">
        <v>3</v>
      </c>
      <c r="CD63" s="25">
        <v>2</v>
      </c>
      <c r="CE63" s="25">
        <v>1</v>
      </c>
      <c r="CF63" s="25">
        <v>0</v>
      </c>
      <c r="CG63" s="25">
        <v>0</v>
      </c>
      <c r="CH63" s="25">
        <v>0</v>
      </c>
      <c r="CI63" s="25">
        <v>0</v>
      </c>
      <c r="CJ63" s="25">
        <v>0</v>
      </c>
      <c r="CK63" s="25">
        <v>0</v>
      </c>
      <c r="CL63" s="25">
        <v>7</v>
      </c>
      <c r="CM63" s="25">
        <v>0</v>
      </c>
      <c r="CN63" s="25">
        <v>0</v>
      </c>
      <c r="CO63" s="25">
        <v>0</v>
      </c>
      <c r="CP63" s="25">
        <v>0</v>
      </c>
      <c r="CQ63" s="25">
        <v>0</v>
      </c>
      <c r="CR63" s="25">
        <v>1</v>
      </c>
      <c r="CS63" s="25">
        <v>0</v>
      </c>
      <c r="CT63" s="25">
        <v>0</v>
      </c>
      <c r="CU63" s="25">
        <v>2</v>
      </c>
      <c r="CV63" s="25">
        <v>2</v>
      </c>
      <c r="CW63" s="25">
        <v>0</v>
      </c>
      <c r="CX63" s="25">
        <v>0</v>
      </c>
      <c r="CY63" s="25">
        <v>0</v>
      </c>
      <c r="CZ63" s="25">
        <v>0</v>
      </c>
      <c r="DA63" s="25">
        <v>0</v>
      </c>
      <c r="DB63" s="25">
        <v>0</v>
      </c>
      <c r="DC63" s="25">
        <v>0</v>
      </c>
      <c r="DD63" s="25">
        <v>0</v>
      </c>
      <c r="DE63" s="25">
        <v>0</v>
      </c>
      <c r="DF63" s="25">
        <v>0</v>
      </c>
      <c r="DG63" s="25">
        <v>0</v>
      </c>
      <c r="DH63" s="25">
        <v>0</v>
      </c>
      <c r="DI63" s="25">
        <v>0</v>
      </c>
      <c r="DJ63" s="25">
        <v>0</v>
      </c>
      <c r="DK63" s="25">
        <v>0</v>
      </c>
      <c r="DL63" s="25">
        <v>0</v>
      </c>
      <c r="DM63" s="25">
        <v>0</v>
      </c>
      <c r="DN63" s="25">
        <v>91</v>
      </c>
      <c r="DO63" s="25">
        <v>0</v>
      </c>
      <c r="DP63" s="25">
        <v>0</v>
      </c>
      <c r="DQ63" s="25">
        <v>0</v>
      </c>
      <c r="DR63" s="25">
        <v>9</v>
      </c>
      <c r="DS63" s="25">
        <v>0</v>
      </c>
      <c r="DT63" s="25">
        <v>3</v>
      </c>
      <c r="DU63" s="25">
        <v>0</v>
      </c>
      <c r="DV63" s="25">
        <v>0</v>
      </c>
      <c r="DW63" s="25">
        <v>1</v>
      </c>
      <c r="DX63" s="25">
        <v>0</v>
      </c>
      <c r="DY63" s="25">
        <v>0</v>
      </c>
      <c r="DZ63" s="25">
        <v>0</v>
      </c>
      <c r="EA63" s="25">
        <v>0</v>
      </c>
      <c r="EB63" s="25">
        <v>0</v>
      </c>
      <c r="EC63" s="25">
        <v>2</v>
      </c>
      <c r="ED63" s="25">
        <v>5</v>
      </c>
      <c r="EE63" s="25">
        <v>611</v>
      </c>
      <c r="EF63" s="25">
        <v>10</v>
      </c>
      <c r="EG63" s="25">
        <v>2</v>
      </c>
      <c r="EH63" s="25">
        <v>0</v>
      </c>
      <c r="EI63" s="25">
        <v>1441</v>
      </c>
      <c r="EJ63" s="25">
        <v>0</v>
      </c>
      <c r="EK63" s="25">
        <v>22</v>
      </c>
      <c r="EL63" s="25">
        <v>0</v>
      </c>
      <c r="EM63" s="25">
        <v>0</v>
      </c>
      <c r="EN63" s="25">
        <v>0</v>
      </c>
      <c r="EO63" s="25">
        <v>72</v>
      </c>
      <c r="EP63" s="25">
        <v>0</v>
      </c>
      <c r="EQ63" s="25">
        <v>0</v>
      </c>
      <c r="ER63" s="25">
        <v>0</v>
      </c>
      <c r="ES63" s="25">
        <v>3</v>
      </c>
      <c r="ET63" s="25">
        <v>0</v>
      </c>
      <c r="EU63" s="25">
        <v>0</v>
      </c>
      <c r="EV63" s="25">
        <v>0</v>
      </c>
      <c r="EW63" s="25">
        <v>1</v>
      </c>
      <c r="EX63" s="25">
        <v>0</v>
      </c>
      <c r="EY63" s="25">
        <v>0</v>
      </c>
      <c r="EZ63" s="25">
        <v>0</v>
      </c>
      <c r="FA63" s="25">
        <v>0</v>
      </c>
      <c r="FB63" s="25">
        <v>0</v>
      </c>
      <c r="FC63" s="25">
        <v>0</v>
      </c>
      <c r="FD63" s="25">
        <v>0</v>
      </c>
      <c r="FE63" s="25">
        <v>0</v>
      </c>
      <c r="FF63" s="25">
        <v>0</v>
      </c>
      <c r="FG63" s="25">
        <v>0</v>
      </c>
      <c r="FH63" s="25">
        <v>0</v>
      </c>
      <c r="FI63" s="25">
        <v>1</v>
      </c>
      <c r="FJ63" s="25">
        <v>0</v>
      </c>
      <c r="FK63" s="25">
        <v>0</v>
      </c>
      <c r="FL63" s="25">
        <v>0</v>
      </c>
      <c r="FM63" s="25">
        <v>0</v>
      </c>
      <c r="FN63" s="25">
        <v>0</v>
      </c>
      <c r="FO63" s="25">
        <v>12</v>
      </c>
      <c r="FP63" s="25">
        <v>0</v>
      </c>
      <c r="FQ63" s="25">
        <v>0</v>
      </c>
      <c r="FR63" s="25">
        <v>0</v>
      </c>
      <c r="FS63" s="25">
        <v>0</v>
      </c>
      <c r="FT63" s="25">
        <v>0</v>
      </c>
      <c r="FU63" s="25">
        <v>3</v>
      </c>
      <c r="FV63" s="25">
        <v>0</v>
      </c>
      <c r="FW63" s="25">
        <v>0</v>
      </c>
      <c r="FX63" s="25">
        <v>1</v>
      </c>
      <c r="FY63" s="25">
        <v>0</v>
      </c>
      <c r="FZ63" s="25">
        <v>0</v>
      </c>
      <c r="GA63" s="25">
        <v>0</v>
      </c>
      <c r="GB63" s="25">
        <v>8</v>
      </c>
      <c r="GC63" s="25">
        <v>3</v>
      </c>
      <c r="GD63" s="25">
        <v>0</v>
      </c>
      <c r="GE63" s="25">
        <v>0</v>
      </c>
      <c r="GF63" s="25">
        <v>0</v>
      </c>
      <c r="GG63" s="25">
        <v>0</v>
      </c>
      <c r="GH63" s="25">
        <v>0</v>
      </c>
      <c r="GI63" s="25">
        <v>0</v>
      </c>
      <c r="GJ63" s="25">
        <v>0</v>
      </c>
      <c r="GK63" s="25">
        <v>5</v>
      </c>
      <c r="GL63" s="25">
        <v>0</v>
      </c>
      <c r="GM63" s="25">
        <v>0</v>
      </c>
      <c r="GN63" s="25">
        <v>0</v>
      </c>
      <c r="GO63" s="25">
        <v>0</v>
      </c>
      <c r="GP63" s="25">
        <v>0</v>
      </c>
      <c r="GQ63" s="25">
        <v>0</v>
      </c>
      <c r="GR63" s="25">
        <v>1</v>
      </c>
      <c r="GS63" s="25">
        <v>0</v>
      </c>
      <c r="GT63" s="25">
        <v>0</v>
      </c>
      <c r="GU63" s="25">
        <v>195</v>
      </c>
      <c r="GV63" s="25">
        <v>0</v>
      </c>
      <c r="GW63" s="25">
        <v>1</v>
      </c>
      <c r="GX63" s="25">
        <v>0</v>
      </c>
      <c r="GY63" s="46">
        <v>2</v>
      </c>
      <c r="GZ63" s="25">
        <v>13</v>
      </c>
      <c r="HA63" s="25">
        <v>1</v>
      </c>
      <c r="HB63" s="25">
        <v>0</v>
      </c>
      <c r="HC63" s="25">
        <v>1</v>
      </c>
      <c r="HD63" s="25">
        <v>0</v>
      </c>
      <c r="HE63" s="25">
        <v>0</v>
      </c>
      <c r="HF63" s="25">
        <v>0</v>
      </c>
      <c r="HG63" s="25">
        <v>0</v>
      </c>
      <c r="HH63" s="25">
        <v>0</v>
      </c>
      <c r="HI63" s="25">
        <v>1</v>
      </c>
      <c r="HJ63" s="25">
        <v>0</v>
      </c>
      <c r="HK63" s="25">
        <v>0</v>
      </c>
      <c r="HL63" s="25">
        <v>0</v>
      </c>
      <c r="HM63" s="25">
        <v>0</v>
      </c>
      <c r="HN63" s="25">
        <v>0</v>
      </c>
      <c r="HO63" s="25">
        <v>0</v>
      </c>
      <c r="HP63" s="25">
        <v>0</v>
      </c>
      <c r="HQ63" s="25">
        <v>28</v>
      </c>
      <c r="HR63" s="25">
        <v>0</v>
      </c>
      <c r="HS63" s="25">
        <v>58</v>
      </c>
      <c r="HT63" s="25">
        <v>0</v>
      </c>
      <c r="HU63" s="25">
        <v>0</v>
      </c>
      <c r="HV63" s="25">
        <v>0</v>
      </c>
      <c r="HW63" s="25">
        <v>0</v>
      </c>
      <c r="HX63" s="25">
        <v>0</v>
      </c>
      <c r="HY63" s="25">
        <v>0</v>
      </c>
      <c r="HZ63" s="25">
        <v>0</v>
      </c>
      <c r="IA63" s="25">
        <v>0</v>
      </c>
      <c r="IB63" s="25">
        <v>0</v>
      </c>
      <c r="IC63" s="25">
        <v>0</v>
      </c>
      <c r="ID63" s="25">
        <v>0</v>
      </c>
      <c r="IE63" s="25">
        <v>0</v>
      </c>
      <c r="IF63" s="25">
        <v>0</v>
      </c>
      <c r="IG63" s="25">
        <v>0</v>
      </c>
      <c r="IH63" s="25">
        <v>0</v>
      </c>
      <c r="II63" s="25">
        <v>0</v>
      </c>
      <c r="IJ63" s="25">
        <v>0</v>
      </c>
      <c r="IK63" s="25">
        <v>0</v>
      </c>
      <c r="IL63" s="25">
        <v>0</v>
      </c>
      <c r="IM63" s="25">
        <v>0</v>
      </c>
      <c r="IN63" s="25">
        <v>0</v>
      </c>
      <c r="IO63" s="25">
        <v>0</v>
      </c>
      <c r="IP63" s="25">
        <v>0</v>
      </c>
      <c r="IQ63" s="25">
        <v>0</v>
      </c>
      <c r="IR63" s="25">
        <v>0</v>
      </c>
      <c r="IS63" s="25">
        <v>0</v>
      </c>
      <c r="IT63" s="25">
        <v>0</v>
      </c>
      <c r="IU63" s="25">
        <v>0</v>
      </c>
      <c r="IV63" s="25">
        <v>0</v>
      </c>
      <c r="IW63" s="25">
        <v>0</v>
      </c>
      <c r="IX63" s="25">
        <v>0</v>
      </c>
      <c r="IY63" s="25">
        <v>0</v>
      </c>
      <c r="IZ63" s="25">
        <v>0</v>
      </c>
      <c r="JA63" s="25">
        <v>0</v>
      </c>
      <c r="JB63" s="25">
        <v>0</v>
      </c>
      <c r="JC63" s="25">
        <v>0</v>
      </c>
      <c r="JD63" s="25">
        <v>0</v>
      </c>
      <c r="JE63" s="25">
        <v>0</v>
      </c>
      <c r="JF63" s="25">
        <v>0</v>
      </c>
      <c r="JG63" s="25">
        <v>0</v>
      </c>
      <c r="JH63" s="25">
        <v>0</v>
      </c>
      <c r="JI63" s="25">
        <v>0</v>
      </c>
      <c r="JJ63" s="25">
        <v>0</v>
      </c>
      <c r="JK63" s="25">
        <v>0</v>
      </c>
      <c r="JL63" s="25">
        <v>0</v>
      </c>
      <c r="JM63" s="25">
        <v>0</v>
      </c>
      <c r="JN63" s="25">
        <v>0</v>
      </c>
      <c r="JO63" s="25">
        <v>0</v>
      </c>
      <c r="JP63" s="25">
        <v>0</v>
      </c>
      <c r="JQ63" s="25">
        <v>3</v>
      </c>
      <c r="JR63" s="25">
        <v>0</v>
      </c>
      <c r="JS63" s="25">
        <v>0</v>
      </c>
      <c r="JT63" s="25">
        <v>0</v>
      </c>
      <c r="JU63" s="25">
        <v>0</v>
      </c>
      <c r="JV63" s="25">
        <v>2</v>
      </c>
      <c r="JW63" s="25">
        <v>1</v>
      </c>
      <c r="JX63" s="25">
        <v>0</v>
      </c>
      <c r="JY63" s="25">
        <v>0</v>
      </c>
      <c r="JZ63" s="25">
        <v>0</v>
      </c>
      <c r="KA63" s="25">
        <v>0</v>
      </c>
      <c r="KB63" s="25">
        <v>0</v>
      </c>
      <c r="KC63" s="25">
        <v>1</v>
      </c>
      <c r="KD63" s="25">
        <v>0</v>
      </c>
      <c r="KE63" s="25">
        <v>1</v>
      </c>
      <c r="KF63" s="25">
        <v>0</v>
      </c>
      <c r="KG63" s="25">
        <v>0</v>
      </c>
      <c r="KH63" s="25">
        <v>0</v>
      </c>
      <c r="KI63" s="25">
        <v>0</v>
      </c>
      <c r="KJ63" s="25">
        <v>0</v>
      </c>
      <c r="KK63" s="25">
        <v>0</v>
      </c>
      <c r="KL63" s="25">
        <v>0</v>
      </c>
      <c r="KM63" s="25">
        <v>0</v>
      </c>
      <c r="KN63" s="25">
        <v>0</v>
      </c>
      <c r="KO63" s="25">
        <v>0</v>
      </c>
      <c r="KP63" s="25">
        <v>0</v>
      </c>
      <c r="KQ63" s="25">
        <v>1</v>
      </c>
      <c r="KR63" s="25">
        <v>0</v>
      </c>
      <c r="KS63" s="25">
        <v>6</v>
      </c>
      <c r="KT63" s="25">
        <v>0</v>
      </c>
      <c r="KU63" s="25">
        <v>0</v>
      </c>
      <c r="KV63" s="25">
        <v>0</v>
      </c>
      <c r="KW63" s="25">
        <v>0</v>
      </c>
      <c r="KX63" s="25">
        <v>0</v>
      </c>
      <c r="KY63" s="25">
        <v>0</v>
      </c>
      <c r="KZ63" s="25">
        <v>0</v>
      </c>
      <c r="LA63" s="25">
        <v>0</v>
      </c>
      <c r="LB63" s="25">
        <v>1</v>
      </c>
      <c r="LC63" s="25">
        <v>0</v>
      </c>
      <c r="LD63" s="25">
        <v>0</v>
      </c>
      <c r="LE63" s="25">
        <v>0</v>
      </c>
      <c r="LF63" s="25">
        <v>0</v>
      </c>
      <c r="LG63" s="25">
        <v>1</v>
      </c>
      <c r="LH63" s="25">
        <v>39</v>
      </c>
      <c r="LI63" s="25">
        <v>0</v>
      </c>
      <c r="LJ63" s="25">
        <v>0</v>
      </c>
      <c r="LK63" s="25">
        <v>0</v>
      </c>
      <c r="LL63" s="25">
        <v>0</v>
      </c>
      <c r="LM63" s="25">
        <v>0</v>
      </c>
      <c r="LN63" s="278">
        <f ca="1">$A63 - DeathsTimeS!Sweden100dt + 1</f>
        <v>-4</v>
      </c>
      <c r="LO63" s="366">
        <f ca="1">INDEX(OFFSET(DeathsTimeS!HeadRow,ROW()-ROW(DeathsTimeS!HeadRow),0,1,COLUMNS(DeathsTimeS!HeadRow)),1,MATCH(LO$5,DeathsTimeS!HeadRow,0))/LO$8</f>
        <v>1.9550342130987295</v>
      </c>
      <c r="LP63" s="278">
        <f ca="1">$A63 - DeathsTimeS!Spain100dt</f>
        <v>3</v>
      </c>
      <c r="LQ63" s="11">
        <f ca="1">INDEX(OFFSET(DeathsTimeS!HeadRow,ROW()-ROW(DeathsTimeS!HeadRow),0,1,COLUMNS(DeathsTimeS!HeadRow)),1,MATCH(LQ$5,DeathsTimeS!HeadRow,0))/LQ$8</f>
        <v>41.542394546229232</v>
      </c>
      <c r="LR63" s="278">
        <f ca="1">$A63 - DeathsTimeS!Victoria100dt</f>
        <v>-20</v>
      </c>
      <c r="LS63" s="11">
        <f ca="1">INDEX(OFFSET(DeathsTimeS!HeadRow,ROW()-ROW(DeathsTimeS!HeadRow),0,1,COLUMNS(DeathsTimeS!HeadRow)),1,MATCH(LS$5,DeathsTimeS!HeadRow,0))/LS$8</f>
        <v>0</v>
      </c>
      <c r="LT63" s="278">
        <f ca="1">$A63 - DeathsTimeS!Iran100dt</f>
        <v>10</v>
      </c>
      <c r="LU63" s="11">
        <f ca="1">INDEX(OFFSET(DeathsTimeS!HeadRow,ROW()-ROW(DeathsTimeS!HeadRow),0,1,COLUMNS(DeathsTimeS!HeadRow)),1,MATCH(LU$5,DeathsTimeS!HeadRow,0))/LU$8</f>
        <v>72.935193916894463</v>
      </c>
      <c r="LV63" s="278">
        <f ca="1">$A63 - DeathsTimeS!Japan100dt</f>
        <v>-31</v>
      </c>
      <c r="LW63" s="11">
        <f ca="1">INDEX(OFFSET(DeathsTimeS!HeadRow,ROW()-ROW(DeathsTimeS!HeadRow),0,1,COLUMNS(DeathsTimeS!HeadRow)),1,MATCH(LW$5,DeathsTimeS!HeadRow,0))/LW$8</f>
        <v>1.738385567486842</v>
      </c>
      <c r="LX63" s="278">
        <f ca="1">$A63 - DeathsTimeS!Queensland100dt</f>
        <v>-35</v>
      </c>
      <c r="LY63" s="11">
        <f ca="1">INDEX(OFFSET(DeathsTimeS!HeadRow,ROW()-ROW(DeathsTimeS!HeadRow),0,1,COLUMNS(DeathsTimeS!HeadRow)),1,MATCH(LY$5,DeathsTimeS!HeadRow,0))/LY$8</f>
        <v>0</v>
      </c>
      <c r="LZ63" s="278">
        <f ca="1">$A63 - DeathsTimeS!Tasmania100dt</f>
        <v>-17</v>
      </c>
      <c r="MA63" s="11">
        <f ca="1">INDEX(OFFSET(DeathsTimeS!HeadRow,ROW()-ROW(DeathsTimeS!HeadRow),0,1,COLUMNS(DeathsTimeS!HeadRow)),1,MATCH(MA$5,DeathsTimeS!HeadRow,0))/MA$8</f>
        <v>0</v>
      </c>
      <c r="MB63" s="278">
        <f ca="1">$A63 - DeathsTimeS!SouthAustralia100dt</f>
        <v>-25</v>
      </c>
      <c r="MC63" s="11">
        <f ca="1">INDEX(OFFSET(DeathsTimeS!HeadRow,ROW()-ROW(DeathsTimeS!HeadRow),0,1,COLUMNS(DeathsTimeS!HeadRow)),1,MATCH(MC$5,DeathsTimeS!HeadRow,0))/MC$8</f>
        <v>0</v>
      </c>
      <c r="MD63" s="278">
        <f ca="1">$A63 - DeathsTimeS!WesternAustralia100dt</f>
        <v>-22</v>
      </c>
      <c r="ME63" s="11">
        <f ca="1">INDEX(OFFSET(DeathsTimeS!HeadRow,ROW()-ROW(DeathsTimeS!HeadRow),0,1,COLUMNS(DeathsTimeS!HeadRow)),1,MATCH(ME$5,DeathsTimeS!HeadRow,0))/ME$8</f>
        <v>3.8624951718810348</v>
      </c>
      <c r="MF63" s="278">
        <f ca="1">$A63 - DeathsTimeS!NewSouthWales100dt</f>
        <v>-18</v>
      </c>
      <c r="MG63" s="11">
        <f ca="1">INDEX(OFFSET(DeathsTimeS!HeadRow,ROW()-ROW(DeathsTimeS!HeadRow),0,1,COLUMNS(DeathsTimeS!HeadRow)),1,MATCH(MG$5,DeathsTimeS!HeadRow,0))/MG$8</f>
        <v>2.4752475247524752</v>
      </c>
      <c r="MH63" s="278">
        <f ca="1">$A63 - DeathsTimeS!NewYork100dt</f>
        <v>-2</v>
      </c>
      <c r="MI63" s="20">
        <f ca="1">INDEX(OFFSET(DeathsTimeS!HeadRow,ROW()-ROW(DeathsTimeS!HeadRow),0,1,COLUMNS(DeathsTimeS!HeadRow)),1,MATCH(MI$5,DeathsTimeS!HeadRow,0))/MI$8</f>
        <v>2.539353095566649</v>
      </c>
      <c r="MJ63" s="278">
        <f ca="1">$A63 - DeathsTimeS!Italy100dt</f>
        <v>11</v>
      </c>
      <c r="MK63" s="20">
        <f ca="1">INDEX(OFFSET(DeathsTimeS!HeadRow,ROW()-ROW(DeathsTimeS!HeadRow),0,1,COLUMNS(DeathsTimeS!HeadRow)),1,MATCH(MK$5,DeathsTimeS!HeadRow,0))/MK$8</f>
        <v>238.24088617012484</v>
      </c>
      <c r="ML63" s="278">
        <f ca="1">$A63 - DeathsTimeS!AustralianCapitalTerritory100dt</f>
        <v>-16</v>
      </c>
      <c r="MM63" s="11">
        <f ca="1">INDEX(OFFSET(DeathsTimeS!HeadRow,ROW()-ROW(DeathsTimeS!HeadRow),0,1,COLUMNS(DeathsTimeS!HeadRow)),1,MATCH(MM$5,DeathsTimeS!HeadRow,0))/MM$8</f>
        <v>0</v>
      </c>
      <c r="MN63" s="278">
        <f ca="1">IF(DeathsTimeS!NorthernTerritory100dt&gt;0,$A63 - DeathsTimeS!NorthernTerritory100dt,"")</f>
        <v>-44</v>
      </c>
      <c r="MO63" s="11">
        <f ca="1">INDEX(OFFSET(DeathsTimeS!HeadRow,ROW()-ROW(DeathsTimeS!HeadRow),0,1,COLUMNS(DeathsTimeS!HeadRow)),1,MATCH(MO$5,DeathsTimeS!HeadRow,0))/MO$8</f>
        <v>0</v>
      </c>
      <c r="MP63" s="278">
        <f ca="1">$A63 - DeathsTimeS!SouthAfrica100dt + 1</f>
        <v>-36</v>
      </c>
      <c r="MQ63" s="20">
        <f ca="1">INDEX(OFFSET(DeathsTimeS!HeadRow,ROW()-ROW(DeathsTimeS!HeadRow),0,1,COLUMNS(DeathsTimeS!HeadRow)),1,MATCH(MQ$5,DeathsTimeS!HeadRow,0))/MQ$8</f>
        <v>0</v>
      </c>
      <c r="MR63" s="278">
        <f ca="1">$A63 - DeathsTimeS!Germany100dt + 1</f>
        <v>-6</v>
      </c>
      <c r="MS63" s="20">
        <f ca="1">INDEX(OFFSET(DeathsTimeS!HeadRow,ROW()-ROW(DeathsTimeS!HeadRow),0,1,COLUMNS(DeathsTimeS!HeadRow)),1,MATCH(MS$5,DeathsTimeS!HeadRow,0))/MS$8</f>
        <v>1.0840761262346423</v>
      </c>
      <c r="MT63" s="278">
        <f ca="1">$A63 - DeathsTimeS!Ireland100dt + 1</f>
        <v>-8</v>
      </c>
      <c r="MU63" s="73">
        <f ca="1">INDEX(OFFSET(DeathsTimeS!HeadRow,ROW()-ROW(DeathsTimeS!HeadRow),0,1,COLUMNS(DeathsTimeS!HeadRow)),1,MATCH(MU$5,DeathsTimeS!HeadRow,0))/MU$8</f>
        <v>4.0816326530612246</v>
      </c>
      <c r="MV63" s="278">
        <f ca="1">$A63 - DeathsTimeS!UnitedKingdom100dt + 1</f>
        <v>-2</v>
      </c>
      <c r="MW63" s="73">
        <f ca="1">INDEX(OFFSET(DeathsTimeS!HeadRow,ROW()-ROW(DeathsTimeS!HeadRow),0,1,COLUMNS(DeathsTimeS!HeadRow)),1,MATCH(MW$5,DeathsTimeS!HeadRow,0))/MW$8</f>
        <v>4.214328717639976</v>
      </c>
      <c r="MX63" s="278">
        <f ca="1">$A63 - DeathsTimeS!Denmark100dt + 1</f>
        <v>-4</v>
      </c>
      <c r="MY63" s="73">
        <f ca="1">INDEX(OFFSET(DeathsTimeS!HeadRow,ROW()-ROW(DeathsTimeS!HeadRow),0,1,COLUMNS(DeathsTimeS!HeadRow)),1,MATCH(MY$5,DeathsTimeS!HeadRow,0))/MY$8</f>
        <v>1.722356183258698</v>
      </c>
      <c r="MZ63" s="278">
        <f ca="1">$A63 - DeathsTimeS!US100dt + 1</f>
        <v>-5</v>
      </c>
      <c r="NA63" s="73">
        <f ca="1">INDEX(OFFSET(DeathsTimeS!HeadRow,ROW()-ROW(DeathsTimeS!HeadRow),0,1,COLUMNS(DeathsTimeS!HeadRow)),1,MATCH(NA$5,DeathsTimeS!HeadRow,0))/NA$8</f>
        <v>1.761698420156848</v>
      </c>
      <c r="NB63" s="278">
        <f ca="1">$A63 - DeathsTimeS!AustraliaSum100dt + 1</f>
        <v>-11</v>
      </c>
      <c r="NC63" s="366">
        <f t="shared" si="6"/>
        <v>3</v>
      </c>
      <c r="ND63" s="278">
        <f ca="1">$A63 - DeathsTimeS!Taiwan100dt + 1</f>
        <v>-43</v>
      </c>
      <c r="NE63" s="366">
        <f ca="1">INDEX(OFFSET(DeathsTimeS!HeadRow,ROW()-ROW(DeathsTimeS!HeadRow),0,1,COLUMNS(DeathsTimeS!HeadRow)),1,MATCH(NE$5,DeathsTimeS!HeadRow,0))/NE$8</f>
        <v>0.4200395492437986</v>
      </c>
      <c r="NF63" s="278">
        <f ca="1">$A63 - DeathsTimeS!Hubei100dt + 1</f>
        <v>48</v>
      </c>
      <c r="NG63" s="366">
        <f ca="1">INDEX(OFFSET(DeathsTimeS!HeadRow,ROW()-ROW(DeathsTimeS!HeadRow),0,1,COLUMNS(DeathsTimeS!HeadRow)),1,MATCH(NG$5,DeathsTimeS!HeadRow,0))/NG$8</f>
        <v>525.64102564102564</v>
      </c>
      <c r="NH63" s="278">
        <f ca="1">$A63 - DeathsTimeS!HongKong100dt + 1</f>
        <v>-43</v>
      </c>
      <c r="NI63" s="366">
        <f ca="1">INDEX(OFFSET(DeathsTimeS!HeadRow,ROW()-ROW(DeathsTimeS!HeadRow),0,1,COLUMNS(DeathsTimeS!HeadRow)),1,MATCH(NI$5,DeathsTimeS!HeadRow,0))/NI$8</f>
        <v>5.3684069252449333</v>
      </c>
    </row>
    <row r="64" spans="1:373" x14ac:dyDescent="0.25">
      <c r="A64" s="156">
        <v>43905</v>
      </c>
      <c r="B64" s="25">
        <v>0</v>
      </c>
      <c r="C64" s="25">
        <v>1</v>
      </c>
      <c r="D64" s="25">
        <v>4</v>
      </c>
      <c r="E64" s="25">
        <v>0</v>
      </c>
      <c r="F64" s="25">
        <v>0</v>
      </c>
      <c r="G64" s="25">
        <v>0</v>
      </c>
      <c r="H64" s="25">
        <v>2</v>
      </c>
      <c r="I64" s="25">
        <v>0</v>
      </c>
      <c r="J64" s="25">
        <v>0</v>
      </c>
      <c r="K64" s="25">
        <v>2</v>
      </c>
      <c r="L64" s="25">
        <v>0</v>
      </c>
      <c r="M64" s="25">
        <v>0</v>
      </c>
      <c r="N64" s="25">
        <v>0</v>
      </c>
      <c r="O64" s="25">
        <v>0</v>
      </c>
      <c r="P64" s="25">
        <v>0</v>
      </c>
      <c r="Q64" s="25">
        <v>1</v>
      </c>
      <c r="R64" s="25">
        <v>1</v>
      </c>
      <c r="S64" s="25">
        <v>1</v>
      </c>
      <c r="T64" s="25">
        <v>0</v>
      </c>
      <c r="U64" s="25">
        <v>0</v>
      </c>
      <c r="V64" s="25">
        <v>0</v>
      </c>
      <c r="W64" s="25">
        <v>0</v>
      </c>
      <c r="X64" s="25">
        <v>0</v>
      </c>
      <c r="Y64" s="25">
        <v>4</v>
      </c>
      <c r="Z64" s="25">
        <v>0</v>
      </c>
      <c r="AA64" s="25">
        <v>0</v>
      </c>
      <c r="AB64" s="25">
        <v>0</v>
      </c>
      <c r="AC64" s="25">
        <v>0</v>
      </c>
      <c r="AD64" s="25">
        <v>0</v>
      </c>
      <c r="AE64" s="25">
        <v>0</v>
      </c>
      <c r="AF64" s="25">
        <v>2</v>
      </c>
      <c r="AG64" s="25">
        <v>0</v>
      </c>
      <c r="AH64" s="25">
        <v>0</v>
      </c>
      <c r="AI64" s="25">
        <v>0</v>
      </c>
      <c r="AJ64" s="25">
        <v>0</v>
      </c>
      <c r="AK64" s="25">
        <v>0</v>
      </c>
      <c r="AL64" s="25">
        <v>1</v>
      </c>
      <c r="AM64" s="25">
        <v>0</v>
      </c>
      <c r="AN64" s="25">
        <v>0</v>
      </c>
      <c r="AO64" s="25">
        <v>0</v>
      </c>
      <c r="AP64" s="25">
        <v>0</v>
      </c>
      <c r="AQ64" s="25">
        <v>0</v>
      </c>
      <c r="AR64" s="25">
        <v>0</v>
      </c>
      <c r="AS64" s="25">
        <v>0</v>
      </c>
      <c r="AT64" s="25">
        <v>0</v>
      </c>
      <c r="AU64" s="25">
        <v>0</v>
      </c>
      <c r="AV64" s="25">
        <v>0</v>
      </c>
      <c r="AW64" s="25">
        <v>0</v>
      </c>
      <c r="AX64" s="25">
        <v>0</v>
      </c>
      <c r="AY64" s="25">
        <v>6</v>
      </c>
      <c r="AZ64" s="25">
        <v>8</v>
      </c>
      <c r="BA64" s="25">
        <v>6</v>
      </c>
      <c r="BB64" s="25">
        <v>1</v>
      </c>
      <c r="BC64" s="25">
        <v>2</v>
      </c>
      <c r="BD64" s="25">
        <v>8</v>
      </c>
      <c r="BE64" s="25">
        <v>2</v>
      </c>
      <c r="BF64" s="25">
        <v>2</v>
      </c>
      <c r="BG64" s="25">
        <v>6</v>
      </c>
      <c r="BH64" s="25">
        <v>6</v>
      </c>
      <c r="BI64" s="25">
        <v>13</v>
      </c>
      <c r="BJ64" s="25">
        <v>22</v>
      </c>
      <c r="BK64" s="25">
        <v>4</v>
      </c>
      <c r="BL64" s="25">
        <v>3085</v>
      </c>
      <c r="BM64" s="25">
        <v>4</v>
      </c>
      <c r="BN64" s="25">
        <v>1</v>
      </c>
      <c r="BO64" s="25">
        <v>0</v>
      </c>
      <c r="BP64" s="25">
        <v>1</v>
      </c>
      <c r="BQ64" s="25">
        <v>1</v>
      </c>
      <c r="BR64" s="25">
        <v>1</v>
      </c>
      <c r="BS64" s="25">
        <v>0</v>
      </c>
      <c r="BT64" s="25">
        <v>0</v>
      </c>
      <c r="BU64" s="25">
        <v>0</v>
      </c>
      <c r="BV64" s="25">
        <v>2</v>
      </c>
      <c r="BW64" s="25">
        <v>7</v>
      </c>
      <c r="BX64" s="25">
        <v>3</v>
      </c>
      <c r="BY64" s="25">
        <v>0</v>
      </c>
      <c r="BZ64" s="25">
        <v>3</v>
      </c>
      <c r="CA64" s="25">
        <v>3</v>
      </c>
      <c r="CB64" s="25">
        <v>0</v>
      </c>
      <c r="CC64" s="25">
        <v>3</v>
      </c>
      <c r="CD64" s="25">
        <v>2</v>
      </c>
      <c r="CE64" s="25">
        <v>1</v>
      </c>
      <c r="CF64" s="25">
        <v>0</v>
      </c>
      <c r="CG64" s="25">
        <v>0</v>
      </c>
      <c r="CH64" s="25">
        <v>0</v>
      </c>
      <c r="CI64" s="25">
        <v>0</v>
      </c>
      <c r="CJ64" s="25">
        <v>0</v>
      </c>
      <c r="CK64" s="25">
        <v>0</v>
      </c>
      <c r="CL64" s="25">
        <v>7</v>
      </c>
      <c r="CM64" s="25">
        <v>0</v>
      </c>
      <c r="CN64" s="25">
        <v>0</v>
      </c>
      <c r="CO64" s="25">
        <v>0</v>
      </c>
      <c r="CP64" s="25">
        <v>0</v>
      </c>
      <c r="CQ64" s="25">
        <v>0</v>
      </c>
      <c r="CR64" s="25">
        <v>2</v>
      </c>
      <c r="CS64" s="25">
        <v>0</v>
      </c>
      <c r="CT64" s="25">
        <v>0</v>
      </c>
      <c r="CU64" s="25">
        <v>2</v>
      </c>
      <c r="CV64" s="25">
        <v>2</v>
      </c>
      <c r="CW64" s="25">
        <v>0</v>
      </c>
      <c r="CX64" s="25">
        <v>0</v>
      </c>
      <c r="CY64" s="25">
        <v>0</v>
      </c>
      <c r="CZ64" s="25">
        <v>0</v>
      </c>
      <c r="DA64" s="25">
        <v>0</v>
      </c>
      <c r="DB64" s="25">
        <v>0</v>
      </c>
      <c r="DC64" s="25">
        <v>0</v>
      </c>
      <c r="DD64" s="25">
        <v>0</v>
      </c>
      <c r="DE64" s="25">
        <v>0</v>
      </c>
      <c r="DF64" s="25">
        <v>0</v>
      </c>
      <c r="DG64" s="25">
        <v>0</v>
      </c>
      <c r="DH64" s="25">
        <v>0</v>
      </c>
      <c r="DI64" s="25">
        <v>0</v>
      </c>
      <c r="DJ64" s="25">
        <v>0</v>
      </c>
      <c r="DK64" s="25">
        <v>0</v>
      </c>
      <c r="DL64" s="25">
        <v>0</v>
      </c>
      <c r="DM64" s="25">
        <v>0</v>
      </c>
      <c r="DN64" s="25">
        <v>91</v>
      </c>
      <c r="DO64" s="25">
        <v>0</v>
      </c>
      <c r="DP64" s="25">
        <v>0</v>
      </c>
      <c r="DQ64" s="25">
        <v>0</v>
      </c>
      <c r="DR64" s="25">
        <v>11</v>
      </c>
      <c r="DS64" s="25">
        <v>0</v>
      </c>
      <c r="DT64" s="25">
        <v>4</v>
      </c>
      <c r="DU64" s="25">
        <v>0</v>
      </c>
      <c r="DV64" s="25">
        <v>0</v>
      </c>
      <c r="DW64" s="25">
        <v>1</v>
      </c>
      <c r="DX64" s="25">
        <v>0</v>
      </c>
      <c r="DY64" s="25">
        <v>0</v>
      </c>
      <c r="DZ64" s="25">
        <v>0</v>
      </c>
      <c r="EA64" s="25">
        <v>1</v>
      </c>
      <c r="EB64" s="25">
        <v>5</v>
      </c>
      <c r="EC64" s="25">
        <v>2</v>
      </c>
      <c r="ED64" s="25">
        <v>5</v>
      </c>
      <c r="EE64" s="25">
        <v>724</v>
      </c>
      <c r="EF64" s="25">
        <v>10</v>
      </c>
      <c r="EG64" s="25">
        <v>2</v>
      </c>
      <c r="EH64" s="25">
        <v>0</v>
      </c>
      <c r="EI64" s="25">
        <v>1809</v>
      </c>
      <c r="EJ64" s="25">
        <v>0</v>
      </c>
      <c r="EK64" s="25">
        <v>22</v>
      </c>
      <c r="EL64" s="25">
        <v>0</v>
      </c>
      <c r="EM64" s="25">
        <v>0</v>
      </c>
      <c r="EN64" s="25">
        <v>0</v>
      </c>
      <c r="EO64" s="25">
        <v>75</v>
      </c>
      <c r="EP64" s="25">
        <v>0</v>
      </c>
      <c r="EQ64" s="25">
        <v>0</v>
      </c>
      <c r="ER64" s="25">
        <v>0</v>
      </c>
      <c r="ES64" s="25">
        <v>3</v>
      </c>
      <c r="ET64" s="25">
        <v>0</v>
      </c>
      <c r="EU64" s="25">
        <v>0</v>
      </c>
      <c r="EV64" s="25">
        <v>0</v>
      </c>
      <c r="EW64" s="25">
        <v>1</v>
      </c>
      <c r="EX64" s="25">
        <v>0</v>
      </c>
      <c r="EY64" s="25">
        <v>0</v>
      </c>
      <c r="EZ64" s="25">
        <v>0</v>
      </c>
      <c r="FA64" s="25">
        <v>0</v>
      </c>
      <c r="FB64" s="25">
        <v>0</v>
      </c>
      <c r="FC64" s="25">
        <v>0</v>
      </c>
      <c r="FD64" s="25">
        <v>0</v>
      </c>
      <c r="FE64" s="25">
        <v>0</v>
      </c>
      <c r="FF64" s="25">
        <v>0</v>
      </c>
      <c r="FG64" s="25">
        <v>0</v>
      </c>
      <c r="FH64" s="25">
        <v>0</v>
      </c>
      <c r="FI64" s="25">
        <v>1</v>
      </c>
      <c r="FJ64" s="25">
        <v>0</v>
      </c>
      <c r="FK64" s="25">
        <v>0</v>
      </c>
      <c r="FL64" s="25">
        <v>0</v>
      </c>
      <c r="FM64" s="25">
        <v>0</v>
      </c>
      <c r="FN64" s="25">
        <v>0</v>
      </c>
      <c r="FO64" s="25">
        <v>20</v>
      </c>
      <c r="FP64" s="25">
        <v>0</v>
      </c>
      <c r="FQ64" s="25">
        <v>0</v>
      </c>
      <c r="FR64" s="25">
        <v>0</v>
      </c>
      <c r="FS64" s="25">
        <v>0</v>
      </c>
      <c r="FT64" s="25">
        <v>0</v>
      </c>
      <c r="FU64" s="25">
        <v>3</v>
      </c>
      <c r="FV64" s="25">
        <v>0</v>
      </c>
      <c r="FW64" s="25">
        <v>0</v>
      </c>
      <c r="FX64" s="25">
        <v>1</v>
      </c>
      <c r="FY64" s="25">
        <v>0</v>
      </c>
      <c r="FZ64" s="25">
        <v>0</v>
      </c>
      <c r="GA64" s="25">
        <v>0</v>
      </c>
      <c r="GB64" s="25">
        <v>11</v>
      </c>
      <c r="GC64" s="25">
        <v>3</v>
      </c>
      <c r="GD64" s="25">
        <v>0</v>
      </c>
      <c r="GE64" s="25">
        <v>0</v>
      </c>
      <c r="GF64" s="25">
        <v>0</v>
      </c>
      <c r="GG64" s="25">
        <v>0</v>
      </c>
      <c r="GH64" s="25">
        <v>0</v>
      </c>
      <c r="GI64" s="25">
        <v>0</v>
      </c>
      <c r="GJ64" s="25">
        <v>0</v>
      </c>
      <c r="GK64" s="25">
        <v>5</v>
      </c>
      <c r="GL64" s="25">
        <v>0</v>
      </c>
      <c r="GM64" s="25">
        <v>0</v>
      </c>
      <c r="GN64" s="25">
        <v>0</v>
      </c>
      <c r="GO64" s="25">
        <v>0</v>
      </c>
      <c r="GP64" s="25">
        <v>0</v>
      </c>
      <c r="GQ64" s="25">
        <v>0</v>
      </c>
      <c r="GR64" s="25">
        <v>1</v>
      </c>
      <c r="GS64" s="25">
        <v>0</v>
      </c>
      <c r="GT64" s="25">
        <v>0</v>
      </c>
      <c r="GU64" s="25">
        <v>289</v>
      </c>
      <c r="GV64" s="25">
        <v>0</v>
      </c>
      <c r="GW64" s="25">
        <v>1</v>
      </c>
      <c r="GX64" s="25">
        <v>0</v>
      </c>
      <c r="GY64" s="46">
        <v>3</v>
      </c>
      <c r="GZ64" s="25">
        <v>14</v>
      </c>
      <c r="HA64" s="25">
        <v>1</v>
      </c>
      <c r="HB64" s="25">
        <v>0</v>
      </c>
      <c r="HC64" s="25">
        <v>1</v>
      </c>
      <c r="HD64" s="25">
        <v>0</v>
      </c>
      <c r="HE64" s="25">
        <v>0</v>
      </c>
      <c r="HF64" s="25">
        <v>0</v>
      </c>
      <c r="HG64" s="25">
        <v>0</v>
      </c>
      <c r="HH64" s="25">
        <v>0</v>
      </c>
      <c r="HI64" s="25">
        <v>1</v>
      </c>
      <c r="HJ64" s="25">
        <v>0</v>
      </c>
      <c r="HK64" s="25">
        <v>0</v>
      </c>
      <c r="HL64" s="25">
        <v>0</v>
      </c>
      <c r="HM64" s="25">
        <v>0</v>
      </c>
      <c r="HN64" s="25">
        <v>0</v>
      </c>
      <c r="HO64" s="25">
        <v>0</v>
      </c>
      <c r="HP64" s="25">
        <v>0</v>
      </c>
      <c r="HQ64" s="25">
        <v>43</v>
      </c>
      <c r="HR64" s="25">
        <v>0</v>
      </c>
      <c r="HS64" s="25">
        <v>73</v>
      </c>
      <c r="HT64" s="25">
        <v>0</v>
      </c>
      <c r="HU64" s="25">
        <v>0</v>
      </c>
      <c r="HV64" s="25">
        <v>0</v>
      </c>
      <c r="HW64" s="25">
        <v>0</v>
      </c>
      <c r="HX64" s="25">
        <v>0</v>
      </c>
      <c r="HY64" s="25">
        <v>0</v>
      </c>
      <c r="HZ64" s="25">
        <v>0</v>
      </c>
      <c r="IA64" s="25">
        <v>0</v>
      </c>
      <c r="IB64" s="25">
        <v>0</v>
      </c>
      <c r="IC64" s="25">
        <v>0</v>
      </c>
      <c r="ID64" s="25">
        <v>0</v>
      </c>
      <c r="IE64" s="25">
        <v>0</v>
      </c>
      <c r="IF64" s="25">
        <v>0</v>
      </c>
      <c r="IG64" s="25">
        <v>0</v>
      </c>
      <c r="IH64" s="25">
        <v>0</v>
      </c>
      <c r="II64" s="25">
        <v>0</v>
      </c>
      <c r="IJ64" s="25">
        <v>0</v>
      </c>
      <c r="IK64" s="25">
        <v>0</v>
      </c>
      <c r="IL64" s="25">
        <v>0</v>
      </c>
      <c r="IM64" s="25">
        <v>0</v>
      </c>
      <c r="IN64" s="25">
        <v>0</v>
      </c>
      <c r="IO64" s="25">
        <v>0</v>
      </c>
      <c r="IP64" s="25">
        <v>0</v>
      </c>
      <c r="IQ64" s="25">
        <v>0</v>
      </c>
      <c r="IR64" s="25">
        <v>0</v>
      </c>
      <c r="IS64" s="25">
        <v>0</v>
      </c>
      <c r="IT64" s="25">
        <v>0</v>
      </c>
      <c r="IU64" s="25">
        <v>0</v>
      </c>
      <c r="IV64" s="25">
        <v>0</v>
      </c>
      <c r="IW64" s="25">
        <v>0</v>
      </c>
      <c r="IX64" s="25">
        <v>0</v>
      </c>
      <c r="IY64" s="25">
        <v>0</v>
      </c>
      <c r="IZ64" s="25">
        <v>0</v>
      </c>
      <c r="JA64" s="25">
        <v>0</v>
      </c>
      <c r="JB64" s="25">
        <v>0</v>
      </c>
      <c r="JC64" s="25">
        <v>0</v>
      </c>
      <c r="JD64" s="25">
        <v>0</v>
      </c>
      <c r="JE64" s="25">
        <v>0</v>
      </c>
      <c r="JF64" s="25">
        <v>0</v>
      </c>
      <c r="JG64" s="25">
        <v>0</v>
      </c>
      <c r="JH64" s="25">
        <v>0</v>
      </c>
      <c r="JI64" s="25">
        <v>0</v>
      </c>
      <c r="JJ64" s="25">
        <v>0</v>
      </c>
      <c r="JK64" s="25">
        <v>0</v>
      </c>
      <c r="JL64" s="25">
        <v>0</v>
      </c>
      <c r="JM64" s="25">
        <v>0</v>
      </c>
      <c r="JN64" s="25">
        <v>0</v>
      </c>
      <c r="JO64" s="25">
        <v>0</v>
      </c>
      <c r="JP64" s="25">
        <v>0</v>
      </c>
      <c r="JQ64" s="25">
        <v>5</v>
      </c>
      <c r="JR64" s="25">
        <v>1</v>
      </c>
      <c r="JS64" s="25">
        <v>0</v>
      </c>
      <c r="JT64" s="25">
        <v>0</v>
      </c>
      <c r="JU64" s="25">
        <v>0</v>
      </c>
      <c r="JV64" s="25">
        <v>3</v>
      </c>
      <c r="JW64" s="25">
        <v>1</v>
      </c>
      <c r="JX64" s="25">
        <v>0</v>
      </c>
      <c r="JY64" s="25">
        <v>0</v>
      </c>
      <c r="JZ64" s="25">
        <v>0</v>
      </c>
      <c r="KA64" s="25">
        <v>0</v>
      </c>
      <c r="KB64" s="25">
        <v>0</v>
      </c>
      <c r="KC64" s="25">
        <v>1</v>
      </c>
      <c r="KD64" s="25">
        <v>0</v>
      </c>
      <c r="KE64" s="25">
        <v>2</v>
      </c>
      <c r="KF64" s="25">
        <v>0</v>
      </c>
      <c r="KG64" s="25">
        <v>0</v>
      </c>
      <c r="KH64" s="25">
        <v>0</v>
      </c>
      <c r="KI64" s="25">
        <v>0</v>
      </c>
      <c r="KJ64" s="25">
        <v>0</v>
      </c>
      <c r="KK64" s="25">
        <v>0</v>
      </c>
      <c r="KL64" s="25">
        <v>0</v>
      </c>
      <c r="KM64" s="25">
        <v>0</v>
      </c>
      <c r="KN64" s="25">
        <v>0</v>
      </c>
      <c r="KO64" s="25">
        <v>0</v>
      </c>
      <c r="KP64" s="25">
        <v>0</v>
      </c>
      <c r="KQ64" s="25">
        <v>2</v>
      </c>
      <c r="KR64" s="25">
        <v>0</v>
      </c>
      <c r="KS64" s="25">
        <v>12</v>
      </c>
      <c r="KT64" s="25">
        <v>0</v>
      </c>
      <c r="KU64" s="25">
        <v>0</v>
      </c>
      <c r="KV64" s="25">
        <v>0</v>
      </c>
      <c r="KW64" s="25">
        <v>0</v>
      </c>
      <c r="KX64" s="25">
        <v>1</v>
      </c>
      <c r="KY64" s="25">
        <v>0</v>
      </c>
      <c r="KZ64" s="25">
        <v>0</v>
      </c>
      <c r="LA64" s="25">
        <v>0</v>
      </c>
      <c r="LB64" s="25">
        <v>1</v>
      </c>
      <c r="LC64" s="25">
        <v>0</v>
      </c>
      <c r="LD64" s="25">
        <v>0</v>
      </c>
      <c r="LE64" s="25">
        <v>0</v>
      </c>
      <c r="LF64" s="25">
        <v>0</v>
      </c>
      <c r="LG64" s="25">
        <v>1</v>
      </c>
      <c r="LH64" s="25">
        <v>40</v>
      </c>
      <c r="LI64" s="25">
        <v>0</v>
      </c>
      <c r="LJ64" s="25">
        <v>0</v>
      </c>
      <c r="LK64" s="25">
        <v>0</v>
      </c>
      <c r="LL64" s="25">
        <v>0</v>
      </c>
      <c r="LM64" s="25">
        <v>0</v>
      </c>
      <c r="LN64" s="278">
        <f ca="1">$A64 - DeathsTimeS!Sweden100dt + 1</f>
        <v>-3</v>
      </c>
      <c r="LO64" s="366">
        <f ca="1">INDEX(OFFSET(DeathsTimeS!HeadRow,ROW()-ROW(DeathsTimeS!HeadRow),0,1,COLUMNS(DeathsTimeS!HeadRow)),1,MATCH(LO$5,DeathsTimeS!HeadRow,0))/LO$8</f>
        <v>2.9325513196480939</v>
      </c>
      <c r="LP64" s="278">
        <f ca="1">$A64 - DeathsTimeS!Spain100dt</f>
        <v>4</v>
      </c>
      <c r="LQ64" s="11">
        <f ca="1">INDEX(OFFSET(DeathsTimeS!HeadRow,ROW()-ROW(DeathsTimeS!HeadRow),0,1,COLUMNS(DeathsTimeS!HeadRow)),1,MATCH(LQ$5,DeathsTimeS!HeadRow,0))/LQ$8</f>
        <v>61.567959096719214</v>
      </c>
      <c r="LR64" s="278">
        <f ca="1">$A64 - DeathsTimeS!Victoria100dt</f>
        <v>-19</v>
      </c>
      <c r="LS64" s="11">
        <f ca="1">INDEX(OFFSET(DeathsTimeS!HeadRow,ROW()-ROW(DeathsTimeS!HeadRow),0,1,COLUMNS(DeathsTimeS!HeadRow)),1,MATCH(LS$5,DeathsTimeS!HeadRow,0))/LS$8</f>
        <v>0</v>
      </c>
      <c r="LT64" s="278">
        <f ca="1">$A64 - DeathsTimeS!Iran100dt</f>
        <v>11</v>
      </c>
      <c r="LU64" s="11">
        <f ca="1">INDEX(OFFSET(DeathsTimeS!HeadRow,ROW()-ROW(DeathsTimeS!HeadRow),0,1,COLUMNS(DeathsTimeS!HeadRow)),1,MATCH(LU$5,DeathsTimeS!HeadRow,0))/LU$8</f>
        <v>86.424026834421596</v>
      </c>
      <c r="LV64" s="278">
        <f ca="1">$A64 - DeathsTimeS!Japan100dt</f>
        <v>-30</v>
      </c>
      <c r="LW64" s="11">
        <f ca="1">INDEX(OFFSET(DeathsTimeS!HeadRow,ROW()-ROW(DeathsTimeS!HeadRow),0,1,COLUMNS(DeathsTimeS!HeadRow)),1,MATCH(LW$5,DeathsTimeS!HeadRow,0))/LW$8</f>
        <v>1.738385567486842</v>
      </c>
      <c r="LX64" s="278">
        <f ca="1">$A64 - DeathsTimeS!Queensland100dt</f>
        <v>-34</v>
      </c>
      <c r="LY64" s="11">
        <f ca="1">INDEX(OFFSET(DeathsTimeS!HeadRow,ROW()-ROW(DeathsTimeS!HeadRow),0,1,COLUMNS(DeathsTimeS!HeadRow)),1,MATCH(LY$5,DeathsTimeS!HeadRow,0))/LY$8</f>
        <v>0</v>
      </c>
      <c r="LZ64" s="278">
        <f ca="1">$A64 - DeathsTimeS!Tasmania100dt</f>
        <v>-16</v>
      </c>
      <c r="MA64" s="11">
        <f ca="1">INDEX(OFFSET(DeathsTimeS!HeadRow,ROW()-ROW(DeathsTimeS!HeadRow),0,1,COLUMNS(DeathsTimeS!HeadRow)),1,MATCH(MA$5,DeathsTimeS!HeadRow,0))/MA$8</f>
        <v>0</v>
      </c>
      <c r="MB64" s="278">
        <f ca="1">$A64 - DeathsTimeS!SouthAustralia100dt</f>
        <v>-24</v>
      </c>
      <c r="MC64" s="11">
        <f ca="1">INDEX(OFFSET(DeathsTimeS!HeadRow,ROW()-ROW(DeathsTimeS!HeadRow),0,1,COLUMNS(DeathsTimeS!HeadRow)),1,MATCH(MC$5,DeathsTimeS!HeadRow,0))/MC$8</f>
        <v>0</v>
      </c>
      <c r="MD64" s="278">
        <f ca="1">$A64 - DeathsTimeS!WesternAustralia100dt</f>
        <v>-21</v>
      </c>
      <c r="ME64" s="11">
        <f ca="1">INDEX(OFFSET(DeathsTimeS!HeadRow,ROW()-ROW(DeathsTimeS!HeadRow),0,1,COLUMNS(DeathsTimeS!HeadRow)),1,MATCH(ME$5,DeathsTimeS!HeadRow,0))/ME$8</f>
        <v>3.8624951718810348</v>
      </c>
      <c r="MF64" s="278">
        <f ca="1">$A64 - DeathsTimeS!NewSouthWales100dt</f>
        <v>-17</v>
      </c>
      <c r="MG64" s="11">
        <f ca="1">INDEX(OFFSET(DeathsTimeS!HeadRow,ROW()-ROW(DeathsTimeS!HeadRow),0,1,COLUMNS(DeathsTimeS!HeadRow)),1,MATCH(MG$5,DeathsTimeS!HeadRow,0))/MG$8</f>
        <v>2.4752475247524752</v>
      </c>
      <c r="MH64" s="278">
        <f ca="1">$A64 - DeathsTimeS!NewYork100dt</f>
        <v>-1</v>
      </c>
      <c r="MI64" s="20">
        <f ca="1">INDEX(OFFSET(DeathsTimeS!HeadRow,ROW()-ROW(DeathsTimeS!HeadRow),0,1,COLUMNS(DeathsTimeS!HeadRow)),1,MATCH(MI$5,DeathsTimeS!HeadRow,0))/MI$8</f>
        <v>5.078706191133298</v>
      </c>
      <c r="MJ64" s="278">
        <f ca="1">$A64 - DeathsTimeS!Italy100dt</f>
        <v>12</v>
      </c>
      <c r="MK64" s="20">
        <f ca="1">INDEX(OFFSET(DeathsTimeS!HeadRow,ROW()-ROW(DeathsTimeS!HeadRow),0,1,COLUMNS(DeathsTimeS!HeadRow)),1,MATCH(MK$5,DeathsTimeS!HeadRow,0))/MK$8</f>
        <v>299.08241712821359</v>
      </c>
      <c r="ML64" s="278">
        <f ca="1">$A64 - DeathsTimeS!AustralianCapitalTerritory100dt</f>
        <v>-15</v>
      </c>
      <c r="MM64" s="11">
        <f ca="1">INDEX(OFFSET(DeathsTimeS!HeadRow,ROW()-ROW(DeathsTimeS!HeadRow),0,1,COLUMNS(DeathsTimeS!HeadRow)),1,MATCH(MM$5,DeathsTimeS!HeadRow,0))/MM$8</f>
        <v>0</v>
      </c>
      <c r="MN64" s="278">
        <f ca="1">IF(DeathsTimeS!NorthernTerritory100dt&gt;0,$A64 - DeathsTimeS!NorthernTerritory100dt,"")</f>
        <v>-43</v>
      </c>
      <c r="MO64" s="11">
        <f ca="1">INDEX(OFFSET(DeathsTimeS!HeadRow,ROW()-ROW(DeathsTimeS!HeadRow),0,1,COLUMNS(DeathsTimeS!HeadRow)),1,MATCH(MO$5,DeathsTimeS!HeadRow,0))/MO$8</f>
        <v>0</v>
      </c>
      <c r="MP64" s="278">
        <f ca="1">$A64 - DeathsTimeS!SouthAfrica100dt + 1</f>
        <v>-35</v>
      </c>
      <c r="MQ64" s="20">
        <f ca="1">INDEX(OFFSET(DeathsTimeS!HeadRow,ROW()-ROW(DeathsTimeS!HeadRow),0,1,COLUMNS(DeathsTimeS!HeadRow)),1,MATCH(MQ$5,DeathsTimeS!HeadRow,0))/MQ$8</f>
        <v>0</v>
      </c>
      <c r="MR64" s="278">
        <f ca="1">$A64 - DeathsTimeS!Germany100dt + 1</f>
        <v>-5</v>
      </c>
      <c r="MS64" s="20">
        <f ca="1">INDEX(OFFSET(DeathsTimeS!HeadRow,ROW()-ROW(DeathsTimeS!HeadRow),0,1,COLUMNS(DeathsTimeS!HeadRow)),1,MATCH(MS$5,DeathsTimeS!HeadRow,0))/MS$8</f>
        <v>1.3249819320645628</v>
      </c>
      <c r="MT64" s="278">
        <f ca="1">$A64 - DeathsTimeS!Ireland100dt + 1</f>
        <v>-7</v>
      </c>
      <c r="MU64" s="73">
        <f ca="1">INDEX(OFFSET(DeathsTimeS!HeadRow,ROW()-ROW(DeathsTimeS!HeadRow),0,1,COLUMNS(DeathsTimeS!HeadRow)),1,MATCH(MU$5,DeathsTimeS!HeadRow,0))/MU$8</f>
        <v>4.0816326530612246</v>
      </c>
      <c r="MV64" s="278">
        <f ca="1">$A64 - DeathsTimeS!UnitedKingdom100dt + 1</f>
        <v>-1</v>
      </c>
      <c r="MW64" s="73">
        <f ca="1">INDEX(OFFSET(DeathsTimeS!HeadRow,ROW()-ROW(DeathsTimeS!HeadRow),0,1,COLUMNS(DeathsTimeS!HeadRow)),1,MATCH(MW$5,DeathsTimeS!HeadRow,0))/MW$8</f>
        <v>6.4720048163756774</v>
      </c>
      <c r="MX64" s="278">
        <f ca="1">$A64 - DeathsTimeS!Denmark100dt + 1</f>
        <v>-3</v>
      </c>
      <c r="MY64" s="73">
        <f ca="1">INDEX(OFFSET(DeathsTimeS!HeadRow,ROW()-ROW(DeathsTimeS!HeadRow),0,1,COLUMNS(DeathsTimeS!HeadRow)),1,MATCH(MY$5,DeathsTimeS!HeadRow,0))/MY$8</f>
        <v>3.444712366517396</v>
      </c>
      <c r="MZ64" s="278">
        <f ca="1">$A64 - DeathsTimeS!US100dt + 1</f>
        <v>-4</v>
      </c>
      <c r="NA64" s="73">
        <f ca="1">INDEX(OFFSET(DeathsTimeS!HeadRow,ROW()-ROW(DeathsTimeS!HeadRow),0,1,COLUMNS(DeathsTimeS!HeadRow)),1,MATCH(NA$5,DeathsTimeS!HeadRow,0))/NA$8</f>
        <v>2.2173100805422399</v>
      </c>
      <c r="NB64" s="278">
        <f ca="1">$A64 - DeathsTimeS!AustraliaSum100dt + 1</f>
        <v>-10</v>
      </c>
      <c r="NC64" s="366">
        <f t="shared" si="6"/>
        <v>3</v>
      </c>
      <c r="ND64" s="278">
        <f ca="1">$A64 - DeathsTimeS!Taiwan100dt + 1</f>
        <v>-42</v>
      </c>
      <c r="NE64" s="366">
        <f ca="1">INDEX(OFFSET(DeathsTimeS!HeadRow,ROW()-ROW(DeathsTimeS!HeadRow),0,1,COLUMNS(DeathsTimeS!HeadRow)),1,MATCH(NE$5,DeathsTimeS!HeadRow,0))/NE$8</f>
        <v>0.4200395492437986</v>
      </c>
      <c r="NF64" s="278">
        <f ca="1">$A64 - DeathsTimeS!Hubei100dt + 1</f>
        <v>49</v>
      </c>
      <c r="NG64" s="366">
        <f ca="1">INDEX(OFFSET(DeathsTimeS!HeadRow,ROW()-ROW(DeathsTimeS!HeadRow),0,1,COLUMNS(DeathsTimeS!HeadRow)),1,MATCH(NG$5,DeathsTimeS!HeadRow,0))/NG$8</f>
        <v>527.35042735042737</v>
      </c>
      <c r="NH64" s="278">
        <f ca="1">$A64 - DeathsTimeS!HongKong100dt + 1</f>
        <v>-42</v>
      </c>
      <c r="NI64" s="366">
        <f ca="1">INDEX(OFFSET(DeathsTimeS!HeadRow,ROW()-ROW(DeathsTimeS!HeadRow),0,1,COLUMNS(DeathsTimeS!HeadRow)),1,MATCH(NI$5,DeathsTimeS!HeadRow,0))/NI$8</f>
        <v>5.3684069252449333</v>
      </c>
    </row>
    <row r="65" spans="1:373" x14ac:dyDescent="0.25">
      <c r="A65" s="156">
        <v>43906</v>
      </c>
      <c r="B65" s="25">
        <v>0</v>
      </c>
      <c r="C65" s="25">
        <v>1</v>
      </c>
      <c r="D65" s="25">
        <v>4</v>
      </c>
      <c r="E65" s="25">
        <v>0</v>
      </c>
      <c r="F65" s="25">
        <v>0</v>
      </c>
      <c r="G65" s="25">
        <v>0</v>
      </c>
      <c r="H65" s="25">
        <v>2</v>
      </c>
      <c r="I65" s="25">
        <v>0</v>
      </c>
      <c r="J65" s="25">
        <v>0</v>
      </c>
      <c r="K65" s="25">
        <v>2</v>
      </c>
      <c r="L65" s="25">
        <v>0</v>
      </c>
      <c r="M65" s="25">
        <v>0</v>
      </c>
      <c r="N65" s="25">
        <v>0</v>
      </c>
      <c r="O65" s="25">
        <v>0</v>
      </c>
      <c r="P65" s="25">
        <v>0</v>
      </c>
      <c r="Q65" s="25">
        <v>1</v>
      </c>
      <c r="R65" s="25">
        <v>3</v>
      </c>
      <c r="S65" s="25">
        <v>1</v>
      </c>
      <c r="T65" s="25">
        <v>0</v>
      </c>
      <c r="U65" s="25">
        <v>1</v>
      </c>
      <c r="V65" s="25">
        <v>0</v>
      </c>
      <c r="W65" s="25">
        <v>0</v>
      </c>
      <c r="X65" s="25">
        <v>0</v>
      </c>
      <c r="Y65" s="25">
        <v>5</v>
      </c>
      <c r="Z65" s="25">
        <v>0</v>
      </c>
      <c r="AA65" s="25">
        <v>0</v>
      </c>
      <c r="AB65" s="25">
        <v>0</v>
      </c>
      <c r="AC65" s="25">
        <v>0</v>
      </c>
      <c r="AD65" s="25">
        <v>0</v>
      </c>
      <c r="AE65" s="25">
        <v>0</v>
      </c>
      <c r="AF65" s="25">
        <v>2</v>
      </c>
      <c r="AG65" s="25">
        <v>0</v>
      </c>
      <c r="AH65" s="25">
        <v>0</v>
      </c>
      <c r="AI65" s="25">
        <v>0</v>
      </c>
      <c r="AJ65" s="25">
        <v>0</v>
      </c>
      <c r="AK65" s="25">
        <v>0</v>
      </c>
      <c r="AL65" s="25">
        <v>4</v>
      </c>
      <c r="AM65" s="25">
        <v>0</v>
      </c>
      <c r="AN65" s="25">
        <v>0</v>
      </c>
      <c r="AO65" s="25">
        <v>0</v>
      </c>
      <c r="AP65" s="25">
        <v>0</v>
      </c>
      <c r="AQ65" s="25">
        <v>0</v>
      </c>
      <c r="AR65" s="25">
        <v>0</v>
      </c>
      <c r="AS65" s="25">
        <v>0</v>
      </c>
      <c r="AT65" s="25">
        <v>0</v>
      </c>
      <c r="AU65" s="25">
        <v>0</v>
      </c>
      <c r="AV65" s="25">
        <v>0</v>
      </c>
      <c r="AW65" s="25">
        <v>0</v>
      </c>
      <c r="AX65" s="25">
        <v>0</v>
      </c>
      <c r="AY65" s="25">
        <v>6</v>
      </c>
      <c r="AZ65" s="25">
        <v>8</v>
      </c>
      <c r="BA65" s="25">
        <v>6</v>
      </c>
      <c r="BB65" s="25">
        <v>1</v>
      </c>
      <c r="BC65" s="25">
        <v>2</v>
      </c>
      <c r="BD65" s="25">
        <v>8</v>
      </c>
      <c r="BE65" s="25">
        <v>2</v>
      </c>
      <c r="BF65" s="25">
        <v>2</v>
      </c>
      <c r="BG65" s="25">
        <v>6</v>
      </c>
      <c r="BH65" s="25">
        <v>6</v>
      </c>
      <c r="BI65" s="25">
        <v>13</v>
      </c>
      <c r="BJ65" s="25">
        <v>22</v>
      </c>
      <c r="BK65" s="25">
        <v>4</v>
      </c>
      <c r="BL65" s="25">
        <v>3099</v>
      </c>
      <c r="BM65" s="25">
        <v>4</v>
      </c>
      <c r="BN65" s="25">
        <v>1</v>
      </c>
      <c r="BO65" s="25">
        <v>0</v>
      </c>
      <c r="BP65" s="25">
        <v>1</v>
      </c>
      <c r="BQ65" s="25">
        <v>1</v>
      </c>
      <c r="BR65" s="25">
        <v>1</v>
      </c>
      <c r="BS65" s="25">
        <v>0</v>
      </c>
      <c r="BT65" s="25">
        <v>0</v>
      </c>
      <c r="BU65" s="25">
        <v>0</v>
      </c>
      <c r="BV65" s="25">
        <v>2</v>
      </c>
      <c r="BW65" s="25">
        <v>7</v>
      </c>
      <c r="BX65" s="25">
        <v>3</v>
      </c>
      <c r="BY65" s="25">
        <v>0</v>
      </c>
      <c r="BZ65" s="25">
        <v>3</v>
      </c>
      <c r="CA65" s="25">
        <v>3</v>
      </c>
      <c r="CB65" s="25">
        <v>0</v>
      </c>
      <c r="CC65" s="25">
        <v>3</v>
      </c>
      <c r="CD65" s="25">
        <v>2</v>
      </c>
      <c r="CE65" s="25">
        <v>1</v>
      </c>
      <c r="CF65" s="25">
        <v>0</v>
      </c>
      <c r="CG65" s="25">
        <v>0</v>
      </c>
      <c r="CH65" s="25">
        <v>0</v>
      </c>
      <c r="CI65" s="25">
        <v>0</v>
      </c>
      <c r="CJ65" s="25">
        <v>0</v>
      </c>
      <c r="CK65" s="25">
        <v>0</v>
      </c>
      <c r="CL65" s="25">
        <v>7</v>
      </c>
      <c r="CM65" s="25">
        <v>0</v>
      </c>
      <c r="CN65" s="25">
        <v>0</v>
      </c>
      <c r="CO65" s="25">
        <v>0</v>
      </c>
      <c r="CP65" s="25">
        <v>0</v>
      </c>
      <c r="CQ65" s="25">
        <v>0</v>
      </c>
      <c r="CR65" s="25">
        <v>3</v>
      </c>
      <c r="CS65" s="25">
        <v>0</v>
      </c>
      <c r="CT65" s="25">
        <v>0</v>
      </c>
      <c r="CU65" s="25">
        <v>2</v>
      </c>
      <c r="CV65" s="25">
        <v>2</v>
      </c>
      <c r="CW65" s="25">
        <v>0</v>
      </c>
      <c r="CX65" s="25">
        <v>0</v>
      </c>
      <c r="CY65" s="25">
        <v>0</v>
      </c>
      <c r="CZ65" s="25">
        <v>0</v>
      </c>
      <c r="DA65" s="25">
        <v>0</v>
      </c>
      <c r="DB65" s="25">
        <v>0</v>
      </c>
      <c r="DC65" s="25">
        <v>0</v>
      </c>
      <c r="DD65" s="25">
        <v>0</v>
      </c>
      <c r="DE65" s="25">
        <v>0</v>
      </c>
      <c r="DF65" s="25">
        <v>0</v>
      </c>
      <c r="DG65" s="25">
        <v>0</v>
      </c>
      <c r="DH65" s="25">
        <v>0</v>
      </c>
      <c r="DI65" s="25">
        <v>0</v>
      </c>
      <c r="DJ65" s="25">
        <v>0</v>
      </c>
      <c r="DK65" s="25">
        <v>0</v>
      </c>
      <c r="DL65" s="25">
        <v>0</v>
      </c>
      <c r="DM65" s="25">
        <v>1</v>
      </c>
      <c r="DN65" s="25">
        <v>148</v>
      </c>
      <c r="DO65" s="25">
        <v>0</v>
      </c>
      <c r="DP65" s="25">
        <v>0</v>
      </c>
      <c r="DQ65" s="25">
        <v>0</v>
      </c>
      <c r="DR65" s="25">
        <v>17</v>
      </c>
      <c r="DS65" s="25">
        <v>0</v>
      </c>
      <c r="DT65" s="25">
        <v>4</v>
      </c>
      <c r="DU65" s="25">
        <v>1</v>
      </c>
      <c r="DV65" s="25">
        <v>0</v>
      </c>
      <c r="DW65" s="25">
        <v>1</v>
      </c>
      <c r="DX65" s="25">
        <v>0</v>
      </c>
      <c r="DY65" s="25">
        <v>0</v>
      </c>
      <c r="DZ65" s="25">
        <v>0</v>
      </c>
      <c r="EA65" s="25">
        <v>1</v>
      </c>
      <c r="EB65" s="25">
        <v>0</v>
      </c>
      <c r="EC65" s="25">
        <v>2</v>
      </c>
      <c r="ED65" s="25">
        <v>5</v>
      </c>
      <c r="EE65" s="25">
        <v>853</v>
      </c>
      <c r="EF65" s="25">
        <v>10</v>
      </c>
      <c r="EG65" s="25">
        <v>2</v>
      </c>
      <c r="EH65" s="25">
        <v>0</v>
      </c>
      <c r="EI65" s="25">
        <v>2158</v>
      </c>
      <c r="EJ65" s="25">
        <v>0</v>
      </c>
      <c r="EK65" s="25">
        <v>27</v>
      </c>
      <c r="EL65" s="25">
        <v>0</v>
      </c>
      <c r="EM65" s="25">
        <v>0</v>
      </c>
      <c r="EN65" s="25">
        <v>0</v>
      </c>
      <c r="EO65" s="25">
        <v>75</v>
      </c>
      <c r="EP65" s="25">
        <v>0</v>
      </c>
      <c r="EQ65" s="25">
        <v>0</v>
      </c>
      <c r="ER65" s="25">
        <v>0</v>
      </c>
      <c r="ES65" s="25">
        <v>3</v>
      </c>
      <c r="ET65" s="25">
        <v>0</v>
      </c>
      <c r="EU65" s="25">
        <v>0</v>
      </c>
      <c r="EV65" s="25">
        <v>0</v>
      </c>
      <c r="EW65" s="25">
        <v>1</v>
      </c>
      <c r="EX65" s="25">
        <v>0</v>
      </c>
      <c r="EY65" s="25">
        <v>0</v>
      </c>
      <c r="EZ65" s="25">
        <v>0</v>
      </c>
      <c r="FA65" s="25">
        <v>0</v>
      </c>
      <c r="FB65" s="25">
        <v>0</v>
      </c>
      <c r="FC65" s="25">
        <v>0</v>
      </c>
      <c r="FD65" s="25">
        <v>0</v>
      </c>
      <c r="FE65" s="25">
        <v>0</v>
      </c>
      <c r="FF65" s="25">
        <v>0</v>
      </c>
      <c r="FG65" s="25">
        <v>0</v>
      </c>
      <c r="FH65" s="25">
        <v>0</v>
      </c>
      <c r="FI65" s="25">
        <v>1</v>
      </c>
      <c r="FJ65" s="25">
        <v>0</v>
      </c>
      <c r="FK65" s="25">
        <v>0</v>
      </c>
      <c r="FL65" s="25">
        <v>0</v>
      </c>
      <c r="FM65" s="25">
        <v>0</v>
      </c>
      <c r="FN65" s="25">
        <v>0</v>
      </c>
      <c r="FO65" s="25">
        <v>24</v>
      </c>
      <c r="FP65" s="25">
        <v>0</v>
      </c>
      <c r="FQ65" s="25">
        <v>0</v>
      </c>
      <c r="FR65" s="25">
        <v>0</v>
      </c>
      <c r="FS65" s="25">
        <v>0</v>
      </c>
      <c r="FT65" s="25">
        <v>0</v>
      </c>
      <c r="FU65" s="25">
        <v>3</v>
      </c>
      <c r="FV65" s="25">
        <v>0</v>
      </c>
      <c r="FW65" s="25">
        <v>0</v>
      </c>
      <c r="FX65" s="25">
        <v>1</v>
      </c>
      <c r="FY65" s="25">
        <v>0</v>
      </c>
      <c r="FZ65" s="25">
        <v>0</v>
      </c>
      <c r="GA65" s="25">
        <v>0</v>
      </c>
      <c r="GB65" s="25">
        <v>12</v>
      </c>
      <c r="GC65" s="25">
        <v>4</v>
      </c>
      <c r="GD65" s="25">
        <v>0</v>
      </c>
      <c r="GE65" s="25">
        <v>0</v>
      </c>
      <c r="GF65" s="25">
        <v>0</v>
      </c>
      <c r="GG65" s="25">
        <v>0</v>
      </c>
      <c r="GH65" s="25">
        <v>0</v>
      </c>
      <c r="GI65" s="25">
        <v>0</v>
      </c>
      <c r="GJ65" s="25">
        <v>0</v>
      </c>
      <c r="GK65" s="25">
        <v>7</v>
      </c>
      <c r="GL65" s="25">
        <v>0</v>
      </c>
      <c r="GM65" s="25">
        <v>0</v>
      </c>
      <c r="GN65" s="25">
        <v>0</v>
      </c>
      <c r="GO65" s="25">
        <v>0</v>
      </c>
      <c r="GP65" s="25">
        <v>0</v>
      </c>
      <c r="GQ65" s="25">
        <v>0</v>
      </c>
      <c r="GR65" s="25">
        <v>1</v>
      </c>
      <c r="GS65" s="25">
        <v>0</v>
      </c>
      <c r="GT65" s="25">
        <v>0</v>
      </c>
      <c r="GU65" s="25">
        <v>342</v>
      </c>
      <c r="GV65" s="25">
        <v>0</v>
      </c>
      <c r="GW65" s="25">
        <v>1</v>
      </c>
      <c r="GX65" s="25">
        <v>0</v>
      </c>
      <c r="GY65" s="46">
        <v>6</v>
      </c>
      <c r="GZ65" s="25">
        <v>14</v>
      </c>
      <c r="HA65" s="25">
        <v>1</v>
      </c>
      <c r="HB65" s="25">
        <v>0</v>
      </c>
      <c r="HC65" s="25">
        <v>1</v>
      </c>
      <c r="HD65" s="25">
        <v>0</v>
      </c>
      <c r="HE65" s="25">
        <v>0</v>
      </c>
      <c r="HF65" s="25">
        <v>0</v>
      </c>
      <c r="HG65" s="25">
        <v>0</v>
      </c>
      <c r="HH65" s="25">
        <v>0</v>
      </c>
      <c r="HI65" s="25">
        <v>1</v>
      </c>
      <c r="HJ65" s="25">
        <v>0</v>
      </c>
      <c r="HK65" s="25">
        <v>0</v>
      </c>
      <c r="HL65" s="25">
        <v>1</v>
      </c>
      <c r="HM65" s="25">
        <v>0</v>
      </c>
      <c r="HN65" s="25">
        <v>0</v>
      </c>
      <c r="HO65" s="25">
        <v>0</v>
      </c>
      <c r="HP65" s="25">
        <v>0</v>
      </c>
      <c r="HQ65" s="25">
        <v>65</v>
      </c>
      <c r="HR65" s="25">
        <v>0</v>
      </c>
      <c r="HS65" s="25">
        <v>99</v>
      </c>
      <c r="HT65" s="25">
        <v>0</v>
      </c>
      <c r="HU65" s="25">
        <v>0</v>
      </c>
      <c r="HV65" s="25">
        <v>0</v>
      </c>
      <c r="HW65" s="25">
        <v>0</v>
      </c>
      <c r="HX65" s="25">
        <v>0</v>
      </c>
      <c r="HY65" s="25">
        <v>0</v>
      </c>
      <c r="HZ65" s="25">
        <v>0</v>
      </c>
      <c r="IA65" s="25">
        <v>0</v>
      </c>
      <c r="IB65" s="25">
        <v>0</v>
      </c>
      <c r="IC65" s="25">
        <v>0</v>
      </c>
      <c r="ID65" s="25">
        <v>0</v>
      </c>
      <c r="IE65" s="25">
        <v>0</v>
      </c>
      <c r="IF65" s="25">
        <v>0</v>
      </c>
      <c r="IG65" s="25">
        <v>0</v>
      </c>
      <c r="IH65" s="25">
        <v>0</v>
      </c>
      <c r="II65" s="25">
        <v>0</v>
      </c>
      <c r="IJ65" s="25">
        <v>0</v>
      </c>
      <c r="IK65" s="25">
        <v>0</v>
      </c>
      <c r="IL65" s="25">
        <v>0</v>
      </c>
      <c r="IM65" s="25">
        <v>0</v>
      </c>
      <c r="IN65" s="25">
        <v>0</v>
      </c>
      <c r="IO65" s="25">
        <v>0</v>
      </c>
      <c r="IP65" s="25">
        <v>0</v>
      </c>
      <c r="IQ65" s="25">
        <v>0</v>
      </c>
      <c r="IR65" s="25">
        <v>0</v>
      </c>
      <c r="IS65" s="25">
        <v>0</v>
      </c>
      <c r="IT65" s="25">
        <v>0</v>
      </c>
      <c r="IU65" s="25">
        <v>0</v>
      </c>
      <c r="IV65" s="25">
        <v>0</v>
      </c>
      <c r="IW65" s="25">
        <v>0</v>
      </c>
      <c r="IX65" s="25">
        <v>0</v>
      </c>
      <c r="IY65" s="25">
        <v>0</v>
      </c>
      <c r="IZ65" s="25">
        <v>0</v>
      </c>
      <c r="JA65" s="25">
        <v>0</v>
      </c>
      <c r="JB65" s="25">
        <v>0</v>
      </c>
      <c r="JC65" s="25">
        <v>0</v>
      </c>
      <c r="JD65" s="25">
        <v>0</v>
      </c>
      <c r="JE65" s="25">
        <v>0</v>
      </c>
      <c r="JF65" s="25">
        <v>0</v>
      </c>
      <c r="JG65" s="25">
        <v>0</v>
      </c>
      <c r="JH65" s="25">
        <v>0</v>
      </c>
      <c r="JI65" s="25">
        <v>0</v>
      </c>
      <c r="JJ65" s="25">
        <v>0</v>
      </c>
      <c r="JK65" s="25">
        <v>0</v>
      </c>
      <c r="JL65" s="25">
        <v>0</v>
      </c>
      <c r="JM65" s="25">
        <v>0</v>
      </c>
      <c r="JN65" s="25">
        <v>0</v>
      </c>
      <c r="JO65" s="25">
        <v>0</v>
      </c>
      <c r="JP65" s="25">
        <v>0</v>
      </c>
      <c r="JQ65" s="25">
        <v>7</v>
      </c>
      <c r="JR65" s="25">
        <v>1</v>
      </c>
      <c r="JS65" s="25">
        <v>0</v>
      </c>
      <c r="JT65" s="25">
        <v>0</v>
      </c>
      <c r="JU65" s="25">
        <v>0</v>
      </c>
      <c r="JV65" s="25">
        <v>3</v>
      </c>
      <c r="JW65" s="25">
        <v>1</v>
      </c>
      <c r="JX65" s="25">
        <v>0</v>
      </c>
      <c r="JY65" s="25">
        <v>0</v>
      </c>
      <c r="JZ65" s="25">
        <v>0</v>
      </c>
      <c r="KA65" s="25">
        <v>1</v>
      </c>
      <c r="KB65" s="25">
        <v>0</v>
      </c>
      <c r="KC65" s="25">
        <v>1</v>
      </c>
      <c r="KD65" s="25">
        <v>1</v>
      </c>
      <c r="KE65" s="25">
        <v>3</v>
      </c>
      <c r="KF65" s="25">
        <v>0</v>
      </c>
      <c r="KG65" s="25">
        <v>0</v>
      </c>
      <c r="KH65" s="25">
        <v>0</v>
      </c>
      <c r="KI65" s="25">
        <v>0</v>
      </c>
      <c r="KJ65" s="25">
        <v>0</v>
      </c>
      <c r="KK65" s="25">
        <v>0</v>
      </c>
      <c r="KL65" s="25">
        <v>0</v>
      </c>
      <c r="KM65" s="25">
        <v>0</v>
      </c>
      <c r="KN65" s="25">
        <v>0</v>
      </c>
      <c r="KO65" s="25">
        <v>1</v>
      </c>
      <c r="KP65" s="25">
        <v>0</v>
      </c>
      <c r="KQ65" s="25">
        <v>2</v>
      </c>
      <c r="KR65" s="25">
        <v>0</v>
      </c>
      <c r="KS65" s="25">
        <v>24</v>
      </c>
      <c r="KT65" s="25">
        <v>0</v>
      </c>
      <c r="KU65" s="25">
        <v>0</v>
      </c>
      <c r="KV65" s="25">
        <v>0</v>
      </c>
      <c r="KW65" s="25">
        <v>0</v>
      </c>
      <c r="KX65" s="25">
        <v>1</v>
      </c>
      <c r="KY65" s="25">
        <v>0</v>
      </c>
      <c r="KZ65" s="25">
        <v>0</v>
      </c>
      <c r="LA65" s="25">
        <v>1</v>
      </c>
      <c r="LB65" s="25">
        <v>1</v>
      </c>
      <c r="LC65" s="25">
        <v>0</v>
      </c>
      <c r="LD65" s="25">
        <v>0</v>
      </c>
      <c r="LE65" s="25">
        <v>0</v>
      </c>
      <c r="LF65" s="25">
        <v>0</v>
      </c>
      <c r="LG65" s="25">
        <v>2</v>
      </c>
      <c r="LH65" s="25">
        <v>48</v>
      </c>
      <c r="LI65" s="25">
        <v>0</v>
      </c>
      <c r="LJ65" s="25">
        <v>0</v>
      </c>
      <c r="LK65" s="25">
        <v>0</v>
      </c>
      <c r="LL65" s="25">
        <v>0</v>
      </c>
      <c r="LM65" s="25">
        <v>0</v>
      </c>
      <c r="LN65" s="278">
        <f ca="1">$A65 - DeathsTimeS!Sweden100dt + 1</f>
        <v>-2</v>
      </c>
      <c r="LO65" s="366">
        <f ca="1">INDEX(OFFSET(DeathsTimeS!HeadRow,ROW()-ROW(DeathsTimeS!HeadRow),0,1,COLUMNS(DeathsTimeS!HeadRow)),1,MATCH(LO$5,DeathsTimeS!HeadRow,0))/LO$8</f>
        <v>5.8651026392961878</v>
      </c>
      <c r="LP65" s="278">
        <f ca="1">$A65 - DeathsTimeS!Spain100dt</f>
        <v>5</v>
      </c>
      <c r="LQ65" s="11">
        <f ca="1">INDEX(OFFSET(DeathsTimeS!HeadRow,ROW()-ROW(DeathsTimeS!HeadRow),0,1,COLUMNS(DeathsTimeS!HeadRow)),1,MATCH(LQ$5,DeathsTimeS!HeadRow,0))/LQ$8</f>
        <v>72.858968896463566</v>
      </c>
      <c r="LR65" s="278">
        <f ca="1">$A65 - DeathsTimeS!Victoria100dt</f>
        <v>-18</v>
      </c>
      <c r="LS65" s="11">
        <f ca="1">INDEX(OFFSET(DeathsTimeS!HeadRow,ROW()-ROW(DeathsTimeS!HeadRow),0,1,COLUMNS(DeathsTimeS!HeadRow)),1,MATCH(LS$5,DeathsTimeS!HeadRow,0))/LS$8</f>
        <v>0</v>
      </c>
      <c r="LT65" s="278">
        <f ca="1">$A65 - DeathsTimeS!Iran100dt</f>
        <v>12</v>
      </c>
      <c r="LU65" s="11">
        <f ca="1">INDEX(OFFSET(DeathsTimeS!HeadRow,ROW()-ROW(DeathsTimeS!HeadRow),0,1,COLUMNS(DeathsTimeS!HeadRow)),1,MATCH(LU$5,DeathsTimeS!HeadRow,0))/LU$8</f>
        <v>101.82278299690832</v>
      </c>
      <c r="LV65" s="278">
        <f ca="1">$A65 - DeathsTimeS!Japan100dt</f>
        <v>-29</v>
      </c>
      <c r="LW65" s="11">
        <f ca="1">INDEX(OFFSET(DeathsTimeS!HeadRow,ROW()-ROW(DeathsTimeS!HeadRow),0,1,COLUMNS(DeathsTimeS!HeadRow)),1,MATCH(LW$5,DeathsTimeS!HeadRow,0))/LW$8</f>
        <v>2.1334731964611242</v>
      </c>
      <c r="LX65" s="278">
        <f ca="1">$A65 - DeathsTimeS!Queensland100dt</f>
        <v>-33</v>
      </c>
      <c r="LY65" s="11">
        <f ca="1">INDEX(OFFSET(DeathsTimeS!HeadRow,ROW()-ROW(DeathsTimeS!HeadRow),0,1,COLUMNS(DeathsTimeS!HeadRow)),1,MATCH(LY$5,DeathsTimeS!HeadRow,0))/LY$8</f>
        <v>0</v>
      </c>
      <c r="LZ65" s="278">
        <f ca="1">$A65 - DeathsTimeS!Tasmania100dt</f>
        <v>-15</v>
      </c>
      <c r="MA65" s="11">
        <f ca="1">INDEX(OFFSET(DeathsTimeS!HeadRow,ROW()-ROW(DeathsTimeS!HeadRow),0,1,COLUMNS(DeathsTimeS!HeadRow)),1,MATCH(MA$5,DeathsTimeS!HeadRow,0))/MA$8</f>
        <v>0</v>
      </c>
      <c r="MB65" s="278">
        <f ca="1">$A65 - DeathsTimeS!SouthAustralia100dt</f>
        <v>-23</v>
      </c>
      <c r="MC65" s="11">
        <f ca="1">INDEX(OFFSET(DeathsTimeS!HeadRow,ROW()-ROW(DeathsTimeS!HeadRow),0,1,COLUMNS(DeathsTimeS!HeadRow)),1,MATCH(MC$5,DeathsTimeS!HeadRow,0))/MC$8</f>
        <v>0</v>
      </c>
      <c r="MD65" s="278">
        <f ca="1">$A65 - DeathsTimeS!WesternAustralia100dt</f>
        <v>-20</v>
      </c>
      <c r="ME65" s="11">
        <f ca="1">INDEX(OFFSET(DeathsTimeS!HeadRow,ROW()-ROW(DeathsTimeS!HeadRow),0,1,COLUMNS(DeathsTimeS!HeadRow)),1,MATCH(ME$5,DeathsTimeS!HeadRow,0))/ME$8</f>
        <v>3.8624951718810348</v>
      </c>
      <c r="MF65" s="278">
        <f ca="1">$A65 - DeathsTimeS!NewSouthWales100dt</f>
        <v>-16</v>
      </c>
      <c r="MG65" s="11">
        <f ca="1">INDEX(OFFSET(DeathsTimeS!HeadRow,ROW()-ROW(DeathsTimeS!HeadRow),0,1,COLUMNS(DeathsTimeS!HeadRow)),1,MATCH(MG$5,DeathsTimeS!HeadRow,0))/MG$8</f>
        <v>2.4752475247524752</v>
      </c>
      <c r="MH65" s="278">
        <f ca="1">$A65 - DeathsTimeS!NewYork100dt</f>
        <v>0</v>
      </c>
      <c r="MI65" s="20">
        <f ca="1">INDEX(OFFSET(DeathsTimeS!HeadRow,ROW()-ROW(DeathsTimeS!HeadRow),0,1,COLUMNS(DeathsTimeS!HeadRow)),1,MATCH(MI$5,DeathsTimeS!HeadRow,0))/MI$8</f>
        <v>10.157412382266596</v>
      </c>
      <c r="MJ65" s="278">
        <f ca="1">$A65 - DeathsTimeS!Italy100dt</f>
        <v>13</v>
      </c>
      <c r="MK65" s="20">
        <f ca="1">INDEX(OFFSET(DeathsTimeS!HeadRow,ROW()-ROW(DeathsTimeS!HeadRow),0,1,COLUMNS(DeathsTimeS!HeadRow)),1,MATCH(MK$5,DeathsTimeS!HeadRow,0))/MK$8</f>
        <v>356.7826733900967</v>
      </c>
      <c r="ML65" s="278">
        <f ca="1">$A65 - DeathsTimeS!AustralianCapitalTerritory100dt</f>
        <v>-14</v>
      </c>
      <c r="MM65" s="11">
        <f ca="1">INDEX(OFFSET(DeathsTimeS!HeadRow,ROW()-ROW(DeathsTimeS!HeadRow),0,1,COLUMNS(DeathsTimeS!HeadRow)),1,MATCH(MM$5,DeathsTimeS!HeadRow,0))/MM$8</f>
        <v>0</v>
      </c>
      <c r="MN65" s="278">
        <f ca="1">IF(DeathsTimeS!NorthernTerritory100dt&gt;0,$A65 - DeathsTimeS!NorthernTerritory100dt,"")</f>
        <v>-42</v>
      </c>
      <c r="MO65" s="11">
        <f ca="1">INDEX(OFFSET(DeathsTimeS!HeadRow,ROW()-ROW(DeathsTimeS!HeadRow),0,1,COLUMNS(DeathsTimeS!HeadRow)),1,MATCH(MO$5,DeathsTimeS!HeadRow,0))/MO$8</f>
        <v>0</v>
      </c>
      <c r="MP65" s="278">
        <f ca="1">$A65 - DeathsTimeS!SouthAfrica100dt + 1</f>
        <v>-34</v>
      </c>
      <c r="MQ65" s="20">
        <f ca="1">INDEX(OFFSET(DeathsTimeS!HeadRow,ROW()-ROW(DeathsTimeS!HeadRow),0,1,COLUMNS(DeathsTimeS!HeadRow)),1,MATCH(MQ$5,DeathsTimeS!HeadRow,0))/MQ$8</f>
        <v>0</v>
      </c>
      <c r="MR65" s="278">
        <f ca="1">$A65 - DeathsTimeS!Germany100dt + 1</f>
        <v>-4</v>
      </c>
      <c r="MS65" s="20">
        <f ca="1">INDEX(OFFSET(DeathsTimeS!HeadRow,ROW()-ROW(DeathsTimeS!HeadRow),0,1,COLUMNS(DeathsTimeS!HeadRow)),1,MATCH(MS$5,DeathsTimeS!HeadRow,0))/MS$8</f>
        <v>2.0476993495543243</v>
      </c>
      <c r="MT65" s="278">
        <f ca="1">$A65 - DeathsTimeS!Ireland100dt + 1</f>
        <v>-6</v>
      </c>
      <c r="MU65" s="73">
        <f ca="1">INDEX(OFFSET(DeathsTimeS!HeadRow,ROW()-ROW(DeathsTimeS!HeadRow),0,1,COLUMNS(DeathsTimeS!HeadRow)),1,MATCH(MU$5,DeathsTimeS!HeadRow,0))/MU$8</f>
        <v>4.0816326530612246</v>
      </c>
      <c r="MV65" s="278">
        <f ca="1">$A65 - DeathsTimeS!UnitedKingdom100dt + 1</f>
        <v>0</v>
      </c>
      <c r="MW65" s="73">
        <f ca="1">INDEX(OFFSET(DeathsTimeS!HeadRow,ROW()-ROW(DeathsTimeS!HeadRow),0,1,COLUMNS(DeathsTimeS!HeadRow)),1,MATCH(MW$5,DeathsTimeS!HeadRow,0))/MW$8</f>
        <v>9.7832630945213719</v>
      </c>
      <c r="MX65" s="278">
        <f ca="1">$A65 - DeathsTimeS!Denmark100dt + 1</f>
        <v>-2</v>
      </c>
      <c r="MY65" s="73">
        <f ca="1">INDEX(OFFSET(DeathsTimeS!HeadRow,ROW()-ROW(DeathsTimeS!HeadRow),0,1,COLUMNS(DeathsTimeS!HeadRow)),1,MATCH(MY$5,DeathsTimeS!HeadRow,0))/MY$8</f>
        <v>5.1670685497760935</v>
      </c>
      <c r="MZ65" s="278">
        <f ca="1">$A65 - DeathsTimeS!US100dt + 1</f>
        <v>-3</v>
      </c>
      <c r="NA65" s="73">
        <f ca="1">INDEX(OFFSET(DeathsTimeS!HeadRow,ROW()-ROW(DeathsTimeS!HeadRow),0,1,COLUMNS(DeathsTimeS!HeadRow)),1,MATCH(NA$5,DeathsTimeS!HeadRow,0))/NA$8</f>
        <v>3.0070369585435857</v>
      </c>
      <c r="NB65" s="278">
        <f ca="1">$A65 - DeathsTimeS!AustraliaSum100dt + 1</f>
        <v>-9</v>
      </c>
      <c r="NC65" s="366">
        <f t="shared" si="6"/>
        <v>3</v>
      </c>
      <c r="ND65" s="278">
        <f ca="1">$A65 - DeathsTimeS!Taiwan100dt + 1</f>
        <v>-41</v>
      </c>
      <c r="NE65" s="366">
        <f ca="1">INDEX(OFFSET(DeathsTimeS!HeadRow,ROW()-ROW(DeathsTimeS!HeadRow),0,1,COLUMNS(DeathsTimeS!HeadRow)),1,MATCH(NE$5,DeathsTimeS!HeadRow,0))/NE$8</f>
        <v>0.4200395492437986</v>
      </c>
      <c r="NF65" s="278">
        <f ca="1">$A65 - DeathsTimeS!Hubei100dt + 1</f>
        <v>50</v>
      </c>
      <c r="NG65" s="366">
        <f ca="1">INDEX(OFFSET(DeathsTimeS!HeadRow,ROW()-ROW(DeathsTimeS!HeadRow),0,1,COLUMNS(DeathsTimeS!HeadRow)),1,MATCH(NG$5,DeathsTimeS!HeadRow,0))/NG$8</f>
        <v>529.74358974358972</v>
      </c>
      <c r="NH65" s="278">
        <f ca="1">$A65 - DeathsTimeS!HongKong100dt + 1</f>
        <v>-41</v>
      </c>
      <c r="NI65" s="366">
        <f ca="1">INDEX(OFFSET(DeathsTimeS!HeadRow,ROW()-ROW(DeathsTimeS!HeadRow),0,1,COLUMNS(DeathsTimeS!HeadRow)),1,MATCH(NI$5,DeathsTimeS!HeadRow,0))/NI$8</f>
        <v>5.3684069252449333</v>
      </c>
    </row>
    <row r="66" spans="1:373" x14ac:dyDescent="0.25">
      <c r="A66" s="156">
        <v>43907</v>
      </c>
      <c r="B66" s="25">
        <v>0</v>
      </c>
      <c r="C66" s="25">
        <v>1</v>
      </c>
      <c r="D66" s="25">
        <v>4</v>
      </c>
      <c r="E66" s="25">
        <v>0</v>
      </c>
      <c r="F66" s="25">
        <v>0</v>
      </c>
      <c r="G66" s="25">
        <v>0</v>
      </c>
      <c r="H66" s="25">
        <v>2</v>
      </c>
      <c r="I66" s="25">
        <v>0</v>
      </c>
      <c r="J66" s="25">
        <v>0</v>
      </c>
      <c r="K66" s="25">
        <v>4</v>
      </c>
      <c r="L66" s="25">
        <v>0</v>
      </c>
      <c r="M66" s="25">
        <v>0</v>
      </c>
      <c r="N66" s="25">
        <v>0</v>
      </c>
      <c r="O66" s="25">
        <v>0</v>
      </c>
      <c r="P66" s="25">
        <v>0</v>
      </c>
      <c r="Q66" s="25">
        <v>1</v>
      </c>
      <c r="R66" s="25">
        <v>3</v>
      </c>
      <c r="S66" s="25">
        <v>1</v>
      </c>
      <c r="T66" s="25">
        <v>0</v>
      </c>
      <c r="U66" s="25">
        <v>1</v>
      </c>
      <c r="V66" s="25">
        <v>0</v>
      </c>
      <c r="W66" s="25">
        <v>0</v>
      </c>
      <c r="X66" s="25">
        <v>0</v>
      </c>
      <c r="Y66" s="25">
        <v>10</v>
      </c>
      <c r="Z66" s="25">
        <v>0</v>
      </c>
      <c r="AA66" s="25">
        <v>0</v>
      </c>
      <c r="AB66" s="25">
        <v>0</v>
      </c>
      <c r="AC66" s="25">
        <v>0</v>
      </c>
      <c r="AD66" s="25">
        <v>1</v>
      </c>
      <c r="AE66" s="25">
        <v>0</v>
      </c>
      <c r="AF66" s="25">
        <v>2</v>
      </c>
      <c r="AG66" s="25">
        <v>0</v>
      </c>
      <c r="AH66" s="25">
        <v>0</v>
      </c>
      <c r="AI66" s="25">
        <v>0</v>
      </c>
      <c r="AJ66" s="25">
        <v>0</v>
      </c>
      <c r="AK66" s="25">
        <v>0</v>
      </c>
      <c r="AL66" s="25">
        <v>4</v>
      </c>
      <c r="AM66" s="25">
        <v>0</v>
      </c>
      <c r="AN66" s="25">
        <v>0</v>
      </c>
      <c r="AO66" s="25">
        <v>0</v>
      </c>
      <c r="AP66" s="25">
        <v>0</v>
      </c>
      <c r="AQ66" s="25">
        <v>0</v>
      </c>
      <c r="AR66" s="25">
        <v>1</v>
      </c>
      <c r="AS66" s="25">
        <v>0</v>
      </c>
      <c r="AT66" s="25">
        <v>0</v>
      </c>
      <c r="AU66" s="25">
        <v>0</v>
      </c>
      <c r="AV66" s="25">
        <v>0</v>
      </c>
      <c r="AW66" s="25">
        <v>0</v>
      </c>
      <c r="AX66" s="25">
        <v>0</v>
      </c>
      <c r="AY66" s="25">
        <v>6</v>
      </c>
      <c r="AZ66" s="25">
        <v>8</v>
      </c>
      <c r="BA66" s="25">
        <v>6</v>
      </c>
      <c r="BB66" s="25">
        <v>1</v>
      </c>
      <c r="BC66" s="25">
        <v>2</v>
      </c>
      <c r="BD66" s="25">
        <v>8</v>
      </c>
      <c r="BE66" s="25">
        <v>2</v>
      </c>
      <c r="BF66" s="25">
        <v>2</v>
      </c>
      <c r="BG66" s="25">
        <v>6</v>
      </c>
      <c r="BH66" s="25">
        <v>6</v>
      </c>
      <c r="BI66" s="25">
        <v>13</v>
      </c>
      <c r="BJ66" s="25">
        <v>22</v>
      </c>
      <c r="BK66" s="25">
        <v>4</v>
      </c>
      <c r="BL66" s="25">
        <v>3111</v>
      </c>
      <c r="BM66" s="25">
        <v>4</v>
      </c>
      <c r="BN66" s="25">
        <v>1</v>
      </c>
      <c r="BO66" s="25">
        <v>0</v>
      </c>
      <c r="BP66" s="25">
        <v>1</v>
      </c>
      <c r="BQ66" s="25">
        <v>1</v>
      </c>
      <c r="BR66" s="25">
        <v>1</v>
      </c>
      <c r="BS66" s="25">
        <v>0</v>
      </c>
      <c r="BT66" s="25">
        <v>0</v>
      </c>
      <c r="BU66" s="25">
        <v>0</v>
      </c>
      <c r="BV66" s="25">
        <v>3</v>
      </c>
      <c r="BW66" s="25">
        <v>7</v>
      </c>
      <c r="BX66" s="25">
        <v>3</v>
      </c>
      <c r="BY66" s="25">
        <v>0</v>
      </c>
      <c r="BZ66" s="25">
        <v>3</v>
      </c>
      <c r="CA66" s="25">
        <v>3</v>
      </c>
      <c r="CB66" s="25">
        <v>0</v>
      </c>
      <c r="CC66" s="25">
        <v>3</v>
      </c>
      <c r="CD66" s="25">
        <v>2</v>
      </c>
      <c r="CE66" s="25">
        <v>1</v>
      </c>
      <c r="CF66" s="25">
        <v>0</v>
      </c>
      <c r="CG66" s="25">
        <v>0</v>
      </c>
      <c r="CH66" s="25">
        <v>0</v>
      </c>
      <c r="CI66" s="25">
        <v>0</v>
      </c>
      <c r="CJ66" s="25">
        <v>0</v>
      </c>
      <c r="CK66" s="25">
        <v>0</v>
      </c>
      <c r="CL66" s="25">
        <v>7</v>
      </c>
      <c r="CM66" s="25">
        <v>0</v>
      </c>
      <c r="CN66" s="25">
        <v>0</v>
      </c>
      <c r="CO66" s="25">
        <v>0</v>
      </c>
      <c r="CP66" s="25">
        <v>0</v>
      </c>
      <c r="CQ66" s="25">
        <v>0</v>
      </c>
      <c r="CR66" s="25">
        <v>4</v>
      </c>
      <c r="CS66" s="25">
        <v>0</v>
      </c>
      <c r="CT66" s="25">
        <v>1</v>
      </c>
      <c r="CU66" s="25">
        <v>2</v>
      </c>
      <c r="CV66" s="25">
        <v>4</v>
      </c>
      <c r="CW66" s="25">
        <v>0</v>
      </c>
      <c r="CX66" s="25">
        <v>0</v>
      </c>
      <c r="CY66" s="25">
        <v>0</v>
      </c>
      <c r="CZ66" s="25">
        <v>0</v>
      </c>
      <c r="DA66" s="25">
        <v>0</v>
      </c>
      <c r="DB66" s="25">
        <v>0</v>
      </c>
      <c r="DC66" s="25">
        <v>0</v>
      </c>
      <c r="DD66" s="25">
        <v>0</v>
      </c>
      <c r="DE66" s="25">
        <v>0</v>
      </c>
      <c r="DF66" s="25">
        <v>0</v>
      </c>
      <c r="DG66" s="25">
        <v>0</v>
      </c>
      <c r="DH66" s="25">
        <v>0</v>
      </c>
      <c r="DI66" s="25">
        <v>0</v>
      </c>
      <c r="DJ66" s="25">
        <v>0</v>
      </c>
      <c r="DK66" s="25">
        <v>0</v>
      </c>
      <c r="DL66" s="25">
        <v>0</v>
      </c>
      <c r="DM66" s="25">
        <v>1</v>
      </c>
      <c r="DN66" s="25">
        <v>148</v>
      </c>
      <c r="DO66" s="25">
        <v>0</v>
      </c>
      <c r="DP66" s="25">
        <v>0</v>
      </c>
      <c r="DQ66" s="25">
        <v>0</v>
      </c>
      <c r="DR66" s="25">
        <v>24</v>
      </c>
      <c r="DS66" s="25">
        <v>0</v>
      </c>
      <c r="DT66" s="25">
        <v>5</v>
      </c>
      <c r="DU66" s="25">
        <v>1</v>
      </c>
      <c r="DV66" s="25">
        <v>0</v>
      </c>
      <c r="DW66" s="25">
        <v>1</v>
      </c>
      <c r="DX66" s="25">
        <v>0</v>
      </c>
      <c r="DY66" s="25">
        <v>0</v>
      </c>
      <c r="DZ66" s="25">
        <v>0</v>
      </c>
      <c r="EA66" s="25">
        <v>1</v>
      </c>
      <c r="EB66" s="25">
        <v>1</v>
      </c>
      <c r="EC66" s="25">
        <v>3</v>
      </c>
      <c r="ED66" s="25">
        <v>5</v>
      </c>
      <c r="EE66" s="25">
        <v>988</v>
      </c>
      <c r="EF66" s="25">
        <v>11</v>
      </c>
      <c r="EG66" s="25">
        <v>2</v>
      </c>
      <c r="EH66" s="25">
        <v>0</v>
      </c>
      <c r="EI66" s="25">
        <v>2503</v>
      </c>
      <c r="EJ66" s="25">
        <v>0</v>
      </c>
      <c r="EK66" s="25">
        <v>29</v>
      </c>
      <c r="EL66" s="25">
        <v>0</v>
      </c>
      <c r="EM66" s="25">
        <v>0</v>
      </c>
      <c r="EN66" s="25">
        <v>0</v>
      </c>
      <c r="EO66" s="25">
        <v>81</v>
      </c>
      <c r="EP66" s="25">
        <v>0</v>
      </c>
      <c r="EQ66" s="25">
        <v>0</v>
      </c>
      <c r="ER66" s="25">
        <v>0</v>
      </c>
      <c r="ES66" s="25">
        <v>3</v>
      </c>
      <c r="ET66" s="25">
        <v>0</v>
      </c>
      <c r="EU66" s="25">
        <v>0</v>
      </c>
      <c r="EV66" s="25">
        <v>0</v>
      </c>
      <c r="EW66" s="25">
        <v>1</v>
      </c>
      <c r="EX66" s="25">
        <v>0</v>
      </c>
      <c r="EY66" s="25">
        <v>2</v>
      </c>
      <c r="EZ66" s="25">
        <v>0</v>
      </c>
      <c r="FA66" s="25">
        <v>0</v>
      </c>
      <c r="FB66" s="25">
        <v>0</v>
      </c>
      <c r="FC66" s="25">
        <v>0</v>
      </c>
      <c r="FD66" s="25">
        <v>0</v>
      </c>
      <c r="FE66" s="25">
        <v>0</v>
      </c>
      <c r="FF66" s="25">
        <v>0</v>
      </c>
      <c r="FG66" s="25">
        <v>0</v>
      </c>
      <c r="FH66" s="25">
        <v>0</v>
      </c>
      <c r="FI66" s="25">
        <v>2</v>
      </c>
      <c r="FJ66" s="25">
        <v>0</v>
      </c>
      <c r="FK66" s="25">
        <v>0</v>
      </c>
      <c r="FL66" s="25">
        <v>0</v>
      </c>
      <c r="FM66" s="25">
        <v>0</v>
      </c>
      <c r="FN66" s="25">
        <v>0</v>
      </c>
      <c r="FO66" s="25">
        <v>43</v>
      </c>
      <c r="FP66" s="25">
        <v>0</v>
      </c>
      <c r="FQ66" s="25">
        <v>0</v>
      </c>
      <c r="FR66" s="25">
        <v>0</v>
      </c>
      <c r="FS66" s="25">
        <v>0</v>
      </c>
      <c r="FT66" s="25">
        <v>0</v>
      </c>
      <c r="FU66" s="25">
        <v>3</v>
      </c>
      <c r="FV66" s="25">
        <v>0</v>
      </c>
      <c r="FW66" s="25">
        <v>0</v>
      </c>
      <c r="FX66" s="25">
        <v>1</v>
      </c>
      <c r="FY66" s="25">
        <v>0</v>
      </c>
      <c r="FZ66" s="25">
        <v>0</v>
      </c>
      <c r="GA66" s="25">
        <v>0</v>
      </c>
      <c r="GB66" s="25">
        <v>12</v>
      </c>
      <c r="GC66" s="25">
        <v>5</v>
      </c>
      <c r="GD66" s="25">
        <v>1</v>
      </c>
      <c r="GE66" s="25">
        <v>0</v>
      </c>
      <c r="GF66" s="25">
        <v>0</v>
      </c>
      <c r="GG66" s="25">
        <v>0</v>
      </c>
      <c r="GH66" s="25">
        <v>0</v>
      </c>
      <c r="GI66" s="25">
        <v>0</v>
      </c>
      <c r="GJ66" s="25">
        <v>0</v>
      </c>
      <c r="GK66" s="25">
        <v>7</v>
      </c>
      <c r="GL66" s="25">
        <v>0</v>
      </c>
      <c r="GM66" s="25">
        <v>0</v>
      </c>
      <c r="GN66" s="25">
        <v>0</v>
      </c>
      <c r="GO66" s="25">
        <v>0</v>
      </c>
      <c r="GP66" s="25">
        <v>0</v>
      </c>
      <c r="GQ66" s="25">
        <v>0</v>
      </c>
      <c r="GR66" s="25">
        <v>1</v>
      </c>
      <c r="GS66" s="25">
        <v>0</v>
      </c>
      <c r="GT66" s="25">
        <v>0</v>
      </c>
      <c r="GU66" s="25">
        <v>533</v>
      </c>
      <c r="GV66" s="25">
        <v>0</v>
      </c>
      <c r="GW66" s="25">
        <v>1</v>
      </c>
      <c r="GX66" s="25">
        <v>0</v>
      </c>
      <c r="GY66" s="46">
        <v>7</v>
      </c>
      <c r="GZ66" s="25">
        <v>27</v>
      </c>
      <c r="HA66" s="25">
        <v>1</v>
      </c>
      <c r="HB66" s="25">
        <v>0</v>
      </c>
      <c r="HC66" s="25">
        <v>1</v>
      </c>
      <c r="HD66" s="25">
        <v>0</v>
      </c>
      <c r="HE66" s="25">
        <v>0</v>
      </c>
      <c r="HF66" s="25">
        <v>0</v>
      </c>
      <c r="HG66" s="25">
        <v>1</v>
      </c>
      <c r="HH66" s="25">
        <v>0</v>
      </c>
      <c r="HI66" s="25">
        <v>2</v>
      </c>
      <c r="HJ66" s="25">
        <v>0</v>
      </c>
      <c r="HK66" s="25">
        <v>0</v>
      </c>
      <c r="HL66" s="25">
        <v>1</v>
      </c>
      <c r="HM66" s="25">
        <v>0</v>
      </c>
      <c r="HN66" s="25">
        <v>0</v>
      </c>
      <c r="HO66" s="25">
        <v>0</v>
      </c>
      <c r="HP66" s="25">
        <v>0</v>
      </c>
      <c r="HQ66" s="25">
        <v>81</v>
      </c>
      <c r="HR66" s="25">
        <v>0</v>
      </c>
      <c r="HS66" s="25">
        <v>133</v>
      </c>
      <c r="HT66" s="25">
        <v>0</v>
      </c>
      <c r="HU66" s="25">
        <v>0</v>
      </c>
      <c r="HV66" s="25">
        <v>0</v>
      </c>
      <c r="HW66" s="25">
        <v>0</v>
      </c>
      <c r="HX66" s="25">
        <v>0</v>
      </c>
      <c r="HY66" s="25">
        <v>0</v>
      </c>
      <c r="HZ66" s="25">
        <v>0</v>
      </c>
      <c r="IA66" s="25">
        <v>0</v>
      </c>
      <c r="IB66" s="25">
        <v>0</v>
      </c>
      <c r="IC66" s="25">
        <v>0</v>
      </c>
      <c r="ID66" s="25">
        <v>0</v>
      </c>
      <c r="IE66" s="25">
        <v>0</v>
      </c>
      <c r="IF66" s="25">
        <v>0</v>
      </c>
      <c r="IG66" s="25">
        <v>0</v>
      </c>
      <c r="IH66" s="25">
        <v>0</v>
      </c>
      <c r="II66" s="25">
        <v>0</v>
      </c>
      <c r="IJ66" s="25">
        <v>0</v>
      </c>
      <c r="IK66" s="25">
        <v>0</v>
      </c>
      <c r="IL66" s="25">
        <v>0</v>
      </c>
      <c r="IM66" s="25">
        <v>0</v>
      </c>
      <c r="IN66" s="25">
        <v>0</v>
      </c>
      <c r="IO66" s="25">
        <v>0</v>
      </c>
      <c r="IP66" s="25">
        <v>0</v>
      </c>
      <c r="IQ66" s="25">
        <v>0</v>
      </c>
      <c r="IR66" s="25">
        <v>0</v>
      </c>
      <c r="IS66" s="25">
        <v>0</v>
      </c>
      <c r="IT66" s="25">
        <v>0</v>
      </c>
      <c r="IU66" s="25">
        <v>0</v>
      </c>
      <c r="IV66" s="25">
        <v>0</v>
      </c>
      <c r="IW66" s="25">
        <v>0</v>
      </c>
      <c r="IX66" s="25">
        <v>0</v>
      </c>
      <c r="IY66" s="25">
        <v>0</v>
      </c>
      <c r="IZ66" s="25">
        <v>0</v>
      </c>
      <c r="JA66" s="25">
        <v>0</v>
      </c>
      <c r="JB66" s="25">
        <v>0</v>
      </c>
      <c r="JC66" s="25">
        <v>0</v>
      </c>
      <c r="JD66" s="25">
        <v>0</v>
      </c>
      <c r="JE66" s="25">
        <v>0</v>
      </c>
      <c r="JF66" s="25">
        <v>0</v>
      </c>
      <c r="JG66" s="25">
        <v>0</v>
      </c>
      <c r="JH66" s="25">
        <v>0</v>
      </c>
      <c r="JI66" s="25">
        <v>0</v>
      </c>
      <c r="JJ66" s="25">
        <v>0</v>
      </c>
      <c r="JK66" s="25">
        <v>0</v>
      </c>
      <c r="JL66" s="25">
        <v>0</v>
      </c>
      <c r="JM66" s="25">
        <v>0</v>
      </c>
      <c r="JN66" s="25">
        <v>0</v>
      </c>
      <c r="JO66" s="25">
        <v>0</v>
      </c>
      <c r="JP66" s="25">
        <v>0</v>
      </c>
      <c r="JQ66" s="25">
        <v>12</v>
      </c>
      <c r="JR66" s="25">
        <v>2</v>
      </c>
      <c r="JS66" s="25">
        <v>0</v>
      </c>
      <c r="JT66" s="25">
        <v>0</v>
      </c>
      <c r="JU66" s="25">
        <v>0</v>
      </c>
      <c r="JV66" s="25">
        <v>5</v>
      </c>
      <c r="JW66" s="25">
        <v>1</v>
      </c>
      <c r="JX66" s="25">
        <v>0</v>
      </c>
      <c r="JY66" s="25">
        <v>0</v>
      </c>
      <c r="JZ66" s="25">
        <v>1</v>
      </c>
      <c r="KA66" s="25">
        <v>2</v>
      </c>
      <c r="KB66" s="25">
        <v>0</v>
      </c>
      <c r="KC66" s="25">
        <v>1</v>
      </c>
      <c r="KD66" s="25">
        <v>1</v>
      </c>
      <c r="KE66" s="25">
        <v>4</v>
      </c>
      <c r="KF66" s="25">
        <v>0</v>
      </c>
      <c r="KG66" s="25">
        <v>0</v>
      </c>
      <c r="KH66" s="25">
        <v>0</v>
      </c>
      <c r="KI66" s="25">
        <v>0</v>
      </c>
      <c r="KJ66" s="25">
        <v>0</v>
      </c>
      <c r="KK66" s="25">
        <v>0</v>
      </c>
      <c r="KL66" s="25">
        <v>0</v>
      </c>
      <c r="KM66" s="25">
        <v>0</v>
      </c>
      <c r="KN66" s="25">
        <v>0</v>
      </c>
      <c r="KO66" s="25">
        <v>1</v>
      </c>
      <c r="KP66" s="25">
        <v>0</v>
      </c>
      <c r="KQ66" s="25">
        <v>3</v>
      </c>
      <c r="KR66" s="25">
        <v>0</v>
      </c>
      <c r="KS66" s="25">
        <v>38</v>
      </c>
      <c r="KT66" s="25">
        <v>0</v>
      </c>
      <c r="KU66" s="25">
        <v>0</v>
      </c>
      <c r="KV66" s="25">
        <v>0</v>
      </c>
      <c r="KW66" s="25">
        <v>0</v>
      </c>
      <c r="KX66" s="25">
        <v>1</v>
      </c>
      <c r="KY66" s="25">
        <v>0</v>
      </c>
      <c r="KZ66" s="25">
        <v>0</v>
      </c>
      <c r="LA66" s="25">
        <v>1</v>
      </c>
      <c r="LB66" s="25">
        <v>1</v>
      </c>
      <c r="LC66" s="25">
        <v>0</v>
      </c>
      <c r="LD66" s="25">
        <v>1</v>
      </c>
      <c r="LE66" s="25">
        <v>0</v>
      </c>
      <c r="LF66" s="25">
        <v>0</v>
      </c>
      <c r="LG66" s="25">
        <v>2</v>
      </c>
      <c r="LH66" s="25">
        <v>55</v>
      </c>
      <c r="LI66" s="25">
        <v>0</v>
      </c>
      <c r="LJ66" s="25">
        <v>0</v>
      </c>
      <c r="LK66" s="25">
        <v>0</v>
      </c>
      <c r="LL66" s="25">
        <v>0</v>
      </c>
      <c r="LM66" s="25">
        <v>0</v>
      </c>
      <c r="LN66" s="278">
        <f ca="1">$A66 - DeathsTimeS!Sweden100dt + 1</f>
        <v>-1</v>
      </c>
      <c r="LO66" s="366">
        <f ca="1">INDEX(OFFSET(DeathsTimeS!HeadRow,ROW()-ROW(DeathsTimeS!HeadRow),0,1,COLUMNS(DeathsTimeS!HeadRow)),1,MATCH(LO$5,DeathsTimeS!HeadRow,0))/LO$8</f>
        <v>6.8426197458455533</v>
      </c>
      <c r="LP66" s="278">
        <f ca="1">$A66 - DeathsTimeS!Spain100dt</f>
        <v>6</v>
      </c>
      <c r="LQ66" s="11">
        <f ca="1">INDEX(OFFSET(DeathsTimeS!HeadRow,ROW()-ROW(DeathsTimeS!HeadRow),0,1,COLUMNS(DeathsTimeS!HeadRow)),1,MATCH(LQ$5,DeathsTimeS!HeadRow,0))/LQ$8</f>
        <v>113.54921175969322</v>
      </c>
      <c r="LR66" s="278">
        <f ca="1">$A66 - DeathsTimeS!Victoria100dt</f>
        <v>-17</v>
      </c>
      <c r="LS66" s="11">
        <f ca="1">INDEX(OFFSET(DeathsTimeS!HeadRow,ROW()-ROW(DeathsTimeS!HeadRow),0,1,COLUMNS(DeathsTimeS!HeadRow)),1,MATCH(LS$5,DeathsTimeS!HeadRow,0))/LS$8</f>
        <v>0</v>
      </c>
      <c r="LT66" s="278">
        <f ca="1">$A66 - DeathsTimeS!Iran100dt</f>
        <v>13</v>
      </c>
      <c r="LU66" s="11">
        <f ca="1">INDEX(OFFSET(DeathsTimeS!HeadRow,ROW()-ROW(DeathsTimeS!HeadRow),0,1,COLUMNS(DeathsTimeS!HeadRow)),1,MATCH(LU$5,DeathsTimeS!HeadRow,0))/LU$8</f>
        <v>117.93776037625489</v>
      </c>
      <c r="LV66" s="278">
        <f ca="1">$A66 - DeathsTimeS!Japan100dt</f>
        <v>-28</v>
      </c>
      <c r="LW66" s="11">
        <f ca="1">INDEX(OFFSET(DeathsTimeS!HeadRow,ROW()-ROW(DeathsTimeS!HeadRow),0,1,COLUMNS(DeathsTimeS!HeadRow)),1,MATCH(LW$5,DeathsTimeS!HeadRow,0))/LW$8</f>
        <v>2.2915082480508371</v>
      </c>
      <c r="LX66" s="278">
        <f ca="1">$A66 - DeathsTimeS!Queensland100dt</f>
        <v>-32</v>
      </c>
      <c r="LY66" s="11">
        <f ca="1">INDEX(OFFSET(DeathsTimeS!HeadRow,ROW()-ROW(DeathsTimeS!HeadRow),0,1,COLUMNS(DeathsTimeS!HeadRow)),1,MATCH(LY$5,DeathsTimeS!HeadRow,0))/LY$8</f>
        <v>0</v>
      </c>
      <c r="LZ66" s="278">
        <f ca="1">$A66 - DeathsTimeS!Tasmania100dt</f>
        <v>-14</v>
      </c>
      <c r="MA66" s="11">
        <f ca="1">INDEX(OFFSET(DeathsTimeS!HeadRow,ROW()-ROW(DeathsTimeS!HeadRow),0,1,COLUMNS(DeathsTimeS!HeadRow)),1,MATCH(MA$5,DeathsTimeS!HeadRow,0))/MA$8</f>
        <v>0</v>
      </c>
      <c r="MB66" s="278">
        <f ca="1">$A66 - DeathsTimeS!SouthAustralia100dt</f>
        <v>-22</v>
      </c>
      <c r="MC66" s="11">
        <f ca="1">INDEX(OFFSET(DeathsTimeS!HeadRow,ROW()-ROW(DeathsTimeS!HeadRow),0,1,COLUMNS(DeathsTimeS!HeadRow)),1,MATCH(MC$5,DeathsTimeS!HeadRow,0))/MC$8</f>
        <v>0</v>
      </c>
      <c r="MD66" s="278">
        <f ca="1">$A66 - DeathsTimeS!WesternAustralia100dt</f>
        <v>-19</v>
      </c>
      <c r="ME66" s="11">
        <f ca="1">INDEX(OFFSET(DeathsTimeS!HeadRow,ROW()-ROW(DeathsTimeS!HeadRow),0,1,COLUMNS(DeathsTimeS!HeadRow)),1,MATCH(ME$5,DeathsTimeS!HeadRow,0))/ME$8</f>
        <v>3.8624951718810348</v>
      </c>
      <c r="MF66" s="278">
        <f ca="1">$A66 - DeathsTimeS!NewSouthWales100dt</f>
        <v>-15</v>
      </c>
      <c r="MG66" s="11">
        <f ca="1">INDEX(OFFSET(DeathsTimeS!HeadRow,ROW()-ROW(DeathsTimeS!HeadRow),0,1,COLUMNS(DeathsTimeS!HeadRow)),1,MATCH(MG$5,DeathsTimeS!HeadRow,0))/MG$8</f>
        <v>4.9504950495049505</v>
      </c>
      <c r="MH66" s="278">
        <f ca="1">$A66 - DeathsTimeS!NewYork100dt</f>
        <v>1</v>
      </c>
      <c r="MI66" s="20">
        <f ca="1">INDEX(OFFSET(DeathsTimeS!HeadRow,ROW()-ROW(DeathsTimeS!HeadRow),0,1,COLUMNS(DeathsTimeS!HeadRow)),1,MATCH(MI$5,DeathsTimeS!HeadRow,0))/MI$8</f>
        <v>16.082569605255443</v>
      </c>
      <c r="MJ66" s="278">
        <f ca="1">$A66 - DeathsTimeS!Italy100dt</f>
        <v>14</v>
      </c>
      <c r="MK66" s="20">
        <f ca="1">INDEX(OFFSET(DeathsTimeS!HeadRow,ROW()-ROW(DeathsTimeS!HeadRow),0,1,COLUMNS(DeathsTimeS!HeadRow)),1,MATCH(MK$5,DeathsTimeS!HeadRow,0))/MK$8</f>
        <v>413.82160866330497</v>
      </c>
      <c r="ML66" s="278">
        <f ca="1">$A66 - DeathsTimeS!AustralianCapitalTerritory100dt</f>
        <v>-13</v>
      </c>
      <c r="MM66" s="11">
        <f ca="1">INDEX(OFFSET(DeathsTimeS!HeadRow,ROW()-ROW(DeathsTimeS!HeadRow),0,1,COLUMNS(DeathsTimeS!HeadRow)),1,MATCH(MM$5,DeathsTimeS!HeadRow,0))/MM$8</f>
        <v>0</v>
      </c>
      <c r="MN66" s="278">
        <f ca="1">IF(DeathsTimeS!NorthernTerritory100dt&gt;0,$A66 - DeathsTimeS!NorthernTerritory100dt,"")</f>
        <v>-41</v>
      </c>
      <c r="MO66" s="11">
        <f ca="1">INDEX(OFFSET(DeathsTimeS!HeadRow,ROW()-ROW(DeathsTimeS!HeadRow),0,1,COLUMNS(DeathsTimeS!HeadRow)),1,MATCH(MO$5,DeathsTimeS!HeadRow,0))/MO$8</f>
        <v>0</v>
      </c>
      <c r="MP66" s="278">
        <f ca="1">$A66 - DeathsTimeS!SouthAfrica100dt + 1</f>
        <v>-33</v>
      </c>
      <c r="MQ66" s="20">
        <f ca="1">INDEX(OFFSET(DeathsTimeS!HeadRow,ROW()-ROW(DeathsTimeS!HeadRow),0,1,COLUMNS(DeathsTimeS!HeadRow)),1,MATCH(MQ$5,DeathsTimeS!HeadRow,0))/MQ$8</f>
        <v>0</v>
      </c>
      <c r="MR66" s="278">
        <f ca="1">$A66 - DeathsTimeS!Germany100dt + 1</f>
        <v>-3</v>
      </c>
      <c r="MS66" s="20">
        <f ca="1">INDEX(OFFSET(DeathsTimeS!HeadRow,ROW()-ROW(DeathsTimeS!HeadRow),0,1,COLUMNS(DeathsTimeS!HeadRow)),1,MATCH(MS$5,DeathsTimeS!HeadRow,0))/MS$8</f>
        <v>2.8908696699590464</v>
      </c>
      <c r="MT66" s="278">
        <f ca="1">$A66 - DeathsTimeS!Ireland100dt + 1</f>
        <v>-5</v>
      </c>
      <c r="MU66" s="73">
        <f ca="1">INDEX(OFFSET(DeathsTimeS!HeadRow,ROW()-ROW(DeathsTimeS!HeadRow),0,1,COLUMNS(DeathsTimeS!HeadRow)),1,MATCH(MU$5,DeathsTimeS!HeadRow,0))/MU$8</f>
        <v>4.0816326530612246</v>
      </c>
      <c r="MV66" s="278">
        <f ca="1">$A66 - DeathsTimeS!UnitedKingdom100dt + 1</f>
        <v>1</v>
      </c>
      <c r="MW66" s="73">
        <f ca="1">INDEX(OFFSET(DeathsTimeS!HeadRow,ROW()-ROW(DeathsTimeS!HeadRow),0,1,COLUMNS(DeathsTimeS!HeadRow)),1,MATCH(MW$5,DeathsTimeS!HeadRow,0))/MW$8</f>
        <v>12.191450933172787</v>
      </c>
      <c r="MX66" s="278">
        <f ca="1">$A66 - DeathsTimeS!Denmark100dt + 1</f>
        <v>-1</v>
      </c>
      <c r="MY66" s="73">
        <f ca="1">INDEX(OFFSET(DeathsTimeS!HeadRow,ROW()-ROW(DeathsTimeS!HeadRow),0,1,COLUMNS(DeathsTimeS!HeadRow)),1,MATCH(MY$5,DeathsTimeS!HeadRow,0))/MY$8</f>
        <v>6.889424733034792</v>
      </c>
      <c r="MZ66" s="278">
        <f ca="1">$A66 - DeathsTimeS!US100dt + 1</f>
        <v>-2</v>
      </c>
      <c r="NA66" s="73">
        <f ca="1">INDEX(OFFSET(DeathsTimeS!HeadRow,ROW()-ROW(DeathsTimeS!HeadRow),0,1,COLUMNS(DeathsTimeS!HeadRow)),1,MATCH(NA$5,DeathsTimeS!HeadRow,0))/NA$8</f>
        <v>4.0397567220838067</v>
      </c>
      <c r="NB66" s="278">
        <f ca="1">$A66 - DeathsTimeS!AustraliaSum100dt + 1</f>
        <v>-8</v>
      </c>
      <c r="NC66" s="366">
        <f t="shared" si="6"/>
        <v>5</v>
      </c>
      <c r="ND66" s="278">
        <f ca="1">$A66 - DeathsTimeS!Taiwan100dt + 1</f>
        <v>-40</v>
      </c>
      <c r="NE66" s="366">
        <f ca="1">INDEX(OFFSET(DeathsTimeS!HeadRow,ROW()-ROW(DeathsTimeS!HeadRow),0,1,COLUMNS(DeathsTimeS!HeadRow)),1,MATCH(NE$5,DeathsTimeS!HeadRow,0))/NE$8</f>
        <v>0.4200395492437986</v>
      </c>
      <c r="NF66" s="278">
        <f ca="1">$A66 - DeathsTimeS!Hubei100dt + 1</f>
        <v>51</v>
      </c>
      <c r="NG66" s="366">
        <f ca="1">INDEX(OFFSET(DeathsTimeS!HeadRow,ROW()-ROW(DeathsTimeS!HeadRow),0,1,COLUMNS(DeathsTimeS!HeadRow)),1,MATCH(NG$5,DeathsTimeS!HeadRow,0))/NG$8</f>
        <v>531.79487179487182</v>
      </c>
      <c r="NH66" s="278">
        <f ca="1">$A66 - DeathsTimeS!HongKong100dt + 1</f>
        <v>-40</v>
      </c>
      <c r="NI66" s="366">
        <f ca="1">INDEX(OFFSET(DeathsTimeS!HeadRow,ROW()-ROW(DeathsTimeS!HeadRow),0,1,COLUMNS(DeathsTimeS!HeadRow)),1,MATCH(NI$5,DeathsTimeS!HeadRow,0))/NI$8</f>
        <v>5.3684069252449333</v>
      </c>
    </row>
    <row r="67" spans="1:373" x14ac:dyDescent="0.25">
      <c r="A67" s="156">
        <v>43908</v>
      </c>
      <c r="B67" s="25">
        <v>0</v>
      </c>
      <c r="C67" s="25">
        <v>2</v>
      </c>
      <c r="D67" s="25">
        <v>7</v>
      </c>
      <c r="E67" s="25">
        <v>0</v>
      </c>
      <c r="F67" s="25">
        <v>0</v>
      </c>
      <c r="G67" s="25">
        <v>0</v>
      </c>
      <c r="H67" s="25">
        <v>2</v>
      </c>
      <c r="I67" s="25">
        <v>0</v>
      </c>
      <c r="J67" s="25">
        <v>0</v>
      </c>
      <c r="K67" s="25">
        <v>5</v>
      </c>
      <c r="L67" s="25">
        <v>0</v>
      </c>
      <c r="M67" s="25">
        <v>0</v>
      </c>
      <c r="N67" s="25">
        <v>0</v>
      </c>
      <c r="O67" s="25">
        <v>0</v>
      </c>
      <c r="P67" s="25">
        <v>0</v>
      </c>
      <c r="Q67" s="25">
        <v>1</v>
      </c>
      <c r="R67" s="25">
        <v>4</v>
      </c>
      <c r="S67" s="25">
        <v>1</v>
      </c>
      <c r="T67" s="25">
        <v>0</v>
      </c>
      <c r="U67" s="25">
        <v>1</v>
      </c>
      <c r="V67" s="25">
        <v>1</v>
      </c>
      <c r="W67" s="25">
        <v>0</v>
      </c>
      <c r="X67" s="25">
        <v>0</v>
      </c>
      <c r="Y67" s="25">
        <v>14</v>
      </c>
      <c r="Z67" s="25">
        <v>0</v>
      </c>
      <c r="AA67" s="25">
        <v>0</v>
      </c>
      <c r="AB67" s="25">
        <v>0</v>
      </c>
      <c r="AC67" s="25">
        <v>0</v>
      </c>
      <c r="AD67" s="25">
        <v>3</v>
      </c>
      <c r="AE67" s="25">
        <v>0</v>
      </c>
      <c r="AF67" s="25">
        <v>2</v>
      </c>
      <c r="AG67" s="25">
        <v>1</v>
      </c>
      <c r="AH67" s="25">
        <v>0</v>
      </c>
      <c r="AI67" s="25">
        <v>0</v>
      </c>
      <c r="AJ67" s="25">
        <v>0</v>
      </c>
      <c r="AK67" s="25">
        <v>0</v>
      </c>
      <c r="AL67" s="25">
        <v>7</v>
      </c>
      <c r="AM67" s="25">
        <v>0</v>
      </c>
      <c r="AN67" s="25">
        <v>0</v>
      </c>
      <c r="AO67" s="25">
        <v>0</v>
      </c>
      <c r="AP67" s="25">
        <v>0</v>
      </c>
      <c r="AQ67" s="25">
        <v>0</v>
      </c>
      <c r="AR67" s="25">
        <v>1</v>
      </c>
      <c r="AS67" s="25">
        <v>0</v>
      </c>
      <c r="AT67" s="25">
        <v>0</v>
      </c>
      <c r="AU67" s="25">
        <v>0</v>
      </c>
      <c r="AV67" s="25">
        <v>0</v>
      </c>
      <c r="AW67" s="25">
        <v>0</v>
      </c>
      <c r="AX67" s="25">
        <v>0</v>
      </c>
      <c r="AY67" s="25">
        <v>6</v>
      </c>
      <c r="AZ67" s="25">
        <v>8</v>
      </c>
      <c r="BA67" s="25">
        <v>6</v>
      </c>
      <c r="BB67" s="25">
        <v>1</v>
      </c>
      <c r="BC67" s="25">
        <v>2</v>
      </c>
      <c r="BD67" s="25">
        <v>8</v>
      </c>
      <c r="BE67" s="25">
        <v>2</v>
      </c>
      <c r="BF67" s="25">
        <v>2</v>
      </c>
      <c r="BG67" s="25">
        <v>6</v>
      </c>
      <c r="BH67" s="25">
        <v>6</v>
      </c>
      <c r="BI67" s="25">
        <v>13</v>
      </c>
      <c r="BJ67" s="25">
        <v>22</v>
      </c>
      <c r="BK67" s="25">
        <v>4</v>
      </c>
      <c r="BL67" s="25">
        <v>3122</v>
      </c>
      <c r="BM67" s="25">
        <v>4</v>
      </c>
      <c r="BN67" s="25">
        <v>1</v>
      </c>
      <c r="BO67" s="25">
        <v>0</v>
      </c>
      <c r="BP67" s="25">
        <v>1</v>
      </c>
      <c r="BQ67" s="25">
        <v>1</v>
      </c>
      <c r="BR67" s="25">
        <v>1</v>
      </c>
      <c r="BS67" s="25">
        <v>0</v>
      </c>
      <c r="BT67" s="25">
        <v>0</v>
      </c>
      <c r="BU67" s="25">
        <v>0</v>
      </c>
      <c r="BV67" s="25">
        <v>3</v>
      </c>
      <c r="BW67" s="25">
        <v>7</v>
      </c>
      <c r="BX67" s="25">
        <v>3</v>
      </c>
      <c r="BY67" s="25">
        <v>0</v>
      </c>
      <c r="BZ67" s="25">
        <v>3</v>
      </c>
      <c r="CA67" s="25">
        <v>3</v>
      </c>
      <c r="CB67" s="25">
        <v>0</v>
      </c>
      <c r="CC67" s="25">
        <v>3</v>
      </c>
      <c r="CD67" s="25">
        <v>2</v>
      </c>
      <c r="CE67" s="25">
        <v>1</v>
      </c>
      <c r="CF67" s="25">
        <v>0</v>
      </c>
      <c r="CG67" s="25">
        <v>0</v>
      </c>
      <c r="CH67" s="25">
        <v>0</v>
      </c>
      <c r="CI67" s="25">
        <v>0</v>
      </c>
      <c r="CJ67" s="25">
        <v>0</v>
      </c>
      <c r="CK67" s="25">
        <v>0</v>
      </c>
      <c r="CL67" s="25">
        <v>7</v>
      </c>
      <c r="CM67" s="25">
        <v>1</v>
      </c>
      <c r="CN67" s="25">
        <v>0</v>
      </c>
      <c r="CO67" s="25">
        <v>0</v>
      </c>
      <c r="CP67" s="25">
        <v>0</v>
      </c>
      <c r="CQ67" s="25">
        <v>0</v>
      </c>
      <c r="CR67" s="25">
        <v>4</v>
      </c>
      <c r="CS67" s="25">
        <v>0</v>
      </c>
      <c r="CT67" s="25">
        <v>1</v>
      </c>
      <c r="CU67" s="25">
        <v>2</v>
      </c>
      <c r="CV67" s="25">
        <v>6</v>
      </c>
      <c r="CW67" s="25">
        <v>0</v>
      </c>
      <c r="CX67" s="25">
        <v>0</v>
      </c>
      <c r="CY67" s="25">
        <v>0</v>
      </c>
      <c r="CZ67" s="25">
        <v>0</v>
      </c>
      <c r="DA67" s="25">
        <v>0</v>
      </c>
      <c r="DB67" s="25">
        <v>0</v>
      </c>
      <c r="DC67" s="25">
        <v>0</v>
      </c>
      <c r="DD67" s="25">
        <v>0</v>
      </c>
      <c r="DE67" s="25">
        <v>0</v>
      </c>
      <c r="DF67" s="25">
        <v>0</v>
      </c>
      <c r="DG67" s="25">
        <v>0</v>
      </c>
      <c r="DH67" s="25">
        <v>0</v>
      </c>
      <c r="DI67" s="25">
        <v>0</v>
      </c>
      <c r="DJ67" s="25">
        <v>0</v>
      </c>
      <c r="DK67" s="25">
        <v>0</v>
      </c>
      <c r="DL67" s="25">
        <v>0</v>
      </c>
      <c r="DM67" s="25">
        <v>1</v>
      </c>
      <c r="DN67" s="25">
        <v>148</v>
      </c>
      <c r="DO67" s="25">
        <v>0</v>
      </c>
      <c r="DP67" s="25">
        <v>0</v>
      </c>
      <c r="DQ67" s="25">
        <v>0</v>
      </c>
      <c r="DR67" s="25">
        <v>28</v>
      </c>
      <c r="DS67" s="25">
        <v>0</v>
      </c>
      <c r="DT67" s="25">
        <v>5</v>
      </c>
      <c r="DU67" s="25">
        <v>1</v>
      </c>
      <c r="DV67" s="25">
        <v>0</v>
      </c>
      <c r="DW67" s="25">
        <v>1</v>
      </c>
      <c r="DX67" s="25">
        <v>0</v>
      </c>
      <c r="DY67" s="25">
        <v>0</v>
      </c>
      <c r="DZ67" s="25">
        <v>0</v>
      </c>
      <c r="EA67" s="25">
        <v>1</v>
      </c>
      <c r="EB67" s="25">
        <v>1</v>
      </c>
      <c r="EC67" s="25">
        <v>3</v>
      </c>
      <c r="ED67" s="25">
        <v>19</v>
      </c>
      <c r="EE67" s="25">
        <v>1135</v>
      </c>
      <c r="EF67" s="25">
        <v>12</v>
      </c>
      <c r="EG67" s="25">
        <v>2</v>
      </c>
      <c r="EH67" s="25">
        <v>0</v>
      </c>
      <c r="EI67" s="25">
        <v>2978</v>
      </c>
      <c r="EJ67" s="25">
        <v>0</v>
      </c>
      <c r="EK67" s="25">
        <v>29</v>
      </c>
      <c r="EL67" s="25">
        <v>0</v>
      </c>
      <c r="EM67" s="25">
        <v>0</v>
      </c>
      <c r="EN67" s="25">
        <v>0</v>
      </c>
      <c r="EO67" s="25">
        <v>84</v>
      </c>
      <c r="EP67" s="25">
        <v>0</v>
      </c>
      <c r="EQ67" s="25">
        <v>0</v>
      </c>
      <c r="ER67" s="25">
        <v>0</v>
      </c>
      <c r="ES67" s="25">
        <v>3</v>
      </c>
      <c r="ET67" s="25">
        <v>0</v>
      </c>
      <c r="EU67" s="25">
        <v>0</v>
      </c>
      <c r="EV67" s="25">
        <v>0</v>
      </c>
      <c r="EW67" s="25">
        <v>2</v>
      </c>
      <c r="EX67" s="25">
        <v>0</v>
      </c>
      <c r="EY67" s="25">
        <v>2</v>
      </c>
      <c r="EZ67" s="25">
        <v>0</v>
      </c>
      <c r="FA67" s="25">
        <v>0</v>
      </c>
      <c r="FB67" s="25">
        <v>0</v>
      </c>
      <c r="FC67" s="25">
        <v>0</v>
      </c>
      <c r="FD67" s="25">
        <v>0</v>
      </c>
      <c r="FE67" s="25">
        <v>1</v>
      </c>
      <c r="FF67" s="25">
        <v>0</v>
      </c>
      <c r="FG67" s="25">
        <v>0</v>
      </c>
      <c r="FH67" s="25">
        <v>0</v>
      </c>
      <c r="FI67" s="25">
        <v>2</v>
      </c>
      <c r="FJ67" s="25">
        <v>0</v>
      </c>
      <c r="FK67" s="25">
        <v>0</v>
      </c>
      <c r="FL67" s="25">
        <v>0</v>
      </c>
      <c r="FM67" s="25">
        <v>0</v>
      </c>
      <c r="FN67" s="25">
        <v>0</v>
      </c>
      <c r="FO67" s="25">
        <v>58</v>
      </c>
      <c r="FP67" s="25">
        <v>0</v>
      </c>
      <c r="FQ67" s="25">
        <v>0</v>
      </c>
      <c r="FR67" s="25">
        <v>0</v>
      </c>
      <c r="FS67" s="25">
        <v>0</v>
      </c>
      <c r="FT67" s="25">
        <v>0</v>
      </c>
      <c r="FU67" s="25">
        <v>6</v>
      </c>
      <c r="FV67" s="25">
        <v>0</v>
      </c>
      <c r="FW67" s="25">
        <v>0</v>
      </c>
      <c r="FX67" s="25">
        <v>1</v>
      </c>
      <c r="FY67" s="25">
        <v>0</v>
      </c>
      <c r="FZ67" s="25">
        <v>0</v>
      </c>
      <c r="GA67" s="25">
        <v>0</v>
      </c>
      <c r="GB67" s="25">
        <v>19</v>
      </c>
      <c r="GC67" s="25">
        <v>5</v>
      </c>
      <c r="GD67" s="25">
        <v>2</v>
      </c>
      <c r="GE67" s="25">
        <v>0</v>
      </c>
      <c r="GF67" s="25">
        <v>0</v>
      </c>
      <c r="GG67" s="25">
        <v>0</v>
      </c>
      <c r="GH67" s="25">
        <v>0</v>
      </c>
      <c r="GI67" s="25">
        <v>0</v>
      </c>
      <c r="GJ67" s="25">
        <v>0</v>
      </c>
      <c r="GK67" s="25">
        <v>11</v>
      </c>
      <c r="GL67" s="25">
        <v>0</v>
      </c>
      <c r="GM67" s="25">
        <v>0</v>
      </c>
      <c r="GN67" s="25">
        <v>0</v>
      </c>
      <c r="GO67" s="25">
        <v>0</v>
      </c>
      <c r="GP67" s="25">
        <v>0</v>
      </c>
      <c r="GQ67" s="25">
        <v>1</v>
      </c>
      <c r="GR67" s="25">
        <v>1</v>
      </c>
      <c r="GS67" s="25">
        <v>0</v>
      </c>
      <c r="GT67" s="25">
        <v>0</v>
      </c>
      <c r="GU67" s="25">
        <v>623</v>
      </c>
      <c r="GV67" s="25">
        <v>0</v>
      </c>
      <c r="GW67" s="25">
        <v>1</v>
      </c>
      <c r="GX67" s="25">
        <v>0</v>
      </c>
      <c r="GY67" s="46">
        <v>10</v>
      </c>
      <c r="GZ67" s="25">
        <v>28</v>
      </c>
      <c r="HA67" s="25">
        <v>1</v>
      </c>
      <c r="HB67" s="25">
        <v>0</v>
      </c>
      <c r="HC67" s="25">
        <v>1</v>
      </c>
      <c r="HD67" s="25">
        <v>0</v>
      </c>
      <c r="HE67" s="25">
        <v>0</v>
      </c>
      <c r="HF67" s="25">
        <v>0</v>
      </c>
      <c r="HG67" s="25">
        <v>1</v>
      </c>
      <c r="HH67" s="25">
        <v>0</v>
      </c>
      <c r="HI67" s="25">
        <v>2</v>
      </c>
      <c r="HJ67" s="25">
        <v>0</v>
      </c>
      <c r="HK67" s="25">
        <v>0</v>
      </c>
      <c r="HL67" s="25">
        <v>1</v>
      </c>
      <c r="HM67" s="25">
        <v>0</v>
      </c>
      <c r="HN67" s="25">
        <v>0</v>
      </c>
      <c r="HO67" s="25">
        <v>0</v>
      </c>
      <c r="HP67" s="25">
        <v>0</v>
      </c>
      <c r="HQ67" s="25">
        <v>115</v>
      </c>
      <c r="HR67" s="25">
        <v>0</v>
      </c>
      <c r="HS67" s="25">
        <v>164</v>
      </c>
      <c r="HT67" s="25">
        <v>0</v>
      </c>
      <c r="HU67" s="25">
        <v>0</v>
      </c>
      <c r="HV67" s="25">
        <v>0</v>
      </c>
      <c r="HW67" s="25">
        <v>0</v>
      </c>
      <c r="HX67" s="25">
        <v>0</v>
      </c>
      <c r="HY67" s="25">
        <v>0</v>
      </c>
      <c r="HZ67" s="25">
        <v>0</v>
      </c>
      <c r="IA67" s="25">
        <v>0</v>
      </c>
      <c r="IB67" s="25">
        <v>0</v>
      </c>
      <c r="IC67" s="25">
        <v>0</v>
      </c>
      <c r="ID67" s="25">
        <v>0</v>
      </c>
      <c r="IE67" s="25">
        <v>0</v>
      </c>
      <c r="IF67" s="25">
        <v>0</v>
      </c>
      <c r="IG67" s="25">
        <v>0</v>
      </c>
      <c r="IH67" s="25">
        <v>0</v>
      </c>
      <c r="II67" s="25">
        <v>0</v>
      </c>
      <c r="IJ67" s="25">
        <v>0</v>
      </c>
      <c r="IK67" s="25">
        <v>0</v>
      </c>
      <c r="IL67" s="25">
        <v>0</v>
      </c>
      <c r="IM67" s="25">
        <v>0</v>
      </c>
      <c r="IN67" s="25">
        <v>0</v>
      </c>
      <c r="IO67" s="25">
        <v>0</v>
      </c>
      <c r="IP67" s="25">
        <v>0</v>
      </c>
      <c r="IQ67" s="25">
        <v>0</v>
      </c>
      <c r="IR67" s="25">
        <v>0</v>
      </c>
      <c r="IS67" s="25">
        <v>0</v>
      </c>
      <c r="IT67" s="25">
        <v>0</v>
      </c>
      <c r="IU67" s="25">
        <v>0</v>
      </c>
      <c r="IV67" s="25">
        <v>0</v>
      </c>
      <c r="IW67" s="25">
        <v>0</v>
      </c>
      <c r="IX67" s="25">
        <v>0</v>
      </c>
      <c r="IY67" s="25">
        <v>0</v>
      </c>
      <c r="IZ67" s="25">
        <v>0</v>
      </c>
      <c r="JA67" s="25">
        <v>0</v>
      </c>
      <c r="JB67" s="25">
        <v>0</v>
      </c>
      <c r="JC67" s="25">
        <v>0</v>
      </c>
      <c r="JD67" s="25">
        <v>0</v>
      </c>
      <c r="JE67" s="25">
        <v>0</v>
      </c>
      <c r="JF67" s="25">
        <v>0</v>
      </c>
      <c r="JG67" s="25">
        <v>0</v>
      </c>
      <c r="JH67" s="25">
        <v>0</v>
      </c>
      <c r="JI67" s="25">
        <v>0</v>
      </c>
      <c r="JJ67" s="25">
        <v>0</v>
      </c>
      <c r="JK67" s="25">
        <v>0</v>
      </c>
      <c r="JL67" s="25">
        <v>0</v>
      </c>
      <c r="JM67" s="25">
        <v>0</v>
      </c>
      <c r="JN67" s="25">
        <v>0</v>
      </c>
      <c r="JO67" s="25">
        <v>0</v>
      </c>
      <c r="JP67" s="25">
        <v>0</v>
      </c>
      <c r="JQ67" s="25">
        <v>16</v>
      </c>
      <c r="JR67" s="25">
        <v>2</v>
      </c>
      <c r="JS67" s="25">
        <v>1</v>
      </c>
      <c r="JT67" s="25">
        <v>0</v>
      </c>
      <c r="JU67" s="25">
        <v>0</v>
      </c>
      <c r="JV67" s="25">
        <v>7</v>
      </c>
      <c r="JW67" s="25">
        <v>3</v>
      </c>
      <c r="JX67" s="25">
        <v>0</v>
      </c>
      <c r="JY67" s="25">
        <v>0</v>
      </c>
      <c r="JZ67" s="25">
        <v>1</v>
      </c>
      <c r="KA67" s="25">
        <v>2</v>
      </c>
      <c r="KB67" s="25">
        <v>0</v>
      </c>
      <c r="KC67" s="25">
        <v>1</v>
      </c>
      <c r="KD67" s="25">
        <v>1</v>
      </c>
      <c r="KE67" s="25">
        <v>6</v>
      </c>
      <c r="KF67" s="25">
        <v>0</v>
      </c>
      <c r="KG67" s="25">
        <v>0</v>
      </c>
      <c r="KH67" s="25">
        <v>0</v>
      </c>
      <c r="KI67" s="25">
        <v>1</v>
      </c>
      <c r="KJ67" s="25">
        <v>0</v>
      </c>
      <c r="KK67" s="25">
        <v>0</v>
      </c>
      <c r="KL67" s="25">
        <v>1</v>
      </c>
      <c r="KM67" s="25">
        <v>0</v>
      </c>
      <c r="KN67" s="25">
        <v>0</v>
      </c>
      <c r="KO67" s="25">
        <v>1</v>
      </c>
      <c r="KP67" s="25">
        <v>0</v>
      </c>
      <c r="KQ67" s="25">
        <v>5</v>
      </c>
      <c r="KR67" s="25">
        <v>0</v>
      </c>
      <c r="KS67" s="25">
        <v>63</v>
      </c>
      <c r="KT67" s="25">
        <v>0</v>
      </c>
      <c r="KU67" s="25">
        <v>0</v>
      </c>
      <c r="KV67" s="25">
        <v>0</v>
      </c>
      <c r="KW67" s="25">
        <v>0</v>
      </c>
      <c r="KX67" s="25">
        <v>3</v>
      </c>
      <c r="KY67" s="25">
        <v>1</v>
      </c>
      <c r="KZ67" s="25">
        <v>0</v>
      </c>
      <c r="LA67" s="25">
        <v>1</v>
      </c>
      <c r="LB67" s="25">
        <v>1</v>
      </c>
      <c r="LC67" s="25">
        <v>0</v>
      </c>
      <c r="LD67" s="25">
        <v>3</v>
      </c>
      <c r="LE67" s="25">
        <v>0</v>
      </c>
      <c r="LF67" s="25">
        <v>0</v>
      </c>
      <c r="LG67" s="25">
        <v>2</v>
      </c>
      <c r="LH67" s="25">
        <v>67</v>
      </c>
      <c r="LI67" s="25">
        <v>0</v>
      </c>
      <c r="LJ67" s="25">
        <v>0</v>
      </c>
      <c r="LK67" s="25">
        <v>0</v>
      </c>
      <c r="LL67" s="25">
        <v>0</v>
      </c>
      <c r="LM67" s="25">
        <v>0</v>
      </c>
      <c r="LN67" s="278">
        <f ca="1">$A67 - DeathsTimeS!Sweden100dt + 1</f>
        <v>0</v>
      </c>
      <c r="LO67" s="366">
        <f ca="1">INDEX(OFFSET(DeathsTimeS!HeadRow,ROW()-ROW(DeathsTimeS!HeadRow),0,1,COLUMNS(DeathsTimeS!HeadRow)),1,MATCH(LO$5,DeathsTimeS!HeadRow,0))/LO$8</f>
        <v>9.7751710654936463</v>
      </c>
      <c r="LP67" s="278">
        <f ca="1">$A67 - DeathsTimeS!Spain100dt</f>
        <v>7</v>
      </c>
      <c r="LQ67" s="11">
        <f ca="1">INDEX(OFFSET(DeathsTimeS!HeadRow,ROW()-ROW(DeathsTimeS!HeadRow),0,1,COLUMNS(DeathsTimeS!HeadRow)),1,MATCH(LQ$5,DeathsTimeS!HeadRow,0))/LQ$8</f>
        <v>132.72262462718365</v>
      </c>
      <c r="LR67" s="278">
        <f ca="1">$A67 - DeathsTimeS!Victoria100dt</f>
        <v>-16</v>
      </c>
      <c r="LS67" s="11">
        <f ca="1">INDEX(OFFSET(DeathsTimeS!HeadRow,ROW()-ROW(DeathsTimeS!HeadRow),0,1,COLUMNS(DeathsTimeS!HeadRow)),1,MATCH(LS$5,DeathsTimeS!HeadRow,0))/LS$8</f>
        <v>0</v>
      </c>
      <c r="LT67" s="278">
        <f ca="1">$A67 - DeathsTimeS!Iran100dt</f>
        <v>14</v>
      </c>
      <c r="LU67" s="11">
        <f ca="1">INDEX(OFFSET(DeathsTimeS!HeadRow,ROW()-ROW(DeathsTimeS!HeadRow),0,1,COLUMNS(DeathsTimeS!HeadRow)),1,MATCH(LU$5,DeathsTimeS!HeadRow,0))/LU$8</f>
        <v>135.48518018932114</v>
      </c>
      <c r="LV67" s="278">
        <f ca="1">$A67 - DeathsTimeS!Japan100dt</f>
        <v>-27</v>
      </c>
      <c r="LW67" s="11">
        <f ca="1">INDEX(OFFSET(DeathsTimeS!HeadRow,ROW()-ROW(DeathsTimeS!HeadRow),0,1,COLUMNS(DeathsTimeS!HeadRow)),1,MATCH(LW$5,DeathsTimeS!HeadRow,0))/LW$8</f>
        <v>2.2915082480508371</v>
      </c>
      <c r="LX67" s="278">
        <f ca="1">$A67 - DeathsTimeS!Queensland100dt</f>
        <v>-31</v>
      </c>
      <c r="LY67" s="11">
        <f ca="1">INDEX(OFFSET(DeathsTimeS!HeadRow,ROW()-ROW(DeathsTimeS!HeadRow),0,1,COLUMNS(DeathsTimeS!HeadRow)),1,MATCH(LY$5,DeathsTimeS!HeadRow,0))/LY$8</f>
        <v>0</v>
      </c>
      <c r="LZ67" s="278">
        <f ca="1">$A67 - DeathsTimeS!Tasmania100dt</f>
        <v>-13</v>
      </c>
      <c r="MA67" s="11">
        <f ca="1">INDEX(OFFSET(DeathsTimeS!HeadRow,ROW()-ROW(DeathsTimeS!HeadRow),0,1,COLUMNS(DeathsTimeS!HeadRow)),1,MATCH(MA$5,DeathsTimeS!HeadRow,0))/MA$8</f>
        <v>0</v>
      </c>
      <c r="MB67" s="278">
        <f ca="1">$A67 - DeathsTimeS!SouthAustralia100dt</f>
        <v>-21</v>
      </c>
      <c r="MC67" s="11">
        <f ca="1">INDEX(OFFSET(DeathsTimeS!HeadRow,ROW()-ROW(DeathsTimeS!HeadRow),0,1,COLUMNS(DeathsTimeS!HeadRow)),1,MATCH(MC$5,DeathsTimeS!HeadRow,0))/MC$8</f>
        <v>0</v>
      </c>
      <c r="MD67" s="278">
        <f ca="1">$A67 - DeathsTimeS!WesternAustralia100dt</f>
        <v>-18</v>
      </c>
      <c r="ME67" s="11">
        <f ca="1">INDEX(OFFSET(DeathsTimeS!HeadRow,ROW()-ROW(DeathsTimeS!HeadRow),0,1,COLUMNS(DeathsTimeS!HeadRow)),1,MATCH(ME$5,DeathsTimeS!HeadRow,0))/ME$8</f>
        <v>3.8624951718810348</v>
      </c>
      <c r="MF67" s="278">
        <f ca="1">$A67 - DeathsTimeS!NewSouthWales100dt</f>
        <v>-14</v>
      </c>
      <c r="MG67" s="11">
        <f ca="1">INDEX(OFFSET(DeathsTimeS!HeadRow,ROW()-ROW(DeathsTimeS!HeadRow),0,1,COLUMNS(DeathsTimeS!HeadRow)),1,MATCH(MG$5,DeathsTimeS!HeadRow,0))/MG$8</f>
        <v>6.1881188118811874</v>
      </c>
      <c r="MH67" s="278">
        <f ca="1">$A67 - DeathsTimeS!NewYork100dt</f>
        <v>2</v>
      </c>
      <c r="MI67" s="20">
        <f ca="1">INDEX(OFFSET(DeathsTimeS!HeadRow,ROW()-ROW(DeathsTimeS!HeadRow),0,1,COLUMNS(DeathsTimeS!HeadRow)),1,MATCH(MI$5,DeathsTimeS!HeadRow,0))/MI$8</f>
        <v>26.663207503449815</v>
      </c>
      <c r="MJ67" s="278">
        <f ca="1">$A67 - DeathsTimeS!Italy100dt</f>
        <v>15</v>
      </c>
      <c r="MK67" s="20">
        <f ca="1">INDEX(OFFSET(DeathsTimeS!HeadRow,ROW()-ROW(DeathsTimeS!HeadRow),0,1,COLUMNS(DeathsTimeS!HeadRow)),1,MATCH(MK$5,DeathsTimeS!HeadRow,0))/MK$8</f>
        <v>492.35347606844675</v>
      </c>
      <c r="ML67" s="278">
        <f ca="1">$A67 - DeathsTimeS!AustralianCapitalTerritory100dt</f>
        <v>-12</v>
      </c>
      <c r="MM67" s="11">
        <f ca="1">INDEX(OFFSET(DeathsTimeS!HeadRow,ROW()-ROW(DeathsTimeS!HeadRow),0,1,COLUMNS(DeathsTimeS!HeadRow)),1,MATCH(MM$5,DeathsTimeS!HeadRow,0))/MM$8</f>
        <v>0</v>
      </c>
      <c r="MN67" s="278">
        <f ca="1">IF(DeathsTimeS!NorthernTerritory100dt&gt;0,$A67 - DeathsTimeS!NorthernTerritory100dt,"")</f>
        <v>-40</v>
      </c>
      <c r="MO67" s="11">
        <f ca="1">INDEX(OFFSET(DeathsTimeS!HeadRow,ROW()-ROW(DeathsTimeS!HeadRow),0,1,COLUMNS(DeathsTimeS!HeadRow)),1,MATCH(MO$5,DeathsTimeS!HeadRow,0))/MO$8</f>
        <v>0</v>
      </c>
      <c r="MP67" s="278">
        <f ca="1">$A67 - DeathsTimeS!SouthAfrica100dt + 1</f>
        <v>-32</v>
      </c>
      <c r="MQ67" s="20">
        <f ca="1">INDEX(OFFSET(DeathsTimeS!HeadRow,ROW()-ROW(DeathsTimeS!HeadRow),0,1,COLUMNS(DeathsTimeS!HeadRow)),1,MATCH(MQ$5,DeathsTimeS!HeadRow,0))/MQ$8</f>
        <v>0</v>
      </c>
      <c r="MR67" s="278">
        <f ca="1">$A67 - DeathsTimeS!Germany100dt + 1</f>
        <v>-2</v>
      </c>
      <c r="MS67" s="20">
        <f ca="1">INDEX(OFFSET(DeathsTimeS!HeadRow,ROW()-ROW(DeathsTimeS!HeadRow),0,1,COLUMNS(DeathsTimeS!HeadRow)),1,MATCH(MS$5,DeathsTimeS!HeadRow,0))/MS$8</f>
        <v>3.3726812816188874</v>
      </c>
      <c r="MT67" s="278">
        <f ca="1">$A67 - DeathsTimeS!Ireland100dt + 1</f>
        <v>-4</v>
      </c>
      <c r="MU67" s="73">
        <f ca="1">INDEX(OFFSET(DeathsTimeS!HeadRow,ROW()-ROW(DeathsTimeS!HeadRow),0,1,COLUMNS(DeathsTimeS!HeadRow)),1,MATCH(MU$5,DeathsTimeS!HeadRow,0))/MU$8</f>
        <v>4.0816326530612246</v>
      </c>
      <c r="MV67" s="278">
        <f ca="1">$A67 - DeathsTimeS!UnitedKingdom100dt + 1</f>
        <v>2</v>
      </c>
      <c r="MW67" s="73">
        <f ca="1">INDEX(OFFSET(DeathsTimeS!HeadRow,ROW()-ROW(DeathsTimeS!HeadRow),0,1,COLUMNS(DeathsTimeS!HeadRow)),1,MATCH(MW$5,DeathsTimeS!HeadRow,0))/MW$8</f>
        <v>17.308850090307043</v>
      </c>
      <c r="MX67" s="278">
        <f ca="1">$A67 - DeathsTimeS!Denmark100dt + 1</f>
        <v>0</v>
      </c>
      <c r="MY67" s="73">
        <f ca="1">INDEX(OFFSET(DeathsTimeS!HeadRow,ROW()-ROW(DeathsTimeS!HeadRow),0,1,COLUMNS(DeathsTimeS!HeadRow)),1,MATCH(MY$5,DeathsTimeS!HeadRow,0))/MY$8</f>
        <v>6.889424733034792</v>
      </c>
      <c r="MZ67" s="278">
        <f ca="1">$A67 - DeathsTimeS!US100dt + 1</f>
        <v>-1</v>
      </c>
      <c r="NA67" s="73">
        <f ca="1">INDEX(OFFSET(DeathsTimeS!HeadRow,ROW()-ROW(DeathsTimeS!HeadRow),0,1,COLUMNS(DeathsTimeS!HeadRow)),1,MATCH(NA$5,DeathsTimeS!HeadRow,0))/NA$8</f>
        <v>4.9813541535469499</v>
      </c>
      <c r="NB67" s="278">
        <f ca="1">$A67 - DeathsTimeS!AustraliaSum100dt + 1</f>
        <v>-7</v>
      </c>
      <c r="NC67" s="366">
        <f t="shared" si="6"/>
        <v>6</v>
      </c>
      <c r="ND67" s="278">
        <f ca="1">$A67 - DeathsTimeS!Taiwan100dt + 1</f>
        <v>-39</v>
      </c>
      <c r="NE67" s="366">
        <f ca="1">INDEX(OFFSET(DeathsTimeS!HeadRow,ROW()-ROW(DeathsTimeS!HeadRow),0,1,COLUMNS(DeathsTimeS!HeadRow)),1,MATCH(NE$5,DeathsTimeS!HeadRow,0))/NE$8</f>
        <v>0.4200395492437986</v>
      </c>
      <c r="NF67" s="278">
        <f ca="1">$A67 - DeathsTimeS!Hubei100dt + 1</f>
        <v>52</v>
      </c>
      <c r="NG67" s="366">
        <f ca="1">INDEX(OFFSET(DeathsTimeS!HeadRow,ROW()-ROW(DeathsTimeS!HeadRow),0,1,COLUMNS(DeathsTimeS!HeadRow)),1,MATCH(NG$5,DeathsTimeS!HeadRow,0))/NG$8</f>
        <v>533.67521367521374</v>
      </c>
      <c r="NH67" s="278">
        <f ca="1">$A67 - DeathsTimeS!HongKong100dt + 1</f>
        <v>-39</v>
      </c>
      <c r="NI67" s="366">
        <f ca="1">INDEX(OFFSET(DeathsTimeS!HeadRow,ROW()-ROW(DeathsTimeS!HeadRow),0,1,COLUMNS(DeathsTimeS!HeadRow)),1,MATCH(NI$5,DeathsTimeS!HeadRow,0))/NI$8</f>
        <v>5.3684069252449333</v>
      </c>
    </row>
    <row r="68" spans="1:373" x14ac:dyDescent="0.25">
      <c r="A68" s="156">
        <v>43909</v>
      </c>
      <c r="B68" s="25">
        <v>0</v>
      </c>
      <c r="C68" s="25">
        <v>2</v>
      </c>
      <c r="D68" s="25">
        <v>9</v>
      </c>
      <c r="E68" s="25">
        <v>0</v>
      </c>
      <c r="F68" s="25">
        <v>0</v>
      </c>
      <c r="G68" s="25">
        <v>0</v>
      </c>
      <c r="H68" s="25">
        <v>3</v>
      </c>
      <c r="I68" s="25">
        <v>0</v>
      </c>
      <c r="J68" s="25">
        <v>0</v>
      </c>
      <c r="K68" s="25">
        <v>5</v>
      </c>
      <c r="L68" s="25">
        <v>0</v>
      </c>
      <c r="M68" s="25">
        <v>0</v>
      </c>
      <c r="N68" s="25">
        <v>0</v>
      </c>
      <c r="O68" s="25">
        <v>0</v>
      </c>
      <c r="P68" s="25">
        <v>0</v>
      </c>
      <c r="Q68" s="25">
        <v>1</v>
      </c>
      <c r="R68" s="25">
        <v>6</v>
      </c>
      <c r="S68" s="25">
        <v>1</v>
      </c>
      <c r="T68" s="25">
        <v>0</v>
      </c>
      <c r="U68" s="25">
        <v>1</v>
      </c>
      <c r="V68" s="25">
        <v>1</v>
      </c>
      <c r="W68" s="25">
        <v>0</v>
      </c>
      <c r="X68" s="25">
        <v>0</v>
      </c>
      <c r="Y68" s="25">
        <v>21</v>
      </c>
      <c r="Z68" s="25">
        <v>0</v>
      </c>
      <c r="AA68" s="25">
        <v>0</v>
      </c>
      <c r="AB68" s="25">
        <v>0</v>
      </c>
      <c r="AC68" s="25">
        <v>0</v>
      </c>
      <c r="AD68" s="25">
        <v>6</v>
      </c>
      <c r="AE68" s="25">
        <v>0</v>
      </c>
      <c r="AF68" s="25">
        <v>3</v>
      </c>
      <c r="AG68" s="25">
        <v>1</v>
      </c>
      <c r="AH68" s="25">
        <v>0</v>
      </c>
      <c r="AI68" s="25">
        <v>0</v>
      </c>
      <c r="AJ68" s="25">
        <v>0</v>
      </c>
      <c r="AK68" s="25">
        <v>0</v>
      </c>
      <c r="AL68" s="25">
        <v>7</v>
      </c>
      <c r="AM68" s="25">
        <v>0</v>
      </c>
      <c r="AN68" s="25">
        <v>0</v>
      </c>
      <c r="AO68" s="25">
        <v>0</v>
      </c>
      <c r="AP68" s="25">
        <v>0</v>
      </c>
      <c r="AQ68" s="25">
        <v>0</v>
      </c>
      <c r="AR68" s="25">
        <v>1</v>
      </c>
      <c r="AS68" s="25">
        <v>0</v>
      </c>
      <c r="AT68" s="25">
        <v>1</v>
      </c>
      <c r="AU68" s="25">
        <v>0</v>
      </c>
      <c r="AV68" s="25">
        <v>0</v>
      </c>
      <c r="AW68" s="25">
        <v>0</v>
      </c>
      <c r="AX68" s="25">
        <v>0</v>
      </c>
      <c r="AY68" s="25">
        <v>6</v>
      </c>
      <c r="AZ68" s="25">
        <v>8</v>
      </c>
      <c r="BA68" s="25">
        <v>6</v>
      </c>
      <c r="BB68" s="25">
        <v>1</v>
      </c>
      <c r="BC68" s="25">
        <v>2</v>
      </c>
      <c r="BD68" s="25">
        <v>8</v>
      </c>
      <c r="BE68" s="25">
        <v>2</v>
      </c>
      <c r="BF68" s="25">
        <v>2</v>
      </c>
      <c r="BG68" s="25">
        <v>6</v>
      </c>
      <c r="BH68" s="25">
        <v>6</v>
      </c>
      <c r="BI68" s="25">
        <v>13</v>
      </c>
      <c r="BJ68" s="25">
        <v>22</v>
      </c>
      <c r="BK68" s="25">
        <v>4</v>
      </c>
      <c r="BL68" s="25">
        <v>3130</v>
      </c>
      <c r="BM68" s="25">
        <v>4</v>
      </c>
      <c r="BN68" s="25">
        <v>1</v>
      </c>
      <c r="BO68" s="25">
        <v>0</v>
      </c>
      <c r="BP68" s="25">
        <v>1</v>
      </c>
      <c r="BQ68" s="25">
        <v>1</v>
      </c>
      <c r="BR68" s="25">
        <v>1</v>
      </c>
      <c r="BS68" s="25">
        <v>0</v>
      </c>
      <c r="BT68" s="25">
        <v>0</v>
      </c>
      <c r="BU68" s="25">
        <v>0</v>
      </c>
      <c r="BV68" s="25">
        <v>3</v>
      </c>
      <c r="BW68" s="25">
        <v>7</v>
      </c>
      <c r="BX68" s="25">
        <v>3</v>
      </c>
      <c r="BY68" s="25">
        <v>0</v>
      </c>
      <c r="BZ68" s="25">
        <v>3</v>
      </c>
      <c r="CA68" s="25">
        <v>3</v>
      </c>
      <c r="CB68" s="25">
        <v>0</v>
      </c>
      <c r="CC68" s="25">
        <v>3</v>
      </c>
      <c r="CD68" s="25">
        <v>2</v>
      </c>
      <c r="CE68" s="25">
        <v>1</v>
      </c>
      <c r="CF68" s="25">
        <v>0</v>
      </c>
      <c r="CG68" s="25">
        <v>0</v>
      </c>
      <c r="CH68" s="25">
        <v>0</v>
      </c>
      <c r="CI68" s="25">
        <v>1</v>
      </c>
      <c r="CJ68" s="25">
        <v>0</v>
      </c>
      <c r="CK68" s="25">
        <v>1</v>
      </c>
      <c r="CL68" s="25">
        <v>7</v>
      </c>
      <c r="CM68" s="25">
        <v>1</v>
      </c>
      <c r="CN68" s="25">
        <v>0</v>
      </c>
      <c r="CO68" s="25">
        <v>0</v>
      </c>
      <c r="CP68" s="25">
        <v>0</v>
      </c>
      <c r="CQ68" s="25">
        <v>0</v>
      </c>
      <c r="CR68" s="25">
        <v>6</v>
      </c>
      <c r="CS68" s="25">
        <v>0</v>
      </c>
      <c r="CT68" s="25">
        <v>2</v>
      </c>
      <c r="CU68" s="25">
        <v>3</v>
      </c>
      <c r="CV68" s="25">
        <v>6</v>
      </c>
      <c r="CW68" s="25">
        <v>0</v>
      </c>
      <c r="CX68" s="25">
        <v>0</v>
      </c>
      <c r="CY68" s="25">
        <v>0</v>
      </c>
      <c r="CZ68" s="25">
        <v>0</v>
      </c>
      <c r="DA68" s="25">
        <v>0</v>
      </c>
      <c r="DB68" s="25">
        <v>0</v>
      </c>
      <c r="DC68" s="25">
        <v>0</v>
      </c>
      <c r="DD68" s="25">
        <v>0</v>
      </c>
      <c r="DE68" s="25">
        <v>0</v>
      </c>
      <c r="DF68" s="25">
        <v>0</v>
      </c>
      <c r="DG68" s="25">
        <v>0</v>
      </c>
      <c r="DH68" s="25">
        <v>0</v>
      </c>
      <c r="DI68" s="25">
        <v>0</v>
      </c>
      <c r="DJ68" s="25">
        <v>0</v>
      </c>
      <c r="DK68" s="25">
        <v>0</v>
      </c>
      <c r="DL68" s="25">
        <v>0</v>
      </c>
      <c r="DM68" s="25">
        <v>1</v>
      </c>
      <c r="DN68" s="25">
        <v>243</v>
      </c>
      <c r="DO68" s="25">
        <v>0</v>
      </c>
      <c r="DP68" s="25">
        <v>0</v>
      </c>
      <c r="DQ68" s="25">
        <v>0</v>
      </c>
      <c r="DR68" s="25">
        <v>44</v>
      </c>
      <c r="DS68" s="25">
        <v>0</v>
      </c>
      <c r="DT68" s="25">
        <v>6</v>
      </c>
      <c r="DU68" s="25">
        <v>1</v>
      </c>
      <c r="DV68" s="25">
        <v>0</v>
      </c>
      <c r="DW68" s="25">
        <v>1</v>
      </c>
      <c r="DX68" s="25">
        <v>0</v>
      </c>
      <c r="DY68" s="25">
        <v>0</v>
      </c>
      <c r="DZ68" s="25">
        <v>0</v>
      </c>
      <c r="EA68" s="25">
        <v>1</v>
      </c>
      <c r="EB68" s="25">
        <v>1</v>
      </c>
      <c r="EC68" s="25">
        <v>4</v>
      </c>
      <c r="ED68" s="25">
        <v>25</v>
      </c>
      <c r="EE68" s="25">
        <v>1284</v>
      </c>
      <c r="EF68" s="25">
        <v>13</v>
      </c>
      <c r="EG68" s="25">
        <v>3</v>
      </c>
      <c r="EH68" s="25">
        <v>0</v>
      </c>
      <c r="EI68" s="25">
        <v>3405</v>
      </c>
      <c r="EJ68" s="25">
        <v>1</v>
      </c>
      <c r="EK68" s="25">
        <v>29</v>
      </c>
      <c r="EL68" s="25">
        <v>0</v>
      </c>
      <c r="EM68" s="25">
        <v>0</v>
      </c>
      <c r="EN68" s="25">
        <v>0</v>
      </c>
      <c r="EO68" s="25">
        <v>91</v>
      </c>
      <c r="EP68" s="25">
        <v>0</v>
      </c>
      <c r="EQ68" s="25">
        <v>0</v>
      </c>
      <c r="ER68" s="25">
        <v>0</v>
      </c>
      <c r="ES68" s="25">
        <v>4</v>
      </c>
      <c r="ET68" s="25">
        <v>0</v>
      </c>
      <c r="EU68" s="25">
        <v>0</v>
      </c>
      <c r="EV68" s="25">
        <v>0</v>
      </c>
      <c r="EW68" s="25">
        <v>4</v>
      </c>
      <c r="EX68" s="25">
        <v>0</v>
      </c>
      <c r="EY68" s="25">
        <v>2</v>
      </c>
      <c r="EZ68" s="25">
        <v>0</v>
      </c>
      <c r="FA68" s="25">
        <v>0</v>
      </c>
      <c r="FB68" s="25">
        <v>0</v>
      </c>
      <c r="FC68" s="25">
        <v>0</v>
      </c>
      <c r="FD68" s="25">
        <v>1</v>
      </c>
      <c r="FE68" s="25">
        <v>1</v>
      </c>
      <c r="FF68" s="25">
        <v>0</v>
      </c>
      <c r="FG68" s="25">
        <v>0</v>
      </c>
      <c r="FH68" s="25">
        <v>0</v>
      </c>
      <c r="FI68" s="25">
        <v>2</v>
      </c>
      <c r="FJ68" s="25">
        <v>0</v>
      </c>
      <c r="FK68" s="25">
        <v>0</v>
      </c>
      <c r="FL68" s="25">
        <v>0</v>
      </c>
      <c r="FM68" s="25">
        <v>1</v>
      </c>
      <c r="FN68" s="25">
        <v>0</v>
      </c>
      <c r="FO68" s="25">
        <v>76</v>
      </c>
      <c r="FP68" s="25">
        <v>0</v>
      </c>
      <c r="FQ68" s="25">
        <v>0</v>
      </c>
      <c r="FR68" s="25">
        <v>0</v>
      </c>
      <c r="FS68" s="25">
        <v>0</v>
      </c>
      <c r="FT68" s="25">
        <v>0</v>
      </c>
      <c r="FU68" s="25">
        <v>7</v>
      </c>
      <c r="FV68" s="25">
        <v>0</v>
      </c>
      <c r="FW68" s="25">
        <v>2</v>
      </c>
      <c r="FX68" s="25">
        <v>1</v>
      </c>
      <c r="FY68" s="25">
        <v>0</v>
      </c>
      <c r="FZ68" s="25">
        <v>0</v>
      </c>
      <c r="GA68" s="25">
        <v>0</v>
      </c>
      <c r="GB68" s="25">
        <v>17</v>
      </c>
      <c r="GC68" s="25">
        <v>5</v>
      </c>
      <c r="GD68" s="25">
        <v>3</v>
      </c>
      <c r="GE68" s="25">
        <v>0</v>
      </c>
      <c r="GF68" s="25">
        <v>0</v>
      </c>
      <c r="GG68" s="25">
        <v>1</v>
      </c>
      <c r="GH68" s="25">
        <v>0</v>
      </c>
      <c r="GI68" s="25">
        <v>0</v>
      </c>
      <c r="GJ68" s="25">
        <v>0</v>
      </c>
      <c r="GK68" s="25">
        <v>11</v>
      </c>
      <c r="GL68" s="25">
        <v>0</v>
      </c>
      <c r="GM68" s="25">
        <v>0</v>
      </c>
      <c r="GN68" s="25">
        <v>0</v>
      </c>
      <c r="GO68" s="25">
        <v>0</v>
      </c>
      <c r="GP68" s="25">
        <v>0</v>
      </c>
      <c r="GQ68" s="25">
        <v>1</v>
      </c>
      <c r="GR68" s="25">
        <v>1</v>
      </c>
      <c r="GS68" s="25">
        <v>0</v>
      </c>
      <c r="GT68" s="25">
        <v>0</v>
      </c>
      <c r="GU68" s="25">
        <v>830</v>
      </c>
      <c r="GV68" s="25">
        <v>0</v>
      </c>
      <c r="GW68" s="25">
        <v>1</v>
      </c>
      <c r="GX68" s="25">
        <v>0</v>
      </c>
      <c r="GY68" s="46">
        <v>11</v>
      </c>
      <c r="GZ68" s="25">
        <v>41</v>
      </c>
      <c r="HA68" s="25">
        <v>1</v>
      </c>
      <c r="HB68" s="25">
        <v>0</v>
      </c>
      <c r="HC68" s="25">
        <v>1</v>
      </c>
      <c r="HD68" s="25">
        <v>0</v>
      </c>
      <c r="HE68" s="25">
        <v>0</v>
      </c>
      <c r="HF68" s="25">
        <v>1</v>
      </c>
      <c r="HG68" s="25">
        <v>3</v>
      </c>
      <c r="HH68" s="25">
        <v>0</v>
      </c>
      <c r="HI68" s="25">
        <v>2</v>
      </c>
      <c r="HJ68" s="25">
        <v>0</v>
      </c>
      <c r="HK68" s="25">
        <v>0</v>
      </c>
      <c r="HL68" s="25">
        <v>1</v>
      </c>
      <c r="HM68" s="25">
        <v>0</v>
      </c>
      <c r="HN68" s="25">
        <v>0</v>
      </c>
      <c r="HO68" s="25">
        <v>0</v>
      </c>
      <c r="HP68" s="25">
        <v>0</v>
      </c>
      <c r="HQ68" s="25">
        <v>158</v>
      </c>
      <c r="HR68" s="25">
        <v>0</v>
      </c>
      <c r="HS68" s="25">
        <v>258</v>
      </c>
      <c r="HT68" s="25">
        <v>0</v>
      </c>
      <c r="HU68" s="25">
        <v>0</v>
      </c>
      <c r="HV68" s="25">
        <v>0</v>
      </c>
      <c r="HW68" s="25">
        <v>0</v>
      </c>
      <c r="HX68" s="25">
        <v>0</v>
      </c>
      <c r="HY68" s="25">
        <v>0</v>
      </c>
      <c r="HZ68" s="25">
        <v>0</v>
      </c>
      <c r="IA68" s="25">
        <v>0</v>
      </c>
      <c r="IB68" s="25">
        <v>0</v>
      </c>
      <c r="IC68" s="25">
        <v>0</v>
      </c>
      <c r="ID68" s="25">
        <v>0</v>
      </c>
      <c r="IE68" s="25">
        <v>0</v>
      </c>
      <c r="IF68" s="25">
        <v>0</v>
      </c>
      <c r="IG68" s="25">
        <v>0</v>
      </c>
      <c r="IH68" s="25">
        <v>0</v>
      </c>
      <c r="II68" s="25">
        <v>0</v>
      </c>
      <c r="IJ68" s="25">
        <v>0</v>
      </c>
      <c r="IK68" s="25">
        <v>0</v>
      </c>
      <c r="IL68" s="25">
        <v>0</v>
      </c>
      <c r="IM68" s="25">
        <v>0</v>
      </c>
      <c r="IN68" s="25">
        <v>0</v>
      </c>
      <c r="IO68" s="25">
        <v>0</v>
      </c>
      <c r="IP68" s="25">
        <v>0</v>
      </c>
      <c r="IQ68" s="25">
        <v>0</v>
      </c>
      <c r="IR68" s="25">
        <v>0</v>
      </c>
      <c r="IS68" s="25">
        <v>0</v>
      </c>
      <c r="IT68" s="25">
        <v>0</v>
      </c>
      <c r="IU68" s="25">
        <v>0</v>
      </c>
      <c r="IV68" s="25">
        <v>0</v>
      </c>
      <c r="IW68" s="25">
        <v>0</v>
      </c>
      <c r="IX68" s="25">
        <v>0</v>
      </c>
      <c r="IY68" s="25">
        <v>0</v>
      </c>
      <c r="IZ68" s="25">
        <v>0</v>
      </c>
      <c r="JA68" s="25">
        <v>0</v>
      </c>
      <c r="JB68" s="25">
        <v>0</v>
      </c>
      <c r="JC68" s="25">
        <v>0</v>
      </c>
      <c r="JD68" s="25">
        <v>0</v>
      </c>
      <c r="JE68" s="25">
        <v>0</v>
      </c>
      <c r="JF68" s="25">
        <v>0</v>
      </c>
      <c r="JG68" s="25">
        <v>0</v>
      </c>
      <c r="JH68" s="25">
        <v>0</v>
      </c>
      <c r="JI68" s="25">
        <v>0</v>
      </c>
      <c r="JJ68" s="25">
        <v>0</v>
      </c>
      <c r="JK68" s="25">
        <v>0</v>
      </c>
      <c r="JL68" s="25">
        <v>0</v>
      </c>
      <c r="JM68" s="25">
        <v>0</v>
      </c>
      <c r="JN68" s="25">
        <v>0</v>
      </c>
      <c r="JO68" s="25">
        <v>0</v>
      </c>
      <c r="JP68" s="25">
        <v>0</v>
      </c>
      <c r="JQ68" s="25">
        <v>18</v>
      </c>
      <c r="JR68" s="25">
        <v>4</v>
      </c>
      <c r="JS68" s="25">
        <v>3</v>
      </c>
      <c r="JT68" s="25">
        <v>0</v>
      </c>
      <c r="JU68" s="25">
        <v>0</v>
      </c>
      <c r="JV68" s="25">
        <v>9</v>
      </c>
      <c r="JW68" s="25">
        <v>10</v>
      </c>
      <c r="JX68" s="25">
        <v>0</v>
      </c>
      <c r="JY68" s="25">
        <v>0</v>
      </c>
      <c r="JZ68" s="25">
        <v>4</v>
      </c>
      <c r="KA68" s="25">
        <v>2</v>
      </c>
      <c r="KB68" s="25">
        <v>0</v>
      </c>
      <c r="KC68" s="25">
        <v>1</v>
      </c>
      <c r="KD68" s="25">
        <v>2</v>
      </c>
      <c r="KE68" s="25">
        <v>10</v>
      </c>
      <c r="KF68" s="25">
        <v>0</v>
      </c>
      <c r="KG68" s="25">
        <v>1</v>
      </c>
      <c r="KH68" s="25">
        <v>0</v>
      </c>
      <c r="KI68" s="25">
        <v>1</v>
      </c>
      <c r="KJ68" s="25">
        <v>0</v>
      </c>
      <c r="KK68" s="25">
        <v>1</v>
      </c>
      <c r="KL68" s="25">
        <v>1</v>
      </c>
      <c r="KM68" s="25">
        <v>0</v>
      </c>
      <c r="KN68" s="25">
        <v>0</v>
      </c>
      <c r="KO68" s="25">
        <v>1</v>
      </c>
      <c r="KP68" s="25">
        <v>0</v>
      </c>
      <c r="KQ68" s="25">
        <v>9</v>
      </c>
      <c r="KR68" s="25">
        <v>0</v>
      </c>
      <c r="KS68" s="25">
        <v>96</v>
      </c>
      <c r="KT68" s="25">
        <v>0</v>
      </c>
      <c r="KU68" s="25">
        <v>0</v>
      </c>
      <c r="KV68" s="25">
        <v>0</v>
      </c>
      <c r="KW68" s="25">
        <v>1</v>
      </c>
      <c r="KX68" s="25">
        <v>3</v>
      </c>
      <c r="KY68" s="25">
        <v>1</v>
      </c>
      <c r="KZ68" s="25">
        <v>0</v>
      </c>
      <c r="LA68" s="25">
        <v>1</v>
      </c>
      <c r="LB68" s="25">
        <v>1</v>
      </c>
      <c r="LC68" s="25">
        <v>0</v>
      </c>
      <c r="LD68" s="25">
        <v>5</v>
      </c>
      <c r="LE68" s="25">
        <v>0</v>
      </c>
      <c r="LF68" s="25">
        <v>2</v>
      </c>
      <c r="LG68" s="25">
        <v>2</v>
      </c>
      <c r="LH68" s="25">
        <v>73</v>
      </c>
      <c r="LI68" s="25">
        <v>0</v>
      </c>
      <c r="LJ68" s="25">
        <v>4</v>
      </c>
      <c r="LK68" s="25">
        <v>0</v>
      </c>
      <c r="LL68" s="25">
        <v>0</v>
      </c>
      <c r="LM68" s="25">
        <v>1</v>
      </c>
      <c r="LN68" s="278">
        <f ca="1">$A68 - DeathsTimeS!Sweden100dt + 1</f>
        <v>1</v>
      </c>
      <c r="LO68" s="366">
        <f ca="1">INDEX(OFFSET(DeathsTimeS!HeadRow,ROW()-ROW(DeathsTimeS!HeadRow),0,1,COLUMNS(DeathsTimeS!HeadRow)),1,MATCH(LO$5,DeathsTimeS!HeadRow,0))/LO$8</f>
        <v>10.752688172043012</v>
      </c>
      <c r="LP68" s="278">
        <f ca="1">$A68 - DeathsTimeS!Spain100dt</f>
        <v>8</v>
      </c>
      <c r="LQ68" s="11">
        <f ca="1">INDEX(OFFSET(DeathsTimeS!HeadRow,ROW()-ROW(DeathsTimeS!HeadRow),0,1,COLUMNS(DeathsTimeS!HeadRow)),1,MATCH(LQ$5,DeathsTimeS!HeadRow,0))/LQ$8</f>
        <v>176.82147422241158</v>
      </c>
      <c r="LR68" s="278">
        <f ca="1">$A68 - DeathsTimeS!Victoria100dt</f>
        <v>-15</v>
      </c>
      <c r="LS68" s="11">
        <f ca="1">INDEX(OFFSET(DeathsTimeS!HeadRow,ROW()-ROW(DeathsTimeS!HeadRow),0,1,COLUMNS(DeathsTimeS!HeadRow)),1,MATCH(LS$5,DeathsTimeS!HeadRow,0))/LS$8</f>
        <v>0</v>
      </c>
      <c r="LT68" s="278">
        <f ca="1">$A68 - DeathsTimeS!Iran100dt</f>
        <v>15</v>
      </c>
      <c r="LU68" s="11">
        <f ca="1">INDEX(OFFSET(DeathsTimeS!HeadRow,ROW()-ROW(DeathsTimeS!HeadRow),0,1,COLUMNS(DeathsTimeS!HeadRow)),1,MATCH(LU$5,DeathsTimeS!HeadRow,0))/LU$8</f>
        <v>153.27134040800735</v>
      </c>
      <c r="LV68" s="278">
        <f ca="1">$A68 - DeathsTimeS!Japan100dt</f>
        <v>-26</v>
      </c>
      <c r="LW68" s="11">
        <f ca="1">INDEX(OFFSET(DeathsTimeS!HeadRow,ROW()-ROW(DeathsTimeS!HeadRow),0,1,COLUMNS(DeathsTimeS!HeadRow)),1,MATCH(LW$5,DeathsTimeS!HeadRow,0))/LW$8</f>
        <v>2.2915082480508371</v>
      </c>
      <c r="LX68" s="278">
        <f ca="1">$A68 - DeathsTimeS!Queensland100dt</f>
        <v>-30</v>
      </c>
      <c r="LY68" s="11">
        <f ca="1">INDEX(OFFSET(DeathsTimeS!HeadRow,ROW()-ROW(DeathsTimeS!HeadRow),0,1,COLUMNS(DeathsTimeS!HeadRow)),1,MATCH(LY$5,DeathsTimeS!HeadRow,0))/LY$8</f>
        <v>0</v>
      </c>
      <c r="LZ68" s="278">
        <f ca="1">$A68 - DeathsTimeS!Tasmania100dt</f>
        <v>-12</v>
      </c>
      <c r="MA68" s="11">
        <f ca="1">INDEX(OFFSET(DeathsTimeS!HeadRow,ROW()-ROW(DeathsTimeS!HeadRow),0,1,COLUMNS(DeathsTimeS!HeadRow)),1,MATCH(MA$5,DeathsTimeS!HeadRow,0))/MA$8</f>
        <v>0</v>
      </c>
      <c r="MB68" s="278">
        <f ca="1">$A68 - DeathsTimeS!SouthAustralia100dt</f>
        <v>-20</v>
      </c>
      <c r="MC68" s="11">
        <f ca="1">INDEX(OFFSET(DeathsTimeS!HeadRow,ROW()-ROW(DeathsTimeS!HeadRow),0,1,COLUMNS(DeathsTimeS!HeadRow)),1,MATCH(MC$5,DeathsTimeS!HeadRow,0))/MC$8</f>
        <v>0</v>
      </c>
      <c r="MD68" s="278">
        <f ca="1">$A68 - DeathsTimeS!WesternAustralia100dt</f>
        <v>-17</v>
      </c>
      <c r="ME68" s="11">
        <f ca="1">INDEX(OFFSET(DeathsTimeS!HeadRow,ROW()-ROW(DeathsTimeS!HeadRow),0,1,COLUMNS(DeathsTimeS!HeadRow)),1,MATCH(ME$5,DeathsTimeS!HeadRow,0))/ME$8</f>
        <v>3.8624951718810348</v>
      </c>
      <c r="MF68" s="278">
        <f ca="1">$A68 - DeathsTimeS!NewSouthWales100dt</f>
        <v>-13</v>
      </c>
      <c r="MG68" s="11">
        <f ca="1">INDEX(OFFSET(DeathsTimeS!HeadRow,ROW()-ROW(DeathsTimeS!HeadRow),0,1,COLUMNS(DeathsTimeS!HeadRow)),1,MATCH(MG$5,DeathsTimeS!HeadRow,0))/MG$8</f>
        <v>6.1881188118811874</v>
      </c>
      <c r="MH68" s="278">
        <f ca="1">$A68 - DeathsTimeS!NewYork100dt</f>
        <v>3</v>
      </c>
      <c r="MI68" s="20">
        <f ca="1">INDEX(OFFSET(DeathsTimeS!HeadRow,ROW()-ROW(DeathsTimeS!HeadRow),0,1,COLUMNS(DeathsTimeS!HeadRow)),1,MATCH(MI$5,DeathsTimeS!HeadRow,0))/MI$8</f>
        <v>40.629649529066384</v>
      </c>
      <c r="MJ68" s="278">
        <f ca="1">$A68 - DeathsTimeS!Italy100dt</f>
        <v>16</v>
      </c>
      <c r="MK68" s="20">
        <f ca="1">INDEX(OFFSET(DeathsTimeS!HeadRow,ROW()-ROW(DeathsTimeS!HeadRow),0,1,COLUMNS(DeathsTimeS!HeadRow)),1,MATCH(MK$5,DeathsTimeS!HeadRow,0))/MK$8</f>
        <v>562.94949160949</v>
      </c>
      <c r="ML68" s="278">
        <f ca="1">$A68 - DeathsTimeS!AustralianCapitalTerritory100dt</f>
        <v>-11</v>
      </c>
      <c r="MM68" s="11">
        <f ca="1">INDEX(OFFSET(DeathsTimeS!HeadRow,ROW()-ROW(DeathsTimeS!HeadRow),0,1,COLUMNS(DeathsTimeS!HeadRow)),1,MATCH(MM$5,DeathsTimeS!HeadRow,0))/MM$8</f>
        <v>0</v>
      </c>
      <c r="MN68" s="278">
        <f ca="1">IF(DeathsTimeS!NorthernTerritory100dt&gt;0,$A68 - DeathsTimeS!NorthernTerritory100dt,"")</f>
        <v>-39</v>
      </c>
      <c r="MO68" s="11">
        <f ca="1">INDEX(OFFSET(DeathsTimeS!HeadRow,ROW()-ROW(DeathsTimeS!HeadRow),0,1,COLUMNS(DeathsTimeS!HeadRow)),1,MATCH(MO$5,DeathsTimeS!HeadRow,0))/MO$8</f>
        <v>0</v>
      </c>
      <c r="MP68" s="278">
        <f ca="1">$A68 - DeathsTimeS!SouthAfrica100dt + 1</f>
        <v>-31</v>
      </c>
      <c r="MQ68" s="20">
        <f ca="1">INDEX(OFFSET(DeathsTimeS!HeadRow,ROW()-ROW(DeathsTimeS!HeadRow),0,1,COLUMNS(DeathsTimeS!HeadRow)),1,MATCH(MQ$5,DeathsTimeS!HeadRow,0))/MQ$8</f>
        <v>0</v>
      </c>
      <c r="MR68" s="278">
        <f ca="1">$A68 - DeathsTimeS!Germany100dt + 1</f>
        <v>-1</v>
      </c>
      <c r="MS68" s="20">
        <f ca="1">INDEX(OFFSET(DeathsTimeS!HeadRow,ROW()-ROW(DeathsTimeS!HeadRow),0,1,COLUMNS(DeathsTimeS!HeadRow)),1,MATCH(MS$5,DeathsTimeS!HeadRow,0))/MS$8</f>
        <v>5.2999277282582513</v>
      </c>
      <c r="MT68" s="278">
        <f ca="1">$A68 - DeathsTimeS!Ireland100dt + 1</f>
        <v>-3</v>
      </c>
      <c r="MU68" s="73">
        <f ca="1">INDEX(OFFSET(DeathsTimeS!HeadRow,ROW()-ROW(DeathsTimeS!HeadRow),0,1,COLUMNS(DeathsTimeS!HeadRow)),1,MATCH(MU$5,DeathsTimeS!HeadRow,0))/MU$8</f>
        <v>6.1224489795918364</v>
      </c>
      <c r="MV68" s="278">
        <f ca="1">$A68 - DeathsTimeS!UnitedKingdom100dt + 1</f>
        <v>3</v>
      </c>
      <c r="MW68" s="73">
        <f ca="1">INDEX(OFFSET(DeathsTimeS!HeadRow,ROW()-ROW(DeathsTimeS!HeadRow),0,1,COLUMNS(DeathsTimeS!HeadRow)),1,MATCH(MW$5,DeathsTimeS!HeadRow,0))/MW$8</f>
        <v>23.78085490668272</v>
      </c>
      <c r="MX68" s="278">
        <f ca="1">$A68 - DeathsTimeS!Denmark100dt + 1</f>
        <v>1</v>
      </c>
      <c r="MY68" s="73">
        <f ca="1">INDEX(OFFSET(DeathsTimeS!HeadRow,ROW()-ROW(DeathsTimeS!HeadRow),0,1,COLUMNS(DeathsTimeS!HeadRow)),1,MATCH(MY$5,DeathsTimeS!HeadRow,0))/MY$8</f>
        <v>10.334137099552187</v>
      </c>
      <c r="MZ68" s="278">
        <f ca="1">$A68 - DeathsTimeS!US100dt + 1</f>
        <v>0</v>
      </c>
      <c r="NA68" s="73">
        <f ca="1">INDEX(OFFSET(DeathsTimeS!HeadRow,ROW()-ROW(DeathsTimeS!HeadRow),0,1,COLUMNS(DeathsTimeS!HeadRow)),1,MATCH(NA$5,DeathsTimeS!HeadRow,0))/NA$8</f>
        <v>7.8365205586287381</v>
      </c>
      <c r="NB68" s="278">
        <f ca="1">$A68 - DeathsTimeS!AustraliaSum100dt + 1</f>
        <v>-6</v>
      </c>
      <c r="NC68" s="366">
        <f t="shared" si="6"/>
        <v>6</v>
      </c>
      <c r="ND68" s="278">
        <f ca="1">$A68 - DeathsTimeS!Taiwan100dt + 1</f>
        <v>-38</v>
      </c>
      <c r="NE68" s="366">
        <f ca="1">INDEX(OFFSET(DeathsTimeS!HeadRow,ROW()-ROW(DeathsTimeS!HeadRow),0,1,COLUMNS(DeathsTimeS!HeadRow)),1,MATCH(NE$5,DeathsTimeS!HeadRow,0))/NE$8</f>
        <v>0.4200395492437986</v>
      </c>
      <c r="NF68" s="278">
        <f ca="1">$A68 - DeathsTimeS!Hubei100dt + 1</f>
        <v>53</v>
      </c>
      <c r="NG68" s="366">
        <f ca="1">INDEX(OFFSET(DeathsTimeS!HeadRow,ROW()-ROW(DeathsTimeS!HeadRow),0,1,COLUMNS(DeathsTimeS!HeadRow)),1,MATCH(NG$5,DeathsTimeS!HeadRow,0))/NG$8</f>
        <v>535.0427350427351</v>
      </c>
      <c r="NH68" s="278">
        <f ca="1">$A68 - DeathsTimeS!HongKong100dt + 1</f>
        <v>-38</v>
      </c>
      <c r="NI68" s="366">
        <f ca="1">INDEX(OFFSET(DeathsTimeS!HeadRow,ROW()-ROW(DeathsTimeS!HeadRow),0,1,COLUMNS(DeathsTimeS!HeadRow)),1,MATCH(NI$5,DeathsTimeS!HeadRow,0))/NI$8</f>
        <v>5.3684069252449333</v>
      </c>
    </row>
    <row r="69" spans="1:373" x14ac:dyDescent="0.25">
      <c r="A69" s="156">
        <v>43910</v>
      </c>
      <c r="B69" s="25">
        <v>0</v>
      </c>
      <c r="C69" s="25">
        <v>2</v>
      </c>
      <c r="D69" s="25">
        <v>11</v>
      </c>
      <c r="E69" s="25">
        <v>0</v>
      </c>
      <c r="F69" s="25">
        <v>0</v>
      </c>
      <c r="G69" s="25">
        <v>0</v>
      </c>
      <c r="H69" s="25">
        <v>3</v>
      </c>
      <c r="I69" s="25">
        <v>0</v>
      </c>
      <c r="J69" s="25">
        <v>0</v>
      </c>
      <c r="K69" s="25">
        <v>6</v>
      </c>
      <c r="L69" s="25">
        <v>0</v>
      </c>
      <c r="M69" s="25">
        <v>0</v>
      </c>
      <c r="N69" s="25">
        <v>0</v>
      </c>
      <c r="O69" s="25">
        <v>0</v>
      </c>
      <c r="P69" s="25">
        <v>0</v>
      </c>
      <c r="Q69" s="25">
        <v>1</v>
      </c>
      <c r="R69" s="25">
        <v>6</v>
      </c>
      <c r="S69" s="25">
        <v>1</v>
      </c>
      <c r="T69" s="25">
        <v>0</v>
      </c>
      <c r="U69" s="25">
        <v>1</v>
      </c>
      <c r="V69" s="25">
        <v>1</v>
      </c>
      <c r="W69" s="25">
        <v>0</v>
      </c>
      <c r="X69" s="25">
        <v>0</v>
      </c>
      <c r="Y69" s="25">
        <v>37</v>
      </c>
      <c r="Z69" s="25">
        <v>0</v>
      </c>
      <c r="AA69" s="25">
        <v>0</v>
      </c>
      <c r="AB69" s="25">
        <v>0</v>
      </c>
      <c r="AC69" s="25">
        <v>0</v>
      </c>
      <c r="AD69" s="25">
        <v>11</v>
      </c>
      <c r="AE69" s="25">
        <v>0</v>
      </c>
      <c r="AF69" s="25">
        <v>3</v>
      </c>
      <c r="AG69" s="25">
        <v>1</v>
      </c>
      <c r="AH69" s="25">
        <v>0</v>
      </c>
      <c r="AI69" s="25">
        <v>0</v>
      </c>
      <c r="AJ69" s="25">
        <v>0</v>
      </c>
      <c r="AK69" s="25">
        <v>1</v>
      </c>
      <c r="AL69" s="25">
        <v>8</v>
      </c>
      <c r="AM69" s="25">
        <v>0</v>
      </c>
      <c r="AN69" s="25">
        <v>0</v>
      </c>
      <c r="AO69" s="25">
        <v>0</v>
      </c>
      <c r="AP69" s="25">
        <v>0</v>
      </c>
      <c r="AQ69" s="25">
        <v>0</v>
      </c>
      <c r="AR69" s="25">
        <v>2</v>
      </c>
      <c r="AS69" s="25">
        <v>0</v>
      </c>
      <c r="AT69" s="25">
        <v>1</v>
      </c>
      <c r="AU69" s="25">
        <v>0</v>
      </c>
      <c r="AV69" s="25">
        <v>0</v>
      </c>
      <c r="AW69" s="25">
        <v>0</v>
      </c>
      <c r="AX69" s="25">
        <v>0</v>
      </c>
      <c r="AY69" s="25">
        <v>6</v>
      </c>
      <c r="AZ69" s="25">
        <v>8</v>
      </c>
      <c r="BA69" s="25">
        <v>6</v>
      </c>
      <c r="BB69" s="25">
        <v>1</v>
      </c>
      <c r="BC69" s="25">
        <v>2</v>
      </c>
      <c r="BD69" s="25">
        <v>8</v>
      </c>
      <c r="BE69" s="25">
        <v>2</v>
      </c>
      <c r="BF69" s="25">
        <v>2</v>
      </c>
      <c r="BG69" s="25">
        <v>6</v>
      </c>
      <c r="BH69" s="25">
        <v>6</v>
      </c>
      <c r="BI69" s="25">
        <v>13</v>
      </c>
      <c r="BJ69" s="25">
        <v>22</v>
      </c>
      <c r="BK69" s="25">
        <v>4</v>
      </c>
      <c r="BL69" s="25">
        <v>3133</v>
      </c>
      <c r="BM69" s="25">
        <v>4</v>
      </c>
      <c r="BN69" s="25">
        <v>1</v>
      </c>
      <c r="BO69" s="25">
        <v>0</v>
      </c>
      <c r="BP69" s="25">
        <v>1</v>
      </c>
      <c r="BQ69" s="25">
        <v>1</v>
      </c>
      <c r="BR69" s="25">
        <v>2</v>
      </c>
      <c r="BS69" s="25">
        <v>0</v>
      </c>
      <c r="BT69" s="25">
        <v>0</v>
      </c>
      <c r="BU69" s="25">
        <v>0</v>
      </c>
      <c r="BV69" s="25">
        <v>3</v>
      </c>
      <c r="BW69" s="25">
        <v>7</v>
      </c>
      <c r="BX69" s="25">
        <v>3</v>
      </c>
      <c r="BY69" s="25">
        <v>0</v>
      </c>
      <c r="BZ69" s="25">
        <v>3</v>
      </c>
      <c r="CA69" s="25">
        <v>3</v>
      </c>
      <c r="CB69" s="25">
        <v>0</v>
      </c>
      <c r="CC69" s="25">
        <v>3</v>
      </c>
      <c r="CD69" s="25">
        <v>2</v>
      </c>
      <c r="CE69" s="25">
        <v>1</v>
      </c>
      <c r="CF69" s="25">
        <v>0</v>
      </c>
      <c r="CG69" s="25">
        <v>0</v>
      </c>
      <c r="CH69" s="25">
        <v>0</v>
      </c>
      <c r="CI69" s="25">
        <v>1</v>
      </c>
      <c r="CJ69" s="25">
        <v>0</v>
      </c>
      <c r="CK69" s="25">
        <v>1</v>
      </c>
      <c r="CL69" s="25">
        <v>7</v>
      </c>
      <c r="CM69" s="25">
        <v>1</v>
      </c>
      <c r="CN69" s="25">
        <v>0</v>
      </c>
      <c r="CO69" s="25">
        <v>0</v>
      </c>
      <c r="CP69" s="25">
        <v>0</v>
      </c>
      <c r="CQ69" s="25">
        <v>0</v>
      </c>
      <c r="CR69" s="25">
        <v>9</v>
      </c>
      <c r="CS69" s="25">
        <v>0</v>
      </c>
      <c r="CT69" s="25">
        <v>2</v>
      </c>
      <c r="CU69" s="25">
        <v>5</v>
      </c>
      <c r="CV69" s="25">
        <v>8</v>
      </c>
      <c r="CW69" s="25">
        <v>0</v>
      </c>
      <c r="CX69" s="25">
        <v>0</v>
      </c>
      <c r="CY69" s="25">
        <v>0</v>
      </c>
      <c r="CZ69" s="25">
        <v>0</v>
      </c>
      <c r="DA69" s="25">
        <v>0</v>
      </c>
      <c r="DB69" s="25">
        <v>0</v>
      </c>
      <c r="DC69" s="25">
        <v>0</v>
      </c>
      <c r="DD69" s="25">
        <v>0</v>
      </c>
      <c r="DE69" s="25">
        <v>0</v>
      </c>
      <c r="DF69" s="25">
        <v>0</v>
      </c>
      <c r="DG69" s="25">
        <v>0</v>
      </c>
      <c r="DH69" s="25">
        <v>0</v>
      </c>
      <c r="DI69" s="25">
        <v>0</v>
      </c>
      <c r="DJ69" s="25">
        <v>0</v>
      </c>
      <c r="DK69" s="25">
        <v>0</v>
      </c>
      <c r="DL69" s="25">
        <v>0</v>
      </c>
      <c r="DM69" s="25">
        <v>1</v>
      </c>
      <c r="DN69" s="25">
        <v>450</v>
      </c>
      <c r="DO69" s="25">
        <v>1</v>
      </c>
      <c r="DP69" s="25">
        <v>0</v>
      </c>
      <c r="DQ69" s="25">
        <v>0</v>
      </c>
      <c r="DR69" s="25">
        <v>67</v>
      </c>
      <c r="DS69" s="25">
        <v>0</v>
      </c>
      <c r="DT69" s="25">
        <v>6</v>
      </c>
      <c r="DU69" s="25">
        <v>1</v>
      </c>
      <c r="DV69" s="25">
        <v>0</v>
      </c>
      <c r="DW69" s="25">
        <v>1</v>
      </c>
      <c r="DX69" s="25">
        <v>0</v>
      </c>
      <c r="DY69" s="25">
        <v>0</v>
      </c>
      <c r="DZ69" s="25">
        <v>0</v>
      </c>
      <c r="EA69" s="25">
        <v>3</v>
      </c>
      <c r="EB69" s="25">
        <v>0</v>
      </c>
      <c r="EC69" s="25">
        <v>5</v>
      </c>
      <c r="ED69" s="25">
        <v>32</v>
      </c>
      <c r="EE69" s="25">
        <v>1433</v>
      </c>
      <c r="EF69" s="25">
        <v>17</v>
      </c>
      <c r="EG69" s="25">
        <v>3</v>
      </c>
      <c r="EH69" s="25">
        <v>0</v>
      </c>
      <c r="EI69" s="25">
        <v>4032</v>
      </c>
      <c r="EJ69" s="25">
        <v>1</v>
      </c>
      <c r="EK69" s="25">
        <v>33</v>
      </c>
      <c r="EL69" s="25">
        <v>0</v>
      </c>
      <c r="EM69" s="25">
        <v>3</v>
      </c>
      <c r="EN69" s="25">
        <v>0</v>
      </c>
      <c r="EO69" s="25">
        <v>94</v>
      </c>
      <c r="EP69" s="25">
        <v>0</v>
      </c>
      <c r="EQ69" s="25">
        <v>0</v>
      </c>
      <c r="ER69" s="25">
        <v>0</v>
      </c>
      <c r="ES69" s="25">
        <v>4</v>
      </c>
      <c r="ET69" s="25">
        <v>0</v>
      </c>
      <c r="EU69" s="25">
        <v>0</v>
      </c>
      <c r="EV69" s="25">
        <v>0</v>
      </c>
      <c r="EW69" s="25">
        <v>4</v>
      </c>
      <c r="EX69" s="25">
        <v>0</v>
      </c>
      <c r="EY69" s="25">
        <v>3</v>
      </c>
      <c r="EZ69" s="25">
        <v>0</v>
      </c>
      <c r="FA69" s="25">
        <v>0</v>
      </c>
      <c r="FB69" s="25">
        <v>0</v>
      </c>
      <c r="FC69" s="25">
        <v>0</v>
      </c>
      <c r="FD69" s="25">
        <v>2</v>
      </c>
      <c r="FE69" s="25">
        <v>1</v>
      </c>
      <c r="FF69" s="25">
        <v>0</v>
      </c>
      <c r="FG69" s="25">
        <v>0</v>
      </c>
      <c r="FH69" s="25">
        <v>0</v>
      </c>
      <c r="FI69" s="25">
        <v>3</v>
      </c>
      <c r="FJ69" s="25">
        <v>0</v>
      </c>
      <c r="FK69" s="25">
        <v>0</v>
      </c>
      <c r="FL69" s="25">
        <v>0</v>
      </c>
      <c r="FM69" s="25">
        <v>1</v>
      </c>
      <c r="FN69" s="25">
        <v>0</v>
      </c>
      <c r="FO69" s="25">
        <v>106</v>
      </c>
      <c r="FP69" s="25">
        <v>0</v>
      </c>
      <c r="FQ69" s="25">
        <v>0</v>
      </c>
      <c r="FR69" s="25">
        <v>0</v>
      </c>
      <c r="FS69" s="25">
        <v>0</v>
      </c>
      <c r="FT69" s="25">
        <v>0</v>
      </c>
      <c r="FU69" s="25">
        <v>7</v>
      </c>
      <c r="FV69" s="25">
        <v>0</v>
      </c>
      <c r="FW69" s="25">
        <v>3</v>
      </c>
      <c r="FX69" s="25">
        <v>1</v>
      </c>
      <c r="FY69" s="25">
        <v>0</v>
      </c>
      <c r="FZ69" s="25">
        <v>0</v>
      </c>
      <c r="GA69" s="25">
        <v>3</v>
      </c>
      <c r="GB69" s="25">
        <v>18</v>
      </c>
      <c r="GC69" s="25">
        <v>5</v>
      </c>
      <c r="GD69" s="25">
        <v>6</v>
      </c>
      <c r="GE69" s="25">
        <v>0</v>
      </c>
      <c r="GF69" s="25">
        <v>0</v>
      </c>
      <c r="GG69" s="25">
        <v>1</v>
      </c>
      <c r="GH69" s="25">
        <v>0</v>
      </c>
      <c r="GI69" s="25">
        <v>0</v>
      </c>
      <c r="GJ69" s="25">
        <v>0</v>
      </c>
      <c r="GK69" s="25">
        <v>14</v>
      </c>
      <c r="GL69" s="25">
        <v>0</v>
      </c>
      <c r="GM69" s="25">
        <v>0</v>
      </c>
      <c r="GN69" s="25">
        <v>1</v>
      </c>
      <c r="GO69" s="25">
        <v>0</v>
      </c>
      <c r="GP69" s="25">
        <v>0</v>
      </c>
      <c r="GQ69" s="25">
        <v>1</v>
      </c>
      <c r="GR69" s="25">
        <v>1</v>
      </c>
      <c r="GS69" s="25">
        <v>0</v>
      </c>
      <c r="GT69" s="25">
        <v>0</v>
      </c>
      <c r="GU69" s="25">
        <v>1043</v>
      </c>
      <c r="GV69" s="25">
        <v>0</v>
      </c>
      <c r="GW69" s="25">
        <v>1</v>
      </c>
      <c r="GX69" s="25">
        <v>0</v>
      </c>
      <c r="GY69" s="46">
        <v>16</v>
      </c>
      <c r="GZ69" s="25">
        <v>54</v>
      </c>
      <c r="HA69" s="25">
        <v>2</v>
      </c>
      <c r="HB69" s="25">
        <v>0</v>
      </c>
      <c r="HC69" s="25">
        <v>1</v>
      </c>
      <c r="HD69" s="25">
        <v>0</v>
      </c>
      <c r="HE69" s="25">
        <v>0</v>
      </c>
      <c r="HF69" s="25">
        <v>1</v>
      </c>
      <c r="HG69" s="25">
        <v>4</v>
      </c>
      <c r="HH69" s="25">
        <v>0</v>
      </c>
      <c r="HI69" s="25">
        <v>3</v>
      </c>
      <c r="HJ69" s="25">
        <v>2</v>
      </c>
      <c r="HK69" s="25">
        <v>0</v>
      </c>
      <c r="HL69" s="25">
        <v>1</v>
      </c>
      <c r="HM69" s="25">
        <v>0</v>
      </c>
      <c r="HN69" s="25">
        <v>0</v>
      </c>
      <c r="HO69" s="25">
        <v>0</v>
      </c>
      <c r="HP69" s="25">
        <v>0</v>
      </c>
      <c r="HQ69" s="25">
        <v>194</v>
      </c>
      <c r="HR69" s="25">
        <v>0</v>
      </c>
      <c r="HS69" s="25">
        <v>349</v>
      </c>
      <c r="HT69" s="25">
        <v>0</v>
      </c>
      <c r="HU69" s="25">
        <v>0</v>
      </c>
      <c r="HV69" s="25">
        <v>0</v>
      </c>
      <c r="HW69" s="25">
        <v>0</v>
      </c>
      <c r="HX69" s="25">
        <v>0</v>
      </c>
      <c r="HY69" s="25">
        <v>0</v>
      </c>
      <c r="HZ69" s="25">
        <v>0</v>
      </c>
      <c r="IA69" s="25">
        <v>0</v>
      </c>
      <c r="IB69" s="25">
        <v>0</v>
      </c>
      <c r="IC69" s="25">
        <v>0</v>
      </c>
      <c r="ID69" s="25">
        <v>0</v>
      </c>
      <c r="IE69" s="25">
        <v>0</v>
      </c>
      <c r="IF69" s="25">
        <v>0</v>
      </c>
      <c r="IG69" s="25">
        <v>0</v>
      </c>
      <c r="IH69" s="25">
        <v>0</v>
      </c>
      <c r="II69" s="25">
        <v>0</v>
      </c>
      <c r="IJ69" s="25">
        <v>0</v>
      </c>
      <c r="IK69" s="25">
        <v>0</v>
      </c>
      <c r="IL69" s="25">
        <v>0</v>
      </c>
      <c r="IM69" s="25">
        <v>0</v>
      </c>
      <c r="IN69" s="25">
        <v>0</v>
      </c>
      <c r="IO69" s="25">
        <v>0</v>
      </c>
      <c r="IP69" s="25">
        <v>0</v>
      </c>
      <c r="IQ69" s="25">
        <v>0</v>
      </c>
      <c r="IR69" s="25">
        <v>0</v>
      </c>
      <c r="IS69" s="25">
        <v>0</v>
      </c>
      <c r="IT69" s="25">
        <v>0</v>
      </c>
      <c r="IU69" s="25">
        <v>0</v>
      </c>
      <c r="IV69" s="25">
        <v>0</v>
      </c>
      <c r="IW69" s="25">
        <v>0</v>
      </c>
      <c r="IX69" s="25">
        <v>0</v>
      </c>
      <c r="IY69" s="25">
        <v>0</v>
      </c>
      <c r="IZ69" s="25">
        <v>0</v>
      </c>
      <c r="JA69" s="25">
        <v>0</v>
      </c>
      <c r="JB69" s="25">
        <v>0</v>
      </c>
      <c r="JC69" s="25">
        <v>0</v>
      </c>
      <c r="JD69" s="25">
        <v>0</v>
      </c>
      <c r="JE69" s="25">
        <v>0</v>
      </c>
      <c r="JF69" s="25">
        <v>0</v>
      </c>
      <c r="JG69" s="25">
        <v>0</v>
      </c>
      <c r="JH69" s="25">
        <v>0</v>
      </c>
      <c r="JI69" s="25">
        <v>0</v>
      </c>
      <c r="JJ69" s="25">
        <v>0</v>
      </c>
      <c r="JK69" s="25">
        <v>0</v>
      </c>
      <c r="JL69" s="25">
        <v>0</v>
      </c>
      <c r="JM69" s="25">
        <v>0</v>
      </c>
      <c r="JN69" s="25">
        <v>0</v>
      </c>
      <c r="JO69" s="25">
        <v>0</v>
      </c>
      <c r="JP69" s="25">
        <v>0</v>
      </c>
      <c r="JQ69" s="25">
        <v>24</v>
      </c>
      <c r="JR69" s="25">
        <v>4</v>
      </c>
      <c r="JS69" s="25">
        <v>4</v>
      </c>
      <c r="JT69" s="25">
        <v>0</v>
      </c>
      <c r="JU69" s="25">
        <v>1</v>
      </c>
      <c r="JV69" s="25">
        <v>11</v>
      </c>
      <c r="JW69" s="25">
        <v>14</v>
      </c>
      <c r="JX69" s="25">
        <v>0</v>
      </c>
      <c r="JY69" s="25">
        <v>0</v>
      </c>
      <c r="JZ69" s="25">
        <v>5</v>
      </c>
      <c r="KA69" s="25">
        <v>3</v>
      </c>
      <c r="KB69" s="25">
        <v>0</v>
      </c>
      <c r="KC69" s="25">
        <v>1</v>
      </c>
      <c r="KD69" s="25">
        <v>2</v>
      </c>
      <c r="KE69" s="25">
        <v>14</v>
      </c>
      <c r="KF69" s="25">
        <v>0</v>
      </c>
      <c r="KG69" s="25">
        <v>2</v>
      </c>
      <c r="KH69" s="25">
        <v>1</v>
      </c>
      <c r="KI69" s="25">
        <v>1</v>
      </c>
      <c r="KJ69" s="25">
        <v>0</v>
      </c>
      <c r="KK69" s="25">
        <v>1</v>
      </c>
      <c r="KL69" s="25">
        <v>3</v>
      </c>
      <c r="KM69" s="25">
        <v>0</v>
      </c>
      <c r="KN69" s="25">
        <v>0</v>
      </c>
      <c r="KO69" s="25">
        <v>2</v>
      </c>
      <c r="KP69" s="25">
        <v>0</v>
      </c>
      <c r="KQ69" s="25">
        <v>11</v>
      </c>
      <c r="KR69" s="25">
        <v>0</v>
      </c>
      <c r="KS69" s="25">
        <v>151</v>
      </c>
      <c r="KT69" s="25">
        <v>0</v>
      </c>
      <c r="KU69" s="25">
        <v>0</v>
      </c>
      <c r="KV69" s="25">
        <v>3</v>
      </c>
      <c r="KW69" s="25">
        <v>1</v>
      </c>
      <c r="KX69" s="25">
        <v>3</v>
      </c>
      <c r="KY69" s="25">
        <v>1</v>
      </c>
      <c r="KZ69" s="25">
        <v>0</v>
      </c>
      <c r="LA69" s="25">
        <v>3</v>
      </c>
      <c r="LB69" s="25">
        <v>1</v>
      </c>
      <c r="LC69" s="25">
        <v>1</v>
      </c>
      <c r="LD69" s="25">
        <v>4</v>
      </c>
      <c r="LE69" s="25">
        <v>0</v>
      </c>
      <c r="LF69" s="25">
        <v>2</v>
      </c>
      <c r="LG69" s="25">
        <v>2</v>
      </c>
      <c r="LH69" s="25">
        <v>83</v>
      </c>
      <c r="LI69" s="25">
        <v>0</v>
      </c>
      <c r="LJ69" s="25">
        <v>3</v>
      </c>
      <c r="LK69" s="25">
        <v>0</v>
      </c>
      <c r="LL69" s="25">
        <v>0</v>
      </c>
      <c r="LM69" s="25">
        <v>1</v>
      </c>
      <c r="LN69" s="278">
        <f ca="1">$A69 - DeathsTimeS!Sweden100dt + 1</f>
        <v>2</v>
      </c>
      <c r="LO69" s="366">
        <f ca="1">INDEX(OFFSET(DeathsTimeS!HeadRow,ROW()-ROW(DeathsTimeS!HeadRow),0,1,COLUMNS(DeathsTimeS!HeadRow)),1,MATCH(LO$5,DeathsTimeS!HeadRow,0))/LO$8</f>
        <v>15.640273704789836</v>
      </c>
      <c r="LP69" s="278">
        <f ca="1">$A69 - DeathsTimeS!Spain100dt</f>
        <v>9</v>
      </c>
      <c r="LQ69" s="11">
        <f ca="1">INDEX(OFFSET(DeathsTimeS!HeadRow,ROW()-ROW(DeathsTimeS!HeadRow),0,1,COLUMNS(DeathsTimeS!HeadRow)),1,MATCH(LQ$5,DeathsTimeS!HeadRow,0))/LQ$8</f>
        <v>222.1985513421389</v>
      </c>
      <c r="LR69" s="278">
        <f ca="1">$A69 - DeathsTimeS!Victoria100dt</f>
        <v>-14</v>
      </c>
      <c r="LS69" s="11">
        <f ca="1">INDEX(OFFSET(DeathsTimeS!HeadRow,ROW()-ROW(DeathsTimeS!HeadRow),0,1,COLUMNS(DeathsTimeS!HeadRow)),1,MATCH(LS$5,DeathsTimeS!HeadRow,0))/LS$8</f>
        <v>0</v>
      </c>
      <c r="LT69" s="278">
        <f ca="1">$A69 - DeathsTimeS!Iran100dt</f>
        <v>16</v>
      </c>
      <c r="LU69" s="11">
        <f ca="1">INDEX(OFFSET(DeathsTimeS!HeadRow,ROW()-ROW(DeathsTimeS!HeadRow),0,1,COLUMNS(DeathsTimeS!HeadRow)),1,MATCH(LU$5,DeathsTimeS!HeadRow,0))/LU$8</f>
        <v>171.05750062669355</v>
      </c>
      <c r="LV69" s="278">
        <f ca="1">$A69 - DeathsTimeS!Japan100dt</f>
        <v>-25</v>
      </c>
      <c r="LW69" s="11">
        <f ca="1">INDEX(OFFSET(DeathsTimeS!HeadRow,ROW()-ROW(DeathsTimeS!HeadRow),0,1,COLUMNS(DeathsTimeS!HeadRow)),1,MATCH(LW$5,DeathsTimeS!HeadRow,0))/LW$8</f>
        <v>2.6075783512302633</v>
      </c>
      <c r="LX69" s="278">
        <f ca="1">$A69 - DeathsTimeS!Queensland100dt</f>
        <v>-29</v>
      </c>
      <c r="LY69" s="11">
        <f ca="1">INDEX(OFFSET(DeathsTimeS!HeadRow,ROW()-ROW(DeathsTimeS!HeadRow),0,1,COLUMNS(DeathsTimeS!HeadRow)),1,MATCH(LY$5,DeathsTimeS!HeadRow,0))/LY$8</f>
        <v>0</v>
      </c>
      <c r="LZ69" s="278">
        <f ca="1">$A69 - DeathsTimeS!Tasmania100dt</f>
        <v>-11</v>
      </c>
      <c r="MA69" s="11">
        <f ca="1">INDEX(OFFSET(DeathsTimeS!HeadRow,ROW()-ROW(DeathsTimeS!HeadRow),0,1,COLUMNS(DeathsTimeS!HeadRow)),1,MATCH(MA$5,DeathsTimeS!HeadRow,0))/MA$8</f>
        <v>0</v>
      </c>
      <c r="MB69" s="278">
        <f ca="1">$A69 - DeathsTimeS!SouthAustralia100dt</f>
        <v>-19</v>
      </c>
      <c r="MC69" s="11">
        <f ca="1">INDEX(OFFSET(DeathsTimeS!HeadRow,ROW()-ROW(DeathsTimeS!HeadRow),0,1,COLUMNS(DeathsTimeS!HeadRow)),1,MATCH(MC$5,DeathsTimeS!HeadRow,0))/MC$8</f>
        <v>0</v>
      </c>
      <c r="MD69" s="278">
        <f ca="1">$A69 - DeathsTimeS!WesternAustralia100dt</f>
        <v>-16</v>
      </c>
      <c r="ME69" s="11">
        <f ca="1">INDEX(OFFSET(DeathsTimeS!HeadRow,ROW()-ROW(DeathsTimeS!HeadRow),0,1,COLUMNS(DeathsTimeS!HeadRow)),1,MATCH(ME$5,DeathsTimeS!HeadRow,0))/ME$8</f>
        <v>3.8624951718810348</v>
      </c>
      <c r="MF69" s="278">
        <f ca="1">$A69 - DeathsTimeS!NewSouthWales100dt</f>
        <v>-12</v>
      </c>
      <c r="MG69" s="11">
        <f ca="1">INDEX(OFFSET(DeathsTimeS!HeadRow,ROW()-ROW(DeathsTimeS!HeadRow),0,1,COLUMNS(DeathsTimeS!HeadRow)),1,MATCH(MG$5,DeathsTimeS!HeadRow,0))/MG$8</f>
        <v>7.4257425742574252</v>
      </c>
      <c r="MH69" s="278">
        <f ca="1">$A69 - DeathsTimeS!NewYork100dt</f>
        <v>4</v>
      </c>
      <c r="MI69" s="20">
        <f ca="1">INDEX(OFFSET(DeathsTimeS!HeadRow,ROW()-ROW(DeathsTimeS!HeadRow),0,1,COLUMNS(DeathsTimeS!HeadRow)),1,MATCH(MI$5,DeathsTimeS!HeadRow,0))/MI$8</f>
        <v>63.907052905094005</v>
      </c>
      <c r="MJ69" s="278">
        <f ca="1">$A69 - DeathsTimeS!Italy100dt</f>
        <v>17</v>
      </c>
      <c r="MK69" s="20">
        <f ca="1">INDEX(OFFSET(DeathsTimeS!HeadRow,ROW()-ROW(DeathsTimeS!HeadRow),0,1,COLUMNS(DeathsTimeS!HeadRow)),1,MATCH(MK$5,DeathsTimeS!HeadRow,0))/MK$8</f>
        <v>666.61155658427708</v>
      </c>
      <c r="ML69" s="278">
        <f ca="1">$A69 - DeathsTimeS!AustralianCapitalTerritory100dt</f>
        <v>-10</v>
      </c>
      <c r="MM69" s="11">
        <f ca="1">INDEX(OFFSET(DeathsTimeS!HeadRow,ROW()-ROW(DeathsTimeS!HeadRow),0,1,COLUMNS(DeathsTimeS!HeadRow)),1,MATCH(MM$5,DeathsTimeS!HeadRow,0))/MM$8</f>
        <v>0</v>
      </c>
      <c r="MN69" s="278">
        <f ca="1">IF(DeathsTimeS!NorthernTerritory100dt&gt;0,$A69 - DeathsTimeS!NorthernTerritory100dt,"")</f>
        <v>-38</v>
      </c>
      <c r="MO69" s="11">
        <f ca="1">INDEX(OFFSET(DeathsTimeS!HeadRow,ROW()-ROW(DeathsTimeS!HeadRow),0,1,COLUMNS(DeathsTimeS!HeadRow)),1,MATCH(MO$5,DeathsTimeS!HeadRow,0))/MO$8</f>
        <v>0</v>
      </c>
      <c r="MP69" s="278">
        <f ca="1">$A69 - DeathsTimeS!SouthAfrica100dt + 1</f>
        <v>-30</v>
      </c>
      <c r="MQ69" s="20">
        <f ca="1">INDEX(OFFSET(DeathsTimeS!HeadRow,ROW()-ROW(DeathsTimeS!HeadRow),0,1,COLUMNS(DeathsTimeS!HeadRow)),1,MATCH(MQ$5,DeathsTimeS!HeadRow,0))/MQ$8</f>
        <v>0</v>
      </c>
      <c r="MR69" s="278">
        <f ca="1">$A69 - DeathsTimeS!Germany100dt + 1</f>
        <v>0</v>
      </c>
      <c r="MS69" s="20">
        <f ca="1">INDEX(OFFSET(DeathsTimeS!HeadRow,ROW()-ROW(DeathsTimeS!HeadRow),0,1,COLUMNS(DeathsTimeS!HeadRow)),1,MATCH(MS$5,DeathsTimeS!HeadRow,0))/MS$8</f>
        <v>8.0703444953023364</v>
      </c>
      <c r="MT69" s="278">
        <f ca="1">$A69 - DeathsTimeS!Ireland100dt + 1</f>
        <v>-2</v>
      </c>
      <c r="MU69" s="73">
        <f ca="1">INDEX(OFFSET(DeathsTimeS!HeadRow,ROW()-ROW(DeathsTimeS!HeadRow),0,1,COLUMNS(DeathsTimeS!HeadRow)),1,MATCH(MU$5,DeathsTimeS!HeadRow,0))/MU$8</f>
        <v>6.1224489795918364</v>
      </c>
      <c r="MV69" s="278">
        <f ca="1">$A69 - DeathsTimeS!UnitedKingdom100dt + 1</f>
        <v>4</v>
      </c>
      <c r="MW69" s="73">
        <f ca="1">INDEX(OFFSET(DeathsTimeS!HeadRow,ROW()-ROW(DeathsTimeS!HeadRow),0,1,COLUMNS(DeathsTimeS!HeadRow)),1,MATCH(MW$5,DeathsTimeS!HeadRow,0))/MW$8</f>
        <v>29.199277543648403</v>
      </c>
      <c r="MX69" s="278">
        <f ca="1">$A69 - DeathsTimeS!Denmark100dt + 1</f>
        <v>2</v>
      </c>
      <c r="MY69" s="73">
        <f ca="1">INDEX(OFFSET(DeathsTimeS!HeadRow,ROW()-ROW(DeathsTimeS!HeadRow),0,1,COLUMNS(DeathsTimeS!HeadRow)),1,MATCH(MY$5,DeathsTimeS!HeadRow,0))/MY$8</f>
        <v>15.501205649328281</v>
      </c>
      <c r="MZ69" s="278">
        <f ca="1">$A69 - DeathsTimeS!US100dt + 1</f>
        <v>1</v>
      </c>
      <c r="NA69" s="73">
        <f ca="1">INDEX(OFFSET(DeathsTimeS!HeadRow,ROW()-ROW(DeathsTimeS!HeadRow),0,1,COLUMNS(DeathsTimeS!HeadRow)),1,MATCH(NA$5,DeathsTimeS!HeadRow,0))/NA$8</f>
        <v>10.600564631633448</v>
      </c>
      <c r="NB69" s="278">
        <f ca="1">$A69 - DeathsTimeS!AustraliaSum100dt + 1</f>
        <v>-5</v>
      </c>
      <c r="NC69" s="366">
        <f t="shared" si="6"/>
        <v>7</v>
      </c>
      <c r="ND69" s="278">
        <f ca="1">$A69 - DeathsTimeS!Taiwan100dt + 1</f>
        <v>-37</v>
      </c>
      <c r="NE69" s="366">
        <f ca="1">INDEX(OFFSET(DeathsTimeS!HeadRow,ROW()-ROW(DeathsTimeS!HeadRow),0,1,COLUMNS(DeathsTimeS!HeadRow)),1,MATCH(NE$5,DeathsTimeS!HeadRow,0))/NE$8</f>
        <v>0.84007909848759721</v>
      </c>
      <c r="NF69" s="278">
        <f ca="1">$A69 - DeathsTimeS!Hubei100dt + 1</f>
        <v>54</v>
      </c>
      <c r="NG69" s="366">
        <f ca="1">INDEX(OFFSET(DeathsTimeS!HeadRow,ROW()-ROW(DeathsTimeS!HeadRow),0,1,COLUMNS(DeathsTimeS!HeadRow)),1,MATCH(NG$5,DeathsTimeS!HeadRow,0))/NG$8</f>
        <v>535.55555555555554</v>
      </c>
      <c r="NH69" s="278">
        <f ca="1">$A69 - DeathsTimeS!HongKong100dt + 1</f>
        <v>-37</v>
      </c>
      <c r="NI69" s="366">
        <f ca="1">INDEX(OFFSET(DeathsTimeS!HeadRow,ROW()-ROW(DeathsTimeS!HeadRow),0,1,COLUMNS(DeathsTimeS!HeadRow)),1,MATCH(NI$5,DeathsTimeS!HeadRow,0))/NI$8</f>
        <v>5.3684069252449333</v>
      </c>
    </row>
    <row r="70" spans="1:373" x14ac:dyDescent="0.25">
      <c r="A70" s="156">
        <v>43911</v>
      </c>
      <c r="B70" s="25">
        <v>0</v>
      </c>
      <c r="C70" s="25">
        <v>2</v>
      </c>
      <c r="D70" s="25">
        <v>15</v>
      </c>
      <c r="E70" s="25">
        <v>0</v>
      </c>
      <c r="F70" s="25">
        <v>0</v>
      </c>
      <c r="G70" s="25">
        <v>0</v>
      </c>
      <c r="H70" s="25">
        <v>4</v>
      </c>
      <c r="I70" s="25">
        <v>0</v>
      </c>
      <c r="J70" s="25">
        <v>0</v>
      </c>
      <c r="K70" s="25">
        <v>6</v>
      </c>
      <c r="L70" s="25">
        <v>0</v>
      </c>
      <c r="M70" s="25">
        <v>0</v>
      </c>
      <c r="N70" s="25">
        <v>0</v>
      </c>
      <c r="O70" s="25">
        <v>0</v>
      </c>
      <c r="P70" s="25">
        <v>0</v>
      </c>
      <c r="Q70" s="25">
        <v>1</v>
      </c>
      <c r="R70" s="25">
        <v>8</v>
      </c>
      <c r="S70" s="25">
        <v>1</v>
      </c>
      <c r="T70" s="25">
        <v>0</v>
      </c>
      <c r="U70" s="25">
        <v>1</v>
      </c>
      <c r="V70" s="25">
        <v>2</v>
      </c>
      <c r="W70" s="25">
        <v>0</v>
      </c>
      <c r="X70" s="25">
        <v>0</v>
      </c>
      <c r="Y70" s="25">
        <v>67</v>
      </c>
      <c r="Z70" s="25">
        <v>0</v>
      </c>
      <c r="AA70" s="25">
        <v>0</v>
      </c>
      <c r="AB70" s="25">
        <v>0</v>
      </c>
      <c r="AC70" s="25">
        <v>1</v>
      </c>
      <c r="AD70" s="25">
        <v>15</v>
      </c>
      <c r="AE70" s="25">
        <v>0</v>
      </c>
      <c r="AF70" s="25">
        <v>3</v>
      </c>
      <c r="AG70" s="25">
        <v>2</v>
      </c>
      <c r="AH70" s="25">
        <v>0</v>
      </c>
      <c r="AI70" s="25">
        <v>0</v>
      </c>
      <c r="AJ70" s="25">
        <v>0</v>
      </c>
      <c r="AK70" s="25">
        <v>1</v>
      </c>
      <c r="AL70" s="25">
        <v>10</v>
      </c>
      <c r="AM70" s="25">
        <v>0</v>
      </c>
      <c r="AN70" s="25">
        <v>0</v>
      </c>
      <c r="AO70" s="25">
        <v>0</v>
      </c>
      <c r="AP70" s="25">
        <v>0</v>
      </c>
      <c r="AQ70" s="25">
        <v>0</v>
      </c>
      <c r="AR70" s="25">
        <v>3</v>
      </c>
      <c r="AS70" s="25">
        <v>0</v>
      </c>
      <c r="AT70" s="25">
        <v>5</v>
      </c>
      <c r="AU70" s="25">
        <v>0</v>
      </c>
      <c r="AV70" s="25">
        <v>0</v>
      </c>
      <c r="AW70" s="25">
        <v>0</v>
      </c>
      <c r="AX70" s="25">
        <v>0</v>
      </c>
      <c r="AY70" s="25">
        <v>6</v>
      </c>
      <c r="AZ70" s="25">
        <v>8</v>
      </c>
      <c r="BA70" s="25">
        <v>6</v>
      </c>
      <c r="BB70" s="25">
        <v>1</v>
      </c>
      <c r="BC70" s="25">
        <v>2</v>
      </c>
      <c r="BD70" s="25">
        <v>8</v>
      </c>
      <c r="BE70" s="25">
        <v>2</v>
      </c>
      <c r="BF70" s="25">
        <v>2</v>
      </c>
      <c r="BG70" s="25">
        <v>6</v>
      </c>
      <c r="BH70" s="25">
        <v>6</v>
      </c>
      <c r="BI70" s="25">
        <v>13</v>
      </c>
      <c r="BJ70" s="25">
        <v>22</v>
      </c>
      <c r="BK70" s="25">
        <v>4</v>
      </c>
      <c r="BL70" s="25">
        <v>3139</v>
      </c>
      <c r="BM70" s="25">
        <v>4</v>
      </c>
      <c r="BN70" s="25">
        <v>1</v>
      </c>
      <c r="BO70" s="25">
        <v>0</v>
      </c>
      <c r="BP70" s="25">
        <v>1</v>
      </c>
      <c r="BQ70" s="25">
        <v>1</v>
      </c>
      <c r="BR70" s="25">
        <v>2</v>
      </c>
      <c r="BS70" s="25">
        <v>0</v>
      </c>
      <c r="BT70" s="25">
        <v>0</v>
      </c>
      <c r="BU70" s="25">
        <v>0</v>
      </c>
      <c r="BV70" s="25">
        <v>3</v>
      </c>
      <c r="BW70" s="25">
        <v>7</v>
      </c>
      <c r="BX70" s="25">
        <v>3</v>
      </c>
      <c r="BY70" s="25">
        <v>0</v>
      </c>
      <c r="BZ70" s="25">
        <v>3</v>
      </c>
      <c r="CA70" s="25">
        <v>3</v>
      </c>
      <c r="CB70" s="25">
        <v>0</v>
      </c>
      <c r="CC70" s="25">
        <v>3</v>
      </c>
      <c r="CD70" s="25">
        <v>2</v>
      </c>
      <c r="CE70" s="25">
        <v>1</v>
      </c>
      <c r="CF70" s="25">
        <v>0</v>
      </c>
      <c r="CG70" s="25">
        <v>0</v>
      </c>
      <c r="CH70" s="25">
        <v>1</v>
      </c>
      <c r="CI70" s="25">
        <v>2</v>
      </c>
      <c r="CJ70" s="25">
        <v>0</v>
      </c>
      <c r="CK70" s="25">
        <v>1</v>
      </c>
      <c r="CL70" s="25">
        <v>8</v>
      </c>
      <c r="CM70" s="25">
        <v>1</v>
      </c>
      <c r="CN70" s="25">
        <v>0</v>
      </c>
      <c r="CO70" s="25">
        <v>0</v>
      </c>
      <c r="CP70" s="25">
        <v>0</v>
      </c>
      <c r="CQ70" s="25">
        <v>0</v>
      </c>
      <c r="CR70" s="25">
        <v>13</v>
      </c>
      <c r="CS70" s="25">
        <v>0</v>
      </c>
      <c r="CT70" s="25">
        <v>2</v>
      </c>
      <c r="CU70" s="25">
        <v>7</v>
      </c>
      <c r="CV70" s="25">
        <v>10</v>
      </c>
      <c r="CW70" s="25">
        <v>0</v>
      </c>
      <c r="CX70" s="25">
        <v>0</v>
      </c>
      <c r="CY70" s="25">
        <v>0</v>
      </c>
      <c r="CZ70" s="25">
        <v>0</v>
      </c>
      <c r="DA70" s="25">
        <v>0</v>
      </c>
      <c r="DB70" s="25">
        <v>0</v>
      </c>
      <c r="DC70" s="25">
        <v>0</v>
      </c>
      <c r="DD70" s="25">
        <v>1</v>
      </c>
      <c r="DE70" s="25">
        <v>0</v>
      </c>
      <c r="DF70" s="25">
        <v>0</v>
      </c>
      <c r="DG70" s="25">
        <v>0</v>
      </c>
      <c r="DH70" s="25">
        <v>0</v>
      </c>
      <c r="DI70" s="25">
        <v>0</v>
      </c>
      <c r="DJ70" s="25">
        <v>0</v>
      </c>
      <c r="DK70" s="25">
        <v>0</v>
      </c>
      <c r="DL70" s="25">
        <v>0</v>
      </c>
      <c r="DM70" s="25">
        <v>1</v>
      </c>
      <c r="DN70" s="25">
        <v>562</v>
      </c>
      <c r="DO70" s="25">
        <v>1</v>
      </c>
      <c r="DP70" s="25">
        <v>0</v>
      </c>
      <c r="DQ70" s="25">
        <v>0</v>
      </c>
      <c r="DR70" s="25">
        <v>84</v>
      </c>
      <c r="DS70" s="25">
        <v>1</v>
      </c>
      <c r="DT70" s="25">
        <v>13</v>
      </c>
      <c r="DU70" s="25">
        <v>1</v>
      </c>
      <c r="DV70" s="25">
        <v>0</v>
      </c>
      <c r="DW70" s="25">
        <v>1</v>
      </c>
      <c r="DX70" s="25">
        <v>0</v>
      </c>
      <c r="DY70" s="25">
        <v>0</v>
      </c>
      <c r="DZ70" s="25">
        <v>0</v>
      </c>
      <c r="EA70" s="25">
        <v>4</v>
      </c>
      <c r="EB70" s="25">
        <v>1</v>
      </c>
      <c r="EC70" s="25">
        <v>4</v>
      </c>
      <c r="ED70" s="25">
        <v>38</v>
      </c>
      <c r="EE70" s="25">
        <v>1556</v>
      </c>
      <c r="EF70" s="25">
        <v>17</v>
      </c>
      <c r="EG70" s="25">
        <v>3</v>
      </c>
      <c r="EH70" s="25">
        <v>1</v>
      </c>
      <c r="EI70" s="25">
        <v>4825</v>
      </c>
      <c r="EJ70" s="25">
        <v>1</v>
      </c>
      <c r="EK70" s="25">
        <v>35</v>
      </c>
      <c r="EL70" s="25">
        <v>0</v>
      </c>
      <c r="EM70" s="25">
        <v>0</v>
      </c>
      <c r="EN70" s="25">
        <v>0</v>
      </c>
      <c r="EO70" s="25">
        <v>102</v>
      </c>
      <c r="EP70" s="25">
        <v>0</v>
      </c>
      <c r="EQ70" s="25">
        <v>0</v>
      </c>
      <c r="ER70" s="25">
        <v>0</v>
      </c>
      <c r="ES70" s="25">
        <v>4</v>
      </c>
      <c r="ET70" s="25">
        <v>0</v>
      </c>
      <c r="EU70" s="25">
        <v>0</v>
      </c>
      <c r="EV70" s="25">
        <v>1</v>
      </c>
      <c r="EW70" s="25">
        <v>8</v>
      </c>
      <c r="EX70" s="25">
        <v>0</v>
      </c>
      <c r="EY70" s="25">
        <v>4</v>
      </c>
      <c r="EZ70" s="25">
        <v>0</v>
      </c>
      <c r="FA70" s="25">
        <v>0</v>
      </c>
      <c r="FB70" s="25">
        <v>0</v>
      </c>
      <c r="FC70" s="25">
        <v>1</v>
      </c>
      <c r="FD70" s="25">
        <v>2</v>
      </c>
      <c r="FE70" s="25">
        <v>1</v>
      </c>
      <c r="FF70" s="25">
        <v>0</v>
      </c>
      <c r="FG70" s="25">
        <v>0</v>
      </c>
      <c r="FH70" s="25">
        <v>0</v>
      </c>
      <c r="FI70" s="25">
        <v>3</v>
      </c>
      <c r="FJ70" s="25">
        <v>0</v>
      </c>
      <c r="FK70" s="25">
        <v>0</v>
      </c>
      <c r="FL70" s="25">
        <v>0</v>
      </c>
      <c r="FM70" s="25">
        <v>1</v>
      </c>
      <c r="FN70" s="25">
        <v>0</v>
      </c>
      <c r="FO70" s="25">
        <v>136</v>
      </c>
      <c r="FP70" s="25">
        <v>0</v>
      </c>
      <c r="FQ70" s="25">
        <v>0</v>
      </c>
      <c r="FR70" s="25">
        <v>0</v>
      </c>
      <c r="FS70" s="25">
        <v>0</v>
      </c>
      <c r="FT70" s="25">
        <v>0</v>
      </c>
      <c r="FU70" s="25">
        <v>7</v>
      </c>
      <c r="FV70" s="25">
        <v>0</v>
      </c>
      <c r="FW70" s="25">
        <v>3</v>
      </c>
      <c r="FX70" s="25">
        <v>1</v>
      </c>
      <c r="FY70" s="25">
        <v>0</v>
      </c>
      <c r="FZ70" s="25">
        <v>1</v>
      </c>
      <c r="GA70" s="25">
        <v>5</v>
      </c>
      <c r="GB70" s="25">
        <v>19</v>
      </c>
      <c r="GC70" s="25">
        <v>5</v>
      </c>
      <c r="GD70" s="25">
        <v>12</v>
      </c>
      <c r="GE70" s="25">
        <v>0</v>
      </c>
      <c r="GF70" s="25">
        <v>0</v>
      </c>
      <c r="GG70" s="25">
        <v>1</v>
      </c>
      <c r="GH70" s="25">
        <v>0</v>
      </c>
      <c r="GI70" s="25">
        <v>0</v>
      </c>
      <c r="GJ70" s="25">
        <v>0</v>
      </c>
      <c r="GK70" s="25">
        <v>20</v>
      </c>
      <c r="GL70" s="25">
        <v>0</v>
      </c>
      <c r="GM70" s="25">
        <v>0</v>
      </c>
      <c r="GN70" s="25">
        <v>1</v>
      </c>
      <c r="GO70" s="25">
        <v>0</v>
      </c>
      <c r="GP70" s="25">
        <v>2</v>
      </c>
      <c r="GQ70" s="25">
        <v>1</v>
      </c>
      <c r="GR70" s="25">
        <v>1</v>
      </c>
      <c r="GS70" s="25">
        <v>0</v>
      </c>
      <c r="GT70" s="25">
        <v>0</v>
      </c>
      <c r="GU70" s="25">
        <v>1375</v>
      </c>
      <c r="GV70" s="25">
        <v>0</v>
      </c>
      <c r="GW70" s="25">
        <v>1</v>
      </c>
      <c r="GX70" s="25">
        <v>0</v>
      </c>
      <c r="GY70" s="46">
        <v>20</v>
      </c>
      <c r="GZ70" s="25">
        <v>75</v>
      </c>
      <c r="HA70" s="25">
        <v>2</v>
      </c>
      <c r="HB70" s="25">
        <v>0</v>
      </c>
      <c r="HC70" s="25">
        <v>1</v>
      </c>
      <c r="HD70" s="25">
        <v>0</v>
      </c>
      <c r="HE70" s="25">
        <v>0</v>
      </c>
      <c r="HF70" s="25">
        <v>1</v>
      </c>
      <c r="HG70" s="25">
        <v>9</v>
      </c>
      <c r="HH70" s="25">
        <v>0</v>
      </c>
      <c r="HI70" s="25">
        <v>3</v>
      </c>
      <c r="HJ70" s="25">
        <v>2</v>
      </c>
      <c r="HK70" s="25">
        <v>0</v>
      </c>
      <c r="HL70" s="25">
        <v>1</v>
      </c>
      <c r="HM70" s="25">
        <v>0</v>
      </c>
      <c r="HN70" s="25">
        <v>0</v>
      </c>
      <c r="HO70" s="25">
        <v>0</v>
      </c>
      <c r="HP70" s="25">
        <v>0</v>
      </c>
      <c r="HQ70" s="25">
        <v>250</v>
      </c>
      <c r="HR70" s="25">
        <v>0</v>
      </c>
      <c r="HS70" s="25">
        <v>442</v>
      </c>
      <c r="HT70" s="25">
        <v>0</v>
      </c>
      <c r="HU70" s="25">
        <v>0</v>
      </c>
      <c r="HV70" s="25">
        <v>0</v>
      </c>
      <c r="HW70" s="25">
        <v>0</v>
      </c>
      <c r="HX70" s="25">
        <v>0</v>
      </c>
      <c r="HY70" s="25">
        <v>0</v>
      </c>
      <c r="HZ70" s="25">
        <v>0</v>
      </c>
      <c r="IA70" s="25">
        <v>0</v>
      </c>
      <c r="IB70" s="25">
        <v>0</v>
      </c>
      <c r="IC70" s="25">
        <v>0</v>
      </c>
      <c r="ID70" s="25">
        <v>0</v>
      </c>
      <c r="IE70" s="25">
        <v>0</v>
      </c>
      <c r="IF70" s="25">
        <v>0</v>
      </c>
      <c r="IG70" s="25">
        <v>0</v>
      </c>
      <c r="IH70" s="25">
        <v>0</v>
      </c>
      <c r="II70" s="25">
        <v>0</v>
      </c>
      <c r="IJ70" s="25">
        <v>0</v>
      </c>
      <c r="IK70" s="25">
        <v>0</v>
      </c>
      <c r="IL70" s="25">
        <v>0</v>
      </c>
      <c r="IM70" s="25">
        <v>0</v>
      </c>
      <c r="IN70" s="25">
        <v>0</v>
      </c>
      <c r="IO70" s="25">
        <v>0</v>
      </c>
      <c r="IP70" s="25">
        <v>0</v>
      </c>
      <c r="IQ70" s="25">
        <v>0</v>
      </c>
      <c r="IR70" s="25">
        <v>0</v>
      </c>
      <c r="IS70" s="25">
        <v>0</v>
      </c>
      <c r="IT70" s="25">
        <v>0</v>
      </c>
      <c r="IU70" s="25">
        <v>0</v>
      </c>
      <c r="IV70" s="25">
        <v>0</v>
      </c>
      <c r="IW70" s="25">
        <v>0</v>
      </c>
      <c r="IX70" s="25">
        <v>0</v>
      </c>
      <c r="IY70" s="25">
        <v>0</v>
      </c>
      <c r="IZ70" s="25">
        <v>0</v>
      </c>
      <c r="JA70" s="25">
        <v>0</v>
      </c>
      <c r="JB70" s="25">
        <v>0</v>
      </c>
      <c r="JC70" s="25">
        <v>0</v>
      </c>
      <c r="JD70" s="25">
        <v>0</v>
      </c>
      <c r="JE70" s="25">
        <v>0</v>
      </c>
      <c r="JF70" s="25">
        <v>0</v>
      </c>
      <c r="JG70" s="25">
        <v>0</v>
      </c>
      <c r="JH70" s="25">
        <v>0</v>
      </c>
      <c r="JI70" s="25">
        <v>0</v>
      </c>
      <c r="JJ70" s="25">
        <v>0</v>
      </c>
      <c r="JK70" s="25">
        <v>1</v>
      </c>
      <c r="JL70" s="25">
        <v>0</v>
      </c>
      <c r="JM70" s="25">
        <v>0</v>
      </c>
      <c r="JN70" s="25">
        <v>0</v>
      </c>
      <c r="JO70" s="25">
        <v>1</v>
      </c>
      <c r="JP70" s="25">
        <v>0</v>
      </c>
      <c r="JQ70" s="25">
        <v>25</v>
      </c>
      <c r="JR70" s="25">
        <v>6</v>
      </c>
      <c r="JS70" s="25">
        <v>4</v>
      </c>
      <c r="JT70" s="25">
        <v>0</v>
      </c>
      <c r="JU70" s="25">
        <v>0</v>
      </c>
      <c r="JV70" s="25">
        <v>13</v>
      </c>
      <c r="JW70" s="25">
        <v>20</v>
      </c>
      <c r="JX70" s="25">
        <v>0</v>
      </c>
      <c r="JY70" s="25">
        <v>0</v>
      </c>
      <c r="JZ70" s="25">
        <v>6</v>
      </c>
      <c r="KA70" s="25">
        <v>4</v>
      </c>
      <c r="KB70" s="25">
        <v>0</v>
      </c>
      <c r="KC70" s="25">
        <v>2</v>
      </c>
      <c r="KD70" s="25">
        <v>3</v>
      </c>
      <c r="KE70" s="25">
        <v>20</v>
      </c>
      <c r="KF70" s="25">
        <v>0</v>
      </c>
      <c r="KG70" s="25">
        <v>2</v>
      </c>
      <c r="KH70" s="25">
        <v>1</v>
      </c>
      <c r="KI70" s="25">
        <v>3</v>
      </c>
      <c r="KJ70" s="25">
        <v>1</v>
      </c>
      <c r="KK70" s="25">
        <v>1</v>
      </c>
      <c r="KL70" s="25">
        <v>3</v>
      </c>
      <c r="KM70" s="25">
        <v>0</v>
      </c>
      <c r="KN70" s="25">
        <v>0</v>
      </c>
      <c r="KO70" s="25">
        <v>2</v>
      </c>
      <c r="KP70" s="25">
        <v>0</v>
      </c>
      <c r="KQ70" s="25">
        <v>16</v>
      </c>
      <c r="KR70" s="25">
        <v>0</v>
      </c>
      <c r="KS70" s="25">
        <v>195</v>
      </c>
      <c r="KT70" s="25">
        <v>0</v>
      </c>
      <c r="KU70" s="25">
        <v>0</v>
      </c>
      <c r="KV70" s="25">
        <v>3</v>
      </c>
      <c r="KW70" s="25">
        <v>1</v>
      </c>
      <c r="KX70" s="25">
        <v>4</v>
      </c>
      <c r="KY70" s="25">
        <v>2</v>
      </c>
      <c r="KZ70" s="25">
        <v>0</v>
      </c>
      <c r="LA70" s="25">
        <v>3</v>
      </c>
      <c r="LB70" s="25">
        <v>1</v>
      </c>
      <c r="LC70" s="25">
        <v>1</v>
      </c>
      <c r="LD70" s="25">
        <v>5</v>
      </c>
      <c r="LE70" s="25">
        <v>0</v>
      </c>
      <c r="LF70" s="25">
        <v>2</v>
      </c>
      <c r="LG70" s="25">
        <v>3</v>
      </c>
      <c r="LH70" s="25">
        <v>94</v>
      </c>
      <c r="LI70" s="25">
        <v>0</v>
      </c>
      <c r="LJ70" s="25">
        <v>4</v>
      </c>
      <c r="LK70" s="25">
        <v>0</v>
      </c>
      <c r="LL70" s="25">
        <v>0</v>
      </c>
      <c r="LM70" s="25">
        <v>1</v>
      </c>
      <c r="LN70" s="278">
        <f ca="1">$A70 - DeathsTimeS!Sweden100dt + 1</f>
        <v>3</v>
      </c>
      <c r="LO70" s="366">
        <f ca="1">INDEX(OFFSET(DeathsTimeS!HeadRow,ROW()-ROW(DeathsTimeS!HeadRow),0,1,COLUMNS(DeathsTimeS!HeadRow)),1,MATCH(LO$5,DeathsTimeS!HeadRow,0))/LO$8</f>
        <v>19.550342130987293</v>
      </c>
      <c r="LP70" s="278">
        <f ca="1">$A70 - DeathsTimeS!Spain100dt</f>
        <v>10</v>
      </c>
      <c r="LQ70" s="11">
        <f ca="1">INDEX(OFFSET(DeathsTimeS!HeadRow,ROW()-ROW(DeathsTimeS!HeadRow),0,1,COLUMNS(DeathsTimeS!HeadRow)),1,MATCH(LQ$5,DeathsTimeS!HeadRow,0))/LQ$8</f>
        <v>292.92714103110353</v>
      </c>
      <c r="LR70" s="278">
        <f ca="1">$A70 - DeathsTimeS!Victoria100dt</f>
        <v>-13</v>
      </c>
      <c r="LS70" s="11">
        <f ca="1">INDEX(OFFSET(DeathsTimeS!HeadRow,ROW()-ROW(DeathsTimeS!HeadRow),0,1,COLUMNS(DeathsTimeS!HeadRow)),1,MATCH(LS$5,DeathsTimeS!HeadRow,0))/LS$8</f>
        <v>0</v>
      </c>
      <c r="LT70" s="278">
        <f ca="1">$A70 - DeathsTimeS!Iran100dt</f>
        <v>17</v>
      </c>
      <c r="LU70" s="11">
        <f ca="1">INDEX(OFFSET(DeathsTimeS!HeadRow,ROW()-ROW(DeathsTimeS!HeadRow),0,1,COLUMNS(DeathsTimeS!HeadRow)),1,MATCH(LU$5,DeathsTimeS!HeadRow,0))/LU$8</f>
        <v>185.74003557232044</v>
      </c>
      <c r="LV70" s="278">
        <f ca="1">$A70 - DeathsTimeS!Japan100dt</f>
        <v>-24</v>
      </c>
      <c r="LW70" s="11">
        <f ca="1">INDEX(OFFSET(DeathsTimeS!HeadRow,ROW()-ROW(DeathsTimeS!HeadRow),0,1,COLUMNS(DeathsTimeS!HeadRow)),1,MATCH(LW$5,DeathsTimeS!HeadRow,0))/LW$8</f>
        <v>2.7656134028199761</v>
      </c>
      <c r="LX70" s="278">
        <f ca="1">$A70 - DeathsTimeS!Queensland100dt</f>
        <v>-28</v>
      </c>
      <c r="LY70" s="11">
        <f ca="1">INDEX(OFFSET(DeathsTimeS!HeadRow,ROW()-ROW(DeathsTimeS!HeadRow),0,1,COLUMNS(DeathsTimeS!HeadRow)),1,MATCH(LY$5,DeathsTimeS!HeadRow,0))/LY$8</f>
        <v>0</v>
      </c>
      <c r="LZ70" s="278">
        <f ca="1">$A70 - DeathsTimeS!Tasmania100dt</f>
        <v>-10</v>
      </c>
      <c r="MA70" s="11">
        <f ca="1">INDEX(OFFSET(DeathsTimeS!HeadRow,ROW()-ROW(DeathsTimeS!HeadRow),0,1,COLUMNS(DeathsTimeS!HeadRow)),1,MATCH(MA$5,DeathsTimeS!HeadRow,0))/MA$8</f>
        <v>0</v>
      </c>
      <c r="MB70" s="278">
        <f ca="1">$A70 - DeathsTimeS!SouthAustralia100dt</f>
        <v>-18</v>
      </c>
      <c r="MC70" s="11">
        <f ca="1">INDEX(OFFSET(DeathsTimeS!HeadRow,ROW()-ROW(DeathsTimeS!HeadRow),0,1,COLUMNS(DeathsTimeS!HeadRow)),1,MATCH(MC$5,DeathsTimeS!HeadRow,0))/MC$8</f>
        <v>0</v>
      </c>
      <c r="MD70" s="278">
        <f ca="1">$A70 - DeathsTimeS!WesternAustralia100dt</f>
        <v>-15</v>
      </c>
      <c r="ME70" s="11">
        <f ca="1">INDEX(OFFSET(DeathsTimeS!HeadRow,ROW()-ROW(DeathsTimeS!HeadRow),0,1,COLUMNS(DeathsTimeS!HeadRow)),1,MATCH(ME$5,DeathsTimeS!HeadRow,0))/ME$8</f>
        <v>3.8624951718810348</v>
      </c>
      <c r="MF70" s="278">
        <f ca="1">$A70 - DeathsTimeS!NewSouthWales100dt</f>
        <v>-11</v>
      </c>
      <c r="MG70" s="11">
        <f ca="1">INDEX(OFFSET(DeathsTimeS!HeadRow,ROW()-ROW(DeathsTimeS!HeadRow),0,1,COLUMNS(DeathsTimeS!HeadRow)),1,MATCH(MG$5,DeathsTimeS!HeadRow,0))/MG$8</f>
        <v>7.4257425742574252</v>
      </c>
      <c r="MH70" s="278">
        <f ca="1">$A70 - DeathsTimeS!NewYork100dt</f>
        <v>5</v>
      </c>
      <c r="MI70" s="20">
        <f ca="1">INDEX(OFFSET(DeathsTimeS!HeadRow,ROW()-ROW(DeathsTimeS!HeadRow),0,1,COLUMNS(DeathsTimeS!HeadRow)),1,MATCH(MI$5,DeathsTimeS!HeadRow,0))/MI$8</f>
        <v>82.528975605916102</v>
      </c>
      <c r="MJ70" s="278">
        <f ca="1">$A70 - DeathsTimeS!Italy100dt</f>
        <v>18</v>
      </c>
      <c r="MK70" s="20">
        <f ca="1">INDEX(OFFSET(DeathsTimeS!HeadRow,ROW()-ROW(DeathsTimeS!HeadRow),0,1,COLUMNS(DeathsTimeS!HeadRow)),1,MATCH(MK$5,DeathsTimeS!HeadRow,0))/MK$8</f>
        <v>797.71844258907174</v>
      </c>
      <c r="ML70" s="278">
        <f ca="1">$A70 - DeathsTimeS!AustralianCapitalTerritory100dt</f>
        <v>-9</v>
      </c>
      <c r="MM70" s="11">
        <f ca="1">INDEX(OFFSET(DeathsTimeS!HeadRow,ROW()-ROW(DeathsTimeS!HeadRow),0,1,COLUMNS(DeathsTimeS!HeadRow)),1,MATCH(MM$5,DeathsTimeS!HeadRow,0))/MM$8</f>
        <v>0</v>
      </c>
      <c r="MN70" s="278">
        <f ca="1">IF(DeathsTimeS!NorthernTerritory100dt&gt;0,$A70 - DeathsTimeS!NorthernTerritory100dt,"")</f>
        <v>-37</v>
      </c>
      <c r="MO70" s="11">
        <f ca="1">INDEX(OFFSET(DeathsTimeS!HeadRow,ROW()-ROW(DeathsTimeS!HeadRow),0,1,COLUMNS(DeathsTimeS!HeadRow)),1,MATCH(MO$5,DeathsTimeS!HeadRow,0))/MO$8</f>
        <v>0</v>
      </c>
      <c r="MP70" s="278">
        <f ca="1">$A70 - DeathsTimeS!SouthAfrica100dt + 1</f>
        <v>-29</v>
      </c>
      <c r="MQ70" s="20">
        <f ca="1">INDEX(OFFSET(DeathsTimeS!HeadRow,ROW()-ROW(DeathsTimeS!HeadRow),0,1,COLUMNS(DeathsTimeS!HeadRow)),1,MATCH(MQ$5,DeathsTimeS!HeadRow,0))/MQ$8</f>
        <v>0</v>
      </c>
      <c r="MR70" s="278">
        <f ca="1">$A70 - DeathsTimeS!Germany100dt + 1</f>
        <v>1</v>
      </c>
      <c r="MS70" s="20">
        <f ca="1">INDEX(OFFSET(DeathsTimeS!HeadRow,ROW()-ROW(DeathsTimeS!HeadRow),0,1,COLUMNS(DeathsTimeS!HeadRow)),1,MATCH(MS$5,DeathsTimeS!HeadRow,0))/MS$8</f>
        <v>10.118043844856661</v>
      </c>
      <c r="MT70" s="278">
        <f ca="1">$A70 - DeathsTimeS!Ireland100dt + 1</f>
        <v>-1</v>
      </c>
      <c r="MU70" s="73">
        <f ca="1">INDEX(OFFSET(DeathsTimeS!HeadRow,ROW()-ROW(DeathsTimeS!HeadRow),0,1,COLUMNS(DeathsTimeS!HeadRow)),1,MATCH(MU$5,DeathsTimeS!HeadRow,0))/MU$8</f>
        <v>6.1224489795918364</v>
      </c>
      <c r="MV70" s="278">
        <f ca="1">$A70 - DeathsTimeS!UnitedKingdom100dt + 1</f>
        <v>5</v>
      </c>
      <c r="MW70" s="73">
        <f ca="1">INDEX(OFFSET(DeathsTimeS!HeadRow,ROW()-ROW(DeathsTimeS!HeadRow),0,1,COLUMNS(DeathsTimeS!HeadRow)),1,MATCH(MW$5,DeathsTimeS!HeadRow,0))/MW$8</f>
        <v>37.627934978928359</v>
      </c>
      <c r="MX70" s="278">
        <f ca="1">$A70 - DeathsTimeS!Denmark100dt + 1</f>
        <v>3</v>
      </c>
      <c r="MY70" s="73">
        <f ca="1">INDEX(OFFSET(DeathsTimeS!HeadRow,ROW()-ROW(DeathsTimeS!HeadRow),0,1,COLUMNS(DeathsTimeS!HeadRow)),1,MATCH(MY$5,DeathsTimeS!HeadRow,0))/MY$8</f>
        <v>22.390630382363071</v>
      </c>
      <c r="MZ70" s="278">
        <f ca="1">$A70 - DeathsTimeS!US100dt + 1</f>
        <v>2</v>
      </c>
      <c r="NA70" s="73">
        <f ca="1">INDEX(OFFSET(DeathsTimeS!HeadRow,ROW()-ROW(DeathsTimeS!HeadRow),0,1,COLUMNS(DeathsTimeS!HeadRow)),1,MATCH(NA$5,DeathsTimeS!HeadRow,0))/NA$8</f>
        <v>13.425356926022877</v>
      </c>
      <c r="NB70" s="278">
        <f ca="1">$A70 - DeathsTimeS!AustraliaSum100dt + 1</f>
        <v>-4</v>
      </c>
      <c r="NC70" s="366">
        <f t="shared" si="6"/>
        <v>7</v>
      </c>
      <c r="ND70" s="278">
        <f ca="1">$A70 - DeathsTimeS!Taiwan100dt + 1</f>
        <v>-36</v>
      </c>
      <c r="NE70" s="366">
        <f ca="1">INDEX(OFFSET(DeathsTimeS!HeadRow,ROW()-ROW(DeathsTimeS!HeadRow),0,1,COLUMNS(DeathsTimeS!HeadRow)),1,MATCH(NE$5,DeathsTimeS!HeadRow,0))/NE$8</f>
        <v>0.84007909848759721</v>
      </c>
      <c r="NF70" s="278">
        <f ca="1">$A70 - DeathsTimeS!Hubei100dt + 1</f>
        <v>55</v>
      </c>
      <c r="NG70" s="366">
        <f ca="1">INDEX(OFFSET(DeathsTimeS!HeadRow,ROW()-ROW(DeathsTimeS!HeadRow),0,1,COLUMNS(DeathsTimeS!HeadRow)),1,MATCH(NG$5,DeathsTimeS!HeadRow,0))/NG$8</f>
        <v>536.58119658119665</v>
      </c>
      <c r="NH70" s="278">
        <f ca="1">$A70 - DeathsTimeS!HongKong100dt + 1</f>
        <v>-36</v>
      </c>
      <c r="NI70" s="366">
        <f ca="1">INDEX(OFFSET(DeathsTimeS!HeadRow,ROW()-ROW(DeathsTimeS!HeadRow),0,1,COLUMNS(DeathsTimeS!HeadRow)),1,MATCH(NI$5,DeathsTimeS!HeadRow,0))/NI$8</f>
        <v>5.3684069252449333</v>
      </c>
    </row>
    <row r="71" spans="1:373" x14ac:dyDescent="0.25">
      <c r="A71" s="156">
        <v>43912</v>
      </c>
      <c r="B71" s="25">
        <v>1</v>
      </c>
      <c r="C71" s="25">
        <v>2</v>
      </c>
      <c r="D71" s="25">
        <v>17</v>
      </c>
      <c r="E71" s="25">
        <v>1</v>
      </c>
      <c r="F71" s="25">
        <v>0</v>
      </c>
      <c r="G71" s="25">
        <v>0</v>
      </c>
      <c r="H71" s="25">
        <v>4</v>
      </c>
      <c r="I71" s="25">
        <v>0</v>
      </c>
      <c r="J71" s="25">
        <v>0</v>
      </c>
      <c r="K71" s="25">
        <v>6</v>
      </c>
      <c r="L71" s="25">
        <v>0</v>
      </c>
      <c r="M71" s="25">
        <v>0</v>
      </c>
      <c r="N71" s="25">
        <v>0</v>
      </c>
      <c r="O71" s="25">
        <v>0</v>
      </c>
      <c r="P71" s="25">
        <v>0</v>
      </c>
      <c r="Q71" s="25">
        <v>1</v>
      </c>
      <c r="R71" s="25">
        <v>16</v>
      </c>
      <c r="S71" s="25">
        <v>1</v>
      </c>
      <c r="T71" s="25">
        <v>0</v>
      </c>
      <c r="U71" s="25">
        <v>2</v>
      </c>
      <c r="V71" s="25">
        <v>2</v>
      </c>
      <c r="W71" s="25">
        <v>0</v>
      </c>
      <c r="X71" s="25">
        <v>0</v>
      </c>
      <c r="Y71" s="25">
        <v>75</v>
      </c>
      <c r="Z71" s="25">
        <v>0</v>
      </c>
      <c r="AA71" s="25">
        <v>0</v>
      </c>
      <c r="AB71" s="25">
        <v>0</v>
      </c>
      <c r="AC71" s="25">
        <v>1</v>
      </c>
      <c r="AD71" s="25">
        <v>25</v>
      </c>
      <c r="AE71" s="25">
        <v>0</v>
      </c>
      <c r="AF71" s="25">
        <v>3</v>
      </c>
      <c r="AG71" s="25">
        <v>4</v>
      </c>
      <c r="AH71" s="25">
        <v>0</v>
      </c>
      <c r="AI71" s="25">
        <v>0</v>
      </c>
      <c r="AJ71" s="25">
        <v>0</v>
      </c>
      <c r="AK71" s="25">
        <v>1</v>
      </c>
      <c r="AL71" s="25">
        <v>10</v>
      </c>
      <c r="AM71" s="25">
        <v>0</v>
      </c>
      <c r="AN71" s="25">
        <v>0</v>
      </c>
      <c r="AO71" s="25">
        <v>0</v>
      </c>
      <c r="AP71" s="25">
        <v>0</v>
      </c>
      <c r="AQ71" s="25">
        <v>0</v>
      </c>
      <c r="AR71" s="25">
        <v>5</v>
      </c>
      <c r="AS71" s="25">
        <v>0</v>
      </c>
      <c r="AT71" s="25">
        <v>4</v>
      </c>
      <c r="AU71" s="25">
        <v>0</v>
      </c>
      <c r="AV71" s="25">
        <v>0</v>
      </c>
      <c r="AW71" s="25">
        <v>0</v>
      </c>
      <c r="AX71" s="25">
        <v>1</v>
      </c>
      <c r="AY71" s="25">
        <v>6</v>
      </c>
      <c r="AZ71" s="25">
        <v>8</v>
      </c>
      <c r="BA71" s="25">
        <v>6</v>
      </c>
      <c r="BB71" s="25">
        <v>1</v>
      </c>
      <c r="BC71" s="25">
        <v>2</v>
      </c>
      <c r="BD71" s="25">
        <v>8</v>
      </c>
      <c r="BE71" s="25">
        <v>2</v>
      </c>
      <c r="BF71" s="25">
        <v>2</v>
      </c>
      <c r="BG71" s="25">
        <v>6</v>
      </c>
      <c r="BH71" s="25">
        <v>6</v>
      </c>
      <c r="BI71" s="25">
        <v>13</v>
      </c>
      <c r="BJ71" s="25">
        <v>22</v>
      </c>
      <c r="BK71" s="25">
        <v>4</v>
      </c>
      <c r="BL71" s="25">
        <v>3153</v>
      </c>
      <c r="BM71" s="25">
        <v>4</v>
      </c>
      <c r="BN71" s="25">
        <v>1</v>
      </c>
      <c r="BO71" s="25">
        <v>0</v>
      </c>
      <c r="BP71" s="25">
        <v>1</v>
      </c>
      <c r="BQ71" s="25">
        <v>1</v>
      </c>
      <c r="BR71" s="25">
        <v>2</v>
      </c>
      <c r="BS71" s="25">
        <v>0</v>
      </c>
      <c r="BT71" s="25">
        <v>0</v>
      </c>
      <c r="BU71" s="25">
        <v>0</v>
      </c>
      <c r="BV71" s="25">
        <v>3</v>
      </c>
      <c r="BW71" s="25">
        <v>7</v>
      </c>
      <c r="BX71" s="25">
        <v>4</v>
      </c>
      <c r="BY71" s="25">
        <v>0</v>
      </c>
      <c r="BZ71" s="25">
        <v>3</v>
      </c>
      <c r="CA71" s="25">
        <v>3</v>
      </c>
      <c r="CB71" s="25">
        <v>0</v>
      </c>
      <c r="CC71" s="25">
        <v>3</v>
      </c>
      <c r="CD71" s="25">
        <v>2</v>
      </c>
      <c r="CE71" s="25">
        <v>1</v>
      </c>
      <c r="CF71" s="25">
        <v>2</v>
      </c>
      <c r="CG71" s="25">
        <v>0</v>
      </c>
      <c r="CH71" s="25">
        <v>1</v>
      </c>
      <c r="CI71" s="25">
        <v>2</v>
      </c>
      <c r="CJ71" s="25">
        <v>0</v>
      </c>
      <c r="CK71" s="25">
        <v>1</v>
      </c>
      <c r="CL71" s="25">
        <v>8</v>
      </c>
      <c r="CM71" s="25">
        <v>1</v>
      </c>
      <c r="CN71" s="25">
        <v>1</v>
      </c>
      <c r="CO71" s="25">
        <v>1</v>
      </c>
      <c r="CP71" s="25">
        <v>0</v>
      </c>
      <c r="CQ71" s="25">
        <v>0</v>
      </c>
      <c r="CR71" s="25">
        <v>13</v>
      </c>
      <c r="CS71" s="25">
        <v>0</v>
      </c>
      <c r="CT71" s="25">
        <v>3</v>
      </c>
      <c r="CU71" s="25">
        <v>14</v>
      </c>
      <c r="CV71" s="25">
        <v>14</v>
      </c>
      <c r="CW71" s="25">
        <v>0</v>
      </c>
      <c r="CX71" s="25">
        <v>0</v>
      </c>
      <c r="CY71" s="25">
        <v>0</v>
      </c>
      <c r="CZ71" s="25">
        <v>0</v>
      </c>
      <c r="DA71" s="25">
        <v>0</v>
      </c>
      <c r="DB71" s="25">
        <v>0</v>
      </c>
      <c r="DC71" s="25">
        <v>0</v>
      </c>
      <c r="DD71" s="25">
        <v>1</v>
      </c>
      <c r="DE71" s="25">
        <v>0</v>
      </c>
      <c r="DF71" s="25">
        <v>0</v>
      </c>
      <c r="DG71" s="25">
        <v>1</v>
      </c>
      <c r="DH71" s="25">
        <v>0</v>
      </c>
      <c r="DI71" s="25">
        <v>0</v>
      </c>
      <c r="DJ71" s="25">
        <v>0</v>
      </c>
      <c r="DK71" s="25">
        <v>0</v>
      </c>
      <c r="DL71" s="25">
        <v>0</v>
      </c>
      <c r="DM71" s="25">
        <v>1</v>
      </c>
      <c r="DN71" s="25">
        <v>674</v>
      </c>
      <c r="DO71" s="25">
        <v>1</v>
      </c>
      <c r="DP71" s="25">
        <v>0</v>
      </c>
      <c r="DQ71" s="25">
        <v>0</v>
      </c>
      <c r="DR71" s="25">
        <v>94</v>
      </c>
      <c r="DS71" s="25">
        <v>1</v>
      </c>
      <c r="DT71" s="25">
        <v>15</v>
      </c>
      <c r="DU71" s="25">
        <v>1</v>
      </c>
      <c r="DV71" s="25">
        <v>0</v>
      </c>
      <c r="DW71" s="25">
        <v>1</v>
      </c>
      <c r="DX71" s="25">
        <v>0</v>
      </c>
      <c r="DY71" s="25">
        <v>0</v>
      </c>
      <c r="DZ71" s="25">
        <v>0</v>
      </c>
      <c r="EA71" s="25">
        <v>6</v>
      </c>
      <c r="EB71" s="25">
        <v>1</v>
      </c>
      <c r="EC71" s="25">
        <v>7</v>
      </c>
      <c r="ED71" s="25">
        <v>48</v>
      </c>
      <c r="EE71" s="25">
        <v>1685</v>
      </c>
      <c r="EF71" s="25">
        <v>20</v>
      </c>
      <c r="EG71" s="25">
        <v>4</v>
      </c>
      <c r="EH71" s="25">
        <v>1</v>
      </c>
      <c r="EI71" s="25">
        <v>5476</v>
      </c>
      <c r="EJ71" s="25">
        <v>1</v>
      </c>
      <c r="EK71" s="25">
        <v>41</v>
      </c>
      <c r="EL71" s="25">
        <v>0</v>
      </c>
      <c r="EM71" s="25">
        <v>0</v>
      </c>
      <c r="EN71" s="25">
        <v>0</v>
      </c>
      <c r="EO71" s="25">
        <v>111</v>
      </c>
      <c r="EP71" s="25">
        <v>0</v>
      </c>
      <c r="EQ71" s="25">
        <v>0</v>
      </c>
      <c r="ER71" s="25">
        <v>0</v>
      </c>
      <c r="ES71" s="25">
        <v>4</v>
      </c>
      <c r="ET71" s="25">
        <v>0</v>
      </c>
      <c r="EU71" s="25">
        <v>0</v>
      </c>
      <c r="EV71" s="25">
        <v>1</v>
      </c>
      <c r="EW71" s="25">
        <v>8</v>
      </c>
      <c r="EX71" s="25">
        <v>0</v>
      </c>
      <c r="EY71" s="25">
        <v>10</v>
      </c>
      <c r="EZ71" s="25">
        <v>0</v>
      </c>
      <c r="FA71" s="25">
        <v>0</v>
      </c>
      <c r="FB71" s="25">
        <v>0</v>
      </c>
      <c r="FC71" s="25">
        <v>2</v>
      </c>
      <c r="FD71" s="25">
        <v>3</v>
      </c>
      <c r="FE71" s="25">
        <v>1</v>
      </c>
      <c r="FF71" s="25">
        <v>0</v>
      </c>
      <c r="FG71" s="25">
        <v>0</v>
      </c>
      <c r="FH71" s="25">
        <v>0</v>
      </c>
      <c r="FI71" s="25">
        <v>4</v>
      </c>
      <c r="FJ71" s="25">
        <v>0</v>
      </c>
      <c r="FK71" s="25">
        <v>0</v>
      </c>
      <c r="FL71" s="25">
        <v>0</v>
      </c>
      <c r="FM71" s="25">
        <v>1</v>
      </c>
      <c r="FN71" s="25">
        <v>0</v>
      </c>
      <c r="FO71" s="25">
        <v>179</v>
      </c>
      <c r="FP71" s="25">
        <v>0</v>
      </c>
      <c r="FQ71" s="25">
        <v>0</v>
      </c>
      <c r="FR71" s="25">
        <v>0</v>
      </c>
      <c r="FS71" s="25">
        <v>0</v>
      </c>
      <c r="FT71" s="25">
        <v>1</v>
      </c>
      <c r="FU71" s="25">
        <v>7</v>
      </c>
      <c r="FV71" s="25">
        <v>0</v>
      </c>
      <c r="FW71" s="25">
        <v>5</v>
      </c>
      <c r="FX71" s="25">
        <v>3</v>
      </c>
      <c r="FY71" s="25">
        <v>0</v>
      </c>
      <c r="FZ71" s="25">
        <v>1</v>
      </c>
      <c r="GA71" s="25">
        <v>5</v>
      </c>
      <c r="GB71" s="25">
        <v>25</v>
      </c>
      <c r="GC71" s="25">
        <v>7</v>
      </c>
      <c r="GD71" s="25">
        <v>14</v>
      </c>
      <c r="GE71" s="25">
        <v>0</v>
      </c>
      <c r="GF71" s="25">
        <v>3</v>
      </c>
      <c r="GG71" s="25">
        <v>1</v>
      </c>
      <c r="GH71" s="25">
        <v>0</v>
      </c>
      <c r="GI71" s="25">
        <v>0</v>
      </c>
      <c r="GJ71" s="25">
        <v>0</v>
      </c>
      <c r="GK71" s="25">
        <v>20</v>
      </c>
      <c r="GL71" s="25">
        <v>0</v>
      </c>
      <c r="GM71" s="25">
        <v>0</v>
      </c>
      <c r="GN71" s="25">
        <v>2</v>
      </c>
      <c r="GO71" s="25">
        <v>0</v>
      </c>
      <c r="GP71" s="25">
        <v>2</v>
      </c>
      <c r="GQ71" s="25">
        <v>0</v>
      </c>
      <c r="GR71" s="25">
        <v>2</v>
      </c>
      <c r="GS71" s="25">
        <v>0</v>
      </c>
      <c r="GT71" s="25">
        <v>0</v>
      </c>
      <c r="GU71" s="25">
        <v>1772</v>
      </c>
      <c r="GV71" s="25">
        <v>0</v>
      </c>
      <c r="GW71" s="25">
        <v>1</v>
      </c>
      <c r="GX71" s="25">
        <v>0</v>
      </c>
      <c r="GY71" s="46">
        <v>21</v>
      </c>
      <c r="GZ71" s="25">
        <v>98</v>
      </c>
      <c r="HA71" s="25">
        <v>2</v>
      </c>
      <c r="HB71" s="25">
        <v>0</v>
      </c>
      <c r="HC71" s="25">
        <v>1</v>
      </c>
      <c r="HD71" s="25">
        <v>0</v>
      </c>
      <c r="HE71" s="25">
        <v>0</v>
      </c>
      <c r="HF71" s="25">
        <v>3</v>
      </c>
      <c r="HG71" s="25">
        <v>30</v>
      </c>
      <c r="HH71" s="25">
        <v>0</v>
      </c>
      <c r="HI71" s="25">
        <v>3</v>
      </c>
      <c r="HJ71" s="25">
        <v>2</v>
      </c>
      <c r="HK71" s="25">
        <v>0</v>
      </c>
      <c r="HL71" s="25">
        <v>1</v>
      </c>
      <c r="HM71" s="25">
        <v>0</v>
      </c>
      <c r="HN71" s="25">
        <v>0</v>
      </c>
      <c r="HO71" s="25">
        <v>0</v>
      </c>
      <c r="HP71" s="25">
        <v>0</v>
      </c>
      <c r="HQ71" s="25">
        <v>285</v>
      </c>
      <c r="HR71" s="25">
        <v>0</v>
      </c>
      <c r="HS71" s="25">
        <v>586</v>
      </c>
      <c r="HT71" s="25">
        <v>0</v>
      </c>
      <c r="HU71" s="25">
        <v>0</v>
      </c>
      <c r="HV71" s="25">
        <v>0</v>
      </c>
      <c r="HW71" s="25">
        <v>0</v>
      </c>
      <c r="HX71" s="25">
        <v>0</v>
      </c>
      <c r="HY71" s="25">
        <v>1</v>
      </c>
      <c r="HZ71" s="25">
        <v>0</v>
      </c>
      <c r="IA71" s="25">
        <v>0</v>
      </c>
      <c r="IB71" s="25">
        <v>0</v>
      </c>
      <c r="IC71" s="25">
        <v>0</v>
      </c>
      <c r="ID71" s="25">
        <v>0</v>
      </c>
      <c r="IE71" s="25">
        <v>0</v>
      </c>
      <c r="IF71" s="25">
        <v>0</v>
      </c>
      <c r="IG71" s="25">
        <v>0</v>
      </c>
      <c r="IH71" s="25">
        <v>0</v>
      </c>
      <c r="II71" s="25">
        <v>0</v>
      </c>
      <c r="IJ71" s="25">
        <v>0</v>
      </c>
      <c r="IK71" s="25">
        <v>0</v>
      </c>
      <c r="IL71" s="25">
        <v>0</v>
      </c>
      <c r="IM71" s="25">
        <v>0</v>
      </c>
      <c r="IN71" s="25">
        <v>0</v>
      </c>
      <c r="IO71" s="25">
        <v>0</v>
      </c>
      <c r="IP71" s="25">
        <v>0</v>
      </c>
      <c r="IQ71" s="25">
        <v>0</v>
      </c>
      <c r="IR71" s="25">
        <v>0</v>
      </c>
      <c r="IS71" s="25">
        <v>0</v>
      </c>
      <c r="IT71" s="25">
        <v>0</v>
      </c>
      <c r="IU71" s="25">
        <v>0</v>
      </c>
      <c r="IV71" s="25">
        <v>0</v>
      </c>
      <c r="IW71" s="25">
        <v>0</v>
      </c>
      <c r="IX71" s="25">
        <v>0</v>
      </c>
      <c r="IY71" s="25">
        <v>0</v>
      </c>
      <c r="IZ71" s="25">
        <v>0</v>
      </c>
      <c r="JA71" s="25">
        <v>0</v>
      </c>
      <c r="JB71" s="25">
        <v>0</v>
      </c>
      <c r="JC71" s="25">
        <v>0</v>
      </c>
      <c r="JD71" s="25">
        <v>0</v>
      </c>
      <c r="JE71" s="25">
        <v>0</v>
      </c>
      <c r="JF71" s="25">
        <v>0</v>
      </c>
      <c r="JG71" s="25">
        <v>0</v>
      </c>
      <c r="JH71" s="25">
        <v>0</v>
      </c>
      <c r="JI71" s="25">
        <v>1</v>
      </c>
      <c r="JJ71" s="25">
        <v>0</v>
      </c>
      <c r="JK71" s="25">
        <v>1</v>
      </c>
      <c r="JL71" s="25">
        <v>0</v>
      </c>
      <c r="JM71" s="25">
        <v>0</v>
      </c>
      <c r="JN71" s="25">
        <v>0</v>
      </c>
      <c r="JO71" s="25">
        <v>2</v>
      </c>
      <c r="JP71" s="25">
        <v>0</v>
      </c>
      <c r="JQ71" s="25">
        <v>30</v>
      </c>
      <c r="JR71" s="25">
        <v>6</v>
      </c>
      <c r="JS71" s="25">
        <v>8</v>
      </c>
      <c r="JT71" s="25">
        <v>0</v>
      </c>
      <c r="JU71" s="25">
        <v>2</v>
      </c>
      <c r="JV71" s="25">
        <v>13</v>
      </c>
      <c r="JW71" s="25">
        <v>25</v>
      </c>
      <c r="JX71" s="25">
        <v>0</v>
      </c>
      <c r="JY71" s="25">
        <v>0</v>
      </c>
      <c r="JZ71" s="25">
        <v>9</v>
      </c>
      <c r="KA71" s="25">
        <v>6</v>
      </c>
      <c r="KB71" s="25">
        <v>0</v>
      </c>
      <c r="KC71" s="25">
        <v>2</v>
      </c>
      <c r="KD71" s="25">
        <v>3</v>
      </c>
      <c r="KE71" s="25">
        <v>20</v>
      </c>
      <c r="KF71" s="25">
        <v>0</v>
      </c>
      <c r="KG71" s="25">
        <v>3</v>
      </c>
      <c r="KH71" s="25">
        <v>5</v>
      </c>
      <c r="KI71" s="25">
        <v>9</v>
      </c>
      <c r="KJ71" s="25">
        <v>1</v>
      </c>
      <c r="KK71" s="25">
        <v>1</v>
      </c>
      <c r="KL71" s="25">
        <v>3</v>
      </c>
      <c r="KM71" s="25">
        <v>0</v>
      </c>
      <c r="KN71" s="25">
        <v>0</v>
      </c>
      <c r="KO71" s="25">
        <v>2</v>
      </c>
      <c r="KP71" s="25">
        <v>0</v>
      </c>
      <c r="KQ71" s="25">
        <v>20</v>
      </c>
      <c r="KR71" s="25">
        <v>0</v>
      </c>
      <c r="KS71" s="25">
        <v>286</v>
      </c>
      <c r="KT71" s="25">
        <v>0</v>
      </c>
      <c r="KU71" s="25">
        <v>0</v>
      </c>
      <c r="KV71" s="25">
        <v>3</v>
      </c>
      <c r="KW71" s="25">
        <v>2</v>
      </c>
      <c r="KX71" s="25">
        <v>5</v>
      </c>
      <c r="KY71" s="25">
        <v>4</v>
      </c>
      <c r="KZ71" s="25">
        <v>0</v>
      </c>
      <c r="LA71" s="25">
        <v>3</v>
      </c>
      <c r="LB71" s="25">
        <v>1</v>
      </c>
      <c r="LC71" s="25">
        <v>2</v>
      </c>
      <c r="LD71" s="25">
        <v>7</v>
      </c>
      <c r="LE71" s="25">
        <v>1</v>
      </c>
      <c r="LF71" s="25">
        <v>2</v>
      </c>
      <c r="LG71" s="25">
        <v>6</v>
      </c>
      <c r="LH71" s="25">
        <v>97</v>
      </c>
      <c r="LI71" s="25">
        <v>0</v>
      </c>
      <c r="LJ71" s="25">
        <v>4</v>
      </c>
      <c r="LK71" s="25">
        <v>0</v>
      </c>
      <c r="LL71" s="25">
        <v>0</v>
      </c>
      <c r="LM71" s="25">
        <v>1</v>
      </c>
      <c r="LN71" s="278">
        <f ca="1">$A71 - DeathsTimeS!Sweden100dt + 1</f>
        <v>4</v>
      </c>
      <c r="LO71" s="366">
        <f ca="1">INDEX(OFFSET(DeathsTimeS!HeadRow,ROW()-ROW(DeathsTimeS!HeadRow),0,1,COLUMNS(DeathsTimeS!HeadRow)),1,MATCH(LO$5,DeathsTimeS!HeadRow,0))/LO$8</f>
        <v>20.52785923753666</v>
      </c>
      <c r="LP71" s="278">
        <f ca="1">$A71 - DeathsTimeS!Spain100dt</f>
        <v>11</v>
      </c>
      <c r="LQ71" s="11">
        <f ca="1">INDEX(OFFSET(DeathsTimeS!HeadRow,ROW()-ROW(DeathsTimeS!HeadRow),0,1,COLUMNS(DeathsTimeS!HeadRow)),1,MATCH(LQ$5,DeathsTimeS!HeadRow,0))/LQ$8</f>
        <v>377.50319556881124</v>
      </c>
      <c r="LR71" s="278">
        <f ca="1">$A71 - DeathsTimeS!Victoria100dt</f>
        <v>-12</v>
      </c>
      <c r="LS71" s="11">
        <f ca="1">INDEX(OFFSET(DeathsTimeS!HeadRow,ROW()-ROW(DeathsTimeS!HeadRow),0,1,COLUMNS(DeathsTimeS!HeadRow)),1,MATCH(LS$5,DeathsTimeS!HeadRow,0))/LS$8</f>
        <v>0</v>
      </c>
      <c r="LT71" s="278">
        <f ca="1">$A71 - DeathsTimeS!Iran100dt</f>
        <v>18</v>
      </c>
      <c r="LU71" s="11">
        <f ca="1">INDEX(OFFSET(DeathsTimeS!HeadRow,ROW()-ROW(DeathsTimeS!HeadRow),0,1,COLUMNS(DeathsTimeS!HeadRow)),1,MATCH(LU$5,DeathsTimeS!HeadRow,0))/LU$8</f>
        <v>201.13879173480717</v>
      </c>
      <c r="LV71" s="278">
        <f ca="1">$A71 - DeathsTimeS!Japan100dt</f>
        <v>-23</v>
      </c>
      <c r="LW71" s="11">
        <f ca="1">INDEX(OFFSET(DeathsTimeS!HeadRow,ROW()-ROW(DeathsTimeS!HeadRow),0,1,COLUMNS(DeathsTimeS!HeadRow)),1,MATCH(LW$5,DeathsTimeS!HeadRow,0))/LW$8</f>
        <v>3.2397185575891148</v>
      </c>
      <c r="LX71" s="278">
        <f ca="1">$A71 - DeathsTimeS!Queensland100dt</f>
        <v>-27</v>
      </c>
      <c r="LY71" s="11">
        <f ca="1">INDEX(OFFSET(DeathsTimeS!HeadRow,ROW()-ROW(DeathsTimeS!HeadRow),0,1,COLUMNS(DeathsTimeS!HeadRow)),1,MATCH(LY$5,DeathsTimeS!HeadRow,0))/LY$8</f>
        <v>0</v>
      </c>
      <c r="LZ71" s="278">
        <f ca="1">$A71 - DeathsTimeS!Tasmania100dt</f>
        <v>-9</v>
      </c>
      <c r="MA71" s="11">
        <f ca="1">INDEX(OFFSET(DeathsTimeS!HeadRow,ROW()-ROW(DeathsTimeS!HeadRow),0,1,COLUMNS(DeathsTimeS!HeadRow)),1,MATCH(MA$5,DeathsTimeS!HeadRow,0))/MA$8</f>
        <v>0</v>
      </c>
      <c r="MB71" s="278">
        <f ca="1">$A71 - DeathsTimeS!SouthAustralia100dt</f>
        <v>-17</v>
      </c>
      <c r="MC71" s="11">
        <f ca="1">INDEX(OFFSET(DeathsTimeS!HeadRow,ROW()-ROW(DeathsTimeS!HeadRow),0,1,COLUMNS(DeathsTimeS!HeadRow)),1,MATCH(MC$5,DeathsTimeS!HeadRow,0))/MC$8</f>
        <v>0</v>
      </c>
      <c r="MD71" s="278">
        <f ca="1">$A71 - DeathsTimeS!WesternAustralia100dt</f>
        <v>-14</v>
      </c>
      <c r="ME71" s="11">
        <f ca="1">INDEX(OFFSET(DeathsTimeS!HeadRow,ROW()-ROW(DeathsTimeS!HeadRow),0,1,COLUMNS(DeathsTimeS!HeadRow)),1,MATCH(ME$5,DeathsTimeS!HeadRow,0))/ME$8</f>
        <v>3.8624951718810348</v>
      </c>
      <c r="MF71" s="278">
        <f ca="1">$A71 - DeathsTimeS!NewSouthWales100dt</f>
        <v>-10</v>
      </c>
      <c r="MG71" s="11">
        <f ca="1">INDEX(OFFSET(DeathsTimeS!HeadRow,ROW()-ROW(DeathsTimeS!HeadRow),0,1,COLUMNS(DeathsTimeS!HeadRow)),1,MATCH(MG$5,DeathsTimeS!HeadRow,0))/MG$8</f>
        <v>7.4257425742574252</v>
      </c>
      <c r="MH71" s="278">
        <f ca="1">$A71 - DeathsTimeS!NewYork100dt</f>
        <v>6</v>
      </c>
      <c r="MI71" s="20">
        <f ca="1">INDEX(OFFSET(DeathsTimeS!HeadRow,ROW()-ROW(DeathsTimeS!HeadRow),0,1,COLUMNS(DeathsTimeS!HeadRow)),1,MATCH(MI$5,DeathsTimeS!HeadRow,0))/MI$8</f>
        <v>121.04249755534362</v>
      </c>
      <c r="MJ71" s="278">
        <f ca="1">$A71 - DeathsTimeS!Italy100dt</f>
        <v>19</v>
      </c>
      <c r="MK71" s="20">
        <f ca="1">INDEX(OFFSET(DeathsTimeS!HeadRow,ROW()-ROW(DeathsTimeS!HeadRow),0,1,COLUMNS(DeathsTimeS!HeadRow)),1,MATCH(MK$5,DeathsTimeS!HeadRow,0))/MK$8</f>
        <v>905.34843349590813</v>
      </c>
      <c r="ML71" s="278">
        <f ca="1">$A71 - DeathsTimeS!AustralianCapitalTerritory100dt</f>
        <v>-8</v>
      </c>
      <c r="MM71" s="11">
        <f ca="1">INDEX(OFFSET(DeathsTimeS!HeadRow,ROW()-ROW(DeathsTimeS!HeadRow),0,1,COLUMNS(DeathsTimeS!HeadRow)),1,MATCH(MM$5,DeathsTimeS!HeadRow,0))/MM$8</f>
        <v>0</v>
      </c>
      <c r="MN71" s="278">
        <f ca="1">IF(DeathsTimeS!NorthernTerritory100dt&gt;0,$A71 - DeathsTimeS!NorthernTerritory100dt,"")</f>
        <v>-36</v>
      </c>
      <c r="MO71" s="11">
        <f ca="1">INDEX(OFFSET(DeathsTimeS!HeadRow,ROW()-ROW(DeathsTimeS!HeadRow),0,1,COLUMNS(DeathsTimeS!HeadRow)),1,MATCH(MO$5,DeathsTimeS!HeadRow,0))/MO$8</f>
        <v>0</v>
      </c>
      <c r="MP71" s="278">
        <f ca="1">$A71 - DeathsTimeS!SouthAfrica100dt + 1</f>
        <v>-28</v>
      </c>
      <c r="MQ71" s="20">
        <f ca="1">INDEX(OFFSET(DeathsTimeS!HeadRow,ROW()-ROW(DeathsTimeS!HeadRow),0,1,COLUMNS(DeathsTimeS!HeadRow)),1,MATCH(MQ$5,DeathsTimeS!HeadRow,0))/MQ$8</f>
        <v>0</v>
      </c>
      <c r="MR71" s="278">
        <f ca="1">$A71 - DeathsTimeS!Germany100dt + 1</f>
        <v>2</v>
      </c>
      <c r="MS71" s="20">
        <f ca="1">INDEX(OFFSET(DeathsTimeS!HeadRow,ROW()-ROW(DeathsTimeS!HeadRow),0,1,COLUMNS(DeathsTimeS!HeadRow)),1,MATCH(MS$5,DeathsTimeS!HeadRow,0))/MS$8</f>
        <v>11.322572874006264</v>
      </c>
      <c r="MT71" s="278">
        <f ca="1">$A71 - DeathsTimeS!Ireland100dt + 1</f>
        <v>0</v>
      </c>
      <c r="MU71" s="73">
        <f ca="1">INDEX(OFFSET(DeathsTimeS!HeadRow,ROW()-ROW(DeathsTimeS!HeadRow),0,1,COLUMNS(DeathsTimeS!HeadRow)),1,MATCH(MU$5,DeathsTimeS!HeadRow,0))/MU$8</f>
        <v>8.1632653061224492</v>
      </c>
      <c r="MV71" s="278">
        <f ca="1">$A71 - DeathsTimeS!UnitedKingdom100dt + 1</f>
        <v>6</v>
      </c>
      <c r="MW71" s="73">
        <f ca="1">INDEX(OFFSET(DeathsTimeS!HeadRow,ROW()-ROW(DeathsTimeS!HeadRow),0,1,COLUMNS(DeathsTimeS!HeadRow)),1,MATCH(MW$5,DeathsTimeS!HeadRow,0))/MW$8</f>
        <v>42.895845875978324</v>
      </c>
      <c r="MX71" s="278">
        <f ca="1">$A71 - DeathsTimeS!Denmark100dt + 1</f>
        <v>4</v>
      </c>
      <c r="MY71" s="73">
        <f ca="1">INDEX(OFFSET(DeathsTimeS!HeadRow,ROW()-ROW(DeathsTimeS!HeadRow),0,1,COLUMNS(DeathsTimeS!HeadRow)),1,MATCH(MY$5,DeathsTimeS!HeadRow,0))/MY$8</f>
        <v>22.390630382363071</v>
      </c>
      <c r="MZ71" s="278">
        <f ca="1">$A71 - DeathsTimeS!US100dt + 1</f>
        <v>3</v>
      </c>
      <c r="NA71" s="73">
        <f ca="1">INDEX(OFFSET(DeathsTimeS!HeadRow,ROW()-ROW(DeathsTimeS!HeadRow),0,1,COLUMNS(DeathsTimeS!HeadRow)),1,MATCH(NA$5,DeathsTimeS!HeadRow,0))/NA$8</f>
        <v>17.799228865722636</v>
      </c>
      <c r="NB71" s="278">
        <f ca="1">$A71 - DeathsTimeS!AustraliaSum100dt + 1</f>
        <v>-3</v>
      </c>
      <c r="NC71" s="366">
        <f t="shared" si="6"/>
        <v>7</v>
      </c>
      <c r="ND71" s="278">
        <f ca="1">$A71 - DeathsTimeS!Taiwan100dt + 1</f>
        <v>-35</v>
      </c>
      <c r="NE71" s="366">
        <f ca="1">INDEX(OFFSET(DeathsTimeS!HeadRow,ROW()-ROW(DeathsTimeS!HeadRow),0,1,COLUMNS(DeathsTimeS!HeadRow)),1,MATCH(NE$5,DeathsTimeS!HeadRow,0))/NE$8</f>
        <v>0.84007909848759721</v>
      </c>
      <c r="NF71" s="278">
        <f ca="1">$A71 - DeathsTimeS!Hubei100dt + 1</f>
        <v>56</v>
      </c>
      <c r="NG71" s="366">
        <f ca="1">INDEX(OFFSET(DeathsTimeS!HeadRow,ROW()-ROW(DeathsTimeS!HeadRow),0,1,COLUMNS(DeathsTimeS!HeadRow)),1,MATCH(NG$5,DeathsTimeS!HeadRow,0))/NG$8</f>
        <v>538.97435897435901</v>
      </c>
      <c r="NH71" s="278">
        <f ca="1">$A71 - DeathsTimeS!HongKong100dt + 1</f>
        <v>-35</v>
      </c>
      <c r="NI71" s="366">
        <f ca="1">INDEX(OFFSET(DeathsTimeS!HeadRow,ROW()-ROW(DeathsTimeS!HeadRow),0,1,COLUMNS(DeathsTimeS!HeadRow)),1,MATCH(NI$5,DeathsTimeS!HeadRow,0))/NI$8</f>
        <v>5.3684069252449333</v>
      </c>
    </row>
    <row r="72" spans="1:373" x14ac:dyDescent="0.25">
      <c r="A72" s="156">
        <v>43913</v>
      </c>
      <c r="B72" s="25">
        <v>1</v>
      </c>
      <c r="C72" s="25">
        <v>4</v>
      </c>
      <c r="D72" s="25">
        <v>17</v>
      </c>
      <c r="E72" s="25">
        <v>1</v>
      </c>
      <c r="F72" s="25">
        <v>0</v>
      </c>
      <c r="G72" s="25">
        <v>0</v>
      </c>
      <c r="H72" s="25">
        <v>4</v>
      </c>
      <c r="I72" s="25">
        <v>0</v>
      </c>
      <c r="J72" s="25">
        <v>0</v>
      </c>
      <c r="K72" s="25">
        <v>6</v>
      </c>
      <c r="L72" s="25">
        <v>0</v>
      </c>
      <c r="M72" s="25">
        <v>0</v>
      </c>
      <c r="N72" s="25">
        <v>0</v>
      </c>
      <c r="O72" s="25">
        <v>0</v>
      </c>
      <c r="P72" s="25">
        <v>0</v>
      </c>
      <c r="Q72" s="25">
        <v>1</v>
      </c>
      <c r="R72" s="25">
        <v>21</v>
      </c>
      <c r="S72" s="25">
        <v>1</v>
      </c>
      <c r="T72" s="25">
        <v>0</v>
      </c>
      <c r="U72" s="25">
        <v>2</v>
      </c>
      <c r="V72" s="25">
        <v>3</v>
      </c>
      <c r="W72" s="25">
        <v>0</v>
      </c>
      <c r="X72" s="25">
        <v>0</v>
      </c>
      <c r="Y72" s="25">
        <v>88</v>
      </c>
      <c r="Z72" s="25">
        <v>0</v>
      </c>
      <c r="AA72" s="25">
        <v>0</v>
      </c>
      <c r="AB72" s="25">
        <v>0</v>
      </c>
      <c r="AC72" s="25">
        <v>1</v>
      </c>
      <c r="AD72" s="25">
        <v>34</v>
      </c>
      <c r="AE72" s="25">
        <v>0</v>
      </c>
      <c r="AF72" s="25">
        <v>3</v>
      </c>
      <c r="AG72" s="25">
        <v>4</v>
      </c>
      <c r="AH72" s="25">
        <v>0</v>
      </c>
      <c r="AI72" s="25">
        <v>0</v>
      </c>
      <c r="AJ72" s="25">
        <v>0</v>
      </c>
      <c r="AK72" s="25">
        <v>1</v>
      </c>
      <c r="AL72" s="25">
        <v>13</v>
      </c>
      <c r="AM72" s="25">
        <v>0</v>
      </c>
      <c r="AN72" s="25">
        <v>0</v>
      </c>
      <c r="AO72" s="25">
        <v>0</v>
      </c>
      <c r="AP72" s="25">
        <v>0</v>
      </c>
      <c r="AQ72" s="25">
        <v>0</v>
      </c>
      <c r="AR72" s="25">
        <v>6</v>
      </c>
      <c r="AS72" s="25">
        <v>0</v>
      </c>
      <c r="AT72" s="25">
        <v>4</v>
      </c>
      <c r="AU72" s="25">
        <v>0</v>
      </c>
      <c r="AV72" s="25">
        <v>0</v>
      </c>
      <c r="AW72" s="25">
        <v>0</v>
      </c>
      <c r="AX72" s="25">
        <v>2</v>
      </c>
      <c r="AY72" s="25">
        <v>6</v>
      </c>
      <c r="AZ72" s="25">
        <v>8</v>
      </c>
      <c r="BA72" s="25">
        <v>6</v>
      </c>
      <c r="BB72" s="25">
        <v>1</v>
      </c>
      <c r="BC72" s="25">
        <v>2</v>
      </c>
      <c r="BD72" s="25">
        <v>8</v>
      </c>
      <c r="BE72" s="25">
        <v>2</v>
      </c>
      <c r="BF72" s="25">
        <v>2</v>
      </c>
      <c r="BG72" s="25">
        <v>6</v>
      </c>
      <c r="BH72" s="25">
        <v>6</v>
      </c>
      <c r="BI72" s="25">
        <v>13</v>
      </c>
      <c r="BJ72" s="25">
        <v>22</v>
      </c>
      <c r="BK72" s="25">
        <v>4</v>
      </c>
      <c r="BL72" s="25">
        <v>3153</v>
      </c>
      <c r="BM72" s="25">
        <v>4</v>
      </c>
      <c r="BN72" s="25">
        <v>1</v>
      </c>
      <c r="BO72" s="25">
        <v>0</v>
      </c>
      <c r="BP72" s="25">
        <v>1</v>
      </c>
      <c r="BQ72" s="25">
        <v>1</v>
      </c>
      <c r="BR72" s="25">
        <v>2</v>
      </c>
      <c r="BS72" s="25">
        <v>0</v>
      </c>
      <c r="BT72" s="25">
        <v>0</v>
      </c>
      <c r="BU72" s="25">
        <v>0</v>
      </c>
      <c r="BV72" s="25">
        <v>3</v>
      </c>
      <c r="BW72" s="25">
        <v>7</v>
      </c>
      <c r="BX72" s="25">
        <v>4</v>
      </c>
      <c r="BY72" s="25">
        <v>0</v>
      </c>
      <c r="BZ72" s="25">
        <v>3</v>
      </c>
      <c r="CA72" s="25">
        <v>3</v>
      </c>
      <c r="CB72" s="25">
        <v>0</v>
      </c>
      <c r="CC72" s="25">
        <v>3</v>
      </c>
      <c r="CD72" s="25">
        <v>2</v>
      </c>
      <c r="CE72" s="25">
        <v>1</v>
      </c>
      <c r="CF72" s="25">
        <v>3</v>
      </c>
      <c r="CG72" s="25">
        <v>0</v>
      </c>
      <c r="CH72" s="25">
        <v>1</v>
      </c>
      <c r="CI72" s="25">
        <v>2</v>
      </c>
      <c r="CJ72" s="25">
        <v>0</v>
      </c>
      <c r="CK72" s="25">
        <v>1</v>
      </c>
      <c r="CL72" s="25">
        <v>8</v>
      </c>
      <c r="CM72" s="25">
        <v>1</v>
      </c>
      <c r="CN72" s="25">
        <v>1</v>
      </c>
      <c r="CO72" s="25">
        <v>1</v>
      </c>
      <c r="CP72" s="25">
        <v>0</v>
      </c>
      <c r="CQ72" s="25">
        <v>0</v>
      </c>
      <c r="CR72" s="25">
        <v>24</v>
      </c>
      <c r="CS72" s="25">
        <v>0</v>
      </c>
      <c r="CT72" s="25">
        <v>3</v>
      </c>
      <c r="CU72" s="25">
        <v>18</v>
      </c>
      <c r="CV72" s="25">
        <v>19</v>
      </c>
      <c r="CW72" s="25">
        <v>0</v>
      </c>
      <c r="CX72" s="25">
        <v>0</v>
      </c>
      <c r="CY72" s="25">
        <v>0</v>
      </c>
      <c r="CZ72" s="25">
        <v>0</v>
      </c>
      <c r="DA72" s="25">
        <v>0</v>
      </c>
      <c r="DB72" s="25">
        <v>0</v>
      </c>
      <c r="DC72" s="25">
        <v>0</v>
      </c>
      <c r="DD72" s="25">
        <v>1</v>
      </c>
      <c r="DE72" s="25">
        <v>0</v>
      </c>
      <c r="DF72" s="25">
        <v>0</v>
      </c>
      <c r="DG72" s="25">
        <v>1</v>
      </c>
      <c r="DH72" s="25">
        <v>0</v>
      </c>
      <c r="DI72" s="25">
        <v>0</v>
      </c>
      <c r="DJ72" s="25">
        <v>0</v>
      </c>
      <c r="DK72" s="25">
        <v>0</v>
      </c>
      <c r="DL72" s="25">
        <v>0</v>
      </c>
      <c r="DM72" s="25">
        <v>1</v>
      </c>
      <c r="DN72" s="25">
        <v>860</v>
      </c>
      <c r="DO72" s="25">
        <v>1</v>
      </c>
      <c r="DP72" s="25">
        <v>1</v>
      </c>
      <c r="DQ72" s="25">
        <v>0</v>
      </c>
      <c r="DR72" s="25">
        <v>123</v>
      </c>
      <c r="DS72" s="25">
        <v>2</v>
      </c>
      <c r="DT72" s="25">
        <v>17</v>
      </c>
      <c r="DU72" s="25">
        <v>1</v>
      </c>
      <c r="DV72" s="25">
        <v>0</v>
      </c>
      <c r="DW72" s="25">
        <v>1</v>
      </c>
      <c r="DX72" s="25">
        <v>0</v>
      </c>
      <c r="DY72" s="25">
        <v>0</v>
      </c>
      <c r="DZ72" s="25">
        <v>0</v>
      </c>
      <c r="EA72" s="25">
        <v>7</v>
      </c>
      <c r="EB72" s="25">
        <v>1</v>
      </c>
      <c r="EC72" s="25">
        <v>10</v>
      </c>
      <c r="ED72" s="25">
        <v>49</v>
      </c>
      <c r="EE72" s="25">
        <v>1812</v>
      </c>
      <c r="EF72" s="25">
        <v>23</v>
      </c>
      <c r="EG72" s="25">
        <v>6</v>
      </c>
      <c r="EH72" s="25">
        <v>1</v>
      </c>
      <c r="EI72" s="25">
        <v>6077</v>
      </c>
      <c r="EJ72" s="25">
        <v>1</v>
      </c>
      <c r="EK72" s="25">
        <v>42</v>
      </c>
      <c r="EL72" s="25">
        <v>0</v>
      </c>
      <c r="EM72" s="25">
        <v>0</v>
      </c>
      <c r="EN72" s="25">
        <v>0</v>
      </c>
      <c r="EO72" s="25">
        <v>111</v>
      </c>
      <c r="EP72" s="25">
        <v>0</v>
      </c>
      <c r="EQ72" s="25">
        <v>0</v>
      </c>
      <c r="ER72" s="25">
        <v>0</v>
      </c>
      <c r="ES72" s="25">
        <v>4</v>
      </c>
      <c r="ET72" s="25">
        <v>0</v>
      </c>
      <c r="EU72" s="25">
        <v>0</v>
      </c>
      <c r="EV72" s="25">
        <v>1</v>
      </c>
      <c r="EW72" s="25">
        <v>8</v>
      </c>
      <c r="EX72" s="25">
        <v>0</v>
      </c>
      <c r="EY72" s="25">
        <v>14</v>
      </c>
      <c r="EZ72" s="25">
        <v>0</v>
      </c>
      <c r="FA72" s="25">
        <v>0</v>
      </c>
      <c r="FB72" s="25">
        <v>0</v>
      </c>
      <c r="FC72" s="25">
        <v>2</v>
      </c>
      <c r="FD72" s="25">
        <v>4</v>
      </c>
      <c r="FE72" s="25">
        <v>1</v>
      </c>
      <c r="FF72" s="25">
        <v>0</v>
      </c>
      <c r="FG72" s="25">
        <v>0</v>
      </c>
      <c r="FH72" s="25">
        <v>1</v>
      </c>
      <c r="FI72" s="25">
        <v>4</v>
      </c>
      <c r="FJ72" s="25">
        <v>0</v>
      </c>
      <c r="FK72" s="25">
        <v>0</v>
      </c>
      <c r="FL72" s="25">
        <v>0</v>
      </c>
      <c r="FM72" s="25">
        <v>1</v>
      </c>
      <c r="FN72" s="25">
        <v>0</v>
      </c>
      <c r="FO72" s="25">
        <v>213</v>
      </c>
      <c r="FP72" s="25">
        <v>0</v>
      </c>
      <c r="FQ72" s="25">
        <v>0</v>
      </c>
      <c r="FR72" s="25">
        <v>0</v>
      </c>
      <c r="FS72" s="25">
        <v>1</v>
      </c>
      <c r="FT72" s="25">
        <v>2</v>
      </c>
      <c r="FU72" s="25">
        <v>10</v>
      </c>
      <c r="FV72" s="25">
        <v>0</v>
      </c>
      <c r="FW72" s="25">
        <v>6</v>
      </c>
      <c r="FX72" s="25">
        <v>6</v>
      </c>
      <c r="FY72" s="25">
        <v>0</v>
      </c>
      <c r="FZ72" s="25">
        <v>1</v>
      </c>
      <c r="GA72" s="25">
        <v>5</v>
      </c>
      <c r="GB72" s="25">
        <v>33</v>
      </c>
      <c r="GC72" s="25">
        <v>8</v>
      </c>
      <c r="GD72" s="25">
        <v>23</v>
      </c>
      <c r="GE72" s="25">
        <v>0</v>
      </c>
      <c r="GF72" s="25">
        <v>7</v>
      </c>
      <c r="GG72" s="25">
        <v>1</v>
      </c>
      <c r="GH72" s="25">
        <v>0</v>
      </c>
      <c r="GI72" s="25">
        <v>0</v>
      </c>
      <c r="GJ72" s="25">
        <v>0</v>
      </c>
      <c r="GK72" s="25">
        <v>20</v>
      </c>
      <c r="GL72" s="25">
        <v>0</v>
      </c>
      <c r="GM72" s="25">
        <v>0</v>
      </c>
      <c r="GN72" s="25">
        <v>3</v>
      </c>
      <c r="GO72" s="25">
        <v>0</v>
      </c>
      <c r="GP72" s="25">
        <v>2</v>
      </c>
      <c r="GQ72" s="25">
        <v>0</v>
      </c>
      <c r="GR72" s="25">
        <v>3</v>
      </c>
      <c r="GS72" s="25">
        <v>0</v>
      </c>
      <c r="GT72" s="25">
        <v>0</v>
      </c>
      <c r="GU72" s="25">
        <v>2311</v>
      </c>
      <c r="GV72" s="25">
        <v>0</v>
      </c>
      <c r="GW72" s="25">
        <v>1</v>
      </c>
      <c r="GX72" s="25">
        <v>0</v>
      </c>
      <c r="GY72" s="46">
        <v>25</v>
      </c>
      <c r="GZ72" s="25">
        <v>120</v>
      </c>
      <c r="HA72" s="25">
        <v>2</v>
      </c>
      <c r="HB72" s="25">
        <v>0</v>
      </c>
      <c r="HC72" s="25">
        <v>1</v>
      </c>
      <c r="HD72" s="25">
        <v>0</v>
      </c>
      <c r="HE72" s="25">
        <v>0</v>
      </c>
      <c r="HF72" s="25">
        <v>3</v>
      </c>
      <c r="HG72" s="25">
        <v>37</v>
      </c>
      <c r="HH72" s="25">
        <v>0</v>
      </c>
      <c r="HI72" s="25">
        <v>3</v>
      </c>
      <c r="HJ72" s="25">
        <v>2</v>
      </c>
      <c r="HK72" s="25">
        <v>0</v>
      </c>
      <c r="HL72" s="25">
        <v>1</v>
      </c>
      <c r="HM72" s="25">
        <v>0</v>
      </c>
      <c r="HN72" s="25">
        <v>0</v>
      </c>
      <c r="HO72" s="25">
        <v>0</v>
      </c>
      <c r="HP72" s="25">
        <v>0</v>
      </c>
      <c r="HQ72" s="25">
        <v>359</v>
      </c>
      <c r="HR72" s="25">
        <v>0</v>
      </c>
      <c r="HS72" s="25">
        <v>786</v>
      </c>
      <c r="HT72" s="25">
        <v>0</v>
      </c>
      <c r="HU72" s="25">
        <v>0</v>
      </c>
      <c r="HV72" s="25">
        <v>0</v>
      </c>
      <c r="HW72" s="25">
        <v>0</v>
      </c>
      <c r="HX72" s="25">
        <v>1</v>
      </c>
      <c r="HY72" s="25">
        <v>1</v>
      </c>
      <c r="HZ72" s="25">
        <v>0</v>
      </c>
      <c r="IA72" s="25">
        <v>0</v>
      </c>
      <c r="IB72" s="25">
        <v>0</v>
      </c>
      <c r="IC72" s="25">
        <v>0</v>
      </c>
      <c r="ID72" s="25">
        <v>0</v>
      </c>
      <c r="IE72" s="25">
        <v>0</v>
      </c>
      <c r="IF72" s="25">
        <v>0</v>
      </c>
      <c r="IG72" s="25">
        <v>0</v>
      </c>
      <c r="IH72" s="25">
        <v>0</v>
      </c>
      <c r="II72" s="25">
        <v>0</v>
      </c>
      <c r="IJ72" s="25">
        <v>0</v>
      </c>
      <c r="IK72" s="25">
        <v>0</v>
      </c>
      <c r="IL72" s="25">
        <v>0</v>
      </c>
      <c r="IM72" s="25">
        <v>0</v>
      </c>
      <c r="IN72" s="25">
        <v>0</v>
      </c>
      <c r="IO72" s="25">
        <v>0</v>
      </c>
      <c r="IP72" s="25">
        <v>0</v>
      </c>
      <c r="IQ72" s="25">
        <v>0</v>
      </c>
      <c r="IR72" s="25">
        <v>0</v>
      </c>
      <c r="IS72" s="25">
        <v>0</v>
      </c>
      <c r="IT72" s="25">
        <v>0</v>
      </c>
      <c r="IU72" s="25">
        <v>0</v>
      </c>
      <c r="IV72" s="25">
        <v>0</v>
      </c>
      <c r="IW72" s="25">
        <v>0</v>
      </c>
      <c r="IX72" s="25">
        <v>0</v>
      </c>
      <c r="IY72" s="25">
        <v>0</v>
      </c>
      <c r="IZ72" s="25">
        <v>0</v>
      </c>
      <c r="JA72" s="25">
        <v>0</v>
      </c>
      <c r="JB72" s="25">
        <v>0</v>
      </c>
      <c r="JC72" s="25">
        <v>0</v>
      </c>
      <c r="JD72" s="25">
        <v>0</v>
      </c>
      <c r="JE72" s="25">
        <v>0</v>
      </c>
      <c r="JF72" s="25">
        <v>0</v>
      </c>
      <c r="JG72" s="25">
        <v>0</v>
      </c>
      <c r="JH72" s="25">
        <v>0</v>
      </c>
      <c r="JI72" s="25">
        <v>1</v>
      </c>
      <c r="JJ72" s="25">
        <v>0</v>
      </c>
      <c r="JK72" s="25">
        <v>2</v>
      </c>
      <c r="JL72" s="25">
        <v>0</v>
      </c>
      <c r="JM72" s="25">
        <v>0</v>
      </c>
      <c r="JN72" s="25">
        <v>0</v>
      </c>
      <c r="JO72" s="25">
        <v>2</v>
      </c>
      <c r="JP72" s="25">
        <v>0</v>
      </c>
      <c r="JQ72" s="25">
        <v>39</v>
      </c>
      <c r="JR72" s="25">
        <v>7</v>
      </c>
      <c r="JS72" s="25">
        <v>10</v>
      </c>
      <c r="JT72" s="25">
        <v>0</v>
      </c>
      <c r="JU72" s="25">
        <v>2</v>
      </c>
      <c r="JV72" s="25">
        <v>18</v>
      </c>
      <c r="JW72" s="25">
        <v>25</v>
      </c>
      <c r="JX72" s="25">
        <v>0</v>
      </c>
      <c r="JY72" s="25">
        <v>0</v>
      </c>
      <c r="JZ72" s="25">
        <v>12</v>
      </c>
      <c r="KA72" s="25">
        <v>7</v>
      </c>
      <c r="KB72" s="25">
        <v>0</v>
      </c>
      <c r="KC72" s="25">
        <v>2</v>
      </c>
      <c r="KD72" s="25">
        <v>4</v>
      </c>
      <c r="KE72" s="25">
        <v>35</v>
      </c>
      <c r="KF72" s="25">
        <v>0</v>
      </c>
      <c r="KG72" s="25">
        <v>3</v>
      </c>
      <c r="KH72" s="25">
        <v>9</v>
      </c>
      <c r="KI72" s="25">
        <v>15</v>
      </c>
      <c r="KJ72" s="25">
        <v>1</v>
      </c>
      <c r="KK72" s="25">
        <v>1</v>
      </c>
      <c r="KL72" s="25">
        <v>4</v>
      </c>
      <c r="KM72" s="25">
        <v>0</v>
      </c>
      <c r="KN72" s="25">
        <v>0</v>
      </c>
      <c r="KO72" s="25">
        <v>4</v>
      </c>
      <c r="KP72" s="25">
        <v>1</v>
      </c>
      <c r="KQ72" s="25">
        <v>27</v>
      </c>
      <c r="KR72" s="25">
        <v>0</v>
      </c>
      <c r="KS72" s="25">
        <v>387</v>
      </c>
      <c r="KT72" s="25">
        <v>0</v>
      </c>
      <c r="KU72" s="25">
        <v>0</v>
      </c>
      <c r="KV72" s="25">
        <v>6</v>
      </c>
      <c r="KW72" s="25">
        <v>2</v>
      </c>
      <c r="KX72" s="25">
        <v>5</v>
      </c>
      <c r="KY72" s="25">
        <v>6</v>
      </c>
      <c r="KZ72" s="25">
        <v>0</v>
      </c>
      <c r="LA72" s="25">
        <v>5</v>
      </c>
      <c r="LB72" s="25">
        <v>1</v>
      </c>
      <c r="LC72" s="25">
        <v>2</v>
      </c>
      <c r="LD72" s="25">
        <v>9</v>
      </c>
      <c r="LE72" s="25">
        <v>1</v>
      </c>
      <c r="LF72" s="25">
        <v>5</v>
      </c>
      <c r="LG72" s="25">
        <v>6</v>
      </c>
      <c r="LH72" s="25">
        <v>109</v>
      </c>
      <c r="LI72" s="25">
        <v>0</v>
      </c>
      <c r="LJ72" s="25">
        <v>5</v>
      </c>
      <c r="LK72" s="25">
        <v>0</v>
      </c>
      <c r="LL72" s="25">
        <v>0</v>
      </c>
      <c r="LM72" s="25">
        <v>1</v>
      </c>
      <c r="LN72" s="278">
        <f ca="1">$A72 - DeathsTimeS!Sweden100dt + 1</f>
        <v>5</v>
      </c>
      <c r="LO72" s="366">
        <f ca="1">INDEX(OFFSET(DeathsTimeS!HeadRow,ROW()-ROW(DeathsTimeS!HeadRow),0,1,COLUMNS(DeathsTimeS!HeadRow)),1,MATCH(LO$5,DeathsTimeS!HeadRow,0))/LO$8</f>
        <v>24.437927663734119</v>
      </c>
      <c r="LP72" s="278">
        <f ca="1">$A72 - DeathsTimeS!Spain100dt</f>
        <v>12</v>
      </c>
      <c r="LQ72" s="11">
        <f ca="1">INDEX(OFFSET(DeathsTimeS!HeadRow,ROW()-ROW(DeathsTimeS!HeadRow),0,1,COLUMNS(DeathsTimeS!HeadRow)),1,MATCH(LQ$5,DeathsTimeS!HeadRow,0))/LQ$8</f>
        <v>492.33063485300386</v>
      </c>
      <c r="LR72" s="278">
        <f ca="1">$A72 - DeathsTimeS!Victoria100dt</f>
        <v>-11</v>
      </c>
      <c r="LS72" s="11">
        <f ca="1">INDEX(OFFSET(DeathsTimeS!HeadRow,ROW()-ROW(DeathsTimeS!HeadRow),0,1,COLUMNS(DeathsTimeS!HeadRow)),1,MATCH(LS$5,DeathsTimeS!HeadRow,0))/LS$8</f>
        <v>0</v>
      </c>
      <c r="LT72" s="278">
        <f ca="1">$A72 - DeathsTimeS!Iran100dt</f>
        <v>19</v>
      </c>
      <c r="LU72" s="11">
        <f ca="1">INDEX(OFFSET(DeathsTimeS!HeadRow,ROW()-ROW(DeathsTimeS!HeadRow),0,1,COLUMNS(DeathsTimeS!HeadRow)),1,MATCH(LU$5,DeathsTimeS!HeadRow,0))/LU$8</f>
        <v>216.29880749167393</v>
      </c>
      <c r="LV72" s="278">
        <f ca="1">$A72 - DeathsTimeS!Japan100dt</f>
        <v>-22</v>
      </c>
      <c r="LW72" s="11">
        <f ca="1">INDEX(OFFSET(DeathsTimeS!HeadRow,ROW()-ROW(DeathsTimeS!HeadRow),0,1,COLUMNS(DeathsTimeS!HeadRow)),1,MATCH(LW$5,DeathsTimeS!HeadRow,0))/LW$8</f>
        <v>3.3187360833839712</v>
      </c>
      <c r="LX72" s="278">
        <f ca="1">$A72 - DeathsTimeS!Queensland100dt</f>
        <v>-26</v>
      </c>
      <c r="LY72" s="11">
        <f ca="1">INDEX(OFFSET(DeathsTimeS!HeadRow,ROW()-ROW(DeathsTimeS!HeadRow),0,1,COLUMNS(DeathsTimeS!HeadRow)),1,MATCH(LY$5,DeathsTimeS!HeadRow,0))/LY$8</f>
        <v>0</v>
      </c>
      <c r="LZ72" s="278">
        <f ca="1">$A72 - DeathsTimeS!Tasmania100dt</f>
        <v>-8</v>
      </c>
      <c r="MA72" s="11">
        <f ca="1">INDEX(OFFSET(DeathsTimeS!HeadRow,ROW()-ROW(DeathsTimeS!HeadRow),0,1,COLUMNS(DeathsTimeS!HeadRow)),1,MATCH(MA$5,DeathsTimeS!HeadRow,0))/MA$8</f>
        <v>0</v>
      </c>
      <c r="MB72" s="278">
        <f ca="1">$A72 - DeathsTimeS!SouthAustralia100dt</f>
        <v>-16</v>
      </c>
      <c r="MC72" s="11">
        <f ca="1">INDEX(OFFSET(DeathsTimeS!HeadRow,ROW()-ROW(DeathsTimeS!HeadRow),0,1,COLUMNS(DeathsTimeS!HeadRow)),1,MATCH(MC$5,DeathsTimeS!HeadRow,0))/MC$8</f>
        <v>0</v>
      </c>
      <c r="MD72" s="278">
        <f ca="1">$A72 - DeathsTimeS!WesternAustralia100dt</f>
        <v>-13</v>
      </c>
      <c r="ME72" s="11">
        <f ca="1">INDEX(OFFSET(DeathsTimeS!HeadRow,ROW()-ROW(DeathsTimeS!HeadRow),0,1,COLUMNS(DeathsTimeS!HeadRow)),1,MATCH(ME$5,DeathsTimeS!HeadRow,0))/ME$8</f>
        <v>3.8624951718810348</v>
      </c>
      <c r="MF72" s="278">
        <f ca="1">$A72 - DeathsTimeS!NewSouthWales100dt</f>
        <v>-9</v>
      </c>
      <c r="MG72" s="11">
        <f ca="1">INDEX(OFFSET(DeathsTimeS!HeadRow,ROW()-ROW(DeathsTimeS!HeadRow),0,1,COLUMNS(DeathsTimeS!HeadRow)),1,MATCH(MG$5,DeathsTimeS!HeadRow,0))/MG$8</f>
        <v>7.4257425742574252</v>
      </c>
      <c r="MH72" s="278">
        <f ca="1">$A72 - DeathsTimeS!NewYork100dt</f>
        <v>7</v>
      </c>
      <c r="MI72" s="20">
        <f ca="1">INDEX(OFFSET(DeathsTimeS!HeadRow,ROW()-ROW(DeathsTimeS!HeadRow),0,1,COLUMNS(DeathsTimeS!HeadRow)),1,MATCH(MI$5,DeathsTimeS!HeadRow,0))/MI$8</f>
        <v>163.78827466404888</v>
      </c>
      <c r="MJ72" s="278">
        <f ca="1">$A72 - DeathsTimeS!Italy100dt</f>
        <v>20</v>
      </c>
      <c r="MK72" s="20">
        <f ca="1">INDEX(OFFSET(DeathsTimeS!HeadRow,ROW()-ROW(DeathsTimeS!HeadRow),0,1,COLUMNS(DeathsTimeS!HeadRow)),1,MATCH(MK$5,DeathsTimeS!HeadRow,0))/MK$8</f>
        <v>1004.7119120443085</v>
      </c>
      <c r="ML72" s="278">
        <f ca="1">$A72 - DeathsTimeS!AustralianCapitalTerritory100dt</f>
        <v>-7</v>
      </c>
      <c r="MM72" s="11">
        <f ca="1">INDEX(OFFSET(DeathsTimeS!HeadRow,ROW()-ROW(DeathsTimeS!HeadRow),0,1,COLUMNS(DeathsTimeS!HeadRow)),1,MATCH(MM$5,DeathsTimeS!HeadRow,0))/MM$8</f>
        <v>0</v>
      </c>
      <c r="MN72" s="278">
        <f ca="1">IF(DeathsTimeS!NorthernTerritory100dt&gt;0,$A72 - DeathsTimeS!NorthernTerritory100dt,"")</f>
        <v>-35</v>
      </c>
      <c r="MO72" s="11">
        <f ca="1">INDEX(OFFSET(DeathsTimeS!HeadRow,ROW()-ROW(DeathsTimeS!HeadRow),0,1,COLUMNS(DeathsTimeS!HeadRow)),1,MATCH(MO$5,DeathsTimeS!HeadRow,0))/MO$8</f>
        <v>0</v>
      </c>
      <c r="MP72" s="278">
        <f ca="1">$A72 - DeathsTimeS!SouthAfrica100dt + 1</f>
        <v>-27</v>
      </c>
      <c r="MQ72" s="20">
        <f ca="1">INDEX(OFFSET(DeathsTimeS!HeadRow,ROW()-ROW(DeathsTimeS!HeadRow),0,1,COLUMNS(DeathsTimeS!HeadRow)),1,MATCH(MQ$5,DeathsTimeS!HeadRow,0))/MQ$8</f>
        <v>0</v>
      </c>
      <c r="MR72" s="278">
        <f ca="1">$A72 - DeathsTimeS!Germany100dt + 1</f>
        <v>3</v>
      </c>
      <c r="MS72" s="20">
        <f ca="1">INDEX(OFFSET(DeathsTimeS!HeadRow,ROW()-ROW(DeathsTimeS!HeadRow),0,1,COLUMNS(DeathsTimeS!HeadRow)),1,MATCH(MS$5,DeathsTimeS!HeadRow,0))/MS$8</f>
        <v>14.815707058540111</v>
      </c>
      <c r="MT72" s="278">
        <f ca="1">$A72 - DeathsTimeS!Ireland100dt + 1</f>
        <v>1</v>
      </c>
      <c r="MU72" s="73">
        <f ca="1">INDEX(OFFSET(DeathsTimeS!HeadRow,ROW()-ROW(DeathsTimeS!HeadRow),0,1,COLUMNS(DeathsTimeS!HeadRow)),1,MATCH(MU$5,DeathsTimeS!HeadRow,0))/MU$8</f>
        <v>12.244897959183673</v>
      </c>
      <c r="MV72" s="278">
        <f ca="1">$A72 - DeathsTimeS!UnitedKingdom100dt + 1</f>
        <v>7</v>
      </c>
      <c r="MW72" s="73">
        <f ca="1">INDEX(OFFSET(DeathsTimeS!HeadRow,ROW()-ROW(DeathsTimeS!HeadRow),0,1,COLUMNS(DeathsTimeS!HeadRow)),1,MATCH(MW$5,DeathsTimeS!HeadRow,0))/MW$8</f>
        <v>54.033714629741119</v>
      </c>
      <c r="MX72" s="278">
        <f ca="1">$A72 - DeathsTimeS!Denmark100dt + 1</f>
        <v>5</v>
      </c>
      <c r="MY72" s="73">
        <f ca="1">INDEX(OFFSET(DeathsTimeS!HeadRow,ROW()-ROW(DeathsTimeS!HeadRow),0,1,COLUMNS(DeathsTimeS!HeadRow)),1,MATCH(MY$5,DeathsTimeS!HeadRow,0))/MY$8</f>
        <v>41.336548398208748</v>
      </c>
      <c r="MZ72" s="278">
        <f ca="1">$A72 - DeathsTimeS!US100dt + 1</f>
        <v>4</v>
      </c>
      <c r="NA72" s="73">
        <f ca="1">INDEX(OFFSET(DeathsTimeS!HeadRow,ROW()-ROW(DeathsTimeS!HeadRow),0,1,COLUMNS(DeathsTimeS!HeadRow)),1,MATCH(NA$5,DeathsTimeS!HeadRow,0))/NA$8</f>
        <v>23.874051004194527</v>
      </c>
      <c r="NB72" s="278">
        <f ca="1">$A72 - DeathsTimeS!AustraliaSum100dt + 1</f>
        <v>-2</v>
      </c>
      <c r="NC72" s="366">
        <f t="shared" si="6"/>
        <v>7</v>
      </c>
      <c r="ND72" s="278">
        <f ca="1">$A72 - DeathsTimeS!Taiwan100dt + 1</f>
        <v>-34</v>
      </c>
      <c r="NE72" s="366">
        <f ca="1">INDEX(OFFSET(DeathsTimeS!HeadRow,ROW()-ROW(DeathsTimeS!HeadRow),0,1,COLUMNS(DeathsTimeS!HeadRow)),1,MATCH(NE$5,DeathsTimeS!HeadRow,0))/NE$8</f>
        <v>0.84007909848759721</v>
      </c>
      <c r="NF72" s="278">
        <f ca="1">$A72 - DeathsTimeS!Hubei100dt + 1</f>
        <v>57</v>
      </c>
      <c r="NG72" s="366">
        <f ca="1">INDEX(OFFSET(DeathsTimeS!HeadRow,ROW()-ROW(DeathsTimeS!HeadRow),0,1,COLUMNS(DeathsTimeS!HeadRow)),1,MATCH(NG$5,DeathsTimeS!HeadRow,0))/NG$8</f>
        <v>538.97435897435901</v>
      </c>
      <c r="NH72" s="278">
        <f ca="1">$A72 - DeathsTimeS!HongKong100dt + 1</f>
        <v>-34</v>
      </c>
      <c r="NI72" s="366">
        <f ca="1">INDEX(OFFSET(DeathsTimeS!HeadRow,ROW()-ROW(DeathsTimeS!HeadRow),0,1,COLUMNS(DeathsTimeS!HeadRow)),1,MATCH(NI$5,DeathsTimeS!HeadRow,0))/NI$8</f>
        <v>5.3684069252449333</v>
      </c>
    </row>
    <row r="73" spans="1:373" x14ac:dyDescent="0.25">
      <c r="A73" s="156">
        <v>43914</v>
      </c>
      <c r="B73" s="25">
        <v>1</v>
      </c>
      <c r="C73" s="25">
        <v>5</v>
      </c>
      <c r="D73" s="25">
        <v>19</v>
      </c>
      <c r="E73" s="25">
        <v>1</v>
      </c>
      <c r="F73" s="25">
        <v>0</v>
      </c>
      <c r="G73" s="25">
        <v>0</v>
      </c>
      <c r="H73" s="25">
        <v>6</v>
      </c>
      <c r="I73" s="25">
        <v>0</v>
      </c>
      <c r="J73" s="25">
        <v>0</v>
      </c>
      <c r="K73" s="25">
        <v>7</v>
      </c>
      <c r="L73" s="25">
        <v>0</v>
      </c>
      <c r="M73" s="25">
        <v>0</v>
      </c>
      <c r="N73" s="25">
        <v>0</v>
      </c>
      <c r="O73" s="25">
        <v>0</v>
      </c>
      <c r="P73" s="25">
        <v>0</v>
      </c>
      <c r="Q73" s="25">
        <v>1</v>
      </c>
      <c r="R73" s="25">
        <v>28</v>
      </c>
      <c r="S73" s="25">
        <v>1</v>
      </c>
      <c r="T73" s="25">
        <v>0</v>
      </c>
      <c r="U73" s="25">
        <v>3</v>
      </c>
      <c r="V73" s="25">
        <v>4</v>
      </c>
      <c r="W73" s="25">
        <v>0</v>
      </c>
      <c r="X73" s="25">
        <v>0</v>
      </c>
      <c r="Y73" s="25">
        <v>122</v>
      </c>
      <c r="Z73" s="25">
        <v>0</v>
      </c>
      <c r="AA73" s="25">
        <v>0</v>
      </c>
      <c r="AB73" s="25">
        <v>0</v>
      </c>
      <c r="AC73" s="25">
        <v>3</v>
      </c>
      <c r="AD73" s="25">
        <v>46</v>
      </c>
      <c r="AE73" s="25">
        <v>0</v>
      </c>
      <c r="AF73" s="25">
        <v>3</v>
      </c>
      <c r="AG73" s="25">
        <v>4</v>
      </c>
      <c r="AH73" s="25">
        <v>1</v>
      </c>
      <c r="AI73" s="25">
        <v>0</v>
      </c>
      <c r="AJ73" s="25">
        <v>0</v>
      </c>
      <c r="AK73" s="25">
        <v>1</v>
      </c>
      <c r="AL73" s="25">
        <v>13</v>
      </c>
      <c r="AM73" s="25">
        <v>0</v>
      </c>
      <c r="AN73" s="25">
        <v>0</v>
      </c>
      <c r="AO73" s="25">
        <v>0</v>
      </c>
      <c r="AP73" s="25">
        <v>0</v>
      </c>
      <c r="AQ73" s="25">
        <v>0</v>
      </c>
      <c r="AR73" s="25">
        <v>7</v>
      </c>
      <c r="AS73" s="25">
        <v>0</v>
      </c>
      <c r="AT73" s="25">
        <v>4</v>
      </c>
      <c r="AU73" s="25">
        <v>0</v>
      </c>
      <c r="AV73" s="25">
        <v>0</v>
      </c>
      <c r="AW73" s="25">
        <v>0</v>
      </c>
      <c r="AX73" s="25">
        <v>2</v>
      </c>
      <c r="AY73" s="25">
        <v>6</v>
      </c>
      <c r="AZ73" s="25">
        <v>8</v>
      </c>
      <c r="BA73" s="25">
        <v>6</v>
      </c>
      <c r="BB73" s="25">
        <v>1</v>
      </c>
      <c r="BC73" s="25">
        <v>2</v>
      </c>
      <c r="BD73" s="25">
        <v>8</v>
      </c>
      <c r="BE73" s="25">
        <v>2</v>
      </c>
      <c r="BF73" s="25">
        <v>2</v>
      </c>
      <c r="BG73" s="25">
        <v>6</v>
      </c>
      <c r="BH73" s="25">
        <v>6</v>
      </c>
      <c r="BI73" s="25">
        <v>13</v>
      </c>
      <c r="BJ73" s="25">
        <v>22</v>
      </c>
      <c r="BK73" s="25">
        <v>4</v>
      </c>
      <c r="BL73" s="25">
        <v>3160</v>
      </c>
      <c r="BM73" s="25">
        <v>4</v>
      </c>
      <c r="BN73" s="25">
        <v>1</v>
      </c>
      <c r="BO73" s="25">
        <v>0</v>
      </c>
      <c r="BP73" s="25">
        <v>1</v>
      </c>
      <c r="BQ73" s="25">
        <v>1</v>
      </c>
      <c r="BR73" s="25">
        <v>2</v>
      </c>
      <c r="BS73" s="25">
        <v>0</v>
      </c>
      <c r="BT73" s="25">
        <v>0</v>
      </c>
      <c r="BU73" s="25">
        <v>0</v>
      </c>
      <c r="BV73" s="25">
        <v>3</v>
      </c>
      <c r="BW73" s="25">
        <v>7</v>
      </c>
      <c r="BX73" s="25">
        <v>4</v>
      </c>
      <c r="BY73" s="25">
        <v>0</v>
      </c>
      <c r="BZ73" s="25">
        <v>3</v>
      </c>
      <c r="CA73" s="25">
        <v>3</v>
      </c>
      <c r="CB73" s="25">
        <v>0</v>
      </c>
      <c r="CC73" s="25">
        <v>3</v>
      </c>
      <c r="CD73" s="25">
        <v>2</v>
      </c>
      <c r="CE73" s="25">
        <v>1</v>
      </c>
      <c r="CF73" s="25">
        <v>3</v>
      </c>
      <c r="CG73" s="25">
        <v>0</v>
      </c>
      <c r="CH73" s="25">
        <v>2</v>
      </c>
      <c r="CI73" s="25">
        <v>2</v>
      </c>
      <c r="CJ73" s="25">
        <v>0</v>
      </c>
      <c r="CK73" s="25">
        <v>1</v>
      </c>
      <c r="CL73" s="25">
        <v>10</v>
      </c>
      <c r="CM73" s="25">
        <v>1</v>
      </c>
      <c r="CN73" s="25">
        <v>3</v>
      </c>
      <c r="CO73" s="25">
        <v>3</v>
      </c>
      <c r="CP73" s="25">
        <v>0</v>
      </c>
      <c r="CQ73" s="25">
        <v>0</v>
      </c>
      <c r="CR73" s="25">
        <v>32</v>
      </c>
      <c r="CS73" s="25">
        <v>0</v>
      </c>
      <c r="CT73" s="25">
        <v>6</v>
      </c>
      <c r="CU73" s="25">
        <v>27</v>
      </c>
      <c r="CV73" s="25">
        <v>20</v>
      </c>
      <c r="CW73" s="25">
        <v>0</v>
      </c>
      <c r="CX73" s="25">
        <v>0</v>
      </c>
      <c r="CY73" s="25">
        <v>0</v>
      </c>
      <c r="CZ73" s="25">
        <v>0</v>
      </c>
      <c r="DA73" s="25">
        <v>0</v>
      </c>
      <c r="DB73" s="25">
        <v>0</v>
      </c>
      <c r="DC73" s="25">
        <v>0</v>
      </c>
      <c r="DD73" s="25">
        <v>1</v>
      </c>
      <c r="DE73" s="25">
        <v>0</v>
      </c>
      <c r="DF73" s="25">
        <v>0</v>
      </c>
      <c r="DG73" s="25">
        <v>1</v>
      </c>
      <c r="DH73" s="25">
        <v>0</v>
      </c>
      <c r="DI73" s="25">
        <v>0</v>
      </c>
      <c r="DJ73" s="25">
        <v>0</v>
      </c>
      <c r="DK73" s="25">
        <v>0</v>
      </c>
      <c r="DL73" s="25">
        <v>0</v>
      </c>
      <c r="DM73" s="25">
        <v>1</v>
      </c>
      <c r="DN73" s="25">
        <v>1100</v>
      </c>
      <c r="DO73" s="25">
        <v>1</v>
      </c>
      <c r="DP73" s="25">
        <v>1</v>
      </c>
      <c r="DQ73" s="25">
        <v>0</v>
      </c>
      <c r="DR73" s="25">
        <v>157</v>
      </c>
      <c r="DS73" s="25">
        <v>2</v>
      </c>
      <c r="DT73" s="25">
        <v>20</v>
      </c>
      <c r="DU73" s="25">
        <v>1</v>
      </c>
      <c r="DV73" s="25">
        <v>0</v>
      </c>
      <c r="DW73" s="25">
        <v>1</v>
      </c>
      <c r="DX73" s="25">
        <v>0</v>
      </c>
      <c r="DY73" s="25">
        <v>0</v>
      </c>
      <c r="DZ73" s="25">
        <v>0</v>
      </c>
      <c r="EA73" s="25">
        <v>9</v>
      </c>
      <c r="EB73" s="25">
        <v>2</v>
      </c>
      <c r="EC73" s="25">
        <v>10</v>
      </c>
      <c r="ED73" s="25">
        <v>55</v>
      </c>
      <c r="EE73" s="25">
        <v>1934</v>
      </c>
      <c r="EF73" s="25">
        <v>27</v>
      </c>
      <c r="EG73" s="25">
        <v>7</v>
      </c>
      <c r="EH73" s="25">
        <v>3</v>
      </c>
      <c r="EI73" s="25">
        <v>6820</v>
      </c>
      <c r="EJ73" s="25">
        <v>1</v>
      </c>
      <c r="EK73" s="25">
        <v>43</v>
      </c>
      <c r="EL73" s="25">
        <v>0</v>
      </c>
      <c r="EM73" s="25">
        <v>0</v>
      </c>
      <c r="EN73" s="25">
        <v>0</v>
      </c>
      <c r="EO73" s="25">
        <v>120</v>
      </c>
      <c r="EP73" s="25">
        <v>0</v>
      </c>
      <c r="EQ73" s="25">
        <v>0</v>
      </c>
      <c r="ER73" s="25">
        <v>0</v>
      </c>
      <c r="ES73" s="25">
        <v>4</v>
      </c>
      <c r="ET73" s="25">
        <v>0</v>
      </c>
      <c r="EU73" s="25">
        <v>0</v>
      </c>
      <c r="EV73" s="25">
        <v>2</v>
      </c>
      <c r="EW73" s="25">
        <v>8</v>
      </c>
      <c r="EX73" s="25">
        <v>0</v>
      </c>
      <c r="EY73" s="25">
        <v>16</v>
      </c>
      <c r="EZ73" s="25">
        <v>0</v>
      </c>
      <c r="FA73" s="25">
        <v>0</v>
      </c>
      <c r="FB73" s="25">
        <v>0</v>
      </c>
      <c r="FC73" s="25">
        <v>2</v>
      </c>
      <c r="FD73" s="25">
        <v>5</v>
      </c>
      <c r="FE73" s="25">
        <v>1</v>
      </c>
      <c r="FF73" s="25">
        <v>0</v>
      </c>
      <c r="FG73" s="25">
        <v>0</v>
      </c>
      <c r="FH73" s="25">
        <v>1</v>
      </c>
      <c r="FI73" s="25">
        <v>5</v>
      </c>
      <c r="FJ73" s="25">
        <v>0</v>
      </c>
      <c r="FK73" s="25">
        <v>0</v>
      </c>
      <c r="FL73" s="25">
        <v>0</v>
      </c>
      <c r="FM73" s="25">
        <v>1</v>
      </c>
      <c r="FN73" s="25">
        <v>0</v>
      </c>
      <c r="FO73" s="25">
        <v>276</v>
      </c>
      <c r="FP73" s="25">
        <v>0</v>
      </c>
      <c r="FQ73" s="25">
        <v>0</v>
      </c>
      <c r="FR73" s="25">
        <v>0</v>
      </c>
      <c r="FS73" s="25">
        <v>1</v>
      </c>
      <c r="FT73" s="25">
        <v>2</v>
      </c>
      <c r="FU73" s="25">
        <v>12</v>
      </c>
      <c r="FV73" s="25">
        <v>0</v>
      </c>
      <c r="FW73" s="25">
        <v>7</v>
      </c>
      <c r="FX73" s="25">
        <v>6</v>
      </c>
      <c r="FY73" s="25">
        <v>0</v>
      </c>
      <c r="FZ73" s="25">
        <v>2</v>
      </c>
      <c r="GA73" s="25">
        <v>7</v>
      </c>
      <c r="GB73" s="25">
        <v>35</v>
      </c>
      <c r="GC73" s="25">
        <v>10</v>
      </c>
      <c r="GD73" s="25">
        <v>33</v>
      </c>
      <c r="GE73" s="25">
        <v>0</v>
      </c>
      <c r="GF73" s="25">
        <v>11</v>
      </c>
      <c r="GG73" s="25">
        <v>1</v>
      </c>
      <c r="GH73" s="25">
        <v>0</v>
      </c>
      <c r="GI73" s="25">
        <v>0</v>
      </c>
      <c r="GJ73" s="25">
        <v>0</v>
      </c>
      <c r="GK73" s="25">
        <v>21</v>
      </c>
      <c r="GL73" s="25">
        <v>1</v>
      </c>
      <c r="GM73" s="25">
        <v>0</v>
      </c>
      <c r="GN73" s="25">
        <v>3</v>
      </c>
      <c r="GO73" s="25">
        <v>0</v>
      </c>
      <c r="GP73" s="25">
        <v>2</v>
      </c>
      <c r="GQ73" s="25">
        <v>0</v>
      </c>
      <c r="GR73" s="25">
        <v>4</v>
      </c>
      <c r="GS73" s="25">
        <v>0</v>
      </c>
      <c r="GT73" s="25">
        <v>0</v>
      </c>
      <c r="GU73" s="25">
        <v>2808</v>
      </c>
      <c r="GV73" s="25">
        <v>0</v>
      </c>
      <c r="GW73" s="25">
        <v>1</v>
      </c>
      <c r="GX73" s="25">
        <v>0</v>
      </c>
      <c r="GY73" s="46">
        <v>36</v>
      </c>
      <c r="GZ73" s="25">
        <v>122</v>
      </c>
      <c r="HA73" s="25">
        <v>2</v>
      </c>
      <c r="HB73" s="25">
        <v>0</v>
      </c>
      <c r="HC73" s="25">
        <v>4</v>
      </c>
      <c r="HD73" s="25">
        <v>0</v>
      </c>
      <c r="HE73" s="25">
        <v>0</v>
      </c>
      <c r="HF73" s="25">
        <v>4</v>
      </c>
      <c r="HG73" s="25">
        <v>44</v>
      </c>
      <c r="HH73" s="25">
        <v>0</v>
      </c>
      <c r="HI73" s="25">
        <v>3</v>
      </c>
      <c r="HJ73" s="25">
        <v>2</v>
      </c>
      <c r="HK73" s="25">
        <v>0</v>
      </c>
      <c r="HL73" s="25">
        <v>1</v>
      </c>
      <c r="HM73" s="25">
        <v>0</v>
      </c>
      <c r="HN73" s="25">
        <v>0</v>
      </c>
      <c r="HO73" s="25">
        <v>0</v>
      </c>
      <c r="HP73" s="25">
        <v>0</v>
      </c>
      <c r="HQ73" s="25">
        <v>508</v>
      </c>
      <c r="HR73" s="25">
        <v>0</v>
      </c>
      <c r="HS73" s="25">
        <v>1008</v>
      </c>
      <c r="HT73" s="25">
        <v>0</v>
      </c>
      <c r="HU73" s="25">
        <v>0</v>
      </c>
      <c r="HV73" s="25">
        <v>0</v>
      </c>
      <c r="HW73" s="25">
        <v>0</v>
      </c>
      <c r="HX73" s="25">
        <v>1</v>
      </c>
      <c r="HY73" s="25">
        <v>1</v>
      </c>
      <c r="HZ73" s="25">
        <v>0</v>
      </c>
      <c r="IA73" s="25">
        <v>0</v>
      </c>
      <c r="IB73" s="25">
        <v>0</v>
      </c>
      <c r="IC73" s="25">
        <v>0</v>
      </c>
      <c r="ID73" s="25">
        <v>0</v>
      </c>
      <c r="IE73" s="25">
        <v>0</v>
      </c>
      <c r="IF73" s="25">
        <v>0</v>
      </c>
      <c r="IG73" s="25">
        <v>0</v>
      </c>
      <c r="IH73" s="25">
        <v>0</v>
      </c>
      <c r="II73" s="25">
        <v>0</v>
      </c>
      <c r="IJ73" s="25">
        <v>0</v>
      </c>
      <c r="IK73" s="25">
        <v>0</v>
      </c>
      <c r="IL73" s="25">
        <v>0</v>
      </c>
      <c r="IM73" s="25">
        <v>0</v>
      </c>
      <c r="IN73" s="25">
        <v>0</v>
      </c>
      <c r="IO73" s="25">
        <v>0</v>
      </c>
      <c r="IP73" s="25">
        <v>0</v>
      </c>
      <c r="IQ73" s="25">
        <v>0</v>
      </c>
      <c r="IR73" s="25">
        <v>0</v>
      </c>
      <c r="IS73" s="25">
        <v>0</v>
      </c>
      <c r="IT73" s="25">
        <v>0</v>
      </c>
      <c r="IU73" s="25">
        <v>0</v>
      </c>
      <c r="IV73" s="25">
        <v>0</v>
      </c>
      <c r="IW73" s="25">
        <v>0</v>
      </c>
      <c r="IX73" s="25">
        <v>0</v>
      </c>
      <c r="IY73" s="25">
        <v>0</v>
      </c>
      <c r="IZ73" s="25">
        <v>0</v>
      </c>
      <c r="JA73" s="25">
        <v>0</v>
      </c>
      <c r="JB73" s="25">
        <v>0</v>
      </c>
      <c r="JC73" s="25">
        <v>0</v>
      </c>
      <c r="JD73" s="25">
        <v>0</v>
      </c>
      <c r="JE73" s="25">
        <v>0</v>
      </c>
      <c r="JF73" s="25">
        <v>0</v>
      </c>
      <c r="JG73" s="25">
        <v>0</v>
      </c>
      <c r="JH73" s="25">
        <v>0</v>
      </c>
      <c r="JI73" s="25">
        <v>1</v>
      </c>
      <c r="JJ73" s="25">
        <v>0</v>
      </c>
      <c r="JK73" s="25">
        <v>2</v>
      </c>
      <c r="JL73" s="25">
        <v>0</v>
      </c>
      <c r="JM73" s="25">
        <v>0</v>
      </c>
      <c r="JN73" s="25">
        <v>0</v>
      </c>
      <c r="JO73" s="25">
        <v>5</v>
      </c>
      <c r="JP73" s="25">
        <v>2</v>
      </c>
      <c r="JQ73" s="25">
        <v>50</v>
      </c>
      <c r="JR73" s="25">
        <v>8</v>
      </c>
      <c r="JS73" s="25">
        <v>12</v>
      </c>
      <c r="JT73" s="25">
        <v>0</v>
      </c>
      <c r="JU73" s="25">
        <v>2</v>
      </c>
      <c r="JV73" s="25">
        <v>18</v>
      </c>
      <c r="JW73" s="25">
        <v>32</v>
      </c>
      <c r="JX73" s="25">
        <v>1</v>
      </c>
      <c r="JY73" s="25">
        <v>0</v>
      </c>
      <c r="JZ73" s="25">
        <v>16</v>
      </c>
      <c r="KA73" s="25">
        <v>12</v>
      </c>
      <c r="KB73" s="25">
        <v>0</v>
      </c>
      <c r="KC73" s="25">
        <v>2</v>
      </c>
      <c r="KD73" s="25">
        <v>4</v>
      </c>
      <c r="KE73" s="25">
        <v>46</v>
      </c>
      <c r="KF73" s="25">
        <v>0</v>
      </c>
      <c r="KG73" s="25">
        <v>4</v>
      </c>
      <c r="KH73" s="25">
        <v>11</v>
      </c>
      <c r="KI73" s="25">
        <v>24</v>
      </c>
      <c r="KJ73" s="25">
        <v>1</v>
      </c>
      <c r="KK73" s="25">
        <v>1</v>
      </c>
      <c r="KL73" s="25">
        <v>7</v>
      </c>
      <c r="KM73" s="25">
        <v>0</v>
      </c>
      <c r="KN73" s="25">
        <v>0</v>
      </c>
      <c r="KO73" s="25">
        <v>4</v>
      </c>
      <c r="KP73" s="25">
        <v>1</v>
      </c>
      <c r="KQ73" s="25">
        <v>44</v>
      </c>
      <c r="KR73" s="25">
        <v>0</v>
      </c>
      <c r="KS73" s="25">
        <v>512</v>
      </c>
      <c r="KT73" s="25">
        <v>0</v>
      </c>
      <c r="KU73" s="25">
        <v>0</v>
      </c>
      <c r="KV73" s="25">
        <v>8</v>
      </c>
      <c r="KW73" s="25">
        <v>3</v>
      </c>
      <c r="KX73" s="25">
        <v>8</v>
      </c>
      <c r="KY73" s="25">
        <v>8</v>
      </c>
      <c r="KZ73" s="25">
        <v>0</v>
      </c>
      <c r="LA73" s="25">
        <v>5</v>
      </c>
      <c r="LB73" s="25">
        <v>1</v>
      </c>
      <c r="LC73" s="25">
        <v>2</v>
      </c>
      <c r="LD73" s="25">
        <v>12</v>
      </c>
      <c r="LE73" s="25">
        <v>1</v>
      </c>
      <c r="LF73" s="25">
        <v>7</v>
      </c>
      <c r="LG73" s="25">
        <v>9</v>
      </c>
      <c r="LH73" s="25">
        <v>116</v>
      </c>
      <c r="LI73" s="25">
        <v>0</v>
      </c>
      <c r="LJ73" s="25">
        <v>5</v>
      </c>
      <c r="LK73" s="25">
        <v>0</v>
      </c>
      <c r="LL73" s="25">
        <v>0</v>
      </c>
      <c r="LM73" s="25">
        <v>1</v>
      </c>
      <c r="LN73" s="278">
        <f ca="1">$A73 - DeathsTimeS!Sweden100dt + 1</f>
        <v>6</v>
      </c>
      <c r="LO73" s="366">
        <f ca="1">INDEX(OFFSET(DeathsTimeS!HeadRow,ROW()-ROW(DeathsTimeS!HeadRow),0,1,COLUMNS(DeathsTimeS!HeadRow)),1,MATCH(LO$5,DeathsTimeS!HeadRow,0))/LO$8</f>
        <v>35.19061583577713</v>
      </c>
      <c r="LP73" s="278">
        <f ca="1">$A73 - DeathsTimeS!Spain100dt</f>
        <v>13</v>
      </c>
      <c r="LQ73" s="11">
        <f ca="1">INDEX(OFFSET(DeathsTimeS!HeadRow,ROW()-ROW(DeathsTimeS!HeadRow),0,1,COLUMNS(DeathsTimeS!HeadRow)),1,MATCH(LQ$5,DeathsTimeS!HeadRow,0))/LQ$8</f>
        <v>598.21048146570092</v>
      </c>
      <c r="LR73" s="278">
        <f ca="1">$A73 - DeathsTimeS!Victoria100dt</f>
        <v>-10</v>
      </c>
      <c r="LS73" s="11">
        <f ca="1">INDEX(OFFSET(DeathsTimeS!HeadRow,ROW()-ROW(DeathsTimeS!HeadRow),0,1,COLUMNS(DeathsTimeS!HeadRow)),1,MATCH(LS$5,DeathsTimeS!HeadRow,0))/LS$8</f>
        <v>0</v>
      </c>
      <c r="LT73" s="278">
        <f ca="1">$A73 - DeathsTimeS!Iran100dt</f>
        <v>20</v>
      </c>
      <c r="LU73" s="11">
        <f ca="1">INDEX(OFFSET(DeathsTimeS!HeadRow,ROW()-ROW(DeathsTimeS!HeadRow),0,1,COLUMNS(DeathsTimeS!HeadRow)),1,MATCH(LU$5,DeathsTimeS!HeadRow,0))/LU$8</f>
        <v>230.86197223449082</v>
      </c>
      <c r="LV73" s="278">
        <f ca="1">$A73 - DeathsTimeS!Japan100dt</f>
        <v>-21</v>
      </c>
      <c r="LW73" s="11">
        <f ca="1">INDEX(OFFSET(DeathsTimeS!HeadRow,ROW()-ROW(DeathsTimeS!HeadRow),0,1,COLUMNS(DeathsTimeS!HeadRow)),1,MATCH(LW$5,DeathsTimeS!HeadRow,0))/LW$8</f>
        <v>3.3977536091788276</v>
      </c>
      <c r="LX73" s="278">
        <f ca="1">$A73 - DeathsTimeS!Queensland100dt</f>
        <v>-25</v>
      </c>
      <c r="LY73" s="11">
        <f ca="1">INDEX(OFFSET(DeathsTimeS!HeadRow,ROW()-ROW(DeathsTimeS!HeadRow),0,1,COLUMNS(DeathsTimeS!HeadRow)),1,MATCH(LY$5,DeathsTimeS!HeadRow,0))/LY$8</f>
        <v>0</v>
      </c>
      <c r="LZ73" s="278">
        <f ca="1">$A73 - DeathsTimeS!Tasmania100dt</f>
        <v>-7</v>
      </c>
      <c r="MA73" s="11">
        <f ca="1">INDEX(OFFSET(DeathsTimeS!HeadRow,ROW()-ROW(DeathsTimeS!HeadRow),0,1,COLUMNS(DeathsTimeS!HeadRow)),1,MATCH(MA$5,DeathsTimeS!HeadRow,0))/MA$8</f>
        <v>0</v>
      </c>
      <c r="MB73" s="278">
        <f ca="1">$A73 - DeathsTimeS!SouthAustralia100dt</f>
        <v>-15</v>
      </c>
      <c r="MC73" s="11">
        <f ca="1">INDEX(OFFSET(DeathsTimeS!HeadRow,ROW()-ROW(DeathsTimeS!HeadRow),0,1,COLUMNS(DeathsTimeS!HeadRow)),1,MATCH(MC$5,DeathsTimeS!HeadRow,0))/MC$8</f>
        <v>0</v>
      </c>
      <c r="MD73" s="278">
        <f ca="1">$A73 - DeathsTimeS!WesternAustralia100dt</f>
        <v>-12</v>
      </c>
      <c r="ME73" s="11">
        <f ca="1">INDEX(OFFSET(DeathsTimeS!HeadRow,ROW()-ROW(DeathsTimeS!HeadRow),0,1,COLUMNS(DeathsTimeS!HeadRow)),1,MATCH(ME$5,DeathsTimeS!HeadRow,0))/ME$8</f>
        <v>3.8624951718810348</v>
      </c>
      <c r="MF73" s="278">
        <f ca="1">$A73 - DeathsTimeS!NewSouthWales100dt</f>
        <v>-8</v>
      </c>
      <c r="MG73" s="11">
        <f ca="1">INDEX(OFFSET(DeathsTimeS!HeadRow,ROW()-ROW(DeathsTimeS!HeadRow),0,1,COLUMNS(DeathsTimeS!HeadRow)),1,MATCH(MG$5,DeathsTimeS!HeadRow,0))/MG$8</f>
        <v>8.6633663366336631</v>
      </c>
      <c r="MH73" s="278">
        <f ca="1">$A73 - DeathsTimeS!NewYork100dt</f>
        <v>8</v>
      </c>
      <c r="MI73" s="20">
        <f ca="1">INDEX(OFFSET(DeathsTimeS!HeadRow,ROW()-ROW(DeathsTimeS!HeadRow),0,1,COLUMNS(DeathsTimeS!HeadRow)),1,MATCH(MI$5,DeathsTimeS!HeadRow,0))/MI$8</f>
        <v>216.69146415502073</v>
      </c>
      <c r="MJ73" s="278">
        <f ca="1">$A73 - DeathsTimeS!Italy100dt</f>
        <v>21</v>
      </c>
      <c r="MK73" s="20">
        <f ca="1">INDEX(OFFSET(DeathsTimeS!HeadRow,ROW()-ROW(DeathsTimeS!HeadRow),0,1,COLUMNS(DeathsTimeS!HeadRow)),1,MATCH(MK$5,DeathsTimeS!HeadRow,0))/MK$8</f>
        <v>1127.5522856906671</v>
      </c>
      <c r="ML73" s="278">
        <f ca="1">$A73 - DeathsTimeS!AustralianCapitalTerritory100dt</f>
        <v>-6</v>
      </c>
      <c r="MM73" s="11">
        <f ca="1">INDEX(OFFSET(DeathsTimeS!HeadRow,ROW()-ROW(DeathsTimeS!HeadRow),0,1,COLUMNS(DeathsTimeS!HeadRow)),1,MATCH(MM$5,DeathsTimeS!HeadRow,0))/MM$8</f>
        <v>0</v>
      </c>
      <c r="MN73" s="278">
        <f ca="1">IF(DeathsTimeS!NorthernTerritory100dt&gt;0,$A73 - DeathsTimeS!NorthernTerritory100dt,"")</f>
        <v>-34</v>
      </c>
      <c r="MO73" s="11">
        <f ca="1">INDEX(OFFSET(DeathsTimeS!HeadRow,ROW()-ROW(DeathsTimeS!HeadRow),0,1,COLUMNS(DeathsTimeS!HeadRow)),1,MATCH(MO$5,DeathsTimeS!HeadRow,0))/MO$8</f>
        <v>0</v>
      </c>
      <c r="MP73" s="278">
        <f ca="1">$A73 - DeathsTimeS!SouthAfrica100dt + 1</f>
        <v>-26</v>
      </c>
      <c r="MQ73" s="20">
        <f ca="1">INDEX(OFFSET(DeathsTimeS!HeadRow,ROW()-ROW(DeathsTimeS!HeadRow),0,1,COLUMNS(DeathsTimeS!HeadRow)),1,MATCH(MQ$5,DeathsTimeS!HeadRow,0))/MQ$8</f>
        <v>0</v>
      </c>
      <c r="MR73" s="278">
        <f ca="1">$A73 - DeathsTimeS!Germany100dt + 1</f>
        <v>4</v>
      </c>
      <c r="MS73" s="20">
        <f ca="1">INDEX(OFFSET(DeathsTimeS!HeadRow,ROW()-ROW(DeathsTimeS!HeadRow),0,1,COLUMNS(DeathsTimeS!HeadRow)),1,MATCH(MS$5,DeathsTimeS!HeadRow,0))/MS$8</f>
        <v>18.911105757648759</v>
      </c>
      <c r="MT73" s="278">
        <f ca="1">$A73 - DeathsTimeS!Ireland100dt + 1</f>
        <v>2</v>
      </c>
      <c r="MU73" s="73">
        <f ca="1">INDEX(OFFSET(DeathsTimeS!HeadRow,ROW()-ROW(DeathsTimeS!HeadRow),0,1,COLUMNS(DeathsTimeS!HeadRow)),1,MATCH(MU$5,DeathsTimeS!HeadRow,0))/MU$8</f>
        <v>14.285714285714286</v>
      </c>
      <c r="MV73" s="278">
        <f ca="1">$A73 - DeathsTimeS!UnitedKingdom100dt + 1</f>
        <v>8</v>
      </c>
      <c r="MW73" s="73">
        <f ca="1">INDEX(OFFSET(DeathsTimeS!HeadRow,ROW()-ROW(DeathsTimeS!HeadRow),0,1,COLUMNS(DeathsTimeS!HeadRow)),1,MATCH(MW$5,DeathsTimeS!HeadRow,0))/MW$8</f>
        <v>76.459963877182417</v>
      </c>
      <c r="MX73" s="278">
        <f ca="1">$A73 - DeathsTimeS!Denmark100dt + 1</f>
        <v>6</v>
      </c>
      <c r="MY73" s="73">
        <f ca="1">INDEX(OFFSET(DeathsTimeS!HeadRow,ROW()-ROW(DeathsTimeS!HeadRow),0,1,COLUMNS(DeathsTimeS!HeadRow)),1,MATCH(MY$5,DeathsTimeS!HeadRow,0))/MY$8</f>
        <v>55.115397864278336</v>
      </c>
      <c r="MZ73" s="278">
        <f ca="1">$A73 - DeathsTimeS!US100dt + 1</f>
        <v>5</v>
      </c>
      <c r="NA73" s="73">
        <f ca="1">INDEX(OFFSET(DeathsTimeS!HeadRow,ROW()-ROW(DeathsTimeS!HeadRow),0,1,COLUMNS(DeathsTimeS!HeadRow)),1,MATCH(NA$5,DeathsTimeS!HeadRow,0))/NA$8</f>
        <v>30.617103577898327</v>
      </c>
      <c r="NB73" s="278">
        <f ca="1">$A73 - DeathsTimeS!AustraliaSum100dt + 1</f>
        <v>-1</v>
      </c>
      <c r="NC73" s="366">
        <f t="shared" si="6"/>
        <v>8</v>
      </c>
      <c r="ND73" s="278">
        <f ca="1">$A73 - DeathsTimeS!Taiwan100dt + 1</f>
        <v>-33</v>
      </c>
      <c r="NE73" s="366">
        <f ca="1">INDEX(OFFSET(DeathsTimeS!HeadRow,ROW()-ROW(DeathsTimeS!HeadRow),0,1,COLUMNS(DeathsTimeS!HeadRow)),1,MATCH(NE$5,DeathsTimeS!HeadRow,0))/NE$8</f>
        <v>0.84007909848759721</v>
      </c>
      <c r="NF73" s="278">
        <f ca="1">$A73 - DeathsTimeS!Hubei100dt + 1</f>
        <v>58</v>
      </c>
      <c r="NG73" s="366">
        <f ca="1">INDEX(OFFSET(DeathsTimeS!HeadRow,ROW()-ROW(DeathsTimeS!HeadRow),0,1,COLUMNS(DeathsTimeS!HeadRow)),1,MATCH(NG$5,DeathsTimeS!HeadRow,0))/NG$8</f>
        <v>540.17094017094018</v>
      </c>
      <c r="NH73" s="278">
        <f ca="1">$A73 - DeathsTimeS!HongKong100dt + 1</f>
        <v>-33</v>
      </c>
      <c r="NI73" s="366">
        <f ca="1">INDEX(OFFSET(DeathsTimeS!HeadRow,ROW()-ROW(DeathsTimeS!HeadRow),0,1,COLUMNS(DeathsTimeS!HeadRow)),1,MATCH(NI$5,DeathsTimeS!HeadRow,0))/NI$8</f>
        <v>5.3684069252449333</v>
      </c>
    </row>
    <row r="74" spans="1:373" x14ac:dyDescent="0.25">
      <c r="A74" s="156">
        <v>43915</v>
      </c>
      <c r="B74" s="25">
        <v>2</v>
      </c>
      <c r="C74" s="25">
        <v>5</v>
      </c>
      <c r="D74" s="25">
        <v>21</v>
      </c>
      <c r="E74" s="25">
        <v>1</v>
      </c>
      <c r="F74" s="25">
        <v>0</v>
      </c>
      <c r="G74" s="25">
        <v>0</v>
      </c>
      <c r="H74" s="25">
        <v>8</v>
      </c>
      <c r="I74" s="25">
        <v>0</v>
      </c>
      <c r="J74" s="25">
        <v>0</v>
      </c>
      <c r="K74" s="25">
        <v>7</v>
      </c>
      <c r="L74" s="25">
        <v>0</v>
      </c>
      <c r="M74" s="25">
        <v>0</v>
      </c>
      <c r="N74" s="25">
        <v>0</v>
      </c>
      <c r="O74" s="25">
        <v>0</v>
      </c>
      <c r="P74" s="25">
        <v>0</v>
      </c>
      <c r="Q74" s="25">
        <v>1</v>
      </c>
      <c r="R74" s="25">
        <v>30</v>
      </c>
      <c r="S74" s="25">
        <v>2</v>
      </c>
      <c r="T74" s="25">
        <v>0</v>
      </c>
      <c r="U74" s="25">
        <v>4</v>
      </c>
      <c r="V74" s="25">
        <v>5</v>
      </c>
      <c r="W74" s="25">
        <v>0</v>
      </c>
      <c r="X74" s="25">
        <v>0</v>
      </c>
      <c r="Y74" s="25">
        <v>178</v>
      </c>
      <c r="Z74" s="25">
        <v>0</v>
      </c>
      <c r="AA74" s="25">
        <v>0</v>
      </c>
      <c r="AB74" s="25">
        <v>0</v>
      </c>
      <c r="AC74" s="25">
        <v>3</v>
      </c>
      <c r="AD74" s="25">
        <v>59</v>
      </c>
      <c r="AE74" s="25">
        <v>0</v>
      </c>
      <c r="AF74" s="25">
        <v>3</v>
      </c>
      <c r="AG74" s="25">
        <v>4</v>
      </c>
      <c r="AH74" s="25">
        <v>1</v>
      </c>
      <c r="AI74" s="25">
        <v>0</v>
      </c>
      <c r="AJ74" s="25">
        <v>1</v>
      </c>
      <c r="AK74" s="25">
        <v>2</v>
      </c>
      <c r="AL74" s="25">
        <v>13</v>
      </c>
      <c r="AM74" s="25">
        <v>0</v>
      </c>
      <c r="AN74" s="25">
        <v>0</v>
      </c>
      <c r="AO74" s="25">
        <v>0</v>
      </c>
      <c r="AP74" s="25">
        <v>0</v>
      </c>
      <c r="AQ74" s="25">
        <v>0</v>
      </c>
      <c r="AR74" s="25">
        <v>8</v>
      </c>
      <c r="AS74" s="25">
        <v>0</v>
      </c>
      <c r="AT74" s="25">
        <v>6</v>
      </c>
      <c r="AU74" s="25">
        <v>0</v>
      </c>
      <c r="AV74" s="25">
        <v>0</v>
      </c>
      <c r="AW74" s="25">
        <v>0</v>
      </c>
      <c r="AX74" s="25">
        <v>3</v>
      </c>
      <c r="AY74" s="25">
        <v>6</v>
      </c>
      <c r="AZ74" s="25">
        <v>8</v>
      </c>
      <c r="BA74" s="25">
        <v>6</v>
      </c>
      <c r="BB74" s="25">
        <v>1</v>
      </c>
      <c r="BC74" s="25">
        <v>2</v>
      </c>
      <c r="BD74" s="25">
        <v>8</v>
      </c>
      <c r="BE74" s="25">
        <v>2</v>
      </c>
      <c r="BF74" s="25">
        <v>2</v>
      </c>
      <c r="BG74" s="25">
        <v>6</v>
      </c>
      <c r="BH74" s="25">
        <v>6</v>
      </c>
      <c r="BI74" s="25">
        <v>13</v>
      </c>
      <c r="BJ74" s="25">
        <v>22</v>
      </c>
      <c r="BK74" s="25">
        <v>4</v>
      </c>
      <c r="BL74" s="25">
        <v>3163</v>
      </c>
      <c r="BM74" s="25">
        <v>4</v>
      </c>
      <c r="BN74" s="25">
        <v>1</v>
      </c>
      <c r="BO74" s="25">
        <v>0</v>
      </c>
      <c r="BP74" s="25">
        <v>1</v>
      </c>
      <c r="BQ74" s="25">
        <v>1</v>
      </c>
      <c r="BR74" s="25">
        <v>2</v>
      </c>
      <c r="BS74" s="25">
        <v>0</v>
      </c>
      <c r="BT74" s="25">
        <v>0</v>
      </c>
      <c r="BU74" s="25">
        <v>0</v>
      </c>
      <c r="BV74" s="25">
        <v>3</v>
      </c>
      <c r="BW74" s="25">
        <v>7</v>
      </c>
      <c r="BX74" s="25">
        <v>5</v>
      </c>
      <c r="BY74" s="25">
        <v>0</v>
      </c>
      <c r="BZ74" s="25">
        <v>3</v>
      </c>
      <c r="CA74" s="25">
        <v>3</v>
      </c>
      <c r="CB74" s="25">
        <v>0</v>
      </c>
      <c r="CC74" s="25">
        <v>3</v>
      </c>
      <c r="CD74" s="25">
        <v>2</v>
      </c>
      <c r="CE74" s="25">
        <v>1</v>
      </c>
      <c r="CF74" s="25">
        <v>4</v>
      </c>
      <c r="CG74" s="25">
        <v>0</v>
      </c>
      <c r="CH74" s="25">
        <v>2</v>
      </c>
      <c r="CI74" s="25">
        <v>2</v>
      </c>
      <c r="CJ74" s="25">
        <v>0</v>
      </c>
      <c r="CK74" s="25">
        <v>1</v>
      </c>
      <c r="CL74" s="25">
        <v>10</v>
      </c>
      <c r="CM74" s="25">
        <v>1</v>
      </c>
      <c r="CN74" s="25">
        <v>3</v>
      </c>
      <c r="CO74" s="25">
        <v>6</v>
      </c>
      <c r="CP74" s="25">
        <v>0</v>
      </c>
      <c r="CQ74" s="25">
        <v>0</v>
      </c>
      <c r="CR74" s="25">
        <v>34</v>
      </c>
      <c r="CS74" s="25">
        <v>0</v>
      </c>
      <c r="CT74" s="25">
        <v>10</v>
      </c>
      <c r="CU74" s="25">
        <v>28</v>
      </c>
      <c r="CV74" s="25">
        <v>21</v>
      </c>
      <c r="CW74" s="25">
        <v>0</v>
      </c>
      <c r="CX74" s="25">
        <v>0</v>
      </c>
      <c r="CY74" s="25">
        <v>0</v>
      </c>
      <c r="CZ74" s="25">
        <v>1</v>
      </c>
      <c r="DA74" s="25">
        <v>0</v>
      </c>
      <c r="DB74" s="25">
        <v>0</v>
      </c>
      <c r="DC74" s="25">
        <v>0</v>
      </c>
      <c r="DD74" s="25">
        <v>3</v>
      </c>
      <c r="DE74" s="25">
        <v>0</v>
      </c>
      <c r="DF74" s="25">
        <v>0</v>
      </c>
      <c r="DG74" s="25">
        <v>1</v>
      </c>
      <c r="DH74" s="25">
        <v>0</v>
      </c>
      <c r="DI74" s="25">
        <v>0</v>
      </c>
      <c r="DJ74" s="25">
        <v>0</v>
      </c>
      <c r="DK74" s="25">
        <v>0</v>
      </c>
      <c r="DL74" s="25">
        <v>0</v>
      </c>
      <c r="DM74" s="25">
        <v>1</v>
      </c>
      <c r="DN74" s="25">
        <v>1331</v>
      </c>
      <c r="DO74" s="25">
        <v>1</v>
      </c>
      <c r="DP74" s="25">
        <v>1</v>
      </c>
      <c r="DQ74" s="25">
        <v>0</v>
      </c>
      <c r="DR74" s="25">
        <v>206</v>
      </c>
      <c r="DS74" s="25">
        <v>4</v>
      </c>
      <c r="DT74" s="25">
        <v>22</v>
      </c>
      <c r="DU74" s="25">
        <v>1</v>
      </c>
      <c r="DV74" s="25">
        <v>0</v>
      </c>
      <c r="DW74" s="25">
        <v>1</v>
      </c>
      <c r="DX74" s="25">
        <v>0</v>
      </c>
      <c r="DY74" s="25">
        <v>0</v>
      </c>
      <c r="DZ74" s="25">
        <v>0</v>
      </c>
      <c r="EA74" s="25">
        <v>10</v>
      </c>
      <c r="EB74" s="25">
        <v>2</v>
      </c>
      <c r="EC74" s="25">
        <v>12</v>
      </c>
      <c r="ED74" s="25">
        <v>58</v>
      </c>
      <c r="EE74" s="25">
        <v>2077</v>
      </c>
      <c r="EF74" s="25">
        <v>29</v>
      </c>
      <c r="EG74" s="25">
        <v>9</v>
      </c>
      <c r="EH74" s="25">
        <v>5</v>
      </c>
      <c r="EI74" s="25">
        <v>7503</v>
      </c>
      <c r="EJ74" s="25">
        <v>1</v>
      </c>
      <c r="EK74" s="25">
        <v>45</v>
      </c>
      <c r="EL74" s="25">
        <v>0</v>
      </c>
      <c r="EM74" s="25">
        <v>0</v>
      </c>
      <c r="EN74" s="25">
        <v>0</v>
      </c>
      <c r="EO74" s="25">
        <v>126</v>
      </c>
      <c r="EP74" s="25">
        <v>0</v>
      </c>
      <c r="EQ74" s="25">
        <v>0</v>
      </c>
      <c r="ER74" s="25">
        <v>0</v>
      </c>
      <c r="ES74" s="25">
        <v>6</v>
      </c>
      <c r="ET74" s="25">
        <v>0</v>
      </c>
      <c r="EU74" s="25">
        <v>0</v>
      </c>
      <c r="EV74" s="25">
        <v>4</v>
      </c>
      <c r="EW74" s="25">
        <v>8</v>
      </c>
      <c r="EX74" s="25">
        <v>0</v>
      </c>
      <c r="EY74" s="25">
        <v>20</v>
      </c>
      <c r="EZ74" s="25">
        <v>0</v>
      </c>
      <c r="FA74" s="25">
        <v>0</v>
      </c>
      <c r="FB74" s="25">
        <v>0</v>
      </c>
      <c r="FC74" s="25">
        <v>2</v>
      </c>
      <c r="FD74" s="25">
        <v>6</v>
      </c>
      <c r="FE74" s="25">
        <v>1</v>
      </c>
      <c r="FF74" s="25">
        <v>0</v>
      </c>
      <c r="FG74" s="25">
        <v>0</v>
      </c>
      <c r="FH74" s="25">
        <v>1</v>
      </c>
      <c r="FI74" s="25">
        <v>6</v>
      </c>
      <c r="FJ74" s="25">
        <v>0</v>
      </c>
      <c r="FK74" s="25">
        <v>0</v>
      </c>
      <c r="FL74" s="25">
        <v>0</v>
      </c>
      <c r="FM74" s="25">
        <v>1</v>
      </c>
      <c r="FN74" s="25">
        <v>0</v>
      </c>
      <c r="FO74" s="25">
        <v>356</v>
      </c>
      <c r="FP74" s="25">
        <v>0</v>
      </c>
      <c r="FQ74" s="25">
        <v>0</v>
      </c>
      <c r="FR74" s="25">
        <v>1</v>
      </c>
      <c r="FS74" s="25">
        <v>1</v>
      </c>
      <c r="FT74" s="25">
        <v>3</v>
      </c>
      <c r="FU74" s="25">
        <v>14</v>
      </c>
      <c r="FV74" s="25">
        <v>0</v>
      </c>
      <c r="FW74" s="25">
        <v>8</v>
      </c>
      <c r="FX74" s="25">
        <v>8</v>
      </c>
      <c r="FY74" s="25">
        <v>0</v>
      </c>
      <c r="FZ74" s="25">
        <v>3</v>
      </c>
      <c r="GA74" s="25">
        <v>9</v>
      </c>
      <c r="GB74" s="25">
        <v>38</v>
      </c>
      <c r="GC74" s="25">
        <v>14</v>
      </c>
      <c r="GD74" s="25">
        <v>43</v>
      </c>
      <c r="GE74" s="25">
        <v>0</v>
      </c>
      <c r="GF74" s="25">
        <v>17</v>
      </c>
      <c r="GG74" s="25">
        <v>3</v>
      </c>
      <c r="GH74" s="25">
        <v>0</v>
      </c>
      <c r="GI74" s="25">
        <v>0</v>
      </c>
      <c r="GJ74" s="25">
        <v>0</v>
      </c>
      <c r="GK74" s="25">
        <v>21</v>
      </c>
      <c r="GL74" s="25">
        <v>2</v>
      </c>
      <c r="GM74" s="25">
        <v>0</v>
      </c>
      <c r="GN74" s="25">
        <v>4</v>
      </c>
      <c r="GO74" s="25">
        <v>0</v>
      </c>
      <c r="GP74" s="25">
        <v>2</v>
      </c>
      <c r="GQ74" s="25">
        <v>0</v>
      </c>
      <c r="GR74" s="25">
        <v>5</v>
      </c>
      <c r="GS74" s="25">
        <v>0</v>
      </c>
      <c r="GT74" s="25">
        <v>0</v>
      </c>
      <c r="GU74" s="25">
        <v>3647</v>
      </c>
      <c r="GV74" s="25">
        <v>0</v>
      </c>
      <c r="GW74" s="25">
        <v>1</v>
      </c>
      <c r="GX74" s="25">
        <v>0</v>
      </c>
      <c r="GY74" s="46">
        <v>62</v>
      </c>
      <c r="GZ74" s="25">
        <v>153</v>
      </c>
      <c r="HA74" s="25">
        <v>2</v>
      </c>
      <c r="HB74" s="25">
        <v>0</v>
      </c>
      <c r="HC74" s="25">
        <v>4</v>
      </c>
      <c r="HD74" s="25">
        <v>0</v>
      </c>
      <c r="HE74" s="25">
        <v>1</v>
      </c>
      <c r="HF74" s="25">
        <v>5</v>
      </c>
      <c r="HG74" s="25">
        <v>59</v>
      </c>
      <c r="HH74" s="25">
        <v>0</v>
      </c>
      <c r="HI74" s="25">
        <v>5</v>
      </c>
      <c r="HJ74" s="25">
        <v>2</v>
      </c>
      <c r="HK74" s="25">
        <v>0</v>
      </c>
      <c r="HL74" s="25">
        <v>1</v>
      </c>
      <c r="HM74" s="25">
        <v>0</v>
      </c>
      <c r="HN74" s="25">
        <v>0</v>
      </c>
      <c r="HO74" s="25">
        <v>0</v>
      </c>
      <c r="HP74" s="25">
        <v>0</v>
      </c>
      <c r="HQ74" s="25">
        <v>694</v>
      </c>
      <c r="HR74" s="25">
        <v>0</v>
      </c>
      <c r="HS74" s="25">
        <v>1316</v>
      </c>
      <c r="HT74" s="25">
        <v>0</v>
      </c>
      <c r="HU74" s="25">
        <v>0</v>
      </c>
      <c r="HV74" s="25">
        <v>0</v>
      </c>
      <c r="HW74" s="25">
        <v>0</v>
      </c>
      <c r="HX74" s="25">
        <v>1</v>
      </c>
      <c r="HY74" s="25">
        <v>1</v>
      </c>
      <c r="HZ74" s="25">
        <v>0</v>
      </c>
      <c r="IA74" s="25">
        <v>0</v>
      </c>
      <c r="IB74" s="25">
        <v>0</v>
      </c>
      <c r="IC74" s="25">
        <v>0</v>
      </c>
      <c r="ID74" s="25">
        <v>0</v>
      </c>
      <c r="IE74" s="25">
        <v>0</v>
      </c>
      <c r="IF74" s="25">
        <v>0</v>
      </c>
      <c r="IG74" s="25">
        <v>0</v>
      </c>
      <c r="IH74" s="25">
        <v>0</v>
      </c>
      <c r="II74" s="25">
        <v>0</v>
      </c>
      <c r="IJ74" s="25">
        <v>0</v>
      </c>
      <c r="IK74" s="25">
        <v>0</v>
      </c>
      <c r="IL74" s="25">
        <v>0</v>
      </c>
      <c r="IM74" s="25">
        <v>0</v>
      </c>
      <c r="IN74" s="25">
        <v>0</v>
      </c>
      <c r="IO74" s="25">
        <v>0</v>
      </c>
      <c r="IP74" s="25">
        <v>0</v>
      </c>
      <c r="IQ74" s="25">
        <v>0</v>
      </c>
      <c r="IR74" s="25">
        <v>0</v>
      </c>
      <c r="IS74" s="25">
        <v>0</v>
      </c>
      <c r="IT74" s="25">
        <v>0</v>
      </c>
      <c r="IU74" s="25">
        <v>0</v>
      </c>
      <c r="IV74" s="25">
        <v>0</v>
      </c>
      <c r="IW74" s="25">
        <v>0</v>
      </c>
      <c r="IX74" s="25">
        <v>0</v>
      </c>
      <c r="IY74" s="25">
        <v>0</v>
      </c>
      <c r="IZ74" s="25">
        <v>0</v>
      </c>
      <c r="JA74" s="25">
        <v>0</v>
      </c>
      <c r="JB74" s="25">
        <v>0</v>
      </c>
      <c r="JC74" s="25">
        <v>0</v>
      </c>
      <c r="JD74" s="25">
        <v>0</v>
      </c>
      <c r="JE74" s="25">
        <v>0</v>
      </c>
      <c r="JF74" s="25">
        <v>0</v>
      </c>
      <c r="JG74" s="25">
        <v>0</v>
      </c>
      <c r="JH74" s="25">
        <v>0</v>
      </c>
      <c r="JI74" s="25">
        <v>1</v>
      </c>
      <c r="JJ74" s="25">
        <v>0</v>
      </c>
      <c r="JK74" s="25">
        <v>2</v>
      </c>
      <c r="JL74" s="25">
        <v>0</v>
      </c>
      <c r="JM74" s="25">
        <v>1</v>
      </c>
      <c r="JN74" s="25">
        <v>1</v>
      </c>
      <c r="JO74" s="25">
        <v>6</v>
      </c>
      <c r="JP74" s="25">
        <v>2</v>
      </c>
      <c r="JQ74" s="25">
        <v>65</v>
      </c>
      <c r="JR74" s="25">
        <v>16</v>
      </c>
      <c r="JS74" s="25">
        <v>19</v>
      </c>
      <c r="JT74" s="25">
        <v>0</v>
      </c>
      <c r="JU74" s="25">
        <v>2</v>
      </c>
      <c r="JV74" s="25">
        <v>23</v>
      </c>
      <c r="JW74" s="25">
        <v>40</v>
      </c>
      <c r="JX74" s="25">
        <v>0</v>
      </c>
      <c r="JY74" s="25">
        <v>0</v>
      </c>
      <c r="JZ74" s="25">
        <v>19</v>
      </c>
      <c r="KA74" s="25">
        <v>14</v>
      </c>
      <c r="KB74" s="25">
        <v>1</v>
      </c>
      <c r="KC74" s="25">
        <v>3</v>
      </c>
      <c r="KD74" s="25">
        <v>5</v>
      </c>
      <c r="KE74" s="25">
        <v>65</v>
      </c>
      <c r="KF74" s="25">
        <v>0</v>
      </c>
      <c r="KG74" s="25">
        <v>4</v>
      </c>
      <c r="KH74" s="25">
        <v>15</v>
      </c>
      <c r="KI74" s="25">
        <v>43</v>
      </c>
      <c r="KJ74" s="25">
        <v>1</v>
      </c>
      <c r="KK74" s="25">
        <v>3</v>
      </c>
      <c r="KL74" s="25">
        <v>8</v>
      </c>
      <c r="KM74" s="25">
        <v>0</v>
      </c>
      <c r="KN74" s="25">
        <v>0</v>
      </c>
      <c r="KO74" s="25">
        <v>6</v>
      </c>
      <c r="KP74" s="25">
        <v>1</v>
      </c>
      <c r="KQ74" s="25">
        <v>62</v>
      </c>
      <c r="KR74" s="25">
        <v>1</v>
      </c>
      <c r="KS74" s="25">
        <v>659</v>
      </c>
      <c r="KT74" s="25">
        <v>2</v>
      </c>
      <c r="KU74" s="25">
        <v>0</v>
      </c>
      <c r="KV74" s="25">
        <v>11</v>
      </c>
      <c r="KW74" s="25">
        <v>5</v>
      </c>
      <c r="KX74" s="25">
        <v>10</v>
      </c>
      <c r="KY74" s="25">
        <v>15</v>
      </c>
      <c r="KZ74" s="25">
        <v>0</v>
      </c>
      <c r="LA74" s="25">
        <v>7</v>
      </c>
      <c r="LB74" s="25">
        <v>1</v>
      </c>
      <c r="LC74" s="25">
        <v>3</v>
      </c>
      <c r="LD74" s="25">
        <v>15</v>
      </c>
      <c r="LE74" s="25">
        <v>1</v>
      </c>
      <c r="LF74" s="25">
        <v>8</v>
      </c>
      <c r="LG74" s="25">
        <v>9</v>
      </c>
      <c r="LH74" s="25">
        <v>133</v>
      </c>
      <c r="LI74" s="25">
        <v>0</v>
      </c>
      <c r="LJ74" s="25">
        <v>7</v>
      </c>
      <c r="LK74" s="25">
        <v>0</v>
      </c>
      <c r="LL74" s="25">
        <v>0</v>
      </c>
      <c r="LM74" s="25">
        <v>1</v>
      </c>
      <c r="LN74" s="278">
        <f ca="1">$A74 - DeathsTimeS!Sweden100dt + 1</f>
        <v>7</v>
      </c>
      <c r="LO74" s="366">
        <f ca="1">INDEX(OFFSET(DeathsTimeS!HeadRow,ROW()-ROW(DeathsTimeS!HeadRow),0,1,COLUMNS(DeathsTimeS!HeadRow)),1,MATCH(LO$5,DeathsTimeS!HeadRow,0))/LO$8</f>
        <v>60.606060606060609</v>
      </c>
      <c r="LP74" s="278">
        <f ca="1">$A74 - DeathsTimeS!Spain100dt</f>
        <v>14</v>
      </c>
      <c r="LQ74" s="11">
        <f ca="1">INDEX(OFFSET(DeathsTimeS!HeadRow,ROW()-ROW(DeathsTimeS!HeadRow),0,1,COLUMNS(DeathsTimeS!HeadRow)),1,MATCH(LQ$5,DeathsTimeS!HeadRow,0))/LQ$8</f>
        <v>776.94929697486157</v>
      </c>
      <c r="LR74" s="278">
        <f ca="1">$A74 - DeathsTimeS!Victoria100dt</f>
        <v>-9</v>
      </c>
      <c r="LS74" s="11">
        <f ca="1">INDEX(OFFSET(DeathsTimeS!HeadRow,ROW()-ROW(DeathsTimeS!HeadRow),0,1,COLUMNS(DeathsTimeS!HeadRow)),1,MATCH(LS$5,DeathsTimeS!HeadRow,0))/LS$8</f>
        <v>0</v>
      </c>
      <c r="LT74" s="278">
        <f ca="1">$A74 - DeathsTimeS!Iran100dt</f>
        <v>21</v>
      </c>
      <c r="LU74" s="11">
        <f ca="1">INDEX(OFFSET(DeathsTimeS!HeadRow,ROW()-ROW(DeathsTimeS!HeadRow),0,1,COLUMNS(DeathsTimeS!HeadRow)),1,MATCH(LU$5,DeathsTimeS!HeadRow,0))/LU$8</f>
        <v>247.93191123631721</v>
      </c>
      <c r="LV74" s="278">
        <f ca="1">$A74 - DeathsTimeS!Japan100dt</f>
        <v>-20</v>
      </c>
      <c r="LW74" s="11">
        <f ca="1">INDEX(OFFSET(DeathsTimeS!HeadRow,ROW()-ROW(DeathsTimeS!HeadRow),0,1,COLUMNS(DeathsTimeS!HeadRow)),1,MATCH(LW$5,DeathsTimeS!HeadRow,0))/LW$8</f>
        <v>3.5557886607685405</v>
      </c>
      <c r="LX74" s="278">
        <f ca="1">$A74 - DeathsTimeS!Queensland100dt</f>
        <v>-24</v>
      </c>
      <c r="LY74" s="11">
        <f ca="1">INDEX(OFFSET(DeathsTimeS!HeadRow,ROW()-ROW(DeathsTimeS!HeadRow),0,1,COLUMNS(DeathsTimeS!HeadRow)),1,MATCH(LY$5,DeathsTimeS!HeadRow,0))/LY$8</f>
        <v>0</v>
      </c>
      <c r="LZ74" s="278">
        <f ca="1">$A74 - DeathsTimeS!Tasmania100dt</f>
        <v>-6</v>
      </c>
      <c r="MA74" s="11">
        <f ca="1">INDEX(OFFSET(DeathsTimeS!HeadRow,ROW()-ROW(DeathsTimeS!HeadRow),0,1,COLUMNS(DeathsTimeS!HeadRow)),1,MATCH(MA$5,DeathsTimeS!HeadRow,0))/MA$8</f>
        <v>0</v>
      </c>
      <c r="MB74" s="278">
        <f ca="1">$A74 - DeathsTimeS!SouthAustralia100dt</f>
        <v>-14</v>
      </c>
      <c r="MC74" s="11">
        <f ca="1">INDEX(OFFSET(DeathsTimeS!HeadRow,ROW()-ROW(DeathsTimeS!HeadRow),0,1,COLUMNS(DeathsTimeS!HeadRow)),1,MATCH(MC$5,DeathsTimeS!HeadRow,0))/MC$8</f>
        <v>0</v>
      </c>
      <c r="MD74" s="278">
        <f ca="1">$A74 - DeathsTimeS!WesternAustralia100dt</f>
        <v>-11</v>
      </c>
      <c r="ME74" s="11">
        <f ca="1">INDEX(OFFSET(DeathsTimeS!HeadRow,ROW()-ROW(DeathsTimeS!HeadRow),0,1,COLUMNS(DeathsTimeS!HeadRow)),1,MATCH(ME$5,DeathsTimeS!HeadRow,0))/ME$8</f>
        <v>3.8624951718810348</v>
      </c>
      <c r="MF74" s="278">
        <f ca="1">$A74 - DeathsTimeS!NewSouthWales100dt</f>
        <v>-7</v>
      </c>
      <c r="MG74" s="11">
        <f ca="1">INDEX(OFFSET(DeathsTimeS!HeadRow,ROW()-ROW(DeathsTimeS!HeadRow),0,1,COLUMNS(DeathsTimeS!HeadRow)),1,MATCH(MG$5,DeathsTimeS!HeadRow,0))/MG$8</f>
        <v>8.6633663366336631</v>
      </c>
      <c r="MH74" s="278">
        <f ca="1">$A74 - DeathsTimeS!NewYork100dt</f>
        <v>9</v>
      </c>
      <c r="MI74" s="20">
        <f ca="1">INDEX(OFFSET(DeathsTimeS!HeadRow,ROW()-ROW(DeathsTimeS!HeadRow),0,1,COLUMNS(DeathsTimeS!HeadRow)),1,MATCH(MI$5,DeathsTimeS!HeadRow,0))/MI$8</f>
        <v>278.90561499640364</v>
      </c>
      <c r="MJ74" s="278">
        <f ca="1">$A74 - DeathsTimeS!Italy100dt</f>
        <v>22</v>
      </c>
      <c r="MK74" s="20">
        <f ca="1">INDEX(OFFSET(DeathsTimeS!HeadRow,ROW()-ROW(DeathsTimeS!HeadRow),0,1,COLUMNS(DeathsTimeS!HeadRow)),1,MATCH(MK$5,DeathsTimeS!HeadRow,0))/MK$8</f>
        <v>1240.4728445069027</v>
      </c>
      <c r="ML74" s="278">
        <f ca="1">$A74 - DeathsTimeS!AustralianCapitalTerritory100dt</f>
        <v>-5</v>
      </c>
      <c r="MM74" s="11">
        <f ca="1">INDEX(OFFSET(DeathsTimeS!HeadRow,ROW()-ROW(DeathsTimeS!HeadRow),0,1,COLUMNS(DeathsTimeS!HeadRow)),1,MATCH(MM$5,DeathsTimeS!HeadRow,0))/MM$8</f>
        <v>0</v>
      </c>
      <c r="MN74" s="278">
        <f ca="1">IF(DeathsTimeS!NorthernTerritory100dt&gt;0,$A74 - DeathsTimeS!NorthernTerritory100dt,"")</f>
        <v>-33</v>
      </c>
      <c r="MO74" s="11">
        <f ca="1">INDEX(OFFSET(DeathsTimeS!HeadRow,ROW()-ROW(DeathsTimeS!HeadRow),0,1,COLUMNS(DeathsTimeS!HeadRow)),1,MATCH(MO$5,DeathsTimeS!HeadRow,0))/MO$8</f>
        <v>0</v>
      </c>
      <c r="MP74" s="278">
        <f ca="1">$A74 - DeathsTimeS!SouthAfrica100dt + 1</f>
        <v>-25</v>
      </c>
      <c r="MQ74" s="20">
        <f ca="1">INDEX(OFFSET(DeathsTimeS!HeadRow,ROW()-ROW(DeathsTimeS!HeadRow),0,1,COLUMNS(DeathsTimeS!HeadRow)),1,MATCH(MQ$5,DeathsTimeS!HeadRow,0))/MQ$8</f>
        <v>0</v>
      </c>
      <c r="MR74" s="278">
        <f ca="1">$A74 - DeathsTimeS!Germany100dt + 1</f>
        <v>5</v>
      </c>
      <c r="MS74" s="20">
        <f ca="1">INDEX(OFFSET(DeathsTimeS!HeadRow,ROW()-ROW(DeathsTimeS!HeadRow),0,1,COLUMNS(DeathsTimeS!HeadRow)),1,MATCH(MS$5,DeathsTimeS!HeadRow,0))/MS$8</f>
        <v>24.813298000481812</v>
      </c>
      <c r="MT74" s="278">
        <f ca="1">$A74 - DeathsTimeS!Ireland100dt + 1</f>
        <v>3</v>
      </c>
      <c r="MU74" s="73">
        <f ca="1">INDEX(OFFSET(DeathsTimeS!HeadRow,ROW()-ROW(DeathsTimeS!HeadRow),0,1,COLUMNS(DeathsTimeS!HeadRow)),1,MATCH(MU$5,DeathsTimeS!HeadRow,0))/MU$8</f>
        <v>18.367346938775512</v>
      </c>
      <c r="MV74" s="278">
        <f ca="1">$A74 - DeathsTimeS!UnitedKingdom100dt + 1</f>
        <v>9</v>
      </c>
      <c r="MW74" s="73">
        <f ca="1">INDEX(OFFSET(DeathsTimeS!HeadRow,ROW()-ROW(DeathsTimeS!HeadRow),0,1,COLUMNS(DeathsTimeS!HeadRow)),1,MATCH(MW$5,DeathsTimeS!HeadRow,0))/MW$8</f>
        <v>104.45514750150511</v>
      </c>
      <c r="MX74" s="278">
        <f ca="1">$A74 - DeathsTimeS!Denmark100dt + 1</f>
        <v>7</v>
      </c>
      <c r="MY74" s="73">
        <f ca="1">INDEX(OFFSET(DeathsTimeS!HeadRow,ROW()-ROW(DeathsTimeS!HeadRow),0,1,COLUMNS(DeathsTimeS!HeadRow)),1,MATCH(MY$5,DeathsTimeS!HeadRow,0))/MY$8</f>
        <v>58.560110230795729</v>
      </c>
      <c r="MZ74" s="278">
        <f ca="1">$A74 - DeathsTimeS!US100dt + 1</f>
        <v>6</v>
      </c>
      <c r="NA74" s="73">
        <f ca="1">INDEX(OFFSET(DeathsTimeS!HeadRow,ROW()-ROW(DeathsTimeS!HeadRow),0,1,COLUMNS(DeathsTimeS!HeadRow)),1,MATCH(NA$5,DeathsTimeS!HeadRow,0))/NA$8</f>
        <v>39.972329671145033</v>
      </c>
      <c r="NB74" s="278">
        <f ca="1">$A74 - DeathsTimeS!AustraliaSum100dt + 1</f>
        <v>0</v>
      </c>
      <c r="NC74" s="366">
        <f t="shared" si="6"/>
        <v>8</v>
      </c>
      <c r="ND74" s="278">
        <f ca="1">$A74 - DeathsTimeS!Taiwan100dt + 1</f>
        <v>-32</v>
      </c>
      <c r="NE74" s="366">
        <f ca="1">INDEX(OFFSET(DeathsTimeS!HeadRow,ROW()-ROW(DeathsTimeS!HeadRow),0,1,COLUMNS(DeathsTimeS!HeadRow)),1,MATCH(NE$5,DeathsTimeS!HeadRow,0))/NE$8</f>
        <v>0.84007909848759721</v>
      </c>
      <c r="NF74" s="278">
        <f ca="1">$A74 - DeathsTimeS!Hubei100dt + 1</f>
        <v>59</v>
      </c>
      <c r="NG74" s="366">
        <f ca="1">INDEX(OFFSET(DeathsTimeS!HeadRow,ROW()-ROW(DeathsTimeS!HeadRow),0,1,COLUMNS(DeathsTimeS!HeadRow)),1,MATCH(NG$5,DeathsTimeS!HeadRow,0))/NG$8</f>
        <v>540.68376068376074</v>
      </c>
      <c r="NH74" s="278">
        <f ca="1">$A74 - DeathsTimeS!HongKong100dt + 1</f>
        <v>-32</v>
      </c>
      <c r="NI74" s="366">
        <f ca="1">INDEX(OFFSET(DeathsTimeS!HeadRow,ROW()-ROW(DeathsTimeS!HeadRow),0,1,COLUMNS(DeathsTimeS!HeadRow)),1,MATCH(NI$5,DeathsTimeS!HeadRow,0))/NI$8</f>
        <v>5.3684069252449333</v>
      </c>
    </row>
    <row r="75" spans="1:373" x14ac:dyDescent="0.25">
      <c r="A75" s="156">
        <v>43916</v>
      </c>
      <c r="B75" s="25">
        <v>4</v>
      </c>
      <c r="C75" s="25">
        <v>6</v>
      </c>
      <c r="D75" s="25">
        <v>25</v>
      </c>
      <c r="E75" s="25">
        <v>3</v>
      </c>
      <c r="F75" s="25">
        <v>0</v>
      </c>
      <c r="G75" s="25">
        <v>0</v>
      </c>
      <c r="H75" s="25">
        <v>9</v>
      </c>
      <c r="I75" s="25">
        <v>1</v>
      </c>
      <c r="J75" s="25">
        <v>0</v>
      </c>
      <c r="K75" s="25">
        <v>7</v>
      </c>
      <c r="L75" s="25">
        <v>0</v>
      </c>
      <c r="M75" s="25">
        <v>1</v>
      </c>
      <c r="N75" s="25">
        <v>0</v>
      </c>
      <c r="O75" s="25">
        <v>0</v>
      </c>
      <c r="P75" s="25">
        <v>3</v>
      </c>
      <c r="Q75" s="25">
        <v>2</v>
      </c>
      <c r="R75" s="25">
        <v>49</v>
      </c>
      <c r="S75" s="25">
        <v>3</v>
      </c>
      <c r="T75" s="25">
        <v>0</v>
      </c>
      <c r="U75" s="25">
        <v>4</v>
      </c>
      <c r="V75" s="25">
        <v>5</v>
      </c>
      <c r="W75" s="25">
        <v>0</v>
      </c>
      <c r="X75" s="25">
        <v>0</v>
      </c>
      <c r="Y75" s="25">
        <v>220</v>
      </c>
      <c r="Z75" s="25">
        <v>0</v>
      </c>
      <c r="AA75" s="25">
        <v>0</v>
      </c>
      <c r="AB75" s="25">
        <v>0</v>
      </c>
      <c r="AC75" s="25">
        <v>3</v>
      </c>
      <c r="AD75" s="25">
        <v>77</v>
      </c>
      <c r="AE75" s="25">
        <v>0</v>
      </c>
      <c r="AF75" s="25">
        <v>3</v>
      </c>
      <c r="AG75" s="25">
        <v>7</v>
      </c>
      <c r="AH75" s="25">
        <v>1</v>
      </c>
      <c r="AI75" s="25">
        <v>0</v>
      </c>
      <c r="AJ75" s="25">
        <v>1</v>
      </c>
      <c r="AK75" s="25">
        <v>2</v>
      </c>
      <c r="AL75" s="25">
        <v>14</v>
      </c>
      <c r="AM75" s="25">
        <v>0</v>
      </c>
      <c r="AN75" s="25">
        <v>0</v>
      </c>
      <c r="AO75" s="25">
        <v>0</v>
      </c>
      <c r="AP75" s="25">
        <v>0</v>
      </c>
      <c r="AQ75" s="25">
        <v>0</v>
      </c>
      <c r="AR75" s="25">
        <v>13</v>
      </c>
      <c r="AS75" s="25">
        <v>0</v>
      </c>
      <c r="AT75" s="25">
        <v>8</v>
      </c>
      <c r="AU75" s="25">
        <v>0</v>
      </c>
      <c r="AV75" s="25">
        <v>0</v>
      </c>
      <c r="AW75" s="25">
        <v>0</v>
      </c>
      <c r="AX75" s="25">
        <v>4</v>
      </c>
      <c r="AY75" s="25">
        <v>6</v>
      </c>
      <c r="AZ75" s="25">
        <v>8</v>
      </c>
      <c r="BA75" s="25">
        <v>6</v>
      </c>
      <c r="BB75" s="25">
        <v>1</v>
      </c>
      <c r="BC75" s="25">
        <v>2</v>
      </c>
      <c r="BD75" s="25">
        <v>8</v>
      </c>
      <c r="BE75" s="25">
        <v>2</v>
      </c>
      <c r="BF75" s="25">
        <v>2</v>
      </c>
      <c r="BG75" s="25">
        <v>6</v>
      </c>
      <c r="BH75" s="25">
        <v>6</v>
      </c>
      <c r="BI75" s="25">
        <v>13</v>
      </c>
      <c r="BJ75" s="25">
        <v>22</v>
      </c>
      <c r="BK75" s="25">
        <v>4</v>
      </c>
      <c r="BL75" s="25">
        <v>3169</v>
      </c>
      <c r="BM75" s="25">
        <v>4</v>
      </c>
      <c r="BN75" s="25">
        <v>1</v>
      </c>
      <c r="BO75" s="25">
        <v>0</v>
      </c>
      <c r="BP75" s="25">
        <v>1</v>
      </c>
      <c r="BQ75" s="25">
        <v>1</v>
      </c>
      <c r="BR75" s="25">
        <v>2</v>
      </c>
      <c r="BS75" s="25">
        <v>0</v>
      </c>
      <c r="BT75" s="25">
        <v>0</v>
      </c>
      <c r="BU75" s="25">
        <v>0</v>
      </c>
      <c r="BV75" s="25">
        <v>3</v>
      </c>
      <c r="BW75" s="25">
        <v>7</v>
      </c>
      <c r="BX75" s="25">
        <v>5</v>
      </c>
      <c r="BY75" s="25">
        <v>0</v>
      </c>
      <c r="BZ75" s="25">
        <v>3</v>
      </c>
      <c r="CA75" s="25">
        <v>3</v>
      </c>
      <c r="CB75" s="25">
        <v>0</v>
      </c>
      <c r="CC75" s="25">
        <v>3</v>
      </c>
      <c r="CD75" s="25">
        <v>2</v>
      </c>
      <c r="CE75" s="25">
        <v>1</v>
      </c>
      <c r="CF75" s="25">
        <v>6</v>
      </c>
      <c r="CG75" s="25">
        <v>0</v>
      </c>
      <c r="CH75" s="25">
        <v>3</v>
      </c>
      <c r="CI75" s="25">
        <v>2</v>
      </c>
      <c r="CJ75" s="25">
        <v>0</v>
      </c>
      <c r="CK75" s="25">
        <v>3</v>
      </c>
      <c r="CL75" s="25">
        <v>10</v>
      </c>
      <c r="CM75" s="25">
        <v>2</v>
      </c>
      <c r="CN75" s="25">
        <v>3</v>
      </c>
      <c r="CO75" s="25">
        <v>9</v>
      </c>
      <c r="CP75" s="25">
        <v>0</v>
      </c>
      <c r="CQ75" s="25">
        <v>0</v>
      </c>
      <c r="CR75" s="25">
        <v>41</v>
      </c>
      <c r="CS75" s="25">
        <v>0</v>
      </c>
      <c r="CT75" s="25">
        <v>10</v>
      </c>
      <c r="CU75" s="25">
        <v>34</v>
      </c>
      <c r="CV75" s="25">
        <v>24</v>
      </c>
      <c r="CW75" s="25">
        <v>0</v>
      </c>
      <c r="CX75" s="25">
        <v>0</v>
      </c>
      <c r="CY75" s="25">
        <v>0</v>
      </c>
      <c r="CZ75" s="25">
        <v>1</v>
      </c>
      <c r="DA75" s="25">
        <v>0</v>
      </c>
      <c r="DB75" s="25">
        <v>0</v>
      </c>
      <c r="DC75" s="25">
        <v>0</v>
      </c>
      <c r="DD75" s="25">
        <v>5</v>
      </c>
      <c r="DE75" s="25">
        <v>0</v>
      </c>
      <c r="DF75" s="25">
        <v>0</v>
      </c>
      <c r="DG75" s="25">
        <v>1</v>
      </c>
      <c r="DH75" s="25">
        <v>0</v>
      </c>
      <c r="DI75" s="25">
        <v>0</v>
      </c>
      <c r="DJ75" s="25">
        <v>0</v>
      </c>
      <c r="DK75" s="25">
        <v>0</v>
      </c>
      <c r="DL75" s="25">
        <v>0</v>
      </c>
      <c r="DM75" s="25">
        <v>1</v>
      </c>
      <c r="DN75" s="25">
        <v>1696</v>
      </c>
      <c r="DO75" s="25">
        <v>1</v>
      </c>
      <c r="DP75" s="25">
        <v>1</v>
      </c>
      <c r="DQ75" s="25">
        <v>0</v>
      </c>
      <c r="DR75" s="25">
        <v>267</v>
      </c>
      <c r="DS75" s="25">
        <v>4</v>
      </c>
      <c r="DT75" s="25">
        <v>26</v>
      </c>
      <c r="DU75" s="25">
        <v>1</v>
      </c>
      <c r="DV75" s="25">
        <v>0</v>
      </c>
      <c r="DW75" s="25">
        <v>1</v>
      </c>
      <c r="DX75" s="25">
        <v>0</v>
      </c>
      <c r="DY75" s="25">
        <v>0</v>
      </c>
      <c r="DZ75" s="25">
        <v>1</v>
      </c>
      <c r="EA75" s="25">
        <v>10</v>
      </c>
      <c r="EB75" s="25">
        <v>2</v>
      </c>
      <c r="EC75" s="25">
        <v>20</v>
      </c>
      <c r="ED75" s="25">
        <v>78</v>
      </c>
      <c r="EE75" s="25">
        <v>2234</v>
      </c>
      <c r="EF75" s="25">
        <v>36</v>
      </c>
      <c r="EG75" s="25">
        <v>19</v>
      </c>
      <c r="EH75" s="25">
        <v>8</v>
      </c>
      <c r="EI75" s="25">
        <v>8215</v>
      </c>
      <c r="EJ75" s="25">
        <v>1</v>
      </c>
      <c r="EK75" s="25">
        <v>47</v>
      </c>
      <c r="EL75" s="25">
        <v>0</v>
      </c>
      <c r="EM75" s="25">
        <v>1</v>
      </c>
      <c r="EN75" s="25">
        <v>1</v>
      </c>
      <c r="EO75" s="25">
        <v>131</v>
      </c>
      <c r="EP75" s="25">
        <v>0</v>
      </c>
      <c r="EQ75" s="25">
        <v>0</v>
      </c>
      <c r="ER75" s="25">
        <v>0</v>
      </c>
      <c r="ES75" s="25">
        <v>6</v>
      </c>
      <c r="ET75" s="25">
        <v>0</v>
      </c>
      <c r="EU75" s="25">
        <v>0</v>
      </c>
      <c r="EV75" s="25">
        <v>4</v>
      </c>
      <c r="EW75" s="25">
        <v>9</v>
      </c>
      <c r="EX75" s="25">
        <v>0</v>
      </c>
      <c r="EY75" s="25">
        <v>23</v>
      </c>
      <c r="EZ75" s="25">
        <v>0</v>
      </c>
      <c r="FA75" s="25">
        <v>0</v>
      </c>
      <c r="FB75" s="25">
        <v>0</v>
      </c>
      <c r="FC75" s="25">
        <v>2</v>
      </c>
      <c r="FD75" s="25">
        <v>8</v>
      </c>
      <c r="FE75" s="25">
        <v>1</v>
      </c>
      <c r="FF75" s="25">
        <v>0</v>
      </c>
      <c r="FG75" s="25">
        <v>0</v>
      </c>
      <c r="FH75" s="25">
        <v>1</v>
      </c>
      <c r="FI75" s="25">
        <v>11</v>
      </c>
      <c r="FJ75" s="25">
        <v>0</v>
      </c>
      <c r="FK75" s="25">
        <v>0</v>
      </c>
      <c r="FL75" s="25">
        <v>0</v>
      </c>
      <c r="FM75" s="25">
        <v>1</v>
      </c>
      <c r="FN75" s="25">
        <v>0</v>
      </c>
      <c r="FO75" s="25">
        <v>434</v>
      </c>
      <c r="FP75" s="25">
        <v>0</v>
      </c>
      <c r="FQ75" s="25">
        <v>0</v>
      </c>
      <c r="FR75" s="25">
        <v>1</v>
      </c>
      <c r="FS75" s="25">
        <v>1</v>
      </c>
      <c r="FT75" s="25">
        <v>3</v>
      </c>
      <c r="FU75" s="25">
        <v>14</v>
      </c>
      <c r="FV75" s="25">
        <v>0</v>
      </c>
      <c r="FW75" s="25">
        <v>9</v>
      </c>
      <c r="FX75" s="25">
        <v>8</v>
      </c>
      <c r="FY75" s="25">
        <v>0</v>
      </c>
      <c r="FZ75" s="25">
        <v>3</v>
      </c>
      <c r="GA75" s="25">
        <v>9</v>
      </c>
      <c r="GB75" s="25">
        <v>45</v>
      </c>
      <c r="GC75" s="25">
        <v>16</v>
      </c>
      <c r="GD75" s="25">
        <v>60</v>
      </c>
      <c r="GE75" s="25">
        <v>0</v>
      </c>
      <c r="GF75" s="25">
        <v>23</v>
      </c>
      <c r="GG75" s="25">
        <v>3</v>
      </c>
      <c r="GH75" s="25">
        <v>0</v>
      </c>
      <c r="GI75" s="25">
        <v>0</v>
      </c>
      <c r="GJ75" s="25">
        <v>0</v>
      </c>
      <c r="GK75" s="25">
        <v>21</v>
      </c>
      <c r="GL75" s="25">
        <v>3</v>
      </c>
      <c r="GM75" s="25">
        <v>0</v>
      </c>
      <c r="GN75" s="25">
        <v>1</v>
      </c>
      <c r="GO75" s="25">
        <v>0</v>
      </c>
      <c r="GP75" s="25">
        <v>2</v>
      </c>
      <c r="GQ75" s="25">
        <v>0</v>
      </c>
      <c r="GR75" s="25">
        <v>6</v>
      </c>
      <c r="GS75" s="25">
        <v>0</v>
      </c>
      <c r="GT75" s="25">
        <v>0</v>
      </c>
      <c r="GU75" s="25">
        <v>4365</v>
      </c>
      <c r="GV75" s="25">
        <v>0</v>
      </c>
      <c r="GW75" s="25">
        <v>1</v>
      </c>
      <c r="GX75" s="25">
        <v>0</v>
      </c>
      <c r="GY75" s="46">
        <v>77</v>
      </c>
      <c r="GZ75" s="25">
        <v>191</v>
      </c>
      <c r="HA75" s="25">
        <v>2</v>
      </c>
      <c r="HB75" s="25">
        <v>0</v>
      </c>
      <c r="HC75" s="25">
        <v>4</v>
      </c>
      <c r="HD75" s="25">
        <v>0</v>
      </c>
      <c r="HE75" s="25">
        <v>1</v>
      </c>
      <c r="HF75" s="25">
        <v>6</v>
      </c>
      <c r="HG75" s="25">
        <v>75</v>
      </c>
      <c r="HH75" s="25">
        <v>0</v>
      </c>
      <c r="HI75" s="25">
        <v>5</v>
      </c>
      <c r="HJ75" s="25">
        <v>2</v>
      </c>
      <c r="HK75" s="25">
        <v>0</v>
      </c>
      <c r="HL75" s="25">
        <v>1</v>
      </c>
      <c r="HM75" s="25">
        <v>1</v>
      </c>
      <c r="HN75" s="25">
        <v>0</v>
      </c>
      <c r="HO75" s="25">
        <v>0</v>
      </c>
      <c r="HP75" s="25">
        <v>0</v>
      </c>
      <c r="HQ75" s="25">
        <v>877</v>
      </c>
      <c r="HR75" s="25">
        <v>0</v>
      </c>
      <c r="HS75" s="25">
        <v>1726</v>
      </c>
      <c r="HT75" s="25">
        <v>0</v>
      </c>
      <c r="HU75" s="25">
        <v>0</v>
      </c>
      <c r="HV75" s="25">
        <v>0</v>
      </c>
      <c r="HW75" s="25">
        <v>0</v>
      </c>
      <c r="HX75" s="25">
        <v>1</v>
      </c>
      <c r="HY75" s="25">
        <v>1</v>
      </c>
      <c r="HZ75" s="25">
        <v>0</v>
      </c>
      <c r="IA75" s="25">
        <v>0</v>
      </c>
      <c r="IB75" s="25">
        <v>0</v>
      </c>
      <c r="IC75" s="25">
        <v>0</v>
      </c>
      <c r="ID75" s="25">
        <v>0</v>
      </c>
      <c r="IE75" s="25">
        <v>0</v>
      </c>
      <c r="IF75" s="25">
        <v>0</v>
      </c>
      <c r="IG75" s="25">
        <v>0</v>
      </c>
      <c r="IH75" s="25">
        <v>0</v>
      </c>
      <c r="II75" s="25">
        <v>1</v>
      </c>
      <c r="IJ75" s="25">
        <v>0</v>
      </c>
      <c r="IK75" s="25">
        <v>0</v>
      </c>
      <c r="IL75" s="25">
        <v>0</v>
      </c>
      <c r="IM75" s="25">
        <v>0</v>
      </c>
      <c r="IN75" s="25">
        <v>0</v>
      </c>
      <c r="IO75" s="25">
        <v>1</v>
      </c>
      <c r="IP75" s="25">
        <v>0</v>
      </c>
      <c r="IQ75" s="25">
        <v>0</v>
      </c>
      <c r="IR75" s="25">
        <v>0</v>
      </c>
      <c r="IS75" s="25">
        <v>0</v>
      </c>
      <c r="IT75" s="25">
        <v>0</v>
      </c>
      <c r="IU75" s="25">
        <v>0</v>
      </c>
      <c r="IV75" s="25">
        <v>0</v>
      </c>
      <c r="IW75" s="25">
        <v>0</v>
      </c>
      <c r="IX75" s="25">
        <v>0</v>
      </c>
      <c r="IY75" s="25">
        <v>0</v>
      </c>
      <c r="IZ75" s="25">
        <v>0</v>
      </c>
      <c r="JA75" s="25">
        <v>0</v>
      </c>
      <c r="JB75" s="25">
        <v>0</v>
      </c>
      <c r="JC75" s="25">
        <v>0</v>
      </c>
      <c r="JD75" s="25">
        <v>0</v>
      </c>
      <c r="JE75" s="25">
        <v>0</v>
      </c>
      <c r="JF75" s="25">
        <v>0</v>
      </c>
      <c r="JG75" s="25">
        <v>0</v>
      </c>
      <c r="JH75" s="25">
        <v>0</v>
      </c>
      <c r="JI75" s="25">
        <v>1</v>
      </c>
      <c r="JJ75" s="25">
        <v>0</v>
      </c>
      <c r="JK75" s="25">
        <v>2</v>
      </c>
      <c r="JL75" s="25">
        <v>0</v>
      </c>
      <c r="JM75" s="25">
        <v>1</v>
      </c>
      <c r="JN75" s="25">
        <v>1</v>
      </c>
      <c r="JO75" s="25">
        <v>8</v>
      </c>
      <c r="JP75" s="25">
        <v>2</v>
      </c>
      <c r="JQ75" s="25">
        <v>81</v>
      </c>
      <c r="JR75" s="25">
        <v>19</v>
      </c>
      <c r="JS75" s="25">
        <v>21</v>
      </c>
      <c r="JT75" s="25">
        <v>1</v>
      </c>
      <c r="JU75" s="25">
        <v>3</v>
      </c>
      <c r="JV75" s="25">
        <v>29</v>
      </c>
      <c r="JW75" s="25">
        <v>48</v>
      </c>
      <c r="JX75" s="25">
        <v>0</v>
      </c>
      <c r="JY75" s="25">
        <v>3</v>
      </c>
      <c r="JZ75" s="25">
        <v>26</v>
      </c>
      <c r="KA75" s="25">
        <v>17</v>
      </c>
      <c r="KB75" s="25">
        <v>1</v>
      </c>
      <c r="KC75" s="25">
        <v>3</v>
      </c>
      <c r="KD75" s="25">
        <v>5</v>
      </c>
      <c r="KE75" s="25">
        <v>83</v>
      </c>
      <c r="KF75" s="25">
        <v>0</v>
      </c>
      <c r="KG75" s="25">
        <v>4</v>
      </c>
      <c r="KH75" s="25">
        <v>25</v>
      </c>
      <c r="KI75" s="25">
        <v>61</v>
      </c>
      <c r="KJ75" s="25">
        <v>2</v>
      </c>
      <c r="KK75" s="25">
        <v>6</v>
      </c>
      <c r="KL75" s="25">
        <v>9</v>
      </c>
      <c r="KM75" s="25">
        <v>0</v>
      </c>
      <c r="KN75" s="25">
        <v>0</v>
      </c>
      <c r="KO75" s="25">
        <v>10</v>
      </c>
      <c r="KP75" s="25">
        <v>1</v>
      </c>
      <c r="KQ75" s="25">
        <v>81</v>
      </c>
      <c r="KR75" s="25">
        <v>1</v>
      </c>
      <c r="KS75" s="25">
        <v>902</v>
      </c>
      <c r="KT75" s="25">
        <v>3</v>
      </c>
      <c r="KU75" s="25">
        <v>0</v>
      </c>
      <c r="KV75" s="25">
        <v>15</v>
      </c>
      <c r="KW75" s="25">
        <v>7</v>
      </c>
      <c r="KX75" s="25">
        <v>11</v>
      </c>
      <c r="KY75" s="25">
        <v>18</v>
      </c>
      <c r="KZ75" s="25">
        <v>0</v>
      </c>
      <c r="LA75" s="25">
        <v>9</v>
      </c>
      <c r="LB75" s="25">
        <v>1</v>
      </c>
      <c r="LC75" s="25">
        <v>3</v>
      </c>
      <c r="LD75" s="25">
        <v>21</v>
      </c>
      <c r="LE75" s="25">
        <v>1</v>
      </c>
      <c r="LF75" s="25">
        <v>9</v>
      </c>
      <c r="LG75" s="25">
        <v>10</v>
      </c>
      <c r="LH75" s="25">
        <v>150</v>
      </c>
      <c r="LI75" s="25">
        <v>0</v>
      </c>
      <c r="LJ75" s="25">
        <v>10</v>
      </c>
      <c r="LK75" s="25">
        <v>0</v>
      </c>
      <c r="LL75" s="25">
        <v>0</v>
      </c>
      <c r="LM75" s="25">
        <v>1</v>
      </c>
      <c r="LN75" s="278">
        <f ca="1">$A75 - DeathsTimeS!Sweden100dt + 1</f>
        <v>8</v>
      </c>
      <c r="LO75" s="366">
        <f ca="1">INDEX(OFFSET(DeathsTimeS!HeadRow,ROW()-ROW(DeathsTimeS!HeadRow),0,1,COLUMNS(DeathsTimeS!HeadRow)),1,MATCH(LO$5,DeathsTimeS!HeadRow,0))/LO$8</f>
        <v>75.268817204301087</v>
      </c>
      <c r="LP75" s="278">
        <f ca="1">$A75 - DeathsTimeS!Spain100dt</f>
        <v>15</v>
      </c>
      <c r="LQ75" s="11">
        <f ca="1">INDEX(OFFSET(DeathsTimeS!HeadRow,ROW()-ROW(DeathsTimeS!HeadRow),0,1,COLUMNS(DeathsTimeS!HeadRow)),1,MATCH(LQ$5,DeathsTimeS!HeadRow,0))/LQ$8</f>
        <v>929.91052407328505</v>
      </c>
      <c r="LR75" s="278">
        <f ca="1">$A75 - DeathsTimeS!Victoria100dt</f>
        <v>-8</v>
      </c>
      <c r="LS75" s="11">
        <f ca="1">INDEX(OFFSET(DeathsTimeS!HeadRow,ROW()-ROW(DeathsTimeS!HeadRow),0,1,COLUMNS(DeathsTimeS!HeadRow)),1,MATCH(LS$5,DeathsTimeS!HeadRow,0))/LS$8</f>
        <v>4.5255694674913256</v>
      </c>
      <c r="LT75" s="278">
        <f ca="1">$A75 - DeathsTimeS!Iran100dt</f>
        <v>22</v>
      </c>
      <c r="LU75" s="11">
        <f ca="1">INDEX(OFFSET(DeathsTimeS!HeadRow,ROW()-ROW(DeathsTimeS!HeadRow),0,1,COLUMNS(DeathsTimeS!HeadRow)),1,MATCH(LU$5,DeathsTimeS!HeadRow,0))/LU$8</f>
        <v>266.67303307748318</v>
      </c>
      <c r="LV75" s="278">
        <f ca="1">$A75 - DeathsTimeS!Japan100dt</f>
        <v>-19</v>
      </c>
      <c r="LW75" s="11">
        <f ca="1">INDEX(OFFSET(DeathsTimeS!HeadRow,ROW()-ROW(DeathsTimeS!HeadRow),0,1,COLUMNS(DeathsTimeS!HeadRow)),1,MATCH(LW$5,DeathsTimeS!HeadRow,0))/LW$8</f>
        <v>3.7138237123582534</v>
      </c>
      <c r="LX75" s="278">
        <f ca="1">$A75 - DeathsTimeS!Queensland100dt</f>
        <v>-23</v>
      </c>
      <c r="LY75" s="11">
        <f ca="1">INDEX(OFFSET(DeathsTimeS!HeadRow,ROW()-ROW(DeathsTimeS!HeadRow),0,1,COLUMNS(DeathsTimeS!HeadRow)),1,MATCH(LY$5,DeathsTimeS!HeadRow,0))/LY$8</f>
        <v>1.9548618489357048</v>
      </c>
      <c r="LZ75" s="278">
        <f ca="1">$A75 - DeathsTimeS!Tasmania100dt</f>
        <v>-5</v>
      </c>
      <c r="MA75" s="11">
        <f ca="1">INDEX(OFFSET(DeathsTimeS!HeadRow,ROW()-ROW(DeathsTimeS!HeadRow),0,1,COLUMNS(DeathsTimeS!HeadRow)),1,MATCH(MA$5,DeathsTimeS!HeadRow,0))/MA$8</f>
        <v>0</v>
      </c>
      <c r="MB75" s="278">
        <f ca="1">$A75 - DeathsTimeS!SouthAustralia100dt</f>
        <v>-13</v>
      </c>
      <c r="MC75" s="11">
        <f ca="1">INDEX(OFFSET(DeathsTimeS!HeadRow,ROW()-ROW(DeathsTimeS!HeadRow),0,1,COLUMNS(DeathsTimeS!HeadRow)),1,MATCH(MC$5,DeathsTimeS!HeadRow,0))/MC$8</f>
        <v>0</v>
      </c>
      <c r="MD75" s="278">
        <f ca="1">$A75 - DeathsTimeS!WesternAustralia100dt</f>
        <v>-10</v>
      </c>
      <c r="ME75" s="11">
        <f ca="1">INDEX(OFFSET(DeathsTimeS!HeadRow,ROW()-ROW(DeathsTimeS!HeadRow),0,1,COLUMNS(DeathsTimeS!HeadRow)),1,MATCH(ME$5,DeathsTimeS!HeadRow,0))/ME$8</f>
        <v>7.7249903437620695</v>
      </c>
      <c r="MF75" s="278">
        <f ca="1">$A75 - DeathsTimeS!NewSouthWales100dt</f>
        <v>-6</v>
      </c>
      <c r="MG75" s="11">
        <f ca="1">INDEX(OFFSET(DeathsTimeS!HeadRow,ROW()-ROW(DeathsTimeS!HeadRow),0,1,COLUMNS(DeathsTimeS!HeadRow)),1,MATCH(MG$5,DeathsTimeS!HeadRow,0))/MG$8</f>
        <v>8.6633663366336631</v>
      </c>
      <c r="MH75" s="278">
        <f ca="1">$A75 - DeathsTimeS!NewYork100dt</f>
        <v>10</v>
      </c>
      <c r="MI75" s="20">
        <f ca="1">INDEX(OFFSET(DeathsTimeS!HeadRow,ROW()-ROW(DeathsTimeS!HeadRow),0,1,COLUMNS(DeathsTimeS!HeadRow)),1,MATCH(MI$5,DeathsTimeS!HeadRow,0))/MI$8</f>
        <v>381.74941536685293</v>
      </c>
      <c r="MJ75" s="278">
        <f ca="1">$A75 - DeathsTimeS!Italy100dt</f>
        <v>23</v>
      </c>
      <c r="MK75" s="20">
        <f ca="1">INDEX(OFFSET(DeathsTimeS!HeadRow,ROW()-ROW(DeathsTimeS!HeadRow),0,1,COLUMNS(DeathsTimeS!HeadRow)),1,MATCH(MK$5,DeathsTimeS!HeadRow,0))/MK$8</f>
        <v>1358.1879804910309</v>
      </c>
      <c r="ML75" s="278">
        <f ca="1">$A75 - DeathsTimeS!AustralianCapitalTerritory100dt</f>
        <v>-4</v>
      </c>
      <c r="MM75" s="11">
        <f ca="1">INDEX(OFFSET(DeathsTimeS!HeadRow,ROW()-ROW(DeathsTimeS!HeadRow),0,1,COLUMNS(DeathsTimeS!HeadRow)),1,MATCH(MM$5,DeathsTimeS!HeadRow,0))/MM$8</f>
        <v>0</v>
      </c>
      <c r="MN75" s="278">
        <f ca="1">IF(DeathsTimeS!NorthernTerritory100dt&gt;0,$A75 - DeathsTimeS!NorthernTerritory100dt,"")</f>
        <v>-32</v>
      </c>
      <c r="MO75" s="11">
        <f ca="1">INDEX(OFFSET(DeathsTimeS!HeadRow,ROW()-ROW(DeathsTimeS!HeadRow),0,1,COLUMNS(DeathsTimeS!HeadRow)),1,MATCH(MO$5,DeathsTimeS!HeadRow,0))/MO$8</f>
        <v>0</v>
      </c>
      <c r="MP75" s="278">
        <f ca="1">$A75 - DeathsTimeS!SouthAfrica100dt + 1</f>
        <v>-24</v>
      </c>
      <c r="MQ75" s="20">
        <f ca="1">INDEX(OFFSET(DeathsTimeS!HeadRow,ROW()-ROW(DeathsTimeS!HeadRow),0,1,COLUMNS(DeathsTimeS!HeadRow)),1,MATCH(MQ$5,DeathsTimeS!HeadRow,0))/MQ$8</f>
        <v>0</v>
      </c>
      <c r="MR75" s="278">
        <f ca="1">$A75 - DeathsTimeS!Germany100dt + 1</f>
        <v>6</v>
      </c>
      <c r="MS75" s="20">
        <f ca="1">INDEX(OFFSET(DeathsTimeS!HeadRow,ROW()-ROW(DeathsTimeS!HeadRow),0,1,COLUMNS(DeathsTimeS!HeadRow)),1,MATCH(MS$5,DeathsTimeS!HeadRow,0))/MS$8</f>
        <v>32.16092507829439</v>
      </c>
      <c r="MT75" s="278">
        <f ca="1">$A75 - DeathsTimeS!Ireland100dt + 1</f>
        <v>4</v>
      </c>
      <c r="MU75" s="73">
        <f ca="1">INDEX(OFFSET(DeathsTimeS!HeadRow,ROW()-ROW(DeathsTimeS!HeadRow),0,1,COLUMNS(DeathsTimeS!HeadRow)),1,MATCH(MU$5,DeathsTimeS!HeadRow,0))/MU$8</f>
        <v>38.775510204081634</v>
      </c>
      <c r="MV75" s="278">
        <f ca="1">$A75 - DeathsTimeS!UnitedKingdom100dt + 1</f>
        <v>10</v>
      </c>
      <c r="MW75" s="73">
        <f ca="1">INDEX(OFFSET(DeathsTimeS!HeadRow,ROW()-ROW(DeathsTimeS!HeadRow),0,1,COLUMNS(DeathsTimeS!HeadRow)),1,MATCH(MW$5,DeathsTimeS!HeadRow,0))/MW$8</f>
        <v>131.99879590608066</v>
      </c>
      <c r="MX75" s="278">
        <f ca="1">$A75 - DeathsTimeS!Denmark100dt + 1</f>
        <v>8</v>
      </c>
      <c r="MY75" s="73">
        <f ca="1">INDEX(OFFSET(DeathsTimeS!HeadRow,ROW()-ROW(DeathsTimeS!HeadRow),0,1,COLUMNS(DeathsTimeS!HeadRow)),1,MATCH(MY$5,DeathsTimeS!HeadRow,0))/MY$8</f>
        <v>70.61660351360662</v>
      </c>
      <c r="MZ75" s="278">
        <f ca="1">$A75 - DeathsTimeS!US100dt + 1</f>
        <v>7</v>
      </c>
      <c r="NA75" s="73">
        <f ca="1">INDEX(OFFSET(DeathsTimeS!HeadRow,ROW()-ROW(DeathsTimeS!HeadRow),0,1,COLUMNS(DeathsTimeS!HeadRow)),1,MATCH(NA$5,DeathsTimeS!HeadRow,0))/NA$8</f>
        <v>52.425715055012411</v>
      </c>
      <c r="NB75" s="278">
        <f ca="1">$A75 - DeathsTimeS!AustraliaSum100dt + 1</f>
        <v>1</v>
      </c>
      <c r="NC75" s="366">
        <f t="shared" ref="NC75:NC106" si="7">SUM($J75:$Q75)</f>
        <v>13</v>
      </c>
      <c r="ND75" s="278">
        <f ca="1">$A75 - DeathsTimeS!Taiwan100dt + 1</f>
        <v>-31</v>
      </c>
      <c r="NE75" s="366">
        <f ca="1">INDEX(OFFSET(DeathsTimeS!HeadRow,ROW()-ROW(DeathsTimeS!HeadRow),0,1,COLUMNS(DeathsTimeS!HeadRow)),1,MATCH(NE$5,DeathsTimeS!HeadRow,0))/NE$8</f>
        <v>0.84007909848759721</v>
      </c>
      <c r="NF75" s="278">
        <f ca="1">$A75 - DeathsTimeS!Hubei100dt + 1</f>
        <v>60</v>
      </c>
      <c r="NG75" s="366">
        <f ca="1">INDEX(OFFSET(DeathsTimeS!HeadRow,ROW()-ROW(DeathsTimeS!HeadRow),0,1,COLUMNS(DeathsTimeS!HeadRow)),1,MATCH(NG$5,DeathsTimeS!HeadRow,0))/NG$8</f>
        <v>541.70940170940173</v>
      </c>
      <c r="NH75" s="278">
        <f ca="1">$A75 - DeathsTimeS!HongKong100dt + 1</f>
        <v>-31</v>
      </c>
      <c r="NI75" s="366">
        <f ca="1">INDEX(OFFSET(DeathsTimeS!HeadRow,ROW()-ROW(DeathsTimeS!HeadRow),0,1,COLUMNS(DeathsTimeS!HeadRow)),1,MATCH(NI$5,DeathsTimeS!HeadRow,0))/NI$8</f>
        <v>5.3684069252449333</v>
      </c>
    </row>
    <row r="76" spans="1:373" x14ac:dyDescent="0.25">
      <c r="A76" s="156">
        <v>43917</v>
      </c>
      <c r="B76" s="25">
        <v>4</v>
      </c>
      <c r="C76" s="25">
        <v>8</v>
      </c>
      <c r="D76" s="25">
        <v>26</v>
      </c>
      <c r="E76" s="25">
        <v>3</v>
      </c>
      <c r="F76" s="25">
        <v>0</v>
      </c>
      <c r="G76" s="25">
        <v>0</v>
      </c>
      <c r="H76" s="25">
        <v>13</v>
      </c>
      <c r="I76" s="25">
        <v>1</v>
      </c>
      <c r="J76" s="25">
        <v>0</v>
      </c>
      <c r="K76" s="25">
        <v>7</v>
      </c>
      <c r="L76" s="25">
        <v>0</v>
      </c>
      <c r="M76" s="25">
        <v>1</v>
      </c>
      <c r="N76" s="25">
        <v>0</v>
      </c>
      <c r="O76" s="25">
        <v>0</v>
      </c>
      <c r="P76" s="25">
        <v>3</v>
      </c>
      <c r="Q76" s="25">
        <v>2</v>
      </c>
      <c r="R76" s="25">
        <v>58</v>
      </c>
      <c r="S76" s="25">
        <v>3</v>
      </c>
      <c r="T76" s="25">
        <v>0</v>
      </c>
      <c r="U76" s="25">
        <v>4</v>
      </c>
      <c r="V76" s="25">
        <v>5</v>
      </c>
      <c r="W76" s="25">
        <v>0</v>
      </c>
      <c r="X76" s="25">
        <v>0</v>
      </c>
      <c r="Y76" s="25">
        <v>289</v>
      </c>
      <c r="Z76" s="25">
        <v>0</v>
      </c>
      <c r="AA76" s="25">
        <v>0</v>
      </c>
      <c r="AB76" s="25">
        <v>0</v>
      </c>
      <c r="AC76" s="25">
        <v>4</v>
      </c>
      <c r="AD76" s="25">
        <v>92</v>
      </c>
      <c r="AE76" s="25">
        <v>0</v>
      </c>
      <c r="AF76" s="25">
        <v>3</v>
      </c>
      <c r="AG76" s="25">
        <v>9</v>
      </c>
      <c r="AH76" s="25">
        <v>1</v>
      </c>
      <c r="AI76" s="25">
        <v>0</v>
      </c>
      <c r="AJ76" s="25">
        <v>2</v>
      </c>
      <c r="AK76" s="25">
        <v>2</v>
      </c>
      <c r="AL76" s="25">
        <v>14</v>
      </c>
      <c r="AM76" s="25">
        <v>0</v>
      </c>
      <c r="AN76" s="25">
        <v>1</v>
      </c>
      <c r="AO76" s="25">
        <v>0</v>
      </c>
      <c r="AP76" s="25">
        <v>0</v>
      </c>
      <c r="AQ76" s="25">
        <v>0</v>
      </c>
      <c r="AR76" s="25">
        <v>18</v>
      </c>
      <c r="AS76" s="25">
        <v>0</v>
      </c>
      <c r="AT76" s="25">
        <v>18</v>
      </c>
      <c r="AU76" s="25">
        <v>0</v>
      </c>
      <c r="AV76" s="25">
        <v>0</v>
      </c>
      <c r="AW76" s="25">
        <v>0</v>
      </c>
      <c r="AX76" s="25">
        <v>5</v>
      </c>
      <c r="AY76" s="25">
        <v>6</v>
      </c>
      <c r="AZ76" s="25">
        <v>8</v>
      </c>
      <c r="BA76" s="25">
        <v>6</v>
      </c>
      <c r="BB76" s="25">
        <v>1</v>
      </c>
      <c r="BC76" s="25">
        <v>2</v>
      </c>
      <c r="BD76" s="25">
        <v>8</v>
      </c>
      <c r="BE76" s="25">
        <v>2</v>
      </c>
      <c r="BF76" s="25">
        <v>2</v>
      </c>
      <c r="BG76" s="25">
        <v>6</v>
      </c>
      <c r="BH76" s="25">
        <v>6</v>
      </c>
      <c r="BI76" s="25">
        <v>13</v>
      </c>
      <c r="BJ76" s="25">
        <v>22</v>
      </c>
      <c r="BK76" s="25">
        <v>4</v>
      </c>
      <c r="BL76" s="25">
        <v>3174</v>
      </c>
      <c r="BM76" s="25">
        <v>4</v>
      </c>
      <c r="BN76" s="25">
        <v>1</v>
      </c>
      <c r="BO76" s="25">
        <v>0</v>
      </c>
      <c r="BP76" s="25">
        <v>1</v>
      </c>
      <c r="BQ76" s="25">
        <v>1</v>
      </c>
      <c r="BR76" s="25">
        <v>2</v>
      </c>
      <c r="BS76" s="25">
        <v>0</v>
      </c>
      <c r="BT76" s="25">
        <v>0</v>
      </c>
      <c r="BU76" s="25">
        <v>0</v>
      </c>
      <c r="BV76" s="25">
        <v>3</v>
      </c>
      <c r="BW76" s="25">
        <v>7</v>
      </c>
      <c r="BX76" s="25">
        <v>5</v>
      </c>
      <c r="BY76" s="25">
        <v>0</v>
      </c>
      <c r="BZ76" s="25">
        <v>3</v>
      </c>
      <c r="CA76" s="25">
        <v>3</v>
      </c>
      <c r="CB76" s="25">
        <v>0</v>
      </c>
      <c r="CC76" s="25">
        <v>3</v>
      </c>
      <c r="CD76" s="25">
        <v>2</v>
      </c>
      <c r="CE76" s="25">
        <v>1</v>
      </c>
      <c r="CF76" s="25">
        <v>6</v>
      </c>
      <c r="CG76" s="25">
        <v>0</v>
      </c>
      <c r="CH76" s="25">
        <v>3</v>
      </c>
      <c r="CI76" s="25">
        <v>2</v>
      </c>
      <c r="CJ76" s="25">
        <v>0</v>
      </c>
      <c r="CK76" s="25">
        <v>3</v>
      </c>
      <c r="CL76" s="25">
        <v>10</v>
      </c>
      <c r="CM76" s="25">
        <v>2</v>
      </c>
      <c r="CN76" s="25">
        <v>5</v>
      </c>
      <c r="CO76" s="25">
        <v>9</v>
      </c>
      <c r="CP76" s="25">
        <v>0</v>
      </c>
      <c r="CQ76" s="25">
        <v>0</v>
      </c>
      <c r="CR76" s="25">
        <v>52</v>
      </c>
      <c r="CS76" s="25">
        <v>0</v>
      </c>
      <c r="CT76" s="25">
        <v>20</v>
      </c>
      <c r="CU76" s="25">
        <v>36</v>
      </c>
      <c r="CV76" s="25">
        <v>30</v>
      </c>
      <c r="CW76" s="25">
        <v>0</v>
      </c>
      <c r="CX76" s="25">
        <v>0</v>
      </c>
      <c r="CY76" s="25">
        <v>0</v>
      </c>
      <c r="CZ76" s="25">
        <v>1</v>
      </c>
      <c r="DA76" s="25">
        <v>0</v>
      </c>
      <c r="DB76" s="25">
        <v>0</v>
      </c>
      <c r="DC76" s="25">
        <v>0</v>
      </c>
      <c r="DD76" s="25">
        <v>7</v>
      </c>
      <c r="DE76" s="25">
        <v>0</v>
      </c>
      <c r="DF76" s="25">
        <v>0</v>
      </c>
      <c r="DG76" s="25">
        <v>1</v>
      </c>
      <c r="DH76" s="25">
        <v>0</v>
      </c>
      <c r="DI76" s="25">
        <v>0</v>
      </c>
      <c r="DJ76" s="25">
        <v>0</v>
      </c>
      <c r="DK76" s="25">
        <v>0</v>
      </c>
      <c r="DL76" s="25">
        <v>0</v>
      </c>
      <c r="DM76" s="25">
        <v>1</v>
      </c>
      <c r="DN76" s="25">
        <v>1995</v>
      </c>
      <c r="DO76" s="25">
        <v>1</v>
      </c>
      <c r="DP76" s="25">
        <v>1</v>
      </c>
      <c r="DQ76" s="25">
        <v>0</v>
      </c>
      <c r="DR76" s="25">
        <v>342</v>
      </c>
      <c r="DS76" s="25">
        <v>4</v>
      </c>
      <c r="DT76" s="25">
        <v>28</v>
      </c>
      <c r="DU76" s="25">
        <v>1</v>
      </c>
      <c r="DV76" s="25">
        <v>0</v>
      </c>
      <c r="DW76" s="25">
        <v>1</v>
      </c>
      <c r="DX76" s="25">
        <v>0</v>
      </c>
      <c r="DY76" s="25">
        <v>0</v>
      </c>
      <c r="DZ76" s="25">
        <v>1</v>
      </c>
      <c r="EA76" s="25">
        <v>10</v>
      </c>
      <c r="EB76" s="25">
        <v>2</v>
      </c>
      <c r="EC76" s="25">
        <v>20</v>
      </c>
      <c r="ED76" s="25">
        <v>87</v>
      </c>
      <c r="EE76" s="25">
        <v>2378</v>
      </c>
      <c r="EF76" s="25">
        <v>40</v>
      </c>
      <c r="EG76" s="25">
        <v>22</v>
      </c>
      <c r="EH76" s="25">
        <v>12</v>
      </c>
      <c r="EI76" s="25">
        <v>9134</v>
      </c>
      <c r="EJ76" s="25">
        <v>1</v>
      </c>
      <c r="EK76" s="25">
        <v>49</v>
      </c>
      <c r="EL76" s="25">
        <v>1</v>
      </c>
      <c r="EM76" s="25">
        <v>1</v>
      </c>
      <c r="EN76" s="25">
        <v>1</v>
      </c>
      <c r="EO76" s="25">
        <v>139</v>
      </c>
      <c r="EP76" s="25">
        <v>0</v>
      </c>
      <c r="EQ76" s="25">
        <v>0</v>
      </c>
      <c r="ER76" s="25">
        <v>0</v>
      </c>
      <c r="ES76" s="25">
        <v>8</v>
      </c>
      <c r="ET76" s="25">
        <v>0</v>
      </c>
      <c r="EU76" s="25">
        <v>0</v>
      </c>
      <c r="EV76" s="25">
        <v>5</v>
      </c>
      <c r="EW76" s="25">
        <v>15</v>
      </c>
      <c r="EX76" s="25">
        <v>0</v>
      </c>
      <c r="EY76" s="25">
        <v>26</v>
      </c>
      <c r="EZ76" s="25">
        <v>0</v>
      </c>
      <c r="FA76" s="25">
        <v>0</v>
      </c>
      <c r="FB76" s="25">
        <v>0</v>
      </c>
      <c r="FC76" s="25">
        <v>2</v>
      </c>
      <c r="FD76" s="25">
        <v>12</v>
      </c>
      <c r="FE76" s="25">
        <v>2</v>
      </c>
      <c r="FF76" s="25">
        <v>0</v>
      </c>
      <c r="FG76" s="25">
        <v>0</v>
      </c>
      <c r="FH76" s="25">
        <v>1</v>
      </c>
      <c r="FI76" s="25">
        <v>23</v>
      </c>
      <c r="FJ76" s="25">
        <v>0</v>
      </c>
      <c r="FK76" s="25">
        <v>0</v>
      </c>
      <c r="FL76" s="25">
        <v>0</v>
      </c>
      <c r="FM76" s="25">
        <v>1</v>
      </c>
      <c r="FN76" s="25">
        <v>0</v>
      </c>
      <c r="FO76" s="25">
        <v>546</v>
      </c>
      <c r="FP76" s="25">
        <v>0</v>
      </c>
      <c r="FQ76" s="25">
        <v>1</v>
      </c>
      <c r="FR76" s="25">
        <v>1</v>
      </c>
      <c r="FS76" s="25">
        <v>1</v>
      </c>
      <c r="FT76" s="25">
        <v>3</v>
      </c>
      <c r="FU76" s="25">
        <v>19</v>
      </c>
      <c r="FV76" s="25">
        <v>0</v>
      </c>
      <c r="FW76" s="25">
        <v>11</v>
      </c>
      <c r="FX76" s="25">
        <v>9</v>
      </c>
      <c r="FY76" s="25">
        <v>0</v>
      </c>
      <c r="FZ76" s="25">
        <v>3</v>
      </c>
      <c r="GA76" s="25">
        <v>11</v>
      </c>
      <c r="GB76" s="25">
        <v>54</v>
      </c>
      <c r="GC76" s="25">
        <v>16</v>
      </c>
      <c r="GD76" s="25">
        <v>76</v>
      </c>
      <c r="GE76" s="25">
        <v>0</v>
      </c>
      <c r="GF76" s="25">
        <v>26</v>
      </c>
      <c r="GG76" s="25">
        <v>4</v>
      </c>
      <c r="GH76" s="25">
        <v>0</v>
      </c>
      <c r="GI76" s="25">
        <v>0</v>
      </c>
      <c r="GJ76" s="25">
        <v>0</v>
      </c>
      <c r="GK76" s="25">
        <v>21</v>
      </c>
      <c r="GL76" s="25">
        <v>3</v>
      </c>
      <c r="GM76" s="25">
        <v>0</v>
      </c>
      <c r="GN76" s="25">
        <v>1</v>
      </c>
      <c r="GO76" s="25">
        <v>0</v>
      </c>
      <c r="GP76" s="25">
        <v>2</v>
      </c>
      <c r="GQ76" s="25">
        <v>0</v>
      </c>
      <c r="GR76" s="25">
        <v>9</v>
      </c>
      <c r="GS76" s="25">
        <v>0</v>
      </c>
      <c r="GT76" s="25">
        <v>1</v>
      </c>
      <c r="GU76" s="25">
        <v>5138</v>
      </c>
      <c r="GV76" s="25">
        <v>0</v>
      </c>
      <c r="GW76" s="25">
        <v>1</v>
      </c>
      <c r="GX76" s="25">
        <v>0</v>
      </c>
      <c r="GY76" s="46">
        <v>105</v>
      </c>
      <c r="GZ76" s="25">
        <v>231</v>
      </c>
      <c r="HA76" s="25">
        <v>2</v>
      </c>
      <c r="HB76" s="25">
        <v>0</v>
      </c>
      <c r="HC76" s="25">
        <v>5</v>
      </c>
      <c r="HD76" s="25">
        <v>1</v>
      </c>
      <c r="HE76" s="25">
        <v>2</v>
      </c>
      <c r="HF76" s="25">
        <v>6</v>
      </c>
      <c r="HG76" s="25">
        <v>92</v>
      </c>
      <c r="HH76" s="25">
        <v>0</v>
      </c>
      <c r="HI76" s="25">
        <v>5</v>
      </c>
      <c r="HJ76" s="25">
        <v>2</v>
      </c>
      <c r="HK76" s="25">
        <v>0</v>
      </c>
      <c r="HL76" s="25">
        <v>1</v>
      </c>
      <c r="HM76" s="25">
        <v>1</v>
      </c>
      <c r="HN76" s="25">
        <v>0</v>
      </c>
      <c r="HO76" s="25">
        <v>0</v>
      </c>
      <c r="HP76" s="25">
        <v>0</v>
      </c>
      <c r="HQ76" s="25">
        <v>1161</v>
      </c>
      <c r="HR76" s="25">
        <v>0</v>
      </c>
      <c r="HS76" s="25">
        <v>2265</v>
      </c>
      <c r="HT76" s="25">
        <v>1</v>
      </c>
      <c r="HU76" s="25">
        <v>1</v>
      </c>
      <c r="HV76" s="25">
        <v>0</v>
      </c>
      <c r="HW76" s="25">
        <v>0</v>
      </c>
      <c r="HX76" s="25">
        <v>1</v>
      </c>
      <c r="HY76" s="25">
        <v>1</v>
      </c>
      <c r="HZ76" s="25">
        <v>0</v>
      </c>
      <c r="IA76" s="25">
        <v>0</v>
      </c>
      <c r="IB76" s="25">
        <v>0</v>
      </c>
      <c r="IC76" s="25">
        <v>0</v>
      </c>
      <c r="ID76" s="25">
        <v>0</v>
      </c>
      <c r="IE76" s="25">
        <v>0</v>
      </c>
      <c r="IF76" s="25">
        <v>0</v>
      </c>
      <c r="IG76" s="25">
        <v>0</v>
      </c>
      <c r="IH76" s="25">
        <v>0</v>
      </c>
      <c r="II76" s="25">
        <v>1</v>
      </c>
      <c r="IJ76" s="25">
        <v>0</v>
      </c>
      <c r="IK76" s="25">
        <v>0</v>
      </c>
      <c r="IL76" s="25">
        <v>0</v>
      </c>
      <c r="IM76" s="25">
        <v>0</v>
      </c>
      <c r="IN76" s="25">
        <v>0</v>
      </c>
      <c r="IO76" s="25">
        <v>1</v>
      </c>
      <c r="IP76" s="25">
        <v>0</v>
      </c>
      <c r="IQ76" s="25">
        <v>0</v>
      </c>
      <c r="IR76" s="25">
        <v>0</v>
      </c>
      <c r="IS76" s="25">
        <v>0</v>
      </c>
      <c r="IT76" s="25">
        <v>0</v>
      </c>
      <c r="IU76" s="25">
        <v>0</v>
      </c>
      <c r="IV76" s="25">
        <v>0</v>
      </c>
      <c r="IW76" s="25">
        <v>0</v>
      </c>
      <c r="IX76" s="25">
        <v>0</v>
      </c>
      <c r="IY76" s="25">
        <v>0</v>
      </c>
      <c r="IZ76" s="25">
        <v>0</v>
      </c>
      <c r="JA76" s="25">
        <v>0</v>
      </c>
      <c r="JB76" s="25">
        <v>0</v>
      </c>
      <c r="JC76" s="25">
        <v>0</v>
      </c>
      <c r="JD76" s="25">
        <v>0</v>
      </c>
      <c r="JE76" s="25">
        <v>0</v>
      </c>
      <c r="JF76" s="25">
        <v>0</v>
      </c>
      <c r="JG76" s="25">
        <v>0</v>
      </c>
      <c r="JH76" s="25">
        <v>0</v>
      </c>
      <c r="JI76" s="25">
        <v>1</v>
      </c>
      <c r="JJ76" s="25">
        <v>0</v>
      </c>
      <c r="JK76" s="25">
        <v>3</v>
      </c>
      <c r="JL76" s="25">
        <v>0</v>
      </c>
      <c r="JM76" s="25">
        <v>4</v>
      </c>
      <c r="JN76" s="25">
        <v>1</v>
      </c>
      <c r="JO76" s="25">
        <v>13</v>
      </c>
      <c r="JP76" s="25">
        <v>3</v>
      </c>
      <c r="JQ76" s="25">
        <v>94</v>
      </c>
      <c r="JR76" s="25">
        <v>27</v>
      </c>
      <c r="JS76" s="25">
        <v>27</v>
      </c>
      <c r="JT76" s="25">
        <v>2</v>
      </c>
      <c r="JU76" s="25">
        <v>3</v>
      </c>
      <c r="JV76" s="25">
        <v>35</v>
      </c>
      <c r="JW76" s="25">
        <v>64</v>
      </c>
      <c r="JX76" s="25">
        <v>0</v>
      </c>
      <c r="JY76" s="25">
        <v>3</v>
      </c>
      <c r="JZ76" s="25">
        <v>34</v>
      </c>
      <c r="KA76" s="25">
        <v>25</v>
      </c>
      <c r="KB76" s="25">
        <v>3</v>
      </c>
      <c r="KC76" s="25">
        <v>4</v>
      </c>
      <c r="KD76" s="25">
        <v>7</v>
      </c>
      <c r="KE76" s="25">
        <v>119</v>
      </c>
      <c r="KF76" s="25">
        <v>1</v>
      </c>
      <c r="KG76" s="25">
        <v>5</v>
      </c>
      <c r="KH76" s="25">
        <v>35</v>
      </c>
      <c r="KI76" s="25">
        <v>92</v>
      </c>
      <c r="KJ76" s="25">
        <v>4</v>
      </c>
      <c r="KK76" s="25">
        <v>8</v>
      </c>
      <c r="KL76" s="25">
        <v>9</v>
      </c>
      <c r="KM76" s="25">
        <v>1</v>
      </c>
      <c r="KN76" s="25">
        <v>0</v>
      </c>
      <c r="KO76" s="25">
        <v>10</v>
      </c>
      <c r="KP76" s="25">
        <v>1</v>
      </c>
      <c r="KQ76" s="25">
        <v>108</v>
      </c>
      <c r="KR76" s="25">
        <v>1</v>
      </c>
      <c r="KS76" s="25">
        <v>1211</v>
      </c>
      <c r="KT76" s="25">
        <v>4</v>
      </c>
      <c r="KU76" s="25">
        <v>1</v>
      </c>
      <c r="KV76" s="25">
        <v>19</v>
      </c>
      <c r="KW76" s="25">
        <v>8</v>
      </c>
      <c r="KX76" s="25">
        <v>12</v>
      </c>
      <c r="KY76" s="25">
        <v>22</v>
      </c>
      <c r="KZ76" s="25">
        <v>0</v>
      </c>
      <c r="LA76" s="25">
        <v>13</v>
      </c>
      <c r="LB76" s="25">
        <v>1</v>
      </c>
      <c r="LC76" s="25">
        <v>6</v>
      </c>
      <c r="LD76" s="25">
        <v>26</v>
      </c>
      <c r="LE76" s="25">
        <v>1</v>
      </c>
      <c r="LF76" s="25">
        <v>10</v>
      </c>
      <c r="LG76" s="25">
        <v>10</v>
      </c>
      <c r="LH76" s="25">
        <v>157</v>
      </c>
      <c r="LI76" s="25">
        <v>0</v>
      </c>
      <c r="LJ76" s="25">
        <v>14</v>
      </c>
      <c r="LK76" s="25">
        <v>0</v>
      </c>
      <c r="LL76" s="25">
        <v>0</v>
      </c>
      <c r="LM76" s="25">
        <v>3</v>
      </c>
      <c r="LN76" s="278">
        <f ca="1">$A76 - DeathsTimeS!Sweden100dt + 1</f>
        <v>9</v>
      </c>
      <c r="LO76" s="366">
        <f ca="1">INDEX(OFFSET(DeathsTimeS!HeadRow,ROW()-ROW(DeathsTimeS!HeadRow),0,1,COLUMNS(DeathsTimeS!HeadRow)),1,MATCH(LO$5,DeathsTimeS!HeadRow,0))/LO$8</f>
        <v>102.6392961876833</v>
      </c>
      <c r="LP76" s="278">
        <f ca="1">$A76 - DeathsTimeS!Spain100dt</f>
        <v>16</v>
      </c>
      <c r="LQ76" s="11">
        <f ca="1">INDEX(OFFSET(DeathsTimeS!HeadRow,ROW()-ROW(DeathsTimeS!HeadRow),0,1,COLUMNS(DeathsTimeS!HeadRow)),1,MATCH(LQ$5,DeathsTimeS!HeadRow,0))/LQ$8</f>
        <v>1094.5888368129526</v>
      </c>
      <c r="LR76" s="278">
        <f ca="1">$A76 - DeathsTimeS!Victoria100dt</f>
        <v>-7</v>
      </c>
      <c r="LS76" s="11">
        <f ca="1">INDEX(OFFSET(DeathsTimeS!HeadRow,ROW()-ROW(DeathsTimeS!HeadRow),0,1,COLUMNS(DeathsTimeS!HeadRow)),1,MATCH(LS$5,DeathsTimeS!HeadRow,0))/LS$8</f>
        <v>4.5255694674913256</v>
      </c>
      <c r="LT76" s="278">
        <f ca="1">$A76 - DeathsTimeS!Iran100dt</f>
        <v>23</v>
      </c>
      <c r="LU76" s="11">
        <f ca="1">INDEX(OFFSET(DeathsTimeS!HeadRow,ROW()-ROW(DeathsTimeS!HeadRow),0,1,COLUMNS(DeathsTimeS!HeadRow)),1,MATCH(LU$5,DeathsTimeS!HeadRow,0))/LU$8</f>
        <v>283.86234228211953</v>
      </c>
      <c r="LV76" s="278">
        <f ca="1">$A76 - DeathsTimeS!Japan100dt</f>
        <v>-18</v>
      </c>
      <c r="LW76" s="11">
        <f ca="1">INDEX(OFFSET(DeathsTimeS!HeadRow,ROW()-ROW(DeathsTimeS!HeadRow),0,1,COLUMNS(DeathsTimeS!HeadRow)),1,MATCH(LW$5,DeathsTimeS!HeadRow,0))/LW$8</f>
        <v>3.8718587639479662</v>
      </c>
      <c r="LX76" s="278">
        <f ca="1">$A76 - DeathsTimeS!Queensland100dt</f>
        <v>-22</v>
      </c>
      <c r="LY76" s="11">
        <f ca="1">INDEX(OFFSET(DeathsTimeS!HeadRow,ROW()-ROW(DeathsTimeS!HeadRow),0,1,COLUMNS(DeathsTimeS!HeadRow)),1,MATCH(LY$5,DeathsTimeS!HeadRow,0))/LY$8</f>
        <v>1.9548618489357048</v>
      </c>
      <c r="LZ76" s="278">
        <f ca="1">$A76 - DeathsTimeS!Tasmania100dt</f>
        <v>-4</v>
      </c>
      <c r="MA76" s="11">
        <f ca="1">INDEX(OFFSET(DeathsTimeS!HeadRow,ROW()-ROW(DeathsTimeS!HeadRow),0,1,COLUMNS(DeathsTimeS!HeadRow)),1,MATCH(MA$5,DeathsTimeS!HeadRow,0))/MA$8</f>
        <v>0</v>
      </c>
      <c r="MB76" s="278">
        <f ca="1">$A76 - DeathsTimeS!SouthAustralia100dt</f>
        <v>-12</v>
      </c>
      <c r="MC76" s="11">
        <f ca="1">INDEX(OFFSET(DeathsTimeS!HeadRow,ROW()-ROW(DeathsTimeS!HeadRow),0,1,COLUMNS(DeathsTimeS!HeadRow)),1,MATCH(MC$5,DeathsTimeS!HeadRow,0))/MC$8</f>
        <v>0</v>
      </c>
      <c r="MD76" s="278">
        <f ca="1">$A76 - DeathsTimeS!WesternAustralia100dt</f>
        <v>-9</v>
      </c>
      <c r="ME76" s="11">
        <f ca="1">INDEX(OFFSET(DeathsTimeS!HeadRow,ROW()-ROW(DeathsTimeS!HeadRow),0,1,COLUMNS(DeathsTimeS!HeadRow)),1,MATCH(ME$5,DeathsTimeS!HeadRow,0))/ME$8</f>
        <v>7.7249903437620695</v>
      </c>
      <c r="MF76" s="278">
        <f ca="1">$A76 - DeathsTimeS!NewSouthWales100dt</f>
        <v>-5</v>
      </c>
      <c r="MG76" s="11">
        <f ca="1">INDEX(OFFSET(DeathsTimeS!HeadRow,ROW()-ROW(DeathsTimeS!HeadRow),0,1,COLUMNS(DeathsTimeS!HeadRow)),1,MATCH(MG$5,DeathsTimeS!HeadRow,0))/MG$8</f>
        <v>8.6633663366336631</v>
      </c>
      <c r="MH76" s="278">
        <f ca="1">$A76 - DeathsTimeS!NewYork100dt</f>
        <v>11</v>
      </c>
      <c r="MI76" s="20">
        <f ca="1">INDEX(OFFSET(DeathsTimeS!HeadRow,ROW()-ROW(DeathsTimeS!HeadRow),0,1,COLUMNS(DeathsTimeS!HeadRow)),1,MATCH(MI$5,DeathsTimeS!HeadRow,0))/MI$8</f>
        <v>512.52609978853536</v>
      </c>
      <c r="MJ76" s="278">
        <f ca="1">$A76 - DeathsTimeS!Italy100dt</f>
        <v>24</v>
      </c>
      <c r="MK76" s="20">
        <f ca="1">INDEX(OFFSET(DeathsTimeS!HeadRow,ROW()-ROW(DeathsTimeS!HeadRow),0,1,COLUMNS(DeathsTimeS!HeadRow)),1,MATCH(MK$5,DeathsTimeS!HeadRow,0))/MK$8</f>
        <v>1510.1264776390842</v>
      </c>
      <c r="ML76" s="278">
        <f ca="1">$A76 - DeathsTimeS!AustralianCapitalTerritory100dt</f>
        <v>-3</v>
      </c>
      <c r="MM76" s="11">
        <f ca="1">INDEX(OFFSET(DeathsTimeS!HeadRow,ROW()-ROW(DeathsTimeS!HeadRow),0,1,COLUMNS(DeathsTimeS!HeadRow)),1,MATCH(MM$5,DeathsTimeS!HeadRow,0))/MM$8</f>
        <v>0</v>
      </c>
      <c r="MN76" s="278">
        <f ca="1">IF(DeathsTimeS!NorthernTerritory100dt&gt;0,$A76 - DeathsTimeS!NorthernTerritory100dt,"")</f>
        <v>-31</v>
      </c>
      <c r="MO76" s="11">
        <f ca="1">INDEX(OFFSET(DeathsTimeS!HeadRow,ROW()-ROW(DeathsTimeS!HeadRow),0,1,COLUMNS(DeathsTimeS!HeadRow)),1,MATCH(MO$5,DeathsTimeS!HeadRow,0))/MO$8</f>
        <v>0</v>
      </c>
      <c r="MP76" s="278">
        <f ca="1">$A76 - DeathsTimeS!SouthAfrica100dt + 1</f>
        <v>-23</v>
      </c>
      <c r="MQ76" s="20">
        <f ca="1">INDEX(OFFSET(DeathsTimeS!HeadRow,ROW()-ROW(DeathsTimeS!HeadRow),0,1,COLUMNS(DeathsTimeS!HeadRow)),1,MATCH(MQ$5,DeathsTimeS!HeadRow,0))/MQ$8</f>
        <v>0.17307026652821048</v>
      </c>
      <c r="MR76" s="278">
        <f ca="1">$A76 - DeathsTimeS!Germany100dt + 1</f>
        <v>7</v>
      </c>
      <c r="MS76" s="20">
        <f ca="1">INDEX(OFFSET(DeathsTimeS!HeadRow,ROW()-ROW(DeathsTimeS!HeadRow),0,1,COLUMNS(DeathsTimeS!HeadRow)),1,MATCH(MS$5,DeathsTimeS!HeadRow,0))/MS$8</f>
        <v>41.194892796916406</v>
      </c>
      <c r="MT76" s="278">
        <f ca="1">$A76 - DeathsTimeS!Ireland100dt + 1</f>
        <v>5</v>
      </c>
      <c r="MU76" s="73">
        <f ca="1">INDEX(OFFSET(DeathsTimeS!HeadRow,ROW()-ROW(DeathsTimeS!HeadRow),0,1,COLUMNS(DeathsTimeS!HeadRow)),1,MATCH(MU$5,DeathsTimeS!HeadRow,0))/MU$8</f>
        <v>44.897959183673471</v>
      </c>
      <c r="MV76" s="278">
        <f ca="1">$A76 - DeathsTimeS!UnitedKingdom100dt + 1</f>
        <v>11</v>
      </c>
      <c r="MW76" s="73">
        <f ca="1">INDEX(OFFSET(DeathsTimeS!HeadRow,ROW()-ROW(DeathsTimeS!HeadRow),0,1,COLUMNS(DeathsTimeS!HeadRow)),1,MATCH(MW$5,DeathsTimeS!HeadRow,0))/MW$8</f>
        <v>174.7441300421433</v>
      </c>
      <c r="MX76" s="278">
        <f ca="1">$A76 - DeathsTimeS!Denmark100dt + 1</f>
        <v>9</v>
      </c>
      <c r="MY76" s="73">
        <f ca="1">INDEX(OFFSET(DeathsTimeS!HeadRow,ROW()-ROW(DeathsTimeS!HeadRow),0,1,COLUMNS(DeathsTimeS!HeadRow)),1,MATCH(MY$5,DeathsTimeS!HeadRow,0))/MY$8</f>
        <v>89.562521529452283</v>
      </c>
      <c r="MZ76" s="278">
        <f ca="1">$A76 - DeathsTimeS!US100dt + 1</f>
        <v>8</v>
      </c>
      <c r="NA76" s="73">
        <f ca="1">INDEX(OFFSET(DeathsTimeS!HeadRow,ROW()-ROW(DeathsTimeS!HeadRow),0,1,COLUMNS(DeathsTimeS!HeadRow)),1,MATCH(NA$5,DeathsTimeS!HeadRow,0))/NA$8</f>
        <v>68.797360718194156</v>
      </c>
      <c r="NB76" s="278">
        <f ca="1">$A76 - DeathsTimeS!AustraliaSum100dt + 1</f>
        <v>2</v>
      </c>
      <c r="NC76" s="366">
        <f t="shared" si="7"/>
        <v>13</v>
      </c>
      <c r="ND76" s="278">
        <f ca="1">$A76 - DeathsTimeS!Taiwan100dt + 1</f>
        <v>-30</v>
      </c>
      <c r="NE76" s="366">
        <f ca="1">INDEX(OFFSET(DeathsTimeS!HeadRow,ROW()-ROW(DeathsTimeS!HeadRow),0,1,COLUMNS(DeathsTimeS!HeadRow)),1,MATCH(NE$5,DeathsTimeS!HeadRow,0))/NE$8</f>
        <v>0.84007909848759721</v>
      </c>
      <c r="NF76" s="278">
        <f ca="1">$A76 - DeathsTimeS!Hubei100dt + 1</f>
        <v>61</v>
      </c>
      <c r="NG76" s="366">
        <f ca="1">INDEX(OFFSET(DeathsTimeS!HeadRow,ROW()-ROW(DeathsTimeS!HeadRow),0,1,COLUMNS(DeathsTimeS!HeadRow)),1,MATCH(NG$5,DeathsTimeS!HeadRow,0))/NG$8</f>
        <v>542.56410256410254</v>
      </c>
      <c r="NH76" s="278">
        <f ca="1">$A76 - DeathsTimeS!HongKong100dt + 1</f>
        <v>-30</v>
      </c>
      <c r="NI76" s="366">
        <f ca="1">INDEX(OFFSET(DeathsTimeS!HeadRow,ROW()-ROW(DeathsTimeS!HeadRow),0,1,COLUMNS(DeathsTimeS!HeadRow)),1,MATCH(NI$5,DeathsTimeS!HeadRow,0))/NI$8</f>
        <v>5.3684069252449333</v>
      </c>
    </row>
    <row r="77" spans="1:373" x14ac:dyDescent="0.25">
      <c r="A77" s="156">
        <v>43918</v>
      </c>
      <c r="B77" s="25">
        <v>4</v>
      </c>
      <c r="C77" s="25">
        <v>10</v>
      </c>
      <c r="D77" s="25">
        <v>29</v>
      </c>
      <c r="E77" s="25">
        <v>3</v>
      </c>
      <c r="F77" s="25">
        <v>0</v>
      </c>
      <c r="G77" s="25">
        <v>0</v>
      </c>
      <c r="H77" s="25">
        <v>18</v>
      </c>
      <c r="I77" s="25">
        <v>1</v>
      </c>
      <c r="J77" s="25">
        <v>0</v>
      </c>
      <c r="K77" s="25">
        <v>8</v>
      </c>
      <c r="L77" s="25">
        <v>0</v>
      </c>
      <c r="M77" s="25">
        <v>1</v>
      </c>
      <c r="N77" s="25">
        <v>0</v>
      </c>
      <c r="O77" s="25">
        <v>0</v>
      </c>
      <c r="P77" s="25">
        <v>3</v>
      </c>
      <c r="Q77" s="25">
        <v>2</v>
      </c>
      <c r="R77" s="25">
        <v>68</v>
      </c>
      <c r="S77" s="25">
        <v>4</v>
      </c>
      <c r="T77" s="25">
        <v>0</v>
      </c>
      <c r="U77" s="25">
        <v>4</v>
      </c>
      <c r="V77" s="25">
        <v>5</v>
      </c>
      <c r="W77" s="25">
        <v>0</v>
      </c>
      <c r="X77" s="25">
        <v>0</v>
      </c>
      <c r="Y77" s="25">
        <v>353</v>
      </c>
      <c r="Z77" s="25">
        <v>0</v>
      </c>
      <c r="AA77" s="25">
        <v>0</v>
      </c>
      <c r="AB77" s="25">
        <v>0</v>
      </c>
      <c r="AC77" s="25">
        <v>5</v>
      </c>
      <c r="AD77" s="25">
        <v>111</v>
      </c>
      <c r="AE77" s="25">
        <v>1</v>
      </c>
      <c r="AF77" s="25">
        <v>7</v>
      </c>
      <c r="AG77" s="25">
        <v>11</v>
      </c>
      <c r="AH77" s="25">
        <v>1</v>
      </c>
      <c r="AI77" s="25">
        <v>0</v>
      </c>
      <c r="AJ77" s="25">
        <v>2</v>
      </c>
      <c r="AK77" s="25">
        <v>2</v>
      </c>
      <c r="AL77" s="25">
        <v>17</v>
      </c>
      <c r="AM77" s="25">
        <v>0</v>
      </c>
      <c r="AN77" s="25">
        <v>1</v>
      </c>
      <c r="AO77" s="25">
        <v>0</v>
      </c>
      <c r="AP77" s="25">
        <v>0</v>
      </c>
      <c r="AQ77" s="25">
        <v>0</v>
      </c>
      <c r="AR77" s="25">
        <v>18</v>
      </c>
      <c r="AS77" s="25">
        <v>0</v>
      </c>
      <c r="AT77" s="25">
        <v>22</v>
      </c>
      <c r="AU77" s="25">
        <v>0</v>
      </c>
      <c r="AV77" s="25">
        <v>0</v>
      </c>
      <c r="AW77" s="25">
        <v>0</v>
      </c>
      <c r="AX77" s="25">
        <v>6</v>
      </c>
      <c r="AY77" s="25">
        <v>6</v>
      </c>
      <c r="AZ77" s="25">
        <v>8</v>
      </c>
      <c r="BA77" s="25">
        <v>6</v>
      </c>
      <c r="BB77" s="25">
        <v>1</v>
      </c>
      <c r="BC77" s="25">
        <v>2</v>
      </c>
      <c r="BD77" s="25">
        <v>8</v>
      </c>
      <c r="BE77" s="25">
        <v>2</v>
      </c>
      <c r="BF77" s="25">
        <v>2</v>
      </c>
      <c r="BG77" s="25">
        <v>6</v>
      </c>
      <c r="BH77" s="25">
        <v>6</v>
      </c>
      <c r="BI77" s="25">
        <v>13</v>
      </c>
      <c r="BJ77" s="25">
        <v>22</v>
      </c>
      <c r="BK77" s="25">
        <v>4</v>
      </c>
      <c r="BL77" s="25">
        <v>3177</v>
      </c>
      <c r="BM77" s="25">
        <v>4</v>
      </c>
      <c r="BN77" s="25">
        <v>1</v>
      </c>
      <c r="BO77" s="25">
        <v>0</v>
      </c>
      <c r="BP77" s="25">
        <v>1</v>
      </c>
      <c r="BQ77" s="25">
        <v>1</v>
      </c>
      <c r="BR77" s="25">
        <v>2</v>
      </c>
      <c r="BS77" s="25">
        <v>0</v>
      </c>
      <c r="BT77" s="25">
        <v>0</v>
      </c>
      <c r="BU77" s="25">
        <v>0</v>
      </c>
      <c r="BV77" s="25">
        <v>3</v>
      </c>
      <c r="BW77" s="25">
        <v>7</v>
      </c>
      <c r="BX77" s="25">
        <v>5</v>
      </c>
      <c r="BY77" s="25">
        <v>0</v>
      </c>
      <c r="BZ77" s="25">
        <v>3</v>
      </c>
      <c r="CA77" s="25">
        <v>3</v>
      </c>
      <c r="CB77" s="25">
        <v>0</v>
      </c>
      <c r="CC77" s="25">
        <v>3</v>
      </c>
      <c r="CD77" s="25">
        <v>2</v>
      </c>
      <c r="CE77" s="25">
        <v>1</v>
      </c>
      <c r="CF77" s="25">
        <v>6</v>
      </c>
      <c r="CG77" s="25">
        <v>0</v>
      </c>
      <c r="CH77" s="25">
        <v>6</v>
      </c>
      <c r="CI77" s="25">
        <v>2</v>
      </c>
      <c r="CJ77" s="25">
        <v>0</v>
      </c>
      <c r="CK77" s="25">
        <v>5</v>
      </c>
      <c r="CL77" s="25">
        <v>10</v>
      </c>
      <c r="CM77" s="25">
        <v>3</v>
      </c>
      <c r="CN77" s="25">
        <v>5</v>
      </c>
      <c r="CO77" s="25">
        <v>11</v>
      </c>
      <c r="CP77" s="25">
        <v>0</v>
      </c>
      <c r="CQ77" s="25">
        <v>0</v>
      </c>
      <c r="CR77" s="25">
        <v>65</v>
      </c>
      <c r="CS77" s="25">
        <v>0</v>
      </c>
      <c r="CT77" s="25">
        <v>28</v>
      </c>
      <c r="CU77" s="25">
        <v>48</v>
      </c>
      <c r="CV77" s="25">
        <v>36</v>
      </c>
      <c r="CW77" s="25">
        <v>0</v>
      </c>
      <c r="CX77" s="25">
        <v>0</v>
      </c>
      <c r="CY77" s="25">
        <v>0</v>
      </c>
      <c r="CZ77" s="25">
        <v>1</v>
      </c>
      <c r="DA77" s="25">
        <v>0</v>
      </c>
      <c r="DB77" s="25">
        <v>0</v>
      </c>
      <c r="DC77" s="25">
        <v>0</v>
      </c>
      <c r="DD77" s="25">
        <v>9</v>
      </c>
      <c r="DE77" s="25">
        <v>0</v>
      </c>
      <c r="DF77" s="25">
        <v>0</v>
      </c>
      <c r="DG77" s="25">
        <v>2</v>
      </c>
      <c r="DH77" s="25">
        <v>0</v>
      </c>
      <c r="DI77" s="25">
        <v>0</v>
      </c>
      <c r="DJ77" s="25">
        <v>0</v>
      </c>
      <c r="DK77" s="25">
        <v>0</v>
      </c>
      <c r="DL77" s="25">
        <v>0</v>
      </c>
      <c r="DM77" s="25">
        <v>1</v>
      </c>
      <c r="DN77" s="25">
        <v>2314</v>
      </c>
      <c r="DO77" s="25">
        <v>1</v>
      </c>
      <c r="DP77" s="25">
        <v>1</v>
      </c>
      <c r="DQ77" s="25">
        <v>0</v>
      </c>
      <c r="DR77" s="25">
        <v>433</v>
      </c>
      <c r="DS77" s="25">
        <v>5</v>
      </c>
      <c r="DT77" s="25">
        <v>32</v>
      </c>
      <c r="DU77" s="25">
        <v>1</v>
      </c>
      <c r="DV77" s="25">
        <v>0</v>
      </c>
      <c r="DW77" s="25">
        <v>1</v>
      </c>
      <c r="DX77" s="25">
        <v>0</v>
      </c>
      <c r="DY77" s="25">
        <v>0</v>
      </c>
      <c r="DZ77" s="25">
        <v>1</v>
      </c>
      <c r="EA77" s="25">
        <v>11</v>
      </c>
      <c r="EB77" s="25">
        <v>2</v>
      </c>
      <c r="EC77" s="25">
        <v>24</v>
      </c>
      <c r="ED77" s="25">
        <v>102</v>
      </c>
      <c r="EE77" s="25">
        <v>2517</v>
      </c>
      <c r="EF77" s="25">
        <v>42</v>
      </c>
      <c r="EG77" s="25">
        <v>36</v>
      </c>
      <c r="EH77" s="25">
        <v>12</v>
      </c>
      <c r="EI77" s="25">
        <v>10023</v>
      </c>
      <c r="EJ77" s="25">
        <v>1</v>
      </c>
      <c r="EK77" s="25">
        <v>52</v>
      </c>
      <c r="EL77" s="25">
        <v>1</v>
      </c>
      <c r="EM77" s="25">
        <v>1</v>
      </c>
      <c r="EN77" s="25">
        <v>1</v>
      </c>
      <c r="EO77" s="25">
        <v>144</v>
      </c>
      <c r="EP77" s="25">
        <v>0</v>
      </c>
      <c r="EQ77" s="25">
        <v>0</v>
      </c>
      <c r="ER77" s="25">
        <v>0</v>
      </c>
      <c r="ES77" s="25">
        <v>8</v>
      </c>
      <c r="ET77" s="25">
        <v>0</v>
      </c>
      <c r="EU77" s="25">
        <v>0</v>
      </c>
      <c r="EV77" s="25">
        <v>7</v>
      </c>
      <c r="EW77" s="25">
        <v>18</v>
      </c>
      <c r="EX77" s="25">
        <v>0</v>
      </c>
      <c r="EY77" s="25">
        <v>27</v>
      </c>
      <c r="EZ77" s="25">
        <v>0</v>
      </c>
      <c r="FA77" s="25">
        <v>0</v>
      </c>
      <c r="FB77" s="25">
        <v>0</v>
      </c>
      <c r="FC77" s="25">
        <v>2</v>
      </c>
      <c r="FD77" s="25">
        <v>16</v>
      </c>
      <c r="FE77" s="25">
        <v>2</v>
      </c>
      <c r="FF77" s="25">
        <v>0</v>
      </c>
      <c r="FG77" s="25">
        <v>0</v>
      </c>
      <c r="FH77" s="25">
        <v>1</v>
      </c>
      <c r="FI77" s="25">
        <v>25</v>
      </c>
      <c r="FJ77" s="25">
        <v>0</v>
      </c>
      <c r="FK77" s="25">
        <v>0</v>
      </c>
      <c r="FL77" s="25">
        <v>0</v>
      </c>
      <c r="FM77" s="25">
        <v>1</v>
      </c>
      <c r="FN77" s="25">
        <v>0</v>
      </c>
      <c r="FO77" s="25">
        <v>639</v>
      </c>
      <c r="FP77" s="25">
        <v>0</v>
      </c>
      <c r="FQ77" s="25">
        <v>1</v>
      </c>
      <c r="FR77" s="25">
        <v>1</v>
      </c>
      <c r="FS77" s="25">
        <v>1</v>
      </c>
      <c r="FT77" s="25">
        <v>4</v>
      </c>
      <c r="FU77" s="25">
        <v>23</v>
      </c>
      <c r="FV77" s="25">
        <v>0</v>
      </c>
      <c r="FW77" s="25">
        <v>12</v>
      </c>
      <c r="FX77" s="25">
        <v>14</v>
      </c>
      <c r="FY77" s="25">
        <v>0</v>
      </c>
      <c r="FZ77" s="25">
        <v>3</v>
      </c>
      <c r="GA77" s="25">
        <v>16</v>
      </c>
      <c r="GB77" s="25">
        <v>68</v>
      </c>
      <c r="GC77" s="25">
        <v>18</v>
      </c>
      <c r="GD77" s="25">
        <v>100</v>
      </c>
      <c r="GE77" s="25">
        <v>1</v>
      </c>
      <c r="GF77" s="25">
        <v>37</v>
      </c>
      <c r="GG77" s="25">
        <v>4</v>
      </c>
      <c r="GH77" s="25">
        <v>0</v>
      </c>
      <c r="GI77" s="25">
        <v>0</v>
      </c>
      <c r="GJ77" s="25">
        <v>0</v>
      </c>
      <c r="GK77" s="25">
        <v>22</v>
      </c>
      <c r="GL77" s="25">
        <v>4</v>
      </c>
      <c r="GM77" s="25">
        <v>0</v>
      </c>
      <c r="GN77" s="25">
        <v>10</v>
      </c>
      <c r="GO77" s="25">
        <v>0</v>
      </c>
      <c r="GP77" s="25">
        <v>2</v>
      </c>
      <c r="GQ77" s="25">
        <v>0</v>
      </c>
      <c r="GR77" s="25">
        <v>9</v>
      </c>
      <c r="GS77" s="25">
        <v>0</v>
      </c>
      <c r="GT77" s="25">
        <v>1</v>
      </c>
      <c r="GU77" s="25">
        <v>5982</v>
      </c>
      <c r="GV77" s="25">
        <v>1</v>
      </c>
      <c r="GW77" s="25">
        <v>1</v>
      </c>
      <c r="GX77" s="25">
        <v>0</v>
      </c>
      <c r="GY77" s="46">
        <v>105</v>
      </c>
      <c r="GZ77" s="25">
        <v>264</v>
      </c>
      <c r="HA77" s="25">
        <v>2</v>
      </c>
      <c r="HB77" s="25">
        <v>0</v>
      </c>
      <c r="HC77" s="25">
        <v>6</v>
      </c>
      <c r="HD77" s="25">
        <v>1</v>
      </c>
      <c r="HE77" s="25">
        <v>3</v>
      </c>
      <c r="HF77" s="25">
        <v>8</v>
      </c>
      <c r="HG77" s="25">
        <v>108</v>
      </c>
      <c r="HH77" s="25">
        <v>0</v>
      </c>
      <c r="HI77" s="25">
        <v>9</v>
      </c>
      <c r="HJ77" s="25">
        <v>2</v>
      </c>
      <c r="HK77" s="25">
        <v>0</v>
      </c>
      <c r="HL77" s="25">
        <v>1</v>
      </c>
      <c r="HM77" s="25">
        <v>1</v>
      </c>
      <c r="HN77" s="25">
        <v>0</v>
      </c>
      <c r="HO77" s="25">
        <v>0</v>
      </c>
      <c r="HP77" s="25">
        <v>0</v>
      </c>
      <c r="HQ77" s="25">
        <v>1455</v>
      </c>
      <c r="HR77" s="25">
        <v>0</v>
      </c>
      <c r="HS77" s="25">
        <v>2731</v>
      </c>
      <c r="HT77" s="25">
        <v>2</v>
      </c>
      <c r="HU77" s="25">
        <v>2</v>
      </c>
      <c r="HV77" s="25">
        <v>0</v>
      </c>
      <c r="HW77" s="25">
        <v>0</v>
      </c>
      <c r="HX77" s="25">
        <v>1</v>
      </c>
      <c r="HY77" s="25">
        <v>1</v>
      </c>
      <c r="HZ77" s="25">
        <v>0</v>
      </c>
      <c r="IA77" s="25">
        <v>0</v>
      </c>
      <c r="IB77" s="25">
        <v>0</v>
      </c>
      <c r="IC77" s="25">
        <v>0</v>
      </c>
      <c r="ID77" s="25">
        <v>0</v>
      </c>
      <c r="IE77" s="25">
        <v>0</v>
      </c>
      <c r="IF77" s="25">
        <v>0</v>
      </c>
      <c r="IG77" s="25">
        <v>0</v>
      </c>
      <c r="IH77" s="25">
        <v>0</v>
      </c>
      <c r="II77" s="25">
        <v>1</v>
      </c>
      <c r="IJ77" s="25">
        <v>0</v>
      </c>
      <c r="IK77" s="25">
        <v>0</v>
      </c>
      <c r="IL77" s="25">
        <v>0</v>
      </c>
      <c r="IM77" s="25">
        <v>0</v>
      </c>
      <c r="IN77" s="25">
        <v>0</v>
      </c>
      <c r="IO77" s="25">
        <v>1</v>
      </c>
      <c r="IP77" s="25">
        <v>0</v>
      </c>
      <c r="IQ77" s="25">
        <v>0</v>
      </c>
      <c r="IR77" s="25">
        <v>0</v>
      </c>
      <c r="IS77" s="25">
        <v>0</v>
      </c>
      <c r="IT77" s="25">
        <v>0</v>
      </c>
      <c r="IU77" s="25">
        <v>0</v>
      </c>
      <c r="IV77" s="25">
        <v>0</v>
      </c>
      <c r="IW77" s="25">
        <v>0</v>
      </c>
      <c r="IX77" s="25">
        <v>0</v>
      </c>
      <c r="IY77" s="25">
        <v>0</v>
      </c>
      <c r="IZ77" s="25">
        <v>0</v>
      </c>
      <c r="JA77" s="25">
        <v>0</v>
      </c>
      <c r="JB77" s="25">
        <v>0</v>
      </c>
      <c r="JC77" s="25">
        <v>0</v>
      </c>
      <c r="JD77" s="25">
        <v>0</v>
      </c>
      <c r="JE77" s="25">
        <v>0</v>
      </c>
      <c r="JF77" s="25">
        <v>0</v>
      </c>
      <c r="JG77" s="25">
        <v>0</v>
      </c>
      <c r="JH77" s="25">
        <v>0</v>
      </c>
      <c r="JI77" s="25">
        <v>1</v>
      </c>
      <c r="JJ77" s="25">
        <v>0</v>
      </c>
      <c r="JK77" s="25">
        <v>3</v>
      </c>
      <c r="JL77" s="25">
        <v>0</v>
      </c>
      <c r="JM77" s="25">
        <v>4</v>
      </c>
      <c r="JN77" s="25">
        <v>2</v>
      </c>
      <c r="JO77" s="25">
        <v>15</v>
      </c>
      <c r="JP77" s="25">
        <v>5</v>
      </c>
      <c r="JQ77" s="25">
        <v>110</v>
      </c>
      <c r="JR77" s="25">
        <v>31</v>
      </c>
      <c r="JS77" s="25">
        <v>33</v>
      </c>
      <c r="JT77" s="25">
        <v>5</v>
      </c>
      <c r="JU77" s="25">
        <v>4</v>
      </c>
      <c r="JV77" s="25">
        <v>54</v>
      </c>
      <c r="JW77" s="25">
        <v>69</v>
      </c>
      <c r="JX77" s="25">
        <v>0</v>
      </c>
      <c r="JY77" s="25">
        <v>4</v>
      </c>
      <c r="JZ77" s="25">
        <v>47</v>
      </c>
      <c r="KA77" s="25">
        <v>31</v>
      </c>
      <c r="KB77" s="25">
        <v>3</v>
      </c>
      <c r="KC77" s="25">
        <v>4</v>
      </c>
      <c r="KD77" s="25">
        <v>9</v>
      </c>
      <c r="KE77" s="25">
        <v>137</v>
      </c>
      <c r="KF77" s="25">
        <v>1</v>
      </c>
      <c r="KG77" s="25">
        <v>5</v>
      </c>
      <c r="KH77" s="25">
        <v>44</v>
      </c>
      <c r="KI77" s="25">
        <v>111</v>
      </c>
      <c r="KJ77" s="25">
        <v>5</v>
      </c>
      <c r="KK77" s="25">
        <v>13</v>
      </c>
      <c r="KL77" s="25">
        <v>10</v>
      </c>
      <c r="KM77" s="25">
        <v>1</v>
      </c>
      <c r="KN77" s="25">
        <v>2</v>
      </c>
      <c r="KO77" s="25">
        <v>10</v>
      </c>
      <c r="KP77" s="25">
        <v>2</v>
      </c>
      <c r="KQ77" s="25">
        <v>140</v>
      </c>
      <c r="KR77" s="25">
        <v>1</v>
      </c>
      <c r="KS77" s="25">
        <v>1588</v>
      </c>
      <c r="KT77" s="25">
        <v>5</v>
      </c>
      <c r="KU77" s="25">
        <v>1</v>
      </c>
      <c r="KV77" s="25">
        <v>25</v>
      </c>
      <c r="KW77" s="25">
        <v>15</v>
      </c>
      <c r="KX77" s="25">
        <v>13</v>
      </c>
      <c r="KY77" s="25">
        <v>34</v>
      </c>
      <c r="KZ77" s="25">
        <v>2</v>
      </c>
      <c r="LA77" s="25">
        <v>15</v>
      </c>
      <c r="LB77" s="25">
        <v>1</v>
      </c>
      <c r="LC77" s="25">
        <v>7</v>
      </c>
      <c r="LD77" s="25">
        <v>30</v>
      </c>
      <c r="LE77" s="25">
        <v>1</v>
      </c>
      <c r="LF77" s="25">
        <v>12</v>
      </c>
      <c r="LG77" s="25">
        <v>13</v>
      </c>
      <c r="LH77" s="25">
        <v>188</v>
      </c>
      <c r="LI77" s="25">
        <v>0</v>
      </c>
      <c r="LJ77" s="25">
        <v>17</v>
      </c>
      <c r="LK77" s="25">
        <v>0</v>
      </c>
      <c r="LL77" s="25">
        <v>0</v>
      </c>
      <c r="LM77" s="25">
        <v>3</v>
      </c>
      <c r="LN77" s="278">
        <f ca="1">$A77 - DeathsTimeS!Sweden100dt + 1</f>
        <v>10</v>
      </c>
      <c r="LO77" s="366">
        <f ca="1">INDEX(OFFSET(DeathsTimeS!HeadRow,ROW()-ROW(DeathsTimeS!HeadRow),0,1,COLUMNS(DeathsTimeS!HeadRow)),1,MATCH(LO$5,DeathsTimeS!HeadRow,0))/LO$8</f>
        <v>102.6392961876833</v>
      </c>
      <c r="LP77" s="278">
        <f ca="1">$A77 - DeathsTimeS!Spain100dt</f>
        <v>17</v>
      </c>
      <c r="LQ77" s="11">
        <f ca="1">INDEX(OFFSET(DeathsTimeS!HeadRow,ROW()-ROW(DeathsTimeS!HeadRow),0,1,COLUMNS(DeathsTimeS!HeadRow)),1,MATCH(LQ$5,DeathsTimeS!HeadRow,0))/LQ$8</f>
        <v>1274.3928419258627</v>
      </c>
      <c r="LR77" s="278">
        <f ca="1">$A77 - DeathsTimeS!Victoria100dt</f>
        <v>-6</v>
      </c>
      <c r="LS77" s="11">
        <f ca="1">INDEX(OFFSET(DeathsTimeS!HeadRow,ROW()-ROW(DeathsTimeS!HeadRow),0,1,COLUMNS(DeathsTimeS!HeadRow)),1,MATCH(LS$5,DeathsTimeS!HeadRow,0))/LS$8</f>
        <v>4.5255694674913256</v>
      </c>
      <c r="LT77" s="278">
        <f ca="1">$A77 - DeathsTimeS!Iran100dt</f>
        <v>24</v>
      </c>
      <c r="LU77" s="11">
        <f ca="1">INDEX(OFFSET(DeathsTimeS!HeadRow,ROW()-ROW(DeathsTimeS!HeadRow),0,1,COLUMNS(DeathsTimeS!HeadRow)),1,MATCH(LU$5,DeathsTimeS!HeadRow,0))/LU$8</f>
        <v>300.45480047270598</v>
      </c>
      <c r="LV77" s="278">
        <f ca="1">$A77 - DeathsTimeS!Japan100dt</f>
        <v>-17</v>
      </c>
      <c r="LW77" s="11">
        <f ca="1">INDEX(OFFSET(DeathsTimeS!HeadRow,ROW()-ROW(DeathsTimeS!HeadRow),0,1,COLUMNS(DeathsTimeS!HeadRow)),1,MATCH(LW$5,DeathsTimeS!HeadRow,0))/LW$8</f>
        <v>4.1089113413325355</v>
      </c>
      <c r="LX77" s="278">
        <f ca="1">$A77 - DeathsTimeS!Queensland100dt</f>
        <v>-21</v>
      </c>
      <c r="LY77" s="11">
        <f ca="1">INDEX(OFFSET(DeathsTimeS!HeadRow,ROW()-ROW(DeathsTimeS!HeadRow),0,1,COLUMNS(DeathsTimeS!HeadRow)),1,MATCH(LY$5,DeathsTimeS!HeadRow,0))/LY$8</f>
        <v>1.9548618489357048</v>
      </c>
      <c r="LZ77" s="278">
        <f ca="1">$A77 - DeathsTimeS!Tasmania100dt</f>
        <v>-3</v>
      </c>
      <c r="MA77" s="11">
        <f ca="1">INDEX(OFFSET(DeathsTimeS!HeadRow,ROW()-ROW(DeathsTimeS!HeadRow),0,1,COLUMNS(DeathsTimeS!HeadRow)),1,MATCH(MA$5,DeathsTimeS!HeadRow,0))/MA$8</f>
        <v>0</v>
      </c>
      <c r="MB77" s="278">
        <f ca="1">$A77 - DeathsTimeS!SouthAustralia100dt</f>
        <v>-11</v>
      </c>
      <c r="MC77" s="11">
        <f ca="1">INDEX(OFFSET(DeathsTimeS!HeadRow,ROW()-ROW(DeathsTimeS!HeadRow),0,1,COLUMNS(DeathsTimeS!HeadRow)),1,MATCH(MC$5,DeathsTimeS!HeadRow,0))/MC$8</f>
        <v>0</v>
      </c>
      <c r="MD77" s="278">
        <f ca="1">$A77 - DeathsTimeS!WesternAustralia100dt</f>
        <v>-8</v>
      </c>
      <c r="ME77" s="11">
        <f ca="1">INDEX(OFFSET(DeathsTimeS!HeadRow,ROW()-ROW(DeathsTimeS!HeadRow),0,1,COLUMNS(DeathsTimeS!HeadRow)),1,MATCH(ME$5,DeathsTimeS!HeadRow,0))/ME$8</f>
        <v>7.7249903437620695</v>
      </c>
      <c r="MF77" s="278">
        <f ca="1">$A77 - DeathsTimeS!NewSouthWales100dt</f>
        <v>-4</v>
      </c>
      <c r="MG77" s="11">
        <f ca="1">INDEX(OFFSET(DeathsTimeS!HeadRow,ROW()-ROW(DeathsTimeS!HeadRow),0,1,COLUMNS(DeathsTimeS!HeadRow)),1,MATCH(MG$5,DeathsTimeS!HeadRow,0))/MG$8</f>
        <v>9.9009900990099009</v>
      </c>
      <c r="MH77" s="278">
        <f ca="1">$A77 - DeathsTimeS!NewYork100dt</f>
        <v>12</v>
      </c>
      <c r="MI77" s="20">
        <f ca="1">INDEX(OFFSET(DeathsTimeS!HeadRow,ROW()-ROW(DeathsTimeS!HeadRow),0,1,COLUMNS(DeathsTimeS!HeadRow)),1,MATCH(MI$5,DeathsTimeS!HeadRow,0))/MI$8</f>
        <v>672.0821192933065</v>
      </c>
      <c r="MJ77" s="278">
        <f ca="1">$A77 - DeathsTimeS!Italy100dt</f>
        <v>25</v>
      </c>
      <c r="MK77" s="20">
        <f ca="1">INDEX(OFFSET(DeathsTimeS!HeadRow,ROW()-ROW(DeathsTimeS!HeadRow),0,1,COLUMNS(DeathsTimeS!HeadRow)),1,MATCH(MK$5,DeathsTimeS!HeadRow,0))/MK$8</f>
        <v>1657.1050673720758</v>
      </c>
      <c r="ML77" s="278">
        <f ca="1">$A77 - DeathsTimeS!AustralianCapitalTerritory100dt</f>
        <v>-2</v>
      </c>
      <c r="MM77" s="11">
        <f ca="1">INDEX(OFFSET(DeathsTimeS!HeadRow,ROW()-ROW(DeathsTimeS!HeadRow),0,1,COLUMNS(DeathsTimeS!HeadRow)),1,MATCH(MM$5,DeathsTimeS!HeadRow,0))/MM$8</f>
        <v>0</v>
      </c>
      <c r="MN77" s="278">
        <f ca="1">IF(DeathsTimeS!NorthernTerritory100dt&gt;0,$A77 - DeathsTimeS!NorthernTerritory100dt,"")</f>
        <v>-30</v>
      </c>
      <c r="MO77" s="11">
        <f ca="1">INDEX(OFFSET(DeathsTimeS!HeadRow,ROW()-ROW(DeathsTimeS!HeadRow),0,1,COLUMNS(DeathsTimeS!HeadRow)),1,MATCH(MO$5,DeathsTimeS!HeadRow,0))/MO$8</f>
        <v>0</v>
      </c>
      <c r="MP77" s="278">
        <f ca="1">$A77 - DeathsTimeS!SouthAfrica100dt + 1</f>
        <v>-22</v>
      </c>
      <c r="MQ77" s="20">
        <f ca="1">INDEX(OFFSET(DeathsTimeS!HeadRow,ROW()-ROW(DeathsTimeS!HeadRow),0,1,COLUMNS(DeathsTimeS!HeadRow)),1,MATCH(MQ$5,DeathsTimeS!HeadRow,0))/MQ$8</f>
        <v>0.17307026652821048</v>
      </c>
      <c r="MR77" s="278">
        <f ca="1">$A77 - DeathsTimeS!Germany100dt + 1</f>
        <v>8</v>
      </c>
      <c r="MS77" s="20">
        <f ca="1">INDEX(OFFSET(DeathsTimeS!HeadRow,ROW()-ROW(DeathsTimeS!HeadRow),0,1,COLUMNS(DeathsTimeS!HeadRow)),1,MATCH(MS$5,DeathsTimeS!HeadRow,0))/MS$8</f>
        <v>52.156106962177788</v>
      </c>
      <c r="MT77" s="278">
        <f ca="1">$A77 - DeathsTimeS!Ireland100dt + 1</f>
        <v>6</v>
      </c>
      <c r="MU77" s="73">
        <f ca="1">INDEX(OFFSET(DeathsTimeS!HeadRow,ROW()-ROW(DeathsTimeS!HeadRow),0,1,COLUMNS(DeathsTimeS!HeadRow)),1,MATCH(MU$5,DeathsTimeS!HeadRow,0))/MU$8</f>
        <v>73.469387755102048</v>
      </c>
      <c r="MV77" s="278">
        <f ca="1">$A77 - DeathsTimeS!UnitedKingdom100dt + 1</f>
        <v>12</v>
      </c>
      <c r="MW77" s="73">
        <f ca="1">INDEX(OFFSET(DeathsTimeS!HeadRow,ROW()-ROW(DeathsTimeS!HeadRow),0,1,COLUMNS(DeathsTimeS!HeadRow)),1,MATCH(MW$5,DeathsTimeS!HeadRow,0))/MW$8</f>
        <v>218.99458157736302</v>
      </c>
      <c r="MX77" s="278">
        <f ca="1">$A77 - DeathsTimeS!Denmark100dt + 1</f>
        <v>10</v>
      </c>
      <c r="MY77" s="73">
        <f ca="1">INDEX(OFFSET(DeathsTimeS!HeadRow,ROW()-ROW(DeathsTimeS!HeadRow),0,1,COLUMNS(DeathsTimeS!HeadRow)),1,MATCH(MY$5,DeathsTimeS!HeadRow,0))/MY$8</f>
        <v>111.95315191181537</v>
      </c>
      <c r="MZ77" s="278">
        <f ca="1">$A77 - DeathsTimeS!US100dt + 1</f>
        <v>9</v>
      </c>
      <c r="NA77" s="73">
        <f ca="1">INDEX(OFFSET(DeathsTimeS!HeadRow,ROW()-ROW(DeathsTimeS!HeadRow),0,1,COLUMNS(DeathsTimeS!HeadRow)),1,MATCH(NA$5,DeathsTimeS!HeadRow,0))/NA$8</f>
        <v>82.95169630083366</v>
      </c>
      <c r="NB77" s="278">
        <f ca="1">$A77 - DeathsTimeS!AustraliaSum100dt + 1</f>
        <v>3</v>
      </c>
      <c r="NC77" s="366">
        <f t="shared" si="7"/>
        <v>14</v>
      </c>
      <c r="ND77" s="278">
        <f ca="1">$A77 - DeathsTimeS!Taiwan100dt + 1</f>
        <v>-29</v>
      </c>
      <c r="NE77" s="366">
        <f ca="1">INDEX(OFFSET(DeathsTimeS!HeadRow,ROW()-ROW(DeathsTimeS!HeadRow),0,1,COLUMNS(DeathsTimeS!HeadRow)),1,MATCH(NE$5,DeathsTimeS!HeadRow,0))/NE$8</f>
        <v>0.84007909848759721</v>
      </c>
      <c r="NF77" s="278">
        <f ca="1">$A77 - DeathsTimeS!Hubei100dt + 1</f>
        <v>62</v>
      </c>
      <c r="NG77" s="366">
        <f ca="1">INDEX(OFFSET(DeathsTimeS!HeadRow,ROW()-ROW(DeathsTimeS!HeadRow),0,1,COLUMNS(DeathsTimeS!HeadRow)),1,MATCH(NG$5,DeathsTimeS!HeadRow,0))/NG$8</f>
        <v>543.07692307692309</v>
      </c>
      <c r="NH77" s="278">
        <f ca="1">$A77 - DeathsTimeS!HongKong100dt + 1</f>
        <v>-29</v>
      </c>
      <c r="NI77" s="366">
        <f ca="1">INDEX(OFFSET(DeathsTimeS!HeadRow,ROW()-ROW(DeathsTimeS!HeadRow),0,1,COLUMNS(DeathsTimeS!HeadRow)),1,MATCH(NI$5,DeathsTimeS!HeadRow,0))/NI$8</f>
        <v>5.3684069252449333</v>
      </c>
    </row>
    <row r="78" spans="1:373" x14ac:dyDescent="0.25">
      <c r="A78" s="156">
        <v>43919</v>
      </c>
      <c r="B78" s="25">
        <v>4</v>
      </c>
      <c r="C78" s="25">
        <v>10</v>
      </c>
      <c r="D78" s="25">
        <v>31</v>
      </c>
      <c r="E78" s="25">
        <v>6</v>
      </c>
      <c r="F78" s="25">
        <v>2</v>
      </c>
      <c r="G78" s="25">
        <v>0</v>
      </c>
      <c r="H78" s="25">
        <v>19</v>
      </c>
      <c r="I78" s="25">
        <v>3</v>
      </c>
      <c r="J78" s="25">
        <v>0</v>
      </c>
      <c r="K78" s="25">
        <v>8</v>
      </c>
      <c r="L78" s="25">
        <v>0</v>
      </c>
      <c r="M78" s="25">
        <v>2</v>
      </c>
      <c r="N78" s="25">
        <v>0</v>
      </c>
      <c r="O78" s="25">
        <v>0</v>
      </c>
      <c r="P78" s="25">
        <v>4</v>
      </c>
      <c r="Q78" s="25">
        <v>2</v>
      </c>
      <c r="R78" s="25">
        <v>86</v>
      </c>
      <c r="S78" s="25">
        <v>4</v>
      </c>
      <c r="T78" s="25">
        <v>0</v>
      </c>
      <c r="U78" s="25">
        <v>4</v>
      </c>
      <c r="V78" s="25">
        <v>5</v>
      </c>
      <c r="W78" s="25">
        <v>0</v>
      </c>
      <c r="X78" s="25">
        <v>0</v>
      </c>
      <c r="Y78" s="25">
        <v>431</v>
      </c>
      <c r="Z78" s="25">
        <v>0</v>
      </c>
      <c r="AA78" s="25">
        <v>0</v>
      </c>
      <c r="AB78" s="25">
        <v>1</v>
      </c>
      <c r="AC78" s="25">
        <v>6</v>
      </c>
      <c r="AD78" s="25">
        <v>136</v>
      </c>
      <c r="AE78" s="25">
        <v>1</v>
      </c>
      <c r="AF78" s="25">
        <v>8</v>
      </c>
      <c r="AG78" s="25">
        <v>12</v>
      </c>
      <c r="AH78" s="25">
        <v>1</v>
      </c>
      <c r="AI78" s="25">
        <v>0</v>
      </c>
      <c r="AJ78" s="25">
        <v>6</v>
      </c>
      <c r="AK78" s="25">
        <v>2</v>
      </c>
      <c r="AL78" s="25">
        <v>17</v>
      </c>
      <c r="AM78" s="25">
        <v>0</v>
      </c>
      <c r="AN78" s="25">
        <v>1</v>
      </c>
      <c r="AO78" s="25">
        <v>0</v>
      </c>
      <c r="AP78" s="25">
        <v>0</v>
      </c>
      <c r="AQ78" s="25">
        <v>0</v>
      </c>
      <c r="AR78" s="25">
        <v>21</v>
      </c>
      <c r="AS78" s="25">
        <v>0</v>
      </c>
      <c r="AT78" s="25">
        <v>22</v>
      </c>
      <c r="AU78" s="25">
        <v>0</v>
      </c>
      <c r="AV78" s="25">
        <v>0</v>
      </c>
      <c r="AW78" s="25">
        <v>0</v>
      </c>
      <c r="AX78" s="25">
        <v>7</v>
      </c>
      <c r="AY78" s="25">
        <v>6</v>
      </c>
      <c r="AZ78" s="25">
        <v>8</v>
      </c>
      <c r="BA78" s="25">
        <v>6</v>
      </c>
      <c r="BB78" s="25">
        <v>1</v>
      </c>
      <c r="BC78" s="25">
        <v>2</v>
      </c>
      <c r="BD78" s="25">
        <v>8</v>
      </c>
      <c r="BE78" s="25">
        <v>2</v>
      </c>
      <c r="BF78" s="25">
        <v>2</v>
      </c>
      <c r="BG78" s="25">
        <v>6</v>
      </c>
      <c r="BH78" s="25">
        <v>6</v>
      </c>
      <c r="BI78" s="25">
        <v>13</v>
      </c>
      <c r="BJ78" s="25">
        <v>22</v>
      </c>
      <c r="BK78" s="25">
        <v>4</v>
      </c>
      <c r="BL78" s="25">
        <v>3182</v>
      </c>
      <c r="BM78" s="25">
        <v>4</v>
      </c>
      <c r="BN78" s="25">
        <v>1</v>
      </c>
      <c r="BO78" s="25">
        <v>0</v>
      </c>
      <c r="BP78" s="25">
        <v>1</v>
      </c>
      <c r="BQ78" s="25">
        <v>1</v>
      </c>
      <c r="BR78" s="25">
        <v>2</v>
      </c>
      <c r="BS78" s="25">
        <v>0</v>
      </c>
      <c r="BT78" s="25">
        <v>0</v>
      </c>
      <c r="BU78" s="25">
        <v>0</v>
      </c>
      <c r="BV78" s="25">
        <v>3</v>
      </c>
      <c r="BW78" s="25">
        <v>7</v>
      </c>
      <c r="BX78" s="25">
        <v>5</v>
      </c>
      <c r="BY78" s="25">
        <v>0</v>
      </c>
      <c r="BZ78" s="25">
        <v>3</v>
      </c>
      <c r="CA78" s="25">
        <v>3</v>
      </c>
      <c r="CB78" s="25">
        <v>0</v>
      </c>
      <c r="CC78" s="25">
        <v>3</v>
      </c>
      <c r="CD78" s="25">
        <v>2</v>
      </c>
      <c r="CE78" s="25">
        <v>1</v>
      </c>
      <c r="CF78" s="25">
        <v>10</v>
      </c>
      <c r="CG78" s="25">
        <v>0</v>
      </c>
      <c r="CH78" s="25">
        <v>6</v>
      </c>
      <c r="CI78" s="25">
        <v>2</v>
      </c>
      <c r="CJ78" s="25">
        <v>1</v>
      </c>
      <c r="CK78" s="25">
        <v>6</v>
      </c>
      <c r="CL78" s="25">
        <v>10</v>
      </c>
      <c r="CM78" s="25">
        <v>3</v>
      </c>
      <c r="CN78" s="25">
        <v>5</v>
      </c>
      <c r="CO78" s="25">
        <v>16</v>
      </c>
      <c r="CP78" s="25">
        <v>0</v>
      </c>
      <c r="CQ78" s="25">
        <v>0</v>
      </c>
      <c r="CR78" s="25">
        <v>72</v>
      </c>
      <c r="CS78" s="25">
        <v>0</v>
      </c>
      <c r="CT78" s="25">
        <v>39</v>
      </c>
      <c r="CU78" s="25">
        <v>58</v>
      </c>
      <c r="CV78" s="25">
        <v>40</v>
      </c>
      <c r="CW78" s="25">
        <v>0</v>
      </c>
      <c r="CX78" s="25">
        <v>0</v>
      </c>
      <c r="CY78" s="25">
        <v>0</v>
      </c>
      <c r="CZ78" s="25">
        <v>3</v>
      </c>
      <c r="DA78" s="25">
        <v>0</v>
      </c>
      <c r="DB78" s="25">
        <v>0</v>
      </c>
      <c r="DC78" s="25">
        <v>0</v>
      </c>
      <c r="DD78" s="25">
        <v>11</v>
      </c>
      <c r="DE78" s="25">
        <v>0</v>
      </c>
      <c r="DF78" s="25">
        <v>0</v>
      </c>
      <c r="DG78" s="25">
        <v>4</v>
      </c>
      <c r="DH78" s="25">
        <v>0</v>
      </c>
      <c r="DI78" s="25">
        <v>0</v>
      </c>
      <c r="DJ78" s="25">
        <v>0</v>
      </c>
      <c r="DK78" s="25">
        <v>0</v>
      </c>
      <c r="DL78" s="25">
        <v>0</v>
      </c>
      <c r="DM78" s="25">
        <v>1</v>
      </c>
      <c r="DN78" s="25">
        <v>2606</v>
      </c>
      <c r="DO78" s="25">
        <v>1</v>
      </c>
      <c r="DP78" s="25">
        <v>1</v>
      </c>
      <c r="DQ78" s="25">
        <v>0</v>
      </c>
      <c r="DR78" s="25">
        <v>533</v>
      </c>
      <c r="DS78" s="25">
        <v>5</v>
      </c>
      <c r="DT78" s="25">
        <v>38</v>
      </c>
      <c r="DU78" s="25">
        <v>1</v>
      </c>
      <c r="DV78" s="25">
        <v>0</v>
      </c>
      <c r="DW78" s="25">
        <v>1</v>
      </c>
      <c r="DX78" s="25">
        <v>0</v>
      </c>
      <c r="DY78" s="25">
        <v>0</v>
      </c>
      <c r="DZ78" s="25">
        <v>3</v>
      </c>
      <c r="EA78" s="25">
        <v>13</v>
      </c>
      <c r="EB78" s="25">
        <v>2</v>
      </c>
      <c r="EC78" s="25">
        <v>27</v>
      </c>
      <c r="ED78" s="25">
        <v>114</v>
      </c>
      <c r="EE78" s="25">
        <v>2640</v>
      </c>
      <c r="EF78" s="25">
        <v>42</v>
      </c>
      <c r="EG78" s="25">
        <v>46</v>
      </c>
      <c r="EH78" s="25">
        <v>15</v>
      </c>
      <c r="EI78" s="25">
        <v>10779</v>
      </c>
      <c r="EJ78" s="25">
        <v>1</v>
      </c>
      <c r="EK78" s="25">
        <v>54</v>
      </c>
      <c r="EL78" s="25">
        <v>3</v>
      </c>
      <c r="EM78" s="25">
        <v>1</v>
      </c>
      <c r="EN78" s="25">
        <v>1</v>
      </c>
      <c r="EO78" s="25">
        <v>152</v>
      </c>
      <c r="EP78" s="25">
        <v>0</v>
      </c>
      <c r="EQ78" s="25">
        <v>0</v>
      </c>
      <c r="ER78" s="25">
        <v>0</v>
      </c>
      <c r="ES78" s="25">
        <v>10</v>
      </c>
      <c r="ET78" s="25">
        <v>0</v>
      </c>
      <c r="EU78" s="25">
        <v>0</v>
      </c>
      <c r="EV78" s="25">
        <v>7</v>
      </c>
      <c r="EW78" s="25">
        <v>21</v>
      </c>
      <c r="EX78" s="25">
        <v>0</v>
      </c>
      <c r="EY78" s="25">
        <v>35</v>
      </c>
      <c r="EZ78" s="25">
        <v>0</v>
      </c>
      <c r="FA78" s="25">
        <v>0</v>
      </c>
      <c r="FB78" s="25">
        <v>0</v>
      </c>
      <c r="FC78" s="25">
        <v>3</v>
      </c>
      <c r="FD78" s="25">
        <v>20</v>
      </c>
      <c r="FE78" s="25">
        <v>2</v>
      </c>
      <c r="FF78" s="25">
        <v>1</v>
      </c>
      <c r="FG78" s="25">
        <v>0</v>
      </c>
      <c r="FH78" s="25">
        <v>1</v>
      </c>
      <c r="FI78" s="25">
        <v>26</v>
      </c>
      <c r="FJ78" s="25">
        <v>0</v>
      </c>
      <c r="FK78" s="25">
        <v>0</v>
      </c>
      <c r="FL78" s="25">
        <v>0</v>
      </c>
      <c r="FM78" s="25">
        <v>1</v>
      </c>
      <c r="FN78" s="25">
        <v>0</v>
      </c>
      <c r="FO78" s="25">
        <v>771</v>
      </c>
      <c r="FP78" s="25">
        <v>1</v>
      </c>
      <c r="FQ78" s="25">
        <v>1</v>
      </c>
      <c r="FR78" s="25">
        <v>1</v>
      </c>
      <c r="FS78" s="25">
        <v>1</v>
      </c>
      <c r="FT78" s="25">
        <v>6</v>
      </c>
      <c r="FU78" s="25">
        <v>25</v>
      </c>
      <c r="FV78" s="25">
        <v>0</v>
      </c>
      <c r="FW78" s="25">
        <v>14</v>
      </c>
      <c r="FX78" s="25">
        <v>17</v>
      </c>
      <c r="FY78" s="25">
        <v>0</v>
      </c>
      <c r="FZ78" s="25">
        <v>3</v>
      </c>
      <c r="GA78" s="25">
        <v>18</v>
      </c>
      <c r="GB78" s="25">
        <v>71</v>
      </c>
      <c r="GC78" s="25">
        <v>22</v>
      </c>
      <c r="GD78" s="25">
        <v>119</v>
      </c>
      <c r="GE78" s="25">
        <v>1</v>
      </c>
      <c r="GF78" s="25">
        <v>43</v>
      </c>
      <c r="GG78" s="25">
        <v>8</v>
      </c>
      <c r="GH78" s="25">
        <v>0</v>
      </c>
      <c r="GI78" s="25">
        <v>0</v>
      </c>
      <c r="GJ78" s="25">
        <v>0</v>
      </c>
      <c r="GK78" s="25">
        <v>22</v>
      </c>
      <c r="GL78" s="25">
        <v>8</v>
      </c>
      <c r="GM78" s="25">
        <v>0</v>
      </c>
      <c r="GN78" s="25">
        <v>13</v>
      </c>
      <c r="GO78" s="25">
        <v>0</v>
      </c>
      <c r="GP78" s="25">
        <v>3</v>
      </c>
      <c r="GQ78" s="25">
        <v>0</v>
      </c>
      <c r="GR78" s="25">
        <v>11</v>
      </c>
      <c r="GS78" s="25">
        <v>0</v>
      </c>
      <c r="GT78" s="25">
        <v>2</v>
      </c>
      <c r="GU78" s="25">
        <v>6803</v>
      </c>
      <c r="GV78" s="25">
        <v>1</v>
      </c>
      <c r="GW78" s="25">
        <v>1</v>
      </c>
      <c r="GX78" s="25">
        <v>0</v>
      </c>
      <c r="GY78" s="46">
        <v>110</v>
      </c>
      <c r="GZ78" s="25">
        <v>300</v>
      </c>
      <c r="HA78" s="25">
        <v>2</v>
      </c>
      <c r="HB78" s="25">
        <v>0</v>
      </c>
      <c r="HC78" s="25">
        <v>7</v>
      </c>
      <c r="HD78" s="25">
        <v>1</v>
      </c>
      <c r="HE78" s="25">
        <v>3</v>
      </c>
      <c r="HF78" s="25">
        <v>8</v>
      </c>
      <c r="HG78" s="25">
        <v>131</v>
      </c>
      <c r="HH78" s="25">
        <v>0</v>
      </c>
      <c r="HI78" s="25">
        <v>10</v>
      </c>
      <c r="HJ78" s="25">
        <v>3</v>
      </c>
      <c r="HK78" s="25">
        <v>0</v>
      </c>
      <c r="HL78" s="25">
        <v>1</v>
      </c>
      <c r="HM78" s="25">
        <v>2</v>
      </c>
      <c r="HN78" s="25">
        <v>0</v>
      </c>
      <c r="HO78" s="25">
        <v>0</v>
      </c>
      <c r="HP78" s="25">
        <v>0</v>
      </c>
      <c r="HQ78" s="25">
        <v>1669</v>
      </c>
      <c r="HR78" s="25">
        <v>1</v>
      </c>
      <c r="HS78" s="25">
        <v>3420</v>
      </c>
      <c r="HT78" s="25">
        <v>2</v>
      </c>
      <c r="HU78" s="25">
        <v>2</v>
      </c>
      <c r="HV78" s="25">
        <v>0</v>
      </c>
      <c r="HW78" s="25">
        <v>0</v>
      </c>
      <c r="HX78" s="25">
        <v>1</v>
      </c>
      <c r="HY78" s="25">
        <v>1</v>
      </c>
      <c r="HZ78" s="25">
        <v>0</v>
      </c>
      <c r="IA78" s="25">
        <v>0</v>
      </c>
      <c r="IB78" s="25">
        <v>0</v>
      </c>
      <c r="IC78" s="25">
        <v>1</v>
      </c>
      <c r="ID78" s="25">
        <v>0</v>
      </c>
      <c r="IE78" s="25">
        <v>0</v>
      </c>
      <c r="IF78" s="25">
        <v>0</v>
      </c>
      <c r="IG78" s="25">
        <v>0</v>
      </c>
      <c r="IH78" s="25">
        <v>0</v>
      </c>
      <c r="II78" s="25">
        <v>1</v>
      </c>
      <c r="IJ78" s="25">
        <v>0</v>
      </c>
      <c r="IK78" s="25">
        <v>1</v>
      </c>
      <c r="IL78" s="25">
        <v>0</v>
      </c>
      <c r="IM78" s="25">
        <v>0</v>
      </c>
      <c r="IN78" s="25">
        <v>0</v>
      </c>
      <c r="IO78" s="25">
        <v>1</v>
      </c>
      <c r="IP78" s="25">
        <v>0</v>
      </c>
      <c r="IQ78" s="25">
        <v>0</v>
      </c>
      <c r="IR78" s="25">
        <v>0</v>
      </c>
      <c r="IS78" s="25">
        <v>0</v>
      </c>
      <c r="IT78" s="25">
        <v>0</v>
      </c>
      <c r="IU78" s="25">
        <v>0</v>
      </c>
      <c r="IV78" s="25">
        <v>0</v>
      </c>
      <c r="IW78" s="25">
        <v>0</v>
      </c>
      <c r="IX78" s="25">
        <v>0</v>
      </c>
      <c r="IY78" s="25">
        <v>0</v>
      </c>
      <c r="IZ78" s="25">
        <v>0</v>
      </c>
      <c r="JA78" s="25">
        <v>0</v>
      </c>
      <c r="JB78" s="25">
        <v>0</v>
      </c>
      <c r="JC78" s="25">
        <v>0</v>
      </c>
      <c r="JD78" s="25">
        <v>0</v>
      </c>
      <c r="JE78" s="25">
        <v>0</v>
      </c>
      <c r="JF78" s="25">
        <v>0</v>
      </c>
      <c r="JG78" s="25">
        <v>0</v>
      </c>
      <c r="JH78" s="25">
        <v>0</v>
      </c>
      <c r="JI78" s="25">
        <v>1</v>
      </c>
      <c r="JJ78" s="25">
        <v>0</v>
      </c>
      <c r="JK78" s="25">
        <v>3</v>
      </c>
      <c r="JL78" s="25">
        <v>0</v>
      </c>
      <c r="JM78" s="25">
        <v>10</v>
      </c>
      <c r="JN78" s="25">
        <v>2</v>
      </c>
      <c r="JO78" s="25">
        <v>17</v>
      </c>
      <c r="JP78" s="25">
        <v>6</v>
      </c>
      <c r="JQ78" s="25">
        <v>124</v>
      </c>
      <c r="JR78" s="25">
        <v>47</v>
      </c>
      <c r="JS78" s="25">
        <v>34</v>
      </c>
      <c r="JT78" s="25">
        <v>6</v>
      </c>
      <c r="JU78" s="25">
        <v>5</v>
      </c>
      <c r="JV78" s="25">
        <v>56</v>
      </c>
      <c r="JW78" s="25">
        <v>80</v>
      </c>
      <c r="JX78" s="25">
        <v>0</v>
      </c>
      <c r="JY78" s="25">
        <v>5</v>
      </c>
      <c r="JZ78" s="25">
        <v>66</v>
      </c>
      <c r="KA78" s="25">
        <v>32</v>
      </c>
      <c r="KB78" s="25">
        <v>4</v>
      </c>
      <c r="KC78" s="25">
        <v>7</v>
      </c>
      <c r="KD78" s="25">
        <v>9</v>
      </c>
      <c r="KE78" s="25">
        <v>151</v>
      </c>
      <c r="KF78" s="25">
        <v>3</v>
      </c>
      <c r="KG78" s="25">
        <v>10</v>
      </c>
      <c r="KH78" s="25">
        <v>48</v>
      </c>
      <c r="KI78" s="25">
        <v>132</v>
      </c>
      <c r="KJ78" s="25">
        <v>9</v>
      </c>
      <c r="KK78" s="25">
        <v>14</v>
      </c>
      <c r="KL78" s="25">
        <v>13</v>
      </c>
      <c r="KM78" s="25">
        <v>1</v>
      </c>
      <c r="KN78" s="25">
        <v>2</v>
      </c>
      <c r="KO78" s="25">
        <v>15</v>
      </c>
      <c r="KP78" s="25">
        <v>2</v>
      </c>
      <c r="KQ78" s="25">
        <v>161</v>
      </c>
      <c r="KR78" s="25">
        <v>2</v>
      </c>
      <c r="KS78" s="25">
        <v>2016</v>
      </c>
      <c r="KT78" s="25">
        <v>7</v>
      </c>
      <c r="KU78" s="25">
        <v>1</v>
      </c>
      <c r="KV78" s="25">
        <v>29</v>
      </c>
      <c r="KW78" s="25">
        <v>16</v>
      </c>
      <c r="KX78" s="25">
        <v>13</v>
      </c>
      <c r="KY78" s="25">
        <v>41</v>
      </c>
      <c r="KZ78" s="25">
        <v>3</v>
      </c>
      <c r="LA78" s="25">
        <v>16</v>
      </c>
      <c r="LB78" s="25">
        <v>1</v>
      </c>
      <c r="LC78" s="25">
        <v>8</v>
      </c>
      <c r="LD78" s="25">
        <v>37</v>
      </c>
      <c r="LE78" s="25">
        <v>2</v>
      </c>
      <c r="LF78" s="25">
        <v>12</v>
      </c>
      <c r="LG78" s="25">
        <v>20</v>
      </c>
      <c r="LH78" s="25">
        <v>198</v>
      </c>
      <c r="LI78" s="25">
        <v>0</v>
      </c>
      <c r="LJ78" s="25">
        <v>18</v>
      </c>
      <c r="LK78" s="25">
        <v>0</v>
      </c>
      <c r="LL78" s="25">
        <v>0</v>
      </c>
      <c r="LM78" s="25">
        <v>3</v>
      </c>
      <c r="LN78" s="278">
        <f ca="1">$A78 - DeathsTimeS!Sweden100dt + 1</f>
        <v>11</v>
      </c>
      <c r="LO78" s="366">
        <f ca="1">INDEX(OFFSET(DeathsTimeS!HeadRow,ROW()-ROW(DeathsTimeS!HeadRow),0,1,COLUMNS(DeathsTimeS!HeadRow)),1,MATCH(LO$5,DeathsTimeS!HeadRow,0))/LO$8</f>
        <v>107.52688172043011</v>
      </c>
      <c r="LP78" s="278">
        <f ca="1">$A78 - DeathsTimeS!Spain100dt</f>
        <v>18</v>
      </c>
      <c r="LQ78" s="11">
        <f ca="1">INDEX(OFFSET(DeathsTimeS!HeadRow,ROW()-ROW(DeathsTimeS!HeadRow),0,1,COLUMNS(DeathsTimeS!HeadRow)),1,MATCH(LQ$5,DeathsTimeS!HeadRow,0))/LQ$8</f>
        <v>1449.2969748615253</v>
      </c>
      <c r="LR78" s="278">
        <f ca="1">$A78 - DeathsTimeS!Victoria100dt</f>
        <v>-5</v>
      </c>
      <c r="LS78" s="11">
        <f ca="1">INDEX(OFFSET(DeathsTimeS!HeadRow,ROW()-ROW(DeathsTimeS!HeadRow),0,1,COLUMNS(DeathsTimeS!HeadRow)),1,MATCH(LS$5,DeathsTimeS!HeadRow,0))/LS$8</f>
        <v>6.0340926233217678</v>
      </c>
      <c r="LT78" s="278">
        <f ca="1">$A78 - DeathsTimeS!Iran100dt</f>
        <v>25</v>
      </c>
      <c r="LU78" s="11">
        <f ca="1">INDEX(OFFSET(DeathsTimeS!HeadRow,ROW()-ROW(DeathsTimeS!HeadRow),0,1,COLUMNS(DeathsTimeS!HeadRow)),1,MATCH(LU$5,DeathsTimeS!HeadRow,0))/LU$8</f>
        <v>315.1373354183329</v>
      </c>
      <c r="LV78" s="278">
        <f ca="1">$A78 - DeathsTimeS!Japan100dt</f>
        <v>-16</v>
      </c>
      <c r="LW78" s="11">
        <f ca="1">INDEX(OFFSET(DeathsTimeS!HeadRow,ROW()-ROW(DeathsTimeS!HeadRow),0,1,COLUMNS(DeathsTimeS!HeadRow)),1,MATCH(LW$5,DeathsTimeS!HeadRow,0))/LW$8</f>
        <v>4.2669463929222484</v>
      </c>
      <c r="LX78" s="278">
        <f ca="1">$A78 - DeathsTimeS!Queensland100dt</f>
        <v>-20</v>
      </c>
      <c r="LY78" s="11">
        <f ca="1">INDEX(OFFSET(DeathsTimeS!HeadRow,ROW()-ROW(DeathsTimeS!HeadRow),0,1,COLUMNS(DeathsTimeS!HeadRow)),1,MATCH(LY$5,DeathsTimeS!HeadRow,0))/LY$8</f>
        <v>3.9097236978714096</v>
      </c>
      <c r="LZ78" s="278">
        <f ca="1">$A78 - DeathsTimeS!Tasmania100dt</f>
        <v>-2</v>
      </c>
      <c r="MA78" s="11">
        <f ca="1">INDEX(OFFSET(DeathsTimeS!HeadRow,ROW()-ROW(DeathsTimeS!HeadRow),0,1,COLUMNS(DeathsTimeS!HeadRow)),1,MATCH(MA$5,DeathsTimeS!HeadRow,0))/MA$8</f>
        <v>0</v>
      </c>
      <c r="MB78" s="278">
        <f ca="1">$A78 - DeathsTimeS!SouthAustralia100dt</f>
        <v>-10</v>
      </c>
      <c r="MC78" s="11">
        <f ca="1">INDEX(OFFSET(DeathsTimeS!HeadRow,ROW()-ROW(DeathsTimeS!HeadRow),0,1,COLUMNS(DeathsTimeS!HeadRow)),1,MATCH(MC$5,DeathsTimeS!HeadRow,0))/MC$8</f>
        <v>0</v>
      </c>
      <c r="MD78" s="278">
        <f ca="1">$A78 - DeathsTimeS!WesternAustralia100dt</f>
        <v>-7</v>
      </c>
      <c r="ME78" s="11">
        <f ca="1">INDEX(OFFSET(DeathsTimeS!HeadRow,ROW()-ROW(DeathsTimeS!HeadRow),0,1,COLUMNS(DeathsTimeS!HeadRow)),1,MATCH(ME$5,DeathsTimeS!HeadRow,0))/ME$8</f>
        <v>7.7249903437620695</v>
      </c>
      <c r="MF78" s="278">
        <f ca="1">$A78 - DeathsTimeS!NewSouthWales100dt</f>
        <v>-3</v>
      </c>
      <c r="MG78" s="11">
        <f ca="1">INDEX(OFFSET(DeathsTimeS!HeadRow,ROW()-ROW(DeathsTimeS!HeadRow),0,1,COLUMNS(DeathsTimeS!HeadRow)),1,MATCH(MG$5,DeathsTimeS!HeadRow,0))/MG$8</f>
        <v>9.9009900990099009</v>
      </c>
      <c r="MH78" s="278">
        <f ca="1">$A78 - DeathsTimeS!NewYork100dt</f>
        <v>13</v>
      </c>
      <c r="MI78" s="20">
        <f ca="1">INDEX(OFFSET(DeathsTimeS!HeadRow,ROW()-ROW(DeathsTimeS!HeadRow),0,1,COLUMNS(DeathsTimeS!HeadRow)),1,MATCH(MI$5,DeathsTimeS!HeadRow,0))/MI$8</f>
        <v>853.22264011039408</v>
      </c>
      <c r="MJ78" s="278">
        <f ca="1">$A78 - DeathsTimeS!Italy100dt</f>
        <v>26</v>
      </c>
      <c r="MK78" s="20">
        <f ca="1">INDEX(OFFSET(DeathsTimeS!HeadRow,ROW()-ROW(DeathsTimeS!HeadRow),0,1,COLUMNS(DeathsTimeS!HeadRow)),1,MATCH(MK$5,DeathsTimeS!HeadRow,0))/MK$8</f>
        <v>1782.0947342316279</v>
      </c>
      <c r="ML78" s="278">
        <f ca="1">$A78 - DeathsTimeS!AustralianCapitalTerritory100dt</f>
        <v>-1</v>
      </c>
      <c r="MM78" s="11">
        <f ca="1">INDEX(OFFSET(DeathsTimeS!HeadRow,ROW()-ROW(DeathsTimeS!HeadRow),0,1,COLUMNS(DeathsTimeS!HeadRow)),1,MATCH(MM$5,DeathsTimeS!HeadRow,0))/MM$8</f>
        <v>0</v>
      </c>
      <c r="MN78" s="278">
        <f ca="1">IF(DeathsTimeS!NorthernTerritory100dt&gt;0,$A78 - DeathsTimeS!NorthernTerritory100dt,"")</f>
        <v>-29</v>
      </c>
      <c r="MO78" s="11">
        <f ca="1">INDEX(OFFSET(DeathsTimeS!HeadRow,ROW()-ROW(DeathsTimeS!HeadRow),0,1,COLUMNS(DeathsTimeS!HeadRow)),1,MATCH(MO$5,DeathsTimeS!HeadRow,0))/MO$8</f>
        <v>0</v>
      </c>
      <c r="MP78" s="278">
        <f ca="1">$A78 - DeathsTimeS!SouthAfrica100dt + 1</f>
        <v>-21</v>
      </c>
      <c r="MQ78" s="20">
        <f ca="1">INDEX(OFFSET(DeathsTimeS!HeadRow,ROW()-ROW(DeathsTimeS!HeadRow),0,1,COLUMNS(DeathsTimeS!HeadRow)),1,MATCH(MQ$5,DeathsTimeS!HeadRow,0))/MQ$8</f>
        <v>0.34614053305642095</v>
      </c>
      <c r="MR78" s="278">
        <f ca="1">$A78 - DeathsTimeS!Germany100dt + 1</f>
        <v>9</v>
      </c>
      <c r="MS78" s="20">
        <f ca="1">INDEX(OFFSET(DeathsTimeS!HeadRow,ROW()-ROW(DeathsTimeS!HeadRow),0,1,COLUMNS(DeathsTimeS!HeadRow)),1,MATCH(MS$5,DeathsTimeS!HeadRow,0))/MS$8</f>
        <v>64.201397253673818</v>
      </c>
      <c r="MT78" s="278">
        <f ca="1">$A78 - DeathsTimeS!Ireland100dt + 1</f>
        <v>7</v>
      </c>
      <c r="MU78" s="73">
        <f ca="1">INDEX(OFFSET(DeathsTimeS!HeadRow,ROW()-ROW(DeathsTimeS!HeadRow),0,1,COLUMNS(DeathsTimeS!HeadRow)),1,MATCH(MU$5,DeathsTimeS!HeadRow,0))/MU$8</f>
        <v>93.877551020408163</v>
      </c>
      <c r="MV78" s="278">
        <f ca="1">$A78 - DeathsTimeS!UnitedKingdom100dt + 1</f>
        <v>13</v>
      </c>
      <c r="MW78" s="73">
        <f ca="1">INDEX(OFFSET(DeathsTimeS!HeadRow,ROW()-ROW(DeathsTimeS!HeadRow),0,1,COLUMNS(DeathsTimeS!HeadRow)),1,MATCH(MW$5,DeathsTimeS!HeadRow,0))/MW$8</f>
        <v>251.20409391932571</v>
      </c>
      <c r="MX78" s="278">
        <f ca="1">$A78 - DeathsTimeS!Denmark100dt + 1</f>
        <v>11</v>
      </c>
      <c r="MY78" s="73">
        <f ca="1">INDEX(OFFSET(DeathsTimeS!HeadRow,ROW()-ROW(DeathsTimeS!HeadRow),0,1,COLUMNS(DeathsTimeS!HeadRow)),1,MATCH(MY$5,DeathsTimeS!HeadRow,0))/MY$8</f>
        <v>124.00964519462624</v>
      </c>
      <c r="MZ78" s="278">
        <f ca="1">$A78 - DeathsTimeS!US100dt + 1</f>
        <v>10</v>
      </c>
      <c r="NA78" s="73">
        <f ca="1">INDEX(OFFSET(DeathsTimeS!HeadRow,ROW()-ROW(DeathsTimeS!HeadRow),0,1,COLUMNS(DeathsTimeS!HeadRow)),1,MATCH(NA$5,DeathsTimeS!HeadRow,0))/NA$8</f>
        <v>103.87945856786932</v>
      </c>
      <c r="NB78" s="278">
        <f ca="1">$A78 - DeathsTimeS!AustraliaSum100dt + 1</f>
        <v>4</v>
      </c>
      <c r="NC78" s="366">
        <f t="shared" si="7"/>
        <v>16</v>
      </c>
      <c r="ND78" s="278">
        <f ca="1">$A78 - DeathsTimeS!Taiwan100dt + 1</f>
        <v>-28</v>
      </c>
      <c r="NE78" s="366">
        <f ca="1">INDEX(OFFSET(DeathsTimeS!HeadRow,ROW()-ROW(DeathsTimeS!HeadRow),0,1,COLUMNS(DeathsTimeS!HeadRow)),1,MATCH(NE$5,DeathsTimeS!HeadRow,0))/NE$8</f>
        <v>0.84007909848759721</v>
      </c>
      <c r="NF78" s="278">
        <f ca="1">$A78 - DeathsTimeS!Hubei100dt + 1</f>
        <v>63</v>
      </c>
      <c r="NG78" s="366">
        <f ca="1">INDEX(OFFSET(DeathsTimeS!HeadRow,ROW()-ROW(DeathsTimeS!HeadRow),0,1,COLUMNS(DeathsTimeS!HeadRow)),1,MATCH(NG$5,DeathsTimeS!HeadRow,0))/NG$8</f>
        <v>543.93162393162402</v>
      </c>
      <c r="NH78" s="278">
        <f ca="1">$A78 - DeathsTimeS!HongKong100dt + 1</f>
        <v>-28</v>
      </c>
      <c r="NI78" s="366">
        <f ca="1">INDEX(OFFSET(DeathsTimeS!HeadRow,ROW()-ROW(DeathsTimeS!HeadRow),0,1,COLUMNS(DeathsTimeS!HeadRow)),1,MATCH(NI$5,DeathsTimeS!HeadRow,0))/NI$8</f>
        <v>5.3684069252449333</v>
      </c>
    </row>
    <row r="79" spans="1:373" x14ac:dyDescent="0.25">
      <c r="A79" s="156">
        <v>43920</v>
      </c>
      <c r="B79" s="25">
        <v>4</v>
      </c>
      <c r="C79" s="25">
        <v>11</v>
      </c>
      <c r="D79" s="25">
        <v>35</v>
      </c>
      <c r="E79" s="25">
        <v>8</v>
      </c>
      <c r="F79" s="25">
        <v>2</v>
      </c>
      <c r="G79" s="25">
        <v>0</v>
      </c>
      <c r="H79" s="25">
        <v>23</v>
      </c>
      <c r="I79" s="25">
        <v>3</v>
      </c>
      <c r="J79" s="25">
        <v>1</v>
      </c>
      <c r="K79" s="25">
        <v>8</v>
      </c>
      <c r="L79" s="25">
        <v>0</v>
      </c>
      <c r="M79" s="25">
        <v>2</v>
      </c>
      <c r="N79" s="25">
        <v>0</v>
      </c>
      <c r="O79" s="25">
        <v>0</v>
      </c>
      <c r="P79" s="25">
        <v>4</v>
      </c>
      <c r="Q79" s="25">
        <v>2</v>
      </c>
      <c r="R79" s="25">
        <v>108</v>
      </c>
      <c r="S79" s="25">
        <v>4</v>
      </c>
      <c r="T79" s="25">
        <v>0</v>
      </c>
      <c r="U79" s="25">
        <v>4</v>
      </c>
      <c r="V79" s="25">
        <v>5</v>
      </c>
      <c r="W79" s="25">
        <v>0</v>
      </c>
      <c r="X79" s="25">
        <v>0</v>
      </c>
      <c r="Y79" s="25">
        <v>513</v>
      </c>
      <c r="Z79" s="25">
        <v>0</v>
      </c>
      <c r="AA79" s="25">
        <v>0</v>
      </c>
      <c r="AB79" s="25">
        <v>4</v>
      </c>
      <c r="AC79" s="25">
        <v>10</v>
      </c>
      <c r="AD79" s="25">
        <v>159</v>
      </c>
      <c r="AE79" s="25">
        <v>1</v>
      </c>
      <c r="AF79" s="25">
        <v>8</v>
      </c>
      <c r="AG79" s="25">
        <v>12</v>
      </c>
      <c r="AH79" s="25">
        <v>1</v>
      </c>
      <c r="AI79" s="25">
        <v>0</v>
      </c>
      <c r="AJ79" s="25">
        <v>6</v>
      </c>
      <c r="AK79" s="25">
        <v>3</v>
      </c>
      <c r="AL79" s="25">
        <v>19</v>
      </c>
      <c r="AM79" s="25">
        <v>0</v>
      </c>
      <c r="AN79" s="25">
        <v>1</v>
      </c>
      <c r="AO79" s="25">
        <v>0</v>
      </c>
      <c r="AP79" s="25">
        <v>1</v>
      </c>
      <c r="AQ79" s="25">
        <v>0</v>
      </c>
      <c r="AR79" s="25">
        <v>31</v>
      </c>
      <c r="AS79" s="25">
        <v>0</v>
      </c>
      <c r="AT79" s="25">
        <v>22</v>
      </c>
      <c r="AU79" s="25">
        <v>2</v>
      </c>
      <c r="AV79" s="25">
        <v>0</v>
      </c>
      <c r="AW79" s="25">
        <v>0</v>
      </c>
      <c r="AX79" s="25">
        <v>8</v>
      </c>
      <c r="AY79" s="25">
        <v>6</v>
      </c>
      <c r="AZ79" s="25">
        <v>8</v>
      </c>
      <c r="BA79" s="25">
        <v>6</v>
      </c>
      <c r="BB79" s="25">
        <v>1</v>
      </c>
      <c r="BC79" s="25">
        <v>2</v>
      </c>
      <c r="BD79" s="25">
        <v>8</v>
      </c>
      <c r="BE79" s="25">
        <v>2</v>
      </c>
      <c r="BF79" s="25">
        <v>2</v>
      </c>
      <c r="BG79" s="25">
        <v>6</v>
      </c>
      <c r="BH79" s="25">
        <v>6</v>
      </c>
      <c r="BI79" s="25">
        <v>13</v>
      </c>
      <c r="BJ79" s="25">
        <v>22</v>
      </c>
      <c r="BK79" s="25">
        <v>4</v>
      </c>
      <c r="BL79" s="25">
        <v>3186</v>
      </c>
      <c r="BM79" s="25">
        <v>4</v>
      </c>
      <c r="BN79" s="25">
        <v>1</v>
      </c>
      <c r="BO79" s="25">
        <v>0</v>
      </c>
      <c r="BP79" s="25">
        <v>1</v>
      </c>
      <c r="BQ79" s="25">
        <v>1</v>
      </c>
      <c r="BR79" s="25">
        <v>2</v>
      </c>
      <c r="BS79" s="25">
        <v>0</v>
      </c>
      <c r="BT79" s="25">
        <v>0</v>
      </c>
      <c r="BU79" s="25">
        <v>0</v>
      </c>
      <c r="BV79" s="25">
        <v>3</v>
      </c>
      <c r="BW79" s="25">
        <v>7</v>
      </c>
      <c r="BX79" s="25">
        <v>5</v>
      </c>
      <c r="BY79" s="25">
        <v>0</v>
      </c>
      <c r="BZ79" s="25">
        <v>3</v>
      </c>
      <c r="CA79" s="25">
        <v>3</v>
      </c>
      <c r="CB79" s="25">
        <v>0</v>
      </c>
      <c r="CC79" s="25">
        <v>3</v>
      </c>
      <c r="CD79" s="25">
        <v>2</v>
      </c>
      <c r="CE79" s="25">
        <v>1</v>
      </c>
      <c r="CF79" s="25">
        <v>12</v>
      </c>
      <c r="CG79" s="25">
        <v>0</v>
      </c>
      <c r="CH79" s="25">
        <v>8</v>
      </c>
      <c r="CI79" s="25">
        <v>2</v>
      </c>
      <c r="CJ79" s="25">
        <v>1</v>
      </c>
      <c r="CK79" s="25">
        <v>6</v>
      </c>
      <c r="CL79" s="25">
        <v>10</v>
      </c>
      <c r="CM79" s="25">
        <v>4</v>
      </c>
      <c r="CN79" s="25">
        <v>7</v>
      </c>
      <c r="CO79" s="25">
        <v>23</v>
      </c>
      <c r="CP79" s="25">
        <v>0</v>
      </c>
      <c r="CQ79" s="25">
        <v>0</v>
      </c>
      <c r="CR79" s="25">
        <v>77</v>
      </c>
      <c r="CS79" s="25">
        <v>0</v>
      </c>
      <c r="CT79" s="25">
        <v>42</v>
      </c>
      <c r="CU79" s="25">
        <v>60</v>
      </c>
      <c r="CV79" s="25">
        <v>41</v>
      </c>
      <c r="CW79" s="25">
        <v>0</v>
      </c>
      <c r="CX79" s="25">
        <v>0</v>
      </c>
      <c r="CY79" s="25">
        <v>0</v>
      </c>
      <c r="CZ79" s="25">
        <v>3</v>
      </c>
      <c r="DA79" s="25">
        <v>0</v>
      </c>
      <c r="DB79" s="25">
        <v>0</v>
      </c>
      <c r="DC79" s="25">
        <v>0</v>
      </c>
      <c r="DD79" s="25">
        <v>13</v>
      </c>
      <c r="DE79" s="25">
        <v>0</v>
      </c>
      <c r="DF79" s="25">
        <v>0</v>
      </c>
      <c r="DG79" s="25">
        <v>4</v>
      </c>
      <c r="DH79" s="25">
        <v>0</v>
      </c>
      <c r="DI79" s="25">
        <v>0</v>
      </c>
      <c r="DJ79" s="25">
        <v>0</v>
      </c>
      <c r="DK79" s="25">
        <v>0</v>
      </c>
      <c r="DL79" s="25">
        <v>1</v>
      </c>
      <c r="DM79" s="25">
        <v>1</v>
      </c>
      <c r="DN79" s="25">
        <v>3024</v>
      </c>
      <c r="DO79" s="25">
        <v>1</v>
      </c>
      <c r="DP79" s="25">
        <v>1</v>
      </c>
      <c r="DQ79" s="25">
        <v>0</v>
      </c>
      <c r="DR79" s="25">
        <v>645</v>
      </c>
      <c r="DS79" s="25">
        <v>5</v>
      </c>
      <c r="DT79" s="25">
        <v>43</v>
      </c>
      <c r="DU79" s="25">
        <v>1</v>
      </c>
      <c r="DV79" s="25">
        <v>0</v>
      </c>
      <c r="DW79" s="25">
        <v>1</v>
      </c>
      <c r="DX79" s="25">
        <v>0</v>
      </c>
      <c r="DY79" s="25">
        <v>0</v>
      </c>
      <c r="DZ79" s="25">
        <v>7</v>
      </c>
      <c r="EA79" s="25">
        <v>15</v>
      </c>
      <c r="EB79" s="25">
        <v>2</v>
      </c>
      <c r="EC79" s="25">
        <v>32</v>
      </c>
      <c r="ED79" s="25">
        <v>122</v>
      </c>
      <c r="EE79" s="25">
        <v>2757</v>
      </c>
      <c r="EF79" s="25">
        <v>46</v>
      </c>
      <c r="EG79" s="25">
        <v>54</v>
      </c>
      <c r="EH79" s="25">
        <v>16</v>
      </c>
      <c r="EI79" s="25">
        <v>11591</v>
      </c>
      <c r="EJ79" s="25">
        <v>1</v>
      </c>
      <c r="EK79" s="25">
        <v>54</v>
      </c>
      <c r="EL79" s="25">
        <v>5</v>
      </c>
      <c r="EM79" s="25">
        <v>1</v>
      </c>
      <c r="EN79" s="25">
        <v>1</v>
      </c>
      <c r="EO79" s="25">
        <v>158</v>
      </c>
      <c r="EP79" s="25">
        <v>0</v>
      </c>
      <c r="EQ79" s="25">
        <v>0</v>
      </c>
      <c r="ER79" s="25">
        <v>0</v>
      </c>
      <c r="ES79" s="25">
        <v>11</v>
      </c>
      <c r="ET79" s="25">
        <v>0</v>
      </c>
      <c r="EU79" s="25">
        <v>0</v>
      </c>
      <c r="EV79" s="25">
        <v>7</v>
      </c>
      <c r="EW79" s="25">
        <v>22</v>
      </c>
      <c r="EX79" s="25">
        <v>0</v>
      </c>
      <c r="EY79" s="25">
        <v>37</v>
      </c>
      <c r="EZ79" s="25">
        <v>0</v>
      </c>
      <c r="FA79" s="25">
        <v>0</v>
      </c>
      <c r="FB79" s="25">
        <v>1</v>
      </c>
      <c r="FC79" s="25">
        <v>3</v>
      </c>
      <c r="FD79" s="25">
        <v>28</v>
      </c>
      <c r="FE79" s="25">
        <v>2</v>
      </c>
      <c r="FF79" s="25">
        <v>1</v>
      </c>
      <c r="FG79" s="25">
        <v>0</v>
      </c>
      <c r="FH79" s="25">
        <v>1</v>
      </c>
      <c r="FI79" s="25">
        <v>33</v>
      </c>
      <c r="FJ79" s="25">
        <v>0</v>
      </c>
      <c r="FK79" s="25">
        <v>0</v>
      </c>
      <c r="FL79" s="25">
        <v>0</v>
      </c>
      <c r="FM79" s="25">
        <v>1</v>
      </c>
      <c r="FN79" s="25">
        <v>0</v>
      </c>
      <c r="FO79" s="25">
        <v>864</v>
      </c>
      <c r="FP79" s="25">
        <v>1</v>
      </c>
      <c r="FQ79" s="25">
        <v>1</v>
      </c>
      <c r="FR79" s="25">
        <v>3</v>
      </c>
      <c r="FS79" s="25">
        <v>2</v>
      </c>
      <c r="FT79" s="25">
        <v>7</v>
      </c>
      <c r="FU79" s="25">
        <v>32</v>
      </c>
      <c r="FV79" s="25">
        <v>0</v>
      </c>
      <c r="FW79" s="25">
        <v>21</v>
      </c>
      <c r="FX79" s="25">
        <v>24</v>
      </c>
      <c r="FY79" s="25">
        <v>0</v>
      </c>
      <c r="FZ79" s="25">
        <v>3</v>
      </c>
      <c r="GA79" s="25">
        <v>24</v>
      </c>
      <c r="GB79" s="25">
        <v>78</v>
      </c>
      <c r="GC79" s="25">
        <v>31</v>
      </c>
      <c r="GD79" s="25">
        <v>140</v>
      </c>
      <c r="GE79" s="25">
        <v>1</v>
      </c>
      <c r="GF79" s="25">
        <v>65</v>
      </c>
      <c r="GG79" s="25">
        <v>9</v>
      </c>
      <c r="GH79" s="25">
        <v>0</v>
      </c>
      <c r="GI79" s="25">
        <v>0</v>
      </c>
      <c r="GJ79" s="25">
        <v>0</v>
      </c>
      <c r="GK79" s="25">
        <v>25</v>
      </c>
      <c r="GL79" s="25">
        <v>8</v>
      </c>
      <c r="GM79" s="25">
        <v>0</v>
      </c>
      <c r="GN79" s="25">
        <v>16</v>
      </c>
      <c r="GO79" s="25">
        <v>0</v>
      </c>
      <c r="GP79" s="25">
        <v>3</v>
      </c>
      <c r="GQ79" s="25">
        <v>0</v>
      </c>
      <c r="GR79" s="25">
        <v>11</v>
      </c>
      <c r="GS79" s="25">
        <v>0</v>
      </c>
      <c r="GT79" s="25">
        <v>3</v>
      </c>
      <c r="GU79" s="25">
        <v>7716</v>
      </c>
      <c r="GV79" s="25">
        <v>2</v>
      </c>
      <c r="GW79" s="25">
        <v>2</v>
      </c>
      <c r="GX79" s="25">
        <v>0</v>
      </c>
      <c r="GY79" s="46">
        <v>146</v>
      </c>
      <c r="GZ79" s="25">
        <v>359</v>
      </c>
      <c r="HA79" s="25">
        <v>5</v>
      </c>
      <c r="HB79" s="25">
        <v>0</v>
      </c>
      <c r="HC79" s="25">
        <v>9</v>
      </c>
      <c r="HD79" s="25">
        <v>1</v>
      </c>
      <c r="HE79" s="25">
        <v>3</v>
      </c>
      <c r="HF79" s="25">
        <v>8</v>
      </c>
      <c r="HG79" s="25">
        <v>168</v>
      </c>
      <c r="HH79" s="25">
        <v>0</v>
      </c>
      <c r="HI79" s="25">
        <v>13</v>
      </c>
      <c r="HJ79" s="25">
        <v>5</v>
      </c>
      <c r="HK79" s="25">
        <v>0</v>
      </c>
      <c r="HL79" s="25">
        <v>1</v>
      </c>
      <c r="HM79" s="25">
        <v>2</v>
      </c>
      <c r="HN79" s="25">
        <v>0</v>
      </c>
      <c r="HO79" s="25">
        <v>0</v>
      </c>
      <c r="HP79" s="25">
        <v>0</v>
      </c>
      <c r="HQ79" s="25">
        <v>2043</v>
      </c>
      <c r="HR79" s="25">
        <v>1</v>
      </c>
      <c r="HS79" s="25">
        <v>4192</v>
      </c>
      <c r="HT79" s="25">
        <v>2</v>
      </c>
      <c r="HU79" s="25">
        <v>3</v>
      </c>
      <c r="HV79" s="25">
        <v>0</v>
      </c>
      <c r="HW79" s="25">
        <v>0</v>
      </c>
      <c r="HX79" s="25">
        <v>1</v>
      </c>
      <c r="HY79" s="25">
        <v>1</v>
      </c>
      <c r="HZ79" s="25">
        <v>0</v>
      </c>
      <c r="IA79" s="25">
        <v>0</v>
      </c>
      <c r="IB79" s="25">
        <v>0</v>
      </c>
      <c r="IC79" s="25">
        <v>2</v>
      </c>
      <c r="ID79" s="25">
        <v>0</v>
      </c>
      <c r="IE79" s="25">
        <v>0</v>
      </c>
      <c r="IF79" s="25">
        <v>0</v>
      </c>
      <c r="IG79" s="25">
        <v>0</v>
      </c>
      <c r="IH79" s="25">
        <v>0</v>
      </c>
      <c r="II79" s="25">
        <v>1</v>
      </c>
      <c r="IJ79" s="25">
        <v>0</v>
      </c>
      <c r="IK79" s="25">
        <v>2</v>
      </c>
      <c r="IL79" s="25">
        <v>0</v>
      </c>
      <c r="IM79" s="25">
        <v>0</v>
      </c>
      <c r="IN79" s="25">
        <v>0</v>
      </c>
      <c r="IO79" s="25">
        <v>1</v>
      </c>
      <c r="IP79" s="25">
        <v>0</v>
      </c>
      <c r="IQ79" s="25">
        <v>0</v>
      </c>
      <c r="IR79" s="25">
        <v>0</v>
      </c>
      <c r="IS79" s="25">
        <v>0</v>
      </c>
      <c r="IT79" s="25">
        <v>0</v>
      </c>
      <c r="IU79" s="25">
        <v>0</v>
      </c>
      <c r="IV79" s="25">
        <v>0</v>
      </c>
      <c r="IW79" s="25">
        <v>0</v>
      </c>
      <c r="IX79" s="25">
        <v>0</v>
      </c>
      <c r="IY79" s="25">
        <v>0</v>
      </c>
      <c r="IZ79" s="25">
        <v>0</v>
      </c>
      <c r="JA79" s="25">
        <v>0</v>
      </c>
      <c r="JB79" s="25">
        <v>0</v>
      </c>
      <c r="JC79" s="25">
        <v>0</v>
      </c>
      <c r="JD79" s="25">
        <v>0</v>
      </c>
      <c r="JE79" s="25">
        <v>0</v>
      </c>
      <c r="JF79" s="25">
        <v>0</v>
      </c>
      <c r="JG79" s="25">
        <v>0</v>
      </c>
      <c r="JH79" s="25">
        <v>0</v>
      </c>
      <c r="JI79" s="25">
        <v>1</v>
      </c>
      <c r="JJ79" s="25">
        <v>0</v>
      </c>
      <c r="JK79" s="25">
        <v>6</v>
      </c>
      <c r="JL79" s="25">
        <v>0</v>
      </c>
      <c r="JM79" s="25">
        <v>10</v>
      </c>
      <c r="JN79" s="25">
        <v>3</v>
      </c>
      <c r="JO79" s="25">
        <v>20</v>
      </c>
      <c r="JP79" s="25">
        <v>7</v>
      </c>
      <c r="JQ79" s="25">
        <v>146</v>
      </c>
      <c r="JR79" s="25">
        <v>47</v>
      </c>
      <c r="JS79" s="25">
        <v>36</v>
      </c>
      <c r="JT79" s="25">
        <v>6</v>
      </c>
      <c r="JU79" s="25">
        <v>9</v>
      </c>
      <c r="JV79" s="25">
        <v>63</v>
      </c>
      <c r="JW79" s="25">
        <v>87</v>
      </c>
      <c r="JX79" s="25">
        <v>0</v>
      </c>
      <c r="JY79" s="25">
        <v>6</v>
      </c>
      <c r="JZ79" s="25">
        <v>73</v>
      </c>
      <c r="KA79" s="25">
        <v>35</v>
      </c>
      <c r="KB79" s="25">
        <v>6</v>
      </c>
      <c r="KC79" s="25">
        <v>8</v>
      </c>
      <c r="KD79" s="25">
        <v>11</v>
      </c>
      <c r="KE79" s="25">
        <v>185</v>
      </c>
      <c r="KF79" s="25">
        <v>3</v>
      </c>
      <c r="KG79" s="25">
        <v>15</v>
      </c>
      <c r="KH79" s="25">
        <v>56</v>
      </c>
      <c r="KI79" s="25">
        <v>184</v>
      </c>
      <c r="KJ79" s="25">
        <v>10</v>
      </c>
      <c r="KK79" s="25">
        <v>16</v>
      </c>
      <c r="KL79" s="25">
        <v>13</v>
      </c>
      <c r="KM79" s="25">
        <v>5</v>
      </c>
      <c r="KN79" s="25">
        <v>2</v>
      </c>
      <c r="KO79" s="25">
        <v>15</v>
      </c>
      <c r="KP79" s="25">
        <v>3</v>
      </c>
      <c r="KQ79" s="25">
        <v>198</v>
      </c>
      <c r="KR79" s="25">
        <v>2</v>
      </c>
      <c r="KS79" s="25">
        <v>2556</v>
      </c>
      <c r="KT79" s="25">
        <v>7</v>
      </c>
      <c r="KU79" s="25">
        <v>2</v>
      </c>
      <c r="KV79" s="25">
        <v>40</v>
      </c>
      <c r="KW79" s="25">
        <v>16</v>
      </c>
      <c r="KX79" s="25">
        <v>16</v>
      </c>
      <c r="KY79" s="25">
        <v>50</v>
      </c>
      <c r="KZ79" s="25">
        <v>4</v>
      </c>
      <c r="LA79" s="25">
        <v>18</v>
      </c>
      <c r="LB79" s="25">
        <v>1</v>
      </c>
      <c r="LC79" s="25">
        <v>14</v>
      </c>
      <c r="LD79" s="25">
        <v>45</v>
      </c>
      <c r="LE79" s="25">
        <v>4</v>
      </c>
      <c r="LF79" s="25">
        <v>12</v>
      </c>
      <c r="LG79" s="25">
        <v>15</v>
      </c>
      <c r="LH79" s="25">
        <v>205</v>
      </c>
      <c r="LI79" s="25">
        <v>1</v>
      </c>
      <c r="LJ79" s="25">
        <v>20</v>
      </c>
      <c r="LK79" s="25">
        <v>0</v>
      </c>
      <c r="LL79" s="25">
        <v>0</v>
      </c>
      <c r="LM79" s="25">
        <v>3</v>
      </c>
      <c r="LN79" s="278">
        <f ca="1">$A79 - DeathsTimeS!Sweden100dt + 1</f>
        <v>12</v>
      </c>
      <c r="LO79" s="366">
        <f ca="1">INDEX(OFFSET(DeathsTimeS!HeadRow,ROW()-ROW(DeathsTimeS!HeadRow),0,1,COLUMNS(DeathsTimeS!HeadRow)),1,MATCH(LO$5,DeathsTimeS!HeadRow,0))/LO$8</f>
        <v>142.71749755620723</v>
      </c>
      <c r="LP79" s="278">
        <f ca="1">$A79 - DeathsTimeS!Spain100dt</f>
        <v>19</v>
      </c>
      <c r="LQ79" s="11">
        <f ca="1">INDEX(OFFSET(DeathsTimeS!HeadRow,ROW()-ROW(DeathsTimeS!HeadRow),0,1,COLUMNS(DeathsTimeS!HeadRow)),1,MATCH(LQ$5,DeathsTimeS!HeadRow,0))/LQ$8</f>
        <v>1643.8005965061782</v>
      </c>
      <c r="LR79" s="278">
        <f ca="1">$A79 - DeathsTimeS!Victoria100dt</f>
        <v>-4</v>
      </c>
      <c r="LS79" s="11">
        <f ca="1">INDEX(OFFSET(DeathsTimeS!HeadRow,ROW()-ROW(DeathsTimeS!HeadRow),0,1,COLUMNS(DeathsTimeS!HeadRow)),1,MATCH(LS$5,DeathsTimeS!HeadRow,0))/LS$8</f>
        <v>6.0340926233217678</v>
      </c>
      <c r="LT79" s="278">
        <f ca="1">$A79 - DeathsTimeS!Iran100dt</f>
        <v>26</v>
      </c>
      <c r="LU79" s="11">
        <f ca="1">INDEX(OFFSET(DeathsTimeS!HeadRow,ROW()-ROW(DeathsTimeS!HeadRow),0,1,COLUMNS(DeathsTimeS!HeadRow)),1,MATCH(LU$5,DeathsTimeS!HeadRow,0))/LU$8</f>
        <v>329.10364914709993</v>
      </c>
      <c r="LV79" s="278">
        <f ca="1">$A79 - DeathsTimeS!Japan100dt</f>
        <v>-15</v>
      </c>
      <c r="LW79" s="11">
        <f ca="1">INDEX(OFFSET(DeathsTimeS!HeadRow,ROW()-ROW(DeathsTimeS!HeadRow),0,1,COLUMNS(DeathsTimeS!HeadRow)),1,MATCH(LW$5,DeathsTimeS!HeadRow,0))/LW$8</f>
        <v>4.2669463929222484</v>
      </c>
      <c r="LX79" s="278">
        <f ca="1">$A79 - DeathsTimeS!Queensland100dt</f>
        <v>-19</v>
      </c>
      <c r="LY79" s="11">
        <f ca="1">INDEX(OFFSET(DeathsTimeS!HeadRow,ROW()-ROW(DeathsTimeS!HeadRow),0,1,COLUMNS(DeathsTimeS!HeadRow)),1,MATCH(LY$5,DeathsTimeS!HeadRow,0))/LY$8</f>
        <v>3.9097236978714096</v>
      </c>
      <c r="LZ79" s="278">
        <f ca="1">$A79 - DeathsTimeS!Tasmania100dt</f>
        <v>-1</v>
      </c>
      <c r="MA79" s="11">
        <f ca="1">INDEX(OFFSET(DeathsTimeS!HeadRow,ROW()-ROW(DeathsTimeS!HeadRow),0,1,COLUMNS(DeathsTimeS!HeadRow)),1,MATCH(MA$5,DeathsTimeS!HeadRow,0))/MA$8</f>
        <v>0</v>
      </c>
      <c r="MB79" s="278">
        <f ca="1">$A79 - DeathsTimeS!SouthAustralia100dt</f>
        <v>-9</v>
      </c>
      <c r="MC79" s="11">
        <f ca="1">INDEX(OFFSET(DeathsTimeS!HeadRow,ROW()-ROW(DeathsTimeS!HeadRow),0,1,COLUMNS(DeathsTimeS!HeadRow)),1,MATCH(MC$5,DeathsTimeS!HeadRow,0))/MC$8</f>
        <v>0</v>
      </c>
      <c r="MD79" s="278">
        <f ca="1">$A79 - DeathsTimeS!WesternAustralia100dt</f>
        <v>-6</v>
      </c>
      <c r="ME79" s="11">
        <f ca="1">INDEX(OFFSET(DeathsTimeS!HeadRow,ROW()-ROW(DeathsTimeS!HeadRow),0,1,COLUMNS(DeathsTimeS!HeadRow)),1,MATCH(ME$5,DeathsTimeS!HeadRow,0))/ME$8</f>
        <v>7.7249903437620695</v>
      </c>
      <c r="MF79" s="278">
        <f ca="1">$A79 - DeathsTimeS!NewSouthWales100dt</f>
        <v>-2</v>
      </c>
      <c r="MG79" s="11">
        <f ca="1">INDEX(OFFSET(DeathsTimeS!HeadRow,ROW()-ROW(DeathsTimeS!HeadRow),0,1,COLUMNS(DeathsTimeS!HeadRow)),1,MATCH(MG$5,DeathsTimeS!HeadRow,0))/MG$8</f>
        <v>9.9009900990099009</v>
      </c>
      <c r="MH79" s="278">
        <f ca="1">$A79 - DeathsTimeS!NewYork100dt</f>
        <v>14</v>
      </c>
      <c r="MI79" s="20">
        <f ca="1">INDEX(OFFSET(DeathsTimeS!HeadRow,ROW()-ROW(DeathsTimeS!HeadRow),0,1,COLUMNS(DeathsTimeS!HeadRow)),1,MATCH(MI$5,DeathsTimeS!HeadRow,0))/MI$8</f>
        <v>1081.7644187113926</v>
      </c>
      <c r="MJ79" s="278">
        <f ca="1">$A79 - DeathsTimeS!Italy100dt</f>
        <v>27</v>
      </c>
      <c r="MK79" s="20">
        <f ca="1">INDEX(OFFSET(DeathsTimeS!HeadRow,ROW()-ROW(DeathsTimeS!HeadRow),0,1,COLUMNS(DeathsTimeS!HeadRow)),1,MATCH(MK$5,DeathsTimeS!HeadRow,0))/MK$8</f>
        <v>1916.342894932628</v>
      </c>
      <c r="ML79" s="278">
        <f ca="1">$A79 - DeathsTimeS!AustralianCapitalTerritory100dt</f>
        <v>0</v>
      </c>
      <c r="MM79" s="11">
        <f ca="1">INDEX(OFFSET(DeathsTimeS!HeadRow,ROW()-ROW(DeathsTimeS!HeadRow),0,1,COLUMNS(DeathsTimeS!HeadRow)),1,MATCH(MM$5,DeathsTimeS!HeadRow,0))/MM$8</f>
        <v>23.361211045180585</v>
      </c>
      <c r="MN79" s="278">
        <f ca="1">IF(DeathsTimeS!NorthernTerritory100dt&gt;0,$A79 - DeathsTimeS!NorthernTerritory100dt,"")</f>
        <v>-28</v>
      </c>
      <c r="MO79" s="11">
        <f ca="1">INDEX(OFFSET(DeathsTimeS!HeadRow,ROW()-ROW(DeathsTimeS!HeadRow),0,1,COLUMNS(DeathsTimeS!HeadRow)),1,MATCH(MO$5,DeathsTimeS!HeadRow,0))/MO$8</f>
        <v>0</v>
      </c>
      <c r="MP79" s="278">
        <f ca="1">$A79 - DeathsTimeS!SouthAfrica100dt + 1</f>
        <v>-20</v>
      </c>
      <c r="MQ79" s="20">
        <f ca="1">INDEX(OFFSET(DeathsTimeS!HeadRow,ROW()-ROW(DeathsTimeS!HeadRow),0,1,COLUMNS(DeathsTimeS!HeadRow)),1,MATCH(MQ$5,DeathsTimeS!HeadRow,0))/MQ$8</f>
        <v>0.51921079958463134</v>
      </c>
      <c r="MR79" s="278">
        <f ca="1">$A79 - DeathsTimeS!Germany100dt + 1</f>
        <v>10</v>
      </c>
      <c r="MS79" s="20">
        <f ca="1">INDEX(OFFSET(DeathsTimeS!HeadRow,ROW()-ROW(DeathsTimeS!HeadRow),0,1,COLUMNS(DeathsTimeS!HeadRow)),1,MATCH(MS$5,DeathsTimeS!HeadRow,0))/MS$8</f>
        <v>77.692122380149371</v>
      </c>
      <c r="MT79" s="278">
        <f ca="1">$A79 - DeathsTimeS!Ireland100dt + 1</f>
        <v>8</v>
      </c>
      <c r="MU79" s="73">
        <f ca="1">INDEX(OFFSET(DeathsTimeS!HeadRow,ROW()-ROW(DeathsTimeS!HeadRow),0,1,COLUMNS(DeathsTimeS!HeadRow)),1,MATCH(MU$5,DeathsTimeS!HeadRow,0))/MU$8</f>
        <v>110.20408163265306</v>
      </c>
      <c r="MV79" s="278">
        <f ca="1">$A79 - DeathsTimeS!UnitedKingdom100dt + 1</f>
        <v>14</v>
      </c>
      <c r="MW79" s="73">
        <f ca="1">INDEX(OFFSET(DeathsTimeS!HeadRow,ROW()-ROW(DeathsTimeS!HeadRow),0,1,COLUMNS(DeathsTimeS!HeadRow)),1,MATCH(MW$5,DeathsTimeS!HeadRow,0))/MW$8</f>
        <v>307.49548464780253</v>
      </c>
      <c r="MX79" s="278">
        <f ca="1">$A79 - DeathsTimeS!Denmark100dt + 1</f>
        <v>12</v>
      </c>
      <c r="MY79" s="73">
        <f ca="1">INDEX(OFFSET(DeathsTimeS!HeadRow,ROW()-ROW(DeathsTimeS!HeadRow),0,1,COLUMNS(DeathsTimeS!HeadRow)),1,MATCH(MY$5,DeathsTimeS!HeadRow,0))/MY$8</f>
        <v>132.62142611091974</v>
      </c>
      <c r="MZ79" s="278">
        <f ca="1">$A79 - DeathsTimeS!US100dt + 1</f>
        <v>11</v>
      </c>
      <c r="NA79" s="73">
        <f ca="1">INDEX(OFFSET(DeathsTimeS!HeadRow,ROW()-ROW(DeathsTimeS!HeadRow),0,1,COLUMNS(DeathsTimeS!HeadRow)),1,MATCH(NA$5,DeathsTimeS!HeadRow,0))/NA$8</f>
        <v>127.32827202237081</v>
      </c>
      <c r="NB79" s="278">
        <f ca="1">$A79 - DeathsTimeS!AustraliaSum100dt + 1</f>
        <v>5</v>
      </c>
      <c r="NC79" s="366">
        <f t="shared" si="7"/>
        <v>17</v>
      </c>
      <c r="ND79" s="278">
        <f ca="1">$A79 - DeathsTimeS!Taiwan100dt + 1</f>
        <v>-27</v>
      </c>
      <c r="NE79" s="366">
        <f ca="1">INDEX(OFFSET(DeathsTimeS!HeadRow,ROW()-ROW(DeathsTimeS!HeadRow),0,1,COLUMNS(DeathsTimeS!HeadRow)),1,MATCH(NE$5,DeathsTimeS!HeadRow,0))/NE$8</f>
        <v>2.1001977462189929</v>
      </c>
      <c r="NF79" s="278">
        <f ca="1">$A79 - DeathsTimeS!Hubei100dt + 1</f>
        <v>64</v>
      </c>
      <c r="NG79" s="366">
        <f ca="1">INDEX(OFFSET(DeathsTimeS!HeadRow,ROW()-ROW(DeathsTimeS!HeadRow),0,1,COLUMNS(DeathsTimeS!HeadRow)),1,MATCH(NG$5,DeathsTimeS!HeadRow,0))/NG$8</f>
        <v>544.61538461538464</v>
      </c>
      <c r="NH79" s="278">
        <f ca="1">$A79 - DeathsTimeS!HongKong100dt + 1</f>
        <v>-27</v>
      </c>
      <c r="NI79" s="366">
        <f ca="1">INDEX(OFFSET(DeathsTimeS!HeadRow,ROW()-ROW(DeathsTimeS!HeadRow),0,1,COLUMNS(DeathsTimeS!HeadRow)),1,MATCH(NI$5,DeathsTimeS!HeadRow,0))/NI$8</f>
        <v>5.3684069252449333</v>
      </c>
    </row>
    <row r="80" spans="1:373" x14ac:dyDescent="0.25">
      <c r="A80" s="156">
        <v>43921</v>
      </c>
      <c r="B80" s="25">
        <v>4</v>
      </c>
      <c r="C80" s="25">
        <v>15</v>
      </c>
      <c r="D80" s="25">
        <v>44</v>
      </c>
      <c r="E80" s="25">
        <v>12</v>
      </c>
      <c r="F80" s="25">
        <v>2</v>
      </c>
      <c r="G80" s="25">
        <v>0</v>
      </c>
      <c r="H80" s="25">
        <v>27</v>
      </c>
      <c r="I80" s="25">
        <v>3</v>
      </c>
      <c r="J80" s="25">
        <v>1</v>
      </c>
      <c r="K80" s="25">
        <v>8</v>
      </c>
      <c r="L80" s="25">
        <v>0</v>
      </c>
      <c r="M80" s="25">
        <v>2</v>
      </c>
      <c r="N80" s="25">
        <v>0</v>
      </c>
      <c r="O80" s="25">
        <v>1</v>
      </c>
      <c r="P80" s="25">
        <v>4</v>
      </c>
      <c r="Q80" s="25">
        <v>2</v>
      </c>
      <c r="R80" s="25">
        <v>128</v>
      </c>
      <c r="S80" s="25">
        <v>5</v>
      </c>
      <c r="T80" s="25">
        <v>0</v>
      </c>
      <c r="U80" s="25">
        <v>4</v>
      </c>
      <c r="V80" s="25">
        <v>5</v>
      </c>
      <c r="W80" s="25">
        <v>0</v>
      </c>
      <c r="X80" s="25">
        <v>1</v>
      </c>
      <c r="Y80" s="25">
        <v>705</v>
      </c>
      <c r="Z80" s="25">
        <v>0</v>
      </c>
      <c r="AA80" s="25">
        <v>0</v>
      </c>
      <c r="AB80" s="25">
        <v>6</v>
      </c>
      <c r="AC80" s="25">
        <v>13</v>
      </c>
      <c r="AD80" s="25">
        <v>201</v>
      </c>
      <c r="AE80" s="25">
        <v>1</v>
      </c>
      <c r="AF80" s="25">
        <v>8</v>
      </c>
      <c r="AG80" s="25">
        <v>14</v>
      </c>
      <c r="AH80" s="25">
        <v>1</v>
      </c>
      <c r="AI80" s="25">
        <v>0</v>
      </c>
      <c r="AJ80" s="25">
        <v>6</v>
      </c>
      <c r="AK80" s="25">
        <v>8</v>
      </c>
      <c r="AL80" s="25">
        <v>24</v>
      </c>
      <c r="AM80" s="25">
        <v>0</v>
      </c>
      <c r="AN80" s="25">
        <v>1</v>
      </c>
      <c r="AO80" s="25">
        <v>0</v>
      </c>
      <c r="AP80" s="25">
        <v>1</v>
      </c>
      <c r="AQ80" s="25">
        <v>0</v>
      </c>
      <c r="AR80" s="25">
        <v>33</v>
      </c>
      <c r="AS80" s="25">
        <v>0</v>
      </c>
      <c r="AT80" s="25">
        <v>31</v>
      </c>
      <c r="AU80" s="25">
        <v>2</v>
      </c>
      <c r="AV80" s="25">
        <v>0</v>
      </c>
      <c r="AW80" s="25">
        <v>0</v>
      </c>
      <c r="AX80" s="25">
        <v>12</v>
      </c>
      <c r="AY80" s="25">
        <v>6</v>
      </c>
      <c r="AZ80" s="25">
        <v>8</v>
      </c>
      <c r="BA80" s="25">
        <v>6</v>
      </c>
      <c r="BB80" s="25">
        <v>1</v>
      </c>
      <c r="BC80" s="25">
        <v>2</v>
      </c>
      <c r="BD80" s="25">
        <v>8</v>
      </c>
      <c r="BE80" s="25">
        <v>2</v>
      </c>
      <c r="BF80" s="25">
        <v>2</v>
      </c>
      <c r="BG80" s="25">
        <v>6</v>
      </c>
      <c r="BH80" s="25">
        <v>6</v>
      </c>
      <c r="BI80" s="25">
        <v>13</v>
      </c>
      <c r="BJ80" s="25">
        <v>22</v>
      </c>
      <c r="BK80" s="25">
        <v>4</v>
      </c>
      <c r="BL80" s="25">
        <v>3187</v>
      </c>
      <c r="BM80" s="25">
        <v>4</v>
      </c>
      <c r="BN80" s="25">
        <v>1</v>
      </c>
      <c r="BO80" s="25">
        <v>0</v>
      </c>
      <c r="BP80" s="25">
        <v>1</v>
      </c>
      <c r="BQ80" s="25">
        <v>1</v>
      </c>
      <c r="BR80" s="25">
        <v>2</v>
      </c>
      <c r="BS80" s="25">
        <v>0</v>
      </c>
      <c r="BT80" s="25">
        <v>0</v>
      </c>
      <c r="BU80" s="25">
        <v>0</v>
      </c>
      <c r="BV80" s="25">
        <v>3</v>
      </c>
      <c r="BW80" s="25">
        <v>7</v>
      </c>
      <c r="BX80" s="25">
        <v>5</v>
      </c>
      <c r="BY80" s="25">
        <v>0</v>
      </c>
      <c r="BZ80" s="25">
        <v>3</v>
      </c>
      <c r="CA80" s="25">
        <v>3</v>
      </c>
      <c r="CB80" s="25">
        <v>0</v>
      </c>
      <c r="CC80" s="25">
        <v>3</v>
      </c>
      <c r="CD80" s="25">
        <v>2</v>
      </c>
      <c r="CE80" s="25">
        <v>1</v>
      </c>
      <c r="CF80" s="25">
        <v>16</v>
      </c>
      <c r="CG80" s="25">
        <v>0</v>
      </c>
      <c r="CH80" s="25">
        <v>8</v>
      </c>
      <c r="CI80" s="25">
        <v>2</v>
      </c>
      <c r="CJ80" s="25">
        <v>1</v>
      </c>
      <c r="CK80" s="25">
        <v>6</v>
      </c>
      <c r="CL80" s="25">
        <v>10</v>
      </c>
      <c r="CM80" s="25">
        <v>6</v>
      </c>
      <c r="CN80" s="25">
        <v>8</v>
      </c>
      <c r="CO80" s="25">
        <v>31</v>
      </c>
      <c r="CP80" s="25">
        <v>0</v>
      </c>
      <c r="CQ80" s="25">
        <v>0</v>
      </c>
      <c r="CR80" s="25">
        <v>90</v>
      </c>
      <c r="CS80" s="25">
        <v>0</v>
      </c>
      <c r="CT80" s="25">
        <v>51</v>
      </c>
      <c r="CU80" s="25">
        <v>75</v>
      </c>
      <c r="CV80" s="25">
        <v>46</v>
      </c>
      <c r="CW80" s="25">
        <v>1</v>
      </c>
      <c r="CX80" s="25">
        <v>0</v>
      </c>
      <c r="CY80" s="25">
        <v>0</v>
      </c>
      <c r="CZ80" s="25">
        <v>4</v>
      </c>
      <c r="DA80" s="25">
        <v>0</v>
      </c>
      <c r="DB80" s="25">
        <v>0</v>
      </c>
      <c r="DC80" s="25">
        <v>0</v>
      </c>
      <c r="DD80" s="25">
        <v>17</v>
      </c>
      <c r="DE80" s="25">
        <v>0</v>
      </c>
      <c r="DF80" s="25">
        <v>0</v>
      </c>
      <c r="DG80" s="25">
        <v>4</v>
      </c>
      <c r="DH80" s="25">
        <v>1</v>
      </c>
      <c r="DI80" s="25">
        <v>0</v>
      </c>
      <c r="DJ80" s="25">
        <v>0</v>
      </c>
      <c r="DK80" s="25">
        <v>0</v>
      </c>
      <c r="DL80" s="25">
        <v>1</v>
      </c>
      <c r="DM80" s="25">
        <v>3</v>
      </c>
      <c r="DN80" s="25">
        <v>3523</v>
      </c>
      <c r="DO80" s="25">
        <v>1</v>
      </c>
      <c r="DP80" s="25">
        <v>1</v>
      </c>
      <c r="DQ80" s="25">
        <v>0</v>
      </c>
      <c r="DR80" s="25">
        <v>775</v>
      </c>
      <c r="DS80" s="25">
        <v>5</v>
      </c>
      <c r="DT80" s="25">
        <v>49</v>
      </c>
      <c r="DU80" s="25">
        <v>1</v>
      </c>
      <c r="DV80" s="25">
        <v>0</v>
      </c>
      <c r="DW80" s="25">
        <v>2</v>
      </c>
      <c r="DX80" s="25">
        <v>0</v>
      </c>
      <c r="DY80" s="25">
        <v>0</v>
      </c>
      <c r="DZ80" s="25">
        <v>7</v>
      </c>
      <c r="EA80" s="25">
        <v>16</v>
      </c>
      <c r="EB80" s="25">
        <v>2</v>
      </c>
      <c r="EC80" s="25">
        <v>35</v>
      </c>
      <c r="ED80" s="25">
        <v>136</v>
      </c>
      <c r="EE80" s="25">
        <v>2898</v>
      </c>
      <c r="EF80" s="25">
        <v>50</v>
      </c>
      <c r="EG80" s="25">
        <v>71</v>
      </c>
      <c r="EH80" s="25">
        <v>20</v>
      </c>
      <c r="EI80" s="25">
        <v>12428</v>
      </c>
      <c r="EJ80" s="25">
        <v>1</v>
      </c>
      <c r="EK80" s="25">
        <v>56</v>
      </c>
      <c r="EL80" s="25">
        <v>5</v>
      </c>
      <c r="EM80" s="25">
        <v>2</v>
      </c>
      <c r="EN80" s="25">
        <v>1</v>
      </c>
      <c r="EO80" s="25">
        <v>162</v>
      </c>
      <c r="EP80" s="25">
        <v>0</v>
      </c>
      <c r="EQ80" s="25">
        <v>0</v>
      </c>
      <c r="ER80" s="25">
        <v>0</v>
      </c>
      <c r="ES80" s="25">
        <v>12</v>
      </c>
      <c r="ET80" s="25">
        <v>0</v>
      </c>
      <c r="EU80" s="25">
        <v>0</v>
      </c>
      <c r="EV80" s="25">
        <v>8</v>
      </c>
      <c r="EW80" s="25">
        <v>23</v>
      </c>
      <c r="EX80" s="25">
        <v>0</v>
      </c>
      <c r="EY80" s="25">
        <v>43</v>
      </c>
      <c r="EZ80" s="25">
        <v>0</v>
      </c>
      <c r="FA80" s="25">
        <v>0</v>
      </c>
      <c r="FB80" s="25">
        <v>1</v>
      </c>
      <c r="FC80" s="25">
        <v>5</v>
      </c>
      <c r="FD80" s="25">
        <v>29</v>
      </c>
      <c r="FE80" s="25">
        <v>4</v>
      </c>
      <c r="FF80" s="25">
        <v>1</v>
      </c>
      <c r="FG80" s="25">
        <v>0</v>
      </c>
      <c r="FH80" s="25">
        <v>2</v>
      </c>
      <c r="FI80" s="25">
        <v>36</v>
      </c>
      <c r="FJ80" s="25">
        <v>0</v>
      </c>
      <c r="FK80" s="25">
        <v>0</v>
      </c>
      <c r="FL80" s="25">
        <v>0</v>
      </c>
      <c r="FM80" s="25">
        <v>1</v>
      </c>
      <c r="FN80" s="25">
        <v>0</v>
      </c>
      <c r="FO80" s="25">
        <v>1039</v>
      </c>
      <c r="FP80" s="25">
        <v>1</v>
      </c>
      <c r="FQ80" s="25">
        <v>1</v>
      </c>
      <c r="FR80" s="25">
        <v>3</v>
      </c>
      <c r="FS80" s="25">
        <v>2</v>
      </c>
      <c r="FT80" s="25">
        <v>9</v>
      </c>
      <c r="FU80" s="25">
        <v>39</v>
      </c>
      <c r="FV80" s="25">
        <v>1</v>
      </c>
      <c r="FW80" s="25">
        <v>26</v>
      </c>
      <c r="FX80" s="25">
        <v>30</v>
      </c>
      <c r="FY80" s="25">
        <v>0</v>
      </c>
      <c r="FZ80" s="25">
        <v>3</v>
      </c>
      <c r="GA80" s="25">
        <v>30</v>
      </c>
      <c r="GB80" s="25">
        <v>88</v>
      </c>
      <c r="GC80" s="25">
        <v>33</v>
      </c>
      <c r="GD80" s="25">
        <v>160</v>
      </c>
      <c r="GE80" s="25">
        <v>2</v>
      </c>
      <c r="GF80" s="25">
        <v>82</v>
      </c>
      <c r="GG80" s="25">
        <v>17</v>
      </c>
      <c r="GH80" s="25">
        <v>0</v>
      </c>
      <c r="GI80" s="25">
        <v>0</v>
      </c>
      <c r="GJ80" s="25">
        <v>0</v>
      </c>
      <c r="GK80" s="25">
        <v>26</v>
      </c>
      <c r="GL80" s="25">
        <v>10</v>
      </c>
      <c r="GM80" s="25">
        <v>0</v>
      </c>
      <c r="GN80" s="25">
        <v>16</v>
      </c>
      <c r="GO80" s="25">
        <v>0</v>
      </c>
      <c r="GP80" s="25">
        <v>3</v>
      </c>
      <c r="GQ80" s="25">
        <v>0</v>
      </c>
      <c r="GR80" s="25">
        <v>15</v>
      </c>
      <c r="GS80" s="25">
        <v>0</v>
      </c>
      <c r="GT80" s="25">
        <v>5</v>
      </c>
      <c r="GU80" s="25">
        <v>8464</v>
      </c>
      <c r="GV80" s="25">
        <v>2</v>
      </c>
      <c r="GW80" s="25">
        <v>2</v>
      </c>
      <c r="GX80" s="25">
        <v>0</v>
      </c>
      <c r="GY80" s="46">
        <v>180</v>
      </c>
      <c r="GZ80" s="25">
        <v>433</v>
      </c>
      <c r="HA80" s="25">
        <v>5</v>
      </c>
      <c r="HB80" s="25">
        <v>1</v>
      </c>
      <c r="HC80" s="25">
        <v>10</v>
      </c>
      <c r="HD80" s="25">
        <v>1</v>
      </c>
      <c r="HE80" s="25">
        <v>3</v>
      </c>
      <c r="HF80" s="25">
        <v>10</v>
      </c>
      <c r="HG80" s="25">
        <v>214</v>
      </c>
      <c r="HH80" s="25">
        <v>0</v>
      </c>
      <c r="HI80" s="25">
        <v>17</v>
      </c>
      <c r="HJ80" s="25">
        <v>6</v>
      </c>
      <c r="HK80" s="25">
        <v>0</v>
      </c>
      <c r="HL80" s="25">
        <v>1</v>
      </c>
      <c r="HM80" s="25">
        <v>3</v>
      </c>
      <c r="HN80" s="25">
        <v>0</v>
      </c>
      <c r="HO80" s="25">
        <v>0</v>
      </c>
      <c r="HP80" s="25">
        <v>0</v>
      </c>
      <c r="HQ80" s="25">
        <v>2425</v>
      </c>
      <c r="HR80" s="25">
        <v>1</v>
      </c>
      <c r="HS80" s="25">
        <v>5367</v>
      </c>
      <c r="HT80" s="25">
        <v>2</v>
      </c>
      <c r="HU80" s="25">
        <v>3</v>
      </c>
      <c r="HV80" s="25">
        <v>0</v>
      </c>
      <c r="HW80" s="25">
        <v>0</v>
      </c>
      <c r="HX80" s="25">
        <v>1</v>
      </c>
      <c r="HY80" s="25">
        <v>1</v>
      </c>
      <c r="HZ80" s="25">
        <v>0</v>
      </c>
      <c r="IA80" s="25">
        <v>0</v>
      </c>
      <c r="IB80" s="25">
        <v>0</v>
      </c>
      <c r="IC80" s="25">
        <v>2</v>
      </c>
      <c r="ID80" s="25">
        <v>0</v>
      </c>
      <c r="IE80" s="25">
        <v>0</v>
      </c>
      <c r="IF80" s="25">
        <v>0</v>
      </c>
      <c r="IG80" s="25">
        <v>0</v>
      </c>
      <c r="IH80" s="25">
        <v>0</v>
      </c>
      <c r="II80" s="25">
        <v>1</v>
      </c>
      <c r="IJ80" s="25">
        <v>0</v>
      </c>
      <c r="IK80" s="25">
        <v>2</v>
      </c>
      <c r="IL80" s="25">
        <v>0</v>
      </c>
      <c r="IM80" s="25">
        <v>0</v>
      </c>
      <c r="IN80" s="25">
        <v>0</v>
      </c>
      <c r="IO80" s="25">
        <v>1</v>
      </c>
      <c r="IP80" s="25">
        <v>1</v>
      </c>
      <c r="IQ80" s="25">
        <v>0</v>
      </c>
      <c r="IR80" s="25">
        <v>0</v>
      </c>
      <c r="IS80" s="25">
        <v>0</v>
      </c>
      <c r="IT80" s="25">
        <v>0</v>
      </c>
      <c r="IU80" s="25">
        <v>1</v>
      </c>
      <c r="IV80" s="25">
        <v>0</v>
      </c>
      <c r="IW80" s="25">
        <v>0</v>
      </c>
      <c r="IX80" s="25">
        <v>0</v>
      </c>
      <c r="IY80" s="25">
        <v>0</v>
      </c>
      <c r="IZ80" s="25">
        <v>0</v>
      </c>
      <c r="JA80" s="25">
        <v>0</v>
      </c>
      <c r="JB80" s="25">
        <v>0</v>
      </c>
      <c r="JC80" s="25">
        <v>0</v>
      </c>
      <c r="JD80" s="25">
        <v>0</v>
      </c>
      <c r="JE80" s="25">
        <v>0</v>
      </c>
      <c r="JF80" s="25">
        <v>0</v>
      </c>
      <c r="JG80" s="25">
        <v>0</v>
      </c>
      <c r="JH80" s="25">
        <v>0</v>
      </c>
      <c r="JI80" s="25">
        <v>2</v>
      </c>
      <c r="JJ80" s="25">
        <v>0</v>
      </c>
      <c r="JK80" s="25">
        <v>8</v>
      </c>
      <c r="JL80" s="25">
        <v>0</v>
      </c>
      <c r="JM80" s="25">
        <v>23</v>
      </c>
      <c r="JN80" s="25">
        <v>3</v>
      </c>
      <c r="JO80" s="25">
        <v>25</v>
      </c>
      <c r="JP80" s="25">
        <v>8</v>
      </c>
      <c r="JQ80" s="25">
        <v>173</v>
      </c>
      <c r="JR80" s="25">
        <v>69</v>
      </c>
      <c r="JS80" s="25">
        <v>69</v>
      </c>
      <c r="JT80" s="25">
        <v>10</v>
      </c>
      <c r="JU80" s="25">
        <v>9</v>
      </c>
      <c r="JV80" s="25">
        <v>85</v>
      </c>
      <c r="JW80" s="25">
        <v>111</v>
      </c>
      <c r="JX80" s="25">
        <v>0</v>
      </c>
      <c r="JY80" s="25">
        <v>8</v>
      </c>
      <c r="JZ80" s="25">
        <v>99</v>
      </c>
      <c r="KA80" s="25">
        <v>49</v>
      </c>
      <c r="KB80" s="25">
        <v>7</v>
      </c>
      <c r="KC80" s="25">
        <v>9</v>
      </c>
      <c r="KD80" s="25">
        <v>11</v>
      </c>
      <c r="KE80" s="25">
        <v>239</v>
      </c>
      <c r="KF80" s="25">
        <v>5</v>
      </c>
      <c r="KG80" s="25">
        <v>18</v>
      </c>
      <c r="KH80" s="25">
        <v>89</v>
      </c>
      <c r="KI80" s="25">
        <v>259</v>
      </c>
      <c r="KJ80" s="25">
        <v>12</v>
      </c>
      <c r="KK80" s="25">
        <v>20</v>
      </c>
      <c r="KL80" s="25">
        <v>15</v>
      </c>
      <c r="KM80" s="25">
        <v>5</v>
      </c>
      <c r="KN80" s="25">
        <v>3</v>
      </c>
      <c r="KO80" s="25">
        <v>26</v>
      </c>
      <c r="KP80" s="25">
        <v>3</v>
      </c>
      <c r="KQ80" s="25">
        <v>267</v>
      </c>
      <c r="KR80" s="25">
        <v>4</v>
      </c>
      <c r="KS80" s="25">
        <v>3207</v>
      </c>
      <c r="KT80" s="25">
        <v>12</v>
      </c>
      <c r="KU80" s="25">
        <v>3</v>
      </c>
      <c r="KV80" s="25">
        <v>55</v>
      </c>
      <c r="KW80" s="25">
        <v>23</v>
      </c>
      <c r="KX80" s="25">
        <v>18</v>
      </c>
      <c r="KY80" s="25">
        <v>63</v>
      </c>
      <c r="KZ80" s="25">
        <v>8</v>
      </c>
      <c r="LA80" s="25">
        <v>22</v>
      </c>
      <c r="LB80" s="25">
        <v>1</v>
      </c>
      <c r="LC80" s="25">
        <v>23</v>
      </c>
      <c r="LD80" s="25">
        <v>54</v>
      </c>
      <c r="LE80" s="25">
        <v>5</v>
      </c>
      <c r="LF80" s="25">
        <v>13</v>
      </c>
      <c r="LG80" s="25">
        <v>27</v>
      </c>
      <c r="LH80" s="25">
        <v>225</v>
      </c>
      <c r="LI80" s="25">
        <v>1</v>
      </c>
      <c r="LJ80" s="25">
        <v>25</v>
      </c>
      <c r="LK80" s="25">
        <v>0</v>
      </c>
      <c r="LL80" s="25">
        <v>0</v>
      </c>
      <c r="LM80" s="25">
        <v>3</v>
      </c>
      <c r="LN80" s="278">
        <f ca="1">$A80 - DeathsTimeS!Sweden100dt + 1</f>
        <v>13</v>
      </c>
      <c r="LO80" s="366">
        <f ca="1">INDEX(OFFSET(DeathsTimeS!HeadRow,ROW()-ROW(DeathsTimeS!HeadRow),0,1,COLUMNS(DeathsTimeS!HeadRow)),1,MATCH(LO$5,DeathsTimeS!HeadRow,0))/LO$8</f>
        <v>175.95307917888564</v>
      </c>
      <c r="LP80" s="278">
        <f ca="1">$A80 - DeathsTimeS!Spain100dt</f>
        <v>20</v>
      </c>
      <c r="LQ80" s="11">
        <f ca="1">INDEX(OFFSET(DeathsTimeS!HeadRow,ROW()-ROW(DeathsTimeS!HeadRow),0,1,COLUMNS(DeathsTimeS!HeadRow)),1,MATCH(LQ$5,DeathsTimeS!HeadRow,0))/LQ$8</f>
        <v>1803.1529612270983</v>
      </c>
      <c r="LR80" s="278">
        <f ca="1">$A80 - DeathsTimeS!Victoria100dt</f>
        <v>-3</v>
      </c>
      <c r="LS80" s="11">
        <f ca="1">INDEX(OFFSET(DeathsTimeS!HeadRow,ROW()-ROW(DeathsTimeS!HeadRow),0,1,COLUMNS(DeathsTimeS!HeadRow)),1,MATCH(LS$5,DeathsTimeS!HeadRow,0))/LS$8</f>
        <v>6.0340926233217678</v>
      </c>
      <c r="LT80" s="278">
        <f ca="1">$A80 - DeathsTimeS!Iran100dt</f>
        <v>27</v>
      </c>
      <c r="LU80" s="11">
        <f ca="1">INDEX(OFFSET(DeathsTimeS!HeadRow,ROW()-ROW(DeathsTimeS!HeadRow),0,1,COLUMNS(DeathsTimeS!HeadRow)),1,MATCH(LU$5,DeathsTimeS!HeadRow,0))/LU$8</f>
        <v>345.93484774330631</v>
      </c>
      <c r="LV80" s="278">
        <f ca="1">$A80 - DeathsTimeS!Japan100dt</f>
        <v>-14</v>
      </c>
      <c r="LW80" s="11">
        <f ca="1">INDEX(OFFSET(DeathsTimeS!HeadRow,ROW()-ROW(DeathsTimeS!HeadRow),0,1,COLUMNS(DeathsTimeS!HeadRow)),1,MATCH(LW$5,DeathsTimeS!HeadRow,0))/LW$8</f>
        <v>4.4249814445119613</v>
      </c>
      <c r="LX80" s="278">
        <f ca="1">$A80 - DeathsTimeS!Queensland100dt</f>
        <v>-18</v>
      </c>
      <c r="LY80" s="11">
        <f ca="1">INDEX(OFFSET(DeathsTimeS!HeadRow,ROW()-ROW(DeathsTimeS!HeadRow),0,1,COLUMNS(DeathsTimeS!HeadRow)),1,MATCH(LY$5,DeathsTimeS!HeadRow,0))/LY$8</f>
        <v>3.9097236978714096</v>
      </c>
      <c r="LZ80" s="278">
        <f ca="1">$A80 - DeathsTimeS!Tasmania100dt</f>
        <v>0</v>
      </c>
      <c r="MA80" s="11">
        <f ca="1">INDEX(OFFSET(DeathsTimeS!HeadRow,ROW()-ROW(DeathsTimeS!HeadRow),0,1,COLUMNS(DeathsTimeS!HeadRow)),1,MATCH(MA$5,DeathsTimeS!HeadRow,0))/MA$8</f>
        <v>19.417475728155342</v>
      </c>
      <c r="MB80" s="278">
        <f ca="1">$A80 - DeathsTimeS!SouthAustralia100dt</f>
        <v>-8</v>
      </c>
      <c r="MC80" s="11">
        <f ca="1">INDEX(OFFSET(DeathsTimeS!HeadRow,ROW()-ROW(DeathsTimeS!HeadRow),0,1,COLUMNS(DeathsTimeS!HeadRow)),1,MATCH(MC$5,DeathsTimeS!HeadRow,0))/MC$8</f>
        <v>0</v>
      </c>
      <c r="MD80" s="278">
        <f ca="1">$A80 - DeathsTimeS!WesternAustralia100dt</f>
        <v>-5</v>
      </c>
      <c r="ME80" s="11">
        <f ca="1">INDEX(OFFSET(DeathsTimeS!HeadRow,ROW()-ROW(DeathsTimeS!HeadRow),0,1,COLUMNS(DeathsTimeS!HeadRow)),1,MATCH(ME$5,DeathsTimeS!HeadRow,0))/ME$8</f>
        <v>7.7249903437620695</v>
      </c>
      <c r="MF80" s="278">
        <f ca="1">$A80 - DeathsTimeS!NewSouthWales100dt</f>
        <v>-1</v>
      </c>
      <c r="MG80" s="11">
        <f ca="1">INDEX(OFFSET(DeathsTimeS!HeadRow,ROW()-ROW(DeathsTimeS!HeadRow),0,1,COLUMNS(DeathsTimeS!HeadRow)),1,MATCH(MG$5,DeathsTimeS!HeadRow,0))/MG$8</f>
        <v>9.9009900990099009</v>
      </c>
      <c r="MH80" s="278">
        <f ca="1">$A80 - DeathsTimeS!NewYork100dt</f>
        <v>15</v>
      </c>
      <c r="MI80" s="20">
        <f ca="1">INDEX(OFFSET(DeathsTimeS!HeadRow,ROW()-ROW(DeathsTimeS!HeadRow),0,1,COLUMNS(DeathsTimeS!HeadRow)),1,MATCH(MI$5,DeathsTimeS!HeadRow,0))/MI$8</f>
        <v>1357.2842295803739</v>
      </c>
      <c r="MJ80" s="278">
        <f ca="1">$A80 - DeathsTimeS!Italy100dt</f>
        <v>28</v>
      </c>
      <c r="MK80" s="20">
        <f ca="1">INDEX(OFFSET(DeathsTimeS!HeadRow,ROW()-ROW(DeathsTimeS!HeadRow),0,1,COLUMNS(DeathsTimeS!HeadRow)),1,MATCH(MK$5,DeathsTimeS!HeadRow,0))/MK$8</f>
        <v>2054.7243118128463</v>
      </c>
      <c r="ML80" s="278">
        <f ca="1">$A80 - DeathsTimeS!AustralianCapitalTerritory100dt</f>
        <v>1</v>
      </c>
      <c r="MM80" s="11">
        <f ca="1">INDEX(OFFSET(DeathsTimeS!HeadRow,ROW()-ROW(DeathsTimeS!HeadRow),0,1,COLUMNS(DeathsTimeS!HeadRow)),1,MATCH(MM$5,DeathsTimeS!HeadRow,0))/MM$8</f>
        <v>23.361211045180585</v>
      </c>
      <c r="MN80" s="278">
        <f ca="1">IF(DeathsTimeS!NorthernTerritory100dt&gt;0,$A80 - DeathsTimeS!NorthernTerritory100dt,"")</f>
        <v>-27</v>
      </c>
      <c r="MO80" s="11">
        <f ca="1">INDEX(OFFSET(DeathsTimeS!HeadRow,ROW()-ROW(DeathsTimeS!HeadRow),0,1,COLUMNS(DeathsTimeS!HeadRow)),1,MATCH(MO$5,DeathsTimeS!HeadRow,0))/MO$8</f>
        <v>0</v>
      </c>
      <c r="MP80" s="278">
        <f ca="1">$A80 - DeathsTimeS!SouthAfrica100dt + 1</f>
        <v>-19</v>
      </c>
      <c r="MQ80" s="20">
        <f ca="1">INDEX(OFFSET(DeathsTimeS!HeadRow,ROW()-ROW(DeathsTimeS!HeadRow),0,1,COLUMNS(DeathsTimeS!HeadRow)),1,MATCH(MQ$5,DeathsTimeS!HeadRow,0))/MQ$8</f>
        <v>0.86535133264105235</v>
      </c>
      <c r="MR80" s="278">
        <f ca="1">$A80 - DeathsTimeS!Germany100dt + 1</f>
        <v>11</v>
      </c>
      <c r="MS80" s="20">
        <f ca="1">INDEX(OFFSET(DeathsTimeS!HeadRow,ROW()-ROW(DeathsTimeS!HeadRow),0,1,COLUMNS(DeathsTimeS!HeadRow)),1,MATCH(MS$5,DeathsTimeS!HeadRow,0))/MS$8</f>
        <v>93.350999759094194</v>
      </c>
      <c r="MT80" s="278">
        <f ca="1">$A80 - DeathsTimeS!Ireland100dt + 1</f>
        <v>9</v>
      </c>
      <c r="MU80" s="73">
        <f ca="1">INDEX(OFFSET(DeathsTimeS!HeadRow,ROW()-ROW(DeathsTimeS!HeadRow),0,1,COLUMNS(DeathsTimeS!HeadRow)),1,MATCH(MU$5,DeathsTimeS!HeadRow,0))/MU$8</f>
        <v>144.89795918367346</v>
      </c>
      <c r="MV80" s="278">
        <f ca="1">$A80 - DeathsTimeS!UnitedKingdom100dt + 1</f>
        <v>15</v>
      </c>
      <c r="MW80" s="73">
        <f ca="1">INDEX(OFFSET(DeathsTimeS!HeadRow,ROW()-ROW(DeathsTimeS!HeadRow),0,1,COLUMNS(DeathsTimeS!HeadRow)),1,MATCH(MW$5,DeathsTimeS!HeadRow,0))/MW$8</f>
        <v>364.99096929560505</v>
      </c>
      <c r="MX80" s="278">
        <f ca="1">$A80 - DeathsTimeS!Denmark100dt + 1</f>
        <v>13</v>
      </c>
      <c r="MY80" s="73">
        <f ca="1">INDEX(OFFSET(DeathsTimeS!HeadRow,ROW()-ROW(DeathsTimeS!HeadRow),0,1,COLUMNS(DeathsTimeS!HeadRow)),1,MATCH(MY$5,DeathsTimeS!HeadRow,0))/MY$8</f>
        <v>155.01205649328281</v>
      </c>
      <c r="MZ80" s="278">
        <f ca="1">$A80 - DeathsTimeS!US100dt + 1</f>
        <v>12</v>
      </c>
      <c r="NA80" s="73">
        <f ca="1">INDEX(OFFSET(DeathsTimeS!HeadRow,ROW()-ROW(DeathsTimeS!HeadRow),0,1,COLUMNS(DeathsTimeS!HeadRow)),1,MATCH(NA$5,DeathsTimeS!HeadRow,0))/NA$8</f>
        <v>163.01785208589317</v>
      </c>
      <c r="NB80" s="278">
        <f ca="1">$A80 - DeathsTimeS!AustraliaSum100dt + 1</f>
        <v>6</v>
      </c>
      <c r="NC80" s="366">
        <f t="shared" si="7"/>
        <v>18</v>
      </c>
      <c r="ND80" s="278">
        <f ca="1">$A80 - DeathsTimeS!Taiwan100dt + 1</f>
        <v>-26</v>
      </c>
      <c r="NE80" s="366">
        <f ca="1">INDEX(OFFSET(DeathsTimeS!HeadRow,ROW()-ROW(DeathsTimeS!HeadRow),0,1,COLUMNS(DeathsTimeS!HeadRow)),1,MATCH(NE$5,DeathsTimeS!HeadRow,0))/NE$8</f>
        <v>2.1001977462189929</v>
      </c>
      <c r="NF80" s="278">
        <f ca="1">$A80 - DeathsTimeS!Hubei100dt + 1</f>
        <v>65</v>
      </c>
      <c r="NG80" s="366">
        <f ca="1">INDEX(OFFSET(DeathsTimeS!HeadRow,ROW()-ROW(DeathsTimeS!HeadRow),0,1,COLUMNS(DeathsTimeS!HeadRow)),1,MATCH(NG$5,DeathsTimeS!HeadRow,0))/NG$8</f>
        <v>544.78632478632483</v>
      </c>
      <c r="NH80" s="278">
        <f ca="1">$A80 - DeathsTimeS!HongKong100dt + 1</f>
        <v>-26</v>
      </c>
      <c r="NI80" s="366">
        <f ca="1">INDEX(OFFSET(DeathsTimeS!HeadRow,ROW()-ROW(DeathsTimeS!HeadRow),0,1,COLUMNS(DeathsTimeS!HeadRow)),1,MATCH(NI$5,DeathsTimeS!HeadRow,0))/NI$8</f>
        <v>5.3684069252449333</v>
      </c>
    </row>
    <row r="81" spans="1:373" x14ac:dyDescent="0.25">
      <c r="A81" s="156">
        <v>43922</v>
      </c>
      <c r="B81" s="25">
        <v>4</v>
      </c>
      <c r="C81" s="25">
        <v>15</v>
      </c>
      <c r="D81" s="25">
        <v>58</v>
      </c>
      <c r="E81" s="25">
        <v>14</v>
      </c>
      <c r="F81" s="25">
        <v>2</v>
      </c>
      <c r="G81" s="25">
        <v>0</v>
      </c>
      <c r="H81" s="25">
        <v>28</v>
      </c>
      <c r="I81" s="25">
        <v>4</v>
      </c>
      <c r="J81" s="25">
        <v>1</v>
      </c>
      <c r="K81" s="25">
        <v>9</v>
      </c>
      <c r="L81" s="25">
        <v>0</v>
      </c>
      <c r="M81" s="25">
        <v>2</v>
      </c>
      <c r="N81" s="25">
        <v>0</v>
      </c>
      <c r="O81" s="25">
        <v>2</v>
      </c>
      <c r="P81" s="25">
        <v>4</v>
      </c>
      <c r="Q81" s="25">
        <v>2</v>
      </c>
      <c r="R81" s="25">
        <v>146</v>
      </c>
      <c r="S81" s="25">
        <v>5</v>
      </c>
      <c r="T81" s="25">
        <v>1</v>
      </c>
      <c r="U81" s="25">
        <v>4</v>
      </c>
      <c r="V81" s="25">
        <v>6</v>
      </c>
      <c r="W81" s="25">
        <v>0</v>
      </c>
      <c r="X81" s="25">
        <v>2</v>
      </c>
      <c r="Y81" s="25">
        <v>828</v>
      </c>
      <c r="Z81" s="25">
        <v>0</v>
      </c>
      <c r="AA81" s="25">
        <v>0</v>
      </c>
      <c r="AB81" s="25">
        <v>7</v>
      </c>
      <c r="AC81" s="25">
        <v>13</v>
      </c>
      <c r="AD81" s="25">
        <v>240</v>
      </c>
      <c r="AE81" s="25">
        <v>1</v>
      </c>
      <c r="AF81" s="25">
        <v>10</v>
      </c>
      <c r="AG81" s="25">
        <v>16</v>
      </c>
      <c r="AH81" s="25">
        <v>1</v>
      </c>
      <c r="AI81" s="25">
        <v>0</v>
      </c>
      <c r="AJ81" s="25">
        <v>6</v>
      </c>
      <c r="AK81" s="25">
        <v>9</v>
      </c>
      <c r="AL81" s="25">
        <v>24</v>
      </c>
      <c r="AM81" s="25">
        <v>0</v>
      </c>
      <c r="AN81" s="25">
        <v>1</v>
      </c>
      <c r="AO81" s="25">
        <v>0</v>
      </c>
      <c r="AP81" s="25">
        <v>1</v>
      </c>
      <c r="AQ81" s="25">
        <v>0</v>
      </c>
      <c r="AR81" s="25">
        <v>37</v>
      </c>
      <c r="AS81" s="25">
        <v>0</v>
      </c>
      <c r="AT81" s="25">
        <v>33</v>
      </c>
      <c r="AU81" s="25">
        <v>3</v>
      </c>
      <c r="AV81" s="25">
        <v>0</v>
      </c>
      <c r="AW81" s="25">
        <v>0</v>
      </c>
      <c r="AX81" s="25">
        <v>16</v>
      </c>
      <c r="AY81" s="25">
        <v>6</v>
      </c>
      <c r="AZ81" s="25">
        <v>8</v>
      </c>
      <c r="BA81" s="25">
        <v>6</v>
      </c>
      <c r="BB81" s="25">
        <v>1</v>
      </c>
      <c r="BC81" s="25">
        <v>2</v>
      </c>
      <c r="BD81" s="25">
        <v>8</v>
      </c>
      <c r="BE81" s="25">
        <v>2</v>
      </c>
      <c r="BF81" s="25">
        <v>2</v>
      </c>
      <c r="BG81" s="25">
        <v>6</v>
      </c>
      <c r="BH81" s="25">
        <v>6</v>
      </c>
      <c r="BI81" s="25">
        <v>13</v>
      </c>
      <c r="BJ81" s="25">
        <v>22</v>
      </c>
      <c r="BK81" s="25">
        <v>4</v>
      </c>
      <c r="BL81" s="25">
        <v>3193</v>
      </c>
      <c r="BM81" s="25">
        <v>4</v>
      </c>
      <c r="BN81" s="25">
        <v>1</v>
      </c>
      <c r="BO81" s="25">
        <v>0</v>
      </c>
      <c r="BP81" s="25">
        <v>1</v>
      </c>
      <c r="BQ81" s="25">
        <v>1</v>
      </c>
      <c r="BR81" s="25">
        <v>2</v>
      </c>
      <c r="BS81" s="25">
        <v>0</v>
      </c>
      <c r="BT81" s="25">
        <v>0</v>
      </c>
      <c r="BU81" s="25">
        <v>0</v>
      </c>
      <c r="BV81" s="25">
        <v>3</v>
      </c>
      <c r="BW81" s="25">
        <v>7</v>
      </c>
      <c r="BX81" s="25">
        <v>6</v>
      </c>
      <c r="BY81" s="25">
        <v>0</v>
      </c>
      <c r="BZ81" s="25">
        <v>3</v>
      </c>
      <c r="CA81" s="25">
        <v>3</v>
      </c>
      <c r="CB81" s="25">
        <v>0</v>
      </c>
      <c r="CC81" s="25">
        <v>3</v>
      </c>
      <c r="CD81" s="25">
        <v>2</v>
      </c>
      <c r="CE81" s="25">
        <v>1</v>
      </c>
      <c r="CF81" s="25">
        <v>17</v>
      </c>
      <c r="CG81" s="25">
        <v>0</v>
      </c>
      <c r="CH81" s="25">
        <v>9</v>
      </c>
      <c r="CI81" s="25">
        <v>2</v>
      </c>
      <c r="CJ81" s="25">
        <v>1</v>
      </c>
      <c r="CK81" s="25">
        <v>6</v>
      </c>
      <c r="CL81" s="25">
        <v>11</v>
      </c>
      <c r="CM81" s="25">
        <v>6</v>
      </c>
      <c r="CN81" s="25">
        <v>9</v>
      </c>
      <c r="CO81" s="25">
        <v>39</v>
      </c>
      <c r="CP81" s="25">
        <v>0</v>
      </c>
      <c r="CQ81" s="25">
        <v>0</v>
      </c>
      <c r="CR81" s="25">
        <v>104</v>
      </c>
      <c r="CS81" s="25">
        <v>0</v>
      </c>
      <c r="CT81" s="25">
        <v>57</v>
      </c>
      <c r="CU81" s="25">
        <v>93</v>
      </c>
      <c r="CV81" s="25">
        <v>52</v>
      </c>
      <c r="CW81" s="25">
        <v>1</v>
      </c>
      <c r="CX81" s="25">
        <v>0</v>
      </c>
      <c r="CY81" s="25">
        <v>0</v>
      </c>
      <c r="CZ81" s="25">
        <v>5</v>
      </c>
      <c r="DA81" s="25">
        <v>0</v>
      </c>
      <c r="DB81" s="25">
        <v>0</v>
      </c>
      <c r="DC81" s="25">
        <v>0</v>
      </c>
      <c r="DD81" s="25">
        <v>17</v>
      </c>
      <c r="DE81" s="25">
        <v>0</v>
      </c>
      <c r="DF81" s="25">
        <v>0</v>
      </c>
      <c r="DG81" s="25">
        <v>6</v>
      </c>
      <c r="DH81" s="25">
        <v>1</v>
      </c>
      <c r="DI81" s="25">
        <v>0</v>
      </c>
      <c r="DJ81" s="25">
        <v>0</v>
      </c>
      <c r="DK81" s="25">
        <v>0</v>
      </c>
      <c r="DL81" s="25">
        <v>1</v>
      </c>
      <c r="DM81" s="25">
        <v>3</v>
      </c>
      <c r="DN81" s="25">
        <v>4403</v>
      </c>
      <c r="DO81" s="25">
        <v>1</v>
      </c>
      <c r="DP81" s="25">
        <v>1</v>
      </c>
      <c r="DQ81" s="25">
        <v>0</v>
      </c>
      <c r="DR81" s="25">
        <v>920</v>
      </c>
      <c r="DS81" s="25">
        <v>5</v>
      </c>
      <c r="DT81" s="25">
        <v>50</v>
      </c>
      <c r="DU81" s="25">
        <v>1</v>
      </c>
      <c r="DV81" s="25">
        <v>0</v>
      </c>
      <c r="DW81" s="25">
        <v>2</v>
      </c>
      <c r="DX81" s="25">
        <v>0</v>
      </c>
      <c r="DY81" s="25">
        <v>0</v>
      </c>
      <c r="DZ81" s="25">
        <v>10</v>
      </c>
      <c r="EA81" s="25">
        <v>20</v>
      </c>
      <c r="EB81" s="25">
        <v>2</v>
      </c>
      <c r="EC81" s="25">
        <v>58</v>
      </c>
      <c r="ED81" s="25">
        <v>157</v>
      </c>
      <c r="EE81" s="25">
        <v>3036</v>
      </c>
      <c r="EF81" s="25">
        <v>52</v>
      </c>
      <c r="EG81" s="25">
        <v>85</v>
      </c>
      <c r="EH81" s="25">
        <v>26</v>
      </c>
      <c r="EI81" s="25">
        <v>13155</v>
      </c>
      <c r="EJ81" s="25">
        <v>3</v>
      </c>
      <c r="EK81" s="25">
        <v>57</v>
      </c>
      <c r="EL81" s="25">
        <v>5</v>
      </c>
      <c r="EM81" s="25">
        <v>3</v>
      </c>
      <c r="EN81" s="25">
        <v>1</v>
      </c>
      <c r="EO81" s="25">
        <v>165</v>
      </c>
      <c r="EP81" s="25">
        <v>0</v>
      </c>
      <c r="EQ81" s="25">
        <v>0</v>
      </c>
      <c r="ER81" s="25">
        <v>0</v>
      </c>
      <c r="ES81" s="25">
        <v>14</v>
      </c>
      <c r="ET81" s="25">
        <v>0</v>
      </c>
      <c r="EU81" s="25">
        <v>0</v>
      </c>
      <c r="EV81" s="25">
        <v>8</v>
      </c>
      <c r="EW81" s="25">
        <v>29</v>
      </c>
      <c r="EX81" s="25">
        <v>0</v>
      </c>
      <c r="EY81" s="25">
        <v>45</v>
      </c>
      <c r="EZ81" s="25">
        <v>0</v>
      </c>
      <c r="FA81" s="25">
        <v>0</v>
      </c>
      <c r="FB81" s="25">
        <v>1</v>
      </c>
      <c r="FC81" s="25">
        <v>6</v>
      </c>
      <c r="FD81" s="25">
        <v>37</v>
      </c>
      <c r="FE81" s="25">
        <v>5</v>
      </c>
      <c r="FF81" s="25">
        <v>1</v>
      </c>
      <c r="FG81" s="25">
        <v>0</v>
      </c>
      <c r="FH81" s="25">
        <v>2</v>
      </c>
      <c r="FI81" s="25">
        <v>39</v>
      </c>
      <c r="FJ81" s="25">
        <v>0</v>
      </c>
      <c r="FK81" s="25">
        <v>0</v>
      </c>
      <c r="FL81" s="25">
        <v>0</v>
      </c>
      <c r="FM81" s="25">
        <v>1</v>
      </c>
      <c r="FN81" s="25">
        <v>1</v>
      </c>
      <c r="FO81" s="25">
        <v>1173</v>
      </c>
      <c r="FP81" s="25">
        <v>1</v>
      </c>
      <c r="FQ81" s="25">
        <v>1</v>
      </c>
      <c r="FR81" s="25">
        <v>5</v>
      </c>
      <c r="FS81" s="25">
        <v>2</v>
      </c>
      <c r="FT81" s="25">
        <v>11</v>
      </c>
      <c r="FU81" s="25">
        <v>44</v>
      </c>
      <c r="FV81" s="25">
        <v>1</v>
      </c>
      <c r="FW81" s="25">
        <v>27</v>
      </c>
      <c r="FX81" s="25">
        <v>30</v>
      </c>
      <c r="FY81" s="25">
        <v>0</v>
      </c>
      <c r="FZ81" s="25">
        <v>3</v>
      </c>
      <c r="GA81" s="25">
        <v>38</v>
      </c>
      <c r="GB81" s="25">
        <v>96</v>
      </c>
      <c r="GC81" s="25">
        <v>43</v>
      </c>
      <c r="GD81" s="25">
        <v>187</v>
      </c>
      <c r="GE81" s="25">
        <v>2</v>
      </c>
      <c r="GF81" s="25">
        <v>92</v>
      </c>
      <c r="GG81" s="25">
        <v>24</v>
      </c>
      <c r="GH81" s="25">
        <v>0</v>
      </c>
      <c r="GI81" s="25">
        <v>0</v>
      </c>
      <c r="GJ81" s="25">
        <v>0</v>
      </c>
      <c r="GK81" s="25">
        <v>26</v>
      </c>
      <c r="GL81" s="25">
        <v>16</v>
      </c>
      <c r="GM81" s="25">
        <v>1</v>
      </c>
      <c r="GN81" s="25">
        <v>28</v>
      </c>
      <c r="GO81" s="25">
        <v>0</v>
      </c>
      <c r="GP81" s="25">
        <v>3</v>
      </c>
      <c r="GQ81" s="25">
        <v>1</v>
      </c>
      <c r="GR81" s="25">
        <v>15</v>
      </c>
      <c r="GS81" s="25">
        <v>0</v>
      </c>
      <c r="GT81" s="25">
        <v>5</v>
      </c>
      <c r="GU81" s="25">
        <v>9387</v>
      </c>
      <c r="GV81" s="25">
        <v>3</v>
      </c>
      <c r="GW81" s="25">
        <v>2</v>
      </c>
      <c r="GX81" s="25">
        <v>0</v>
      </c>
      <c r="GY81" s="46">
        <v>239</v>
      </c>
      <c r="GZ81" s="25">
        <v>488</v>
      </c>
      <c r="HA81" s="25">
        <v>5</v>
      </c>
      <c r="HB81" s="25">
        <v>1</v>
      </c>
      <c r="HC81" s="25">
        <v>12</v>
      </c>
      <c r="HD81" s="25">
        <v>2</v>
      </c>
      <c r="HE81" s="25">
        <v>5</v>
      </c>
      <c r="HF81" s="25">
        <v>12</v>
      </c>
      <c r="HG81" s="25">
        <v>277</v>
      </c>
      <c r="HH81" s="25">
        <v>0</v>
      </c>
      <c r="HI81" s="25">
        <v>20</v>
      </c>
      <c r="HJ81" s="25">
        <v>8</v>
      </c>
      <c r="HK81" s="25">
        <v>0</v>
      </c>
      <c r="HL81" s="25">
        <v>1</v>
      </c>
      <c r="HM81" s="25">
        <v>3</v>
      </c>
      <c r="HN81" s="25">
        <v>0</v>
      </c>
      <c r="HO81" s="25">
        <v>1</v>
      </c>
      <c r="HP81" s="25">
        <v>0</v>
      </c>
      <c r="HQ81" s="25">
        <v>3095</v>
      </c>
      <c r="HR81" s="25">
        <v>2</v>
      </c>
      <c r="HS81" s="25">
        <v>6501</v>
      </c>
      <c r="HT81" s="25">
        <v>2</v>
      </c>
      <c r="HU81" s="25">
        <v>3</v>
      </c>
      <c r="HV81" s="25">
        <v>0</v>
      </c>
      <c r="HW81" s="25">
        <v>0</v>
      </c>
      <c r="HX81" s="25">
        <v>1</v>
      </c>
      <c r="HY81" s="25">
        <v>1</v>
      </c>
      <c r="HZ81" s="25">
        <v>0</v>
      </c>
      <c r="IA81" s="25">
        <v>0</v>
      </c>
      <c r="IB81" s="25">
        <v>0</v>
      </c>
      <c r="IC81" s="25">
        <v>2</v>
      </c>
      <c r="ID81" s="25">
        <v>0</v>
      </c>
      <c r="IE81" s="25">
        <v>0</v>
      </c>
      <c r="IF81" s="25">
        <v>0</v>
      </c>
      <c r="IG81" s="25">
        <v>0</v>
      </c>
      <c r="IH81" s="25">
        <v>0</v>
      </c>
      <c r="II81" s="25">
        <v>1</v>
      </c>
      <c r="IJ81" s="25">
        <v>0</v>
      </c>
      <c r="IK81" s="25">
        <v>3</v>
      </c>
      <c r="IL81" s="25">
        <v>0</v>
      </c>
      <c r="IM81" s="25">
        <v>0</v>
      </c>
      <c r="IN81" s="25">
        <v>0</v>
      </c>
      <c r="IO81" s="25">
        <v>1</v>
      </c>
      <c r="IP81" s="25">
        <v>1</v>
      </c>
      <c r="IQ81" s="25">
        <v>0</v>
      </c>
      <c r="IR81" s="25">
        <v>0</v>
      </c>
      <c r="IS81" s="25">
        <v>0</v>
      </c>
      <c r="IT81" s="25">
        <v>2</v>
      </c>
      <c r="IU81" s="25">
        <v>1</v>
      </c>
      <c r="IV81" s="25">
        <v>0</v>
      </c>
      <c r="IW81" s="25">
        <v>0</v>
      </c>
      <c r="IX81" s="25">
        <v>0</v>
      </c>
      <c r="IY81" s="25">
        <v>0</v>
      </c>
      <c r="IZ81" s="25">
        <v>0</v>
      </c>
      <c r="JA81" s="25">
        <v>0</v>
      </c>
      <c r="JB81" s="25">
        <v>0</v>
      </c>
      <c r="JC81" s="25">
        <v>0</v>
      </c>
      <c r="JD81" s="25">
        <v>0</v>
      </c>
      <c r="JE81" s="25">
        <v>0</v>
      </c>
      <c r="JF81" s="25">
        <v>0</v>
      </c>
      <c r="JG81" s="25">
        <v>0</v>
      </c>
      <c r="JH81" s="25">
        <v>0</v>
      </c>
      <c r="JI81" s="25">
        <v>3</v>
      </c>
      <c r="JJ81" s="25">
        <v>1</v>
      </c>
      <c r="JK81" s="25">
        <v>11</v>
      </c>
      <c r="JL81" s="25">
        <v>0</v>
      </c>
      <c r="JM81" s="25">
        <v>27</v>
      </c>
      <c r="JN81" s="25">
        <v>3</v>
      </c>
      <c r="JO81" s="25">
        <v>32</v>
      </c>
      <c r="JP81" s="25">
        <v>10</v>
      </c>
      <c r="JQ81" s="25">
        <v>199</v>
      </c>
      <c r="JR81" s="25">
        <v>69</v>
      </c>
      <c r="JS81" s="25">
        <v>85</v>
      </c>
      <c r="JT81" s="25">
        <v>11</v>
      </c>
      <c r="JU81" s="25">
        <v>9</v>
      </c>
      <c r="JV81" s="25">
        <v>87</v>
      </c>
      <c r="JW81" s="25">
        <v>139</v>
      </c>
      <c r="JX81" s="25">
        <v>1</v>
      </c>
      <c r="JY81" s="25">
        <v>9</v>
      </c>
      <c r="JZ81" s="25">
        <v>141</v>
      </c>
      <c r="KA81" s="25">
        <v>65</v>
      </c>
      <c r="KB81" s="25">
        <v>9</v>
      </c>
      <c r="KC81" s="25">
        <v>10</v>
      </c>
      <c r="KD81" s="25">
        <v>18</v>
      </c>
      <c r="KE81" s="25">
        <v>273</v>
      </c>
      <c r="KF81" s="25">
        <v>5</v>
      </c>
      <c r="KG81" s="25">
        <v>31</v>
      </c>
      <c r="KH81" s="25">
        <v>122</v>
      </c>
      <c r="KI81" s="25">
        <v>335</v>
      </c>
      <c r="KJ81" s="25">
        <v>17</v>
      </c>
      <c r="KK81" s="25">
        <v>22</v>
      </c>
      <c r="KL81" s="25">
        <v>18</v>
      </c>
      <c r="KM81" s="25">
        <v>6</v>
      </c>
      <c r="KN81" s="25">
        <v>4</v>
      </c>
      <c r="KO81" s="25">
        <v>31</v>
      </c>
      <c r="KP81" s="25">
        <v>3</v>
      </c>
      <c r="KQ81" s="25">
        <v>355</v>
      </c>
      <c r="KR81" s="25">
        <v>5</v>
      </c>
      <c r="KS81" s="25">
        <v>3917</v>
      </c>
      <c r="KT81" s="25">
        <v>14</v>
      </c>
      <c r="KU81" s="25">
        <v>3</v>
      </c>
      <c r="KV81" s="25">
        <v>65</v>
      </c>
      <c r="KW81" s="25">
        <v>30</v>
      </c>
      <c r="KX81" s="25">
        <v>19</v>
      </c>
      <c r="KY81" s="25">
        <v>74</v>
      </c>
      <c r="KZ81" s="25">
        <v>10</v>
      </c>
      <c r="LA81" s="25">
        <v>26</v>
      </c>
      <c r="LB81" s="25">
        <v>2</v>
      </c>
      <c r="LC81" s="25">
        <v>24</v>
      </c>
      <c r="LD81" s="25">
        <v>66</v>
      </c>
      <c r="LE81" s="25">
        <v>5</v>
      </c>
      <c r="LF81" s="25">
        <v>16</v>
      </c>
      <c r="LG81" s="25">
        <v>34</v>
      </c>
      <c r="LH81" s="25">
        <v>234</v>
      </c>
      <c r="LI81" s="25">
        <v>1</v>
      </c>
      <c r="LJ81" s="25">
        <v>27</v>
      </c>
      <c r="LK81" s="25">
        <v>0</v>
      </c>
      <c r="LL81" s="25">
        <v>0</v>
      </c>
      <c r="LM81" s="25">
        <v>3</v>
      </c>
      <c r="LN81" s="278">
        <f ca="1">$A81 - DeathsTimeS!Sweden100dt + 1</f>
        <v>14</v>
      </c>
      <c r="LO81" s="366">
        <f ca="1">INDEX(OFFSET(DeathsTimeS!HeadRow,ROW()-ROW(DeathsTimeS!HeadRow),0,1,COLUMNS(DeathsTimeS!HeadRow)),1,MATCH(LO$5,DeathsTimeS!HeadRow,0))/LO$8</f>
        <v>233.62658846529817</v>
      </c>
      <c r="LP81" s="278">
        <f ca="1">$A81 - DeathsTimeS!Spain100dt</f>
        <v>21</v>
      </c>
      <c r="LQ81" s="11">
        <f ca="1">INDEX(OFFSET(DeathsTimeS!HeadRow,ROW()-ROW(DeathsTimeS!HeadRow),0,1,COLUMNS(DeathsTimeS!HeadRow)),1,MATCH(LQ$5,DeathsTimeS!HeadRow,0))/LQ$8</f>
        <v>1999.7869620792501</v>
      </c>
      <c r="LR81" s="278">
        <f ca="1">$A81 - DeathsTimeS!Victoria100dt</f>
        <v>-2</v>
      </c>
      <c r="LS81" s="11">
        <f ca="1">INDEX(OFFSET(DeathsTimeS!HeadRow,ROW()-ROW(DeathsTimeS!HeadRow),0,1,COLUMNS(DeathsTimeS!HeadRow)),1,MATCH(LS$5,DeathsTimeS!HeadRow,0))/LS$8</f>
        <v>6.0340926233217678</v>
      </c>
      <c r="LT81" s="278">
        <f ca="1">$A81 - DeathsTimeS!Iran100dt</f>
        <v>28</v>
      </c>
      <c r="LU81" s="11">
        <f ca="1">INDEX(OFFSET(DeathsTimeS!HeadRow,ROW()-ROW(DeathsTimeS!HeadRow),0,1,COLUMNS(DeathsTimeS!HeadRow)),1,MATCH(LU$5,DeathsTimeS!HeadRow,0))/LU$8</f>
        <v>362.40793573108283</v>
      </c>
      <c r="LV81" s="278">
        <f ca="1">$A81 - DeathsTimeS!Japan100dt</f>
        <v>-13</v>
      </c>
      <c r="LW81" s="11">
        <f ca="1">INDEX(OFFSET(DeathsTimeS!HeadRow,ROW()-ROW(DeathsTimeS!HeadRow),0,1,COLUMNS(DeathsTimeS!HeadRow)),1,MATCH(LW$5,DeathsTimeS!HeadRow,0))/LW$8</f>
        <v>4.5039989703068182</v>
      </c>
      <c r="LX81" s="278">
        <f ca="1">$A81 - DeathsTimeS!Queensland100dt</f>
        <v>-17</v>
      </c>
      <c r="LY81" s="11">
        <f ca="1">INDEX(OFFSET(DeathsTimeS!HeadRow,ROW()-ROW(DeathsTimeS!HeadRow),0,1,COLUMNS(DeathsTimeS!HeadRow)),1,MATCH(LY$5,DeathsTimeS!HeadRow,0))/LY$8</f>
        <v>3.9097236978714096</v>
      </c>
      <c r="LZ81" s="278">
        <f ca="1">$A81 - DeathsTimeS!Tasmania100dt</f>
        <v>1</v>
      </c>
      <c r="MA81" s="11">
        <f ca="1">INDEX(OFFSET(DeathsTimeS!HeadRow,ROW()-ROW(DeathsTimeS!HeadRow),0,1,COLUMNS(DeathsTimeS!HeadRow)),1,MATCH(MA$5,DeathsTimeS!HeadRow,0))/MA$8</f>
        <v>38.834951456310684</v>
      </c>
      <c r="MB81" s="278">
        <f ca="1">$A81 - DeathsTimeS!SouthAustralia100dt</f>
        <v>-7</v>
      </c>
      <c r="MC81" s="11">
        <f ca="1">INDEX(OFFSET(DeathsTimeS!HeadRow,ROW()-ROW(DeathsTimeS!HeadRow),0,1,COLUMNS(DeathsTimeS!HeadRow)),1,MATCH(MC$5,DeathsTimeS!HeadRow,0))/MC$8</f>
        <v>0</v>
      </c>
      <c r="MD81" s="278">
        <f ca="1">$A81 - DeathsTimeS!WesternAustralia100dt</f>
        <v>-4</v>
      </c>
      <c r="ME81" s="11">
        <f ca="1">INDEX(OFFSET(DeathsTimeS!HeadRow,ROW()-ROW(DeathsTimeS!HeadRow),0,1,COLUMNS(DeathsTimeS!HeadRow)),1,MATCH(ME$5,DeathsTimeS!HeadRow,0))/ME$8</f>
        <v>7.7249903437620695</v>
      </c>
      <c r="MF81" s="278">
        <f ca="1">$A81 - DeathsTimeS!NewSouthWales100dt</f>
        <v>0</v>
      </c>
      <c r="MG81" s="11">
        <f ca="1">INDEX(OFFSET(DeathsTimeS!HeadRow,ROW()-ROW(DeathsTimeS!HeadRow),0,1,COLUMNS(DeathsTimeS!HeadRow)),1,MATCH(MG$5,DeathsTimeS!HeadRow,0))/MG$8</f>
        <v>11.138613861386139</v>
      </c>
      <c r="MH81" s="278">
        <f ca="1">$A81 - DeathsTimeS!NewYork100dt</f>
        <v>16</v>
      </c>
      <c r="MI81" s="20">
        <f ca="1">INDEX(OFFSET(DeathsTimeS!HeadRow,ROW()-ROW(DeathsTimeS!HeadRow),0,1,COLUMNS(DeathsTimeS!HeadRow)),1,MATCH(MI$5,DeathsTimeS!HeadRow,0))/MI$8</f>
        <v>1657.7743458890941</v>
      </c>
      <c r="MJ81" s="278">
        <f ca="1">$A81 - DeathsTimeS!Italy100dt</f>
        <v>29</v>
      </c>
      <c r="MK81" s="20">
        <f ca="1">INDEX(OFFSET(DeathsTimeS!HeadRow,ROW()-ROW(DeathsTimeS!HeadRow),0,1,COLUMNS(DeathsTimeS!HeadRow)),1,MATCH(MK$5,DeathsTimeS!HeadRow,0))/MK$8</f>
        <v>2174.9194015045055</v>
      </c>
      <c r="ML81" s="278">
        <f ca="1">$A81 - DeathsTimeS!AustralianCapitalTerritory100dt</f>
        <v>2</v>
      </c>
      <c r="MM81" s="11">
        <f ca="1">INDEX(OFFSET(DeathsTimeS!HeadRow,ROW()-ROW(DeathsTimeS!HeadRow),0,1,COLUMNS(DeathsTimeS!HeadRow)),1,MATCH(MM$5,DeathsTimeS!HeadRow,0))/MM$8</f>
        <v>23.361211045180585</v>
      </c>
      <c r="MN81" s="278">
        <f ca="1">IF(DeathsTimeS!NorthernTerritory100dt&gt;0,$A81 - DeathsTimeS!NorthernTerritory100dt,"")</f>
        <v>-26</v>
      </c>
      <c r="MO81" s="11">
        <f ca="1">INDEX(OFFSET(DeathsTimeS!HeadRow,ROW()-ROW(DeathsTimeS!HeadRow),0,1,COLUMNS(DeathsTimeS!HeadRow)),1,MATCH(MO$5,DeathsTimeS!HeadRow,0))/MO$8</f>
        <v>0</v>
      </c>
      <c r="MP81" s="278">
        <f ca="1">$A81 - DeathsTimeS!SouthAfrica100dt + 1</f>
        <v>-18</v>
      </c>
      <c r="MQ81" s="20">
        <f ca="1">INDEX(OFFSET(DeathsTimeS!HeadRow,ROW()-ROW(DeathsTimeS!HeadRow),0,1,COLUMNS(DeathsTimeS!HeadRow)),1,MATCH(MQ$5,DeathsTimeS!HeadRow,0))/MQ$8</f>
        <v>0.86535133264105235</v>
      </c>
      <c r="MR81" s="278">
        <f ca="1">$A81 - DeathsTimeS!Germany100dt + 1</f>
        <v>12</v>
      </c>
      <c r="MS81" s="20">
        <f ca="1">INDEX(OFFSET(DeathsTimeS!HeadRow,ROW()-ROW(DeathsTimeS!HeadRow),0,1,COLUMNS(DeathsTimeS!HeadRow)),1,MATCH(MS$5,DeathsTimeS!HeadRow,0))/MS$8</f>
        <v>110.81667068176344</v>
      </c>
      <c r="MT81" s="278">
        <f ca="1">$A81 - DeathsTimeS!Ireland100dt + 1</f>
        <v>10</v>
      </c>
      <c r="MU81" s="73">
        <f ca="1">INDEX(OFFSET(DeathsTimeS!HeadRow,ROW()-ROW(DeathsTimeS!HeadRow),0,1,COLUMNS(DeathsTimeS!HeadRow)),1,MATCH(MU$5,DeathsTimeS!HeadRow,0))/MU$8</f>
        <v>173.46938775510205</v>
      </c>
      <c r="MV81" s="278">
        <f ca="1">$A81 - DeathsTimeS!UnitedKingdom100dt + 1</f>
        <v>16</v>
      </c>
      <c r="MW81" s="73">
        <f ca="1">INDEX(OFFSET(DeathsTimeS!HeadRow,ROW()-ROW(DeathsTimeS!HeadRow),0,1,COLUMNS(DeathsTimeS!HeadRow)),1,MATCH(MW$5,DeathsTimeS!HeadRow,0))/MW$8</f>
        <v>465.83383503913302</v>
      </c>
      <c r="MX81" s="278">
        <f ca="1">$A81 - DeathsTimeS!Denmark100dt + 1</f>
        <v>14</v>
      </c>
      <c r="MY81" s="73">
        <f ca="1">INDEX(OFFSET(DeathsTimeS!HeadRow,ROW()-ROW(DeathsTimeS!HeadRow),0,1,COLUMNS(DeathsTimeS!HeadRow)),1,MATCH(MY$5,DeathsTimeS!HeadRow,0))/MY$8</f>
        <v>179.12504305890457</v>
      </c>
      <c r="MZ81" s="278">
        <f ca="1">$A81 - DeathsTimeS!US100dt + 1</f>
        <v>13</v>
      </c>
      <c r="NA81" s="73">
        <f ca="1">INDEX(OFFSET(DeathsTimeS!HeadRow,ROW()-ROW(DeathsTimeS!HeadRow),0,1,COLUMNS(DeathsTimeS!HeadRow)),1,MATCH(NA$5,DeathsTimeS!HeadRow,0))/NA$8</f>
        <v>197.46209361102879</v>
      </c>
      <c r="NB81" s="278">
        <f ca="1">$A81 - DeathsTimeS!AustraliaSum100dt + 1</f>
        <v>7</v>
      </c>
      <c r="NC81" s="366">
        <f t="shared" si="7"/>
        <v>20</v>
      </c>
      <c r="ND81" s="278">
        <f ca="1">$A81 - DeathsTimeS!Taiwan100dt + 1</f>
        <v>-25</v>
      </c>
      <c r="NE81" s="366">
        <f ca="1">INDEX(OFFSET(DeathsTimeS!HeadRow,ROW()-ROW(DeathsTimeS!HeadRow),0,1,COLUMNS(DeathsTimeS!HeadRow)),1,MATCH(NE$5,DeathsTimeS!HeadRow,0))/NE$8</f>
        <v>2.1001977462189929</v>
      </c>
      <c r="NF81" s="278">
        <f ca="1">$A81 - DeathsTimeS!Hubei100dt + 1</f>
        <v>66</v>
      </c>
      <c r="NG81" s="366">
        <f ca="1">INDEX(OFFSET(DeathsTimeS!HeadRow,ROW()-ROW(DeathsTimeS!HeadRow),0,1,COLUMNS(DeathsTimeS!HeadRow)),1,MATCH(NG$5,DeathsTimeS!HeadRow,0))/NG$8</f>
        <v>545.81196581196582</v>
      </c>
      <c r="NH81" s="278">
        <f ca="1">$A81 - DeathsTimeS!HongKong100dt + 1</f>
        <v>-25</v>
      </c>
      <c r="NI81" s="366">
        <f ca="1">INDEX(OFFSET(DeathsTimeS!HeadRow,ROW()-ROW(DeathsTimeS!HeadRow),0,1,COLUMNS(DeathsTimeS!HeadRow)),1,MATCH(NI$5,DeathsTimeS!HeadRow,0))/NI$8</f>
        <v>5.3684069252449333</v>
      </c>
    </row>
    <row r="82" spans="1:373" x14ac:dyDescent="0.25">
      <c r="A82" s="156">
        <v>43923</v>
      </c>
      <c r="B82" s="25">
        <v>6</v>
      </c>
      <c r="C82" s="25">
        <v>16</v>
      </c>
      <c r="D82" s="25">
        <v>86</v>
      </c>
      <c r="E82" s="25">
        <v>15</v>
      </c>
      <c r="F82" s="25">
        <v>2</v>
      </c>
      <c r="G82" s="25">
        <v>0</v>
      </c>
      <c r="H82" s="25">
        <v>36</v>
      </c>
      <c r="I82" s="25">
        <v>7</v>
      </c>
      <c r="J82" s="25">
        <v>1</v>
      </c>
      <c r="K82" s="25">
        <v>10</v>
      </c>
      <c r="L82" s="25">
        <v>0</v>
      </c>
      <c r="M82" s="25">
        <v>4</v>
      </c>
      <c r="N82" s="25">
        <v>0</v>
      </c>
      <c r="O82" s="25">
        <v>2</v>
      </c>
      <c r="P82" s="25">
        <v>5</v>
      </c>
      <c r="Q82" s="25">
        <v>2</v>
      </c>
      <c r="R82" s="25">
        <v>158</v>
      </c>
      <c r="S82" s="25">
        <v>5</v>
      </c>
      <c r="T82" s="25">
        <v>1</v>
      </c>
      <c r="U82" s="25">
        <v>4</v>
      </c>
      <c r="V82" s="25">
        <v>6</v>
      </c>
      <c r="W82" s="25">
        <v>0</v>
      </c>
      <c r="X82" s="25">
        <v>4</v>
      </c>
      <c r="Y82" s="25">
        <v>1011</v>
      </c>
      <c r="Z82" s="25">
        <v>0</v>
      </c>
      <c r="AA82" s="25">
        <v>0</v>
      </c>
      <c r="AB82" s="25">
        <v>8</v>
      </c>
      <c r="AC82" s="25">
        <v>16</v>
      </c>
      <c r="AD82" s="25">
        <v>324</v>
      </c>
      <c r="AE82" s="25">
        <v>1</v>
      </c>
      <c r="AF82" s="25">
        <v>10</v>
      </c>
      <c r="AG82" s="25">
        <v>16</v>
      </c>
      <c r="AH82" s="25">
        <v>1</v>
      </c>
      <c r="AI82" s="25">
        <v>0</v>
      </c>
      <c r="AJ82" s="25">
        <v>7</v>
      </c>
      <c r="AK82" s="25">
        <v>13</v>
      </c>
      <c r="AL82" s="25">
        <v>31</v>
      </c>
      <c r="AM82" s="25">
        <v>0</v>
      </c>
      <c r="AN82" s="25">
        <v>1</v>
      </c>
      <c r="AO82" s="25">
        <v>0</v>
      </c>
      <c r="AP82" s="25">
        <v>1</v>
      </c>
      <c r="AQ82" s="25">
        <v>0</v>
      </c>
      <c r="AR82" s="25">
        <v>53</v>
      </c>
      <c r="AS82" s="25">
        <v>0</v>
      </c>
      <c r="AT82" s="25">
        <v>36</v>
      </c>
      <c r="AU82" s="25">
        <v>3</v>
      </c>
      <c r="AV82" s="25">
        <v>0</v>
      </c>
      <c r="AW82" s="25">
        <v>0</v>
      </c>
      <c r="AX82" s="25">
        <v>18</v>
      </c>
      <c r="AY82" s="25">
        <v>6</v>
      </c>
      <c r="AZ82" s="25">
        <v>8</v>
      </c>
      <c r="BA82" s="25">
        <v>6</v>
      </c>
      <c r="BB82" s="25">
        <v>1</v>
      </c>
      <c r="BC82" s="25">
        <v>2</v>
      </c>
      <c r="BD82" s="25">
        <v>8</v>
      </c>
      <c r="BE82" s="25">
        <v>2</v>
      </c>
      <c r="BF82" s="25">
        <v>2</v>
      </c>
      <c r="BG82" s="25">
        <v>6</v>
      </c>
      <c r="BH82" s="25">
        <v>6</v>
      </c>
      <c r="BI82" s="25">
        <v>13</v>
      </c>
      <c r="BJ82" s="25">
        <v>22</v>
      </c>
      <c r="BK82" s="25">
        <v>4</v>
      </c>
      <c r="BL82" s="25">
        <v>3199</v>
      </c>
      <c r="BM82" s="25">
        <v>4</v>
      </c>
      <c r="BN82" s="25">
        <v>1</v>
      </c>
      <c r="BO82" s="25">
        <v>0</v>
      </c>
      <c r="BP82" s="25">
        <v>1</v>
      </c>
      <c r="BQ82" s="25">
        <v>1</v>
      </c>
      <c r="BR82" s="25">
        <v>2</v>
      </c>
      <c r="BS82" s="25">
        <v>0</v>
      </c>
      <c r="BT82" s="25">
        <v>0</v>
      </c>
      <c r="BU82" s="25">
        <v>0</v>
      </c>
      <c r="BV82" s="25">
        <v>3</v>
      </c>
      <c r="BW82" s="25">
        <v>7</v>
      </c>
      <c r="BX82" s="25">
        <v>6</v>
      </c>
      <c r="BY82" s="25">
        <v>0</v>
      </c>
      <c r="BZ82" s="25">
        <v>3</v>
      </c>
      <c r="CA82" s="25">
        <v>3</v>
      </c>
      <c r="CB82" s="25">
        <v>0</v>
      </c>
      <c r="CC82" s="25">
        <v>3</v>
      </c>
      <c r="CD82" s="25">
        <v>2</v>
      </c>
      <c r="CE82" s="25">
        <v>1</v>
      </c>
      <c r="CF82" s="25">
        <v>19</v>
      </c>
      <c r="CG82" s="25">
        <v>2</v>
      </c>
      <c r="CH82" s="25">
        <v>13</v>
      </c>
      <c r="CI82" s="25">
        <v>2</v>
      </c>
      <c r="CJ82" s="25">
        <v>1</v>
      </c>
      <c r="CK82" s="25">
        <v>7</v>
      </c>
      <c r="CL82" s="25">
        <v>11</v>
      </c>
      <c r="CM82" s="25">
        <v>6</v>
      </c>
      <c r="CN82" s="25">
        <v>10</v>
      </c>
      <c r="CO82" s="25">
        <v>44</v>
      </c>
      <c r="CP82" s="25">
        <v>0</v>
      </c>
      <c r="CQ82" s="25">
        <v>0</v>
      </c>
      <c r="CR82" s="25">
        <v>123</v>
      </c>
      <c r="CS82" s="25">
        <v>0</v>
      </c>
      <c r="CT82" s="25">
        <v>60</v>
      </c>
      <c r="CU82" s="25">
        <v>120</v>
      </c>
      <c r="CV82" s="25">
        <v>58</v>
      </c>
      <c r="CW82" s="25">
        <v>2</v>
      </c>
      <c r="CX82" s="25">
        <v>0</v>
      </c>
      <c r="CY82" s="25">
        <v>0</v>
      </c>
      <c r="CZ82" s="25">
        <v>11</v>
      </c>
      <c r="DA82" s="25">
        <v>0</v>
      </c>
      <c r="DB82" s="25">
        <v>0</v>
      </c>
      <c r="DC82" s="25">
        <v>0</v>
      </c>
      <c r="DD82" s="25">
        <v>19</v>
      </c>
      <c r="DE82" s="25">
        <v>0</v>
      </c>
      <c r="DF82" s="25">
        <v>0</v>
      </c>
      <c r="DG82" s="25">
        <v>6</v>
      </c>
      <c r="DH82" s="25">
        <v>1</v>
      </c>
      <c r="DI82" s="25">
        <v>0</v>
      </c>
      <c r="DJ82" s="25">
        <v>0</v>
      </c>
      <c r="DK82" s="25">
        <v>0</v>
      </c>
      <c r="DL82" s="25">
        <v>1</v>
      </c>
      <c r="DM82" s="25">
        <v>3</v>
      </c>
      <c r="DN82" s="25">
        <v>5387</v>
      </c>
      <c r="DO82" s="25">
        <v>1</v>
      </c>
      <c r="DP82" s="25">
        <v>1</v>
      </c>
      <c r="DQ82" s="25">
        <v>0</v>
      </c>
      <c r="DR82" s="25">
        <v>1107</v>
      </c>
      <c r="DS82" s="25">
        <v>5</v>
      </c>
      <c r="DT82" s="25">
        <v>53</v>
      </c>
      <c r="DU82" s="25">
        <v>1</v>
      </c>
      <c r="DV82" s="25">
        <v>0</v>
      </c>
      <c r="DW82" s="25">
        <v>4</v>
      </c>
      <c r="DX82" s="25">
        <v>0</v>
      </c>
      <c r="DY82" s="25">
        <v>0</v>
      </c>
      <c r="DZ82" s="25">
        <v>14</v>
      </c>
      <c r="EA82" s="25">
        <v>21</v>
      </c>
      <c r="EB82" s="25">
        <v>4</v>
      </c>
      <c r="EC82" s="25">
        <v>72</v>
      </c>
      <c r="ED82" s="25">
        <v>170</v>
      </c>
      <c r="EE82" s="25">
        <v>3160</v>
      </c>
      <c r="EF82" s="25">
        <v>54</v>
      </c>
      <c r="EG82" s="25">
        <v>98</v>
      </c>
      <c r="EH82" s="25">
        <v>36</v>
      </c>
      <c r="EI82" s="25">
        <v>13915</v>
      </c>
      <c r="EJ82" s="25">
        <v>3</v>
      </c>
      <c r="EK82" s="25">
        <v>62</v>
      </c>
      <c r="EL82" s="25">
        <v>5</v>
      </c>
      <c r="EM82" s="25">
        <v>3</v>
      </c>
      <c r="EN82" s="25">
        <v>3</v>
      </c>
      <c r="EO82" s="25">
        <v>169</v>
      </c>
      <c r="EP82" s="25">
        <v>0</v>
      </c>
      <c r="EQ82" s="25">
        <v>0</v>
      </c>
      <c r="ER82" s="25">
        <v>0</v>
      </c>
      <c r="ES82" s="25">
        <v>16</v>
      </c>
      <c r="ET82" s="25">
        <v>0</v>
      </c>
      <c r="EU82" s="25">
        <v>0</v>
      </c>
      <c r="EV82" s="25">
        <v>9</v>
      </c>
      <c r="EW82" s="25">
        <v>30</v>
      </c>
      <c r="EX82" s="25">
        <v>0</v>
      </c>
      <c r="EY82" s="25">
        <v>50</v>
      </c>
      <c r="EZ82" s="25">
        <v>0</v>
      </c>
      <c r="FA82" s="25">
        <v>0</v>
      </c>
      <c r="FB82" s="25">
        <v>1</v>
      </c>
      <c r="FC82" s="25">
        <v>7</v>
      </c>
      <c r="FD82" s="25">
        <v>50</v>
      </c>
      <c r="FE82" s="25">
        <v>6</v>
      </c>
      <c r="FF82" s="25">
        <v>1</v>
      </c>
      <c r="FG82" s="25">
        <v>0</v>
      </c>
      <c r="FH82" s="25">
        <v>2</v>
      </c>
      <c r="FI82" s="25">
        <v>44</v>
      </c>
      <c r="FJ82" s="25">
        <v>0</v>
      </c>
      <c r="FK82" s="25">
        <v>0</v>
      </c>
      <c r="FL82" s="25">
        <v>0</v>
      </c>
      <c r="FM82" s="25">
        <v>1</v>
      </c>
      <c r="FN82" s="25">
        <v>1</v>
      </c>
      <c r="FO82" s="25">
        <v>1339</v>
      </c>
      <c r="FP82" s="25">
        <v>1</v>
      </c>
      <c r="FQ82" s="25">
        <v>1</v>
      </c>
      <c r="FR82" s="25">
        <v>5</v>
      </c>
      <c r="FS82" s="25">
        <v>2</v>
      </c>
      <c r="FT82" s="25">
        <v>11</v>
      </c>
      <c r="FU82" s="25">
        <v>50</v>
      </c>
      <c r="FV82" s="25">
        <v>1</v>
      </c>
      <c r="FW82" s="25">
        <v>34</v>
      </c>
      <c r="FX82" s="25">
        <v>32</v>
      </c>
      <c r="FY82" s="25">
        <v>0</v>
      </c>
      <c r="FZ82" s="25">
        <v>3</v>
      </c>
      <c r="GA82" s="25">
        <v>55</v>
      </c>
      <c r="GB82" s="25">
        <v>107</v>
      </c>
      <c r="GC82" s="25">
        <v>57</v>
      </c>
      <c r="GD82" s="25">
        <v>209</v>
      </c>
      <c r="GE82" s="25">
        <v>3</v>
      </c>
      <c r="GF82" s="25">
        <v>115</v>
      </c>
      <c r="GG82" s="25">
        <v>30</v>
      </c>
      <c r="GH82" s="25">
        <v>0</v>
      </c>
      <c r="GI82" s="25">
        <v>0</v>
      </c>
      <c r="GJ82" s="25">
        <v>0</v>
      </c>
      <c r="GK82" s="25">
        <v>30</v>
      </c>
      <c r="GL82" s="25">
        <v>21</v>
      </c>
      <c r="GM82" s="25">
        <v>1</v>
      </c>
      <c r="GN82" s="25">
        <v>31</v>
      </c>
      <c r="GO82" s="25">
        <v>0</v>
      </c>
      <c r="GP82" s="25">
        <v>4</v>
      </c>
      <c r="GQ82" s="25">
        <v>1</v>
      </c>
      <c r="GR82" s="25">
        <v>17</v>
      </c>
      <c r="GS82" s="25">
        <v>0</v>
      </c>
      <c r="GT82" s="25">
        <v>5</v>
      </c>
      <c r="GU82" s="25">
        <v>10348</v>
      </c>
      <c r="GV82" s="25">
        <v>4</v>
      </c>
      <c r="GW82" s="25">
        <v>2</v>
      </c>
      <c r="GX82" s="25">
        <v>0</v>
      </c>
      <c r="GY82" s="46">
        <v>308</v>
      </c>
      <c r="GZ82" s="25">
        <v>536</v>
      </c>
      <c r="HA82" s="25">
        <v>5</v>
      </c>
      <c r="HB82" s="25">
        <v>1</v>
      </c>
      <c r="HC82" s="25">
        <v>15</v>
      </c>
      <c r="HD82" s="25">
        <v>2</v>
      </c>
      <c r="HE82" s="25">
        <v>5</v>
      </c>
      <c r="HF82" s="25">
        <v>14</v>
      </c>
      <c r="HG82" s="25">
        <v>356</v>
      </c>
      <c r="HH82" s="25">
        <v>0</v>
      </c>
      <c r="HI82" s="25">
        <v>22</v>
      </c>
      <c r="HJ82" s="25">
        <v>8</v>
      </c>
      <c r="HK82" s="25">
        <v>0</v>
      </c>
      <c r="HL82" s="25">
        <v>1</v>
      </c>
      <c r="HM82" s="25">
        <v>3</v>
      </c>
      <c r="HN82" s="25">
        <v>0</v>
      </c>
      <c r="HO82" s="25">
        <v>1</v>
      </c>
      <c r="HP82" s="25">
        <v>0</v>
      </c>
      <c r="HQ82" s="25">
        <v>3747</v>
      </c>
      <c r="HR82" s="25">
        <v>4</v>
      </c>
      <c r="HS82" s="25">
        <v>7921</v>
      </c>
      <c r="HT82" s="25">
        <v>2</v>
      </c>
      <c r="HU82" s="25">
        <v>5</v>
      </c>
      <c r="HV82" s="25">
        <v>0</v>
      </c>
      <c r="HW82" s="25">
        <v>1</v>
      </c>
      <c r="HX82" s="25">
        <v>1</v>
      </c>
      <c r="HY82" s="25">
        <v>1</v>
      </c>
      <c r="HZ82" s="25">
        <v>0</v>
      </c>
      <c r="IA82" s="25">
        <v>0</v>
      </c>
      <c r="IB82" s="25">
        <v>0</v>
      </c>
      <c r="IC82" s="25">
        <v>2</v>
      </c>
      <c r="ID82" s="25">
        <v>0</v>
      </c>
      <c r="IE82" s="25">
        <v>0</v>
      </c>
      <c r="IF82" s="25">
        <v>0</v>
      </c>
      <c r="IG82" s="25">
        <v>0</v>
      </c>
      <c r="IH82" s="25">
        <v>1</v>
      </c>
      <c r="II82" s="25">
        <v>1</v>
      </c>
      <c r="IJ82" s="25">
        <v>0</v>
      </c>
      <c r="IK82" s="25">
        <v>3</v>
      </c>
      <c r="IL82" s="25">
        <v>0</v>
      </c>
      <c r="IM82" s="25">
        <v>0</v>
      </c>
      <c r="IN82" s="25">
        <v>0</v>
      </c>
      <c r="IO82" s="25">
        <v>1</v>
      </c>
      <c r="IP82" s="25">
        <v>1</v>
      </c>
      <c r="IQ82" s="25">
        <v>0</v>
      </c>
      <c r="IR82" s="25">
        <v>0</v>
      </c>
      <c r="IS82" s="25">
        <v>0</v>
      </c>
      <c r="IT82" s="25">
        <v>2</v>
      </c>
      <c r="IU82" s="25">
        <v>1</v>
      </c>
      <c r="IV82" s="25">
        <v>0</v>
      </c>
      <c r="IW82" s="25">
        <v>0</v>
      </c>
      <c r="IX82" s="25">
        <v>0</v>
      </c>
      <c r="IY82" s="25">
        <v>0</v>
      </c>
      <c r="IZ82" s="25">
        <v>0</v>
      </c>
      <c r="JA82" s="25">
        <v>0</v>
      </c>
      <c r="JB82" s="25">
        <v>0</v>
      </c>
      <c r="JC82" s="25">
        <v>0</v>
      </c>
      <c r="JD82" s="25">
        <v>0</v>
      </c>
      <c r="JE82" s="25">
        <v>0</v>
      </c>
      <c r="JF82" s="25">
        <v>0</v>
      </c>
      <c r="JG82" s="25">
        <v>0</v>
      </c>
      <c r="JH82" s="25">
        <v>0</v>
      </c>
      <c r="JI82" s="25">
        <v>3</v>
      </c>
      <c r="JJ82" s="25">
        <v>1</v>
      </c>
      <c r="JK82" s="25">
        <v>12</v>
      </c>
      <c r="JL82" s="25">
        <v>0</v>
      </c>
      <c r="JM82" s="25">
        <v>32</v>
      </c>
      <c r="JN82" s="25">
        <v>3</v>
      </c>
      <c r="JO82" s="25">
        <v>35</v>
      </c>
      <c r="JP82" s="25">
        <v>12</v>
      </c>
      <c r="JQ82" s="25">
        <v>238</v>
      </c>
      <c r="JR82" s="25">
        <v>80</v>
      </c>
      <c r="JS82" s="25">
        <v>112</v>
      </c>
      <c r="JT82" s="25">
        <v>12</v>
      </c>
      <c r="JU82" s="25">
        <v>12</v>
      </c>
      <c r="JV82" s="25">
        <v>164</v>
      </c>
      <c r="JW82" s="25">
        <v>163</v>
      </c>
      <c r="JX82" s="25">
        <v>1</v>
      </c>
      <c r="JY82" s="25">
        <v>9</v>
      </c>
      <c r="JZ82" s="25">
        <v>163</v>
      </c>
      <c r="KA82" s="25">
        <v>78</v>
      </c>
      <c r="KB82" s="25">
        <v>11</v>
      </c>
      <c r="KC82" s="25">
        <v>12</v>
      </c>
      <c r="KD82" s="25">
        <v>31</v>
      </c>
      <c r="KE82" s="25">
        <v>310</v>
      </c>
      <c r="KF82" s="25">
        <v>7</v>
      </c>
      <c r="KG82" s="25">
        <v>36</v>
      </c>
      <c r="KH82" s="25">
        <v>154</v>
      </c>
      <c r="KI82" s="25">
        <v>417</v>
      </c>
      <c r="KJ82" s="25">
        <v>18</v>
      </c>
      <c r="KK82" s="25">
        <v>26</v>
      </c>
      <c r="KL82" s="25">
        <v>22</v>
      </c>
      <c r="KM82" s="25">
        <v>6</v>
      </c>
      <c r="KN82" s="25">
        <v>5</v>
      </c>
      <c r="KO82" s="25">
        <v>38</v>
      </c>
      <c r="KP82" s="25">
        <v>3</v>
      </c>
      <c r="KQ82" s="25">
        <v>537</v>
      </c>
      <c r="KR82" s="25">
        <v>6</v>
      </c>
      <c r="KS82" s="25">
        <v>4730</v>
      </c>
      <c r="KT82" s="25">
        <v>21</v>
      </c>
      <c r="KU82" s="25">
        <v>3</v>
      </c>
      <c r="KV82" s="25">
        <v>81</v>
      </c>
      <c r="KW82" s="25">
        <v>34</v>
      </c>
      <c r="KX82" s="25">
        <v>21</v>
      </c>
      <c r="KY82" s="25">
        <v>90</v>
      </c>
      <c r="KZ82" s="25">
        <v>12</v>
      </c>
      <c r="LA82" s="25">
        <v>31</v>
      </c>
      <c r="LB82" s="25">
        <v>2</v>
      </c>
      <c r="LC82" s="25">
        <v>36</v>
      </c>
      <c r="LD82" s="25">
        <v>77</v>
      </c>
      <c r="LE82" s="25">
        <v>7</v>
      </c>
      <c r="LF82" s="25">
        <v>17</v>
      </c>
      <c r="LG82" s="25">
        <v>41</v>
      </c>
      <c r="LH82" s="25">
        <v>271</v>
      </c>
      <c r="LI82" s="25">
        <v>2</v>
      </c>
      <c r="LJ82" s="25">
        <v>38</v>
      </c>
      <c r="LK82" s="25">
        <v>0</v>
      </c>
      <c r="LL82" s="25">
        <v>0</v>
      </c>
      <c r="LM82" s="25">
        <v>3</v>
      </c>
      <c r="LN82" s="278">
        <f ca="1">$A82 - DeathsTimeS!Sweden100dt + 1</f>
        <v>15</v>
      </c>
      <c r="LO82" s="366">
        <f ca="1">INDEX(OFFSET(DeathsTimeS!HeadRow,ROW()-ROW(DeathsTimeS!HeadRow),0,1,COLUMNS(DeathsTimeS!HeadRow)),1,MATCH(LO$5,DeathsTimeS!HeadRow,0))/LO$8</f>
        <v>301.07526881720435</v>
      </c>
      <c r="LP82" s="278">
        <f ca="1">$A82 - DeathsTimeS!Spain100dt</f>
        <v>22</v>
      </c>
      <c r="LQ82" s="11">
        <f ca="1">INDEX(OFFSET(DeathsTimeS!HeadRow,ROW()-ROW(DeathsTimeS!HeadRow),0,1,COLUMNS(DeathsTimeS!HeadRow)),1,MATCH(LQ$5,DeathsTimeS!HeadRow,0))/LQ$8</f>
        <v>2204.5164039198976</v>
      </c>
      <c r="LR82" s="278">
        <f ca="1">$A82 - DeathsTimeS!Victoria100dt</f>
        <v>-1</v>
      </c>
      <c r="LS82" s="11">
        <f ca="1">INDEX(OFFSET(DeathsTimeS!HeadRow,ROW()-ROW(DeathsTimeS!HeadRow),0,1,COLUMNS(DeathsTimeS!HeadRow)),1,MATCH(LS$5,DeathsTimeS!HeadRow,0))/LS$8</f>
        <v>7.542615779152209</v>
      </c>
      <c r="LT82" s="278">
        <f ca="1">$A82 - DeathsTimeS!Iran100dt</f>
        <v>29</v>
      </c>
      <c r="LU82" s="11">
        <f ca="1">INDEX(OFFSET(DeathsTimeS!HeadRow,ROW()-ROW(DeathsTimeS!HeadRow),0,1,COLUMNS(DeathsTimeS!HeadRow)),1,MATCH(LU$5,DeathsTimeS!HeadRow,0))/LU$8</f>
        <v>377.20984087951967</v>
      </c>
      <c r="LV82" s="278">
        <f ca="1">$A82 - DeathsTimeS!Japan100dt</f>
        <v>-12</v>
      </c>
      <c r="LW82" s="11">
        <f ca="1">INDEX(OFFSET(DeathsTimeS!HeadRow,ROW()-ROW(DeathsTimeS!HeadRow),0,1,COLUMNS(DeathsTimeS!HeadRow)),1,MATCH(LW$5,DeathsTimeS!HeadRow,0))/LW$8</f>
        <v>4.8990865992811008</v>
      </c>
      <c r="LX82" s="278">
        <f ca="1">$A82 - DeathsTimeS!Queensland100dt</f>
        <v>-16</v>
      </c>
      <c r="LY82" s="11">
        <f ca="1">INDEX(OFFSET(DeathsTimeS!HeadRow,ROW()-ROW(DeathsTimeS!HeadRow),0,1,COLUMNS(DeathsTimeS!HeadRow)),1,MATCH(LY$5,DeathsTimeS!HeadRow,0))/LY$8</f>
        <v>7.8194473957428192</v>
      </c>
      <c r="LZ82" s="278">
        <f ca="1">$A82 - DeathsTimeS!Tasmania100dt</f>
        <v>2</v>
      </c>
      <c r="MA82" s="11">
        <f ca="1">INDEX(OFFSET(DeathsTimeS!HeadRow,ROW()-ROW(DeathsTimeS!HeadRow),0,1,COLUMNS(DeathsTimeS!HeadRow)),1,MATCH(MA$5,DeathsTimeS!HeadRow,0))/MA$8</f>
        <v>38.834951456310684</v>
      </c>
      <c r="MB82" s="278">
        <f ca="1">$A82 - DeathsTimeS!SouthAustralia100dt</f>
        <v>-6</v>
      </c>
      <c r="MC82" s="11">
        <f ca="1">INDEX(OFFSET(DeathsTimeS!HeadRow,ROW()-ROW(DeathsTimeS!HeadRow),0,1,COLUMNS(DeathsTimeS!HeadRow)),1,MATCH(MC$5,DeathsTimeS!HeadRow,0))/MC$8</f>
        <v>0</v>
      </c>
      <c r="MD82" s="278">
        <f ca="1">$A82 - DeathsTimeS!WesternAustralia100dt</f>
        <v>-3</v>
      </c>
      <c r="ME82" s="11">
        <f ca="1">INDEX(OFFSET(DeathsTimeS!HeadRow,ROW()-ROW(DeathsTimeS!HeadRow),0,1,COLUMNS(DeathsTimeS!HeadRow)),1,MATCH(ME$5,DeathsTimeS!HeadRow,0))/ME$8</f>
        <v>7.7249903437620695</v>
      </c>
      <c r="MF82" s="278">
        <f ca="1">$A82 - DeathsTimeS!NewSouthWales100dt</f>
        <v>1</v>
      </c>
      <c r="MG82" s="11">
        <f ca="1">INDEX(OFFSET(DeathsTimeS!HeadRow,ROW()-ROW(DeathsTimeS!HeadRow),0,1,COLUMNS(DeathsTimeS!HeadRow)),1,MATCH(MG$5,DeathsTimeS!HeadRow,0))/MG$8</f>
        <v>12.376237623762375</v>
      </c>
      <c r="MH82" s="278">
        <f ca="1">$A82 - DeathsTimeS!NewYork100dt</f>
        <v>17</v>
      </c>
      <c r="MI82" s="20">
        <f ca="1">INDEX(OFFSET(DeathsTimeS!HeadRow,ROW()-ROW(DeathsTimeS!HeadRow),0,1,COLUMNS(DeathsTimeS!HeadRow)),1,MATCH(MI$5,DeathsTimeS!HeadRow,0))/MI$8</f>
        <v>2001.8566903383751</v>
      </c>
      <c r="MJ82" s="278">
        <f ca="1">$A82 - DeathsTimeS!Italy100dt</f>
        <v>30</v>
      </c>
      <c r="MK82" s="20">
        <f ca="1">INDEX(OFFSET(DeathsTimeS!HeadRow,ROW()-ROW(DeathsTimeS!HeadRow),0,1,COLUMNS(DeathsTimeS!HeadRow)),1,MATCH(MK$5,DeathsTimeS!HeadRow,0))/MK$8</f>
        <v>2300.570389352732</v>
      </c>
      <c r="ML82" s="278">
        <f ca="1">$A82 - DeathsTimeS!AustralianCapitalTerritory100dt</f>
        <v>3</v>
      </c>
      <c r="MM82" s="11">
        <f ca="1">INDEX(OFFSET(DeathsTimeS!HeadRow,ROW()-ROW(DeathsTimeS!HeadRow),0,1,COLUMNS(DeathsTimeS!HeadRow)),1,MATCH(MM$5,DeathsTimeS!HeadRow,0))/MM$8</f>
        <v>23.361211045180585</v>
      </c>
      <c r="MN82" s="278">
        <f ca="1">IF(DeathsTimeS!NorthernTerritory100dt&gt;0,$A82 - DeathsTimeS!NorthernTerritory100dt,"")</f>
        <v>-25</v>
      </c>
      <c r="MO82" s="11">
        <f ca="1">INDEX(OFFSET(DeathsTimeS!HeadRow,ROW()-ROW(DeathsTimeS!HeadRow),0,1,COLUMNS(DeathsTimeS!HeadRow)),1,MATCH(MO$5,DeathsTimeS!HeadRow,0))/MO$8</f>
        <v>0</v>
      </c>
      <c r="MP82" s="278">
        <f ca="1">$A82 - DeathsTimeS!SouthAfrica100dt + 1</f>
        <v>-17</v>
      </c>
      <c r="MQ82" s="20">
        <f ca="1">INDEX(OFFSET(DeathsTimeS!HeadRow,ROW()-ROW(DeathsTimeS!HeadRow),0,1,COLUMNS(DeathsTimeS!HeadRow)),1,MATCH(MQ$5,DeathsTimeS!HeadRow,0))/MQ$8</f>
        <v>0.86535133264105235</v>
      </c>
      <c r="MR82" s="278">
        <f ca="1">$A82 - DeathsTimeS!Germany100dt + 1</f>
        <v>13</v>
      </c>
      <c r="MS82" s="20">
        <f ca="1">INDEX(OFFSET(DeathsTimeS!HeadRow,ROW()-ROW(DeathsTimeS!HeadRow),0,1,COLUMNS(DeathsTimeS!HeadRow)),1,MATCH(MS$5,DeathsTimeS!HeadRow,0))/MS$8</f>
        <v>133.34136352686102</v>
      </c>
      <c r="MT82" s="278">
        <f ca="1">$A82 - DeathsTimeS!Ireland100dt + 1</f>
        <v>11</v>
      </c>
      <c r="MU82" s="73">
        <f ca="1">INDEX(OFFSET(DeathsTimeS!HeadRow,ROW()-ROW(DeathsTimeS!HeadRow),0,1,COLUMNS(DeathsTimeS!HeadRow)),1,MATCH(MU$5,DeathsTimeS!HeadRow,0))/MU$8</f>
        <v>200</v>
      </c>
      <c r="MV82" s="278">
        <f ca="1">$A82 - DeathsTimeS!UnitedKingdom100dt + 1</f>
        <v>17</v>
      </c>
      <c r="MW82" s="73">
        <f ca="1">INDEX(OFFSET(DeathsTimeS!HeadRow,ROW()-ROW(DeathsTimeS!HeadRow),0,1,COLUMNS(DeathsTimeS!HeadRow)),1,MATCH(MW$5,DeathsTimeS!HeadRow,0))/MW$8</f>
        <v>563.96748946417824</v>
      </c>
      <c r="MX82" s="278">
        <f ca="1">$A82 - DeathsTimeS!Denmark100dt + 1</f>
        <v>15</v>
      </c>
      <c r="MY82" s="73">
        <f ca="1">INDEX(OFFSET(DeathsTimeS!HeadRow,ROW()-ROW(DeathsTimeS!HeadRow),0,1,COLUMNS(DeathsTimeS!HeadRow)),1,MATCH(MY$5,DeathsTimeS!HeadRow,0))/MY$8</f>
        <v>211.84981054081985</v>
      </c>
      <c r="MZ82" s="278">
        <f ca="1">$A82 - DeathsTimeS!US100dt + 1</f>
        <v>14</v>
      </c>
      <c r="NA82" s="73">
        <f ca="1">INDEX(OFFSET(DeathsTimeS!HeadRow,ROW()-ROW(DeathsTimeS!HeadRow),0,1,COLUMNS(DeathsTimeS!HeadRow)),1,MATCH(NA$5,DeathsTimeS!HeadRow,0))/NA$8</f>
        <v>240.5933307941792</v>
      </c>
      <c r="NB82" s="278">
        <f ca="1">$A82 - DeathsTimeS!AustraliaSum100dt + 1</f>
        <v>8</v>
      </c>
      <c r="NC82" s="366">
        <f t="shared" si="7"/>
        <v>24</v>
      </c>
      <c r="ND82" s="278">
        <f ca="1">$A82 - DeathsTimeS!Taiwan100dt + 1</f>
        <v>-24</v>
      </c>
      <c r="NE82" s="366">
        <f ca="1">INDEX(OFFSET(DeathsTimeS!HeadRow,ROW()-ROW(DeathsTimeS!HeadRow),0,1,COLUMNS(DeathsTimeS!HeadRow)),1,MATCH(NE$5,DeathsTimeS!HeadRow,0))/NE$8</f>
        <v>2.1001977462189929</v>
      </c>
      <c r="NF82" s="278">
        <f ca="1">$A82 - DeathsTimeS!Hubei100dt + 1</f>
        <v>67</v>
      </c>
      <c r="NG82" s="366">
        <f ca="1">INDEX(OFFSET(DeathsTimeS!HeadRow,ROW()-ROW(DeathsTimeS!HeadRow),0,1,COLUMNS(DeathsTimeS!HeadRow)),1,MATCH(NG$5,DeathsTimeS!HeadRow,0))/NG$8</f>
        <v>546.83760683760693</v>
      </c>
      <c r="NH82" s="278">
        <f ca="1">$A82 - DeathsTimeS!HongKong100dt + 1</f>
        <v>-24</v>
      </c>
      <c r="NI82" s="366">
        <f ca="1">INDEX(OFFSET(DeathsTimeS!HeadRow,ROW()-ROW(DeathsTimeS!HeadRow),0,1,COLUMNS(DeathsTimeS!HeadRow)),1,MATCH(NI$5,DeathsTimeS!HeadRow,0))/NI$8</f>
        <v>5.3684069252449333</v>
      </c>
    </row>
    <row r="83" spans="1:373" x14ac:dyDescent="0.25">
      <c r="A83" s="156">
        <v>43924</v>
      </c>
      <c r="B83" s="25">
        <v>6</v>
      </c>
      <c r="C83" s="25">
        <v>17</v>
      </c>
      <c r="D83" s="25">
        <v>105</v>
      </c>
      <c r="E83" s="25">
        <v>16</v>
      </c>
      <c r="F83" s="25">
        <v>2</v>
      </c>
      <c r="G83" s="25">
        <v>0</v>
      </c>
      <c r="H83" s="25">
        <v>39</v>
      </c>
      <c r="I83" s="25">
        <v>7</v>
      </c>
      <c r="J83" s="25">
        <v>1</v>
      </c>
      <c r="K83" s="25">
        <v>12</v>
      </c>
      <c r="L83" s="25">
        <v>0</v>
      </c>
      <c r="M83" s="25">
        <v>4</v>
      </c>
      <c r="N83" s="25">
        <v>0</v>
      </c>
      <c r="O83" s="25">
        <v>2</v>
      </c>
      <c r="P83" s="25">
        <v>7</v>
      </c>
      <c r="Q83" s="25">
        <v>2</v>
      </c>
      <c r="R83" s="25">
        <v>168</v>
      </c>
      <c r="S83" s="25">
        <v>5</v>
      </c>
      <c r="T83" s="25">
        <v>1</v>
      </c>
      <c r="U83" s="25">
        <v>4</v>
      </c>
      <c r="V83" s="25">
        <v>6</v>
      </c>
      <c r="W83" s="25">
        <v>0</v>
      </c>
      <c r="X83" s="25">
        <v>4</v>
      </c>
      <c r="Y83" s="25">
        <v>1143</v>
      </c>
      <c r="Z83" s="25">
        <v>0</v>
      </c>
      <c r="AA83" s="25">
        <v>0</v>
      </c>
      <c r="AB83" s="25">
        <v>9</v>
      </c>
      <c r="AC83" s="25">
        <v>17</v>
      </c>
      <c r="AD83" s="25">
        <v>359</v>
      </c>
      <c r="AE83" s="25">
        <v>1</v>
      </c>
      <c r="AF83" s="25">
        <v>14</v>
      </c>
      <c r="AG83" s="25">
        <v>16</v>
      </c>
      <c r="AH83" s="25">
        <v>1</v>
      </c>
      <c r="AI83" s="25">
        <v>0</v>
      </c>
      <c r="AJ83" s="25">
        <v>8</v>
      </c>
      <c r="AK83" s="25">
        <v>13</v>
      </c>
      <c r="AL83" s="25">
        <v>31</v>
      </c>
      <c r="AM83" s="25">
        <v>0</v>
      </c>
      <c r="AN83" s="25">
        <v>2</v>
      </c>
      <c r="AO83" s="25">
        <v>0</v>
      </c>
      <c r="AP83" s="25">
        <v>1</v>
      </c>
      <c r="AQ83" s="25">
        <v>0</v>
      </c>
      <c r="AR83" s="25">
        <v>67</v>
      </c>
      <c r="AS83" s="25">
        <v>0</v>
      </c>
      <c r="AT83" s="25">
        <v>61</v>
      </c>
      <c r="AU83" s="25">
        <v>3</v>
      </c>
      <c r="AV83" s="25">
        <v>0</v>
      </c>
      <c r="AW83" s="25">
        <v>0</v>
      </c>
      <c r="AX83" s="25">
        <v>22</v>
      </c>
      <c r="AY83" s="25">
        <v>6</v>
      </c>
      <c r="AZ83" s="25">
        <v>8</v>
      </c>
      <c r="BA83" s="25">
        <v>6</v>
      </c>
      <c r="BB83" s="25">
        <v>1</v>
      </c>
      <c r="BC83" s="25">
        <v>2</v>
      </c>
      <c r="BD83" s="25">
        <v>8</v>
      </c>
      <c r="BE83" s="25">
        <v>2</v>
      </c>
      <c r="BF83" s="25">
        <v>2</v>
      </c>
      <c r="BG83" s="25">
        <v>6</v>
      </c>
      <c r="BH83" s="25">
        <v>6</v>
      </c>
      <c r="BI83" s="25">
        <v>13</v>
      </c>
      <c r="BJ83" s="25">
        <v>22</v>
      </c>
      <c r="BK83" s="25">
        <v>4</v>
      </c>
      <c r="BL83" s="25">
        <v>3203</v>
      </c>
      <c r="BM83" s="25">
        <v>4</v>
      </c>
      <c r="BN83" s="25">
        <v>1</v>
      </c>
      <c r="BO83" s="25">
        <v>0</v>
      </c>
      <c r="BP83" s="25">
        <v>1</v>
      </c>
      <c r="BQ83" s="25">
        <v>1</v>
      </c>
      <c r="BR83" s="25">
        <v>2</v>
      </c>
      <c r="BS83" s="25">
        <v>0</v>
      </c>
      <c r="BT83" s="25">
        <v>0</v>
      </c>
      <c r="BU83" s="25">
        <v>0</v>
      </c>
      <c r="BV83" s="25">
        <v>3</v>
      </c>
      <c r="BW83" s="25">
        <v>7</v>
      </c>
      <c r="BX83" s="25">
        <v>6</v>
      </c>
      <c r="BY83" s="25">
        <v>0</v>
      </c>
      <c r="BZ83" s="25">
        <v>3</v>
      </c>
      <c r="CA83" s="25">
        <v>3</v>
      </c>
      <c r="CB83" s="25">
        <v>0</v>
      </c>
      <c r="CC83" s="25">
        <v>3</v>
      </c>
      <c r="CD83" s="25">
        <v>2</v>
      </c>
      <c r="CE83" s="25">
        <v>1</v>
      </c>
      <c r="CF83" s="25">
        <v>25</v>
      </c>
      <c r="CG83" s="25">
        <v>2</v>
      </c>
      <c r="CH83" s="25">
        <v>13</v>
      </c>
      <c r="CI83" s="25">
        <v>2</v>
      </c>
      <c r="CJ83" s="25">
        <v>1</v>
      </c>
      <c r="CK83" s="25">
        <v>8</v>
      </c>
      <c r="CL83" s="25">
        <v>11</v>
      </c>
      <c r="CM83" s="25">
        <v>6</v>
      </c>
      <c r="CN83" s="25">
        <v>11</v>
      </c>
      <c r="CO83" s="25">
        <v>53</v>
      </c>
      <c r="CP83" s="25">
        <v>0</v>
      </c>
      <c r="CQ83" s="25">
        <v>0</v>
      </c>
      <c r="CR83" s="25">
        <v>139</v>
      </c>
      <c r="CS83" s="25">
        <v>0</v>
      </c>
      <c r="CT83" s="25">
        <v>68</v>
      </c>
      <c r="CU83" s="25">
        <v>145</v>
      </c>
      <c r="CV83" s="25">
        <v>66</v>
      </c>
      <c r="CW83" s="25">
        <v>2</v>
      </c>
      <c r="CX83" s="25">
        <v>0</v>
      </c>
      <c r="CY83" s="25">
        <v>0</v>
      </c>
      <c r="CZ83" s="25">
        <v>12</v>
      </c>
      <c r="DA83" s="25">
        <v>0</v>
      </c>
      <c r="DB83" s="25">
        <v>0</v>
      </c>
      <c r="DC83" s="25">
        <v>0</v>
      </c>
      <c r="DD83" s="25">
        <v>20</v>
      </c>
      <c r="DE83" s="25">
        <v>0</v>
      </c>
      <c r="DF83" s="25">
        <v>0</v>
      </c>
      <c r="DG83" s="25">
        <v>7</v>
      </c>
      <c r="DH83" s="25">
        <v>2</v>
      </c>
      <c r="DI83" s="25">
        <v>0</v>
      </c>
      <c r="DJ83" s="25">
        <v>0</v>
      </c>
      <c r="DK83" s="25">
        <v>0</v>
      </c>
      <c r="DL83" s="25">
        <v>1</v>
      </c>
      <c r="DM83" s="25">
        <v>3</v>
      </c>
      <c r="DN83" s="25">
        <v>6507</v>
      </c>
      <c r="DO83" s="25">
        <v>1</v>
      </c>
      <c r="DP83" s="25">
        <v>1</v>
      </c>
      <c r="DQ83" s="25">
        <v>0</v>
      </c>
      <c r="DR83" s="25">
        <v>1275</v>
      </c>
      <c r="DS83" s="25">
        <v>5</v>
      </c>
      <c r="DT83" s="25">
        <v>63</v>
      </c>
      <c r="DU83" s="25">
        <v>1</v>
      </c>
      <c r="DV83" s="25">
        <v>0</v>
      </c>
      <c r="DW83" s="25">
        <v>4</v>
      </c>
      <c r="DX83" s="25">
        <v>0</v>
      </c>
      <c r="DY83" s="25">
        <v>0</v>
      </c>
      <c r="DZ83" s="25">
        <v>15</v>
      </c>
      <c r="EA83" s="25">
        <v>26</v>
      </c>
      <c r="EB83" s="25">
        <v>4</v>
      </c>
      <c r="EC83" s="25">
        <v>72</v>
      </c>
      <c r="ED83" s="25">
        <v>181</v>
      </c>
      <c r="EE83" s="25">
        <v>3294</v>
      </c>
      <c r="EF83" s="25">
        <v>54</v>
      </c>
      <c r="EG83" s="25">
        <v>120</v>
      </c>
      <c r="EH83" s="25">
        <v>40</v>
      </c>
      <c r="EI83" s="25">
        <v>14681</v>
      </c>
      <c r="EJ83" s="25">
        <v>3</v>
      </c>
      <c r="EK83" s="25">
        <v>63</v>
      </c>
      <c r="EL83" s="25">
        <v>5</v>
      </c>
      <c r="EM83" s="25">
        <v>6</v>
      </c>
      <c r="EN83" s="25">
        <v>4</v>
      </c>
      <c r="EO83" s="25">
        <v>174</v>
      </c>
      <c r="EP83" s="25">
        <v>0</v>
      </c>
      <c r="EQ83" s="25">
        <v>1</v>
      </c>
      <c r="ER83" s="25">
        <v>1</v>
      </c>
      <c r="ES83" s="25">
        <v>17</v>
      </c>
      <c r="ET83" s="25">
        <v>0</v>
      </c>
      <c r="EU83" s="25">
        <v>0</v>
      </c>
      <c r="EV83" s="25">
        <v>9</v>
      </c>
      <c r="EW83" s="25">
        <v>31</v>
      </c>
      <c r="EX83" s="25">
        <v>0</v>
      </c>
      <c r="EY83" s="25">
        <v>53</v>
      </c>
      <c r="EZ83" s="25">
        <v>0</v>
      </c>
      <c r="FA83" s="25">
        <v>0</v>
      </c>
      <c r="FB83" s="25">
        <v>1</v>
      </c>
      <c r="FC83" s="25">
        <v>7</v>
      </c>
      <c r="FD83" s="25">
        <v>60</v>
      </c>
      <c r="FE83" s="25">
        <v>8</v>
      </c>
      <c r="FF83" s="25">
        <v>1</v>
      </c>
      <c r="FG83" s="25">
        <v>0</v>
      </c>
      <c r="FH83" s="25">
        <v>2</v>
      </c>
      <c r="FI83" s="25">
        <v>48</v>
      </c>
      <c r="FJ83" s="25">
        <v>0</v>
      </c>
      <c r="FK83" s="25">
        <v>0</v>
      </c>
      <c r="FL83" s="25">
        <v>0</v>
      </c>
      <c r="FM83" s="25">
        <v>1</v>
      </c>
      <c r="FN83" s="25">
        <v>2</v>
      </c>
      <c r="FO83" s="25">
        <v>1487</v>
      </c>
      <c r="FP83" s="25">
        <v>1</v>
      </c>
      <c r="FQ83" s="25">
        <v>1</v>
      </c>
      <c r="FR83" s="25">
        <v>5</v>
      </c>
      <c r="FS83" s="25">
        <v>4</v>
      </c>
      <c r="FT83" s="25">
        <v>12</v>
      </c>
      <c r="FU83" s="25">
        <v>59</v>
      </c>
      <c r="FV83" s="25">
        <v>1</v>
      </c>
      <c r="FW83" s="25">
        <v>40</v>
      </c>
      <c r="FX83" s="25">
        <v>37</v>
      </c>
      <c r="FY83" s="25">
        <v>0</v>
      </c>
      <c r="FZ83" s="25">
        <v>3</v>
      </c>
      <c r="GA83" s="25">
        <v>61</v>
      </c>
      <c r="GB83" s="25">
        <v>136</v>
      </c>
      <c r="GC83" s="25">
        <v>71</v>
      </c>
      <c r="GD83" s="25">
        <v>246</v>
      </c>
      <c r="GE83" s="25">
        <v>3</v>
      </c>
      <c r="GF83" s="25">
        <v>133</v>
      </c>
      <c r="GG83" s="25">
        <v>34</v>
      </c>
      <c r="GH83" s="25">
        <v>0</v>
      </c>
      <c r="GI83" s="25">
        <v>0</v>
      </c>
      <c r="GJ83" s="25">
        <v>0</v>
      </c>
      <c r="GK83" s="25">
        <v>30</v>
      </c>
      <c r="GL83" s="25">
        <v>25</v>
      </c>
      <c r="GM83" s="25">
        <v>1</v>
      </c>
      <c r="GN83" s="25">
        <v>39</v>
      </c>
      <c r="GO83" s="25">
        <v>0</v>
      </c>
      <c r="GP83" s="25">
        <v>5</v>
      </c>
      <c r="GQ83" s="25">
        <v>1</v>
      </c>
      <c r="GR83" s="25">
        <v>20</v>
      </c>
      <c r="GS83" s="25">
        <v>0</v>
      </c>
      <c r="GT83" s="25">
        <v>9</v>
      </c>
      <c r="GU83" s="25">
        <v>11198</v>
      </c>
      <c r="GV83" s="25">
        <v>4</v>
      </c>
      <c r="GW83" s="25">
        <v>2</v>
      </c>
      <c r="GX83" s="25">
        <v>1</v>
      </c>
      <c r="GY83" s="46">
        <v>358</v>
      </c>
      <c r="GZ83" s="25">
        <v>591</v>
      </c>
      <c r="HA83" s="25">
        <v>5</v>
      </c>
      <c r="HB83" s="25">
        <v>1</v>
      </c>
      <c r="HC83" s="25">
        <v>19</v>
      </c>
      <c r="HD83" s="25">
        <v>3</v>
      </c>
      <c r="HE83" s="25">
        <v>6</v>
      </c>
      <c r="HF83" s="25">
        <v>18</v>
      </c>
      <c r="HG83" s="25">
        <v>425</v>
      </c>
      <c r="HH83" s="25">
        <v>0</v>
      </c>
      <c r="HI83" s="25">
        <v>27</v>
      </c>
      <c r="HJ83" s="25">
        <v>9</v>
      </c>
      <c r="HK83" s="25">
        <v>0</v>
      </c>
      <c r="HL83" s="25">
        <v>1</v>
      </c>
      <c r="HM83" s="25">
        <v>4</v>
      </c>
      <c r="HN83" s="25">
        <v>0</v>
      </c>
      <c r="HO83" s="25">
        <v>1</v>
      </c>
      <c r="HP83" s="25">
        <v>0</v>
      </c>
      <c r="HQ83" s="25">
        <v>4461</v>
      </c>
      <c r="HR83" s="25">
        <v>4</v>
      </c>
      <c r="HS83" s="25">
        <v>9246</v>
      </c>
      <c r="HT83" s="25">
        <v>2</v>
      </c>
      <c r="HU83" s="25">
        <v>7</v>
      </c>
      <c r="HV83" s="25">
        <v>0</v>
      </c>
      <c r="HW83" s="25">
        <v>1</v>
      </c>
      <c r="HX83" s="25">
        <v>1</v>
      </c>
      <c r="HY83" s="25">
        <v>1</v>
      </c>
      <c r="HZ83" s="25">
        <v>0</v>
      </c>
      <c r="IA83" s="25">
        <v>0</v>
      </c>
      <c r="IB83" s="25">
        <v>0</v>
      </c>
      <c r="IC83" s="25">
        <v>2</v>
      </c>
      <c r="ID83" s="25">
        <v>0</v>
      </c>
      <c r="IE83" s="25">
        <v>0</v>
      </c>
      <c r="IF83" s="25">
        <v>0</v>
      </c>
      <c r="IG83" s="25">
        <v>0</v>
      </c>
      <c r="IH83" s="25">
        <v>1</v>
      </c>
      <c r="II83" s="25">
        <v>1</v>
      </c>
      <c r="IJ83" s="25">
        <v>0</v>
      </c>
      <c r="IK83" s="25">
        <v>3</v>
      </c>
      <c r="IL83" s="25">
        <v>0</v>
      </c>
      <c r="IM83" s="25">
        <v>0</v>
      </c>
      <c r="IN83" s="25">
        <v>0</v>
      </c>
      <c r="IO83" s="25">
        <v>1</v>
      </c>
      <c r="IP83" s="25">
        <v>1</v>
      </c>
      <c r="IQ83" s="25">
        <v>0</v>
      </c>
      <c r="IR83" s="25">
        <v>0</v>
      </c>
      <c r="IS83" s="25">
        <v>0</v>
      </c>
      <c r="IT83" s="25">
        <v>2</v>
      </c>
      <c r="IU83" s="25">
        <v>1</v>
      </c>
      <c r="IV83" s="25">
        <v>0</v>
      </c>
      <c r="IW83" s="25">
        <v>0</v>
      </c>
      <c r="IX83" s="25">
        <v>0</v>
      </c>
      <c r="IY83" s="25">
        <v>0</v>
      </c>
      <c r="IZ83" s="25">
        <v>0</v>
      </c>
      <c r="JA83" s="25">
        <v>0</v>
      </c>
      <c r="JB83" s="25">
        <v>0</v>
      </c>
      <c r="JC83" s="25">
        <v>0</v>
      </c>
      <c r="JD83" s="25">
        <v>0</v>
      </c>
      <c r="JE83" s="25">
        <v>0</v>
      </c>
      <c r="JF83" s="25">
        <v>0</v>
      </c>
      <c r="JG83" s="25">
        <v>0</v>
      </c>
      <c r="JH83" s="25">
        <v>0</v>
      </c>
      <c r="JI83" s="25">
        <v>4</v>
      </c>
      <c r="JJ83" s="25">
        <v>1</v>
      </c>
      <c r="JK83" s="25">
        <v>15</v>
      </c>
      <c r="JL83" s="25">
        <v>0</v>
      </c>
      <c r="JM83" s="25">
        <v>38</v>
      </c>
      <c r="JN83" s="25">
        <v>3</v>
      </c>
      <c r="JO83" s="25">
        <v>44</v>
      </c>
      <c r="JP83" s="25">
        <v>12</v>
      </c>
      <c r="JQ83" s="25">
        <v>265</v>
      </c>
      <c r="JR83" s="25">
        <v>97</v>
      </c>
      <c r="JS83" s="25">
        <v>131</v>
      </c>
      <c r="JT83" s="25">
        <v>14</v>
      </c>
      <c r="JU83" s="25">
        <v>15</v>
      </c>
      <c r="JV83" s="25">
        <v>170</v>
      </c>
      <c r="JW83" s="25">
        <v>184</v>
      </c>
      <c r="JX83" s="25">
        <v>3</v>
      </c>
      <c r="JY83" s="25">
        <v>9</v>
      </c>
      <c r="JZ83" s="25">
        <v>210</v>
      </c>
      <c r="KA83" s="25">
        <v>102</v>
      </c>
      <c r="KB83" s="25">
        <v>11</v>
      </c>
      <c r="KC83" s="25">
        <v>18</v>
      </c>
      <c r="KD83" s="25">
        <v>34</v>
      </c>
      <c r="KE83" s="25">
        <v>370</v>
      </c>
      <c r="KF83" s="25">
        <v>9</v>
      </c>
      <c r="KG83" s="25">
        <v>43</v>
      </c>
      <c r="KH83" s="25">
        <v>192</v>
      </c>
      <c r="KI83" s="25">
        <v>479</v>
      </c>
      <c r="KJ83" s="25">
        <v>22</v>
      </c>
      <c r="KK83" s="25">
        <v>29</v>
      </c>
      <c r="KL83" s="25">
        <v>25</v>
      </c>
      <c r="KM83" s="25">
        <v>5</v>
      </c>
      <c r="KN83" s="25">
        <v>6</v>
      </c>
      <c r="KO83" s="25">
        <v>43</v>
      </c>
      <c r="KP83" s="25">
        <v>5</v>
      </c>
      <c r="KQ83" s="25">
        <v>646</v>
      </c>
      <c r="KR83" s="25">
        <v>10</v>
      </c>
      <c r="KS83" s="25">
        <v>5418</v>
      </c>
      <c r="KT83" s="25">
        <v>27</v>
      </c>
      <c r="KU83" s="25">
        <v>3</v>
      </c>
      <c r="KV83" s="25">
        <v>91</v>
      </c>
      <c r="KW83" s="25">
        <v>38</v>
      </c>
      <c r="KX83" s="25">
        <v>22</v>
      </c>
      <c r="KY83" s="25">
        <v>102</v>
      </c>
      <c r="KZ83" s="25">
        <v>14</v>
      </c>
      <c r="LA83" s="25">
        <v>34</v>
      </c>
      <c r="LB83" s="25">
        <v>2</v>
      </c>
      <c r="LC83" s="25">
        <v>41</v>
      </c>
      <c r="LD83" s="25">
        <v>100</v>
      </c>
      <c r="LE83" s="25">
        <v>7</v>
      </c>
      <c r="LF83" s="25">
        <v>17</v>
      </c>
      <c r="LG83" s="25">
        <v>46</v>
      </c>
      <c r="LH83" s="25">
        <v>291</v>
      </c>
      <c r="LI83" s="25">
        <v>2</v>
      </c>
      <c r="LJ83" s="25">
        <v>51</v>
      </c>
      <c r="LK83" s="25">
        <v>0</v>
      </c>
      <c r="LL83" s="25">
        <v>0</v>
      </c>
      <c r="LM83" s="25">
        <v>3</v>
      </c>
      <c r="LN83" s="278">
        <f ca="1">$A83 - DeathsTimeS!Sweden100dt + 1</f>
        <v>16</v>
      </c>
      <c r="LO83" s="366">
        <f ca="1">INDEX(OFFSET(DeathsTimeS!HeadRow,ROW()-ROW(DeathsTimeS!HeadRow),0,1,COLUMNS(DeathsTimeS!HeadRow)),1,MATCH(LO$5,DeathsTimeS!HeadRow,0))/LO$8</f>
        <v>349.95112414467258</v>
      </c>
      <c r="LP83" s="278">
        <f ca="1">$A83 - DeathsTimeS!Spain100dt</f>
        <v>23</v>
      </c>
      <c r="LQ83" s="11">
        <f ca="1">INDEX(OFFSET(DeathsTimeS!HeadRow,ROW()-ROW(DeathsTimeS!HeadRow),0,1,COLUMNS(DeathsTimeS!HeadRow)),1,MATCH(LQ$5,DeathsTimeS!HeadRow,0))/LQ$8</f>
        <v>2385.5986365573071</v>
      </c>
      <c r="LR83" s="278">
        <f ca="1">$A83 - DeathsTimeS!Victoria100dt</f>
        <v>0</v>
      </c>
      <c r="LS83" s="11">
        <f ca="1">INDEX(OFFSET(DeathsTimeS!HeadRow,ROW()-ROW(DeathsTimeS!HeadRow),0,1,COLUMNS(DeathsTimeS!HeadRow)),1,MATCH(LS$5,DeathsTimeS!HeadRow,0))/LS$8</f>
        <v>10.559662090813093</v>
      </c>
      <c r="LT83" s="278">
        <f ca="1">$A83 - DeathsTimeS!Iran100dt</f>
        <v>30</v>
      </c>
      <c r="LU83" s="11">
        <f ca="1">INDEX(OFFSET(DeathsTimeS!HeadRow,ROW()-ROW(DeathsTimeS!HeadRow),0,1,COLUMNS(DeathsTimeS!HeadRow)),1,MATCH(LU$5,DeathsTimeS!HeadRow,0))/LU$8</f>
        <v>393.20544805605624</v>
      </c>
      <c r="LV83" s="278">
        <f ca="1">$A83 - DeathsTimeS!Japan100dt</f>
        <v>-11</v>
      </c>
      <c r="LW83" s="11">
        <f ca="1">INDEX(OFFSET(DeathsTimeS!HeadRow,ROW()-ROW(DeathsTimeS!HeadRow),0,1,COLUMNS(DeathsTimeS!HeadRow)),1,MATCH(LW$5,DeathsTimeS!HeadRow,0))/LW$8</f>
        <v>4.9781041250759568</v>
      </c>
      <c r="LX83" s="278">
        <f ca="1">$A83 - DeathsTimeS!Queensland100dt</f>
        <v>-15</v>
      </c>
      <c r="LY83" s="11">
        <f ca="1">INDEX(OFFSET(DeathsTimeS!HeadRow,ROW()-ROW(DeathsTimeS!HeadRow),0,1,COLUMNS(DeathsTimeS!HeadRow)),1,MATCH(LY$5,DeathsTimeS!HeadRow,0))/LY$8</f>
        <v>7.8194473957428192</v>
      </c>
      <c r="LZ83" s="278">
        <f ca="1">$A83 - DeathsTimeS!Tasmania100dt</f>
        <v>3</v>
      </c>
      <c r="MA83" s="11">
        <f ca="1">INDEX(OFFSET(DeathsTimeS!HeadRow,ROW()-ROW(DeathsTimeS!HeadRow),0,1,COLUMNS(DeathsTimeS!HeadRow)),1,MATCH(MA$5,DeathsTimeS!HeadRow,0))/MA$8</f>
        <v>38.834951456310684</v>
      </c>
      <c r="MB83" s="278">
        <f ca="1">$A83 - DeathsTimeS!SouthAustralia100dt</f>
        <v>-5</v>
      </c>
      <c r="MC83" s="11">
        <f ca="1">INDEX(OFFSET(DeathsTimeS!HeadRow,ROW()-ROW(DeathsTimeS!HeadRow),0,1,COLUMNS(DeathsTimeS!HeadRow)),1,MATCH(MC$5,DeathsTimeS!HeadRow,0))/MC$8</f>
        <v>0</v>
      </c>
      <c r="MD83" s="278">
        <f ca="1">$A83 - DeathsTimeS!WesternAustralia100dt</f>
        <v>-2</v>
      </c>
      <c r="ME83" s="11">
        <f ca="1">INDEX(OFFSET(DeathsTimeS!HeadRow,ROW()-ROW(DeathsTimeS!HeadRow),0,1,COLUMNS(DeathsTimeS!HeadRow)),1,MATCH(ME$5,DeathsTimeS!HeadRow,0))/ME$8</f>
        <v>7.7249903437620695</v>
      </c>
      <c r="MF83" s="278">
        <f ca="1">$A83 - DeathsTimeS!NewSouthWales100dt</f>
        <v>2</v>
      </c>
      <c r="MG83" s="11">
        <f ca="1">INDEX(OFFSET(DeathsTimeS!HeadRow,ROW()-ROW(DeathsTimeS!HeadRow),0,1,COLUMNS(DeathsTimeS!HeadRow)),1,MATCH(MG$5,DeathsTimeS!HeadRow,0))/MG$8</f>
        <v>14.85148514851485</v>
      </c>
      <c r="MH83" s="278">
        <f ca="1">$A83 - DeathsTimeS!NewYork100dt</f>
        <v>18</v>
      </c>
      <c r="MI83" s="20">
        <f ca="1">INDEX(OFFSET(DeathsTimeS!HeadRow,ROW()-ROW(DeathsTimeS!HeadRow),0,1,COLUMNS(DeathsTimeS!HeadRow)),1,MATCH(MI$5,DeathsTimeS!HeadRow,0))/MI$8</f>
        <v>2293.0358452966843</v>
      </c>
      <c r="MJ83" s="278">
        <f ca="1">$A83 - DeathsTimeS!Italy100dt</f>
        <v>31</v>
      </c>
      <c r="MK83" s="20">
        <f ca="1">INDEX(OFFSET(DeathsTimeS!HeadRow,ROW()-ROW(DeathsTimeS!HeadRow),0,1,COLUMNS(DeathsTimeS!HeadRow)),1,MATCH(MK$5,DeathsTimeS!HeadRow,0))/MK$8</f>
        <v>2427.2133586839714</v>
      </c>
      <c r="ML83" s="278">
        <f ca="1">$A83 - DeathsTimeS!AustralianCapitalTerritory100dt</f>
        <v>4</v>
      </c>
      <c r="MM83" s="11">
        <f ca="1">INDEX(OFFSET(DeathsTimeS!HeadRow,ROW()-ROW(DeathsTimeS!HeadRow),0,1,COLUMNS(DeathsTimeS!HeadRow)),1,MATCH(MM$5,DeathsTimeS!HeadRow,0))/MM$8</f>
        <v>23.361211045180585</v>
      </c>
      <c r="MN83" s="278">
        <f ca="1">IF(DeathsTimeS!NorthernTerritory100dt&gt;0,$A83 - DeathsTimeS!NorthernTerritory100dt,"")</f>
        <v>-24</v>
      </c>
      <c r="MO83" s="11">
        <f ca="1">INDEX(OFFSET(DeathsTimeS!HeadRow,ROW()-ROW(DeathsTimeS!HeadRow),0,1,COLUMNS(DeathsTimeS!HeadRow)),1,MATCH(MO$5,DeathsTimeS!HeadRow,0))/MO$8</f>
        <v>0</v>
      </c>
      <c r="MP83" s="278">
        <f ca="1">$A83 - DeathsTimeS!SouthAfrica100dt + 1</f>
        <v>-16</v>
      </c>
      <c r="MQ83" s="20">
        <f ca="1">INDEX(OFFSET(DeathsTimeS!HeadRow,ROW()-ROW(DeathsTimeS!HeadRow),0,1,COLUMNS(DeathsTimeS!HeadRow)),1,MATCH(MQ$5,DeathsTimeS!HeadRow,0))/MQ$8</f>
        <v>1.5576323987538943</v>
      </c>
      <c r="MR83" s="278">
        <f ca="1">$A83 - DeathsTimeS!Germany100dt + 1</f>
        <v>14</v>
      </c>
      <c r="MS83" s="20">
        <f ca="1">INDEX(OFFSET(DeathsTimeS!HeadRow,ROW()-ROW(DeathsTimeS!HeadRow),0,1,COLUMNS(DeathsTimeS!HeadRow)),1,MATCH(MS$5,DeathsTimeS!HeadRow,0))/MS$8</f>
        <v>153.57745121657433</v>
      </c>
      <c r="MT83" s="278">
        <f ca="1">$A83 - DeathsTimeS!Ireland100dt + 1</f>
        <v>12</v>
      </c>
      <c r="MU83" s="73">
        <f ca="1">INDEX(OFFSET(DeathsTimeS!HeadRow,ROW()-ROW(DeathsTimeS!HeadRow),0,1,COLUMNS(DeathsTimeS!HeadRow)),1,MATCH(MU$5,DeathsTimeS!HeadRow,0))/MU$8</f>
        <v>244.89795918367346</v>
      </c>
      <c r="MV83" s="278">
        <f ca="1">$A83 - DeathsTimeS!UnitedKingdom100dt + 1</f>
        <v>18</v>
      </c>
      <c r="MW83" s="73">
        <f ca="1">INDEX(OFFSET(DeathsTimeS!HeadRow,ROW()-ROW(DeathsTimeS!HeadRow),0,1,COLUMNS(DeathsTimeS!HeadRow)),1,MATCH(MW$5,DeathsTimeS!HeadRow,0))/MW$8</f>
        <v>671.43287176399758</v>
      </c>
      <c r="MX83" s="278">
        <f ca="1">$A83 - DeathsTimeS!Denmark100dt + 1</f>
        <v>16</v>
      </c>
      <c r="MY83" s="73">
        <f ca="1">INDEX(OFFSET(DeathsTimeS!HeadRow,ROW()-ROW(DeathsTimeS!HeadRow),0,1,COLUMNS(DeathsTimeS!HeadRow)),1,MATCH(MY$5,DeathsTimeS!HeadRow,0))/MY$8</f>
        <v>239.40750947295899</v>
      </c>
      <c r="MZ83" s="278">
        <f ca="1">$A83 - DeathsTimeS!US100dt + 1</f>
        <v>15</v>
      </c>
      <c r="NA83" s="73">
        <f ca="1">INDEX(OFFSET(DeathsTimeS!HeadRow,ROW()-ROW(DeathsTimeS!HeadRow),0,1,COLUMNS(DeathsTimeS!HeadRow)),1,MATCH(NA$5,DeathsTimeS!HeadRow,0))/NA$8</f>
        <v>280.83902746155547</v>
      </c>
      <c r="NB83" s="278">
        <f ca="1">$A83 - DeathsTimeS!AustraliaSum100dt + 1</f>
        <v>9</v>
      </c>
      <c r="NC83" s="366">
        <f t="shared" si="7"/>
        <v>28</v>
      </c>
      <c r="ND83" s="278">
        <f ca="1">$A83 - DeathsTimeS!Taiwan100dt + 1</f>
        <v>-23</v>
      </c>
      <c r="NE83" s="366">
        <f ca="1">INDEX(OFFSET(DeathsTimeS!HeadRow,ROW()-ROW(DeathsTimeS!HeadRow),0,1,COLUMNS(DeathsTimeS!HeadRow)),1,MATCH(NE$5,DeathsTimeS!HeadRow,0))/NE$8</f>
        <v>2.1001977462189929</v>
      </c>
      <c r="NF83" s="278">
        <f ca="1">$A83 - DeathsTimeS!Hubei100dt + 1</f>
        <v>68</v>
      </c>
      <c r="NG83" s="366">
        <f ca="1">INDEX(OFFSET(DeathsTimeS!HeadRow,ROW()-ROW(DeathsTimeS!HeadRow),0,1,COLUMNS(DeathsTimeS!HeadRow)),1,MATCH(NG$5,DeathsTimeS!HeadRow,0))/NG$8</f>
        <v>547.52136752136755</v>
      </c>
      <c r="NH83" s="278">
        <f ca="1">$A83 - DeathsTimeS!HongKong100dt + 1</f>
        <v>-23</v>
      </c>
      <c r="NI83" s="366">
        <f ca="1">INDEX(OFFSET(DeathsTimeS!HeadRow,ROW()-ROW(DeathsTimeS!HeadRow),0,1,COLUMNS(DeathsTimeS!HeadRow)),1,MATCH(NI$5,DeathsTimeS!HeadRow,0))/NI$8</f>
        <v>5.3684069252449333</v>
      </c>
    </row>
    <row r="84" spans="1:373" x14ac:dyDescent="0.25">
      <c r="A84" s="156">
        <v>43925</v>
      </c>
      <c r="B84" s="25">
        <v>7</v>
      </c>
      <c r="C84" s="25">
        <v>20</v>
      </c>
      <c r="D84" s="25">
        <v>130</v>
      </c>
      <c r="E84" s="25">
        <v>17</v>
      </c>
      <c r="F84" s="25">
        <v>2</v>
      </c>
      <c r="G84" s="25">
        <v>0</v>
      </c>
      <c r="H84" s="25">
        <v>43</v>
      </c>
      <c r="I84" s="25">
        <v>7</v>
      </c>
      <c r="J84" s="25">
        <v>2</v>
      </c>
      <c r="K84" s="25">
        <v>12</v>
      </c>
      <c r="L84" s="25">
        <v>0</v>
      </c>
      <c r="M84" s="25">
        <v>4</v>
      </c>
      <c r="N84" s="25">
        <v>0</v>
      </c>
      <c r="O84" s="25">
        <v>2</v>
      </c>
      <c r="P84" s="25">
        <v>8</v>
      </c>
      <c r="Q84" s="25">
        <v>2</v>
      </c>
      <c r="R84" s="25">
        <v>186</v>
      </c>
      <c r="S84" s="25">
        <v>5</v>
      </c>
      <c r="T84" s="25">
        <v>4</v>
      </c>
      <c r="U84" s="25">
        <v>4</v>
      </c>
      <c r="V84" s="25">
        <v>8</v>
      </c>
      <c r="W84" s="25">
        <v>0</v>
      </c>
      <c r="X84" s="25">
        <v>5</v>
      </c>
      <c r="Y84" s="25">
        <v>1283</v>
      </c>
      <c r="Z84" s="25">
        <v>0</v>
      </c>
      <c r="AA84" s="25">
        <v>0</v>
      </c>
      <c r="AB84" s="25">
        <v>10</v>
      </c>
      <c r="AC84" s="25">
        <v>21</v>
      </c>
      <c r="AD84" s="25">
        <v>445</v>
      </c>
      <c r="AE84" s="25">
        <v>1</v>
      </c>
      <c r="AF84" s="25">
        <v>17</v>
      </c>
      <c r="AG84" s="25">
        <v>16</v>
      </c>
      <c r="AH84" s="25">
        <v>1</v>
      </c>
      <c r="AI84" s="25">
        <v>0</v>
      </c>
      <c r="AJ84" s="25">
        <v>9</v>
      </c>
      <c r="AK84" s="25">
        <v>18</v>
      </c>
      <c r="AL84" s="25">
        <v>38</v>
      </c>
      <c r="AM84" s="25">
        <v>0</v>
      </c>
      <c r="AN84" s="25">
        <v>2</v>
      </c>
      <c r="AO84" s="25">
        <v>0</v>
      </c>
      <c r="AP84" s="25">
        <v>1</v>
      </c>
      <c r="AQ84" s="25">
        <v>0</v>
      </c>
      <c r="AR84" s="25">
        <v>94</v>
      </c>
      <c r="AS84" s="25">
        <v>0</v>
      </c>
      <c r="AT84" s="25">
        <v>61</v>
      </c>
      <c r="AU84" s="25">
        <v>3</v>
      </c>
      <c r="AV84" s="25">
        <v>0</v>
      </c>
      <c r="AW84" s="25">
        <v>0</v>
      </c>
      <c r="AX84" s="25">
        <v>27</v>
      </c>
      <c r="AY84" s="25">
        <v>6</v>
      </c>
      <c r="AZ84" s="25">
        <v>8</v>
      </c>
      <c r="BA84" s="25">
        <v>6</v>
      </c>
      <c r="BB84" s="25">
        <v>1</v>
      </c>
      <c r="BC84" s="25">
        <v>2</v>
      </c>
      <c r="BD84" s="25">
        <v>8</v>
      </c>
      <c r="BE84" s="25">
        <v>2</v>
      </c>
      <c r="BF84" s="25">
        <v>2</v>
      </c>
      <c r="BG84" s="25">
        <v>6</v>
      </c>
      <c r="BH84" s="25">
        <v>6</v>
      </c>
      <c r="BI84" s="25">
        <v>13</v>
      </c>
      <c r="BJ84" s="25">
        <v>22</v>
      </c>
      <c r="BK84" s="25">
        <v>4</v>
      </c>
      <c r="BL84" s="25">
        <v>3207</v>
      </c>
      <c r="BM84" s="25">
        <v>4</v>
      </c>
      <c r="BN84" s="25">
        <v>1</v>
      </c>
      <c r="BO84" s="25">
        <v>0</v>
      </c>
      <c r="BP84" s="25">
        <v>1</v>
      </c>
      <c r="BQ84" s="25">
        <v>1</v>
      </c>
      <c r="BR84" s="25">
        <v>2</v>
      </c>
      <c r="BS84" s="25">
        <v>0</v>
      </c>
      <c r="BT84" s="25">
        <v>0</v>
      </c>
      <c r="BU84" s="25">
        <v>0</v>
      </c>
      <c r="BV84" s="25">
        <v>3</v>
      </c>
      <c r="BW84" s="25">
        <v>7</v>
      </c>
      <c r="BX84" s="25">
        <v>6</v>
      </c>
      <c r="BY84" s="25">
        <v>0</v>
      </c>
      <c r="BZ84" s="25">
        <v>3</v>
      </c>
      <c r="CA84" s="25">
        <v>3</v>
      </c>
      <c r="CB84" s="25">
        <v>0</v>
      </c>
      <c r="CC84" s="25">
        <v>3</v>
      </c>
      <c r="CD84" s="25">
        <v>2</v>
      </c>
      <c r="CE84" s="25">
        <v>1</v>
      </c>
      <c r="CF84" s="25">
        <v>32</v>
      </c>
      <c r="CG84" s="25">
        <v>2</v>
      </c>
      <c r="CH84" s="25">
        <v>18</v>
      </c>
      <c r="CI84" s="25">
        <v>2</v>
      </c>
      <c r="CJ84" s="25">
        <v>1</v>
      </c>
      <c r="CK84" s="25">
        <v>12</v>
      </c>
      <c r="CL84" s="25">
        <v>11</v>
      </c>
      <c r="CM84" s="25">
        <v>6</v>
      </c>
      <c r="CN84" s="25">
        <v>11</v>
      </c>
      <c r="CO84" s="25">
        <v>59</v>
      </c>
      <c r="CP84" s="25">
        <v>0</v>
      </c>
      <c r="CQ84" s="25">
        <v>0</v>
      </c>
      <c r="CR84" s="25">
        <v>161</v>
      </c>
      <c r="CS84" s="25">
        <v>0</v>
      </c>
      <c r="CT84" s="25">
        <v>68</v>
      </c>
      <c r="CU84" s="25">
        <v>172</v>
      </c>
      <c r="CV84" s="25">
        <v>71</v>
      </c>
      <c r="CW84" s="25">
        <v>3</v>
      </c>
      <c r="CX84" s="25">
        <v>0</v>
      </c>
      <c r="CY84" s="25">
        <v>0</v>
      </c>
      <c r="CZ84" s="25">
        <v>13</v>
      </c>
      <c r="DA84" s="25">
        <v>0</v>
      </c>
      <c r="DB84" s="25">
        <v>0</v>
      </c>
      <c r="DC84" s="25">
        <v>0</v>
      </c>
      <c r="DD84" s="25">
        <v>25</v>
      </c>
      <c r="DE84" s="25">
        <v>0</v>
      </c>
      <c r="DF84" s="25">
        <v>0</v>
      </c>
      <c r="DG84" s="25">
        <v>7</v>
      </c>
      <c r="DH84" s="25">
        <v>2</v>
      </c>
      <c r="DI84" s="25">
        <v>0</v>
      </c>
      <c r="DJ84" s="25">
        <v>0</v>
      </c>
      <c r="DK84" s="25">
        <v>0</v>
      </c>
      <c r="DL84" s="25">
        <v>2</v>
      </c>
      <c r="DM84" s="25">
        <v>3</v>
      </c>
      <c r="DN84" s="25">
        <v>7560</v>
      </c>
      <c r="DO84" s="25">
        <v>1</v>
      </c>
      <c r="DP84" s="25">
        <v>1</v>
      </c>
      <c r="DQ84" s="25">
        <v>1</v>
      </c>
      <c r="DR84" s="25">
        <v>1444</v>
      </c>
      <c r="DS84" s="25">
        <v>5</v>
      </c>
      <c r="DT84" s="25">
        <v>68</v>
      </c>
      <c r="DU84" s="25">
        <v>2</v>
      </c>
      <c r="DV84" s="25">
        <v>0</v>
      </c>
      <c r="DW84" s="25">
        <v>4</v>
      </c>
      <c r="DX84" s="25">
        <v>0</v>
      </c>
      <c r="DY84" s="25">
        <v>0</v>
      </c>
      <c r="DZ84" s="25">
        <v>15</v>
      </c>
      <c r="EA84" s="25">
        <v>32</v>
      </c>
      <c r="EB84" s="25">
        <v>4</v>
      </c>
      <c r="EC84" s="25">
        <v>86</v>
      </c>
      <c r="ED84" s="25">
        <v>191</v>
      </c>
      <c r="EE84" s="25">
        <v>3452</v>
      </c>
      <c r="EF84" s="25">
        <v>56</v>
      </c>
      <c r="EG84" s="25">
        <v>137</v>
      </c>
      <c r="EH84" s="25">
        <v>44</v>
      </c>
      <c r="EI84" s="25">
        <v>15362</v>
      </c>
      <c r="EJ84" s="25">
        <v>3</v>
      </c>
      <c r="EK84" s="25">
        <v>77</v>
      </c>
      <c r="EL84" s="25">
        <v>5</v>
      </c>
      <c r="EM84" s="25">
        <v>5</v>
      </c>
      <c r="EN84" s="25">
        <v>4</v>
      </c>
      <c r="EO84" s="25">
        <v>177</v>
      </c>
      <c r="EP84" s="25">
        <v>1</v>
      </c>
      <c r="EQ84" s="25">
        <v>1</v>
      </c>
      <c r="ER84" s="25">
        <v>1</v>
      </c>
      <c r="ES84" s="25">
        <v>17</v>
      </c>
      <c r="ET84" s="25">
        <v>1</v>
      </c>
      <c r="EU84" s="25">
        <v>1</v>
      </c>
      <c r="EV84" s="25">
        <v>11</v>
      </c>
      <c r="EW84" s="25">
        <v>31</v>
      </c>
      <c r="EX84" s="25">
        <v>0</v>
      </c>
      <c r="EY84" s="25">
        <v>57</v>
      </c>
      <c r="EZ84" s="25">
        <v>0</v>
      </c>
      <c r="FA84" s="25">
        <v>0</v>
      </c>
      <c r="FB84" s="25">
        <v>1</v>
      </c>
      <c r="FC84" s="25">
        <v>7</v>
      </c>
      <c r="FD84" s="25">
        <v>79</v>
      </c>
      <c r="FE84" s="25">
        <v>12</v>
      </c>
      <c r="FF84" s="25">
        <v>1</v>
      </c>
      <c r="FG84" s="25">
        <v>0</v>
      </c>
      <c r="FH84" s="25">
        <v>2</v>
      </c>
      <c r="FI84" s="25">
        <v>59</v>
      </c>
      <c r="FJ84" s="25">
        <v>0</v>
      </c>
      <c r="FK84" s="25">
        <v>0</v>
      </c>
      <c r="FL84" s="25">
        <v>0</v>
      </c>
      <c r="FM84" s="25">
        <v>1</v>
      </c>
      <c r="FN84" s="25">
        <v>4</v>
      </c>
      <c r="FO84" s="25">
        <v>1651</v>
      </c>
      <c r="FP84" s="25">
        <v>1</v>
      </c>
      <c r="FQ84" s="25">
        <v>1</v>
      </c>
      <c r="FR84" s="25">
        <v>8</v>
      </c>
      <c r="FS84" s="25">
        <v>4</v>
      </c>
      <c r="FT84" s="25">
        <v>17</v>
      </c>
      <c r="FU84" s="25">
        <v>62</v>
      </c>
      <c r="FV84" s="25">
        <v>2</v>
      </c>
      <c r="FW84" s="25">
        <v>41</v>
      </c>
      <c r="FX84" s="25">
        <v>41</v>
      </c>
      <c r="FY84" s="25">
        <v>0</v>
      </c>
      <c r="FZ84" s="25">
        <v>3</v>
      </c>
      <c r="GA84" s="25">
        <v>73</v>
      </c>
      <c r="GB84" s="25">
        <v>144</v>
      </c>
      <c r="GC84" s="25">
        <v>79</v>
      </c>
      <c r="GD84" s="25">
        <v>266</v>
      </c>
      <c r="GE84" s="25">
        <v>3</v>
      </c>
      <c r="GF84" s="25">
        <v>146</v>
      </c>
      <c r="GG84" s="25">
        <v>43</v>
      </c>
      <c r="GH84" s="25">
        <v>0</v>
      </c>
      <c r="GI84" s="25">
        <v>0</v>
      </c>
      <c r="GJ84" s="25">
        <v>0</v>
      </c>
      <c r="GK84" s="25">
        <v>32</v>
      </c>
      <c r="GL84" s="25">
        <v>29</v>
      </c>
      <c r="GM84" s="25">
        <v>2</v>
      </c>
      <c r="GN84" s="25">
        <v>44</v>
      </c>
      <c r="GO84" s="25">
        <v>0</v>
      </c>
      <c r="GP84" s="25">
        <v>6</v>
      </c>
      <c r="GQ84" s="25">
        <v>1</v>
      </c>
      <c r="GR84" s="25">
        <v>22</v>
      </c>
      <c r="GS84" s="25">
        <v>0</v>
      </c>
      <c r="GT84" s="25">
        <v>9</v>
      </c>
      <c r="GU84" s="25">
        <v>11947</v>
      </c>
      <c r="GV84" s="25">
        <v>5</v>
      </c>
      <c r="GW84" s="25">
        <v>2</v>
      </c>
      <c r="GX84" s="25">
        <v>1</v>
      </c>
      <c r="GY84" s="46">
        <v>373</v>
      </c>
      <c r="GZ84" s="25">
        <v>666</v>
      </c>
      <c r="HA84" s="25">
        <v>5</v>
      </c>
      <c r="HB84" s="25">
        <v>1</v>
      </c>
      <c r="HC84" s="25">
        <v>20</v>
      </c>
      <c r="HD84" s="25">
        <v>3</v>
      </c>
      <c r="HE84" s="25">
        <v>6</v>
      </c>
      <c r="HF84" s="25">
        <v>18</v>
      </c>
      <c r="HG84" s="25">
        <v>501</v>
      </c>
      <c r="HH84" s="25">
        <v>0</v>
      </c>
      <c r="HI84" s="25">
        <v>32</v>
      </c>
      <c r="HJ84" s="25">
        <v>10</v>
      </c>
      <c r="HK84" s="25">
        <v>0</v>
      </c>
      <c r="HL84" s="25">
        <v>1</v>
      </c>
      <c r="HM84" s="25">
        <v>5</v>
      </c>
      <c r="HN84" s="25">
        <v>0</v>
      </c>
      <c r="HO84" s="25">
        <v>1</v>
      </c>
      <c r="HP84" s="25">
        <v>0</v>
      </c>
      <c r="HQ84" s="25">
        <v>5221</v>
      </c>
      <c r="HR84" s="25">
        <v>5</v>
      </c>
      <c r="HS84" s="25">
        <v>10855</v>
      </c>
      <c r="HT84" s="25">
        <v>2</v>
      </c>
      <c r="HU84" s="25">
        <v>7</v>
      </c>
      <c r="HV84" s="25">
        <v>0</v>
      </c>
      <c r="HW84" s="25">
        <v>1</v>
      </c>
      <c r="HX84" s="25">
        <v>1</v>
      </c>
      <c r="HY84" s="25">
        <v>1</v>
      </c>
      <c r="HZ84" s="25">
        <v>0</v>
      </c>
      <c r="IA84" s="25">
        <v>0</v>
      </c>
      <c r="IB84" s="25">
        <v>0</v>
      </c>
      <c r="IC84" s="25">
        <v>2</v>
      </c>
      <c r="ID84" s="25">
        <v>0</v>
      </c>
      <c r="IE84" s="25">
        <v>0</v>
      </c>
      <c r="IF84" s="25">
        <v>0</v>
      </c>
      <c r="IG84" s="25">
        <v>0</v>
      </c>
      <c r="IH84" s="25">
        <v>1</v>
      </c>
      <c r="II84" s="25">
        <v>1</v>
      </c>
      <c r="IJ84" s="25">
        <v>0</v>
      </c>
      <c r="IK84" s="25">
        <v>3</v>
      </c>
      <c r="IL84" s="25">
        <v>0</v>
      </c>
      <c r="IM84" s="25">
        <v>0</v>
      </c>
      <c r="IN84" s="25">
        <v>0</v>
      </c>
      <c r="IO84" s="25">
        <v>1</v>
      </c>
      <c r="IP84" s="25">
        <v>1</v>
      </c>
      <c r="IQ84" s="25">
        <v>0</v>
      </c>
      <c r="IR84" s="25">
        <v>0</v>
      </c>
      <c r="IS84" s="25">
        <v>0</v>
      </c>
      <c r="IT84" s="25">
        <v>2</v>
      </c>
      <c r="IU84" s="25">
        <v>1</v>
      </c>
      <c r="IV84" s="25">
        <v>0</v>
      </c>
      <c r="IW84" s="25">
        <v>0</v>
      </c>
      <c r="IX84" s="25">
        <v>0</v>
      </c>
      <c r="IY84" s="25">
        <v>0</v>
      </c>
      <c r="IZ84" s="25">
        <v>0</v>
      </c>
      <c r="JA84" s="25">
        <v>0</v>
      </c>
      <c r="JB84" s="25">
        <v>0</v>
      </c>
      <c r="JC84" s="25">
        <v>0</v>
      </c>
      <c r="JD84" s="25">
        <v>0</v>
      </c>
      <c r="JE84" s="25">
        <v>0</v>
      </c>
      <c r="JF84" s="25">
        <v>0</v>
      </c>
      <c r="JG84" s="25">
        <v>0</v>
      </c>
      <c r="JH84" s="25">
        <v>0</v>
      </c>
      <c r="JI84" s="25">
        <v>4</v>
      </c>
      <c r="JJ84" s="25">
        <v>1</v>
      </c>
      <c r="JK84" s="25">
        <v>18</v>
      </c>
      <c r="JL84" s="25">
        <v>0</v>
      </c>
      <c r="JM84" s="25">
        <v>44</v>
      </c>
      <c r="JN84" s="25">
        <v>5</v>
      </c>
      <c r="JO84" s="25">
        <v>52</v>
      </c>
      <c r="JP84" s="25">
        <v>14</v>
      </c>
      <c r="JQ84" s="25">
        <v>289</v>
      </c>
      <c r="JR84" s="25">
        <v>111</v>
      </c>
      <c r="JS84" s="25">
        <v>165</v>
      </c>
      <c r="JT84" s="25">
        <v>14</v>
      </c>
      <c r="JU84" s="25">
        <v>21</v>
      </c>
      <c r="JV84" s="25">
        <v>195</v>
      </c>
      <c r="JW84" s="25">
        <v>201</v>
      </c>
      <c r="JX84" s="25">
        <v>3</v>
      </c>
      <c r="JY84" s="25">
        <v>10</v>
      </c>
      <c r="JZ84" s="25">
        <v>244</v>
      </c>
      <c r="KA84" s="25">
        <v>116</v>
      </c>
      <c r="KB84" s="25">
        <v>14</v>
      </c>
      <c r="KC84" s="25">
        <v>21</v>
      </c>
      <c r="KD84" s="25">
        <v>40</v>
      </c>
      <c r="KE84" s="25">
        <v>409</v>
      </c>
      <c r="KF84" s="25">
        <v>10</v>
      </c>
      <c r="KG84" s="25">
        <v>54</v>
      </c>
      <c r="KH84" s="25">
        <v>216</v>
      </c>
      <c r="KI84" s="25">
        <v>540</v>
      </c>
      <c r="KJ84" s="25">
        <v>24</v>
      </c>
      <c r="KK84" s="25">
        <v>35</v>
      </c>
      <c r="KL84" s="25">
        <v>33</v>
      </c>
      <c r="KM84" s="25">
        <v>6</v>
      </c>
      <c r="KN84" s="25">
        <v>6</v>
      </c>
      <c r="KO84" s="25">
        <v>46</v>
      </c>
      <c r="KP84" s="25">
        <v>7</v>
      </c>
      <c r="KQ84" s="25">
        <v>846</v>
      </c>
      <c r="KR84" s="25">
        <v>11</v>
      </c>
      <c r="KS84" s="25">
        <v>5991</v>
      </c>
      <c r="KT84" s="25">
        <v>34</v>
      </c>
      <c r="KU84" s="25">
        <v>3</v>
      </c>
      <c r="KV84" s="25">
        <v>102</v>
      </c>
      <c r="KW84" s="25">
        <v>42</v>
      </c>
      <c r="KX84" s="25">
        <v>22</v>
      </c>
      <c r="KY84" s="25">
        <v>136</v>
      </c>
      <c r="KZ84" s="25">
        <v>17</v>
      </c>
      <c r="LA84" s="25">
        <v>40</v>
      </c>
      <c r="LB84" s="25">
        <v>2</v>
      </c>
      <c r="LC84" s="25">
        <v>50</v>
      </c>
      <c r="LD84" s="25">
        <v>116</v>
      </c>
      <c r="LE84" s="25">
        <v>8</v>
      </c>
      <c r="LF84" s="25">
        <v>20</v>
      </c>
      <c r="LG84" s="25">
        <v>52</v>
      </c>
      <c r="LH84" s="25">
        <v>315</v>
      </c>
      <c r="LI84" s="25">
        <v>2</v>
      </c>
      <c r="LJ84" s="25">
        <v>54</v>
      </c>
      <c r="LK84" s="25">
        <v>0</v>
      </c>
      <c r="LL84" s="25">
        <v>0</v>
      </c>
      <c r="LM84" s="25">
        <v>3</v>
      </c>
      <c r="LN84" s="278">
        <f ca="1">$A84 - DeathsTimeS!Sweden100dt + 1</f>
        <v>17</v>
      </c>
      <c r="LO84" s="366">
        <f ca="1">INDEX(OFFSET(DeathsTimeS!HeadRow,ROW()-ROW(DeathsTimeS!HeadRow),0,1,COLUMNS(DeathsTimeS!HeadRow)),1,MATCH(LO$5,DeathsTimeS!HeadRow,0))/LO$8</f>
        <v>364.61388074291301</v>
      </c>
      <c r="LP84" s="278">
        <f ca="1">$A84 - DeathsTimeS!Spain100dt</f>
        <v>24</v>
      </c>
      <c r="LQ84" s="11">
        <f ca="1">INDEX(OFFSET(DeathsTimeS!HeadRow,ROW()-ROW(DeathsTimeS!HeadRow),0,1,COLUMNS(DeathsTimeS!HeadRow)),1,MATCH(LQ$5,DeathsTimeS!HeadRow,0))/LQ$8</f>
        <v>2545.1640391989777</v>
      </c>
      <c r="LR84" s="278">
        <f ca="1">$A84 - DeathsTimeS!Victoria100dt</f>
        <v>1</v>
      </c>
      <c r="LS84" s="11">
        <f ca="1">INDEX(OFFSET(DeathsTimeS!HeadRow,ROW()-ROW(DeathsTimeS!HeadRow),0,1,COLUMNS(DeathsTimeS!HeadRow)),1,MATCH(LS$5,DeathsTimeS!HeadRow,0))/LS$8</f>
        <v>12.068185246643536</v>
      </c>
      <c r="LT84" s="278">
        <f ca="1">$A84 - DeathsTimeS!Iran100dt</f>
        <v>31</v>
      </c>
      <c r="LU84" s="11">
        <f ca="1">INDEX(OFFSET(DeathsTimeS!HeadRow,ROW()-ROW(DeathsTimeS!HeadRow),0,1,COLUMNS(DeathsTimeS!HeadRow)),1,MATCH(LU$5,DeathsTimeS!HeadRow,0))/LU$8</f>
        <v>412.06594010003221</v>
      </c>
      <c r="LV84" s="278">
        <f ca="1">$A84 - DeathsTimeS!Japan100dt</f>
        <v>-10</v>
      </c>
      <c r="LW84" s="11">
        <f ca="1">INDEX(OFFSET(DeathsTimeS!HeadRow,ROW()-ROW(DeathsTimeS!HeadRow),0,1,COLUMNS(DeathsTimeS!HeadRow)),1,MATCH(LW$5,DeathsTimeS!HeadRow,0))/LW$8</f>
        <v>6.0843494862039469</v>
      </c>
      <c r="LX84" s="278">
        <f ca="1">$A84 - DeathsTimeS!Queensland100dt</f>
        <v>-14</v>
      </c>
      <c r="LY84" s="11">
        <f ca="1">INDEX(OFFSET(DeathsTimeS!HeadRow,ROW()-ROW(DeathsTimeS!HeadRow),0,1,COLUMNS(DeathsTimeS!HeadRow)),1,MATCH(LY$5,DeathsTimeS!HeadRow,0))/LY$8</f>
        <v>7.8194473957428192</v>
      </c>
      <c r="LZ84" s="278">
        <f ca="1">$A84 - DeathsTimeS!Tasmania100dt</f>
        <v>4</v>
      </c>
      <c r="MA84" s="11">
        <f ca="1">INDEX(OFFSET(DeathsTimeS!HeadRow,ROW()-ROW(DeathsTimeS!HeadRow),0,1,COLUMNS(DeathsTimeS!HeadRow)),1,MATCH(MA$5,DeathsTimeS!HeadRow,0))/MA$8</f>
        <v>38.834951456310684</v>
      </c>
      <c r="MB84" s="278">
        <f ca="1">$A84 - DeathsTimeS!SouthAustralia100dt</f>
        <v>-4</v>
      </c>
      <c r="MC84" s="11">
        <f ca="1">INDEX(OFFSET(DeathsTimeS!HeadRow,ROW()-ROW(DeathsTimeS!HeadRow),0,1,COLUMNS(DeathsTimeS!HeadRow)),1,MATCH(MC$5,DeathsTimeS!HeadRow,0))/MC$8</f>
        <v>0</v>
      </c>
      <c r="MD84" s="278">
        <f ca="1">$A84 - DeathsTimeS!WesternAustralia100dt</f>
        <v>-1</v>
      </c>
      <c r="ME84" s="11">
        <f ca="1">INDEX(OFFSET(DeathsTimeS!HeadRow,ROW()-ROW(DeathsTimeS!HeadRow),0,1,COLUMNS(DeathsTimeS!HeadRow)),1,MATCH(ME$5,DeathsTimeS!HeadRow,0))/ME$8</f>
        <v>7.7249903437620695</v>
      </c>
      <c r="MF84" s="278">
        <f ca="1">$A84 - DeathsTimeS!NewSouthWales100dt</f>
        <v>3</v>
      </c>
      <c r="MG84" s="11">
        <f ca="1">INDEX(OFFSET(DeathsTimeS!HeadRow,ROW()-ROW(DeathsTimeS!HeadRow),0,1,COLUMNS(DeathsTimeS!HeadRow)),1,MATCH(MG$5,DeathsTimeS!HeadRow,0))/MG$8</f>
        <v>14.85148514851485</v>
      </c>
      <c r="MH84" s="278">
        <f ca="1">$A84 - DeathsTimeS!NewYork100dt</f>
        <v>19</v>
      </c>
      <c r="MI84" s="20">
        <f ca="1">INDEX(OFFSET(DeathsTimeS!HeadRow,ROW()-ROW(DeathsTimeS!HeadRow),0,1,COLUMNS(DeathsTimeS!HeadRow)),1,MATCH(MI$5,DeathsTimeS!HeadRow,0))/MI$8</f>
        <v>2535.5440659232991</v>
      </c>
      <c r="MJ84" s="278">
        <f ca="1">$A84 - DeathsTimeS!Italy100dt</f>
        <v>32</v>
      </c>
      <c r="MK84" s="20">
        <f ca="1">INDEX(OFFSET(DeathsTimeS!HeadRow,ROW()-ROW(DeathsTimeS!HeadRow),0,1,COLUMNS(DeathsTimeS!HeadRow)),1,MATCH(MK$5,DeathsTimeS!HeadRow,0))/MK$8</f>
        <v>2539.8032570058695</v>
      </c>
      <c r="ML84" s="278">
        <f ca="1">$A84 - DeathsTimeS!AustralianCapitalTerritory100dt</f>
        <v>5</v>
      </c>
      <c r="MM84" s="11">
        <f ca="1">INDEX(OFFSET(DeathsTimeS!HeadRow,ROW()-ROW(DeathsTimeS!HeadRow),0,1,COLUMNS(DeathsTimeS!HeadRow)),1,MATCH(MM$5,DeathsTimeS!HeadRow,0))/MM$8</f>
        <v>46.722422090361171</v>
      </c>
      <c r="MN84" s="278">
        <f ca="1">IF(DeathsTimeS!NorthernTerritory100dt&gt;0,$A84 - DeathsTimeS!NorthernTerritory100dt,"")</f>
        <v>-23</v>
      </c>
      <c r="MO84" s="11">
        <f ca="1">INDEX(OFFSET(DeathsTimeS!HeadRow,ROW()-ROW(DeathsTimeS!HeadRow),0,1,COLUMNS(DeathsTimeS!HeadRow)),1,MATCH(MO$5,DeathsTimeS!HeadRow,0))/MO$8</f>
        <v>0</v>
      </c>
      <c r="MP84" s="278">
        <f ca="1">$A84 - DeathsTimeS!SouthAfrica100dt + 1</f>
        <v>-15</v>
      </c>
      <c r="MQ84" s="20">
        <f ca="1">INDEX(OFFSET(DeathsTimeS!HeadRow,ROW()-ROW(DeathsTimeS!HeadRow),0,1,COLUMNS(DeathsTimeS!HeadRow)),1,MATCH(MQ$5,DeathsTimeS!HeadRow,0))/MQ$8</f>
        <v>1.5576323987538943</v>
      </c>
      <c r="MR84" s="278">
        <f ca="1">$A84 - DeathsTimeS!Germany100dt + 1</f>
        <v>15</v>
      </c>
      <c r="MS84" s="20">
        <f ca="1">INDEX(OFFSET(DeathsTimeS!HeadRow,ROW()-ROW(DeathsTimeS!HeadRow),0,1,COLUMNS(DeathsTimeS!HeadRow)),1,MATCH(MS$5,DeathsTimeS!HeadRow,0))/MS$8</f>
        <v>173.93399180920261</v>
      </c>
      <c r="MT84" s="278">
        <f ca="1">$A84 - DeathsTimeS!Ireland100dt + 1</f>
        <v>13</v>
      </c>
      <c r="MU84" s="73">
        <f ca="1">INDEX(OFFSET(DeathsTimeS!HeadRow,ROW()-ROW(DeathsTimeS!HeadRow),0,1,COLUMNS(DeathsTimeS!HeadRow)),1,MATCH(MU$5,DeathsTimeS!HeadRow,0))/MU$8</f>
        <v>279.59183673469386</v>
      </c>
      <c r="MV84" s="278">
        <f ca="1">$A84 - DeathsTimeS!UnitedKingdom100dt + 1</f>
        <v>19</v>
      </c>
      <c r="MW84" s="73">
        <f ca="1">INDEX(OFFSET(DeathsTimeS!HeadRow,ROW()-ROW(DeathsTimeS!HeadRow),0,1,COLUMNS(DeathsTimeS!HeadRow)),1,MATCH(MW$5,DeathsTimeS!HeadRow,0))/MW$8</f>
        <v>785.82179409993978</v>
      </c>
      <c r="MX84" s="278">
        <f ca="1">$A84 - DeathsTimeS!Denmark100dt + 1</f>
        <v>17</v>
      </c>
      <c r="MY84" s="73">
        <f ca="1">INDEX(OFFSET(DeathsTimeS!HeadRow,ROW()-ROW(DeathsTimeS!HeadRow),0,1,COLUMNS(DeathsTimeS!HeadRow)),1,MATCH(MY$5,DeathsTimeS!HeadRow,0))/MY$8</f>
        <v>277.29934550465038</v>
      </c>
      <c r="MZ84" s="278">
        <f ca="1">$A84 - DeathsTimeS!US100dt + 1</f>
        <v>16</v>
      </c>
      <c r="NA84" s="73">
        <f ca="1">INDEX(OFFSET(DeathsTimeS!HeadRow,ROW()-ROW(DeathsTimeS!HeadRow),0,1,COLUMNS(DeathsTimeS!HeadRow)),1,MATCH(NA$5,DeathsTimeS!HeadRow,0))/NA$8</f>
        <v>329.71097156556181</v>
      </c>
      <c r="NB84" s="278">
        <f ca="1">$A84 - DeathsTimeS!AustraliaSum100dt + 1</f>
        <v>10</v>
      </c>
      <c r="NC84" s="366">
        <f t="shared" si="7"/>
        <v>30</v>
      </c>
      <c r="ND84" s="278">
        <f ca="1">$A84 - DeathsTimeS!Taiwan100dt + 1</f>
        <v>-22</v>
      </c>
      <c r="NE84" s="366">
        <f ca="1">INDEX(OFFSET(DeathsTimeS!HeadRow,ROW()-ROW(DeathsTimeS!HeadRow),0,1,COLUMNS(DeathsTimeS!HeadRow)),1,MATCH(NE$5,DeathsTimeS!HeadRow,0))/NE$8</f>
        <v>2.1001977462189929</v>
      </c>
      <c r="NF84" s="278">
        <f ca="1">$A84 - DeathsTimeS!Hubei100dt + 1</f>
        <v>69</v>
      </c>
      <c r="NG84" s="366">
        <f ca="1">INDEX(OFFSET(DeathsTimeS!HeadRow,ROW()-ROW(DeathsTimeS!HeadRow),0,1,COLUMNS(DeathsTimeS!HeadRow)),1,MATCH(NG$5,DeathsTimeS!HeadRow,0))/NG$8</f>
        <v>548.20512820512829</v>
      </c>
      <c r="NH84" s="278">
        <f ca="1">$A84 - DeathsTimeS!HongKong100dt + 1</f>
        <v>-22</v>
      </c>
      <c r="NI84" s="366">
        <f ca="1">INDEX(OFFSET(DeathsTimeS!HeadRow,ROW()-ROW(DeathsTimeS!HeadRow),0,1,COLUMNS(DeathsTimeS!HeadRow)),1,MATCH(NI$5,DeathsTimeS!HeadRow,0))/NI$8</f>
        <v>5.3684069252449333</v>
      </c>
    </row>
    <row r="85" spans="1:373" x14ac:dyDescent="0.25">
      <c r="A85" s="156">
        <v>43926</v>
      </c>
      <c r="B85" s="25">
        <v>7</v>
      </c>
      <c r="C85" s="25">
        <v>20</v>
      </c>
      <c r="D85" s="25">
        <v>152</v>
      </c>
      <c r="E85" s="25">
        <v>18</v>
      </c>
      <c r="F85" s="25">
        <v>2</v>
      </c>
      <c r="G85" s="25">
        <v>0</v>
      </c>
      <c r="H85" s="25">
        <v>44</v>
      </c>
      <c r="I85" s="25">
        <v>7</v>
      </c>
      <c r="J85" s="25">
        <v>2</v>
      </c>
      <c r="K85" s="25">
        <v>16</v>
      </c>
      <c r="L85" s="25">
        <v>0</v>
      </c>
      <c r="M85" s="25">
        <v>4</v>
      </c>
      <c r="N85" s="25">
        <v>0</v>
      </c>
      <c r="O85" s="25">
        <v>2</v>
      </c>
      <c r="P85" s="25">
        <v>8</v>
      </c>
      <c r="Q85" s="25">
        <v>3</v>
      </c>
      <c r="R85" s="25">
        <v>204</v>
      </c>
      <c r="S85" s="25">
        <v>7</v>
      </c>
      <c r="T85" s="25">
        <v>4</v>
      </c>
      <c r="U85" s="25">
        <v>4</v>
      </c>
      <c r="V85" s="25">
        <v>9</v>
      </c>
      <c r="W85" s="25">
        <v>1</v>
      </c>
      <c r="X85" s="25">
        <v>8</v>
      </c>
      <c r="Y85" s="25">
        <v>1447</v>
      </c>
      <c r="Z85" s="25">
        <v>0</v>
      </c>
      <c r="AA85" s="25">
        <v>0</v>
      </c>
      <c r="AB85" s="25">
        <v>10</v>
      </c>
      <c r="AC85" s="25">
        <v>23</v>
      </c>
      <c r="AD85" s="25">
        <v>486</v>
      </c>
      <c r="AE85" s="25">
        <v>1</v>
      </c>
      <c r="AF85" s="25">
        <v>20</v>
      </c>
      <c r="AG85" s="25">
        <v>17</v>
      </c>
      <c r="AH85" s="25">
        <v>1</v>
      </c>
      <c r="AI85" s="25">
        <v>0</v>
      </c>
      <c r="AJ85" s="25">
        <v>9</v>
      </c>
      <c r="AK85" s="25">
        <v>20</v>
      </c>
      <c r="AL85" s="25">
        <v>38</v>
      </c>
      <c r="AM85" s="25">
        <v>0</v>
      </c>
      <c r="AN85" s="25">
        <v>2</v>
      </c>
      <c r="AO85" s="25">
        <v>0</v>
      </c>
      <c r="AP85" s="25">
        <v>1</v>
      </c>
      <c r="AQ85" s="25">
        <v>0</v>
      </c>
      <c r="AR85" s="25">
        <v>119</v>
      </c>
      <c r="AS85" s="25">
        <v>0</v>
      </c>
      <c r="AT85" s="25">
        <v>75</v>
      </c>
      <c r="AU85" s="25">
        <v>3</v>
      </c>
      <c r="AV85" s="25">
        <v>0</v>
      </c>
      <c r="AW85" s="25">
        <v>0</v>
      </c>
      <c r="AX85" s="25">
        <v>34</v>
      </c>
      <c r="AY85" s="25">
        <v>6</v>
      </c>
      <c r="AZ85" s="25">
        <v>8</v>
      </c>
      <c r="BA85" s="25">
        <v>6</v>
      </c>
      <c r="BB85" s="25">
        <v>1</v>
      </c>
      <c r="BC85" s="25">
        <v>2</v>
      </c>
      <c r="BD85" s="25">
        <v>8</v>
      </c>
      <c r="BE85" s="25">
        <v>2</v>
      </c>
      <c r="BF85" s="25">
        <v>2</v>
      </c>
      <c r="BG85" s="25">
        <v>6</v>
      </c>
      <c r="BH85" s="25">
        <v>6</v>
      </c>
      <c r="BI85" s="25">
        <v>13</v>
      </c>
      <c r="BJ85" s="25">
        <v>22</v>
      </c>
      <c r="BK85" s="25">
        <v>4</v>
      </c>
      <c r="BL85" s="25">
        <v>3210</v>
      </c>
      <c r="BM85" s="25">
        <v>4</v>
      </c>
      <c r="BN85" s="25">
        <v>1</v>
      </c>
      <c r="BO85" s="25">
        <v>0</v>
      </c>
      <c r="BP85" s="25">
        <v>1</v>
      </c>
      <c r="BQ85" s="25">
        <v>1</v>
      </c>
      <c r="BR85" s="25">
        <v>2</v>
      </c>
      <c r="BS85" s="25">
        <v>0</v>
      </c>
      <c r="BT85" s="25">
        <v>0</v>
      </c>
      <c r="BU85" s="25">
        <v>0</v>
      </c>
      <c r="BV85" s="25">
        <v>3</v>
      </c>
      <c r="BW85" s="25">
        <v>7</v>
      </c>
      <c r="BX85" s="25">
        <v>6</v>
      </c>
      <c r="BY85" s="25">
        <v>0</v>
      </c>
      <c r="BZ85" s="25">
        <v>3</v>
      </c>
      <c r="CA85" s="25">
        <v>3</v>
      </c>
      <c r="CB85" s="25">
        <v>0</v>
      </c>
      <c r="CC85" s="25">
        <v>3</v>
      </c>
      <c r="CD85" s="25">
        <v>2</v>
      </c>
      <c r="CE85" s="25">
        <v>1</v>
      </c>
      <c r="CF85" s="25">
        <v>35</v>
      </c>
      <c r="CG85" s="25">
        <v>5</v>
      </c>
      <c r="CH85" s="25">
        <v>18</v>
      </c>
      <c r="CI85" s="25">
        <v>2</v>
      </c>
      <c r="CJ85" s="25">
        <v>3</v>
      </c>
      <c r="CK85" s="25">
        <v>15</v>
      </c>
      <c r="CL85" s="25">
        <v>11</v>
      </c>
      <c r="CM85" s="25">
        <v>8</v>
      </c>
      <c r="CN85" s="25">
        <v>9</v>
      </c>
      <c r="CO85" s="25">
        <v>67</v>
      </c>
      <c r="CP85" s="25">
        <v>0</v>
      </c>
      <c r="CQ85" s="25">
        <v>0</v>
      </c>
      <c r="CR85" s="25">
        <v>179</v>
      </c>
      <c r="CS85" s="25">
        <v>0</v>
      </c>
      <c r="CT85" s="25">
        <v>82</v>
      </c>
      <c r="CU85" s="25">
        <v>180</v>
      </c>
      <c r="CV85" s="25">
        <v>78</v>
      </c>
      <c r="CW85" s="25">
        <v>3</v>
      </c>
      <c r="CX85" s="25">
        <v>0</v>
      </c>
      <c r="CY85" s="25">
        <v>0</v>
      </c>
      <c r="CZ85" s="25">
        <v>15</v>
      </c>
      <c r="DA85" s="25">
        <v>0</v>
      </c>
      <c r="DB85" s="25">
        <v>2</v>
      </c>
      <c r="DC85" s="25">
        <v>0</v>
      </c>
      <c r="DD85" s="25">
        <v>28</v>
      </c>
      <c r="DE85" s="25">
        <v>0</v>
      </c>
      <c r="DF85" s="25">
        <v>0</v>
      </c>
      <c r="DG85" s="25">
        <v>7</v>
      </c>
      <c r="DH85" s="25">
        <v>2</v>
      </c>
      <c r="DI85" s="25">
        <v>0</v>
      </c>
      <c r="DJ85" s="25">
        <v>0</v>
      </c>
      <c r="DK85" s="25">
        <v>0</v>
      </c>
      <c r="DL85" s="25">
        <v>2</v>
      </c>
      <c r="DM85" s="25">
        <v>4</v>
      </c>
      <c r="DN85" s="25">
        <v>8078</v>
      </c>
      <c r="DO85" s="25">
        <v>1</v>
      </c>
      <c r="DP85" s="25">
        <v>1</v>
      </c>
      <c r="DQ85" s="25">
        <v>2</v>
      </c>
      <c r="DR85" s="25">
        <v>1584</v>
      </c>
      <c r="DS85" s="25">
        <v>5</v>
      </c>
      <c r="DT85" s="25">
        <v>73</v>
      </c>
      <c r="DU85" s="25">
        <v>2</v>
      </c>
      <c r="DV85" s="25">
        <v>0</v>
      </c>
      <c r="DW85" s="25">
        <v>4</v>
      </c>
      <c r="DX85" s="25">
        <v>1</v>
      </c>
      <c r="DY85" s="25">
        <v>0</v>
      </c>
      <c r="DZ85" s="25">
        <v>22</v>
      </c>
      <c r="EA85" s="25">
        <v>34</v>
      </c>
      <c r="EB85" s="25">
        <v>4</v>
      </c>
      <c r="EC85" s="25">
        <v>99</v>
      </c>
      <c r="ED85" s="25">
        <v>198</v>
      </c>
      <c r="EE85" s="25">
        <v>3603</v>
      </c>
      <c r="EF85" s="25">
        <v>61</v>
      </c>
      <c r="EG85" s="25">
        <v>158</v>
      </c>
      <c r="EH85" s="25">
        <v>49</v>
      </c>
      <c r="EI85" s="25">
        <v>15887</v>
      </c>
      <c r="EJ85" s="25">
        <v>3</v>
      </c>
      <c r="EK85" s="25">
        <v>77</v>
      </c>
      <c r="EL85" s="25">
        <v>5</v>
      </c>
      <c r="EM85" s="25">
        <v>6</v>
      </c>
      <c r="EN85" s="25">
        <v>4</v>
      </c>
      <c r="EO85" s="25">
        <v>183</v>
      </c>
      <c r="EP85" s="25">
        <v>1</v>
      </c>
      <c r="EQ85" s="25">
        <v>1</v>
      </c>
      <c r="ER85" s="25">
        <v>1</v>
      </c>
      <c r="ES85" s="25">
        <v>18</v>
      </c>
      <c r="ET85" s="25">
        <v>3</v>
      </c>
      <c r="EU85" s="25">
        <v>1</v>
      </c>
      <c r="EV85" s="25">
        <v>13</v>
      </c>
      <c r="EW85" s="25">
        <v>36</v>
      </c>
      <c r="EX85" s="25">
        <v>0</v>
      </c>
      <c r="EY85" s="25">
        <v>61</v>
      </c>
      <c r="EZ85" s="25">
        <v>0</v>
      </c>
      <c r="FA85" s="25">
        <v>0</v>
      </c>
      <c r="FB85" s="25">
        <v>1</v>
      </c>
      <c r="FC85" s="25">
        <v>7</v>
      </c>
      <c r="FD85" s="25">
        <v>94</v>
      </c>
      <c r="FE85" s="25">
        <v>15</v>
      </c>
      <c r="FF85" s="25">
        <v>1</v>
      </c>
      <c r="FG85" s="25">
        <v>0</v>
      </c>
      <c r="FH85" s="25">
        <v>2</v>
      </c>
      <c r="FI85" s="25">
        <v>70</v>
      </c>
      <c r="FJ85" s="25">
        <v>0</v>
      </c>
      <c r="FK85" s="25">
        <v>0</v>
      </c>
      <c r="FL85" s="25">
        <v>0</v>
      </c>
      <c r="FM85" s="25">
        <v>1</v>
      </c>
      <c r="FN85" s="25">
        <v>4</v>
      </c>
      <c r="FO85" s="25">
        <v>1766</v>
      </c>
      <c r="FP85" s="25">
        <v>1</v>
      </c>
      <c r="FQ85" s="25">
        <v>1</v>
      </c>
      <c r="FR85" s="25">
        <v>10</v>
      </c>
      <c r="FS85" s="25">
        <v>5</v>
      </c>
      <c r="FT85" s="25">
        <v>18</v>
      </c>
      <c r="FU85" s="25">
        <v>71</v>
      </c>
      <c r="FV85" s="25">
        <v>2</v>
      </c>
      <c r="FW85" s="25">
        <v>47</v>
      </c>
      <c r="FX85" s="25">
        <v>46</v>
      </c>
      <c r="FY85" s="25">
        <v>0</v>
      </c>
      <c r="FZ85" s="25">
        <v>3</v>
      </c>
      <c r="GA85" s="25">
        <v>83</v>
      </c>
      <c r="GB85" s="25">
        <v>152</v>
      </c>
      <c r="GC85" s="25">
        <v>94</v>
      </c>
      <c r="GD85" s="25">
        <v>295</v>
      </c>
      <c r="GE85" s="25">
        <v>4</v>
      </c>
      <c r="GF85" s="25">
        <v>151</v>
      </c>
      <c r="GG85" s="25">
        <v>45</v>
      </c>
      <c r="GH85" s="25">
        <v>0</v>
      </c>
      <c r="GI85" s="25">
        <v>0</v>
      </c>
      <c r="GJ85" s="25">
        <v>0</v>
      </c>
      <c r="GK85" s="25">
        <v>32</v>
      </c>
      <c r="GL85" s="25">
        <v>34</v>
      </c>
      <c r="GM85" s="25">
        <v>2</v>
      </c>
      <c r="GN85" s="25">
        <v>51</v>
      </c>
      <c r="GO85" s="25">
        <v>0</v>
      </c>
      <c r="GP85" s="25">
        <v>6</v>
      </c>
      <c r="GQ85" s="25">
        <v>1</v>
      </c>
      <c r="GR85" s="25">
        <v>28</v>
      </c>
      <c r="GS85" s="25">
        <v>0</v>
      </c>
      <c r="GT85" s="25">
        <v>11</v>
      </c>
      <c r="GU85" s="25">
        <v>12641</v>
      </c>
      <c r="GV85" s="25">
        <v>5</v>
      </c>
      <c r="GW85" s="25">
        <v>2</v>
      </c>
      <c r="GX85" s="25">
        <v>1</v>
      </c>
      <c r="GY85" s="46">
        <v>401</v>
      </c>
      <c r="GZ85" s="25">
        <v>715</v>
      </c>
      <c r="HA85" s="25">
        <v>5</v>
      </c>
      <c r="HB85" s="25">
        <v>1</v>
      </c>
      <c r="HC85" s="25">
        <v>23</v>
      </c>
      <c r="HD85" s="25">
        <v>3</v>
      </c>
      <c r="HE85" s="25">
        <v>7</v>
      </c>
      <c r="HF85" s="25">
        <v>22</v>
      </c>
      <c r="HG85" s="25">
        <v>574</v>
      </c>
      <c r="HH85" s="25">
        <v>0</v>
      </c>
      <c r="HI85" s="25">
        <v>37</v>
      </c>
      <c r="HJ85" s="25">
        <v>10</v>
      </c>
      <c r="HK85" s="25">
        <v>0</v>
      </c>
      <c r="HL85" s="25">
        <v>1</v>
      </c>
      <c r="HM85" s="25">
        <v>6</v>
      </c>
      <c r="HN85" s="25">
        <v>0</v>
      </c>
      <c r="HO85" s="25">
        <v>1</v>
      </c>
      <c r="HP85" s="25">
        <v>0</v>
      </c>
      <c r="HQ85" s="25">
        <v>5865</v>
      </c>
      <c r="HR85" s="25">
        <v>5</v>
      </c>
      <c r="HS85" s="25">
        <v>12375</v>
      </c>
      <c r="HT85" s="25">
        <v>2</v>
      </c>
      <c r="HU85" s="25">
        <v>7</v>
      </c>
      <c r="HV85" s="25">
        <v>0</v>
      </c>
      <c r="HW85" s="25">
        <v>1</v>
      </c>
      <c r="HX85" s="25">
        <v>1</v>
      </c>
      <c r="HY85" s="25">
        <v>1</v>
      </c>
      <c r="HZ85" s="25">
        <v>0</v>
      </c>
      <c r="IA85" s="25">
        <v>0</v>
      </c>
      <c r="IB85" s="25">
        <v>0</v>
      </c>
      <c r="IC85" s="25">
        <v>2</v>
      </c>
      <c r="ID85" s="25">
        <v>0</v>
      </c>
      <c r="IE85" s="25">
        <v>0</v>
      </c>
      <c r="IF85" s="25">
        <v>0</v>
      </c>
      <c r="IG85" s="25">
        <v>0</v>
      </c>
      <c r="IH85" s="25">
        <v>1</v>
      </c>
      <c r="II85" s="25">
        <v>1</v>
      </c>
      <c r="IJ85" s="25">
        <v>0</v>
      </c>
      <c r="IK85" s="25">
        <v>5</v>
      </c>
      <c r="IL85" s="25">
        <v>0</v>
      </c>
      <c r="IM85" s="25">
        <v>0</v>
      </c>
      <c r="IN85" s="25">
        <v>0</v>
      </c>
      <c r="IO85" s="25">
        <v>1</v>
      </c>
      <c r="IP85" s="25">
        <v>1</v>
      </c>
      <c r="IQ85" s="25">
        <v>0</v>
      </c>
      <c r="IR85" s="25">
        <v>0</v>
      </c>
      <c r="IS85" s="25">
        <v>1</v>
      </c>
      <c r="IT85" s="25">
        <v>2</v>
      </c>
      <c r="IU85" s="25">
        <v>1</v>
      </c>
      <c r="IV85" s="25">
        <v>0</v>
      </c>
      <c r="IW85" s="25">
        <v>0</v>
      </c>
      <c r="IX85" s="25">
        <v>0</v>
      </c>
      <c r="IY85" s="25">
        <v>0</v>
      </c>
      <c r="IZ85" s="25">
        <v>0</v>
      </c>
      <c r="JA85" s="25">
        <v>0</v>
      </c>
      <c r="JB85" s="25">
        <v>0</v>
      </c>
      <c r="JC85" s="25">
        <v>0</v>
      </c>
      <c r="JD85" s="25">
        <v>0</v>
      </c>
      <c r="JE85" s="25">
        <v>0</v>
      </c>
      <c r="JF85" s="25">
        <v>0</v>
      </c>
      <c r="JG85" s="25">
        <v>0</v>
      </c>
      <c r="JH85" s="25">
        <v>0</v>
      </c>
      <c r="JI85" s="25">
        <v>4</v>
      </c>
      <c r="JJ85" s="25">
        <v>1</v>
      </c>
      <c r="JK85" s="25">
        <v>20</v>
      </c>
      <c r="JL85" s="25">
        <v>1</v>
      </c>
      <c r="JM85" s="25">
        <v>45</v>
      </c>
      <c r="JN85" s="25">
        <v>6</v>
      </c>
      <c r="JO85" s="25">
        <v>64</v>
      </c>
      <c r="JP85" s="25">
        <v>16</v>
      </c>
      <c r="JQ85" s="25">
        <v>348</v>
      </c>
      <c r="JR85" s="25">
        <v>140</v>
      </c>
      <c r="JS85" s="25">
        <v>189</v>
      </c>
      <c r="JT85" s="25">
        <v>14</v>
      </c>
      <c r="JU85" s="25">
        <v>22</v>
      </c>
      <c r="JV85" s="25">
        <v>221</v>
      </c>
      <c r="JW85" s="25">
        <v>211</v>
      </c>
      <c r="JX85" s="25">
        <v>4</v>
      </c>
      <c r="JY85" s="25">
        <v>10</v>
      </c>
      <c r="JZ85" s="25">
        <v>274</v>
      </c>
      <c r="KA85" s="25">
        <v>127</v>
      </c>
      <c r="KB85" s="25">
        <v>18</v>
      </c>
      <c r="KC85" s="25">
        <v>22</v>
      </c>
      <c r="KD85" s="25">
        <v>45</v>
      </c>
      <c r="KE85" s="25">
        <v>477</v>
      </c>
      <c r="KF85" s="25">
        <v>10</v>
      </c>
      <c r="KG85" s="25">
        <v>67</v>
      </c>
      <c r="KH85" s="25">
        <v>231</v>
      </c>
      <c r="KI85" s="25">
        <v>617</v>
      </c>
      <c r="KJ85" s="25">
        <v>29</v>
      </c>
      <c r="KK85" s="25">
        <v>43</v>
      </c>
      <c r="KL85" s="25">
        <v>44</v>
      </c>
      <c r="KM85" s="25">
        <v>6</v>
      </c>
      <c r="KN85" s="25">
        <v>8</v>
      </c>
      <c r="KO85" s="25">
        <v>46</v>
      </c>
      <c r="KP85" s="25">
        <v>9</v>
      </c>
      <c r="KQ85" s="25">
        <v>917</v>
      </c>
      <c r="KR85" s="25">
        <v>12</v>
      </c>
      <c r="KS85" s="25">
        <v>6785</v>
      </c>
      <c r="KT85" s="25">
        <v>38</v>
      </c>
      <c r="KU85" s="25">
        <v>3</v>
      </c>
      <c r="KV85" s="25">
        <v>119</v>
      </c>
      <c r="KW85" s="25">
        <v>46</v>
      </c>
      <c r="KX85" s="25">
        <v>27</v>
      </c>
      <c r="KY85" s="25">
        <v>151</v>
      </c>
      <c r="KZ85" s="25">
        <v>25</v>
      </c>
      <c r="LA85" s="25">
        <v>44</v>
      </c>
      <c r="LB85" s="25">
        <v>2</v>
      </c>
      <c r="LC85" s="25">
        <v>53</v>
      </c>
      <c r="LD85" s="25">
        <v>136</v>
      </c>
      <c r="LE85" s="25">
        <v>8</v>
      </c>
      <c r="LF85" s="25">
        <v>22</v>
      </c>
      <c r="LG85" s="25">
        <v>52</v>
      </c>
      <c r="LH85" s="25">
        <v>336</v>
      </c>
      <c r="LI85" s="25">
        <v>3</v>
      </c>
      <c r="LJ85" s="25">
        <v>74</v>
      </c>
      <c r="LK85" s="25">
        <v>0</v>
      </c>
      <c r="LL85" s="25">
        <v>0</v>
      </c>
      <c r="LM85" s="25">
        <v>3</v>
      </c>
      <c r="LN85" s="278">
        <f ca="1">$A85 - DeathsTimeS!Sweden100dt + 1</f>
        <v>18</v>
      </c>
      <c r="LO85" s="366">
        <f ca="1">INDEX(OFFSET(DeathsTimeS!HeadRow,ROW()-ROW(DeathsTimeS!HeadRow),0,1,COLUMNS(DeathsTimeS!HeadRow)),1,MATCH(LO$5,DeathsTimeS!HeadRow,0))/LO$8</f>
        <v>391.98435972629522</v>
      </c>
      <c r="LP85" s="278">
        <f ca="1">$A85 - DeathsTimeS!Spain100dt</f>
        <v>25</v>
      </c>
      <c r="LQ85" s="11">
        <f ca="1">INDEX(OFFSET(DeathsTimeS!HeadRow,ROW()-ROW(DeathsTimeS!HeadRow),0,1,COLUMNS(DeathsTimeS!HeadRow)),1,MATCH(LQ$5,DeathsTimeS!HeadRow,0))/LQ$8</f>
        <v>2693.0123561994037</v>
      </c>
      <c r="LR85" s="278">
        <f ca="1">$A85 - DeathsTimeS!Victoria100dt</f>
        <v>2</v>
      </c>
      <c r="LS85" s="11">
        <f ca="1">INDEX(OFFSET(DeathsTimeS!HeadRow,ROW()-ROW(DeathsTimeS!HeadRow),0,1,COLUMNS(DeathsTimeS!HeadRow)),1,MATCH(LS$5,DeathsTimeS!HeadRow,0))/LS$8</f>
        <v>12.068185246643536</v>
      </c>
      <c r="LT85" s="278">
        <f ca="1">$A85 - DeathsTimeS!Iran100dt</f>
        <v>32</v>
      </c>
      <c r="LU85" s="11">
        <f ca="1">INDEX(OFFSET(DeathsTimeS!HeadRow,ROW()-ROW(DeathsTimeS!HeadRow),0,1,COLUMNS(DeathsTimeS!HeadRow)),1,MATCH(LU$5,DeathsTimeS!HeadRow,0))/LU$8</f>
        <v>430.09084072433842</v>
      </c>
      <c r="LV85" s="278">
        <f ca="1">$A85 - DeathsTimeS!Japan100dt</f>
        <v>-9</v>
      </c>
      <c r="LW85" s="11">
        <f ca="1">INDEX(OFFSET(DeathsTimeS!HeadRow,ROW()-ROW(DeathsTimeS!HeadRow),0,1,COLUMNS(DeathsTimeS!HeadRow)),1,MATCH(LW$5,DeathsTimeS!HeadRow,0))/LW$8</f>
        <v>6.0843494862039469</v>
      </c>
      <c r="LX85" s="278">
        <f ca="1">$A85 - DeathsTimeS!Queensland100dt</f>
        <v>-13</v>
      </c>
      <c r="LY85" s="11">
        <f ca="1">INDEX(OFFSET(DeathsTimeS!HeadRow,ROW()-ROW(DeathsTimeS!HeadRow),0,1,COLUMNS(DeathsTimeS!HeadRow)),1,MATCH(LY$5,DeathsTimeS!HeadRow,0))/LY$8</f>
        <v>7.8194473957428192</v>
      </c>
      <c r="LZ85" s="278">
        <f ca="1">$A85 - DeathsTimeS!Tasmania100dt</f>
        <v>5</v>
      </c>
      <c r="MA85" s="11">
        <f ca="1">INDEX(OFFSET(DeathsTimeS!HeadRow,ROW()-ROW(DeathsTimeS!HeadRow),0,1,COLUMNS(DeathsTimeS!HeadRow)),1,MATCH(MA$5,DeathsTimeS!HeadRow,0))/MA$8</f>
        <v>38.834951456310684</v>
      </c>
      <c r="MB85" s="278">
        <f ca="1">$A85 - DeathsTimeS!SouthAustralia100dt</f>
        <v>-3</v>
      </c>
      <c r="MC85" s="11">
        <f ca="1">INDEX(OFFSET(DeathsTimeS!HeadRow,ROW()-ROW(DeathsTimeS!HeadRow),0,1,COLUMNS(DeathsTimeS!HeadRow)),1,MATCH(MC$5,DeathsTimeS!HeadRow,0))/MC$8</f>
        <v>0</v>
      </c>
      <c r="MD85" s="278">
        <f ca="1">$A85 - DeathsTimeS!WesternAustralia100dt</f>
        <v>0</v>
      </c>
      <c r="ME85" s="11">
        <f ca="1">INDEX(OFFSET(DeathsTimeS!HeadRow,ROW()-ROW(DeathsTimeS!HeadRow),0,1,COLUMNS(DeathsTimeS!HeadRow)),1,MATCH(ME$5,DeathsTimeS!HeadRow,0))/ME$8</f>
        <v>11.587485515643104</v>
      </c>
      <c r="MF85" s="278">
        <f ca="1">$A85 - DeathsTimeS!NewSouthWales100dt</f>
        <v>4</v>
      </c>
      <c r="MG85" s="11">
        <f ca="1">INDEX(OFFSET(DeathsTimeS!HeadRow,ROW()-ROW(DeathsTimeS!HeadRow),0,1,COLUMNS(DeathsTimeS!HeadRow)),1,MATCH(MG$5,DeathsTimeS!HeadRow,0))/MG$8</f>
        <v>19.801980198019802</v>
      </c>
      <c r="MH85" s="278">
        <f ca="1">$A85 - DeathsTimeS!NewYork100dt</f>
        <v>20</v>
      </c>
      <c r="MI85" s="20">
        <f ca="1">INDEX(OFFSET(DeathsTimeS!HeadRow,ROW()-ROW(DeathsTimeS!HeadRow),0,1,COLUMNS(DeathsTimeS!HeadRow)),1,MATCH(MI$5,DeathsTimeS!HeadRow,0))/MI$8</f>
        <v>2871.5851255699527</v>
      </c>
      <c r="MJ85" s="278">
        <f ca="1">$A85 - DeathsTimeS!Italy100dt</f>
        <v>33</v>
      </c>
      <c r="MK85" s="20">
        <f ca="1">INDEX(OFFSET(DeathsTimeS!HeadRow,ROW()-ROW(DeathsTimeS!HeadRow),0,1,COLUMNS(DeathsTimeS!HeadRow)),1,MATCH(MK$5,DeathsTimeS!HeadRow,0))/MK$8</f>
        <v>2626.6016367694469</v>
      </c>
      <c r="ML85" s="278">
        <f ca="1">$A85 - DeathsTimeS!AustralianCapitalTerritory100dt</f>
        <v>6</v>
      </c>
      <c r="MM85" s="11">
        <f ca="1">INDEX(OFFSET(DeathsTimeS!HeadRow,ROW()-ROW(DeathsTimeS!HeadRow),0,1,COLUMNS(DeathsTimeS!HeadRow)),1,MATCH(MM$5,DeathsTimeS!HeadRow,0))/MM$8</f>
        <v>46.722422090361171</v>
      </c>
      <c r="MN85" s="278">
        <f ca="1">IF(DeathsTimeS!NorthernTerritory100dt&gt;0,$A85 - DeathsTimeS!NorthernTerritory100dt,"")</f>
        <v>-22</v>
      </c>
      <c r="MO85" s="11">
        <f ca="1">INDEX(OFFSET(DeathsTimeS!HeadRow,ROW()-ROW(DeathsTimeS!HeadRow),0,1,COLUMNS(DeathsTimeS!HeadRow)),1,MATCH(MO$5,DeathsTimeS!HeadRow,0))/MO$8</f>
        <v>0</v>
      </c>
      <c r="MP85" s="278">
        <f ca="1">$A85 - DeathsTimeS!SouthAfrica100dt + 1</f>
        <v>-14</v>
      </c>
      <c r="MQ85" s="20">
        <f ca="1">INDEX(OFFSET(DeathsTimeS!HeadRow,ROW()-ROW(DeathsTimeS!HeadRow),0,1,COLUMNS(DeathsTimeS!HeadRow)),1,MATCH(MQ$5,DeathsTimeS!HeadRow,0))/MQ$8</f>
        <v>1.9037729318103151</v>
      </c>
      <c r="MR85" s="278">
        <f ca="1">$A85 - DeathsTimeS!Germany100dt + 1</f>
        <v>16</v>
      </c>
      <c r="MS85" s="20">
        <f ca="1">INDEX(OFFSET(DeathsTimeS!HeadRow,ROW()-ROW(DeathsTimeS!HeadRow),0,1,COLUMNS(DeathsTimeS!HeadRow)),1,MATCH(MS$5,DeathsTimeS!HeadRow,0))/MS$8</f>
        <v>190.79739821729706</v>
      </c>
      <c r="MT85" s="278">
        <f ca="1">$A85 - DeathsTimeS!Ireland100dt + 1</f>
        <v>14</v>
      </c>
      <c r="MU85" s="73">
        <f ca="1">INDEX(OFFSET(DeathsTimeS!HeadRow,ROW()-ROW(DeathsTimeS!HeadRow),0,1,COLUMNS(DeathsTimeS!HeadRow)),1,MATCH(MU$5,DeathsTimeS!HeadRow,0))/MU$8</f>
        <v>322.44897959183675</v>
      </c>
      <c r="MV85" s="278">
        <f ca="1">$A85 - DeathsTimeS!UnitedKingdom100dt + 1</f>
        <v>20</v>
      </c>
      <c r="MW85" s="73">
        <f ca="1">INDEX(OFFSET(DeathsTimeS!HeadRow,ROW()-ROW(DeathsTimeS!HeadRow),0,1,COLUMNS(DeathsTimeS!HeadRow)),1,MATCH(MW$5,DeathsTimeS!HeadRow,0))/MW$8</f>
        <v>882.75135460565923</v>
      </c>
      <c r="MX85" s="278">
        <f ca="1">$A85 - DeathsTimeS!Denmark100dt + 1</f>
        <v>18</v>
      </c>
      <c r="MY85" s="73">
        <f ca="1">INDEX(OFFSET(DeathsTimeS!HeadRow,ROW()-ROW(DeathsTimeS!HeadRow),0,1,COLUMNS(DeathsTimeS!HeadRow)),1,MATCH(MY$5,DeathsTimeS!HeadRow,0))/MY$8</f>
        <v>308.30175680330694</v>
      </c>
      <c r="MZ85" s="278">
        <f ca="1">$A85 - DeathsTimeS!US100dt + 1</f>
        <v>17</v>
      </c>
      <c r="NA85" s="73">
        <f ca="1">INDEX(OFFSET(DeathsTimeS!HeadRow,ROW()-ROW(DeathsTimeS!HeadRow),0,1,COLUMNS(DeathsTimeS!HeadRow)),1,MATCH(NA$5,DeathsTimeS!HeadRow,0))/NA$8</f>
        <v>375.8796198179482</v>
      </c>
      <c r="NB85" s="278">
        <f ca="1">$A85 - DeathsTimeS!AustraliaSum100dt + 1</f>
        <v>11</v>
      </c>
      <c r="NC85" s="366">
        <f t="shared" si="7"/>
        <v>35</v>
      </c>
      <c r="ND85" s="278">
        <f ca="1">$A85 - DeathsTimeS!Taiwan100dt + 1</f>
        <v>-21</v>
      </c>
      <c r="NE85" s="366">
        <f ca="1">INDEX(OFFSET(DeathsTimeS!HeadRow,ROW()-ROW(DeathsTimeS!HeadRow),0,1,COLUMNS(DeathsTimeS!HeadRow)),1,MATCH(NE$5,DeathsTimeS!HeadRow,0))/NE$8</f>
        <v>2.1001977462189929</v>
      </c>
      <c r="NF85" s="278">
        <f ca="1">$A85 - DeathsTimeS!Hubei100dt + 1</f>
        <v>70</v>
      </c>
      <c r="NG85" s="366">
        <f ca="1">INDEX(OFFSET(DeathsTimeS!HeadRow,ROW()-ROW(DeathsTimeS!HeadRow),0,1,COLUMNS(DeathsTimeS!HeadRow)),1,MATCH(NG$5,DeathsTimeS!HeadRow,0))/NG$8</f>
        <v>548.71794871794873</v>
      </c>
      <c r="NH85" s="278">
        <f ca="1">$A85 - DeathsTimeS!HongKong100dt + 1</f>
        <v>-21</v>
      </c>
      <c r="NI85" s="366">
        <f ca="1">INDEX(OFFSET(DeathsTimeS!HeadRow,ROW()-ROW(DeathsTimeS!HeadRow),0,1,COLUMNS(DeathsTimeS!HeadRow)),1,MATCH(NI$5,DeathsTimeS!HeadRow,0))/NI$8</f>
        <v>5.3684069252449333</v>
      </c>
    </row>
    <row r="86" spans="1:373" x14ac:dyDescent="0.25">
      <c r="A86" s="156">
        <v>43927</v>
      </c>
      <c r="B86" s="25">
        <v>11</v>
      </c>
      <c r="C86" s="25">
        <v>21</v>
      </c>
      <c r="D86" s="25">
        <v>173</v>
      </c>
      <c r="E86" s="25">
        <v>21</v>
      </c>
      <c r="F86" s="25">
        <v>2</v>
      </c>
      <c r="G86" s="25">
        <v>0</v>
      </c>
      <c r="H86" s="25">
        <v>48</v>
      </c>
      <c r="I86" s="25">
        <v>8</v>
      </c>
      <c r="J86" s="25">
        <v>2</v>
      </c>
      <c r="K86" s="25">
        <v>18</v>
      </c>
      <c r="L86" s="25">
        <v>0</v>
      </c>
      <c r="M86" s="25">
        <v>4</v>
      </c>
      <c r="N86" s="25">
        <v>0</v>
      </c>
      <c r="O86" s="25">
        <v>2</v>
      </c>
      <c r="P86" s="25">
        <v>10</v>
      </c>
      <c r="Q86" s="25">
        <v>4</v>
      </c>
      <c r="R86" s="25">
        <v>220</v>
      </c>
      <c r="S86" s="25">
        <v>7</v>
      </c>
      <c r="T86" s="25">
        <v>5</v>
      </c>
      <c r="U86" s="25">
        <v>4</v>
      </c>
      <c r="V86" s="25">
        <v>12</v>
      </c>
      <c r="W86" s="25">
        <v>2</v>
      </c>
      <c r="X86" s="25">
        <v>13</v>
      </c>
      <c r="Y86" s="25">
        <v>1632</v>
      </c>
      <c r="Z86" s="25">
        <v>1</v>
      </c>
      <c r="AA86" s="25">
        <v>0</v>
      </c>
      <c r="AB86" s="25">
        <v>11</v>
      </c>
      <c r="AC86" s="25">
        <v>29</v>
      </c>
      <c r="AD86" s="25">
        <v>564</v>
      </c>
      <c r="AE86" s="25">
        <v>1</v>
      </c>
      <c r="AF86" s="25">
        <v>22</v>
      </c>
      <c r="AG86" s="25">
        <v>18</v>
      </c>
      <c r="AH86" s="25">
        <v>1</v>
      </c>
      <c r="AI86" s="25">
        <v>0</v>
      </c>
      <c r="AJ86" s="25">
        <v>9</v>
      </c>
      <c r="AK86" s="25">
        <v>23</v>
      </c>
      <c r="AL86" s="25">
        <v>38</v>
      </c>
      <c r="AM86" s="25">
        <v>0</v>
      </c>
      <c r="AN86" s="25">
        <v>2</v>
      </c>
      <c r="AO86" s="25">
        <v>0</v>
      </c>
      <c r="AP86" s="25">
        <v>1</v>
      </c>
      <c r="AQ86" s="25">
        <v>0</v>
      </c>
      <c r="AR86" s="25">
        <v>150</v>
      </c>
      <c r="AS86" s="25">
        <v>0</v>
      </c>
      <c r="AT86" s="25">
        <v>121</v>
      </c>
      <c r="AU86" s="25">
        <v>3</v>
      </c>
      <c r="AV86" s="25">
        <v>0</v>
      </c>
      <c r="AW86" s="25">
        <v>0</v>
      </c>
      <c r="AX86" s="25">
        <v>37</v>
      </c>
      <c r="AY86" s="25">
        <v>6</v>
      </c>
      <c r="AZ86" s="25">
        <v>8</v>
      </c>
      <c r="BA86" s="25">
        <v>6</v>
      </c>
      <c r="BB86" s="25">
        <v>1</v>
      </c>
      <c r="BC86" s="25">
        <v>2</v>
      </c>
      <c r="BD86" s="25">
        <v>8</v>
      </c>
      <c r="BE86" s="25">
        <v>2</v>
      </c>
      <c r="BF86" s="25">
        <v>2</v>
      </c>
      <c r="BG86" s="25">
        <v>6</v>
      </c>
      <c r="BH86" s="25">
        <v>6</v>
      </c>
      <c r="BI86" s="25">
        <v>13</v>
      </c>
      <c r="BJ86" s="25">
        <v>22</v>
      </c>
      <c r="BK86" s="25">
        <v>4</v>
      </c>
      <c r="BL86" s="25">
        <v>3212</v>
      </c>
      <c r="BM86" s="25">
        <v>4</v>
      </c>
      <c r="BN86" s="25">
        <v>1</v>
      </c>
      <c r="BO86" s="25">
        <v>0</v>
      </c>
      <c r="BP86" s="25">
        <v>1</v>
      </c>
      <c r="BQ86" s="25">
        <v>1</v>
      </c>
      <c r="BR86" s="25">
        <v>2</v>
      </c>
      <c r="BS86" s="25">
        <v>0</v>
      </c>
      <c r="BT86" s="25">
        <v>0</v>
      </c>
      <c r="BU86" s="25">
        <v>0</v>
      </c>
      <c r="BV86" s="25">
        <v>3</v>
      </c>
      <c r="BW86" s="25">
        <v>7</v>
      </c>
      <c r="BX86" s="25">
        <v>6</v>
      </c>
      <c r="BY86" s="25">
        <v>0</v>
      </c>
      <c r="BZ86" s="25">
        <v>3</v>
      </c>
      <c r="CA86" s="25">
        <v>3</v>
      </c>
      <c r="CB86" s="25">
        <v>0</v>
      </c>
      <c r="CC86" s="25">
        <v>3</v>
      </c>
      <c r="CD86" s="25">
        <v>2</v>
      </c>
      <c r="CE86" s="25">
        <v>1</v>
      </c>
      <c r="CF86" s="25">
        <v>46</v>
      </c>
      <c r="CG86" s="25">
        <v>5</v>
      </c>
      <c r="CH86" s="25">
        <v>18</v>
      </c>
      <c r="CI86" s="25">
        <v>2</v>
      </c>
      <c r="CJ86" s="25">
        <v>3</v>
      </c>
      <c r="CK86" s="25">
        <v>16</v>
      </c>
      <c r="CL86" s="25">
        <v>11</v>
      </c>
      <c r="CM86" s="25">
        <v>9</v>
      </c>
      <c r="CN86" s="25">
        <v>9</v>
      </c>
      <c r="CO86" s="25">
        <v>78</v>
      </c>
      <c r="CP86" s="25">
        <v>0</v>
      </c>
      <c r="CQ86" s="25">
        <v>0</v>
      </c>
      <c r="CR86" s="25">
        <v>187</v>
      </c>
      <c r="CS86" s="25">
        <v>0</v>
      </c>
      <c r="CT86" s="25">
        <v>86</v>
      </c>
      <c r="CU86" s="25">
        <v>191</v>
      </c>
      <c r="CV86" s="25">
        <v>85</v>
      </c>
      <c r="CW86" s="25">
        <v>4</v>
      </c>
      <c r="CX86" s="25">
        <v>0</v>
      </c>
      <c r="CY86" s="25">
        <v>0</v>
      </c>
      <c r="CZ86" s="25">
        <v>19</v>
      </c>
      <c r="DA86" s="25">
        <v>0</v>
      </c>
      <c r="DB86" s="25">
        <v>2</v>
      </c>
      <c r="DC86" s="25">
        <v>0</v>
      </c>
      <c r="DD86" s="25">
        <v>27</v>
      </c>
      <c r="DE86" s="25">
        <v>0</v>
      </c>
      <c r="DF86" s="25">
        <v>0</v>
      </c>
      <c r="DG86" s="25">
        <v>7</v>
      </c>
      <c r="DH86" s="25">
        <v>2</v>
      </c>
      <c r="DI86" s="25">
        <v>0</v>
      </c>
      <c r="DJ86" s="25">
        <v>0</v>
      </c>
      <c r="DK86" s="25">
        <v>0</v>
      </c>
      <c r="DL86" s="25">
        <v>2</v>
      </c>
      <c r="DM86" s="25">
        <v>4</v>
      </c>
      <c r="DN86" s="25">
        <v>8911</v>
      </c>
      <c r="DO86" s="25">
        <v>1</v>
      </c>
      <c r="DP86" s="25">
        <v>1</v>
      </c>
      <c r="DQ86" s="25">
        <v>2</v>
      </c>
      <c r="DR86" s="25">
        <v>1810</v>
      </c>
      <c r="DS86" s="25">
        <v>5</v>
      </c>
      <c r="DT86" s="25">
        <v>79</v>
      </c>
      <c r="DU86" s="25">
        <v>3</v>
      </c>
      <c r="DV86" s="25">
        <v>0</v>
      </c>
      <c r="DW86" s="25">
        <v>4</v>
      </c>
      <c r="DX86" s="25">
        <v>1</v>
      </c>
      <c r="DY86" s="25">
        <v>0</v>
      </c>
      <c r="DZ86" s="25">
        <v>22</v>
      </c>
      <c r="EA86" s="25">
        <v>38</v>
      </c>
      <c r="EB86" s="25">
        <v>6</v>
      </c>
      <c r="EC86" s="25">
        <v>136</v>
      </c>
      <c r="ED86" s="25">
        <v>209</v>
      </c>
      <c r="EE86" s="25">
        <v>3739</v>
      </c>
      <c r="EF86" s="25">
        <v>64</v>
      </c>
      <c r="EG86" s="25">
        <v>174</v>
      </c>
      <c r="EH86" s="25">
        <v>57</v>
      </c>
      <c r="EI86" s="25">
        <v>16523</v>
      </c>
      <c r="EJ86" s="25">
        <v>3</v>
      </c>
      <c r="EK86" s="25">
        <v>85</v>
      </c>
      <c r="EL86" s="25">
        <v>6</v>
      </c>
      <c r="EM86" s="25">
        <v>6</v>
      </c>
      <c r="EN86" s="25">
        <v>6</v>
      </c>
      <c r="EO86" s="25">
        <v>186</v>
      </c>
      <c r="EP86" s="25">
        <v>1</v>
      </c>
      <c r="EQ86" s="25">
        <v>4</v>
      </c>
      <c r="ER86" s="25">
        <v>1</v>
      </c>
      <c r="ES86" s="25">
        <v>19</v>
      </c>
      <c r="ET86" s="25">
        <v>3</v>
      </c>
      <c r="EU86" s="25">
        <v>1</v>
      </c>
      <c r="EV86" s="25">
        <v>15</v>
      </c>
      <c r="EW86" s="25">
        <v>41</v>
      </c>
      <c r="EX86" s="25">
        <v>0</v>
      </c>
      <c r="EY86" s="25">
        <v>62</v>
      </c>
      <c r="EZ86" s="25">
        <v>0</v>
      </c>
      <c r="FA86" s="25">
        <v>0</v>
      </c>
      <c r="FB86" s="25">
        <v>1</v>
      </c>
      <c r="FC86" s="25">
        <v>7</v>
      </c>
      <c r="FD86" s="25">
        <v>125</v>
      </c>
      <c r="FE86" s="25">
        <v>19</v>
      </c>
      <c r="FF86" s="25">
        <v>1</v>
      </c>
      <c r="FG86" s="25">
        <v>0</v>
      </c>
      <c r="FH86" s="25">
        <v>2</v>
      </c>
      <c r="FI86" s="25">
        <v>80</v>
      </c>
      <c r="FJ86" s="25">
        <v>0</v>
      </c>
      <c r="FK86" s="25">
        <v>0</v>
      </c>
      <c r="FL86" s="25">
        <v>0</v>
      </c>
      <c r="FM86" s="25">
        <v>1</v>
      </c>
      <c r="FN86" s="25">
        <v>6</v>
      </c>
      <c r="FO86" s="25">
        <v>1867</v>
      </c>
      <c r="FP86" s="25">
        <v>1</v>
      </c>
      <c r="FQ86" s="25">
        <v>1</v>
      </c>
      <c r="FR86" s="25">
        <v>10</v>
      </c>
      <c r="FS86" s="25">
        <v>5</v>
      </c>
      <c r="FT86" s="25">
        <v>23</v>
      </c>
      <c r="FU86" s="25">
        <v>76</v>
      </c>
      <c r="FV86" s="25">
        <v>2</v>
      </c>
      <c r="FW86" s="25">
        <v>53</v>
      </c>
      <c r="FX86" s="25">
        <v>54</v>
      </c>
      <c r="FY86" s="25">
        <v>0</v>
      </c>
      <c r="FZ86" s="25">
        <v>5</v>
      </c>
      <c r="GA86" s="25">
        <v>92</v>
      </c>
      <c r="GB86" s="25">
        <v>163</v>
      </c>
      <c r="GC86" s="25">
        <v>107</v>
      </c>
      <c r="GD86" s="25">
        <v>311</v>
      </c>
      <c r="GE86" s="25">
        <v>4</v>
      </c>
      <c r="GF86" s="25">
        <v>176</v>
      </c>
      <c r="GG86" s="25">
        <v>47</v>
      </c>
      <c r="GH86" s="25">
        <v>0</v>
      </c>
      <c r="GI86" s="25">
        <v>0</v>
      </c>
      <c r="GJ86" s="25">
        <v>0</v>
      </c>
      <c r="GK86" s="25">
        <v>32</v>
      </c>
      <c r="GL86" s="25">
        <v>38</v>
      </c>
      <c r="GM86" s="25">
        <v>2</v>
      </c>
      <c r="GN86" s="25">
        <v>58</v>
      </c>
      <c r="GO86" s="25">
        <v>0</v>
      </c>
      <c r="GP86" s="25">
        <v>6</v>
      </c>
      <c r="GQ86" s="25">
        <v>2</v>
      </c>
      <c r="GR86" s="25">
        <v>30</v>
      </c>
      <c r="GS86" s="25">
        <v>0</v>
      </c>
      <c r="GT86" s="25">
        <v>12</v>
      </c>
      <c r="GU86" s="25">
        <v>13341</v>
      </c>
      <c r="GV86" s="25">
        <v>5</v>
      </c>
      <c r="GW86" s="25">
        <v>2</v>
      </c>
      <c r="GX86" s="25">
        <v>1</v>
      </c>
      <c r="GY86" s="46">
        <v>477</v>
      </c>
      <c r="GZ86" s="25">
        <v>765</v>
      </c>
      <c r="HA86" s="25">
        <v>5</v>
      </c>
      <c r="HB86" s="25">
        <v>1</v>
      </c>
      <c r="HC86" s="25">
        <v>26</v>
      </c>
      <c r="HD86" s="25">
        <v>3</v>
      </c>
      <c r="HE86" s="25">
        <v>8</v>
      </c>
      <c r="HF86" s="25">
        <v>22</v>
      </c>
      <c r="HG86" s="25">
        <v>649</v>
      </c>
      <c r="HH86" s="25">
        <v>0</v>
      </c>
      <c r="HI86" s="25">
        <v>38</v>
      </c>
      <c r="HJ86" s="25">
        <v>11</v>
      </c>
      <c r="HK86" s="25">
        <v>2</v>
      </c>
      <c r="HL86" s="25">
        <v>1</v>
      </c>
      <c r="HM86" s="25">
        <v>7</v>
      </c>
      <c r="HN86" s="25">
        <v>0</v>
      </c>
      <c r="HO86" s="25">
        <v>1</v>
      </c>
      <c r="HP86" s="25">
        <v>0</v>
      </c>
      <c r="HQ86" s="25">
        <v>6433</v>
      </c>
      <c r="HR86" s="25">
        <v>6</v>
      </c>
      <c r="HS86" s="25">
        <v>13894</v>
      </c>
      <c r="HT86" s="25">
        <v>2</v>
      </c>
      <c r="HU86" s="25">
        <v>7</v>
      </c>
      <c r="HV86" s="25">
        <v>0</v>
      </c>
      <c r="HW86" s="25">
        <v>1</v>
      </c>
      <c r="HX86" s="25">
        <v>1</v>
      </c>
      <c r="HY86" s="25">
        <v>1</v>
      </c>
      <c r="HZ86" s="25">
        <v>0</v>
      </c>
      <c r="IA86" s="25">
        <v>0</v>
      </c>
      <c r="IB86" s="25">
        <v>0</v>
      </c>
      <c r="IC86" s="25">
        <v>2</v>
      </c>
      <c r="ID86" s="25">
        <v>0</v>
      </c>
      <c r="IE86" s="25">
        <v>1</v>
      </c>
      <c r="IF86" s="25">
        <v>0</v>
      </c>
      <c r="IG86" s="25">
        <v>0</v>
      </c>
      <c r="IH86" s="25">
        <v>1</v>
      </c>
      <c r="II86" s="25">
        <v>1</v>
      </c>
      <c r="IJ86" s="25">
        <v>0</v>
      </c>
      <c r="IK86" s="25">
        <v>5</v>
      </c>
      <c r="IL86" s="25">
        <v>0</v>
      </c>
      <c r="IM86" s="25">
        <v>0</v>
      </c>
      <c r="IN86" s="25">
        <v>0</v>
      </c>
      <c r="IO86" s="25">
        <v>1</v>
      </c>
      <c r="IP86" s="25">
        <v>1</v>
      </c>
      <c r="IQ86" s="25">
        <v>0</v>
      </c>
      <c r="IR86" s="25">
        <v>0</v>
      </c>
      <c r="IS86" s="25">
        <v>1</v>
      </c>
      <c r="IT86" s="25">
        <v>2</v>
      </c>
      <c r="IU86" s="25">
        <v>1</v>
      </c>
      <c r="IV86" s="25">
        <v>0</v>
      </c>
      <c r="IW86" s="25">
        <v>0</v>
      </c>
      <c r="IX86" s="25">
        <v>0</v>
      </c>
      <c r="IY86" s="25">
        <v>0</v>
      </c>
      <c r="IZ86" s="25">
        <v>0</v>
      </c>
      <c r="JA86" s="25">
        <v>0</v>
      </c>
      <c r="JB86" s="25">
        <v>0</v>
      </c>
      <c r="JC86" s="25">
        <v>0</v>
      </c>
      <c r="JD86" s="25">
        <v>0</v>
      </c>
      <c r="JE86" s="25">
        <v>0</v>
      </c>
      <c r="JF86" s="25">
        <v>0</v>
      </c>
      <c r="JG86" s="25">
        <v>0</v>
      </c>
      <c r="JH86" s="25">
        <v>0</v>
      </c>
      <c r="JI86" s="25">
        <v>4</v>
      </c>
      <c r="JJ86" s="25">
        <v>1</v>
      </c>
      <c r="JK86" s="25">
        <v>21</v>
      </c>
      <c r="JL86" s="25">
        <v>1</v>
      </c>
      <c r="JM86" s="25">
        <v>49</v>
      </c>
      <c r="JN86" s="25">
        <v>6</v>
      </c>
      <c r="JO86" s="25">
        <v>65</v>
      </c>
      <c r="JP86" s="25">
        <v>16</v>
      </c>
      <c r="JQ86" s="25">
        <v>380</v>
      </c>
      <c r="JR86" s="25">
        <v>150</v>
      </c>
      <c r="JS86" s="25">
        <v>206</v>
      </c>
      <c r="JT86" s="25">
        <v>15</v>
      </c>
      <c r="JU86" s="25">
        <v>24</v>
      </c>
      <c r="JV86" s="25">
        <v>236</v>
      </c>
      <c r="JW86" s="25">
        <v>229</v>
      </c>
      <c r="JX86" s="25">
        <v>5</v>
      </c>
      <c r="JY86" s="25">
        <v>10</v>
      </c>
      <c r="JZ86" s="25">
        <v>307</v>
      </c>
      <c r="KA86" s="25">
        <v>143</v>
      </c>
      <c r="KB86" s="25">
        <v>25</v>
      </c>
      <c r="KC86" s="25">
        <v>25</v>
      </c>
      <c r="KD86" s="25">
        <v>45</v>
      </c>
      <c r="KE86" s="25">
        <v>512</v>
      </c>
      <c r="KF86" s="25">
        <v>10</v>
      </c>
      <c r="KG86" s="25">
        <v>91</v>
      </c>
      <c r="KH86" s="25">
        <v>260</v>
      </c>
      <c r="KI86" s="25">
        <v>727</v>
      </c>
      <c r="KJ86" s="25">
        <v>30</v>
      </c>
      <c r="KK86" s="25">
        <v>51</v>
      </c>
      <c r="KL86" s="25">
        <v>47</v>
      </c>
      <c r="KM86" s="25">
        <v>6</v>
      </c>
      <c r="KN86" s="25">
        <v>9</v>
      </c>
      <c r="KO86" s="25">
        <v>46</v>
      </c>
      <c r="KP86" s="25">
        <v>9</v>
      </c>
      <c r="KQ86" s="25">
        <v>1003</v>
      </c>
      <c r="KR86" s="25">
        <v>12</v>
      </c>
      <c r="KS86" s="25">
        <v>7809</v>
      </c>
      <c r="KT86" s="25">
        <v>45</v>
      </c>
      <c r="KU86" s="25">
        <v>3</v>
      </c>
      <c r="KV86" s="25">
        <v>142</v>
      </c>
      <c r="KW86" s="25">
        <v>51</v>
      </c>
      <c r="KX86" s="25">
        <v>27</v>
      </c>
      <c r="KY86" s="25">
        <v>179</v>
      </c>
      <c r="KZ86" s="25">
        <v>27</v>
      </c>
      <c r="LA86" s="25">
        <v>48</v>
      </c>
      <c r="LB86" s="25">
        <v>4</v>
      </c>
      <c r="LC86" s="25">
        <v>65</v>
      </c>
      <c r="LD86" s="25">
        <v>150</v>
      </c>
      <c r="LE86" s="25">
        <v>13</v>
      </c>
      <c r="LF86" s="25">
        <v>23</v>
      </c>
      <c r="LG86" s="25">
        <v>66</v>
      </c>
      <c r="LH86" s="25">
        <v>381</v>
      </c>
      <c r="LI86" s="25">
        <v>4</v>
      </c>
      <c r="LJ86" s="25">
        <v>78</v>
      </c>
      <c r="LK86" s="25">
        <v>0</v>
      </c>
      <c r="LL86" s="25">
        <v>0</v>
      </c>
      <c r="LM86" s="25">
        <v>3</v>
      </c>
      <c r="LN86" s="278">
        <f ca="1">$A86 - DeathsTimeS!Sweden100dt + 1</f>
        <v>19</v>
      </c>
      <c r="LO86" s="366">
        <f ca="1">INDEX(OFFSET(DeathsTimeS!HeadRow,ROW()-ROW(DeathsTimeS!HeadRow),0,1,COLUMNS(DeathsTimeS!HeadRow)),1,MATCH(LO$5,DeathsTimeS!HeadRow,0))/LO$8</f>
        <v>466.27565982404695</v>
      </c>
      <c r="LP86" s="278">
        <f ca="1">$A86 - DeathsTimeS!Spain100dt</f>
        <v>26</v>
      </c>
      <c r="LQ86" s="11">
        <f ca="1">INDEX(OFFSET(DeathsTimeS!HeadRow,ROW()-ROW(DeathsTimeS!HeadRow),0,1,COLUMNS(DeathsTimeS!HeadRow)),1,MATCH(LQ$5,DeathsTimeS!HeadRow,0))/LQ$8</f>
        <v>2842.1389007243288</v>
      </c>
      <c r="LR86" s="278">
        <f ca="1">$A86 - DeathsTimeS!Victoria100dt</f>
        <v>3</v>
      </c>
      <c r="LS86" s="11">
        <f ca="1">INDEX(OFFSET(DeathsTimeS!HeadRow,ROW()-ROW(DeathsTimeS!HeadRow),0,1,COLUMNS(DeathsTimeS!HeadRow)),1,MATCH(LS$5,DeathsTimeS!HeadRow,0))/LS$8</f>
        <v>15.085231558304418</v>
      </c>
      <c r="LT86" s="278">
        <f ca="1">$A86 - DeathsTimeS!Iran100dt</f>
        <v>33</v>
      </c>
      <c r="LU86" s="11">
        <f ca="1">INDEX(OFFSET(DeathsTimeS!HeadRow,ROW()-ROW(DeathsTimeS!HeadRow),0,1,COLUMNS(DeathsTimeS!HeadRow)),1,MATCH(LU$5,DeathsTimeS!HeadRow,0))/LU$8</f>
        <v>446.32518830649491</v>
      </c>
      <c r="LV86" s="278">
        <f ca="1">$A86 - DeathsTimeS!Japan100dt</f>
        <v>-8</v>
      </c>
      <c r="LW86" s="11">
        <f ca="1">INDEX(OFFSET(DeathsTimeS!HeadRow,ROW()-ROW(DeathsTimeS!HeadRow),0,1,COLUMNS(DeathsTimeS!HeadRow)),1,MATCH(LW$5,DeathsTimeS!HeadRow,0))/LW$8</f>
        <v>6.7164896925627993</v>
      </c>
      <c r="LX86" s="278">
        <f ca="1">$A86 - DeathsTimeS!Queensland100dt</f>
        <v>-12</v>
      </c>
      <c r="LY86" s="11">
        <f ca="1">INDEX(OFFSET(DeathsTimeS!HeadRow,ROW()-ROW(DeathsTimeS!HeadRow),0,1,COLUMNS(DeathsTimeS!HeadRow)),1,MATCH(LY$5,DeathsTimeS!HeadRow,0))/LY$8</f>
        <v>7.8194473957428192</v>
      </c>
      <c r="LZ86" s="278">
        <f ca="1">$A86 - DeathsTimeS!Tasmania100dt</f>
        <v>6</v>
      </c>
      <c r="MA86" s="11">
        <f ca="1">INDEX(OFFSET(DeathsTimeS!HeadRow,ROW()-ROW(DeathsTimeS!HeadRow),0,1,COLUMNS(DeathsTimeS!HeadRow)),1,MATCH(MA$5,DeathsTimeS!HeadRow,0))/MA$8</f>
        <v>38.834951456310684</v>
      </c>
      <c r="MB86" s="278">
        <f ca="1">$A86 - DeathsTimeS!SouthAustralia100dt</f>
        <v>-2</v>
      </c>
      <c r="MC86" s="11">
        <f ca="1">INDEX(OFFSET(DeathsTimeS!HeadRow,ROW()-ROW(DeathsTimeS!HeadRow),0,1,COLUMNS(DeathsTimeS!HeadRow)),1,MATCH(MC$5,DeathsTimeS!HeadRow,0))/MC$8</f>
        <v>0</v>
      </c>
      <c r="MD86" s="278">
        <f ca="1">$A86 - DeathsTimeS!WesternAustralia100dt</f>
        <v>1</v>
      </c>
      <c r="ME86" s="11">
        <f ca="1">INDEX(OFFSET(DeathsTimeS!HeadRow,ROW()-ROW(DeathsTimeS!HeadRow),0,1,COLUMNS(DeathsTimeS!HeadRow)),1,MATCH(ME$5,DeathsTimeS!HeadRow,0))/ME$8</f>
        <v>15.449980687524139</v>
      </c>
      <c r="MF86" s="278">
        <f ca="1">$A86 - DeathsTimeS!NewSouthWales100dt</f>
        <v>5</v>
      </c>
      <c r="MG86" s="11">
        <f ca="1">INDEX(OFFSET(DeathsTimeS!HeadRow,ROW()-ROW(DeathsTimeS!HeadRow),0,1,COLUMNS(DeathsTimeS!HeadRow)),1,MATCH(MG$5,DeathsTimeS!HeadRow,0))/MG$8</f>
        <v>22.277227722772277</v>
      </c>
      <c r="MH86" s="278">
        <f ca="1">$A86 - DeathsTimeS!NewYork100dt</f>
        <v>21</v>
      </c>
      <c r="MI86" s="20">
        <f ca="1">INDEX(OFFSET(DeathsTimeS!HeadRow,ROW()-ROW(DeathsTimeS!HeadRow),0,1,COLUMNS(DeathsTimeS!HeadRow)),1,MATCH(MI$5,DeathsTimeS!HeadRow,0))/MI$8</f>
        <v>3304.9680538799939</v>
      </c>
      <c r="MJ86" s="278">
        <f ca="1">$A86 - DeathsTimeS!Italy100dt</f>
        <v>34</v>
      </c>
      <c r="MK86" s="20">
        <f ca="1">INDEX(OFFSET(DeathsTimeS!HeadRow,ROW()-ROW(DeathsTimeS!HeadRow),0,1,COLUMNS(DeathsTimeS!HeadRow)),1,MATCH(MK$5,DeathsTimeS!HeadRow,0))/MK$8</f>
        <v>2731.7516739687526</v>
      </c>
      <c r="ML86" s="278">
        <f ca="1">$A86 - DeathsTimeS!AustralianCapitalTerritory100dt</f>
        <v>7</v>
      </c>
      <c r="MM86" s="11">
        <f ca="1">INDEX(OFFSET(DeathsTimeS!HeadRow,ROW()-ROW(DeathsTimeS!HeadRow),0,1,COLUMNS(DeathsTimeS!HeadRow)),1,MATCH(MM$5,DeathsTimeS!HeadRow,0))/MM$8</f>
        <v>46.722422090361171</v>
      </c>
      <c r="MN86" s="278">
        <f ca="1">IF(DeathsTimeS!NorthernTerritory100dt&gt;0,$A86 - DeathsTimeS!NorthernTerritory100dt,"")</f>
        <v>-21</v>
      </c>
      <c r="MO86" s="11">
        <f ca="1">INDEX(OFFSET(DeathsTimeS!HeadRow,ROW()-ROW(DeathsTimeS!HeadRow),0,1,COLUMNS(DeathsTimeS!HeadRow)),1,MATCH(MO$5,DeathsTimeS!HeadRow,0))/MO$8</f>
        <v>0</v>
      </c>
      <c r="MP86" s="278">
        <f ca="1">$A86 - DeathsTimeS!SouthAfrica100dt + 1</f>
        <v>-13</v>
      </c>
      <c r="MQ86" s="20">
        <f ca="1">INDEX(OFFSET(DeathsTimeS!HeadRow,ROW()-ROW(DeathsTimeS!HeadRow),0,1,COLUMNS(DeathsTimeS!HeadRow)),1,MATCH(MQ$5,DeathsTimeS!HeadRow,0))/MQ$8</f>
        <v>2.0768431983385254</v>
      </c>
      <c r="MR86" s="278">
        <f ca="1">$A86 - DeathsTimeS!Germany100dt + 1</f>
        <v>17</v>
      </c>
      <c r="MS86" s="20">
        <f ca="1">INDEX(OFFSET(DeathsTimeS!HeadRow,ROW()-ROW(DeathsTimeS!HeadRow),0,1,COLUMNS(DeathsTimeS!HeadRow)),1,MATCH(MS$5,DeathsTimeS!HeadRow,0))/MS$8</f>
        <v>218.01975427607806</v>
      </c>
      <c r="MT86" s="278">
        <f ca="1">$A86 - DeathsTimeS!Ireland100dt + 1</f>
        <v>15</v>
      </c>
      <c r="MU86" s="73">
        <f ca="1">INDEX(OFFSET(DeathsTimeS!HeadRow,ROW()-ROW(DeathsTimeS!HeadRow),0,1,COLUMNS(DeathsTimeS!HeadRow)),1,MATCH(MU$5,DeathsTimeS!HeadRow,0))/MU$8</f>
        <v>355.10204081632656</v>
      </c>
      <c r="MV86" s="278">
        <f ca="1">$A86 - DeathsTimeS!UnitedKingdom100dt + 1</f>
        <v>21</v>
      </c>
      <c r="MW86" s="73">
        <f ca="1">INDEX(OFFSET(DeathsTimeS!HeadRow,ROW()-ROW(DeathsTimeS!HeadRow),0,1,COLUMNS(DeathsTimeS!HeadRow)),1,MATCH(MW$5,DeathsTimeS!HeadRow,0))/MW$8</f>
        <v>968.24202287778439</v>
      </c>
      <c r="MX86" s="278">
        <f ca="1">$A86 - DeathsTimeS!Denmark100dt + 1</f>
        <v>19</v>
      </c>
      <c r="MY86" s="73">
        <f ca="1">INDEX(OFFSET(DeathsTimeS!HeadRow,ROW()-ROW(DeathsTimeS!HeadRow),0,1,COLUMNS(DeathsTimeS!HeadRow)),1,MATCH(MY$5,DeathsTimeS!HeadRow,0))/MY$8</f>
        <v>322.08060626937652</v>
      </c>
      <c r="MZ86" s="278">
        <f ca="1">$A86 - DeathsTimeS!US100dt + 1</f>
        <v>18</v>
      </c>
      <c r="NA86" s="73">
        <f ca="1">INDEX(OFFSET(DeathsTimeS!HeadRow,ROW()-ROW(DeathsTimeS!HeadRow),0,1,COLUMNS(DeathsTimeS!HeadRow)),1,MATCH(NA$5,DeathsTimeS!HeadRow,0))/NA$8</f>
        <v>422.01789395964221</v>
      </c>
      <c r="NB86" s="278">
        <f ca="1">$A86 - DeathsTimeS!AustraliaSum100dt + 1</f>
        <v>12</v>
      </c>
      <c r="NC86" s="366">
        <f t="shared" si="7"/>
        <v>40</v>
      </c>
      <c r="ND86" s="278">
        <f ca="1">$A86 - DeathsTimeS!Taiwan100dt + 1</f>
        <v>-20</v>
      </c>
      <c r="NE86" s="366">
        <f ca="1">INDEX(OFFSET(DeathsTimeS!HeadRow,ROW()-ROW(DeathsTimeS!HeadRow),0,1,COLUMNS(DeathsTimeS!HeadRow)),1,MATCH(NE$5,DeathsTimeS!HeadRow,0))/NE$8</f>
        <v>2.1001977462189929</v>
      </c>
      <c r="NF86" s="278">
        <f ca="1">$A86 - DeathsTimeS!Hubei100dt + 1</f>
        <v>71</v>
      </c>
      <c r="NG86" s="366">
        <f ca="1">INDEX(OFFSET(DeathsTimeS!HeadRow,ROW()-ROW(DeathsTimeS!HeadRow),0,1,COLUMNS(DeathsTimeS!HeadRow)),1,MATCH(NG$5,DeathsTimeS!HeadRow,0))/NG$8</f>
        <v>549.0598290598291</v>
      </c>
      <c r="NH86" s="278">
        <f ca="1">$A86 - DeathsTimeS!HongKong100dt + 1</f>
        <v>-20</v>
      </c>
      <c r="NI86" s="366">
        <f ca="1">INDEX(OFFSET(DeathsTimeS!HeadRow,ROW()-ROW(DeathsTimeS!HeadRow),0,1,COLUMNS(DeathsTimeS!HeadRow)),1,MATCH(NI$5,DeathsTimeS!HeadRow,0))/NI$8</f>
        <v>5.3684069252449333</v>
      </c>
    </row>
    <row r="87" spans="1:373" x14ac:dyDescent="0.25">
      <c r="A87" s="156">
        <v>43928</v>
      </c>
      <c r="B87" s="25">
        <v>14</v>
      </c>
      <c r="C87" s="25">
        <v>22</v>
      </c>
      <c r="D87" s="25">
        <v>193</v>
      </c>
      <c r="E87" s="25">
        <v>22</v>
      </c>
      <c r="F87" s="25">
        <v>2</v>
      </c>
      <c r="G87" s="25">
        <v>1</v>
      </c>
      <c r="H87" s="25">
        <v>56</v>
      </c>
      <c r="I87" s="25">
        <v>8</v>
      </c>
      <c r="J87" s="25">
        <v>2</v>
      </c>
      <c r="K87" s="25">
        <v>21</v>
      </c>
      <c r="L87" s="25">
        <v>0</v>
      </c>
      <c r="M87" s="25">
        <v>4</v>
      </c>
      <c r="N87" s="25">
        <v>1</v>
      </c>
      <c r="O87" s="25">
        <v>2</v>
      </c>
      <c r="P87" s="25">
        <v>11</v>
      </c>
      <c r="Q87" s="25">
        <v>4</v>
      </c>
      <c r="R87" s="25">
        <v>243</v>
      </c>
      <c r="S87" s="25">
        <v>8</v>
      </c>
      <c r="T87" s="25">
        <v>6</v>
      </c>
      <c r="U87" s="25">
        <v>5</v>
      </c>
      <c r="V87" s="25">
        <v>17</v>
      </c>
      <c r="W87" s="25">
        <v>3</v>
      </c>
      <c r="X87" s="25">
        <v>13</v>
      </c>
      <c r="Y87" s="25">
        <v>2035</v>
      </c>
      <c r="Z87" s="25">
        <v>1</v>
      </c>
      <c r="AA87" s="25">
        <v>0</v>
      </c>
      <c r="AB87" s="25">
        <v>14</v>
      </c>
      <c r="AC87" s="25">
        <v>33</v>
      </c>
      <c r="AD87" s="25">
        <v>686</v>
      </c>
      <c r="AE87" s="25">
        <v>1</v>
      </c>
      <c r="AF87" s="25">
        <v>23</v>
      </c>
      <c r="AG87" s="25">
        <v>19</v>
      </c>
      <c r="AH87" s="25">
        <v>1</v>
      </c>
      <c r="AI87" s="25">
        <v>0</v>
      </c>
      <c r="AJ87" s="25">
        <v>9</v>
      </c>
      <c r="AK87" s="25">
        <v>24</v>
      </c>
      <c r="AL87" s="25">
        <v>39</v>
      </c>
      <c r="AM87" s="25">
        <v>0</v>
      </c>
      <c r="AN87" s="25">
        <v>3</v>
      </c>
      <c r="AO87" s="25">
        <v>0</v>
      </c>
      <c r="AP87" s="25">
        <v>1</v>
      </c>
      <c r="AQ87" s="25">
        <v>1</v>
      </c>
      <c r="AR87" s="25">
        <v>153</v>
      </c>
      <c r="AS87" s="25">
        <v>0</v>
      </c>
      <c r="AT87" s="25">
        <v>150</v>
      </c>
      <c r="AU87" s="25">
        <v>3</v>
      </c>
      <c r="AV87" s="25">
        <v>0</v>
      </c>
      <c r="AW87" s="25">
        <v>0</v>
      </c>
      <c r="AX87" s="25">
        <v>43</v>
      </c>
      <c r="AY87" s="25">
        <v>6</v>
      </c>
      <c r="AZ87" s="25">
        <v>8</v>
      </c>
      <c r="BA87" s="25">
        <v>6</v>
      </c>
      <c r="BB87" s="25">
        <v>1</v>
      </c>
      <c r="BC87" s="25">
        <v>2</v>
      </c>
      <c r="BD87" s="25">
        <v>8</v>
      </c>
      <c r="BE87" s="25">
        <v>2</v>
      </c>
      <c r="BF87" s="25">
        <v>2</v>
      </c>
      <c r="BG87" s="25">
        <v>6</v>
      </c>
      <c r="BH87" s="25">
        <v>6</v>
      </c>
      <c r="BI87" s="25">
        <v>13</v>
      </c>
      <c r="BJ87" s="25">
        <v>22</v>
      </c>
      <c r="BK87" s="25">
        <v>4</v>
      </c>
      <c r="BL87" s="25">
        <v>3212</v>
      </c>
      <c r="BM87" s="25">
        <v>4</v>
      </c>
      <c r="BN87" s="25">
        <v>1</v>
      </c>
      <c r="BO87" s="25">
        <v>0</v>
      </c>
      <c r="BP87" s="25">
        <v>1</v>
      </c>
      <c r="BQ87" s="25">
        <v>1</v>
      </c>
      <c r="BR87" s="25">
        <v>2</v>
      </c>
      <c r="BS87" s="25">
        <v>0</v>
      </c>
      <c r="BT87" s="25">
        <v>0</v>
      </c>
      <c r="BU87" s="25">
        <v>0</v>
      </c>
      <c r="BV87" s="25">
        <v>3</v>
      </c>
      <c r="BW87" s="25">
        <v>7</v>
      </c>
      <c r="BX87" s="25">
        <v>6</v>
      </c>
      <c r="BY87" s="25">
        <v>0</v>
      </c>
      <c r="BZ87" s="25">
        <v>3</v>
      </c>
      <c r="CA87" s="25">
        <v>3</v>
      </c>
      <c r="CB87" s="25">
        <v>0</v>
      </c>
      <c r="CC87" s="25">
        <v>3</v>
      </c>
      <c r="CD87" s="25">
        <v>2</v>
      </c>
      <c r="CE87" s="25">
        <v>1</v>
      </c>
      <c r="CF87" s="25">
        <v>50</v>
      </c>
      <c r="CG87" s="25">
        <v>5</v>
      </c>
      <c r="CH87" s="25">
        <v>18</v>
      </c>
      <c r="CI87" s="25">
        <v>2</v>
      </c>
      <c r="CJ87" s="25">
        <v>3</v>
      </c>
      <c r="CK87" s="25">
        <v>18</v>
      </c>
      <c r="CL87" s="25">
        <v>11</v>
      </c>
      <c r="CM87" s="25">
        <v>11</v>
      </c>
      <c r="CN87" s="25">
        <v>9</v>
      </c>
      <c r="CO87" s="25">
        <v>88</v>
      </c>
      <c r="CP87" s="25">
        <v>0</v>
      </c>
      <c r="CQ87" s="25">
        <v>0</v>
      </c>
      <c r="CR87" s="25">
        <v>203</v>
      </c>
      <c r="CS87" s="25">
        <v>0</v>
      </c>
      <c r="CT87" s="25">
        <v>98</v>
      </c>
      <c r="CU87" s="25">
        <v>191</v>
      </c>
      <c r="CV87" s="25">
        <v>94</v>
      </c>
      <c r="CW87" s="25">
        <v>4</v>
      </c>
      <c r="CX87" s="25">
        <v>0</v>
      </c>
      <c r="CY87" s="25">
        <v>0</v>
      </c>
      <c r="CZ87" s="25">
        <v>21</v>
      </c>
      <c r="DA87" s="25">
        <v>0</v>
      </c>
      <c r="DB87" s="25">
        <v>2</v>
      </c>
      <c r="DC87" s="25">
        <v>0</v>
      </c>
      <c r="DD87" s="25">
        <v>34</v>
      </c>
      <c r="DE87" s="25">
        <v>0</v>
      </c>
      <c r="DF87" s="25">
        <v>0</v>
      </c>
      <c r="DG87" s="25">
        <v>7</v>
      </c>
      <c r="DH87" s="25">
        <v>2</v>
      </c>
      <c r="DI87" s="25">
        <v>0</v>
      </c>
      <c r="DJ87" s="25">
        <v>0</v>
      </c>
      <c r="DK87" s="25">
        <v>0</v>
      </c>
      <c r="DL87" s="25">
        <v>2</v>
      </c>
      <c r="DM87" s="25">
        <v>4</v>
      </c>
      <c r="DN87" s="25">
        <v>10328</v>
      </c>
      <c r="DO87" s="25">
        <v>1</v>
      </c>
      <c r="DP87" s="25">
        <v>1</v>
      </c>
      <c r="DQ87" s="25">
        <v>3</v>
      </c>
      <c r="DR87" s="25">
        <v>2016</v>
      </c>
      <c r="DS87" s="25">
        <v>5</v>
      </c>
      <c r="DT87" s="25">
        <v>81</v>
      </c>
      <c r="DU87" s="25">
        <v>3</v>
      </c>
      <c r="DV87" s="25">
        <v>0</v>
      </c>
      <c r="DW87" s="25">
        <v>5</v>
      </c>
      <c r="DX87" s="25">
        <v>1</v>
      </c>
      <c r="DY87" s="25">
        <v>0</v>
      </c>
      <c r="DZ87" s="25">
        <v>22</v>
      </c>
      <c r="EA87" s="25">
        <v>47</v>
      </c>
      <c r="EB87" s="25">
        <v>6</v>
      </c>
      <c r="EC87" s="25">
        <v>150</v>
      </c>
      <c r="ED87" s="25">
        <v>221</v>
      </c>
      <c r="EE87" s="25">
        <v>3872</v>
      </c>
      <c r="EF87" s="25">
        <v>65</v>
      </c>
      <c r="EG87" s="25">
        <v>210</v>
      </c>
      <c r="EH87" s="25">
        <v>65</v>
      </c>
      <c r="EI87" s="25">
        <v>17127</v>
      </c>
      <c r="EJ87" s="25">
        <v>3</v>
      </c>
      <c r="EK87" s="25">
        <v>92</v>
      </c>
      <c r="EL87" s="25">
        <v>6</v>
      </c>
      <c r="EM87" s="25">
        <v>6</v>
      </c>
      <c r="EN87" s="25">
        <v>6</v>
      </c>
      <c r="EO87" s="25">
        <v>192</v>
      </c>
      <c r="EP87" s="25">
        <v>1</v>
      </c>
      <c r="EQ87" s="25">
        <v>4</v>
      </c>
      <c r="ER87" s="25">
        <v>2</v>
      </c>
      <c r="ES87" s="25">
        <v>19</v>
      </c>
      <c r="ET87" s="25">
        <v>3</v>
      </c>
      <c r="EU87" s="25">
        <v>1</v>
      </c>
      <c r="EV87" s="25">
        <v>15</v>
      </c>
      <c r="EW87" s="25">
        <v>44</v>
      </c>
      <c r="EX87" s="25">
        <v>0</v>
      </c>
      <c r="EY87" s="25">
        <v>63</v>
      </c>
      <c r="EZ87" s="25">
        <v>0</v>
      </c>
      <c r="FA87" s="25">
        <v>0</v>
      </c>
      <c r="FB87" s="25">
        <v>1</v>
      </c>
      <c r="FC87" s="25">
        <v>7</v>
      </c>
      <c r="FD87" s="25">
        <v>141</v>
      </c>
      <c r="FE87" s="25">
        <v>22</v>
      </c>
      <c r="FF87" s="25">
        <v>1</v>
      </c>
      <c r="FG87" s="25">
        <v>0</v>
      </c>
      <c r="FH87" s="25">
        <v>2</v>
      </c>
      <c r="FI87" s="25">
        <v>90</v>
      </c>
      <c r="FJ87" s="25">
        <v>0</v>
      </c>
      <c r="FK87" s="25">
        <v>0</v>
      </c>
      <c r="FL87" s="25">
        <v>0</v>
      </c>
      <c r="FM87" s="25">
        <v>1</v>
      </c>
      <c r="FN87" s="25">
        <v>6</v>
      </c>
      <c r="FO87" s="25">
        <v>2101</v>
      </c>
      <c r="FP87" s="25">
        <v>1</v>
      </c>
      <c r="FQ87" s="25">
        <v>1</v>
      </c>
      <c r="FR87" s="25">
        <v>11</v>
      </c>
      <c r="FS87" s="25">
        <v>6</v>
      </c>
      <c r="FT87" s="25">
        <v>26</v>
      </c>
      <c r="FU87" s="25">
        <v>89</v>
      </c>
      <c r="FV87" s="25">
        <v>2</v>
      </c>
      <c r="FW87" s="25">
        <v>57</v>
      </c>
      <c r="FX87" s="25">
        <v>55</v>
      </c>
      <c r="FY87" s="25">
        <v>0</v>
      </c>
      <c r="FZ87" s="25">
        <v>5</v>
      </c>
      <c r="GA87" s="25">
        <v>107</v>
      </c>
      <c r="GB87" s="25">
        <v>177</v>
      </c>
      <c r="GC87" s="25">
        <v>129</v>
      </c>
      <c r="GD87" s="25">
        <v>345</v>
      </c>
      <c r="GE87" s="25">
        <v>6</v>
      </c>
      <c r="GF87" s="25">
        <v>197</v>
      </c>
      <c r="GG87" s="25">
        <v>58</v>
      </c>
      <c r="GH87" s="25">
        <v>0</v>
      </c>
      <c r="GI87" s="25">
        <v>0</v>
      </c>
      <c r="GJ87" s="25">
        <v>0</v>
      </c>
      <c r="GK87" s="25">
        <v>34</v>
      </c>
      <c r="GL87" s="25">
        <v>41</v>
      </c>
      <c r="GM87" s="25">
        <v>2</v>
      </c>
      <c r="GN87" s="25">
        <v>61</v>
      </c>
      <c r="GO87" s="25">
        <v>0</v>
      </c>
      <c r="GP87" s="25">
        <v>6</v>
      </c>
      <c r="GQ87" s="25">
        <v>2</v>
      </c>
      <c r="GR87" s="25">
        <v>36</v>
      </c>
      <c r="GS87" s="25">
        <v>0</v>
      </c>
      <c r="GT87" s="25">
        <v>13</v>
      </c>
      <c r="GU87" s="25">
        <v>14045</v>
      </c>
      <c r="GV87" s="25">
        <v>6</v>
      </c>
      <c r="GW87" s="25">
        <v>2</v>
      </c>
      <c r="GX87" s="25">
        <v>1</v>
      </c>
      <c r="GY87" s="46">
        <v>591</v>
      </c>
      <c r="GZ87" s="25">
        <v>821</v>
      </c>
      <c r="HA87" s="25">
        <v>5</v>
      </c>
      <c r="HB87" s="25">
        <v>1</v>
      </c>
      <c r="HC87" s="25">
        <v>27</v>
      </c>
      <c r="HD87" s="25">
        <v>3</v>
      </c>
      <c r="HE87" s="25">
        <v>8</v>
      </c>
      <c r="HF87" s="25">
        <v>23</v>
      </c>
      <c r="HG87" s="25">
        <v>725</v>
      </c>
      <c r="HH87" s="25">
        <v>0</v>
      </c>
      <c r="HI87" s="25">
        <v>45</v>
      </c>
      <c r="HJ87" s="25">
        <v>12</v>
      </c>
      <c r="HK87" s="25">
        <v>2</v>
      </c>
      <c r="HL87" s="25">
        <v>1</v>
      </c>
      <c r="HM87" s="25">
        <v>7</v>
      </c>
      <c r="HN87" s="25">
        <v>0</v>
      </c>
      <c r="HO87" s="25">
        <v>1</v>
      </c>
      <c r="HP87" s="25">
        <v>0</v>
      </c>
      <c r="HQ87" s="25">
        <v>7471</v>
      </c>
      <c r="HR87" s="25">
        <v>7</v>
      </c>
      <c r="HS87" s="25">
        <v>16191</v>
      </c>
      <c r="HT87" s="25">
        <v>2</v>
      </c>
      <c r="HU87" s="25">
        <v>7</v>
      </c>
      <c r="HV87" s="25">
        <v>0</v>
      </c>
      <c r="HW87" s="25">
        <v>1</v>
      </c>
      <c r="HX87" s="25">
        <v>2</v>
      </c>
      <c r="HY87" s="25">
        <v>1</v>
      </c>
      <c r="HZ87" s="25">
        <v>0</v>
      </c>
      <c r="IA87" s="25">
        <v>0</v>
      </c>
      <c r="IB87" s="25">
        <v>0</v>
      </c>
      <c r="IC87" s="25">
        <v>2</v>
      </c>
      <c r="ID87" s="25">
        <v>0</v>
      </c>
      <c r="IE87" s="25">
        <v>1</v>
      </c>
      <c r="IF87" s="25">
        <v>0</v>
      </c>
      <c r="IG87" s="25">
        <v>0</v>
      </c>
      <c r="IH87" s="25">
        <v>1</v>
      </c>
      <c r="II87" s="25">
        <v>1</v>
      </c>
      <c r="IJ87" s="25">
        <v>0</v>
      </c>
      <c r="IK87" s="25">
        <v>5</v>
      </c>
      <c r="IL87" s="25">
        <v>0</v>
      </c>
      <c r="IM87" s="25">
        <v>0</v>
      </c>
      <c r="IN87" s="25">
        <v>0</v>
      </c>
      <c r="IO87" s="25">
        <v>4</v>
      </c>
      <c r="IP87" s="25">
        <v>1</v>
      </c>
      <c r="IQ87" s="25">
        <v>0</v>
      </c>
      <c r="IR87" s="25">
        <v>0</v>
      </c>
      <c r="IS87" s="25">
        <v>1</v>
      </c>
      <c r="IT87" s="25">
        <v>2</v>
      </c>
      <c r="IU87" s="25">
        <v>1</v>
      </c>
      <c r="IV87" s="25">
        <v>0</v>
      </c>
      <c r="IW87" s="25">
        <v>0</v>
      </c>
      <c r="IX87" s="25">
        <v>0</v>
      </c>
      <c r="IY87" s="25">
        <v>1</v>
      </c>
      <c r="IZ87" s="25">
        <v>0</v>
      </c>
      <c r="JA87" s="25">
        <v>0</v>
      </c>
      <c r="JB87" s="25">
        <v>0</v>
      </c>
      <c r="JC87" s="25">
        <v>0</v>
      </c>
      <c r="JD87" s="25">
        <v>0</v>
      </c>
      <c r="JE87" s="25">
        <v>0</v>
      </c>
      <c r="JF87" s="25">
        <v>0</v>
      </c>
      <c r="JG87" s="25">
        <v>0</v>
      </c>
      <c r="JH87" s="25">
        <v>0</v>
      </c>
      <c r="JI87" s="25">
        <v>4</v>
      </c>
      <c r="JJ87" s="25">
        <v>2</v>
      </c>
      <c r="JK87" s="25">
        <v>23</v>
      </c>
      <c r="JL87" s="25">
        <v>1</v>
      </c>
      <c r="JM87" s="25">
        <v>64</v>
      </c>
      <c r="JN87" s="25">
        <v>6</v>
      </c>
      <c r="JO87" s="25">
        <v>73</v>
      </c>
      <c r="JP87" s="25">
        <v>18</v>
      </c>
      <c r="JQ87" s="25">
        <v>432</v>
      </c>
      <c r="JR87" s="25">
        <v>179</v>
      </c>
      <c r="JS87" s="25">
        <v>277</v>
      </c>
      <c r="JT87" s="25">
        <v>16</v>
      </c>
      <c r="JU87" s="25">
        <v>22</v>
      </c>
      <c r="JV87" s="25">
        <v>283</v>
      </c>
      <c r="JW87" s="25">
        <v>329</v>
      </c>
      <c r="JX87" s="25">
        <v>5</v>
      </c>
      <c r="JY87" s="25">
        <v>13</v>
      </c>
      <c r="JZ87" s="25">
        <v>380</v>
      </c>
      <c r="KA87" s="25">
        <v>173</v>
      </c>
      <c r="KB87" s="25">
        <v>25</v>
      </c>
      <c r="KC87" s="25">
        <v>29</v>
      </c>
      <c r="KD87" s="25">
        <v>65</v>
      </c>
      <c r="KE87" s="25">
        <v>582</v>
      </c>
      <c r="KF87" s="25">
        <v>12</v>
      </c>
      <c r="KG87" s="25">
        <v>103</v>
      </c>
      <c r="KH87" s="25">
        <v>356</v>
      </c>
      <c r="KI87" s="25">
        <v>845</v>
      </c>
      <c r="KJ87" s="25">
        <v>34</v>
      </c>
      <c r="KK87" s="25">
        <v>60</v>
      </c>
      <c r="KL87" s="25">
        <v>65</v>
      </c>
      <c r="KM87" s="25">
        <v>6</v>
      </c>
      <c r="KN87" s="25">
        <v>10</v>
      </c>
      <c r="KO87" s="25">
        <v>72</v>
      </c>
      <c r="KP87" s="25">
        <v>9</v>
      </c>
      <c r="KQ87" s="25">
        <v>1232</v>
      </c>
      <c r="KR87" s="25">
        <v>13</v>
      </c>
      <c r="KS87" s="25">
        <v>8886</v>
      </c>
      <c r="KT87" s="25">
        <v>53</v>
      </c>
      <c r="KU87" s="25">
        <v>4</v>
      </c>
      <c r="KV87" s="25">
        <v>167</v>
      </c>
      <c r="KW87" s="25">
        <v>67</v>
      </c>
      <c r="KX87" s="25">
        <v>29</v>
      </c>
      <c r="KY87" s="25">
        <v>247</v>
      </c>
      <c r="KZ87" s="25">
        <v>30</v>
      </c>
      <c r="LA87" s="25">
        <v>51</v>
      </c>
      <c r="LB87" s="25">
        <v>6</v>
      </c>
      <c r="LC87" s="25">
        <v>72</v>
      </c>
      <c r="LD87" s="25">
        <v>160</v>
      </c>
      <c r="LE87" s="25">
        <v>13</v>
      </c>
      <c r="LF87" s="25">
        <v>23</v>
      </c>
      <c r="LG87" s="25">
        <v>66</v>
      </c>
      <c r="LH87" s="25">
        <v>400</v>
      </c>
      <c r="LI87" s="25">
        <v>4</v>
      </c>
      <c r="LJ87" s="25">
        <v>92</v>
      </c>
      <c r="LK87" s="25">
        <v>0</v>
      </c>
      <c r="LL87" s="25">
        <v>0</v>
      </c>
      <c r="LM87" s="25">
        <v>3</v>
      </c>
      <c r="LN87" s="278">
        <f ca="1">$A87 - DeathsTimeS!Sweden100dt + 1</f>
        <v>20</v>
      </c>
      <c r="LO87" s="366">
        <f ca="1">INDEX(OFFSET(DeathsTimeS!HeadRow,ROW()-ROW(DeathsTimeS!HeadRow),0,1,COLUMNS(DeathsTimeS!HeadRow)),1,MATCH(LO$5,DeathsTimeS!HeadRow,0))/LO$8</f>
        <v>577.71260997067452</v>
      </c>
      <c r="LP87" s="278">
        <f ca="1">$A87 - DeathsTimeS!Spain100dt</f>
        <v>27</v>
      </c>
      <c r="LQ87" s="20">
        <f ca="1">INDEX(OFFSET(DeathsTimeS!HeadRow,ROW()-ROW(DeathsTimeS!HeadRow),0,1,COLUMNS(DeathsTimeS!HeadRow)),1,MATCH(LQ$5,DeathsTimeS!HeadRow,0))/LQ$8</f>
        <v>2992.1175969322539</v>
      </c>
      <c r="LR87" s="278">
        <f ca="1">$A87 - DeathsTimeS!Victoria100dt</f>
        <v>4</v>
      </c>
      <c r="LS87" s="20">
        <f ca="1">INDEX(OFFSET(DeathsTimeS!HeadRow,ROW()-ROW(DeathsTimeS!HeadRow),0,1,COLUMNS(DeathsTimeS!HeadRow)),1,MATCH(LS$5,DeathsTimeS!HeadRow,0))/LS$8</f>
        <v>16.59375471413486</v>
      </c>
      <c r="LT87" s="278">
        <f ca="1">$A87 - DeathsTimeS!Iran100dt</f>
        <v>34</v>
      </c>
      <c r="LU87" s="20">
        <f ca="1">INDEX(OFFSET(DeathsTimeS!HeadRow,ROW()-ROW(DeathsTimeS!HeadRow),0,1,COLUMNS(DeathsTimeS!HeadRow)),1,MATCH(LU$5,DeathsTimeS!HeadRow,0))/LU$8</f>
        <v>462.20142528022154</v>
      </c>
      <c r="LV87" s="278">
        <f ca="1">$A87 - DeathsTimeS!Japan100dt</f>
        <v>-7</v>
      </c>
      <c r="LW87" s="20">
        <f ca="1">INDEX(OFFSET(DeathsTimeS!HeadRow,ROW()-ROW(DeathsTimeS!HeadRow),0,1,COLUMNS(DeathsTimeS!HeadRow)),1,MATCH(LW$5,DeathsTimeS!HeadRow,0))/LW$8</f>
        <v>7.2696123731267939</v>
      </c>
      <c r="LX87" s="278">
        <f ca="1">$A87 - DeathsTimeS!Queensland100dt</f>
        <v>-11</v>
      </c>
      <c r="LY87" s="20">
        <f ca="1">INDEX(OFFSET(DeathsTimeS!HeadRow,ROW()-ROW(DeathsTimeS!HeadRow),0,1,COLUMNS(DeathsTimeS!HeadRow)),1,MATCH(LY$5,DeathsTimeS!HeadRow,0))/LY$8</f>
        <v>7.8194473957428192</v>
      </c>
      <c r="LZ87" s="278">
        <f ca="1">$A87 - DeathsTimeS!Tasmania100dt</f>
        <v>7</v>
      </c>
      <c r="MA87" s="20">
        <f ca="1">INDEX(OFFSET(DeathsTimeS!HeadRow,ROW()-ROW(DeathsTimeS!HeadRow),0,1,COLUMNS(DeathsTimeS!HeadRow)),1,MATCH(MA$5,DeathsTimeS!HeadRow,0))/MA$8</f>
        <v>38.834951456310684</v>
      </c>
      <c r="MB87" s="278">
        <f ca="1">$A87 - DeathsTimeS!SouthAustralia100dt</f>
        <v>-1</v>
      </c>
      <c r="MC87" s="20">
        <f ca="1">INDEX(OFFSET(DeathsTimeS!HeadRow,ROW()-ROW(DeathsTimeS!HeadRow),0,1,COLUMNS(DeathsTimeS!HeadRow)),1,MATCH(MC$5,DeathsTimeS!HeadRow,0))/MC$8</f>
        <v>5.9880239520958076</v>
      </c>
      <c r="MD87" s="278">
        <f ca="1">$A87 - DeathsTimeS!WesternAustralia100dt</f>
        <v>2</v>
      </c>
      <c r="ME87" s="20">
        <f ca="1">INDEX(OFFSET(DeathsTimeS!HeadRow,ROW()-ROW(DeathsTimeS!HeadRow),0,1,COLUMNS(DeathsTimeS!HeadRow)),1,MATCH(ME$5,DeathsTimeS!HeadRow,0))/ME$8</f>
        <v>15.449980687524139</v>
      </c>
      <c r="MF87" s="278">
        <f ca="1">$A87 - DeathsTimeS!NewSouthWales100dt</f>
        <v>6</v>
      </c>
      <c r="MG87" s="20">
        <f ca="1">INDEX(OFFSET(DeathsTimeS!HeadRow,ROW()-ROW(DeathsTimeS!HeadRow),0,1,COLUMNS(DeathsTimeS!HeadRow)),1,MATCH(MG$5,DeathsTimeS!HeadRow,0))/MG$8</f>
        <v>25.990099009900987</v>
      </c>
      <c r="MH87" s="278">
        <f ca="1">$A87 - DeathsTimeS!NewYork100dt</f>
        <v>22</v>
      </c>
      <c r="MI87" s="20">
        <f ca="1">INDEX(OFFSET(DeathsTimeS!HeadRow,ROW()-ROW(DeathsTimeS!HeadRow),0,1,COLUMNS(DeathsTimeS!HeadRow)),1,MATCH(MI$5,DeathsTimeS!HeadRow,0))/MI$8</f>
        <v>3760.7819345342073</v>
      </c>
      <c r="MJ87" s="278">
        <f ca="1">$A87 - DeathsTimeS!Italy100dt</f>
        <v>35</v>
      </c>
      <c r="MK87" s="20">
        <f ca="1">INDEX(OFFSET(DeathsTimeS!HeadRow,ROW()-ROW(DeathsTimeS!HeadRow),0,1,COLUMNS(DeathsTimeS!HeadRow)),1,MATCH(MK$5,DeathsTimeS!HeadRow,0))/MK$8</f>
        <v>2831.6111432586595</v>
      </c>
      <c r="ML87" s="278">
        <f ca="1">$A87 - DeathsTimeS!AustralianCapitalTerritory100dt</f>
        <v>8</v>
      </c>
      <c r="MM87" s="20">
        <f ca="1">INDEX(OFFSET(DeathsTimeS!HeadRow,ROW()-ROW(DeathsTimeS!HeadRow),0,1,COLUMNS(DeathsTimeS!HeadRow)),1,MATCH(MM$5,DeathsTimeS!HeadRow,0))/MM$8</f>
        <v>46.722422090361171</v>
      </c>
      <c r="MN87" s="278">
        <f ca="1">IF(DeathsTimeS!NorthernTerritory100dt&gt;0,$A87 - DeathsTimeS!NorthernTerritory100dt,"")</f>
        <v>-20</v>
      </c>
      <c r="MO87" s="20">
        <f ca="1">INDEX(OFFSET(DeathsTimeS!HeadRow,ROW()-ROW(DeathsTimeS!HeadRow),0,1,COLUMNS(DeathsTimeS!HeadRow)),1,MATCH(MO$5,DeathsTimeS!HeadRow,0))/MO$8</f>
        <v>0</v>
      </c>
      <c r="MP87" s="278">
        <f ca="1">$A87 - DeathsTimeS!SouthAfrica100dt + 1</f>
        <v>-12</v>
      </c>
      <c r="MQ87" s="20">
        <f ca="1">INDEX(OFFSET(DeathsTimeS!HeadRow,ROW()-ROW(DeathsTimeS!HeadRow),0,1,COLUMNS(DeathsTimeS!HeadRow)),1,MATCH(MQ$5,DeathsTimeS!HeadRow,0))/MQ$8</f>
        <v>2.249913464866736</v>
      </c>
      <c r="MR87" s="278">
        <f ca="1">$A87 - DeathsTimeS!Germany100dt + 1</f>
        <v>18</v>
      </c>
      <c r="MS87" s="20">
        <f ca="1">INDEX(OFFSET(DeathsTimeS!HeadRow,ROW()-ROW(DeathsTimeS!HeadRow),0,1,COLUMNS(DeathsTimeS!HeadRow)),1,MATCH(MS$5,DeathsTimeS!HeadRow,0))/MS$8</f>
        <v>242.83305227655987</v>
      </c>
      <c r="MT87" s="278">
        <f ca="1">$A87 - DeathsTimeS!Ireland100dt + 1</f>
        <v>16</v>
      </c>
      <c r="MU87" s="73">
        <f ca="1">INDEX(OFFSET(DeathsTimeS!HeadRow,ROW()-ROW(DeathsTimeS!HeadRow),0,1,COLUMNS(DeathsTimeS!HeadRow)),1,MATCH(MU$5,DeathsTimeS!HeadRow,0))/MU$8</f>
        <v>428.57142857142856</v>
      </c>
      <c r="MV87" s="278">
        <f ca="1">$A87 - DeathsTimeS!UnitedKingdom100dt + 1</f>
        <v>22</v>
      </c>
      <c r="MW87" s="73">
        <f ca="1">INDEX(OFFSET(DeathsTimeS!HeadRow,ROW()-ROW(DeathsTimeS!HeadRow),0,1,COLUMNS(DeathsTimeS!HeadRow)),1,MATCH(MW$5,DeathsTimeS!HeadRow,0))/MW$8</f>
        <v>1124.4732089102949</v>
      </c>
      <c r="MX87" s="278">
        <f ca="1">$A87 - DeathsTimeS!Denmark100dt + 1</f>
        <v>20</v>
      </c>
      <c r="MY87" s="73">
        <f ca="1">INDEX(OFFSET(DeathsTimeS!HeadRow,ROW()-ROW(DeathsTimeS!HeadRow),0,1,COLUMNS(DeathsTimeS!HeadRow)),1,MATCH(MY$5,DeathsTimeS!HeadRow,0))/MY$8</f>
        <v>349.63830520151566</v>
      </c>
      <c r="MZ87" s="278">
        <f ca="1">$A87 - DeathsTimeS!US100dt + 1</f>
        <v>19</v>
      </c>
      <c r="NA87" s="73">
        <f ca="1">INDEX(OFFSET(DeathsTimeS!HeadRow,ROW()-ROW(DeathsTimeS!HeadRow),0,1,COLUMNS(DeathsTimeS!HeadRow)),1,MATCH(NA$5,DeathsTimeS!HeadRow,0))/NA$8</f>
        <v>491.78722621999185</v>
      </c>
      <c r="NB87" s="278">
        <f ca="1">$A87 - DeathsTimeS!AustraliaSum100dt + 1</f>
        <v>13</v>
      </c>
      <c r="NC87" s="366">
        <f t="shared" si="7"/>
        <v>45</v>
      </c>
      <c r="ND87" s="278">
        <f ca="1">$A87 - DeathsTimeS!Taiwan100dt + 1</f>
        <v>-19</v>
      </c>
      <c r="NE87" s="366">
        <f ca="1">INDEX(OFFSET(DeathsTimeS!HeadRow,ROW()-ROW(DeathsTimeS!HeadRow),0,1,COLUMNS(DeathsTimeS!HeadRow)),1,MATCH(NE$5,DeathsTimeS!HeadRow,0))/NE$8</f>
        <v>2.1001977462189929</v>
      </c>
      <c r="NF87" s="278">
        <f ca="1">$A87 - DeathsTimeS!Hubei100dt + 1</f>
        <v>72</v>
      </c>
      <c r="NG87" s="366">
        <f ca="1">INDEX(OFFSET(DeathsTimeS!HeadRow,ROW()-ROW(DeathsTimeS!HeadRow),0,1,COLUMNS(DeathsTimeS!HeadRow)),1,MATCH(NG$5,DeathsTimeS!HeadRow,0))/NG$8</f>
        <v>549.0598290598291</v>
      </c>
      <c r="NH87" s="278">
        <f ca="1">$A87 - DeathsTimeS!HongKong100dt + 1</f>
        <v>-19</v>
      </c>
      <c r="NI87" s="366">
        <f ca="1">INDEX(OFFSET(DeathsTimeS!HeadRow,ROW()-ROW(DeathsTimeS!HeadRow),0,1,COLUMNS(DeathsTimeS!HeadRow)),1,MATCH(NI$5,DeathsTimeS!HeadRow,0))/NI$8</f>
        <v>5.3684069252449333</v>
      </c>
    </row>
    <row r="88" spans="1:373" x14ac:dyDescent="0.25">
      <c r="A88" s="156">
        <v>43929</v>
      </c>
      <c r="B88" s="25">
        <v>14</v>
      </c>
      <c r="C88" s="25">
        <v>22</v>
      </c>
      <c r="D88" s="25">
        <v>205</v>
      </c>
      <c r="E88" s="25">
        <v>23</v>
      </c>
      <c r="F88" s="25">
        <v>2</v>
      </c>
      <c r="G88" s="25">
        <v>2</v>
      </c>
      <c r="H88" s="25">
        <v>63</v>
      </c>
      <c r="I88" s="25">
        <v>9</v>
      </c>
      <c r="J88" s="25">
        <v>2</v>
      </c>
      <c r="K88" s="25">
        <v>21</v>
      </c>
      <c r="L88" s="25">
        <v>0</v>
      </c>
      <c r="M88" s="25">
        <v>4</v>
      </c>
      <c r="N88" s="25">
        <v>2</v>
      </c>
      <c r="O88" s="25">
        <v>3</v>
      </c>
      <c r="P88" s="25">
        <v>12</v>
      </c>
      <c r="Q88" s="25">
        <v>6</v>
      </c>
      <c r="R88" s="25">
        <v>273</v>
      </c>
      <c r="S88" s="25">
        <v>8</v>
      </c>
      <c r="T88" s="25">
        <v>7</v>
      </c>
      <c r="U88" s="25">
        <v>5</v>
      </c>
      <c r="V88" s="25">
        <v>20</v>
      </c>
      <c r="W88" s="25">
        <v>3</v>
      </c>
      <c r="X88" s="25">
        <v>13</v>
      </c>
      <c r="Y88" s="25">
        <v>2240</v>
      </c>
      <c r="Z88" s="25">
        <v>1</v>
      </c>
      <c r="AA88" s="25">
        <v>0</v>
      </c>
      <c r="AB88" s="25">
        <v>15</v>
      </c>
      <c r="AC88" s="25">
        <v>34</v>
      </c>
      <c r="AD88" s="25">
        <v>819</v>
      </c>
      <c r="AE88" s="25">
        <v>1</v>
      </c>
      <c r="AF88" s="25">
        <v>24</v>
      </c>
      <c r="AG88" s="25">
        <v>23</v>
      </c>
      <c r="AH88" s="25">
        <v>1</v>
      </c>
      <c r="AI88" s="25">
        <v>0</v>
      </c>
      <c r="AJ88" s="25">
        <v>10</v>
      </c>
      <c r="AK88" s="25">
        <v>26</v>
      </c>
      <c r="AL88" s="25">
        <v>43</v>
      </c>
      <c r="AM88" s="25">
        <v>0</v>
      </c>
      <c r="AN88" s="25">
        <v>3</v>
      </c>
      <c r="AO88" s="25">
        <v>0</v>
      </c>
      <c r="AP88" s="25">
        <v>1</v>
      </c>
      <c r="AQ88" s="25">
        <v>1</v>
      </c>
      <c r="AR88" s="25">
        <v>153</v>
      </c>
      <c r="AS88" s="25">
        <v>1</v>
      </c>
      <c r="AT88" s="25">
        <v>175</v>
      </c>
      <c r="AU88" s="25">
        <v>3</v>
      </c>
      <c r="AV88" s="25">
        <v>0</v>
      </c>
      <c r="AW88" s="25">
        <v>0</v>
      </c>
      <c r="AX88" s="25">
        <v>48</v>
      </c>
      <c r="AY88" s="25">
        <v>6</v>
      </c>
      <c r="AZ88" s="25">
        <v>8</v>
      </c>
      <c r="BA88" s="25">
        <v>6</v>
      </c>
      <c r="BB88" s="25">
        <v>1</v>
      </c>
      <c r="BC88" s="25">
        <v>2</v>
      </c>
      <c r="BD88" s="25">
        <v>8</v>
      </c>
      <c r="BE88" s="25">
        <v>2</v>
      </c>
      <c r="BF88" s="25">
        <v>2</v>
      </c>
      <c r="BG88" s="25">
        <v>6</v>
      </c>
      <c r="BH88" s="25">
        <v>6</v>
      </c>
      <c r="BI88" s="25">
        <v>13</v>
      </c>
      <c r="BJ88" s="25">
        <v>22</v>
      </c>
      <c r="BK88" s="25">
        <v>4</v>
      </c>
      <c r="BL88" s="25">
        <v>3213</v>
      </c>
      <c r="BM88" s="25">
        <v>4</v>
      </c>
      <c r="BN88" s="25">
        <v>1</v>
      </c>
      <c r="BO88" s="25">
        <v>0</v>
      </c>
      <c r="BP88" s="25">
        <v>1</v>
      </c>
      <c r="BQ88" s="25">
        <v>1</v>
      </c>
      <c r="BR88" s="25">
        <v>2</v>
      </c>
      <c r="BS88" s="25">
        <v>0</v>
      </c>
      <c r="BT88" s="25">
        <v>0</v>
      </c>
      <c r="BU88" s="25">
        <v>0</v>
      </c>
      <c r="BV88" s="25">
        <v>3</v>
      </c>
      <c r="BW88" s="25">
        <v>7</v>
      </c>
      <c r="BX88" s="25">
        <v>7</v>
      </c>
      <c r="BY88" s="25">
        <v>0</v>
      </c>
      <c r="BZ88" s="25">
        <v>3</v>
      </c>
      <c r="CA88" s="25">
        <v>3</v>
      </c>
      <c r="CB88" s="25">
        <v>0</v>
      </c>
      <c r="CC88" s="25">
        <v>3</v>
      </c>
      <c r="CD88" s="25">
        <v>2</v>
      </c>
      <c r="CE88" s="25">
        <v>1</v>
      </c>
      <c r="CF88" s="25">
        <v>54</v>
      </c>
      <c r="CG88" s="25">
        <v>5</v>
      </c>
      <c r="CH88" s="25">
        <v>18</v>
      </c>
      <c r="CI88" s="25">
        <v>3</v>
      </c>
      <c r="CJ88" s="25">
        <v>3</v>
      </c>
      <c r="CK88" s="25">
        <v>19</v>
      </c>
      <c r="CL88" s="25">
        <v>11</v>
      </c>
      <c r="CM88" s="25">
        <v>12</v>
      </c>
      <c r="CN88" s="25">
        <v>9</v>
      </c>
      <c r="CO88" s="25">
        <v>99</v>
      </c>
      <c r="CP88" s="25">
        <v>0</v>
      </c>
      <c r="CQ88" s="25">
        <v>0</v>
      </c>
      <c r="CR88" s="25">
        <v>218</v>
      </c>
      <c r="CS88" s="25">
        <v>0</v>
      </c>
      <c r="CT88" s="25">
        <v>108</v>
      </c>
      <c r="CU88" s="25">
        <v>242</v>
      </c>
      <c r="CV88" s="25">
        <v>103</v>
      </c>
      <c r="CW88" s="25">
        <v>5</v>
      </c>
      <c r="CX88" s="25">
        <v>0</v>
      </c>
      <c r="CY88" s="25">
        <v>0</v>
      </c>
      <c r="CZ88" s="25">
        <v>24</v>
      </c>
      <c r="DA88" s="25">
        <v>0</v>
      </c>
      <c r="DB88" s="25">
        <v>2</v>
      </c>
      <c r="DC88" s="25">
        <v>0</v>
      </c>
      <c r="DD88" s="25">
        <v>40</v>
      </c>
      <c r="DE88" s="25">
        <v>0</v>
      </c>
      <c r="DF88" s="25">
        <v>0</v>
      </c>
      <c r="DG88" s="25">
        <v>8</v>
      </c>
      <c r="DH88" s="25">
        <v>2</v>
      </c>
      <c r="DI88" s="25">
        <v>0</v>
      </c>
      <c r="DJ88" s="25">
        <v>0</v>
      </c>
      <c r="DK88" s="25">
        <v>0</v>
      </c>
      <c r="DL88" s="25">
        <v>2</v>
      </c>
      <c r="DM88" s="25">
        <v>6</v>
      </c>
      <c r="DN88" s="25">
        <v>10869</v>
      </c>
      <c r="DO88" s="25">
        <v>1</v>
      </c>
      <c r="DP88" s="25">
        <v>1</v>
      </c>
      <c r="DQ88" s="25">
        <v>3</v>
      </c>
      <c r="DR88" s="25">
        <v>2349</v>
      </c>
      <c r="DS88" s="25">
        <v>6</v>
      </c>
      <c r="DT88" s="25">
        <v>83</v>
      </c>
      <c r="DU88" s="25">
        <v>3</v>
      </c>
      <c r="DV88" s="25">
        <v>0</v>
      </c>
      <c r="DW88" s="25">
        <v>6</v>
      </c>
      <c r="DX88" s="25">
        <v>1</v>
      </c>
      <c r="DY88" s="25">
        <v>0</v>
      </c>
      <c r="DZ88" s="25">
        <v>22</v>
      </c>
      <c r="EA88" s="25">
        <v>58</v>
      </c>
      <c r="EB88" s="25">
        <v>6</v>
      </c>
      <c r="EC88" s="25">
        <v>178</v>
      </c>
      <c r="ED88" s="25">
        <v>240</v>
      </c>
      <c r="EE88" s="25">
        <v>3993</v>
      </c>
      <c r="EF88" s="25">
        <v>69</v>
      </c>
      <c r="EG88" s="25">
        <v>235</v>
      </c>
      <c r="EH88" s="25">
        <v>73</v>
      </c>
      <c r="EI88" s="25">
        <v>17669</v>
      </c>
      <c r="EJ88" s="25">
        <v>4</v>
      </c>
      <c r="EK88" s="25">
        <v>93</v>
      </c>
      <c r="EL88" s="25">
        <v>6</v>
      </c>
      <c r="EM88" s="25">
        <v>7</v>
      </c>
      <c r="EN88" s="25">
        <v>6</v>
      </c>
      <c r="EO88" s="25">
        <v>200</v>
      </c>
      <c r="EP88" s="25">
        <v>1</v>
      </c>
      <c r="EQ88" s="25">
        <v>4</v>
      </c>
      <c r="ER88" s="25">
        <v>2</v>
      </c>
      <c r="ES88" s="25">
        <v>19</v>
      </c>
      <c r="ET88" s="25">
        <v>4</v>
      </c>
      <c r="EU88" s="25">
        <v>1</v>
      </c>
      <c r="EV88" s="25">
        <v>15</v>
      </c>
      <c r="EW88" s="25">
        <v>46</v>
      </c>
      <c r="EX88" s="25">
        <v>0</v>
      </c>
      <c r="EY88" s="25">
        <v>65</v>
      </c>
      <c r="EZ88" s="25">
        <v>0</v>
      </c>
      <c r="FA88" s="25">
        <v>1</v>
      </c>
      <c r="FB88" s="25">
        <v>1</v>
      </c>
      <c r="FC88" s="25">
        <v>7</v>
      </c>
      <c r="FD88" s="25">
        <v>174</v>
      </c>
      <c r="FE88" s="25">
        <v>27</v>
      </c>
      <c r="FF88" s="25">
        <v>1</v>
      </c>
      <c r="FG88" s="25">
        <v>0</v>
      </c>
      <c r="FH88" s="25">
        <v>2</v>
      </c>
      <c r="FI88" s="25">
        <v>93</v>
      </c>
      <c r="FJ88" s="25">
        <v>0</v>
      </c>
      <c r="FK88" s="25">
        <v>0</v>
      </c>
      <c r="FL88" s="25">
        <v>0</v>
      </c>
      <c r="FM88" s="25">
        <v>1</v>
      </c>
      <c r="FN88" s="25">
        <v>6</v>
      </c>
      <c r="FO88" s="25">
        <v>2248</v>
      </c>
      <c r="FP88" s="25">
        <v>1</v>
      </c>
      <c r="FQ88" s="25">
        <v>1</v>
      </c>
      <c r="FR88" s="25">
        <v>11</v>
      </c>
      <c r="FS88" s="25">
        <v>6</v>
      </c>
      <c r="FT88" s="25">
        <v>29</v>
      </c>
      <c r="FU88" s="25">
        <v>101</v>
      </c>
      <c r="FV88" s="25">
        <v>2</v>
      </c>
      <c r="FW88" s="25">
        <v>61</v>
      </c>
      <c r="FX88" s="25">
        <v>59</v>
      </c>
      <c r="FY88" s="25">
        <v>0</v>
      </c>
      <c r="FZ88" s="25">
        <v>5</v>
      </c>
      <c r="GA88" s="25">
        <v>121</v>
      </c>
      <c r="GB88" s="25">
        <v>182</v>
      </c>
      <c r="GC88" s="25">
        <v>159</v>
      </c>
      <c r="GD88" s="25">
        <v>380</v>
      </c>
      <c r="GE88" s="25">
        <v>6</v>
      </c>
      <c r="GF88" s="25">
        <v>220</v>
      </c>
      <c r="GG88" s="25">
        <v>63</v>
      </c>
      <c r="GH88" s="25">
        <v>0</v>
      </c>
      <c r="GI88" s="25">
        <v>0</v>
      </c>
      <c r="GJ88" s="25">
        <v>0</v>
      </c>
      <c r="GK88" s="25">
        <v>34</v>
      </c>
      <c r="GL88" s="25">
        <v>41</v>
      </c>
      <c r="GM88" s="25">
        <v>2</v>
      </c>
      <c r="GN88" s="25">
        <v>65</v>
      </c>
      <c r="GO88" s="25">
        <v>0</v>
      </c>
      <c r="GP88" s="25">
        <v>6</v>
      </c>
      <c r="GQ88" s="25">
        <v>2</v>
      </c>
      <c r="GR88" s="25">
        <v>40</v>
      </c>
      <c r="GS88" s="25">
        <v>1</v>
      </c>
      <c r="GT88" s="25">
        <v>18</v>
      </c>
      <c r="GU88" s="25">
        <v>14792</v>
      </c>
      <c r="GV88" s="25">
        <v>7</v>
      </c>
      <c r="GW88" s="25">
        <v>2</v>
      </c>
      <c r="GX88" s="25">
        <v>1</v>
      </c>
      <c r="GY88" s="46">
        <v>687</v>
      </c>
      <c r="GZ88" s="25">
        <v>895</v>
      </c>
      <c r="HA88" s="25">
        <v>5</v>
      </c>
      <c r="HB88" s="25">
        <v>1</v>
      </c>
      <c r="HC88" s="25">
        <v>30</v>
      </c>
      <c r="HD88" s="25">
        <v>3</v>
      </c>
      <c r="HE88" s="25">
        <v>8</v>
      </c>
      <c r="HF88" s="25">
        <v>24</v>
      </c>
      <c r="HG88" s="25">
        <v>812</v>
      </c>
      <c r="HH88" s="25">
        <v>0</v>
      </c>
      <c r="HI88" s="25">
        <v>52</v>
      </c>
      <c r="HJ88" s="25">
        <v>12</v>
      </c>
      <c r="HK88" s="25">
        <v>3</v>
      </c>
      <c r="HL88" s="25">
        <v>1</v>
      </c>
      <c r="HM88" s="25">
        <v>8</v>
      </c>
      <c r="HN88" s="25">
        <v>0</v>
      </c>
      <c r="HO88" s="25">
        <v>1</v>
      </c>
      <c r="HP88" s="25">
        <v>0</v>
      </c>
      <c r="HQ88" s="25">
        <v>8505</v>
      </c>
      <c r="HR88" s="25">
        <v>7</v>
      </c>
      <c r="HS88" s="25">
        <v>18270</v>
      </c>
      <c r="HT88" s="25">
        <v>3</v>
      </c>
      <c r="HU88" s="25">
        <v>9</v>
      </c>
      <c r="HV88" s="25">
        <v>0</v>
      </c>
      <c r="HW88" s="25">
        <v>1</v>
      </c>
      <c r="HX88" s="25">
        <v>3</v>
      </c>
      <c r="HY88" s="25">
        <v>1</v>
      </c>
      <c r="HZ88" s="25">
        <v>0</v>
      </c>
      <c r="IA88" s="25">
        <v>0</v>
      </c>
      <c r="IB88" s="25">
        <v>0</v>
      </c>
      <c r="IC88" s="25">
        <v>2</v>
      </c>
      <c r="ID88" s="25">
        <v>0</v>
      </c>
      <c r="IE88" s="25">
        <v>1</v>
      </c>
      <c r="IF88" s="25">
        <v>0</v>
      </c>
      <c r="IG88" s="25">
        <v>0</v>
      </c>
      <c r="IH88" s="25">
        <v>1</v>
      </c>
      <c r="II88" s="25">
        <v>1</v>
      </c>
      <c r="IJ88" s="25">
        <v>0</v>
      </c>
      <c r="IK88" s="25">
        <v>7</v>
      </c>
      <c r="IL88" s="25">
        <v>0</v>
      </c>
      <c r="IM88" s="25">
        <v>0</v>
      </c>
      <c r="IN88" s="25">
        <v>0</v>
      </c>
      <c r="IO88" s="25">
        <v>5</v>
      </c>
      <c r="IP88" s="25">
        <v>3</v>
      </c>
      <c r="IQ88" s="25">
        <v>0</v>
      </c>
      <c r="IR88" s="25">
        <v>0</v>
      </c>
      <c r="IS88" s="25">
        <v>1</v>
      </c>
      <c r="IT88" s="25">
        <v>2</v>
      </c>
      <c r="IU88" s="25">
        <v>1</v>
      </c>
      <c r="IV88" s="25">
        <v>0</v>
      </c>
      <c r="IW88" s="25">
        <v>0</v>
      </c>
      <c r="IX88" s="25">
        <v>0</v>
      </c>
      <c r="IY88" s="25">
        <v>1</v>
      </c>
      <c r="IZ88" s="25">
        <v>0</v>
      </c>
      <c r="JA88" s="25">
        <v>0</v>
      </c>
      <c r="JB88" s="25">
        <v>0</v>
      </c>
      <c r="JC88" s="25">
        <v>0</v>
      </c>
      <c r="JD88" s="25">
        <v>0</v>
      </c>
      <c r="JE88" s="25">
        <v>0</v>
      </c>
      <c r="JF88" s="25">
        <v>0</v>
      </c>
      <c r="JG88" s="25">
        <v>0</v>
      </c>
      <c r="JH88" s="25">
        <v>0</v>
      </c>
      <c r="JI88" s="25">
        <v>4</v>
      </c>
      <c r="JJ88" s="25">
        <v>2</v>
      </c>
      <c r="JK88" s="25">
        <v>24</v>
      </c>
      <c r="JL88" s="25">
        <v>1</v>
      </c>
      <c r="JM88" s="25">
        <v>66</v>
      </c>
      <c r="JN88" s="25">
        <v>7</v>
      </c>
      <c r="JO88" s="25">
        <v>89</v>
      </c>
      <c r="JP88" s="25">
        <v>18</v>
      </c>
      <c r="JQ88" s="25">
        <v>495</v>
      </c>
      <c r="JR88" s="25">
        <v>193</v>
      </c>
      <c r="JS88" s="25">
        <v>326</v>
      </c>
      <c r="JT88" s="25">
        <v>19</v>
      </c>
      <c r="JU88" s="25">
        <v>27</v>
      </c>
      <c r="JV88" s="25">
        <v>309</v>
      </c>
      <c r="JW88" s="25">
        <v>362</v>
      </c>
      <c r="JX88" s="25">
        <v>5</v>
      </c>
      <c r="JY88" s="25">
        <v>15</v>
      </c>
      <c r="JZ88" s="25">
        <v>462</v>
      </c>
      <c r="KA88" s="25">
        <v>203</v>
      </c>
      <c r="KB88" s="25">
        <v>27</v>
      </c>
      <c r="KC88" s="25">
        <v>34</v>
      </c>
      <c r="KD88" s="25">
        <v>65</v>
      </c>
      <c r="KE88" s="25">
        <v>652</v>
      </c>
      <c r="KF88" s="25">
        <v>14</v>
      </c>
      <c r="KG88" s="25">
        <v>124</v>
      </c>
      <c r="KH88" s="25">
        <v>433</v>
      </c>
      <c r="KI88" s="25">
        <v>959</v>
      </c>
      <c r="KJ88" s="25">
        <v>39</v>
      </c>
      <c r="KK88" s="25">
        <v>67</v>
      </c>
      <c r="KL88" s="25">
        <v>86</v>
      </c>
      <c r="KM88" s="25">
        <v>6</v>
      </c>
      <c r="KN88" s="25">
        <v>12</v>
      </c>
      <c r="KO88" s="25">
        <v>72</v>
      </c>
      <c r="KP88" s="25">
        <v>13</v>
      </c>
      <c r="KQ88" s="25">
        <v>1504</v>
      </c>
      <c r="KR88" s="25">
        <v>13</v>
      </c>
      <c r="KS88" s="25">
        <v>9834</v>
      </c>
      <c r="KT88" s="25">
        <v>66</v>
      </c>
      <c r="KU88" s="25">
        <v>4</v>
      </c>
      <c r="KV88" s="25">
        <v>193</v>
      </c>
      <c r="KW88" s="25">
        <v>79</v>
      </c>
      <c r="KX88" s="25">
        <v>33</v>
      </c>
      <c r="KY88" s="25">
        <v>318</v>
      </c>
      <c r="KZ88" s="25">
        <v>35</v>
      </c>
      <c r="LA88" s="25">
        <v>51</v>
      </c>
      <c r="LB88" s="25">
        <v>6</v>
      </c>
      <c r="LC88" s="25">
        <v>80</v>
      </c>
      <c r="LD88" s="25">
        <v>189</v>
      </c>
      <c r="LE88" s="25">
        <v>13</v>
      </c>
      <c r="LF88" s="25">
        <v>23</v>
      </c>
      <c r="LG88" s="25">
        <v>66</v>
      </c>
      <c r="LH88" s="25">
        <v>426</v>
      </c>
      <c r="LI88" s="25">
        <v>4</v>
      </c>
      <c r="LJ88" s="25">
        <v>100</v>
      </c>
      <c r="LK88" s="25">
        <v>0</v>
      </c>
      <c r="LL88" s="25">
        <v>0</v>
      </c>
      <c r="LM88" s="25">
        <v>3</v>
      </c>
      <c r="LN88" s="278">
        <f ca="1">$A88 - DeathsTimeS!Sweden100dt + 1</f>
        <v>21</v>
      </c>
      <c r="LO88" s="366">
        <f ca="1">INDEX(OFFSET(DeathsTimeS!HeadRow,ROW()-ROW(DeathsTimeS!HeadRow),0,1,COLUMNS(DeathsTimeS!HeadRow)),1,MATCH(LO$5,DeathsTimeS!HeadRow,0))/LO$8</f>
        <v>671.55425219941355</v>
      </c>
      <c r="LP88" s="278">
        <f ca="1">$A88 - DeathsTimeS!Spain100dt</f>
        <v>28</v>
      </c>
      <c r="LQ88" s="20">
        <f ca="1">INDEX(OFFSET(DeathsTimeS!HeadRow,ROW()-ROW(DeathsTimeS!HeadRow),0,1,COLUMNS(DeathsTimeS!HeadRow)),1,MATCH(LQ$5,DeathsTimeS!HeadRow,0))/LQ$8</f>
        <v>3151.2569237324242</v>
      </c>
      <c r="LR88" s="278">
        <f ca="1">$A88 - DeathsTimeS!Victoria100dt</f>
        <v>5</v>
      </c>
      <c r="LS88" s="20">
        <f ca="1">INDEX(OFFSET(DeathsTimeS!HeadRow,ROW()-ROW(DeathsTimeS!HeadRow),0,1,COLUMNS(DeathsTimeS!HeadRow)),1,MATCH(LS$5,DeathsTimeS!HeadRow,0))/LS$8</f>
        <v>18.102277869965302</v>
      </c>
      <c r="LT88" s="278">
        <f ca="1">$A88 - DeathsTimeS!Iran100dt</f>
        <v>35</v>
      </c>
      <c r="LU88" s="20">
        <f ca="1">INDEX(OFFSET(DeathsTimeS!HeadRow,ROW()-ROW(DeathsTimeS!HeadRow),0,1,COLUMNS(DeathsTimeS!HeadRow)),1,MATCH(LU$5,DeathsTimeS!HeadRow,0))/LU$8</f>
        <v>476.64521982022848</v>
      </c>
      <c r="LV88" s="278">
        <f ca="1">$A88 - DeathsTimeS!Japan100dt</f>
        <v>-6</v>
      </c>
      <c r="LW88" s="20">
        <f ca="1">INDEX(OFFSET(DeathsTimeS!HeadRow,ROW()-ROW(DeathsTimeS!HeadRow),0,1,COLUMNS(DeathsTimeS!HeadRow)),1,MATCH(LW$5,DeathsTimeS!HeadRow,0))/LW$8</f>
        <v>7.3486298989216507</v>
      </c>
      <c r="LX88" s="278">
        <f ca="1">$A88 - DeathsTimeS!Queensland100dt</f>
        <v>-10</v>
      </c>
      <c r="LY88" s="20">
        <f ca="1">INDEX(OFFSET(DeathsTimeS!HeadRow,ROW()-ROW(DeathsTimeS!HeadRow),0,1,COLUMNS(DeathsTimeS!HeadRow)),1,MATCH(LY$5,DeathsTimeS!HeadRow,0))/LY$8</f>
        <v>7.8194473957428192</v>
      </c>
      <c r="LZ88" s="278">
        <f ca="1">$A88 - DeathsTimeS!Tasmania100dt</f>
        <v>8</v>
      </c>
      <c r="MA88" s="20">
        <f ca="1">INDEX(OFFSET(DeathsTimeS!HeadRow,ROW()-ROW(DeathsTimeS!HeadRow),0,1,COLUMNS(DeathsTimeS!HeadRow)),1,MATCH(MA$5,DeathsTimeS!HeadRow,0))/MA$8</f>
        <v>58.252427184466022</v>
      </c>
      <c r="MB88" s="278">
        <f ca="1">$A88 - DeathsTimeS!SouthAustralia100dt</f>
        <v>0</v>
      </c>
      <c r="MC88" s="20">
        <f ca="1">INDEX(OFFSET(DeathsTimeS!HeadRow,ROW()-ROW(DeathsTimeS!HeadRow),0,1,COLUMNS(DeathsTimeS!HeadRow)),1,MATCH(MC$5,DeathsTimeS!HeadRow,0))/MC$8</f>
        <v>11.976047904191615</v>
      </c>
      <c r="MD88" s="278">
        <f ca="1">$A88 - DeathsTimeS!WesternAustralia100dt</f>
        <v>3</v>
      </c>
      <c r="ME88" s="20">
        <f ca="1">INDEX(OFFSET(DeathsTimeS!HeadRow,ROW()-ROW(DeathsTimeS!HeadRow),0,1,COLUMNS(DeathsTimeS!HeadRow)),1,MATCH(ME$5,DeathsTimeS!HeadRow,0))/ME$8</f>
        <v>23.174971031286209</v>
      </c>
      <c r="MF88" s="278">
        <f ca="1">$A88 - DeathsTimeS!NewSouthWales100dt</f>
        <v>7</v>
      </c>
      <c r="MG88" s="20">
        <f ca="1">INDEX(OFFSET(DeathsTimeS!HeadRow,ROW()-ROW(DeathsTimeS!HeadRow),0,1,COLUMNS(DeathsTimeS!HeadRow)),1,MATCH(MG$5,DeathsTimeS!HeadRow,0))/MG$8</f>
        <v>25.990099009900987</v>
      </c>
      <c r="MH88" s="278">
        <f ca="1">$A88 - DeathsTimeS!NewYork100dt</f>
        <v>23</v>
      </c>
      <c r="MI88" s="20">
        <f ca="1">INDEX(OFFSET(DeathsTimeS!HeadRow,ROW()-ROW(DeathsTimeS!HeadRow),0,1,COLUMNS(DeathsTimeS!HeadRow)),1,MATCH(MI$5,DeathsTimeS!HeadRow,0))/MI$8</f>
        <v>4161.9997236337376</v>
      </c>
      <c r="MJ88" s="278">
        <f ca="1">$A88 - DeathsTimeS!Italy100dt</f>
        <v>36</v>
      </c>
      <c r="MK88" s="20">
        <f ca="1">INDEX(OFFSET(DeathsTimeS!HeadRow,ROW()-ROW(DeathsTimeS!HeadRow),0,1,COLUMNS(DeathsTimeS!HeadRow)),1,MATCH(MK$5,DeathsTimeS!HeadRow,0))/MK$8</f>
        <v>2921.2201372241052</v>
      </c>
      <c r="ML88" s="278">
        <f ca="1">$A88 - DeathsTimeS!AustralianCapitalTerritory100dt</f>
        <v>9</v>
      </c>
      <c r="MM88" s="20">
        <f ca="1">INDEX(OFFSET(DeathsTimeS!HeadRow,ROW()-ROW(DeathsTimeS!HeadRow),0,1,COLUMNS(DeathsTimeS!HeadRow)),1,MATCH(MM$5,DeathsTimeS!HeadRow,0))/MM$8</f>
        <v>46.722422090361171</v>
      </c>
      <c r="MN88" s="278">
        <f ca="1">IF(DeathsTimeS!NorthernTerritory100dt&gt;0,$A88 - DeathsTimeS!NorthernTerritory100dt,"")</f>
        <v>-19</v>
      </c>
      <c r="MO88" s="20">
        <f ca="1">INDEX(OFFSET(DeathsTimeS!HeadRow,ROW()-ROW(DeathsTimeS!HeadRow),0,1,COLUMNS(DeathsTimeS!HeadRow)),1,MATCH(MO$5,DeathsTimeS!HeadRow,0))/MO$8</f>
        <v>0</v>
      </c>
      <c r="MP88" s="278">
        <f ca="1">$A88 - DeathsTimeS!SouthAfrica100dt + 1</f>
        <v>-11</v>
      </c>
      <c r="MQ88" s="20">
        <f ca="1">INDEX(OFFSET(DeathsTimeS!HeadRow,ROW()-ROW(DeathsTimeS!HeadRow),0,1,COLUMNS(DeathsTimeS!HeadRow)),1,MATCH(MQ$5,DeathsTimeS!HeadRow,0))/MQ$8</f>
        <v>3.1152647975077885</v>
      </c>
      <c r="MR88" s="278">
        <f ca="1">$A88 - DeathsTimeS!Germany100dt + 1</f>
        <v>19</v>
      </c>
      <c r="MS88" s="20">
        <f ca="1">INDEX(OFFSET(DeathsTimeS!HeadRow,ROW()-ROW(DeathsTimeS!HeadRow),0,1,COLUMNS(DeathsTimeS!HeadRow)),1,MATCH(MS$5,DeathsTimeS!HeadRow,0))/MS$8</f>
        <v>282.94386894724164</v>
      </c>
      <c r="MT88" s="278">
        <f ca="1">$A88 - DeathsTimeS!Ireland100dt + 1</f>
        <v>17</v>
      </c>
      <c r="MU88" s="73">
        <f ca="1">INDEX(OFFSET(DeathsTimeS!HeadRow,ROW()-ROW(DeathsTimeS!HeadRow),0,1,COLUMNS(DeathsTimeS!HeadRow)),1,MATCH(MU$5,DeathsTimeS!HeadRow,0))/MU$8</f>
        <v>479.59183673469391</v>
      </c>
      <c r="MV88" s="278">
        <f ca="1">$A88 - DeathsTimeS!UnitedKingdom100dt + 1</f>
        <v>23</v>
      </c>
      <c r="MW88" s="73">
        <f ca="1">INDEX(OFFSET(DeathsTimeS!HeadRow,ROW()-ROW(DeathsTimeS!HeadRow),0,1,COLUMNS(DeathsTimeS!HeadRow)),1,MATCH(MW$5,DeathsTimeS!HeadRow,0))/MW$8</f>
        <v>1280.1023479831426</v>
      </c>
      <c r="MX88" s="278">
        <f ca="1">$A88 - DeathsTimeS!Denmark100dt + 1</f>
        <v>21</v>
      </c>
      <c r="MY88" s="73">
        <f ca="1">INDEX(OFFSET(DeathsTimeS!HeadRow,ROW()-ROW(DeathsTimeS!HeadRow),0,1,COLUMNS(DeathsTimeS!HeadRow)),1,MATCH(MY$5,DeathsTimeS!HeadRow,0))/MY$8</f>
        <v>375.47364795039613</v>
      </c>
      <c r="MZ88" s="278">
        <f ca="1">$A88 - DeathsTimeS!US100dt + 1</f>
        <v>20</v>
      </c>
      <c r="NA88" s="73">
        <f ca="1">INDEX(OFFSET(DeathsTimeS!HeadRow,ROW()-ROW(DeathsTimeS!HeadRow),0,1,COLUMNS(DeathsTimeS!HeadRow)),1,MATCH(NA$5,DeathsTimeS!HeadRow,0))/NA$8</f>
        <v>554.93500234940711</v>
      </c>
      <c r="NB88" s="278">
        <f ca="1">$A88 - DeathsTimeS!AustraliaSum100dt + 1</f>
        <v>14</v>
      </c>
      <c r="NC88" s="366">
        <f t="shared" si="7"/>
        <v>50</v>
      </c>
      <c r="ND88" s="278">
        <f ca="1">$A88 - DeathsTimeS!Taiwan100dt + 1</f>
        <v>-18</v>
      </c>
      <c r="NE88" s="366">
        <f ca="1">INDEX(OFFSET(DeathsTimeS!HeadRow,ROW()-ROW(DeathsTimeS!HeadRow),0,1,COLUMNS(DeathsTimeS!HeadRow)),1,MATCH(NE$5,DeathsTimeS!HeadRow,0))/NE$8</f>
        <v>2.1001977462189929</v>
      </c>
      <c r="NF88" s="278">
        <f ca="1">$A88 - DeathsTimeS!Hubei100dt + 1</f>
        <v>73</v>
      </c>
      <c r="NG88" s="366">
        <f ca="1">INDEX(OFFSET(DeathsTimeS!HeadRow,ROW()-ROW(DeathsTimeS!HeadRow),0,1,COLUMNS(DeathsTimeS!HeadRow)),1,MATCH(NG$5,DeathsTimeS!HeadRow,0))/NG$8</f>
        <v>549.23076923076928</v>
      </c>
      <c r="NH88" s="278">
        <f ca="1">$A88 - DeathsTimeS!HongKong100dt + 1</f>
        <v>-18</v>
      </c>
      <c r="NI88" s="366">
        <f ca="1">INDEX(OFFSET(DeathsTimeS!HeadRow,ROW()-ROW(DeathsTimeS!HeadRow),0,1,COLUMNS(DeathsTimeS!HeadRow)),1,MATCH(NI$5,DeathsTimeS!HeadRow,0))/NI$8</f>
        <v>5.3684069252449333</v>
      </c>
    </row>
    <row r="89" spans="1:373" x14ac:dyDescent="0.25">
      <c r="A89" s="156">
        <v>43930</v>
      </c>
      <c r="B89" s="25">
        <v>15</v>
      </c>
      <c r="C89" s="25">
        <v>23</v>
      </c>
      <c r="D89" s="25">
        <v>235</v>
      </c>
      <c r="E89" s="25">
        <v>25</v>
      </c>
      <c r="F89" s="25">
        <v>2</v>
      </c>
      <c r="G89" s="25">
        <v>2</v>
      </c>
      <c r="H89" s="25">
        <v>72</v>
      </c>
      <c r="I89" s="25">
        <v>10</v>
      </c>
      <c r="J89" s="25">
        <v>2</v>
      </c>
      <c r="K89" s="25">
        <v>21</v>
      </c>
      <c r="L89" s="25">
        <v>0</v>
      </c>
      <c r="M89" s="25">
        <v>4</v>
      </c>
      <c r="N89" s="25">
        <v>3</v>
      </c>
      <c r="O89" s="25">
        <v>3</v>
      </c>
      <c r="P89" s="25">
        <v>12</v>
      </c>
      <c r="Q89" s="25">
        <v>6</v>
      </c>
      <c r="R89" s="25">
        <v>295</v>
      </c>
      <c r="S89" s="25">
        <v>9</v>
      </c>
      <c r="T89" s="25">
        <v>8</v>
      </c>
      <c r="U89" s="25">
        <v>5</v>
      </c>
      <c r="V89" s="25">
        <v>21</v>
      </c>
      <c r="W89" s="25">
        <v>3</v>
      </c>
      <c r="X89" s="25">
        <v>16</v>
      </c>
      <c r="Y89" s="25">
        <v>2523</v>
      </c>
      <c r="Z89" s="25">
        <v>1</v>
      </c>
      <c r="AA89" s="25">
        <v>0</v>
      </c>
      <c r="AB89" s="25">
        <v>18</v>
      </c>
      <c r="AC89" s="25">
        <v>35</v>
      </c>
      <c r="AD89" s="25">
        <v>950</v>
      </c>
      <c r="AE89" s="25">
        <v>1</v>
      </c>
      <c r="AF89" s="25">
        <v>24</v>
      </c>
      <c r="AG89" s="25">
        <v>24</v>
      </c>
      <c r="AH89" s="25">
        <v>1</v>
      </c>
      <c r="AI89" s="25">
        <v>0</v>
      </c>
      <c r="AJ89" s="25">
        <v>10</v>
      </c>
      <c r="AK89" s="25">
        <v>29</v>
      </c>
      <c r="AL89" s="25">
        <v>48</v>
      </c>
      <c r="AM89" s="25">
        <v>0</v>
      </c>
      <c r="AN89" s="25">
        <v>3</v>
      </c>
      <c r="AO89" s="25">
        <v>0</v>
      </c>
      <c r="AP89" s="25">
        <v>2</v>
      </c>
      <c r="AQ89" s="25">
        <v>1</v>
      </c>
      <c r="AR89" s="25">
        <v>200</v>
      </c>
      <c r="AS89" s="25">
        <v>0</v>
      </c>
      <c r="AT89" s="25">
        <v>216</v>
      </c>
      <c r="AU89" s="25">
        <v>3</v>
      </c>
      <c r="AV89" s="25">
        <v>0</v>
      </c>
      <c r="AW89" s="25">
        <v>0</v>
      </c>
      <c r="AX89" s="25">
        <v>57</v>
      </c>
      <c r="AY89" s="25">
        <v>6</v>
      </c>
      <c r="AZ89" s="25">
        <v>8</v>
      </c>
      <c r="BA89" s="25">
        <v>6</v>
      </c>
      <c r="BB89" s="25">
        <v>1</v>
      </c>
      <c r="BC89" s="25">
        <v>2</v>
      </c>
      <c r="BD89" s="25">
        <v>8</v>
      </c>
      <c r="BE89" s="25">
        <v>2</v>
      </c>
      <c r="BF89" s="25">
        <v>2</v>
      </c>
      <c r="BG89" s="25">
        <v>6</v>
      </c>
      <c r="BH89" s="25">
        <v>6</v>
      </c>
      <c r="BI89" s="25">
        <v>13</v>
      </c>
      <c r="BJ89" s="25">
        <v>22</v>
      </c>
      <c r="BK89" s="25">
        <v>4</v>
      </c>
      <c r="BL89" s="25">
        <v>3215</v>
      </c>
      <c r="BM89" s="25">
        <v>4</v>
      </c>
      <c r="BN89" s="25">
        <v>1</v>
      </c>
      <c r="BO89" s="25">
        <v>0</v>
      </c>
      <c r="BP89" s="25">
        <v>1</v>
      </c>
      <c r="BQ89" s="25">
        <v>1</v>
      </c>
      <c r="BR89" s="25">
        <v>2</v>
      </c>
      <c r="BS89" s="25">
        <v>0</v>
      </c>
      <c r="BT89" s="25">
        <v>0</v>
      </c>
      <c r="BU89" s="25">
        <v>0</v>
      </c>
      <c r="BV89" s="25">
        <v>3</v>
      </c>
      <c r="BW89" s="25">
        <v>7</v>
      </c>
      <c r="BX89" s="25">
        <v>7</v>
      </c>
      <c r="BY89" s="25">
        <v>0</v>
      </c>
      <c r="BZ89" s="25">
        <v>3</v>
      </c>
      <c r="CA89" s="25">
        <v>3</v>
      </c>
      <c r="CB89" s="25">
        <v>0</v>
      </c>
      <c r="CC89" s="25">
        <v>3</v>
      </c>
      <c r="CD89" s="25">
        <v>2</v>
      </c>
      <c r="CE89" s="25">
        <v>1</v>
      </c>
      <c r="CF89" s="25">
        <v>69</v>
      </c>
      <c r="CG89" s="25">
        <v>5</v>
      </c>
      <c r="CH89" s="25">
        <v>18</v>
      </c>
      <c r="CI89" s="25">
        <v>3</v>
      </c>
      <c r="CJ89" s="25">
        <v>3</v>
      </c>
      <c r="CK89" s="25">
        <v>20</v>
      </c>
      <c r="CL89" s="25">
        <v>11</v>
      </c>
      <c r="CM89" s="25">
        <v>15</v>
      </c>
      <c r="CN89" s="25">
        <v>10</v>
      </c>
      <c r="CO89" s="25">
        <v>112</v>
      </c>
      <c r="CP89" s="25">
        <v>0</v>
      </c>
      <c r="CQ89" s="25">
        <v>0</v>
      </c>
      <c r="CR89" s="25">
        <v>237</v>
      </c>
      <c r="CS89" s="25">
        <v>0</v>
      </c>
      <c r="CT89" s="25">
        <v>118</v>
      </c>
      <c r="CU89" s="25">
        <v>272</v>
      </c>
      <c r="CV89" s="25">
        <v>118</v>
      </c>
      <c r="CW89" s="25">
        <v>6</v>
      </c>
      <c r="CX89" s="25">
        <v>0</v>
      </c>
      <c r="CY89" s="25">
        <v>0</v>
      </c>
      <c r="CZ89" s="25">
        <v>24</v>
      </c>
      <c r="DA89" s="25">
        <v>0</v>
      </c>
      <c r="DB89" s="25">
        <v>2</v>
      </c>
      <c r="DC89" s="25">
        <v>0</v>
      </c>
      <c r="DD89" s="25">
        <v>42</v>
      </c>
      <c r="DE89" s="25">
        <v>0</v>
      </c>
      <c r="DF89" s="25">
        <v>0</v>
      </c>
      <c r="DG89" s="25">
        <v>8</v>
      </c>
      <c r="DH89" s="25">
        <v>2</v>
      </c>
      <c r="DI89" s="25">
        <v>0</v>
      </c>
      <c r="DJ89" s="25">
        <v>0</v>
      </c>
      <c r="DK89" s="25">
        <v>0</v>
      </c>
      <c r="DL89" s="25">
        <v>2</v>
      </c>
      <c r="DM89" s="25">
        <v>6</v>
      </c>
      <c r="DN89" s="25">
        <v>12210</v>
      </c>
      <c r="DO89" s="25">
        <v>1</v>
      </c>
      <c r="DP89" s="25">
        <v>1</v>
      </c>
      <c r="DQ89" s="25">
        <v>3</v>
      </c>
      <c r="DR89" s="25">
        <v>2607</v>
      </c>
      <c r="DS89" s="25">
        <v>6</v>
      </c>
      <c r="DT89" s="25">
        <v>87</v>
      </c>
      <c r="DU89" s="25">
        <v>3</v>
      </c>
      <c r="DV89" s="25">
        <v>0</v>
      </c>
      <c r="DW89" s="25">
        <v>6</v>
      </c>
      <c r="DX89" s="25">
        <v>2</v>
      </c>
      <c r="DY89" s="25">
        <v>0</v>
      </c>
      <c r="DZ89" s="25">
        <v>23</v>
      </c>
      <c r="EA89" s="25">
        <v>66</v>
      </c>
      <c r="EB89" s="25">
        <v>6</v>
      </c>
      <c r="EC89" s="25">
        <v>226</v>
      </c>
      <c r="ED89" s="25">
        <v>280</v>
      </c>
      <c r="EE89" s="25">
        <v>4110</v>
      </c>
      <c r="EF89" s="25">
        <v>69</v>
      </c>
      <c r="EG89" s="25">
        <v>263</v>
      </c>
      <c r="EH89" s="25">
        <v>86</v>
      </c>
      <c r="EI89" s="25">
        <v>18279</v>
      </c>
      <c r="EJ89" s="25">
        <v>4</v>
      </c>
      <c r="EK89" s="25">
        <v>94</v>
      </c>
      <c r="EL89" s="25">
        <v>7</v>
      </c>
      <c r="EM89" s="25">
        <v>8</v>
      </c>
      <c r="EN89" s="25">
        <v>7</v>
      </c>
      <c r="EO89" s="25">
        <v>204</v>
      </c>
      <c r="EP89" s="25">
        <v>1</v>
      </c>
      <c r="EQ89" s="25">
        <v>4</v>
      </c>
      <c r="ER89" s="25">
        <v>3</v>
      </c>
      <c r="ES89" s="25">
        <v>19</v>
      </c>
      <c r="ET89" s="25">
        <v>4</v>
      </c>
      <c r="EU89" s="25">
        <v>1</v>
      </c>
      <c r="EV89" s="25">
        <v>16</v>
      </c>
      <c r="EW89" s="25">
        <v>52</v>
      </c>
      <c r="EX89" s="25">
        <v>0</v>
      </c>
      <c r="EY89" s="25">
        <v>67</v>
      </c>
      <c r="EZ89" s="25">
        <v>0</v>
      </c>
      <c r="FA89" s="25">
        <v>2</v>
      </c>
      <c r="FB89" s="25">
        <v>1</v>
      </c>
      <c r="FC89" s="25">
        <v>7</v>
      </c>
      <c r="FD89" s="25">
        <v>194</v>
      </c>
      <c r="FE89" s="25">
        <v>29</v>
      </c>
      <c r="FF89" s="25">
        <v>1</v>
      </c>
      <c r="FG89" s="25">
        <v>0</v>
      </c>
      <c r="FH89" s="25">
        <v>2</v>
      </c>
      <c r="FI89" s="25">
        <v>97</v>
      </c>
      <c r="FJ89" s="25">
        <v>0</v>
      </c>
      <c r="FK89" s="25">
        <v>0</v>
      </c>
      <c r="FL89" s="25">
        <v>0</v>
      </c>
      <c r="FM89" s="25">
        <v>1</v>
      </c>
      <c r="FN89" s="25">
        <v>6</v>
      </c>
      <c r="FO89" s="25">
        <v>2396</v>
      </c>
      <c r="FP89" s="25">
        <v>1</v>
      </c>
      <c r="FQ89" s="25">
        <v>1</v>
      </c>
      <c r="FR89" s="25">
        <v>11</v>
      </c>
      <c r="FS89" s="25">
        <v>7</v>
      </c>
      <c r="FT89" s="25">
        <v>30</v>
      </c>
      <c r="FU89" s="25">
        <v>108</v>
      </c>
      <c r="FV89" s="25">
        <v>3</v>
      </c>
      <c r="FW89" s="25">
        <v>65</v>
      </c>
      <c r="FX89" s="25">
        <v>63</v>
      </c>
      <c r="FY89" s="25">
        <v>0</v>
      </c>
      <c r="FZ89" s="25">
        <v>5</v>
      </c>
      <c r="GA89" s="25">
        <v>138</v>
      </c>
      <c r="GB89" s="25">
        <v>203</v>
      </c>
      <c r="GC89" s="25">
        <v>174</v>
      </c>
      <c r="GD89" s="25">
        <v>409</v>
      </c>
      <c r="GE89" s="25">
        <v>6</v>
      </c>
      <c r="GF89" s="25">
        <v>248</v>
      </c>
      <c r="GG89" s="25">
        <v>76</v>
      </c>
      <c r="GH89" s="25">
        <v>0</v>
      </c>
      <c r="GI89" s="25">
        <v>0</v>
      </c>
      <c r="GJ89" s="25">
        <v>0</v>
      </c>
      <c r="GK89" s="25">
        <v>34</v>
      </c>
      <c r="GL89" s="25">
        <v>44</v>
      </c>
      <c r="GM89" s="25">
        <v>2</v>
      </c>
      <c r="GN89" s="25">
        <v>66</v>
      </c>
      <c r="GO89" s="25">
        <v>0</v>
      </c>
      <c r="GP89" s="25">
        <v>6</v>
      </c>
      <c r="GQ89" s="25">
        <v>2</v>
      </c>
      <c r="GR89" s="25">
        <v>43</v>
      </c>
      <c r="GS89" s="25">
        <v>1</v>
      </c>
      <c r="GT89" s="25">
        <v>18</v>
      </c>
      <c r="GU89" s="25">
        <v>15447</v>
      </c>
      <c r="GV89" s="25">
        <v>7</v>
      </c>
      <c r="GW89" s="25">
        <v>2</v>
      </c>
      <c r="GX89" s="25">
        <v>1</v>
      </c>
      <c r="GY89" s="46">
        <v>793</v>
      </c>
      <c r="GZ89" s="25">
        <v>948</v>
      </c>
      <c r="HA89" s="25">
        <v>5</v>
      </c>
      <c r="HB89" s="25">
        <v>1</v>
      </c>
      <c r="HC89" s="25">
        <v>32</v>
      </c>
      <c r="HD89" s="25">
        <v>3</v>
      </c>
      <c r="HE89" s="25">
        <v>8</v>
      </c>
      <c r="HF89" s="25">
        <v>25</v>
      </c>
      <c r="HG89" s="25">
        <v>908</v>
      </c>
      <c r="HH89" s="25">
        <v>0</v>
      </c>
      <c r="HI89" s="25">
        <v>57</v>
      </c>
      <c r="HJ89" s="25">
        <v>14</v>
      </c>
      <c r="HK89" s="25">
        <v>4</v>
      </c>
      <c r="HL89" s="25">
        <v>1</v>
      </c>
      <c r="HM89" s="25">
        <v>8</v>
      </c>
      <c r="HN89" s="25">
        <v>0</v>
      </c>
      <c r="HO89" s="25">
        <v>1</v>
      </c>
      <c r="HP89" s="25">
        <v>0</v>
      </c>
      <c r="HQ89" s="25">
        <v>9608</v>
      </c>
      <c r="HR89" s="25">
        <v>7</v>
      </c>
      <c r="HS89" s="25">
        <v>20255</v>
      </c>
      <c r="HT89" s="25">
        <v>3</v>
      </c>
      <c r="HU89" s="25">
        <v>9</v>
      </c>
      <c r="HV89" s="25">
        <v>0</v>
      </c>
      <c r="HW89" s="25">
        <v>1</v>
      </c>
      <c r="HX89" s="25">
        <v>3</v>
      </c>
      <c r="HY89" s="25">
        <v>1</v>
      </c>
      <c r="HZ89" s="25">
        <v>0</v>
      </c>
      <c r="IA89" s="25">
        <v>0</v>
      </c>
      <c r="IB89" s="25">
        <v>0</v>
      </c>
      <c r="IC89" s="25">
        <v>2</v>
      </c>
      <c r="ID89" s="25">
        <v>0</v>
      </c>
      <c r="IE89" s="25">
        <v>1</v>
      </c>
      <c r="IF89" s="25">
        <v>0</v>
      </c>
      <c r="IG89" s="25">
        <v>0</v>
      </c>
      <c r="IH89" s="25">
        <v>1</v>
      </c>
      <c r="II89" s="25">
        <v>1</v>
      </c>
      <c r="IJ89" s="25">
        <v>0</v>
      </c>
      <c r="IK89" s="25">
        <v>7</v>
      </c>
      <c r="IL89" s="25">
        <v>0</v>
      </c>
      <c r="IM89" s="25">
        <v>0</v>
      </c>
      <c r="IN89" s="25">
        <v>0</v>
      </c>
      <c r="IO89" s="25">
        <v>5</v>
      </c>
      <c r="IP89" s="25">
        <v>3</v>
      </c>
      <c r="IQ89" s="25">
        <v>0</v>
      </c>
      <c r="IR89" s="25">
        <v>0</v>
      </c>
      <c r="IS89" s="25">
        <v>1</v>
      </c>
      <c r="IT89" s="25">
        <v>2</v>
      </c>
      <c r="IU89" s="25">
        <v>1</v>
      </c>
      <c r="IV89" s="25">
        <v>0</v>
      </c>
      <c r="IW89" s="25">
        <v>0</v>
      </c>
      <c r="IX89" s="25">
        <v>0</v>
      </c>
      <c r="IY89" s="25">
        <v>1</v>
      </c>
      <c r="IZ89" s="25">
        <v>0</v>
      </c>
      <c r="JA89" s="25">
        <v>0</v>
      </c>
      <c r="JB89" s="25">
        <v>0</v>
      </c>
      <c r="JC89" s="25">
        <v>0</v>
      </c>
      <c r="JD89" s="25">
        <v>0</v>
      </c>
      <c r="JE89" s="25">
        <v>0</v>
      </c>
      <c r="JF89" s="25">
        <v>0</v>
      </c>
      <c r="JG89" s="25">
        <v>0</v>
      </c>
      <c r="JH89" s="25">
        <v>0</v>
      </c>
      <c r="JI89" s="25">
        <v>4</v>
      </c>
      <c r="JJ89" s="25">
        <v>2</v>
      </c>
      <c r="JK89" s="25">
        <v>33</v>
      </c>
      <c r="JL89" s="25">
        <v>1</v>
      </c>
      <c r="JM89" s="25">
        <v>70</v>
      </c>
      <c r="JN89" s="25">
        <v>7</v>
      </c>
      <c r="JO89" s="25">
        <v>98</v>
      </c>
      <c r="JP89" s="25">
        <v>21</v>
      </c>
      <c r="JQ89" s="25">
        <v>544</v>
      </c>
      <c r="JR89" s="25">
        <v>193</v>
      </c>
      <c r="JS89" s="25">
        <v>380</v>
      </c>
      <c r="JT89" s="25">
        <v>23</v>
      </c>
      <c r="JU89" s="25">
        <v>32</v>
      </c>
      <c r="JV89" s="25">
        <v>354</v>
      </c>
      <c r="JW89" s="25">
        <v>379</v>
      </c>
      <c r="JX89" s="25">
        <v>6</v>
      </c>
      <c r="JY89" s="25">
        <v>18</v>
      </c>
      <c r="JZ89" s="25">
        <v>528</v>
      </c>
      <c r="KA89" s="25">
        <v>245</v>
      </c>
      <c r="KB89" s="25">
        <v>29</v>
      </c>
      <c r="KC89" s="25">
        <v>42</v>
      </c>
      <c r="KD89" s="25">
        <v>73</v>
      </c>
      <c r="KE89" s="25">
        <v>702</v>
      </c>
      <c r="KF89" s="25">
        <v>16</v>
      </c>
      <c r="KG89" s="25">
        <v>138</v>
      </c>
      <c r="KH89" s="25">
        <v>503</v>
      </c>
      <c r="KI89" s="25">
        <v>1076</v>
      </c>
      <c r="KJ89" s="25">
        <v>50</v>
      </c>
      <c r="KK89" s="25">
        <v>76</v>
      </c>
      <c r="KL89" s="25">
        <v>93</v>
      </c>
      <c r="KM89" s="25">
        <v>6</v>
      </c>
      <c r="KN89" s="25">
        <v>14</v>
      </c>
      <c r="KO89" s="25">
        <v>81</v>
      </c>
      <c r="KP89" s="25">
        <v>21</v>
      </c>
      <c r="KQ89" s="25">
        <v>1709</v>
      </c>
      <c r="KR89" s="25">
        <v>16</v>
      </c>
      <c r="KS89" s="25">
        <v>10778</v>
      </c>
      <c r="KT89" s="25">
        <v>76</v>
      </c>
      <c r="KU89" s="25">
        <v>5</v>
      </c>
      <c r="KV89" s="25">
        <v>213</v>
      </c>
      <c r="KW89" s="25">
        <v>80</v>
      </c>
      <c r="KX89" s="25">
        <v>44</v>
      </c>
      <c r="KY89" s="25">
        <v>345</v>
      </c>
      <c r="KZ89" s="25">
        <v>43</v>
      </c>
      <c r="LA89" s="25">
        <v>67</v>
      </c>
      <c r="LB89" s="25">
        <v>6</v>
      </c>
      <c r="LC89" s="25">
        <v>94</v>
      </c>
      <c r="LD89" s="25">
        <v>210</v>
      </c>
      <c r="LE89" s="25">
        <v>13</v>
      </c>
      <c r="LF89" s="25">
        <v>23</v>
      </c>
      <c r="LG89" s="25">
        <v>109</v>
      </c>
      <c r="LH89" s="25">
        <v>456</v>
      </c>
      <c r="LI89" s="25">
        <v>5</v>
      </c>
      <c r="LJ89" s="25">
        <v>111</v>
      </c>
      <c r="LK89" s="25">
        <v>0</v>
      </c>
      <c r="LL89" s="25">
        <v>0</v>
      </c>
      <c r="LM89" s="25">
        <v>3</v>
      </c>
      <c r="LN89" s="278">
        <f ca="1">$A89 - DeathsTimeS!Sweden100dt + 1</f>
        <v>22</v>
      </c>
      <c r="LO89" s="366">
        <f ca="1">INDEX(OFFSET(DeathsTimeS!HeadRow,ROW()-ROW(DeathsTimeS!HeadRow),0,1,COLUMNS(DeathsTimeS!HeadRow)),1,MATCH(LO$5,DeathsTimeS!HeadRow,0))/LO$8</f>
        <v>775.17106549364621</v>
      </c>
      <c r="LP89" s="278">
        <f ca="1">$A89 - DeathsTimeS!Spain100dt</f>
        <v>29</v>
      </c>
      <c r="LQ89" s="20">
        <f ca="1">INDEX(OFFSET(DeathsTimeS!HeadRow,ROW()-ROW(DeathsTimeS!HeadRow),0,1,COLUMNS(DeathsTimeS!HeadRow)),1,MATCH(LQ$5,DeathsTimeS!HeadRow,0))/LQ$8</f>
        <v>3290.7967618236048</v>
      </c>
      <c r="LR89" s="278">
        <f ca="1">$A89 - DeathsTimeS!Victoria100dt</f>
        <v>6</v>
      </c>
      <c r="LS89" s="20">
        <f ca="1">INDEX(OFFSET(DeathsTimeS!HeadRow,ROW()-ROW(DeathsTimeS!HeadRow),0,1,COLUMNS(DeathsTimeS!HeadRow)),1,MATCH(LS$5,DeathsTimeS!HeadRow,0))/LS$8</f>
        <v>18.102277869965302</v>
      </c>
      <c r="LT89" s="278">
        <f ca="1">$A89 - DeathsTimeS!Iran100dt</f>
        <v>36</v>
      </c>
      <c r="LU89" s="20">
        <f ca="1">INDEX(OFFSET(DeathsTimeS!HeadRow,ROW()-ROW(DeathsTimeS!HeadRow),0,1,COLUMNS(DeathsTimeS!HeadRow)),1,MATCH(LU$5,DeathsTimeS!HeadRow,0))/LU$8</f>
        <v>490.61153354899551</v>
      </c>
      <c r="LV89" s="278">
        <f ca="1">$A89 - DeathsTimeS!Japan100dt</f>
        <v>-5</v>
      </c>
      <c r="LW89" s="20">
        <f ca="1">INDEX(OFFSET(DeathsTimeS!HeadRow,ROW()-ROW(DeathsTimeS!HeadRow),0,1,COLUMNS(DeathsTimeS!HeadRow)),1,MATCH(LW$5,DeathsTimeS!HeadRow,0))/LW$8</f>
        <v>7.4276474247165067</v>
      </c>
      <c r="LX89" s="278">
        <f ca="1">$A89 - DeathsTimeS!Queensland100dt</f>
        <v>-9</v>
      </c>
      <c r="LY89" s="20">
        <f ca="1">INDEX(OFFSET(DeathsTimeS!HeadRow,ROW()-ROW(DeathsTimeS!HeadRow),0,1,COLUMNS(DeathsTimeS!HeadRow)),1,MATCH(LY$5,DeathsTimeS!HeadRow,0))/LY$8</f>
        <v>7.8194473957428192</v>
      </c>
      <c r="LZ89" s="278">
        <f ca="1">$A89 - DeathsTimeS!Tasmania100dt</f>
        <v>9</v>
      </c>
      <c r="MA89" s="20">
        <f ca="1">INDEX(OFFSET(DeathsTimeS!HeadRow,ROW()-ROW(DeathsTimeS!HeadRow),0,1,COLUMNS(DeathsTimeS!HeadRow)),1,MATCH(MA$5,DeathsTimeS!HeadRow,0))/MA$8</f>
        <v>58.252427184466022</v>
      </c>
      <c r="MB89" s="278">
        <f ca="1">$A89 - DeathsTimeS!SouthAustralia100dt</f>
        <v>1</v>
      </c>
      <c r="MC89" s="20">
        <f ca="1">INDEX(OFFSET(DeathsTimeS!HeadRow,ROW()-ROW(DeathsTimeS!HeadRow),0,1,COLUMNS(DeathsTimeS!HeadRow)),1,MATCH(MC$5,DeathsTimeS!HeadRow,0))/MC$8</f>
        <v>17.964071856287426</v>
      </c>
      <c r="MD89" s="278">
        <f ca="1">$A89 - DeathsTimeS!WesternAustralia100dt</f>
        <v>4</v>
      </c>
      <c r="ME89" s="20">
        <f ca="1">INDEX(OFFSET(DeathsTimeS!HeadRow,ROW()-ROW(DeathsTimeS!HeadRow),0,1,COLUMNS(DeathsTimeS!HeadRow)),1,MATCH(ME$5,DeathsTimeS!HeadRow,0))/ME$8</f>
        <v>23.174971031286209</v>
      </c>
      <c r="MF89" s="278">
        <f ca="1">$A89 - DeathsTimeS!NewSouthWales100dt</f>
        <v>8</v>
      </c>
      <c r="MG89" s="20">
        <f ca="1">INDEX(OFFSET(DeathsTimeS!HeadRow,ROW()-ROW(DeathsTimeS!HeadRow),0,1,COLUMNS(DeathsTimeS!HeadRow)),1,MATCH(MG$5,DeathsTimeS!HeadRow,0))/MG$8</f>
        <v>25.990099009900987</v>
      </c>
      <c r="MH89" s="278">
        <f ca="1">$A89 - DeathsTimeS!NewYork100dt</f>
        <v>24</v>
      </c>
      <c r="MI89" s="20">
        <f ca="1">INDEX(OFFSET(DeathsTimeS!HeadRow,ROW()-ROW(DeathsTimeS!HeadRow),0,1,COLUMNS(DeathsTimeS!HeadRow)),1,MATCH(MI$5,DeathsTimeS!HeadRow,0))/MI$8</f>
        <v>4561.5246106695577</v>
      </c>
      <c r="MJ89" s="278">
        <f ca="1">$A89 - DeathsTimeS!Italy100dt</f>
        <v>37</v>
      </c>
      <c r="MK89" s="20">
        <f ca="1">INDEX(OFFSET(DeathsTimeS!HeadRow,ROW()-ROW(DeathsTimeS!HeadRow),0,1,COLUMNS(DeathsTimeS!HeadRow)),1,MATCH(MK$5,DeathsTimeS!HeadRow,0))/MK$8</f>
        <v>3022.0715879970244</v>
      </c>
      <c r="ML89" s="278">
        <f ca="1">$A89 - DeathsTimeS!AustralianCapitalTerritory100dt</f>
        <v>10</v>
      </c>
      <c r="MM89" s="20">
        <f ca="1">INDEX(OFFSET(DeathsTimeS!HeadRow,ROW()-ROW(DeathsTimeS!HeadRow),0,1,COLUMNS(DeathsTimeS!HeadRow)),1,MATCH(MM$5,DeathsTimeS!HeadRow,0))/MM$8</f>
        <v>46.722422090361171</v>
      </c>
      <c r="MN89" s="278">
        <f ca="1">IF(DeathsTimeS!NorthernTerritory100dt&gt;0,$A89 - DeathsTimeS!NorthernTerritory100dt,"")</f>
        <v>-18</v>
      </c>
      <c r="MO89" s="20">
        <f ca="1">INDEX(OFFSET(DeathsTimeS!HeadRow,ROW()-ROW(DeathsTimeS!HeadRow),0,1,COLUMNS(DeathsTimeS!HeadRow)),1,MATCH(MO$5,DeathsTimeS!HeadRow,0))/MO$8</f>
        <v>0</v>
      </c>
      <c r="MP89" s="278">
        <f ca="1">$A89 - DeathsTimeS!SouthAfrica100dt + 1</f>
        <v>-10</v>
      </c>
      <c r="MQ89" s="20">
        <f ca="1">INDEX(OFFSET(DeathsTimeS!HeadRow,ROW()-ROW(DeathsTimeS!HeadRow),0,1,COLUMNS(DeathsTimeS!HeadRow)),1,MATCH(MQ$5,DeathsTimeS!HeadRow,0))/MQ$8</f>
        <v>3.1152647975077885</v>
      </c>
      <c r="MR89" s="278">
        <f ca="1">$A89 - DeathsTimeS!Germany100dt + 1</f>
        <v>20</v>
      </c>
      <c r="MS89" s="20">
        <f ca="1">INDEX(OFFSET(DeathsTimeS!HeadRow,ROW()-ROW(DeathsTimeS!HeadRow),0,1,COLUMNS(DeathsTimeS!HeadRow)),1,MATCH(MS$5,DeathsTimeS!HeadRow,0))/MS$8</f>
        <v>314.02071789930136</v>
      </c>
      <c r="MT89" s="278">
        <f ca="1">$A89 - DeathsTimeS!Ireland100dt + 1</f>
        <v>18</v>
      </c>
      <c r="MU89" s="73">
        <f ca="1">INDEX(OFFSET(DeathsTimeS!HeadRow,ROW()-ROW(DeathsTimeS!HeadRow),0,1,COLUMNS(DeathsTimeS!HeadRow)),1,MATCH(MU$5,DeathsTimeS!HeadRow,0))/MU$8</f>
        <v>536.73469387755108</v>
      </c>
      <c r="MV89" s="278">
        <f ca="1">$A89 - DeathsTimeS!UnitedKingdom100dt + 1</f>
        <v>24</v>
      </c>
      <c r="MW89" s="73">
        <f ca="1">INDEX(OFFSET(DeathsTimeS!HeadRow,ROW()-ROW(DeathsTimeS!HeadRow),0,1,COLUMNS(DeathsTimeS!HeadRow)),1,MATCH(MW$5,DeathsTimeS!HeadRow,0))/MW$8</f>
        <v>1446.1167971101745</v>
      </c>
      <c r="MX89" s="278">
        <f ca="1">$A89 - DeathsTimeS!Denmark100dt + 1</f>
        <v>22</v>
      </c>
      <c r="MY89" s="73">
        <f ca="1">INDEX(OFFSET(DeathsTimeS!HeadRow,ROW()-ROW(DeathsTimeS!HeadRow),0,1,COLUMNS(DeathsTimeS!HeadRow)),1,MATCH(MY$5,DeathsTimeS!HeadRow,0))/MY$8</f>
        <v>408.19841543231138</v>
      </c>
      <c r="MZ89" s="278">
        <f ca="1">$A89 - DeathsTimeS!US100dt + 1</f>
        <v>21</v>
      </c>
      <c r="NA89" s="73">
        <f ca="1">INDEX(OFFSET(DeathsTimeS!HeadRow,ROW()-ROW(DeathsTimeS!HeadRow),0,1,COLUMNS(DeathsTimeS!HeadRow)),1,MATCH(NA$5,DeathsTimeS!HeadRow,0))/NA$8</f>
        <v>615.2276120737406</v>
      </c>
      <c r="NB89" s="278">
        <f ca="1">$A89 - DeathsTimeS!AustraliaSum100dt + 1</f>
        <v>15</v>
      </c>
      <c r="NC89" s="366">
        <f t="shared" si="7"/>
        <v>51</v>
      </c>
      <c r="ND89" s="278">
        <f ca="1">$A89 - DeathsTimeS!Taiwan100dt + 1</f>
        <v>-17</v>
      </c>
      <c r="NE89" s="366">
        <f ca="1">INDEX(OFFSET(DeathsTimeS!HeadRow,ROW()-ROW(DeathsTimeS!HeadRow),0,1,COLUMNS(DeathsTimeS!HeadRow)),1,MATCH(NE$5,DeathsTimeS!HeadRow,0))/NE$8</f>
        <v>2.1001977462189929</v>
      </c>
      <c r="NF89" s="278">
        <f ca="1">$A89 - DeathsTimeS!Hubei100dt + 1</f>
        <v>74</v>
      </c>
      <c r="NG89" s="366">
        <f ca="1">INDEX(OFFSET(DeathsTimeS!HeadRow,ROW()-ROW(DeathsTimeS!HeadRow),0,1,COLUMNS(DeathsTimeS!HeadRow)),1,MATCH(NG$5,DeathsTimeS!HeadRow,0))/NG$8</f>
        <v>549.57264957264965</v>
      </c>
      <c r="NH89" s="278">
        <f ca="1">$A89 - DeathsTimeS!HongKong100dt + 1</f>
        <v>-17</v>
      </c>
      <c r="NI89" s="366">
        <f ca="1">INDEX(OFFSET(DeathsTimeS!HeadRow,ROW()-ROW(DeathsTimeS!HeadRow),0,1,COLUMNS(DeathsTimeS!HeadRow)),1,MATCH(NI$5,DeathsTimeS!HeadRow,0))/NI$8</f>
        <v>5.3684069252449333</v>
      </c>
    </row>
    <row r="90" spans="1:373" x14ac:dyDescent="0.25">
      <c r="A90" s="156">
        <v>43931</v>
      </c>
      <c r="B90" s="25">
        <v>15</v>
      </c>
      <c r="C90" s="25">
        <v>23</v>
      </c>
      <c r="D90" s="25">
        <v>256</v>
      </c>
      <c r="E90" s="25">
        <v>26</v>
      </c>
      <c r="F90" s="25">
        <v>2</v>
      </c>
      <c r="G90" s="25">
        <v>2</v>
      </c>
      <c r="H90" s="25">
        <v>82</v>
      </c>
      <c r="I90" s="25">
        <v>12</v>
      </c>
      <c r="J90" s="25">
        <v>2</v>
      </c>
      <c r="K90" s="25">
        <v>22</v>
      </c>
      <c r="L90" s="25">
        <v>0</v>
      </c>
      <c r="M90" s="25">
        <v>4</v>
      </c>
      <c r="N90" s="25">
        <v>3</v>
      </c>
      <c r="O90" s="25">
        <v>4</v>
      </c>
      <c r="P90" s="25">
        <v>13</v>
      </c>
      <c r="Q90" s="25">
        <v>6</v>
      </c>
      <c r="R90" s="25">
        <v>319</v>
      </c>
      <c r="S90" s="25">
        <v>10</v>
      </c>
      <c r="T90" s="25">
        <v>8</v>
      </c>
      <c r="U90" s="25">
        <v>6</v>
      </c>
      <c r="V90" s="25">
        <v>27</v>
      </c>
      <c r="W90" s="25">
        <v>4</v>
      </c>
      <c r="X90" s="25">
        <v>19</v>
      </c>
      <c r="Y90" s="25">
        <v>3019</v>
      </c>
      <c r="Z90" s="25">
        <v>1</v>
      </c>
      <c r="AA90" s="25">
        <v>0</v>
      </c>
      <c r="AB90" s="25">
        <v>19</v>
      </c>
      <c r="AC90" s="25">
        <v>36</v>
      </c>
      <c r="AD90" s="25">
        <v>1057</v>
      </c>
      <c r="AE90" s="25">
        <v>1</v>
      </c>
      <c r="AF90" s="25">
        <v>25</v>
      </c>
      <c r="AG90" s="25">
        <v>24</v>
      </c>
      <c r="AH90" s="25">
        <v>1</v>
      </c>
      <c r="AI90" s="25">
        <v>0</v>
      </c>
      <c r="AJ90" s="25">
        <v>12</v>
      </c>
      <c r="AK90" s="25">
        <v>32</v>
      </c>
      <c r="AL90" s="25">
        <v>50</v>
      </c>
      <c r="AM90" s="25">
        <v>0</v>
      </c>
      <c r="AN90" s="25">
        <v>3</v>
      </c>
      <c r="AO90" s="25">
        <v>0</v>
      </c>
      <c r="AP90" s="25">
        <v>3</v>
      </c>
      <c r="AQ90" s="25">
        <v>2</v>
      </c>
      <c r="AR90" s="25">
        <v>222</v>
      </c>
      <c r="AS90" s="25">
        <v>0</v>
      </c>
      <c r="AT90" s="25">
        <v>241</v>
      </c>
      <c r="AU90" s="25">
        <v>3</v>
      </c>
      <c r="AV90" s="25">
        <v>0</v>
      </c>
      <c r="AW90" s="25">
        <v>0</v>
      </c>
      <c r="AX90" s="25">
        <v>65</v>
      </c>
      <c r="AY90" s="25">
        <v>6</v>
      </c>
      <c r="AZ90" s="25">
        <v>8</v>
      </c>
      <c r="BA90" s="25">
        <v>6</v>
      </c>
      <c r="BB90" s="25">
        <v>1</v>
      </c>
      <c r="BC90" s="25">
        <v>2</v>
      </c>
      <c r="BD90" s="25">
        <v>8</v>
      </c>
      <c r="BE90" s="25">
        <v>2</v>
      </c>
      <c r="BF90" s="25">
        <v>2</v>
      </c>
      <c r="BG90" s="25">
        <v>6</v>
      </c>
      <c r="BH90" s="25">
        <v>6</v>
      </c>
      <c r="BI90" s="25">
        <v>13</v>
      </c>
      <c r="BJ90" s="25">
        <v>22</v>
      </c>
      <c r="BK90" s="25">
        <v>4</v>
      </c>
      <c r="BL90" s="25">
        <v>3216</v>
      </c>
      <c r="BM90" s="25">
        <v>4</v>
      </c>
      <c r="BN90" s="25">
        <v>1</v>
      </c>
      <c r="BO90" s="25">
        <v>0</v>
      </c>
      <c r="BP90" s="25">
        <v>1</v>
      </c>
      <c r="BQ90" s="25">
        <v>1</v>
      </c>
      <c r="BR90" s="25">
        <v>2</v>
      </c>
      <c r="BS90" s="25">
        <v>0</v>
      </c>
      <c r="BT90" s="25">
        <v>0</v>
      </c>
      <c r="BU90" s="25">
        <v>0</v>
      </c>
      <c r="BV90" s="25">
        <v>3</v>
      </c>
      <c r="BW90" s="25">
        <v>7</v>
      </c>
      <c r="BX90" s="25">
        <v>7</v>
      </c>
      <c r="BY90" s="25">
        <v>0</v>
      </c>
      <c r="BZ90" s="25">
        <v>3</v>
      </c>
      <c r="CA90" s="25">
        <v>3</v>
      </c>
      <c r="CB90" s="25">
        <v>0</v>
      </c>
      <c r="CC90" s="25">
        <v>3</v>
      </c>
      <c r="CD90" s="25">
        <v>2</v>
      </c>
      <c r="CE90" s="25">
        <v>1</v>
      </c>
      <c r="CF90" s="25">
        <v>80</v>
      </c>
      <c r="CG90" s="25">
        <v>5</v>
      </c>
      <c r="CH90" s="25">
        <v>20</v>
      </c>
      <c r="CI90" s="25">
        <v>3</v>
      </c>
      <c r="CJ90" s="25">
        <v>3</v>
      </c>
      <c r="CK90" s="25">
        <v>21</v>
      </c>
      <c r="CL90" s="25">
        <v>11</v>
      </c>
      <c r="CM90" s="25">
        <v>15</v>
      </c>
      <c r="CN90" s="25">
        <v>10</v>
      </c>
      <c r="CO90" s="25">
        <v>119</v>
      </c>
      <c r="CP90" s="25">
        <v>0</v>
      </c>
      <c r="CQ90" s="25">
        <v>0</v>
      </c>
      <c r="CR90" s="25">
        <v>247</v>
      </c>
      <c r="CS90" s="25">
        <v>1</v>
      </c>
      <c r="CT90" s="25">
        <v>126</v>
      </c>
      <c r="CU90" s="25">
        <v>297</v>
      </c>
      <c r="CV90" s="25">
        <v>135</v>
      </c>
      <c r="CW90" s="25">
        <v>6</v>
      </c>
      <c r="CX90" s="25">
        <v>0</v>
      </c>
      <c r="CY90" s="25">
        <v>0</v>
      </c>
      <c r="CZ90" s="25">
        <v>24</v>
      </c>
      <c r="DA90" s="25">
        <v>0</v>
      </c>
      <c r="DB90" s="25">
        <v>3</v>
      </c>
      <c r="DC90" s="25">
        <v>0</v>
      </c>
      <c r="DD90" s="25">
        <v>48</v>
      </c>
      <c r="DE90" s="25">
        <v>0</v>
      </c>
      <c r="DF90" s="25">
        <v>0</v>
      </c>
      <c r="DG90" s="25">
        <v>8</v>
      </c>
      <c r="DH90" s="25">
        <v>2</v>
      </c>
      <c r="DI90" s="25">
        <v>0</v>
      </c>
      <c r="DJ90" s="25">
        <v>0</v>
      </c>
      <c r="DK90" s="25">
        <v>0</v>
      </c>
      <c r="DL90" s="25">
        <v>2</v>
      </c>
      <c r="DM90" s="25">
        <v>6</v>
      </c>
      <c r="DN90" s="25">
        <v>13197</v>
      </c>
      <c r="DO90" s="25">
        <v>1</v>
      </c>
      <c r="DP90" s="25">
        <v>1</v>
      </c>
      <c r="DQ90" s="25">
        <v>3</v>
      </c>
      <c r="DR90" s="25">
        <v>2767</v>
      </c>
      <c r="DS90" s="25">
        <v>6</v>
      </c>
      <c r="DT90" s="25">
        <v>92</v>
      </c>
      <c r="DU90" s="25">
        <v>3</v>
      </c>
      <c r="DV90" s="25">
        <v>0</v>
      </c>
      <c r="DW90" s="25">
        <v>6</v>
      </c>
      <c r="DX90" s="25">
        <v>2</v>
      </c>
      <c r="DY90" s="25">
        <v>0</v>
      </c>
      <c r="DZ90" s="25">
        <v>23</v>
      </c>
      <c r="EA90" s="25">
        <v>77</v>
      </c>
      <c r="EB90" s="25">
        <v>7</v>
      </c>
      <c r="EC90" s="25">
        <v>246</v>
      </c>
      <c r="ED90" s="25">
        <v>306</v>
      </c>
      <c r="EE90" s="25">
        <v>4232</v>
      </c>
      <c r="EF90" s="25">
        <v>70</v>
      </c>
      <c r="EG90" s="25">
        <v>287</v>
      </c>
      <c r="EH90" s="25">
        <v>95</v>
      </c>
      <c r="EI90" s="25">
        <v>18849</v>
      </c>
      <c r="EJ90" s="25">
        <v>4</v>
      </c>
      <c r="EK90" s="25">
        <v>99</v>
      </c>
      <c r="EL90" s="25">
        <v>7</v>
      </c>
      <c r="EM90" s="25">
        <v>10</v>
      </c>
      <c r="EN90" s="25">
        <v>7</v>
      </c>
      <c r="EO90" s="25">
        <v>208</v>
      </c>
      <c r="EP90" s="25">
        <v>1</v>
      </c>
      <c r="EQ90" s="25">
        <v>5</v>
      </c>
      <c r="ER90" s="25">
        <v>3</v>
      </c>
      <c r="ES90" s="25">
        <v>20</v>
      </c>
      <c r="ET90" s="25">
        <v>5</v>
      </c>
      <c r="EU90" s="25">
        <v>1</v>
      </c>
      <c r="EV90" s="25">
        <v>22</v>
      </c>
      <c r="EW90" s="25">
        <v>54</v>
      </c>
      <c r="EX90" s="25">
        <v>0</v>
      </c>
      <c r="EY90" s="25">
        <v>70</v>
      </c>
      <c r="EZ90" s="25">
        <v>0</v>
      </c>
      <c r="FA90" s="25">
        <v>2</v>
      </c>
      <c r="FB90" s="25">
        <v>1</v>
      </c>
      <c r="FC90" s="25">
        <v>9</v>
      </c>
      <c r="FD90" s="25">
        <v>233</v>
      </c>
      <c r="FE90" s="25">
        <v>29</v>
      </c>
      <c r="FF90" s="25">
        <v>1</v>
      </c>
      <c r="FG90" s="25">
        <v>0</v>
      </c>
      <c r="FH90" s="25">
        <v>2</v>
      </c>
      <c r="FI90" s="25">
        <v>107</v>
      </c>
      <c r="FJ90" s="25">
        <v>0</v>
      </c>
      <c r="FK90" s="25">
        <v>0</v>
      </c>
      <c r="FL90" s="25">
        <v>0</v>
      </c>
      <c r="FM90" s="25">
        <v>1</v>
      </c>
      <c r="FN90" s="25">
        <v>8</v>
      </c>
      <c r="FO90" s="25">
        <v>2511</v>
      </c>
      <c r="FP90" s="25">
        <v>2</v>
      </c>
      <c r="FQ90" s="25">
        <v>1</v>
      </c>
      <c r="FR90" s="25">
        <v>11</v>
      </c>
      <c r="FS90" s="25">
        <v>7</v>
      </c>
      <c r="FT90" s="25">
        <v>32</v>
      </c>
      <c r="FU90" s="25">
        <v>113</v>
      </c>
      <c r="FV90" s="25">
        <v>3</v>
      </c>
      <c r="FW90" s="25">
        <v>66</v>
      </c>
      <c r="FX90" s="25">
        <v>66</v>
      </c>
      <c r="FY90" s="25">
        <v>0</v>
      </c>
      <c r="FZ90" s="25">
        <v>6</v>
      </c>
      <c r="GA90" s="25">
        <v>169</v>
      </c>
      <c r="GB90" s="25">
        <v>221</v>
      </c>
      <c r="GC90" s="25">
        <v>181</v>
      </c>
      <c r="GD90" s="25">
        <v>435</v>
      </c>
      <c r="GE90" s="25">
        <v>6</v>
      </c>
      <c r="GF90" s="25">
        <v>270</v>
      </c>
      <c r="GG90" s="25">
        <v>94</v>
      </c>
      <c r="GH90" s="25">
        <v>0</v>
      </c>
      <c r="GI90" s="25">
        <v>0</v>
      </c>
      <c r="GJ90" s="25">
        <v>0</v>
      </c>
      <c r="GK90" s="25">
        <v>34</v>
      </c>
      <c r="GL90" s="25">
        <v>47</v>
      </c>
      <c r="GM90" s="25">
        <v>2</v>
      </c>
      <c r="GN90" s="25">
        <v>71</v>
      </c>
      <c r="GO90" s="25">
        <v>0</v>
      </c>
      <c r="GP90" s="25">
        <v>7</v>
      </c>
      <c r="GQ90" s="25">
        <v>2</v>
      </c>
      <c r="GR90" s="25">
        <v>45</v>
      </c>
      <c r="GS90" s="25">
        <v>1</v>
      </c>
      <c r="GT90" s="25">
        <v>24</v>
      </c>
      <c r="GU90" s="25">
        <v>16081</v>
      </c>
      <c r="GV90" s="25">
        <v>7</v>
      </c>
      <c r="GW90" s="25">
        <v>2</v>
      </c>
      <c r="GX90" s="25">
        <v>1</v>
      </c>
      <c r="GY90" s="46">
        <v>870</v>
      </c>
      <c r="GZ90" s="25">
        <v>1002</v>
      </c>
      <c r="HA90" s="25">
        <v>6</v>
      </c>
      <c r="HB90" s="25">
        <v>3</v>
      </c>
      <c r="HC90" s="25">
        <v>33</v>
      </c>
      <c r="HD90" s="25">
        <v>3</v>
      </c>
      <c r="HE90" s="25">
        <v>8</v>
      </c>
      <c r="HF90" s="25">
        <v>25</v>
      </c>
      <c r="HG90" s="25">
        <v>1006</v>
      </c>
      <c r="HH90" s="25">
        <v>0</v>
      </c>
      <c r="HI90" s="25">
        <v>69</v>
      </c>
      <c r="HJ90" s="25">
        <v>16</v>
      </c>
      <c r="HK90" s="25">
        <v>4</v>
      </c>
      <c r="HL90" s="25">
        <v>1</v>
      </c>
      <c r="HM90" s="25">
        <v>9</v>
      </c>
      <c r="HN90" s="25">
        <v>0</v>
      </c>
      <c r="HO90" s="25">
        <v>1</v>
      </c>
      <c r="HP90" s="25">
        <v>0</v>
      </c>
      <c r="HQ90" s="25">
        <v>10760</v>
      </c>
      <c r="HR90" s="25">
        <v>7</v>
      </c>
      <c r="HS90" s="25">
        <v>22333</v>
      </c>
      <c r="HT90" s="25">
        <v>3</v>
      </c>
      <c r="HU90" s="25">
        <v>9</v>
      </c>
      <c r="HV90" s="25">
        <v>0</v>
      </c>
      <c r="HW90" s="25">
        <v>2</v>
      </c>
      <c r="HX90" s="25">
        <v>3</v>
      </c>
      <c r="HY90" s="25">
        <v>1</v>
      </c>
      <c r="HZ90" s="25">
        <v>0</v>
      </c>
      <c r="IA90" s="25">
        <v>0</v>
      </c>
      <c r="IB90" s="25">
        <v>0</v>
      </c>
      <c r="IC90" s="25">
        <v>2</v>
      </c>
      <c r="ID90" s="25">
        <v>0</v>
      </c>
      <c r="IE90" s="25">
        <v>2</v>
      </c>
      <c r="IF90" s="25">
        <v>0</v>
      </c>
      <c r="IG90" s="25">
        <v>0</v>
      </c>
      <c r="IH90" s="25">
        <v>1</v>
      </c>
      <c r="II90" s="25">
        <v>2</v>
      </c>
      <c r="IJ90" s="25">
        <v>0</v>
      </c>
      <c r="IK90" s="25">
        <v>7</v>
      </c>
      <c r="IL90" s="25">
        <v>0</v>
      </c>
      <c r="IM90" s="25">
        <v>0</v>
      </c>
      <c r="IN90" s="25">
        <v>0</v>
      </c>
      <c r="IO90" s="25">
        <v>7</v>
      </c>
      <c r="IP90" s="25">
        <v>3</v>
      </c>
      <c r="IQ90" s="25">
        <v>0</v>
      </c>
      <c r="IR90" s="25">
        <v>0</v>
      </c>
      <c r="IS90" s="25">
        <v>1</v>
      </c>
      <c r="IT90" s="25">
        <v>2</v>
      </c>
      <c r="IU90" s="25">
        <v>1</v>
      </c>
      <c r="IV90" s="25">
        <v>0</v>
      </c>
      <c r="IW90" s="25">
        <v>0</v>
      </c>
      <c r="IX90" s="25">
        <v>0</v>
      </c>
      <c r="IY90" s="25">
        <v>1</v>
      </c>
      <c r="IZ90" s="25">
        <v>0</v>
      </c>
      <c r="JA90" s="25">
        <v>0</v>
      </c>
      <c r="JB90" s="25">
        <v>0</v>
      </c>
      <c r="JC90" s="25">
        <v>0</v>
      </c>
      <c r="JD90" s="25">
        <v>0</v>
      </c>
      <c r="JE90" s="25">
        <v>0</v>
      </c>
      <c r="JF90" s="25">
        <v>0</v>
      </c>
      <c r="JG90" s="25">
        <v>0</v>
      </c>
      <c r="JH90" s="25">
        <v>0</v>
      </c>
      <c r="JI90" s="25">
        <v>4</v>
      </c>
      <c r="JJ90" s="25">
        <v>2</v>
      </c>
      <c r="JK90" s="25">
        <v>39</v>
      </c>
      <c r="JL90" s="25">
        <v>1</v>
      </c>
      <c r="JM90" s="25">
        <v>80</v>
      </c>
      <c r="JN90" s="25">
        <v>7</v>
      </c>
      <c r="JO90" s="25">
        <v>106</v>
      </c>
      <c r="JP90" s="25">
        <v>21</v>
      </c>
      <c r="JQ90" s="25">
        <v>583</v>
      </c>
      <c r="JR90" s="25">
        <v>226</v>
      </c>
      <c r="JS90" s="25">
        <v>448</v>
      </c>
      <c r="JT90" s="25">
        <v>32</v>
      </c>
      <c r="JU90" s="25">
        <v>38</v>
      </c>
      <c r="JV90" s="25">
        <v>390</v>
      </c>
      <c r="JW90" s="25">
        <v>416</v>
      </c>
      <c r="JX90" s="25">
        <v>6</v>
      </c>
      <c r="JY90" s="25">
        <v>24</v>
      </c>
      <c r="JZ90" s="25">
        <v>597</v>
      </c>
      <c r="KA90" s="25">
        <v>300</v>
      </c>
      <c r="KB90" s="25">
        <v>31</v>
      </c>
      <c r="KC90" s="25">
        <v>42</v>
      </c>
      <c r="KD90" s="25">
        <v>90</v>
      </c>
      <c r="KE90" s="25">
        <v>755</v>
      </c>
      <c r="KF90" s="25">
        <v>17</v>
      </c>
      <c r="KG90" s="25">
        <v>171</v>
      </c>
      <c r="KH90" s="25">
        <v>599</v>
      </c>
      <c r="KI90" s="25">
        <v>1276</v>
      </c>
      <c r="KJ90" s="25">
        <v>57</v>
      </c>
      <c r="KK90" s="25">
        <v>82</v>
      </c>
      <c r="KL90" s="25">
        <v>99</v>
      </c>
      <c r="KM90" s="25">
        <v>6</v>
      </c>
      <c r="KN90" s="25">
        <v>15</v>
      </c>
      <c r="KO90" s="25">
        <v>90</v>
      </c>
      <c r="KP90" s="25">
        <v>21</v>
      </c>
      <c r="KQ90" s="25">
        <v>1932</v>
      </c>
      <c r="KR90" s="25">
        <v>17</v>
      </c>
      <c r="KS90" s="25">
        <v>11605</v>
      </c>
      <c r="KT90" s="25">
        <v>83</v>
      </c>
      <c r="KU90" s="25">
        <v>6</v>
      </c>
      <c r="KV90" s="25">
        <v>231</v>
      </c>
      <c r="KW90" s="25">
        <v>88</v>
      </c>
      <c r="KX90" s="25">
        <v>44</v>
      </c>
      <c r="KY90" s="25">
        <v>418</v>
      </c>
      <c r="KZ90" s="25">
        <v>43</v>
      </c>
      <c r="LA90" s="25">
        <v>72</v>
      </c>
      <c r="LB90" s="25">
        <v>6</v>
      </c>
      <c r="LC90" s="25">
        <v>98</v>
      </c>
      <c r="LD90" s="25">
        <v>238</v>
      </c>
      <c r="LE90" s="25">
        <v>17</v>
      </c>
      <c r="LF90" s="25">
        <v>24</v>
      </c>
      <c r="LG90" s="25">
        <v>121</v>
      </c>
      <c r="LH90" s="25">
        <v>483</v>
      </c>
      <c r="LI90" s="25">
        <v>5</v>
      </c>
      <c r="LJ90" s="25">
        <v>128</v>
      </c>
      <c r="LK90" s="25">
        <v>0</v>
      </c>
      <c r="LL90" s="25">
        <v>0</v>
      </c>
      <c r="LM90" s="25">
        <v>3</v>
      </c>
      <c r="LN90" s="278">
        <f ca="1">$A90 - DeathsTimeS!Sweden100dt + 1</f>
        <v>23</v>
      </c>
      <c r="LO90" s="366">
        <f ca="1">INDEX(OFFSET(DeathsTimeS!HeadRow,ROW()-ROW(DeathsTimeS!HeadRow),0,1,COLUMNS(DeathsTimeS!HeadRow)),1,MATCH(LO$5,DeathsTimeS!HeadRow,0))/LO$8</f>
        <v>850.43988269794727</v>
      </c>
      <c r="LP90" s="278">
        <f ca="1">$A90 - DeathsTimeS!Spain100dt</f>
        <v>30</v>
      </c>
      <c r="LQ90" s="20">
        <f ca="1">INDEX(OFFSET(DeathsTimeS!HeadRow,ROW()-ROW(DeathsTimeS!HeadRow),0,1,COLUMNS(DeathsTimeS!HeadRow)),1,MATCH(LQ$5,DeathsTimeS!HeadRow,0))/LQ$8</f>
        <v>3425.8628035790371</v>
      </c>
      <c r="LR90" s="278">
        <f ca="1">$A90 - DeathsTimeS!Victoria100dt</f>
        <v>7</v>
      </c>
      <c r="LS90" s="20">
        <f ca="1">INDEX(OFFSET(DeathsTimeS!HeadRow,ROW()-ROW(DeathsTimeS!HeadRow),0,1,COLUMNS(DeathsTimeS!HeadRow)),1,MATCH(LS$5,DeathsTimeS!HeadRow,0))/LS$8</f>
        <v>19.610801025795745</v>
      </c>
      <c r="LT90" s="278">
        <f ca="1">$A90 - DeathsTimeS!Iran100dt</f>
        <v>37</v>
      </c>
      <c r="LU90" s="20">
        <f ca="1">INDEX(OFFSET(DeathsTimeS!HeadRow,ROW()-ROW(DeathsTimeS!HeadRow),0,1,COLUMNS(DeathsTimeS!HeadRow)),1,MATCH(LU$5,DeathsTimeS!HeadRow,0))/LU$8</f>
        <v>505.17469829181238</v>
      </c>
      <c r="LV90" s="278">
        <f ca="1">$A90 - DeathsTimeS!Japan100dt</f>
        <v>-4</v>
      </c>
      <c r="LW90" s="20">
        <f ca="1">INDEX(OFFSET(DeathsTimeS!HeadRow,ROW()-ROW(DeathsTimeS!HeadRow),0,1,COLUMNS(DeathsTimeS!HeadRow)),1,MATCH(LW$5,DeathsTimeS!HeadRow,0))/LW$8</f>
        <v>7.8227350536907894</v>
      </c>
      <c r="LX90" s="278">
        <f ca="1">$A90 - DeathsTimeS!Queensland100dt</f>
        <v>-8</v>
      </c>
      <c r="LY90" s="20">
        <f ca="1">INDEX(OFFSET(DeathsTimeS!HeadRow,ROW()-ROW(DeathsTimeS!HeadRow),0,1,COLUMNS(DeathsTimeS!HeadRow)),1,MATCH(LY$5,DeathsTimeS!HeadRow,0))/LY$8</f>
        <v>7.8194473957428192</v>
      </c>
      <c r="LZ90" s="278">
        <f ca="1">$A90 - DeathsTimeS!Tasmania100dt</f>
        <v>10</v>
      </c>
      <c r="MA90" s="20">
        <f ca="1">INDEX(OFFSET(DeathsTimeS!HeadRow,ROW()-ROW(DeathsTimeS!HeadRow),0,1,COLUMNS(DeathsTimeS!HeadRow)),1,MATCH(MA$5,DeathsTimeS!HeadRow,0))/MA$8</f>
        <v>77.669902912621367</v>
      </c>
      <c r="MB90" s="278">
        <f ca="1">$A90 - DeathsTimeS!SouthAustralia100dt</f>
        <v>2</v>
      </c>
      <c r="MC90" s="20">
        <f ca="1">INDEX(OFFSET(DeathsTimeS!HeadRow,ROW()-ROW(DeathsTimeS!HeadRow),0,1,COLUMNS(DeathsTimeS!HeadRow)),1,MATCH(MC$5,DeathsTimeS!HeadRow,0))/MC$8</f>
        <v>17.964071856287426</v>
      </c>
      <c r="MD90" s="278">
        <f ca="1">$A90 - DeathsTimeS!WesternAustralia100dt</f>
        <v>5</v>
      </c>
      <c r="ME90" s="20">
        <f ca="1">INDEX(OFFSET(DeathsTimeS!HeadRow,ROW()-ROW(DeathsTimeS!HeadRow),0,1,COLUMNS(DeathsTimeS!HeadRow)),1,MATCH(ME$5,DeathsTimeS!HeadRow,0))/ME$8</f>
        <v>23.174971031286209</v>
      </c>
      <c r="MF90" s="278">
        <f ca="1">$A90 - DeathsTimeS!NewSouthWales100dt</f>
        <v>9</v>
      </c>
      <c r="MG90" s="20">
        <f ca="1">INDEX(OFFSET(DeathsTimeS!HeadRow,ROW()-ROW(DeathsTimeS!HeadRow),0,1,COLUMNS(DeathsTimeS!HeadRow)),1,MATCH(MG$5,DeathsTimeS!HeadRow,0))/MG$8</f>
        <v>27.227722772277225</v>
      </c>
      <c r="MH90" s="278">
        <f ca="1">$A90 - DeathsTimeS!NewYork100dt</f>
        <v>25</v>
      </c>
      <c r="MI90" s="20">
        <f ca="1">INDEX(OFFSET(DeathsTimeS!HeadRow,ROW()-ROW(DeathsTimeS!HeadRow),0,1,COLUMNS(DeathsTimeS!HeadRow)),1,MATCH(MI$5,DeathsTimeS!HeadRow,0))/MI$8</f>
        <v>4911.5321123418271</v>
      </c>
      <c r="MJ90" s="278">
        <f ca="1">$A90 - DeathsTimeS!Italy100dt</f>
        <v>38</v>
      </c>
      <c r="MK90" s="20">
        <f ca="1">INDEX(OFFSET(DeathsTimeS!HeadRow,ROW()-ROW(DeathsTimeS!HeadRow),0,1,COLUMNS(DeathsTimeS!HeadRow)),1,MATCH(MK$5,DeathsTimeS!HeadRow,0))/MK$8</f>
        <v>3116.3098288831943</v>
      </c>
      <c r="ML90" s="278">
        <f ca="1">$A90 - DeathsTimeS!AustralianCapitalTerritory100dt</f>
        <v>11</v>
      </c>
      <c r="MM90" s="20">
        <f ca="1">INDEX(OFFSET(DeathsTimeS!HeadRow,ROW()-ROW(DeathsTimeS!HeadRow),0,1,COLUMNS(DeathsTimeS!HeadRow)),1,MATCH(MM$5,DeathsTimeS!HeadRow,0))/MM$8</f>
        <v>46.722422090361171</v>
      </c>
      <c r="MN90" s="278">
        <f ca="1">IF(DeathsTimeS!NorthernTerritory100dt&gt;0,$A90 - DeathsTimeS!NorthernTerritory100dt,"")</f>
        <v>-17</v>
      </c>
      <c r="MO90" s="20">
        <f ca="1">INDEX(OFFSET(DeathsTimeS!HeadRow,ROW()-ROW(DeathsTimeS!HeadRow),0,1,COLUMNS(DeathsTimeS!HeadRow)),1,MATCH(MO$5,DeathsTimeS!HeadRow,0))/MO$8</f>
        <v>0</v>
      </c>
      <c r="MP90" s="278">
        <f ca="1">$A90 - DeathsTimeS!SouthAfrica100dt + 1</f>
        <v>-9</v>
      </c>
      <c r="MQ90" s="20">
        <f ca="1">INDEX(OFFSET(DeathsTimeS!HeadRow,ROW()-ROW(DeathsTimeS!HeadRow),0,1,COLUMNS(DeathsTimeS!HeadRow)),1,MATCH(MQ$5,DeathsTimeS!HeadRow,0))/MQ$8</f>
        <v>4.1536863966770508</v>
      </c>
      <c r="MR90" s="278">
        <f ca="1">$A90 - DeathsTimeS!Germany100dt + 1</f>
        <v>21</v>
      </c>
      <c r="MS90" s="20">
        <f ca="1">INDEX(OFFSET(DeathsTimeS!HeadRow,ROW()-ROW(DeathsTimeS!HeadRow),0,1,COLUMNS(DeathsTimeS!HeadRow)),1,MATCH(MS$5,DeathsTimeS!HeadRow,0))/MS$8</f>
        <v>333.29318236569503</v>
      </c>
      <c r="MT90" s="278">
        <f ca="1">$A90 - DeathsTimeS!Ireland100dt + 1</f>
        <v>19</v>
      </c>
      <c r="MU90" s="73">
        <f ca="1">INDEX(OFFSET(DeathsTimeS!HeadRow,ROW()-ROW(DeathsTimeS!HeadRow),0,1,COLUMNS(DeathsTimeS!HeadRow)),1,MATCH(MU$5,DeathsTimeS!HeadRow,0))/MU$8</f>
        <v>585.71428571428578</v>
      </c>
      <c r="MV90" s="278">
        <f ca="1">$A90 - DeathsTimeS!UnitedKingdom100dt + 1</f>
        <v>25</v>
      </c>
      <c r="MW90" s="73">
        <f ca="1">INDEX(OFFSET(DeathsTimeS!HeadRow,ROW()-ROW(DeathsTimeS!HeadRow),0,1,COLUMNS(DeathsTimeS!HeadRow)),1,MATCH(MW$5,DeathsTimeS!HeadRow,0))/MW$8</f>
        <v>1619.5063214930765</v>
      </c>
      <c r="MX90" s="278">
        <f ca="1">$A90 - DeathsTimeS!Denmark100dt + 1</f>
        <v>23</v>
      </c>
      <c r="MY90" s="73">
        <f ca="1">INDEX(OFFSET(DeathsTimeS!HeadRow,ROW()-ROW(DeathsTimeS!HeadRow),0,1,COLUMNS(DeathsTimeS!HeadRow)),1,MATCH(MY$5,DeathsTimeS!HeadRow,0))/MY$8</f>
        <v>425.42197726489837</v>
      </c>
      <c r="MZ90" s="278">
        <f ca="1">$A90 - DeathsTimeS!US100dt + 1</f>
        <v>22</v>
      </c>
      <c r="NA90" s="73">
        <f ca="1">INDEX(OFFSET(DeathsTimeS!HeadRow,ROW()-ROW(DeathsTimeS!HeadRow),0,1,COLUMNS(DeathsTimeS!HeadRow)),1,MATCH(NA$5,DeathsTimeS!HeadRow,0))/NA$8</f>
        <v>678.34501409246354</v>
      </c>
      <c r="NB90" s="278">
        <f ca="1">$A90 - DeathsTimeS!AustraliaSum100dt + 1</f>
        <v>16</v>
      </c>
      <c r="NC90" s="366">
        <f t="shared" si="7"/>
        <v>54</v>
      </c>
      <c r="ND90" s="278">
        <f ca="1">$A90 - DeathsTimeS!Taiwan100dt + 1</f>
        <v>-16</v>
      </c>
      <c r="NE90" s="366">
        <f ca="1">INDEX(OFFSET(DeathsTimeS!HeadRow,ROW()-ROW(DeathsTimeS!HeadRow),0,1,COLUMNS(DeathsTimeS!HeadRow)),1,MATCH(NE$5,DeathsTimeS!HeadRow,0))/NE$8</f>
        <v>2.5202372954627914</v>
      </c>
      <c r="NF90" s="278">
        <f ca="1">$A90 - DeathsTimeS!Hubei100dt + 1</f>
        <v>75</v>
      </c>
      <c r="NG90" s="366">
        <f ca="1">INDEX(OFFSET(DeathsTimeS!HeadRow,ROW()-ROW(DeathsTimeS!HeadRow),0,1,COLUMNS(DeathsTimeS!HeadRow)),1,MATCH(NG$5,DeathsTimeS!HeadRow,0))/NG$8</f>
        <v>549.74358974358972</v>
      </c>
      <c r="NH90" s="278">
        <f ca="1">$A90 - DeathsTimeS!HongKong100dt + 1</f>
        <v>-16</v>
      </c>
      <c r="NI90" s="366">
        <f ca="1">INDEX(OFFSET(DeathsTimeS!HeadRow,ROW()-ROW(DeathsTimeS!HeadRow),0,1,COLUMNS(DeathsTimeS!HeadRow)),1,MATCH(NI$5,DeathsTimeS!HeadRow,0))/NI$8</f>
        <v>5.3684069252449333</v>
      </c>
    </row>
    <row r="91" spans="1:373" x14ac:dyDescent="0.25">
      <c r="A91" s="156">
        <v>43932</v>
      </c>
      <c r="B91" s="25">
        <v>18</v>
      </c>
      <c r="C91" s="25">
        <v>23</v>
      </c>
      <c r="D91" s="25">
        <v>275</v>
      </c>
      <c r="E91" s="25">
        <v>26</v>
      </c>
      <c r="F91" s="25">
        <v>2</v>
      </c>
      <c r="G91" s="25">
        <v>2</v>
      </c>
      <c r="H91" s="25">
        <v>83</v>
      </c>
      <c r="I91" s="25">
        <v>13</v>
      </c>
      <c r="J91" s="25">
        <v>2</v>
      </c>
      <c r="K91" s="25">
        <v>23</v>
      </c>
      <c r="L91" s="25">
        <v>0</v>
      </c>
      <c r="M91" s="25">
        <v>5</v>
      </c>
      <c r="N91" s="25">
        <v>3</v>
      </c>
      <c r="O91" s="25">
        <v>4</v>
      </c>
      <c r="P91" s="25">
        <v>14</v>
      </c>
      <c r="Q91" s="25">
        <v>6</v>
      </c>
      <c r="R91" s="25">
        <v>337</v>
      </c>
      <c r="S91" s="25">
        <v>11</v>
      </c>
      <c r="T91" s="25">
        <v>8</v>
      </c>
      <c r="U91" s="25">
        <v>6</v>
      </c>
      <c r="V91" s="25">
        <v>30</v>
      </c>
      <c r="W91" s="25">
        <v>4</v>
      </c>
      <c r="X91" s="25">
        <v>23</v>
      </c>
      <c r="Y91" s="25">
        <v>3346</v>
      </c>
      <c r="Z91" s="25">
        <v>1</v>
      </c>
      <c r="AA91" s="25">
        <v>0</v>
      </c>
      <c r="AB91" s="25">
        <v>20</v>
      </c>
      <c r="AC91" s="25">
        <v>37</v>
      </c>
      <c r="AD91" s="25">
        <v>1124</v>
      </c>
      <c r="AE91" s="25">
        <v>1</v>
      </c>
      <c r="AF91" s="25">
        <v>28</v>
      </c>
      <c r="AG91" s="25">
        <v>27</v>
      </c>
      <c r="AH91" s="25">
        <v>1</v>
      </c>
      <c r="AI91" s="25">
        <v>0</v>
      </c>
      <c r="AJ91" s="25">
        <v>12</v>
      </c>
      <c r="AK91" s="25">
        <v>40</v>
      </c>
      <c r="AL91" s="25">
        <v>58</v>
      </c>
      <c r="AM91" s="25">
        <v>0</v>
      </c>
      <c r="AN91" s="25">
        <v>4</v>
      </c>
      <c r="AO91" s="25">
        <v>0</v>
      </c>
      <c r="AP91" s="25">
        <v>3</v>
      </c>
      <c r="AQ91" s="25">
        <v>2</v>
      </c>
      <c r="AR91" s="25">
        <v>253</v>
      </c>
      <c r="AS91" s="25">
        <v>0</v>
      </c>
      <c r="AT91" s="25">
        <v>289</v>
      </c>
      <c r="AU91" s="25">
        <v>4</v>
      </c>
      <c r="AV91" s="25">
        <v>0</v>
      </c>
      <c r="AW91" s="25">
        <v>0</v>
      </c>
      <c r="AX91" s="25">
        <v>73</v>
      </c>
      <c r="AY91" s="25">
        <v>6</v>
      </c>
      <c r="AZ91" s="25">
        <v>8</v>
      </c>
      <c r="BA91" s="25">
        <v>6</v>
      </c>
      <c r="BB91" s="25">
        <v>1</v>
      </c>
      <c r="BC91" s="25">
        <v>2</v>
      </c>
      <c r="BD91" s="25">
        <v>8</v>
      </c>
      <c r="BE91" s="25">
        <v>2</v>
      </c>
      <c r="BF91" s="25">
        <v>2</v>
      </c>
      <c r="BG91" s="25">
        <v>6</v>
      </c>
      <c r="BH91" s="25">
        <v>6</v>
      </c>
      <c r="BI91" s="25">
        <v>13</v>
      </c>
      <c r="BJ91" s="25">
        <v>22</v>
      </c>
      <c r="BK91" s="25">
        <v>4</v>
      </c>
      <c r="BL91" s="25">
        <v>3219</v>
      </c>
      <c r="BM91" s="25">
        <v>4</v>
      </c>
      <c r="BN91" s="25">
        <v>1</v>
      </c>
      <c r="BO91" s="25">
        <v>0</v>
      </c>
      <c r="BP91" s="25">
        <v>1</v>
      </c>
      <c r="BQ91" s="25">
        <v>1</v>
      </c>
      <c r="BR91" s="25">
        <v>2</v>
      </c>
      <c r="BS91" s="25">
        <v>0</v>
      </c>
      <c r="BT91" s="25">
        <v>0</v>
      </c>
      <c r="BU91" s="25">
        <v>0</v>
      </c>
      <c r="BV91" s="25">
        <v>3</v>
      </c>
      <c r="BW91" s="25">
        <v>7</v>
      </c>
      <c r="BX91" s="25">
        <v>7</v>
      </c>
      <c r="BY91" s="25">
        <v>0</v>
      </c>
      <c r="BZ91" s="25">
        <v>3</v>
      </c>
      <c r="CA91" s="25">
        <v>3</v>
      </c>
      <c r="CB91" s="25">
        <v>0</v>
      </c>
      <c r="CC91" s="25">
        <v>3</v>
      </c>
      <c r="CD91" s="25">
        <v>2</v>
      </c>
      <c r="CE91" s="25">
        <v>1</v>
      </c>
      <c r="CF91" s="25">
        <v>100</v>
      </c>
      <c r="CG91" s="25">
        <v>5</v>
      </c>
      <c r="CH91" s="25">
        <v>20</v>
      </c>
      <c r="CI91" s="25">
        <v>3</v>
      </c>
      <c r="CJ91" s="25">
        <v>4</v>
      </c>
      <c r="CK91" s="25">
        <v>21</v>
      </c>
      <c r="CL91" s="25">
        <v>11</v>
      </c>
      <c r="CM91" s="25">
        <v>16</v>
      </c>
      <c r="CN91" s="25">
        <v>10</v>
      </c>
      <c r="CO91" s="25">
        <v>129</v>
      </c>
      <c r="CP91" s="25">
        <v>0</v>
      </c>
      <c r="CQ91" s="25">
        <v>0</v>
      </c>
      <c r="CR91" s="25">
        <v>260</v>
      </c>
      <c r="CS91" s="25">
        <v>2</v>
      </c>
      <c r="CT91" s="25">
        <v>135</v>
      </c>
      <c r="CU91" s="25">
        <v>315</v>
      </c>
      <c r="CV91" s="25">
        <v>146</v>
      </c>
      <c r="CW91" s="25">
        <v>6</v>
      </c>
      <c r="CX91" s="25">
        <v>0</v>
      </c>
      <c r="CY91" s="25">
        <v>0</v>
      </c>
      <c r="CZ91" s="25">
        <v>24</v>
      </c>
      <c r="DA91" s="25">
        <v>0</v>
      </c>
      <c r="DB91" s="25">
        <v>3</v>
      </c>
      <c r="DC91" s="25">
        <v>0</v>
      </c>
      <c r="DD91" s="25">
        <v>49</v>
      </c>
      <c r="DE91" s="25">
        <v>0</v>
      </c>
      <c r="DF91" s="25">
        <v>0</v>
      </c>
      <c r="DG91" s="25">
        <v>8</v>
      </c>
      <c r="DH91" s="25">
        <v>3</v>
      </c>
      <c r="DI91" s="25">
        <v>0</v>
      </c>
      <c r="DJ91" s="25">
        <v>0</v>
      </c>
      <c r="DK91" s="25">
        <v>0</v>
      </c>
      <c r="DL91" s="25">
        <v>2</v>
      </c>
      <c r="DM91" s="25">
        <v>6</v>
      </c>
      <c r="DN91" s="25">
        <v>13832</v>
      </c>
      <c r="DO91" s="25">
        <v>1</v>
      </c>
      <c r="DP91" s="25">
        <v>1</v>
      </c>
      <c r="DQ91" s="25">
        <v>3</v>
      </c>
      <c r="DR91" s="25">
        <v>2736</v>
      </c>
      <c r="DS91" s="25">
        <v>8</v>
      </c>
      <c r="DT91" s="25">
        <v>93</v>
      </c>
      <c r="DU91" s="25">
        <v>3</v>
      </c>
      <c r="DV91" s="25">
        <v>0</v>
      </c>
      <c r="DW91" s="25">
        <v>6</v>
      </c>
      <c r="DX91" s="25">
        <v>2</v>
      </c>
      <c r="DY91" s="25">
        <v>0</v>
      </c>
      <c r="DZ91" s="25">
        <v>24</v>
      </c>
      <c r="EA91" s="25">
        <v>85</v>
      </c>
      <c r="EB91" s="25">
        <v>8</v>
      </c>
      <c r="EC91" s="25">
        <v>288</v>
      </c>
      <c r="ED91" s="25">
        <v>327</v>
      </c>
      <c r="EE91" s="25">
        <v>4357</v>
      </c>
      <c r="EF91" s="25">
        <v>72</v>
      </c>
      <c r="EG91" s="25">
        <v>320</v>
      </c>
      <c r="EH91" s="25">
        <v>101</v>
      </c>
      <c r="EI91" s="25">
        <v>19468</v>
      </c>
      <c r="EJ91" s="25">
        <v>4</v>
      </c>
      <c r="EK91" s="25">
        <v>99</v>
      </c>
      <c r="EL91" s="25">
        <v>7</v>
      </c>
      <c r="EM91" s="25">
        <v>10</v>
      </c>
      <c r="EN91" s="25">
        <v>7</v>
      </c>
      <c r="EO91" s="25">
        <v>211</v>
      </c>
      <c r="EP91" s="25">
        <v>1</v>
      </c>
      <c r="EQ91" s="25">
        <v>5</v>
      </c>
      <c r="ER91" s="25">
        <v>3</v>
      </c>
      <c r="ES91" s="25">
        <v>20</v>
      </c>
      <c r="ET91" s="25">
        <v>5</v>
      </c>
      <c r="EU91" s="25">
        <v>1</v>
      </c>
      <c r="EV91" s="25">
        <v>23</v>
      </c>
      <c r="EW91" s="25">
        <v>62</v>
      </c>
      <c r="EX91" s="25">
        <v>0</v>
      </c>
      <c r="EY91" s="25">
        <v>73</v>
      </c>
      <c r="EZ91" s="25">
        <v>0</v>
      </c>
      <c r="FA91" s="25">
        <v>3</v>
      </c>
      <c r="FB91" s="25">
        <v>1</v>
      </c>
      <c r="FC91" s="25">
        <v>9</v>
      </c>
      <c r="FD91" s="25">
        <v>273</v>
      </c>
      <c r="FE91" s="25">
        <v>30</v>
      </c>
      <c r="FF91" s="25">
        <v>1</v>
      </c>
      <c r="FG91" s="25">
        <v>0</v>
      </c>
      <c r="FH91" s="25">
        <v>2</v>
      </c>
      <c r="FI91" s="25">
        <v>111</v>
      </c>
      <c r="FJ91" s="25">
        <v>0</v>
      </c>
      <c r="FK91" s="25">
        <v>0</v>
      </c>
      <c r="FL91" s="25">
        <v>0</v>
      </c>
      <c r="FM91" s="25">
        <v>1</v>
      </c>
      <c r="FN91" s="25">
        <v>9</v>
      </c>
      <c r="FO91" s="25">
        <v>2643</v>
      </c>
      <c r="FP91" s="25">
        <v>4</v>
      </c>
      <c r="FQ91" s="25">
        <v>1</v>
      </c>
      <c r="FR91" s="25">
        <v>11</v>
      </c>
      <c r="FS91" s="25">
        <v>10</v>
      </c>
      <c r="FT91" s="25">
        <v>34</v>
      </c>
      <c r="FU91" s="25">
        <v>119</v>
      </c>
      <c r="FV91" s="25">
        <v>3</v>
      </c>
      <c r="FW91" s="25">
        <v>86</v>
      </c>
      <c r="FX91" s="25">
        <v>74</v>
      </c>
      <c r="FY91" s="25">
        <v>0</v>
      </c>
      <c r="FZ91" s="25">
        <v>6</v>
      </c>
      <c r="GA91" s="25">
        <v>181</v>
      </c>
      <c r="GB91" s="25">
        <v>247</v>
      </c>
      <c r="GC91" s="25">
        <v>208</v>
      </c>
      <c r="GD91" s="25">
        <v>470</v>
      </c>
      <c r="GE91" s="25">
        <v>6</v>
      </c>
      <c r="GF91" s="25">
        <v>291</v>
      </c>
      <c r="GG91" s="25">
        <v>106</v>
      </c>
      <c r="GH91" s="25">
        <v>0</v>
      </c>
      <c r="GI91" s="25">
        <v>0</v>
      </c>
      <c r="GJ91" s="25">
        <v>0</v>
      </c>
      <c r="GK91" s="25">
        <v>35</v>
      </c>
      <c r="GL91" s="25">
        <v>52</v>
      </c>
      <c r="GM91" s="25">
        <v>2</v>
      </c>
      <c r="GN91" s="25">
        <v>74</v>
      </c>
      <c r="GO91" s="25">
        <v>0</v>
      </c>
      <c r="GP91" s="25">
        <v>8</v>
      </c>
      <c r="GQ91" s="25">
        <v>2</v>
      </c>
      <c r="GR91" s="25">
        <v>50</v>
      </c>
      <c r="GS91" s="25">
        <v>1</v>
      </c>
      <c r="GT91" s="25">
        <v>25</v>
      </c>
      <c r="GU91" s="25">
        <v>16606</v>
      </c>
      <c r="GV91" s="25">
        <v>7</v>
      </c>
      <c r="GW91" s="25">
        <v>2</v>
      </c>
      <c r="GX91" s="25">
        <v>1</v>
      </c>
      <c r="GY91" s="46">
        <v>887</v>
      </c>
      <c r="GZ91" s="25">
        <v>1036</v>
      </c>
      <c r="HA91" s="25">
        <v>6</v>
      </c>
      <c r="HB91" s="25">
        <v>3</v>
      </c>
      <c r="HC91" s="25">
        <v>35</v>
      </c>
      <c r="HD91" s="25">
        <v>3</v>
      </c>
      <c r="HE91" s="25">
        <v>8</v>
      </c>
      <c r="HF91" s="25">
        <v>28</v>
      </c>
      <c r="HG91" s="25">
        <v>1101</v>
      </c>
      <c r="HH91" s="25">
        <v>0</v>
      </c>
      <c r="HI91" s="25">
        <v>73</v>
      </c>
      <c r="HJ91" s="25">
        <v>20</v>
      </c>
      <c r="HK91" s="25">
        <v>4</v>
      </c>
      <c r="HL91" s="25">
        <v>1</v>
      </c>
      <c r="HM91" s="25">
        <v>9</v>
      </c>
      <c r="HN91" s="25">
        <v>0</v>
      </c>
      <c r="HO91" s="25">
        <v>2</v>
      </c>
      <c r="HP91" s="25">
        <v>0</v>
      </c>
      <c r="HQ91" s="25">
        <v>11599</v>
      </c>
      <c r="HR91" s="25">
        <v>7</v>
      </c>
      <c r="HS91" s="25">
        <v>24342</v>
      </c>
      <c r="HT91" s="25">
        <v>4</v>
      </c>
      <c r="HU91" s="25">
        <v>9</v>
      </c>
      <c r="HV91" s="25">
        <v>0</v>
      </c>
      <c r="HW91" s="25">
        <v>2</v>
      </c>
      <c r="HX91" s="25">
        <v>3</v>
      </c>
      <c r="HY91" s="25">
        <v>1</v>
      </c>
      <c r="HZ91" s="25">
        <v>0</v>
      </c>
      <c r="IA91" s="25">
        <v>0</v>
      </c>
      <c r="IB91" s="25">
        <v>0</v>
      </c>
      <c r="IC91" s="25">
        <v>2</v>
      </c>
      <c r="ID91" s="25">
        <v>0</v>
      </c>
      <c r="IE91" s="25">
        <v>2</v>
      </c>
      <c r="IF91" s="25">
        <v>0</v>
      </c>
      <c r="IG91" s="25">
        <v>0</v>
      </c>
      <c r="IH91" s="25">
        <v>1</v>
      </c>
      <c r="II91" s="25">
        <v>2</v>
      </c>
      <c r="IJ91" s="25">
        <v>0</v>
      </c>
      <c r="IK91" s="25">
        <v>7</v>
      </c>
      <c r="IL91" s="25">
        <v>0</v>
      </c>
      <c r="IM91" s="25">
        <v>0</v>
      </c>
      <c r="IN91" s="25">
        <v>0</v>
      </c>
      <c r="IO91" s="25">
        <v>7</v>
      </c>
      <c r="IP91" s="25">
        <v>3</v>
      </c>
      <c r="IQ91" s="25">
        <v>0</v>
      </c>
      <c r="IR91" s="25">
        <v>0</v>
      </c>
      <c r="IS91" s="25">
        <v>1</v>
      </c>
      <c r="IT91" s="25">
        <v>2</v>
      </c>
      <c r="IU91" s="25">
        <v>1</v>
      </c>
      <c r="IV91" s="25">
        <v>0</v>
      </c>
      <c r="IW91" s="25">
        <v>0</v>
      </c>
      <c r="IX91" s="25">
        <v>0</v>
      </c>
      <c r="IY91" s="25">
        <v>2</v>
      </c>
      <c r="IZ91" s="25">
        <v>0</v>
      </c>
      <c r="JA91" s="25">
        <v>0</v>
      </c>
      <c r="JB91" s="25">
        <v>0</v>
      </c>
      <c r="JC91" s="25">
        <v>0</v>
      </c>
      <c r="JD91" s="25">
        <v>0</v>
      </c>
      <c r="JE91" s="25">
        <v>0</v>
      </c>
      <c r="JF91" s="25">
        <v>0</v>
      </c>
      <c r="JG91" s="25">
        <v>0</v>
      </c>
      <c r="JH91" s="25">
        <v>0</v>
      </c>
      <c r="JI91" s="25">
        <v>5</v>
      </c>
      <c r="JJ91" s="25">
        <v>2</v>
      </c>
      <c r="JK91" s="25">
        <v>42</v>
      </c>
      <c r="JL91" s="25">
        <v>1</v>
      </c>
      <c r="JM91" s="25">
        <v>92</v>
      </c>
      <c r="JN91" s="25">
        <v>8</v>
      </c>
      <c r="JO91" s="25">
        <v>117</v>
      </c>
      <c r="JP91" s="25">
        <v>25</v>
      </c>
      <c r="JQ91" s="25">
        <v>604</v>
      </c>
      <c r="JR91" s="25">
        <v>250</v>
      </c>
      <c r="JS91" s="25">
        <v>494</v>
      </c>
      <c r="JT91" s="25">
        <v>33</v>
      </c>
      <c r="JU91" s="25">
        <v>47</v>
      </c>
      <c r="JV91" s="25">
        <v>438</v>
      </c>
      <c r="JW91" s="25">
        <v>429</v>
      </c>
      <c r="JX91" s="25">
        <v>8</v>
      </c>
      <c r="JY91" s="25">
        <v>25</v>
      </c>
      <c r="JZ91" s="25">
        <v>677</v>
      </c>
      <c r="KA91" s="25">
        <v>330</v>
      </c>
      <c r="KB91" s="25">
        <v>34</v>
      </c>
      <c r="KC91" s="25">
        <v>55</v>
      </c>
      <c r="KD91" s="25">
        <v>90</v>
      </c>
      <c r="KE91" s="25">
        <v>806</v>
      </c>
      <c r="KF91" s="25">
        <v>19</v>
      </c>
      <c r="KG91" s="25">
        <v>206</v>
      </c>
      <c r="KH91" s="25">
        <v>686</v>
      </c>
      <c r="KI91" s="25">
        <v>1384</v>
      </c>
      <c r="KJ91" s="25">
        <v>64</v>
      </c>
      <c r="KK91" s="25">
        <v>93</v>
      </c>
      <c r="KL91" s="25">
        <v>116</v>
      </c>
      <c r="KM91" s="25">
        <v>6</v>
      </c>
      <c r="KN91" s="25">
        <v>17</v>
      </c>
      <c r="KO91" s="25">
        <v>102</v>
      </c>
      <c r="KP91" s="25">
        <v>22</v>
      </c>
      <c r="KQ91" s="25">
        <v>2183</v>
      </c>
      <c r="KR91" s="25">
        <v>19</v>
      </c>
      <c r="KS91" s="25">
        <v>12498</v>
      </c>
      <c r="KT91" s="25">
        <v>89</v>
      </c>
      <c r="KU91" s="25">
        <v>7</v>
      </c>
      <c r="KV91" s="25">
        <v>247</v>
      </c>
      <c r="KW91" s="25">
        <v>94</v>
      </c>
      <c r="KX91" s="25">
        <v>48</v>
      </c>
      <c r="KY91" s="25">
        <v>503</v>
      </c>
      <c r="KZ91" s="25">
        <v>56</v>
      </c>
      <c r="LA91" s="25">
        <v>80</v>
      </c>
      <c r="LB91" s="25">
        <v>6</v>
      </c>
      <c r="LC91" s="25">
        <v>106</v>
      </c>
      <c r="LD91" s="25">
        <v>266</v>
      </c>
      <c r="LE91" s="25">
        <v>18</v>
      </c>
      <c r="LF91" s="25">
        <v>25</v>
      </c>
      <c r="LG91" s="25">
        <v>130</v>
      </c>
      <c r="LH91" s="25">
        <v>495</v>
      </c>
      <c r="LI91" s="25">
        <v>5</v>
      </c>
      <c r="LJ91" s="25">
        <v>137</v>
      </c>
      <c r="LK91" s="25">
        <v>0</v>
      </c>
      <c r="LL91" s="25">
        <v>0</v>
      </c>
      <c r="LM91" s="25">
        <v>3</v>
      </c>
      <c r="LN91" s="278">
        <f ca="1">$A91 - DeathsTimeS!Sweden100dt + 1</f>
        <v>24</v>
      </c>
      <c r="LO91" s="366">
        <f ca="1">INDEX(OFFSET(DeathsTimeS!HeadRow,ROW()-ROW(DeathsTimeS!HeadRow),0,1,COLUMNS(DeathsTimeS!HeadRow)),1,MATCH(LO$5,DeathsTimeS!HeadRow,0))/LO$8</f>
        <v>867.05767350928647</v>
      </c>
      <c r="LP91" s="278">
        <f ca="1">$A91 - DeathsTimeS!Spain100dt</f>
        <v>31</v>
      </c>
      <c r="LQ91" s="20">
        <f ca="1">INDEX(OFFSET(DeathsTimeS!HeadRow,ROW()-ROW(DeathsTimeS!HeadRow),0,1,COLUMNS(DeathsTimeS!HeadRow)),1,MATCH(LQ$5,DeathsTimeS!HeadRow,0))/LQ$8</f>
        <v>3537.707711972731</v>
      </c>
      <c r="LR91" s="278">
        <f ca="1">$A91 - DeathsTimeS!Victoria100dt</f>
        <v>8</v>
      </c>
      <c r="LS91" s="20">
        <f ca="1">INDEX(OFFSET(DeathsTimeS!HeadRow,ROW()-ROW(DeathsTimeS!HeadRow),0,1,COLUMNS(DeathsTimeS!HeadRow)),1,MATCH(LS$5,DeathsTimeS!HeadRow,0))/LS$8</f>
        <v>21.119324181626187</v>
      </c>
      <c r="LT91" s="278">
        <f ca="1">$A91 - DeathsTimeS!Iran100dt</f>
        <v>38</v>
      </c>
      <c r="LU91" s="20">
        <f ca="1">INDEX(OFFSET(DeathsTimeS!HeadRow,ROW()-ROW(DeathsTimeS!HeadRow),0,1,COLUMNS(DeathsTimeS!HeadRow)),1,MATCH(LU$5,DeathsTimeS!HeadRow,0))/LU$8</f>
        <v>520.09597364305921</v>
      </c>
      <c r="LV91" s="278">
        <f ca="1">$A91 - DeathsTimeS!Japan100dt</f>
        <v>-3</v>
      </c>
      <c r="LW91" s="20">
        <f ca="1">INDEX(OFFSET(DeathsTimeS!HeadRow,ROW()-ROW(DeathsTimeS!HeadRow),0,1,COLUMNS(DeathsTimeS!HeadRow)),1,MATCH(LW$5,DeathsTimeS!HeadRow,0))/LW$8</f>
        <v>7.8227350536907894</v>
      </c>
      <c r="LX91" s="278">
        <f ca="1">$A91 - DeathsTimeS!Queensland100dt</f>
        <v>-7</v>
      </c>
      <c r="LY91" s="20">
        <f ca="1">INDEX(OFFSET(DeathsTimeS!HeadRow,ROW()-ROW(DeathsTimeS!HeadRow),0,1,COLUMNS(DeathsTimeS!HeadRow)),1,MATCH(LY$5,DeathsTimeS!HeadRow,0))/LY$8</f>
        <v>9.7743092446785251</v>
      </c>
      <c r="LZ91" s="278">
        <f ca="1">$A91 - DeathsTimeS!Tasmania100dt</f>
        <v>11</v>
      </c>
      <c r="MA91" s="20">
        <f ca="1">INDEX(OFFSET(DeathsTimeS!HeadRow,ROW()-ROW(DeathsTimeS!HeadRow),0,1,COLUMNS(DeathsTimeS!HeadRow)),1,MATCH(MA$5,DeathsTimeS!HeadRow,0))/MA$8</f>
        <v>77.669902912621367</v>
      </c>
      <c r="MB91" s="278">
        <f ca="1">$A91 - DeathsTimeS!SouthAustralia100dt</f>
        <v>3</v>
      </c>
      <c r="MC91" s="20">
        <f ca="1">INDEX(OFFSET(DeathsTimeS!HeadRow,ROW()-ROW(DeathsTimeS!HeadRow),0,1,COLUMNS(DeathsTimeS!HeadRow)),1,MATCH(MC$5,DeathsTimeS!HeadRow,0))/MC$8</f>
        <v>17.964071856287426</v>
      </c>
      <c r="MD91" s="278">
        <f ca="1">$A91 - DeathsTimeS!WesternAustralia100dt</f>
        <v>6</v>
      </c>
      <c r="ME91" s="20">
        <f ca="1">INDEX(OFFSET(DeathsTimeS!HeadRow,ROW()-ROW(DeathsTimeS!HeadRow),0,1,COLUMNS(DeathsTimeS!HeadRow)),1,MATCH(ME$5,DeathsTimeS!HeadRow,0))/ME$8</f>
        <v>23.174971031286209</v>
      </c>
      <c r="MF91" s="278">
        <f ca="1">$A91 - DeathsTimeS!NewSouthWales100dt</f>
        <v>10</v>
      </c>
      <c r="MG91" s="20">
        <f ca="1">INDEX(OFFSET(DeathsTimeS!HeadRow,ROW()-ROW(DeathsTimeS!HeadRow),0,1,COLUMNS(DeathsTimeS!HeadRow)),1,MATCH(MG$5,DeathsTimeS!HeadRow,0))/MG$8</f>
        <v>28.465346534653463</v>
      </c>
      <c r="MH91" s="278">
        <f ca="1">$A91 - DeathsTimeS!NewYork100dt</f>
        <v>26</v>
      </c>
      <c r="MI91" s="20">
        <f ca="1">INDEX(OFFSET(DeathsTimeS!HeadRow,ROW()-ROW(DeathsTimeS!HeadRow),0,1,COLUMNS(DeathsTimeS!HeadRow)),1,MATCH(MI$5,DeathsTimeS!HeadRow,0))/MI$8</f>
        <v>5289.47249806533</v>
      </c>
      <c r="MJ91" s="278">
        <f ca="1">$A91 - DeathsTimeS!Italy100dt</f>
        <v>39</v>
      </c>
      <c r="MK91" s="20">
        <f ca="1">INDEX(OFFSET(DeathsTimeS!HeadRow,ROW()-ROW(DeathsTimeS!HeadRow),0,1,COLUMNS(DeathsTimeS!HeadRow)),1,MATCH(MK$5,DeathsTimeS!HeadRow,0))/MK$8</f>
        <v>3218.6492518806317</v>
      </c>
      <c r="ML91" s="278">
        <f ca="1">$A91 - DeathsTimeS!AustralianCapitalTerritory100dt</f>
        <v>12</v>
      </c>
      <c r="MM91" s="20">
        <f ca="1">INDEX(OFFSET(DeathsTimeS!HeadRow,ROW()-ROW(DeathsTimeS!HeadRow),0,1,COLUMNS(DeathsTimeS!HeadRow)),1,MATCH(MM$5,DeathsTimeS!HeadRow,0))/MM$8</f>
        <v>46.722422090361171</v>
      </c>
      <c r="MN91" s="278">
        <f ca="1">IF(DeathsTimeS!NorthernTerritory100dt&gt;0,$A91 - DeathsTimeS!NorthernTerritory100dt,"")</f>
        <v>-16</v>
      </c>
      <c r="MO91" s="20">
        <f ca="1">INDEX(OFFSET(DeathsTimeS!HeadRow,ROW()-ROW(DeathsTimeS!HeadRow),0,1,COLUMNS(DeathsTimeS!HeadRow)),1,MATCH(MO$5,DeathsTimeS!HeadRow,0))/MO$8</f>
        <v>0</v>
      </c>
      <c r="MP91" s="278">
        <f ca="1">$A91 - DeathsTimeS!SouthAfrica100dt + 1</f>
        <v>-8</v>
      </c>
      <c r="MQ91" s="20">
        <f ca="1">INDEX(OFFSET(DeathsTimeS!HeadRow,ROW()-ROW(DeathsTimeS!HeadRow),0,1,COLUMNS(DeathsTimeS!HeadRow)),1,MATCH(MQ$5,DeathsTimeS!HeadRow,0))/MQ$8</f>
        <v>4.3267566632052619</v>
      </c>
      <c r="MR91" s="278">
        <f ca="1">$A91 - DeathsTimeS!Germany100dt + 1</f>
        <v>22</v>
      </c>
      <c r="MS91" s="20">
        <f ca="1">INDEX(OFFSET(DeathsTimeS!HeadRow,ROW()-ROW(DeathsTimeS!HeadRow),0,1,COLUMNS(DeathsTimeS!HeadRow)),1,MATCH(MS$5,DeathsTimeS!HeadRow,0))/MS$8</f>
        <v>329.55914237533125</v>
      </c>
      <c r="MT91" s="278">
        <f ca="1">$A91 - DeathsTimeS!Ireland100dt + 1</f>
        <v>20</v>
      </c>
      <c r="MU91" s="73">
        <f ca="1">INDEX(OFFSET(DeathsTimeS!HeadRow,ROW()-ROW(DeathsTimeS!HeadRow),0,1,COLUMNS(DeathsTimeS!HeadRow)),1,MATCH(MU$5,DeathsTimeS!HeadRow,0))/MU$8</f>
        <v>653.0612244897959</v>
      </c>
      <c r="MV91" s="278">
        <f ca="1">$A91 - DeathsTimeS!UnitedKingdom100dt + 1</f>
        <v>26</v>
      </c>
      <c r="MW91" s="73">
        <f ca="1">INDEX(OFFSET(DeathsTimeS!HeadRow,ROW()-ROW(DeathsTimeS!HeadRow),0,1,COLUMNS(DeathsTimeS!HeadRow)),1,MATCH(MW$5,DeathsTimeS!HeadRow,0))/MW$8</f>
        <v>1745.78567128236</v>
      </c>
      <c r="MX91" s="278">
        <f ca="1">$A91 - DeathsTimeS!Denmark100dt + 1</f>
        <v>24</v>
      </c>
      <c r="MY91" s="73">
        <f ca="1">INDEX(OFFSET(DeathsTimeS!HeadRow,ROW()-ROW(DeathsTimeS!HeadRow),0,1,COLUMNS(DeathsTimeS!HeadRow)),1,MATCH(MY$5,DeathsTimeS!HeadRow,0))/MY$8</f>
        <v>447.81260764726147</v>
      </c>
      <c r="MZ91" s="278">
        <f ca="1">$A91 - DeathsTimeS!US100dt + 1</f>
        <v>23</v>
      </c>
      <c r="NA91" s="73">
        <f ca="1">INDEX(OFFSET(DeathsTimeS!HeadRow,ROW()-ROW(DeathsTimeS!HeadRow),0,1,COLUMNS(DeathsTimeS!HeadRow)),1,MATCH(NA$5,DeathsTimeS!HeadRow,0))/NA$8</f>
        <v>739.36660247341376</v>
      </c>
      <c r="NB91" s="278">
        <f ca="1">$A91 - DeathsTimeS!AustraliaSum100dt + 1</f>
        <v>17</v>
      </c>
      <c r="NC91" s="366">
        <f t="shared" si="7"/>
        <v>57</v>
      </c>
      <c r="ND91" s="278">
        <f ca="1">$A91 - DeathsTimeS!Taiwan100dt + 1</f>
        <v>-15</v>
      </c>
      <c r="NE91" s="366">
        <f ca="1">INDEX(OFFSET(DeathsTimeS!HeadRow,ROW()-ROW(DeathsTimeS!HeadRow),0,1,COLUMNS(DeathsTimeS!HeadRow)),1,MATCH(NE$5,DeathsTimeS!HeadRow,0))/NE$8</f>
        <v>2.5202372954627914</v>
      </c>
      <c r="NF91" s="278">
        <f ca="1">$A91 - DeathsTimeS!Hubei100dt + 1</f>
        <v>76</v>
      </c>
      <c r="NG91" s="366">
        <f ca="1">INDEX(OFFSET(DeathsTimeS!HeadRow,ROW()-ROW(DeathsTimeS!HeadRow),0,1,COLUMNS(DeathsTimeS!HeadRow)),1,MATCH(NG$5,DeathsTimeS!HeadRow,0))/NG$8</f>
        <v>550.25641025641028</v>
      </c>
      <c r="NH91" s="278">
        <f ca="1">$A91 - DeathsTimeS!HongKong100dt + 1</f>
        <v>-15</v>
      </c>
      <c r="NI91" s="366">
        <f ca="1">INDEX(OFFSET(DeathsTimeS!HeadRow,ROW()-ROW(DeathsTimeS!HeadRow),0,1,COLUMNS(DeathsTimeS!HeadRow)),1,MATCH(NI$5,DeathsTimeS!HeadRow,0))/NI$8</f>
        <v>5.3684069252449333</v>
      </c>
    </row>
    <row r="92" spans="1:373" x14ac:dyDescent="0.25">
      <c r="A92" s="156">
        <v>43933</v>
      </c>
      <c r="B92" s="25">
        <v>18</v>
      </c>
      <c r="C92" s="25">
        <v>23</v>
      </c>
      <c r="D92" s="25">
        <v>293</v>
      </c>
      <c r="E92" s="25">
        <v>29</v>
      </c>
      <c r="F92" s="25">
        <v>2</v>
      </c>
      <c r="G92" s="25">
        <v>2</v>
      </c>
      <c r="H92" s="25">
        <v>90</v>
      </c>
      <c r="I92" s="25">
        <v>13</v>
      </c>
      <c r="J92" s="25">
        <v>2</v>
      </c>
      <c r="K92" s="25">
        <v>24</v>
      </c>
      <c r="L92" s="25">
        <v>0</v>
      </c>
      <c r="M92" s="25">
        <v>5</v>
      </c>
      <c r="N92" s="25">
        <v>4</v>
      </c>
      <c r="O92" s="25">
        <v>5</v>
      </c>
      <c r="P92" s="25">
        <v>14</v>
      </c>
      <c r="Q92" s="25">
        <v>6</v>
      </c>
      <c r="R92" s="25">
        <v>350</v>
      </c>
      <c r="S92" s="25">
        <v>11</v>
      </c>
      <c r="T92" s="25">
        <v>8</v>
      </c>
      <c r="U92" s="25">
        <v>6</v>
      </c>
      <c r="V92" s="25">
        <v>34</v>
      </c>
      <c r="W92" s="25">
        <v>4</v>
      </c>
      <c r="X92" s="25">
        <v>26</v>
      </c>
      <c r="Y92" s="25">
        <v>3600</v>
      </c>
      <c r="Z92" s="25">
        <v>1</v>
      </c>
      <c r="AA92" s="25">
        <v>0</v>
      </c>
      <c r="AB92" s="25">
        <v>24</v>
      </c>
      <c r="AC92" s="25">
        <v>39</v>
      </c>
      <c r="AD92" s="25">
        <v>1223</v>
      </c>
      <c r="AE92" s="25">
        <v>1</v>
      </c>
      <c r="AF92" s="25">
        <v>29</v>
      </c>
      <c r="AG92" s="25">
        <v>27</v>
      </c>
      <c r="AH92" s="25">
        <v>1</v>
      </c>
      <c r="AI92" s="25">
        <v>0</v>
      </c>
      <c r="AJ92" s="25">
        <v>12</v>
      </c>
      <c r="AK92" s="25">
        <v>40</v>
      </c>
      <c r="AL92" s="25">
        <v>58</v>
      </c>
      <c r="AM92" s="25">
        <v>0</v>
      </c>
      <c r="AN92" s="25">
        <v>4</v>
      </c>
      <c r="AO92" s="25">
        <v>0</v>
      </c>
      <c r="AP92" s="25">
        <v>3</v>
      </c>
      <c r="AQ92" s="25">
        <v>2</v>
      </c>
      <c r="AR92" s="25">
        <v>274</v>
      </c>
      <c r="AS92" s="25">
        <v>0</v>
      </c>
      <c r="AT92" s="25">
        <v>328</v>
      </c>
      <c r="AU92" s="25">
        <v>4</v>
      </c>
      <c r="AV92" s="25">
        <v>0</v>
      </c>
      <c r="AW92" s="25">
        <v>0</v>
      </c>
      <c r="AX92" s="25">
        <v>80</v>
      </c>
      <c r="AY92" s="25">
        <v>6</v>
      </c>
      <c r="AZ92" s="25">
        <v>8</v>
      </c>
      <c r="BA92" s="25">
        <v>6</v>
      </c>
      <c r="BB92" s="25">
        <v>1</v>
      </c>
      <c r="BC92" s="25">
        <v>2</v>
      </c>
      <c r="BD92" s="25">
        <v>8</v>
      </c>
      <c r="BE92" s="25">
        <v>2</v>
      </c>
      <c r="BF92" s="25">
        <v>2</v>
      </c>
      <c r="BG92" s="25">
        <v>6</v>
      </c>
      <c r="BH92" s="25">
        <v>6</v>
      </c>
      <c r="BI92" s="25">
        <v>13</v>
      </c>
      <c r="BJ92" s="25">
        <v>22</v>
      </c>
      <c r="BK92" s="25">
        <v>4</v>
      </c>
      <c r="BL92" s="25">
        <v>3219</v>
      </c>
      <c r="BM92" s="25">
        <v>4</v>
      </c>
      <c r="BN92" s="25">
        <v>1</v>
      </c>
      <c r="BO92" s="25">
        <v>0</v>
      </c>
      <c r="BP92" s="25">
        <v>1</v>
      </c>
      <c r="BQ92" s="25">
        <v>1</v>
      </c>
      <c r="BR92" s="25">
        <v>2</v>
      </c>
      <c r="BS92" s="25">
        <v>0</v>
      </c>
      <c r="BT92" s="25">
        <v>0</v>
      </c>
      <c r="BU92" s="25">
        <v>0</v>
      </c>
      <c r="BV92" s="25">
        <v>3</v>
      </c>
      <c r="BW92" s="25">
        <v>7</v>
      </c>
      <c r="BX92" s="25">
        <v>7</v>
      </c>
      <c r="BY92" s="25">
        <v>0</v>
      </c>
      <c r="BZ92" s="25">
        <v>3</v>
      </c>
      <c r="CA92" s="25">
        <v>3</v>
      </c>
      <c r="CB92" s="25">
        <v>0</v>
      </c>
      <c r="CC92" s="25">
        <v>3</v>
      </c>
      <c r="CD92" s="25">
        <v>2</v>
      </c>
      <c r="CE92" s="25">
        <v>1</v>
      </c>
      <c r="CF92" s="25">
        <v>109</v>
      </c>
      <c r="CG92" s="25">
        <v>5</v>
      </c>
      <c r="CH92" s="25">
        <v>20</v>
      </c>
      <c r="CI92" s="25">
        <v>3</v>
      </c>
      <c r="CJ92" s="25">
        <v>5</v>
      </c>
      <c r="CK92" s="25">
        <v>23</v>
      </c>
      <c r="CL92" s="25">
        <v>11</v>
      </c>
      <c r="CM92" s="25">
        <v>18</v>
      </c>
      <c r="CN92" s="25">
        <v>11</v>
      </c>
      <c r="CO92" s="25">
        <v>138</v>
      </c>
      <c r="CP92" s="25">
        <v>0</v>
      </c>
      <c r="CQ92" s="25">
        <v>0</v>
      </c>
      <c r="CR92" s="25">
        <v>273</v>
      </c>
      <c r="CS92" s="25">
        <v>2</v>
      </c>
      <c r="CT92" s="25">
        <v>173</v>
      </c>
      <c r="CU92" s="25">
        <v>333</v>
      </c>
      <c r="CV92" s="25">
        <v>159</v>
      </c>
      <c r="CW92" s="25">
        <v>6</v>
      </c>
      <c r="CX92" s="25">
        <v>0</v>
      </c>
      <c r="CY92" s="25">
        <v>0</v>
      </c>
      <c r="CZ92" s="25">
        <v>25</v>
      </c>
      <c r="DA92" s="25">
        <v>0</v>
      </c>
      <c r="DB92" s="25">
        <v>3</v>
      </c>
      <c r="DC92" s="25">
        <v>0</v>
      </c>
      <c r="DD92" s="25">
        <v>56</v>
      </c>
      <c r="DE92" s="25">
        <v>0</v>
      </c>
      <c r="DF92" s="25">
        <v>0</v>
      </c>
      <c r="DG92" s="25">
        <v>8</v>
      </c>
      <c r="DH92" s="25">
        <v>3</v>
      </c>
      <c r="DI92" s="25">
        <v>0</v>
      </c>
      <c r="DJ92" s="25">
        <v>0</v>
      </c>
      <c r="DK92" s="25">
        <v>0</v>
      </c>
      <c r="DL92" s="25">
        <v>2</v>
      </c>
      <c r="DM92" s="25">
        <v>6</v>
      </c>
      <c r="DN92" s="25">
        <v>14393</v>
      </c>
      <c r="DO92" s="25">
        <v>1</v>
      </c>
      <c r="DP92" s="25">
        <v>1</v>
      </c>
      <c r="DQ92" s="25">
        <v>3</v>
      </c>
      <c r="DR92" s="25">
        <v>3022</v>
      </c>
      <c r="DS92" s="25">
        <v>8</v>
      </c>
      <c r="DT92" s="25">
        <v>98</v>
      </c>
      <c r="DU92" s="25">
        <v>5</v>
      </c>
      <c r="DV92" s="25">
        <v>0</v>
      </c>
      <c r="DW92" s="25">
        <v>6</v>
      </c>
      <c r="DX92" s="25">
        <v>3</v>
      </c>
      <c r="DY92" s="25">
        <v>0</v>
      </c>
      <c r="DZ92" s="25">
        <v>25</v>
      </c>
      <c r="EA92" s="25">
        <v>99</v>
      </c>
      <c r="EB92" s="25">
        <v>8</v>
      </c>
      <c r="EC92" s="25">
        <v>331</v>
      </c>
      <c r="ED92" s="25">
        <v>373</v>
      </c>
      <c r="EE92" s="25">
        <v>4474</v>
      </c>
      <c r="EF92" s="25">
        <v>76</v>
      </c>
      <c r="EG92" s="25">
        <v>334</v>
      </c>
      <c r="EH92" s="25">
        <v>103</v>
      </c>
      <c r="EI92" s="25">
        <v>19899</v>
      </c>
      <c r="EJ92" s="25">
        <v>4</v>
      </c>
      <c r="EK92" s="25">
        <v>108</v>
      </c>
      <c r="EL92" s="25">
        <v>7</v>
      </c>
      <c r="EM92" s="25">
        <v>10</v>
      </c>
      <c r="EN92" s="25">
        <v>8</v>
      </c>
      <c r="EO92" s="25">
        <v>214</v>
      </c>
      <c r="EP92" s="25">
        <v>1</v>
      </c>
      <c r="EQ92" s="25">
        <v>5</v>
      </c>
      <c r="ER92" s="25">
        <v>5</v>
      </c>
      <c r="ES92" s="25">
        <v>20</v>
      </c>
      <c r="ET92" s="25">
        <v>5</v>
      </c>
      <c r="EU92" s="25">
        <v>1</v>
      </c>
      <c r="EV92" s="25">
        <v>23</v>
      </c>
      <c r="EW92" s="25">
        <v>66</v>
      </c>
      <c r="EX92" s="25">
        <v>0</v>
      </c>
      <c r="EY92" s="25">
        <v>76</v>
      </c>
      <c r="EZ92" s="25">
        <v>0</v>
      </c>
      <c r="FA92" s="25">
        <v>3</v>
      </c>
      <c r="FB92" s="25">
        <v>1</v>
      </c>
      <c r="FC92" s="25">
        <v>9</v>
      </c>
      <c r="FD92" s="25">
        <v>296</v>
      </c>
      <c r="FE92" s="25">
        <v>31</v>
      </c>
      <c r="FF92" s="25">
        <v>1</v>
      </c>
      <c r="FG92" s="25">
        <v>0</v>
      </c>
      <c r="FH92" s="25">
        <v>3</v>
      </c>
      <c r="FI92" s="25">
        <v>118</v>
      </c>
      <c r="FJ92" s="25">
        <v>0</v>
      </c>
      <c r="FK92" s="25">
        <v>0</v>
      </c>
      <c r="FL92" s="25">
        <v>0</v>
      </c>
      <c r="FM92" s="25">
        <v>1</v>
      </c>
      <c r="FN92" s="25">
        <v>9</v>
      </c>
      <c r="FO92" s="25">
        <v>2737</v>
      </c>
      <c r="FP92" s="25">
        <v>4</v>
      </c>
      <c r="FQ92" s="25">
        <v>1</v>
      </c>
      <c r="FR92" s="25">
        <v>12</v>
      </c>
      <c r="FS92" s="25">
        <v>10</v>
      </c>
      <c r="FT92" s="25">
        <v>34</v>
      </c>
      <c r="FU92" s="25">
        <v>128</v>
      </c>
      <c r="FV92" s="25">
        <v>4</v>
      </c>
      <c r="FW92" s="25">
        <v>91</v>
      </c>
      <c r="FX92" s="25">
        <v>79</v>
      </c>
      <c r="FY92" s="25">
        <v>0</v>
      </c>
      <c r="FZ92" s="25">
        <v>6</v>
      </c>
      <c r="GA92" s="25">
        <v>193</v>
      </c>
      <c r="GB92" s="25">
        <v>297</v>
      </c>
      <c r="GC92" s="25">
        <v>232</v>
      </c>
      <c r="GD92" s="25">
        <v>504</v>
      </c>
      <c r="GE92" s="25">
        <v>7</v>
      </c>
      <c r="GF92" s="25">
        <v>316</v>
      </c>
      <c r="GG92" s="25">
        <v>130</v>
      </c>
      <c r="GH92" s="25">
        <v>0</v>
      </c>
      <c r="GI92" s="25">
        <v>0</v>
      </c>
      <c r="GJ92" s="25">
        <v>0</v>
      </c>
      <c r="GK92" s="25">
        <v>35</v>
      </c>
      <c r="GL92" s="25">
        <v>59</v>
      </c>
      <c r="GM92" s="25">
        <v>2</v>
      </c>
      <c r="GN92" s="25">
        <v>80</v>
      </c>
      <c r="GO92" s="25">
        <v>0</v>
      </c>
      <c r="GP92" s="25">
        <v>8</v>
      </c>
      <c r="GQ92" s="25">
        <v>2</v>
      </c>
      <c r="GR92" s="25">
        <v>53</v>
      </c>
      <c r="GS92" s="25">
        <v>1</v>
      </c>
      <c r="GT92" s="25">
        <v>25</v>
      </c>
      <c r="GU92" s="25">
        <v>17209</v>
      </c>
      <c r="GV92" s="25">
        <v>7</v>
      </c>
      <c r="GW92" s="25">
        <v>2</v>
      </c>
      <c r="GX92" s="25">
        <v>1</v>
      </c>
      <c r="GY92" s="46">
        <v>899</v>
      </c>
      <c r="GZ92" s="25">
        <v>1106</v>
      </c>
      <c r="HA92" s="25">
        <v>6</v>
      </c>
      <c r="HB92" s="25">
        <v>3</v>
      </c>
      <c r="HC92" s="25">
        <v>38</v>
      </c>
      <c r="HD92" s="25">
        <v>3</v>
      </c>
      <c r="HE92" s="25">
        <v>8</v>
      </c>
      <c r="HF92" s="25">
        <v>31</v>
      </c>
      <c r="HG92" s="25">
        <v>1198</v>
      </c>
      <c r="HH92" s="25">
        <v>0</v>
      </c>
      <c r="HI92" s="25">
        <v>83</v>
      </c>
      <c r="HJ92" s="25">
        <v>22</v>
      </c>
      <c r="HK92" s="25">
        <v>4</v>
      </c>
      <c r="HL92" s="25">
        <v>1</v>
      </c>
      <c r="HM92" s="25">
        <v>9</v>
      </c>
      <c r="HN92" s="25">
        <v>0</v>
      </c>
      <c r="HO92" s="25">
        <v>2</v>
      </c>
      <c r="HP92" s="25">
        <v>0</v>
      </c>
      <c r="HQ92" s="25">
        <v>12285</v>
      </c>
      <c r="HR92" s="25">
        <v>7</v>
      </c>
      <c r="HS92" s="25">
        <v>26086</v>
      </c>
      <c r="HT92" s="25">
        <v>4</v>
      </c>
      <c r="HU92" s="25">
        <v>9</v>
      </c>
      <c r="HV92" s="25">
        <v>0</v>
      </c>
      <c r="HW92" s="25">
        <v>2</v>
      </c>
      <c r="HX92" s="25">
        <v>3</v>
      </c>
      <c r="HY92" s="25">
        <v>1</v>
      </c>
      <c r="HZ92" s="25">
        <v>0</v>
      </c>
      <c r="IA92" s="25">
        <v>0</v>
      </c>
      <c r="IB92" s="25">
        <v>0</v>
      </c>
      <c r="IC92" s="25">
        <v>2</v>
      </c>
      <c r="ID92" s="25">
        <v>0</v>
      </c>
      <c r="IE92" s="25">
        <v>2</v>
      </c>
      <c r="IF92" s="25">
        <v>0</v>
      </c>
      <c r="IG92" s="25">
        <v>0</v>
      </c>
      <c r="IH92" s="25">
        <v>1</v>
      </c>
      <c r="II92" s="25">
        <v>2</v>
      </c>
      <c r="IJ92" s="25">
        <v>0</v>
      </c>
      <c r="IK92" s="25">
        <v>9</v>
      </c>
      <c r="IL92" s="25">
        <v>0</v>
      </c>
      <c r="IM92" s="25">
        <v>0</v>
      </c>
      <c r="IN92" s="25">
        <v>0</v>
      </c>
      <c r="IO92" s="25">
        <v>7</v>
      </c>
      <c r="IP92" s="25">
        <v>4</v>
      </c>
      <c r="IQ92" s="25">
        <v>0</v>
      </c>
      <c r="IR92" s="25">
        <v>0</v>
      </c>
      <c r="IS92" s="25">
        <v>1</v>
      </c>
      <c r="IT92" s="25">
        <v>2</v>
      </c>
      <c r="IU92" s="25">
        <v>1</v>
      </c>
      <c r="IV92" s="25">
        <v>0</v>
      </c>
      <c r="IW92" s="25">
        <v>0</v>
      </c>
      <c r="IX92" s="25">
        <v>0</v>
      </c>
      <c r="IY92" s="25">
        <v>2</v>
      </c>
      <c r="IZ92" s="25">
        <v>0</v>
      </c>
      <c r="JA92" s="25">
        <v>0</v>
      </c>
      <c r="JB92" s="25">
        <v>0</v>
      </c>
      <c r="JC92" s="25">
        <v>0</v>
      </c>
      <c r="JD92" s="25">
        <v>0</v>
      </c>
      <c r="JE92" s="25">
        <v>0</v>
      </c>
      <c r="JF92" s="25">
        <v>0</v>
      </c>
      <c r="JG92" s="25">
        <v>0</v>
      </c>
      <c r="JH92" s="25">
        <v>0</v>
      </c>
      <c r="JI92" s="25">
        <v>5</v>
      </c>
      <c r="JJ92" s="25">
        <v>2</v>
      </c>
      <c r="JK92" s="25">
        <v>44</v>
      </c>
      <c r="JL92" s="25">
        <v>1</v>
      </c>
      <c r="JM92" s="25">
        <v>93</v>
      </c>
      <c r="JN92" s="25">
        <v>8</v>
      </c>
      <c r="JO92" s="25">
        <v>125</v>
      </c>
      <c r="JP92" s="25">
        <v>27</v>
      </c>
      <c r="JQ92" s="25">
        <v>640</v>
      </c>
      <c r="JR92" s="25">
        <v>289</v>
      </c>
      <c r="JS92" s="25">
        <v>554</v>
      </c>
      <c r="JT92" s="25">
        <v>35</v>
      </c>
      <c r="JU92" s="25">
        <v>50</v>
      </c>
      <c r="JV92" s="25">
        <v>461</v>
      </c>
      <c r="JW92" s="25">
        <v>433</v>
      </c>
      <c r="JX92" s="25">
        <v>9</v>
      </c>
      <c r="JY92" s="25">
        <v>27</v>
      </c>
      <c r="JZ92" s="25">
        <v>720</v>
      </c>
      <c r="KA92" s="25">
        <v>343</v>
      </c>
      <c r="KB92" s="25">
        <v>41</v>
      </c>
      <c r="KC92" s="25">
        <v>56</v>
      </c>
      <c r="KD92" s="25">
        <v>97</v>
      </c>
      <c r="KE92" s="25">
        <v>840</v>
      </c>
      <c r="KF92" s="25">
        <v>19</v>
      </c>
      <c r="KG92" s="25">
        <v>236</v>
      </c>
      <c r="KH92" s="25">
        <v>756</v>
      </c>
      <c r="KI92" s="25">
        <v>1479</v>
      </c>
      <c r="KJ92" s="25">
        <v>70</v>
      </c>
      <c r="KK92" s="25">
        <v>96</v>
      </c>
      <c r="KL92" s="25">
        <v>118</v>
      </c>
      <c r="KM92" s="25">
        <v>6</v>
      </c>
      <c r="KN92" s="25">
        <v>17</v>
      </c>
      <c r="KO92" s="25">
        <v>112</v>
      </c>
      <c r="KP92" s="25">
        <v>23</v>
      </c>
      <c r="KQ92" s="25">
        <v>2350</v>
      </c>
      <c r="KR92" s="25">
        <v>26</v>
      </c>
      <c r="KS92" s="25">
        <v>13442</v>
      </c>
      <c r="KT92" s="25">
        <v>89</v>
      </c>
      <c r="KU92" s="25">
        <v>7</v>
      </c>
      <c r="KV92" s="25">
        <v>253</v>
      </c>
      <c r="KW92" s="25">
        <v>96</v>
      </c>
      <c r="KX92" s="25">
        <v>52</v>
      </c>
      <c r="KY92" s="25">
        <v>557</v>
      </c>
      <c r="KZ92" s="25">
        <v>63</v>
      </c>
      <c r="LA92" s="25">
        <v>82</v>
      </c>
      <c r="LB92" s="25">
        <v>6</v>
      </c>
      <c r="LC92" s="25">
        <v>106</v>
      </c>
      <c r="LD92" s="25">
        <v>283</v>
      </c>
      <c r="LE92" s="25">
        <v>18</v>
      </c>
      <c r="LF92" s="25">
        <v>27</v>
      </c>
      <c r="LG92" s="25">
        <v>141</v>
      </c>
      <c r="LH92" s="25">
        <v>506</v>
      </c>
      <c r="LI92" s="25">
        <v>6</v>
      </c>
      <c r="LJ92" s="25">
        <v>144</v>
      </c>
      <c r="LK92" s="25">
        <v>0</v>
      </c>
      <c r="LL92" s="25">
        <v>0</v>
      </c>
      <c r="LM92" s="25">
        <v>0</v>
      </c>
      <c r="LN92" s="278">
        <f ca="1">$A92 - DeathsTimeS!Sweden100dt + 1</f>
        <v>25</v>
      </c>
      <c r="LO92" s="366">
        <f ca="1">INDEX(OFFSET(DeathsTimeS!HeadRow,ROW()-ROW(DeathsTimeS!HeadRow),0,1,COLUMNS(DeathsTimeS!HeadRow)),1,MATCH(LO$5,DeathsTimeS!HeadRow,0))/LO$8</f>
        <v>878.78787878787887</v>
      </c>
      <c r="LP92" s="278">
        <f ca="1">$A92 - DeathsTimeS!Spain100dt</f>
        <v>32</v>
      </c>
      <c r="LQ92" s="20">
        <f ca="1">INDEX(OFFSET(DeathsTimeS!HeadRow,ROW()-ROW(DeathsTimeS!HeadRow),0,1,COLUMNS(DeathsTimeS!HeadRow)),1,MATCH(LQ$5,DeathsTimeS!HeadRow,0))/LQ$8</f>
        <v>3666.1695781849171</v>
      </c>
      <c r="LR92" s="278">
        <f ca="1">$A92 - DeathsTimeS!Victoria100dt</f>
        <v>9</v>
      </c>
      <c r="LS92" s="20">
        <f ca="1">INDEX(OFFSET(DeathsTimeS!HeadRow,ROW()-ROW(DeathsTimeS!HeadRow),0,1,COLUMNS(DeathsTimeS!HeadRow)),1,MATCH(LS$5,DeathsTimeS!HeadRow,0))/LS$8</f>
        <v>21.119324181626187</v>
      </c>
      <c r="LT92" s="278">
        <f ca="1">$A92 - DeathsTimeS!Iran100dt</f>
        <v>39</v>
      </c>
      <c r="LU92" s="20">
        <f ca="1">INDEX(OFFSET(DeathsTimeS!HeadRow,ROW()-ROW(DeathsTimeS!HeadRow),0,1,COLUMNS(DeathsTimeS!HeadRow)),1,MATCH(LU$5,DeathsTimeS!HeadRow,0))/LU$8</f>
        <v>534.0622873718263</v>
      </c>
      <c r="LV92" s="278">
        <f ca="1">$A92 - DeathsTimeS!Japan100dt</f>
        <v>-2</v>
      </c>
      <c r="LW92" s="20">
        <f ca="1">INDEX(OFFSET(DeathsTimeS!HeadRow,ROW()-ROW(DeathsTimeS!HeadRow),0,1,COLUMNS(DeathsTimeS!HeadRow)),1,MATCH(LW$5,DeathsTimeS!HeadRow,0))/LW$8</f>
        <v>8.5338927858444968</v>
      </c>
      <c r="LX92" s="278">
        <f ca="1">$A92 - DeathsTimeS!Queensland100dt</f>
        <v>-6</v>
      </c>
      <c r="LY92" s="20">
        <f ca="1">INDEX(OFFSET(DeathsTimeS!HeadRow,ROW()-ROW(DeathsTimeS!HeadRow),0,1,COLUMNS(DeathsTimeS!HeadRow)),1,MATCH(LY$5,DeathsTimeS!HeadRow,0))/LY$8</f>
        <v>9.7743092446785251</v>
      </c>
      <c r="LZ92" s="278">
        <f ca="1">$A92 - DeathsTimeS!Tasmania100dt</f>
        <v>12</v>
      </c>
      <c r="MA92" s="20">
        <f ca="1">INDEX(OFFSET(DeathsTimeS!HeadRow,ROW()-ROW(DeathsTimeS!HeadRow),0,1,COLUMNS(DeathsTimeS!HeadRow)),1,MATCH(MA$5,DeathsTimeS!HeadRow,0))/MA$8</f>
        <v>97.087378640776706</v>
      </c>
      <c r="MB92" s="278">
        <f ca="1">$A92 - DeathsTimeS!SouthAustralia100dt</f>
        <v>4</v>
      </c>
      <c r="MC92" s="20">
        <f ca="1">INDEX(OFFSET(DeathsTimeS!HeadRow,ROW()-ROW(DeathsTimeS!HeadRow),0,1,COLUMNS(DeathsTimeS!HeadRow)),1,MATCH(MC$5,DeathsTimeS!HeadRow,0))/MC$8</f>
        <v>23.95209580838323</v>
      </c>
      <c r="MD92" s="278">
        <f ca="1">$A92 - DeathsTimeS!WesternAustralia100dt</f>
        <v>7</v>
      </c>
      <c r="ME92" s="20">
        <f ca="1">INDEX(OFFSET(DeathsTimeS!HeadRow,ROW()-ROW(DeathsTimeS!HeadRow),0,1,COLUMNS(DeathsTimeS!HeadRow)),1,MATCH(ME$5,DeathsTimeS!HeadRow,0))/ME$8</f>
        <v>23.174971031286209</v>
      </c>
      <c r="MF92" s="278">
        <f ca="1">$A92 - DeathsTimeS!NewSouthWales100dt</f>
        <v>11</v>
      </c>
      <c r="MG92" s="20">
        <f ca="1">INDEX(OFFSET(DeathsTimeS!HeadRow,ROW()-ROW(DeathsTimeS!HeadRow),0,1,COLUMNS(DeathsTimeS!HeadRow)),1,MATCH(MG$5,DeathsTimeS!HeadRow,0))/MG$8</f>
        <v>29.702970297029701</v>
      </c>
      <c r="MH92" s="278">
        <f ca="1">$A92 - DeathsTimeS!NewYork100dt</f>
        <v>27</v>
      </c>
      <c r="MI92" s="20">
        <f ca="1">INDEX(OFFSET(DeathsTimeS!HeadRow,ROW()-ROW(DeathsTimeS!HeadRow),0,1,COLUMNS(DeathsTimeS!HeadRow)),1,MATCH(MI$5,DeathsTimeS!HeadRow,0))/MI$8</f>
        <v>5688.99738510115</v>
      </c>
      <c r="MJ92" s="278">
        <f ca="1">$A92 - DeathsTimeS!Italy100dt</f>
        <v>40</v>
      </c>
      <c r="MK92" s="20">
        <f ca="1">INDEX(OFFSET(DeathsTimeS!HeadRow,ROW()-ROW(DeathsTimeS!HeadRow),0,1,COLUMNS(DeathsTimeS!HeadRow)),1,MATCH(MK$5,DeathsTimeS!HeadRow,0))/MK$8</f>
        <v>3289.9065884103497</v>
      </c>
      <c r="ML92" s="278">
        <f ca="1">$A92 - DeathsTimeS!AustralianCapitalTerritory100dt</f>
        <v>13</v>
      </c>
      <c r="MM92" s="20">
        <f ca="1">INDEX(OFFSET(DeathsTimeS!HeadRow,ROW()-ROW(DeathsTimeS!HeadRow),0,1,COLUMNS(DeathsTimeS!HeadRow)),1,MATCH(MM$5,DeathsTimeS!HeadRow,0))/MM$8</f>
        <v>46.722422090361171</v>
      </c>
      <c r="MN92" s="278">
        <f ca="1">IF(DeathsTimeS!NorthernTerritory100dt&gt;0,$A92 - DeathsTimeS!NorthernTerritory100dt,"")</f>
        <v>-15</v>
      </c>
      <c r="MO92" s="20">
        <f ca="1">INDEX(OFFSET(DeathsTimeS!HeadRow,ROW()-ROW(DeathsTimeS!HeadRow),0,1,COLUMNS(DeathsTimeS!HeadRow)),1,MATCH(MO$5,DeathsTimeS!HeadRow,0))/MO$8</f>
        <v>0</v>
      </c>
      <c r="MP92" s="278">
        <f ca="1">$A92 - DeathsTimeS!SouthAfrica100dt + 1</f>
        <v>-7</v>
      </c>
      <c r="MQ92" s="20">
        <f ca="1">INDEX(OFFSET(DeathsTimeS!HeadRow,ROW()-ROW(DeathsTimeS!HeadRow),0,1,COLUMNS(DeathsTimeS!HeadRow)),1,MATCH(MQ$5,DeathsTimeS!HeadRow,0))/MQ$8</f>
        <v>4.3267566632052619</v>
      </c>
      <c r="MR92" s="278">
        <f ca="1">$A92 - DeathsTimeS!Germany100dt + 1</f>
        <v>23</v>
      </c>
      <c r="MS92" s="20">
        <f ca="1">INDEX(OFFSET(DeathsTimeS!HeadRow,ROW()-ROW(DeathsTimeS!HeadRow),0,1,COLUMNS(DeathsTimeS!HeadRow)),1,MATCH(MS$5,DeathsTimeS!HeadRow,0))/MS$8</f>
        <v>364.00867260900992</v>
      </c>
      <c r="MT92" s="278">
        <f ca="1">$A92 - DeathsTimeS!Ireland100dt + 1</f>
        <v>21</v>
      </c>
      <c r="MU92" s="73">
        <f ca="1">INDEX(OFFSET(DeathsTimeS!HeadRow,ROW()-ROW(DeathsTimeS!HeadRow),0,1,COLUMNS(DeathsTimeS!HeadRow)),1,MATCH(MU$5,DeathsTimeS!HeadRow,0))/MU$8</f>
        <v>681.63265306122446</v>
      </c>
      <c r="MV92" s="278">
        <f ca="1">$A92 - DeathsTimeS!UnitedKingdom100dt + 1</f>
        <v>27</v>
      </c>
      <c r="MW92" s="73">
        <f ca="1">INDEX(OFFSET(DeathsTimeS!HeadRow,ROW()-ROW(DeathsTimeS!HeadRow),0,1,COLUMNS(DeathsTimeS!HeadRow)),1,MATCH(MW$5,DeathsTimeS!HeadRow,0))/MW$8</f>
        <v>1849.0367248645393</v>
      </c>
      <c r="MX92" s="278">
        <f ca="1">$A92 - DeathsTimeS!Denmark100dt + 1</f>
        <v>25</v>
      </c>
      <c r="MY92" s="73">
        <f ca="1">INDEX(OFFSET(DeathsTimeS!HeadRow,ROW()-ROW(DeathsTimeS!HeadRow),0,1,COLUMNS(DeathsTimeS!HeadRow)),1,MATCH(MY$5,DeathsTimeS!HeadRow,0))/MY$8</f>
        <v>470.20323802962452</v>
      </c>
      <c r="MZ92" s="278">
        <f ca="1">$A92 - DeathsTimeS!US100dt + 1</f>
        <v>24</v>
      </c>
      <c r="NA92" s="73">
        <f ca="1">INDEX(OFFSET(DeathsTimeS!HeadRow,ROW()-ROW(DeathsTimeS!HeadRow),0,1,COLUMNS(DeathsTimeS!HeadRow)),1,MATCH(NA$5,DeathsTimeS!HeadRow,0))/NA$8</f>
        <v>792.33905152088857</v>
      </c>
      <c r="NB92" s="278">
        <f ca="1">$A92 - DeathsTimeS!AustraliaSum100dt + 1</f>
        <v>18</v>
      </c>
      <c r="NC92" s="366">
        <f t="shared" si="7"/>
        <v>60</v>
      </c>
      <c r="ND92" s="278">
        <f ca="1">$A92 - DeathsTimeS!Taiwan100dt + 1</f>
        <v>-14</v>
      </c>
      <c r="NE92" s="366">
        <f ca="1">INDEX(OFFSET(DeathsTimeS!HeadRow,ROW()-ROW(DeathsTimeS!HeadRow),0,1,COLUMNS(DeathsTimeS!HeadRow)),1,MATCH(NE$5,DeathsTimeS!HeadRow,0))/NE$8</f>
        <v>2.5202372954627914</v>
      </c>
      <c r="NF92" s="278">
        <f ca="1">$A92 - DeathsTimeS!Hubei100dt + 1</f>
        <v>77</v>
      </c>
      <c r="NG92" s="366">
        <f ca="1">INDEX(OFFSET(DeathsTimeS!HeadRow,ROW()-ROW(DeathsTimeS!HeadRow),0,1,COLUMNS(DeathsTimeS!HeadRow)),1,MATCH(NG$5,DeathsTimeS!HeadRow,0))/NG$8</f>
        <v>550.25641025641028</v>
      </c>
      <c r="NH92" s="278">
        <f ca="1">$A92 - DeathsTimeS!HongKong100dt + 1</f>
        <v>-14</v>
      </c>
      <c r="NI92" s="366">
        <f ca="1">INDEX(OFFSET(DeathsTimeS!HeadRow,ROW()-ROW(DeathsTimeS!HeadRow),0,1,COLUMNS(DeathsTimeS!HeadRow)),1,MATCH(NI$5,DeathsTimeS!HeadRow,0))/NI$8</f>
        <v>5.3684069252449333</v>
      </c>
    </row>
    <row r="93" spans="1:373" x14ac:dyDescent="0.25">
      <c r="A93" s="156">
        <v>43934</v>
      </c>
      <c r="B93" s="25">
        <v>21</v>
      </c>
      <c r="C93" s="25">
        <v>23</v>
      </c>
      <c r="D93" s="25">
        <v>313</v>
      </c>
      <c r="E93" s="25">
        <v>29</v>
      </c>
      <c r="F93" s="25">
        <v>2</v>
      </c>
      <c r="G93" s="25">
        <v>2</v>
      </c>
      <c r="H93" s="25">
        <v>97</v>
      </c>
      <c r="I93" s="25">
        <v>14</v>
      </c>
      <c r="J93" s="25">
        <v>2</v>
      </c>
      <c r="K93" s="25">
        <v>25</v>
      </c>
      <c r="L93" s="25">
        <v>0</v>
      </c>
      <c r="M93" s="25">
        <v>5</v>
      </c>
      <c r="N93" s="25">
        <v>4</v>
      </c>
      <c r="O93" s="25">
        <v>5</v>
      </c>
      <c r="P93" s="25">
        <v>14</v>
      </c>
      <c r="Q93" s="25">
        <v>6</v>
      </c>
      <c r="R93" s="25">
        <v>368</v>
      </c>
      <c r="S93" s="25">
        <v>12</v>
      </c>
      <c r="T93" s="25">
        <v>8</v>
      </c>
      <c r="U93" s="25">
        <v>6</v>
      </c>
      <c r="V93" s="25">
        <v>39</v>
      </c>
      <c r="W93" s="25">
        <v>4</v>
      </c>
      <c r="X93" s="25">
        <v>29</v>
      </c>
      <c r="Y93" s="25">
        <v>3903</v>
      </c>
      <c r="Z93" s="25">
        <v>1</v>
      </c>
      <c r="AA93" s="25">
        <v>0</v>
      </c>
      <c r="AB93" s="25">
        <v>27</v>
      </c>
      <c r="AC93" s="25">
        <v>39</v>
      </c>
      <c r="AD93" s="25">
        <v>1328</v>
      </c>
      <c r="AE93" s="25">
        <v>1</v>
      </c>
      <c r="AF93" s="25">
        <v>32</v>
      </c>
      <c r="AG93" s="25">
        <v>27</v>
      </c>
      <c r="AH93" s="25">
        <v>1</v>
      </c>
      <c r="AI93" s="25">
        <v>0</v>
      </c>
      <c r="AJ93" s="25">
        <v>12</v>
      </c>
      <c r="AK93" s="25">
        <v>46</v>
      </c>
      <c r="AL93" s="25">
        <v>69</v>
      </c>
      <c r="AM93" s="25">
        <v>0</v>
      </c>
      <c r="AN93" s="25">
        <v>4</v>
      </c>
      <c r="AO93" s="25">
        <v>0</v>
      </c>
      <c r="AP93" s="25">
        <v>3</v>
      </c>
      <c r="AQ93" s="25">
        <v>3</v>
      </c>
      <c r="AR93" s="25">
        <v>291</v>
      </c>
      <c r="AS93" s="25">
        <v>0</v>
      </c>
      <c r="AT93" s="25">
        <v>360</v>
      </c>
      <c r="AU93" s="25">
        <v>4</v>
      </c>
      <c r="AV93" s="25">
        <v>0</v>
      </c>
      <c r="AW93" s="25">
        <v>0</v>
      </c>
      <c r="AX93" s="25">
        <v>82</v>
      </c>
      <c r="AY93" s="25">
        <v>6</v>
      </c>
      <c r="AZ93" s="25">
        <v>8</v>
      </c>
      <c r="BA93" s="25">
        <v>6</v>
      </c>
      <c r="BB93" s="25">
        <v>1</v>
      </c>
      <c r="BC93" s="25">
        <v>2</v>
      </c>
      <c r="BD93" s="25">
        <v>8</v>
      </c>
      <c r="BE93" s="25">
        <v>2</v>
      </c>
      <c r="BF93" s="25">
        <v>2</v>
      </c>
      <c r="BG93" s="25">
        <v>6</v>
      </c>
      <c r="BH93" s="25">
        <v>6</v>
      </c>
      <c r="BI93" s="25">
        <v>13</v>
      </c>
      <c r="BJ93" s="25">
        <v>22</v>
      </c>
      <c r="BK93" s="25">
        <v>4</v>
      </c>
      <c r="BL93" s="25">
        <v>3221</v>
      </c>
      <c r="BM93" s="25">
        <v>4</v>
      </c>
      <c r="BN93" s="25">
        <v>1</v>
      </c>
      <c r="BO93" s="25">
        <v>0</v>
      </c>
      <c r="BP93" s="25">
        <v>1</v>
      </c>
      <c r="BQ93" s="25">
        <v>1</v>
      </c>
      <c r="BR93" s="25">
        <v>2</v>
      </c>
      <c r="BS93" s="25">
        <v>0</v>
      </c>
      <c r="BT93" s="25">
        <v>0</v>
      </c>
      <c r="BU93" s="25">
        <v>0</v>
      </c>
      <c r="BV93" s="25">
        <v>3</v>
      </c>
      <c r="BW93" s="25">
        <v>7</v>
      </c>
      <c r="BX93" s="25">
        <v>7</v>
      </c>
      <c r="BY93" s="25">
        <v>0</v>
      </c>
      <c r="BZ93" s="25">
        <v>3</v>
      </c>
      <c r="CA93" s="25">
        <v>3</v>
      </c>
      <c r="CB93" s="25">
        <v>0</v>
      </c>
      <c r="CC93" s="25">
        <v>3</v>
      </c>
      <c r="CD93" s="25">
        <v>2</v>
      </c>
      <c r="CE93" s="25">
        <v>1</v>
      </c>
      <c r="CF93" s="25">
        <v>112</v>
      </c>
      <c r="CG93" s="25">
        <v>5</v>
      </c>
      <c r="CH93" s="25">
        <v>20</v>
      </c>
      <c r="CI93" s="25">
        <v>3</v>
      </c>
      <c r="CJ93" s="25">
        <v>6</v>
      </c>
      <c r="CK93" s="25">
        <v>25</v>
      </c>
      <c r="CL93" s="25">
        <v>11</v>
      </c>
      <c r="CM93" s="25">
        <v>21</v>
      </c>
      <c r="CN93" s="25">
        <v>12</v>
      </c>
      <c r="CO93" s="25">
        <v>143</v>
      </c>
      <c r="CP93" s="25">
        <v>0</v>
      </c>
      <c r="CQ93" s="25">
        <v>0</v>
      </c>
      <c r="CR93" s="25">
        <v>285</v>
      </c>
      <c r="CS93" s="25">
        <v>2</v>
      </c>
      <c r="CT93" s="25">
        <v>177</v>
      </c>
      <c r="CU93" s="25">
        <v>355</v>
      </c>
      <c r="CV93" s="25">
        <v>164</v>
      </c>
      <c r="CW93" s="25">
        <v>6</v>
      </c>
      <c r="CX93" s="25">
        <v>0</v>
      </c>
      <c r="CY93" s="25">
        <v>0</v>
      </c>
      <c r="CZ93" s="25">
        <v>28</v>
      </c>
      <c r="DA93" s="25">
        <v>0</v>
      </c>
      <c r="DB93" s="25">
        <v>3</v>
      </c>
      <c r="DC93" s="25">
        <v>0</v>
      </c>
      <c r="DD93" s="25">
        <v>59</v>
      </c>
      <c r="DE93" s="25">
        <v>0</v>
      </c>
      <c r="DF93" s="25">
        <v>0</v>
      </c>
      <c r="DG93" s="25">
        <v>8</v>
      </c>
      <c r="DH93" s="25">
        <v>3</v>
      </c>
      <c r="DI93" s="25">
        <v>0</v>
      </c>
      <c r="DJ93" s="25">
        <v>0</v>
      </c>
      <c r="DK93" s="25">
        <v>0</v>
      </c>
      <c r="DL93" s="25">
        <v>2</v>
      </c>
      <c r="DM93" s="25">
        <v>6</v>
      </c>
      <c r="DN93" s="25">
        <v>14967</v>
      </c>
      <c r="DO93" s="25">
        <v>1</v>
      </c>
      <c r="DP93" s="25">
        <v>1</v>
      </c>
      <c r="DQ93" s="25">
        <v>3</v>
      </c>
      <c r="DR93" s="25">
        <v>3194</v>
      </c>
      <c r="DS93" s="25">
        <v>8</v>
      </c>
      <c r="DT93" s="25">
        <v>99</v>
      </c>
      <c r="DU93" s="25">
        <v>5</v>
      </c>
      <c r="DV93" s="25">
        <v>0</v>
      </c>
      <c r="DW93" s="25">
        <v>6</v>
      </c>
      <c r="DX93" s="25">
        <v>3</v>
      </c>
      <c r="DY93" s="25">
        <v>0</v>
      </c>
      <c r="DZ93" s="25">
        <v>25</v>
      </c>
      <c r="EA93" s="25">
        <v>109</v>
      </c>
      <c r="EB93" s="25">
        <v>8</v>
      </c>
      <c r="EC93" s="25">
        <v>358</v>
      </c>
      <c r="ED93" s="25">
        <v>399</v>
      </c>
      <c r="EE93" s="25">
        <v>4585</v>
      </c>
      <c r="EF93" s="25">
        <v>78</v>
      </c>
      <c r="EG93" s="25">
        <v>365</v>
      </c>
      <c r="EH93" s="25">
        <v>116</v>
      </c>
      <c r="EI93" s="25">
        <v>20465</v>
      </c>
      <c r="EJ93" s="25">
        <v>4</v>
      </c>
      <c r="EK93" s="25">
        <v>123</v>
      </c>
      <c r="EL93" s="25">
        <v>7</v>
      </c>
      <c r="EM93" s="25">
        <v>12</v>
      </c>
      <c r="EN93" s="25">
        <v>9</v>
      </c>
      <c r="EO93" s="25">
        <v>217</v>
      </c>
      <c r="EP93" s="25">
        <v>2</v>
      </c>
      <c r="EQ93" s="25">
        <v>5</v>
      </c>
      <c r="ER93" s="25">
        <v>5</v>
      </c>
      <c r="ES93" s="25">
        <v>20</v>
      </c>
      <c r="ET93" s="25">
        <v>6</v>
      </c>
      <c r="EU93" s="25">
        <v>1</v>
      </c>
      <c r="EV93" s="25">
        <v>24</v>
      </c>
      <c r="EW93" s="25">
        <v>69</v>
      </c>
      <c r="EX93" s="25">
        <v>0</v>
      </c>
      <c r="EY93" s="25">
        <v>77</v>
      </c>
      <c r="EZ93" s="25">
        <v>0</v>
      </c>
      <c r="FA93" s="25">
        <v>3</v>
      </c>
      <c r="FB93" s="25">
        <v>1</v>
      </c>
      <c r="FC93" s="25">
        <v>9</v>
      </c>
      <c r="FD93" s="25">
        <v>332</v>
      </c>
      <c r="FE93" s="25">
        <v>35</v>
      </c>
      <c r="FF93" s="25">
        <v>1</v>
      </c>
      <c r="FG93" s="25">
        <v>0</v>
      </c>
      <c r="FH93" s="25">
        <v>3</v>
      </c>
      <c r="FI93" s="25">
        <v>126</v>
      </c>
      <c r="FJ93" s="25">
        <v>0</v>
      </c>
      <c r="FK93" s="25">
        <v>0</v>
      </c>
      <c r="FL93" s="25">
        <v>0</v>
      </c>
      <c r="FM93" s="25">
        <v>1</v>
      </c>
      <c r="FN93" s="25">
        <v>9</v>
      </c>
      <c r="FO93" s="25">
        <v>2823</v>
      </c>
      <c r="FP93" s="25">
        <v>5</v>
      </c>
      <c r="FQ93" s="25">
        <v>1</v>
      </c>
      <c r="FR93" s="25">
        <v>12</v>
      </c>
      <c r="FS93" s="25">
        <v>10</v>
      </c>
      <c r="FT93" s="25">
        <v>38</v>
      </c>
      <c r="FU93" s="25">
        <v>134</v>
      </c>
      <c r="FV93" s="25">
        <v>4</v>
      </c>
      <c r="FW93" s="25">
        <v>93</v>
      </c>
      <c r="FX93" s="25">
        <v>87</v>
      </c>
      <c r="FY93" s="25">
        <v>0</v>
      </c>
      <c r="FZ93" s="25">
        <v>6</v>
      </c>
      <c r="GA93" s="25">
        <v>216</v>
      </c>
      <c r="GB93" s="25">
        <v>315</v>
      </c>
      <c r="GC93" s="25">
        <v>245</v>
      </c>
      <c r="GD93" s="25">
        <v>535</v>
      </c>
      <c r="GE93" s="25">
        <v>7</v>
      </c>
      <c r="GF93" s="25">
        <v>331</v>
      </c>
      <c r="GG93" s="25">
        <v>148</v>
      </c>
      <c r="GH93" s="25">
        <v>0</v>
      </c>
      <c r="GI93" s="25">
        <v>0</v>
      </c>
      <c r="GJ93" s="25">
        <v>0</v>
      </c>
      <c r="GK93" s="25">
        <v>35</v>
      </c>
      <c r="GL93" s="25">
        <v>65</v>
      </c>
      <c r="GM93" s="25">
        <v>2</v>
      </c>
      <c r="GN93" s="25">
        <v>85</v>
      </c>
      <c r="GO93" s="25">
        <v>0</v>
      </c>
      <c r="GP93" s="25">
        <v>9</v>
      </c>
      <c r="GQ93" s="25">
        <v>2</v>
      </c>
      <c r="GR93" s="25">
        <v>55</v>
      </c>
      <c r="GS93" s="25">
        <v>2</v>
      </c>
      <c r="GT93" s="25">
        <v>27</v>
      </c>
      <c r="GU93" s="25">
        <v>17756</v>
      </c>
      <c r="GV93" s="25">
        <v>7</v>
      </c>
      <c r="GW93" s="25">
        <v>4</v>
      </c>
      <c r="GX93" s="25">
        <v>1</v>
      </c>
      <c r="GY93" s="46">
        <v>919</v>
      </c>
      <c r="GZ93" s="25">
        <v>1138</v>
      </c>
      <c r="HA93" s="25">
        <v>6</v>
      </c>
      <c r="HB93" s="25">
        <v>3</v>
      </c>
      <c r="HC93" s="25">
        <v>40</v>
      </c>
      <c r="HD93" s="25">
        <v>3</v>
      </c>
      <c r="HE93" s="25">
        <v>8</v>
      </c>
      <c r="HF93" s="25">
        <v>34</v>
      </c>
      <c r="HG93" s="25">
        <v>1296</v>
      </c>
      <c r="HH93" s="25">
        <v>0</v>
      </c>
      <c r="HI93" s="25">
        <v>93</v>
      </c>
      <c r="HJ93" s="25">
        <v>25</v>
      </c>
      <c r="HK93" s="25">
        <v>5</v>
      </c>
      <c r="HL93" s="25">
        <v>1</v>
      </c>
      <c r="HM93" s="25">
        <v>9</v>
      </c>
      <c r="HN93" s="25">
        <v>0</v>
      </c>
      <c r="HO93" s="25">
        <v>2</v>
      </c>
      <c r="HP93" s="25">
        <v>0</v>
      </c>
      <c r="HQ93" s="25">
        <v>13029</v>
      </c>
      <c r="HR93" s="25">
        <v>8</v>
      </c>
      <c r="HS93" s="25">
        <v>27870</v>
      </c>
      <c r="HT93" s="25">
        <v>4</v>
      </c>
      <c r="HU93" s="25">
        <v>9</v>
      </c>
      <c r="HV93" s="25">
        <v>0</v>
      </c>
      <c r="HW93" s="25">
        <v>2</v>
      </c>
      <c r="HX93" s="25">
        <v>3</v>
      </c>
      <c r="HY93" s="25">
        <v>1</v>
      </c>
      <c r="HZ93" s="25">
        <v>0</v>
      </c>
      <c r="IA93" s="25">
        <v>0</v>
      </c>
      <c r="IB93" s="25">
        <v>0</v>
      </c>
      <c r="IC93" s="25">
        <v>2</v>
      </c>
      <c r="ID93" s="25">
        <v>0</v>
      </c>
      <c r="IE93" s="25">
        <v>2</v>
      </c>
      <c r="IF93" s="25">
        <v>0</v>
      </c>
      <c r="IG93" s="25">
        <v>0</v>
      </c>
      <c r="IH93" s="25">
        <v>1</v>
      </c>
      <c r="II93" s="25">
        <v>2</v>
      </c>
      <c r="IJ93" s="25">
        <v>0</v>
      </c>
      <c r="IK93" s="25">
        <v>10</v>
      </c>
      <c r="IL93" s="25">
        <v>0</v>
      </c>
      <c r="IM93" s="25">
        <v>0</v>
      </c>
      <c r="IN93" s="25">
        <v>0</v>
      </c>
      <c r="IO93" s="25">
        <v>7</v>
      </c>
      <c r="IP93" s="25">
        <v>4</v>
      </c>
      <c r="IQ93" s="25">
        <v>0</v>
      </c>
      <c r="IR93" s="25">
        <v>0</v>
      </c>
      <c r="IS93" s="25">
        <v>1</v>
      </c>
      <c r="IT93" s="25">
        <v>2</v>
      </c>
      <c r="IU93" s="25">
        <v>1</v>
      </c>
      <c r="IV93" s="25">
        <v>1</v>
      </c>
      <c r="IW93" s="25">
        <v>0</v>
      </c>
      <c r="IX93" s="25">
        <v>0</v>
      </c>
      <c r="IY93" s="25">
        <v>2</v>
      </c>
      <c r="IZ93" s="25">
        <v>0</v>
      </c>
      <c r="JA93" s="25">
        <v>0</v>
      </c>
      <c r="JB93" s="25">
        <v>0</v>
      </c>
      <c r="JC93" s="25">
        <v>0</v>
      </c>
      <c r="JD93" s="25">
        <v>0</v>
      </c>
      <c r="JE93" s="25">
        <v>0</v>
      </c>
      <c r="JF93" s="25">
        <v>0</v>
      </c>
      <c r="JG93" s="25">
        <v>0</v>
      </c>
      <c r="JH93" s="25">
        <v>0</v>
      </c>
      <c r="JI93" s="25">
        <v>5</v>
      </c>
      <c r="JJ93" s="25">
        <v>2</v>
      </c>
      <c r="JK93" s="25">
        <v>45</v>
      </c>
      <c r="JL93" s="25">
        <v>1</v>
      </c>
      <c r="JM93" s="25">
        <v>99</v>
      </c>
      <c r="JN93" s="25">
        <v>8</v>
      </c>
      <c r="JO93" s="25">
        <v>132</v>
      </c>
      <c r="JP93" s="25">
        <v>29</v>
      </c>
      <c r="JQ93" s="25">
        <v>714</v>
      </c>
      <c r="JR93" s="25">
        <v>306</v>
      </c>
      <c r="JS93" s="25">
        <v>602</v>
      </c>
      <c r="JT93" s="25">
        <v>41</v>
      </c>
      <c r="JU93" s="25">
        <v>52</v>
      </c>
      <c r="JV93" s="25">
        <v>499</v>
      </c>
      <c r="JW93" s="25">
        <v>465</v>
      </c>
      <c r="JX93" s="25">
        <v>9</v>
      </c>
      <c r="JY93" s="25">
        <v>27</v>
      </c>
      <c r="JZ93" s="25">
        <v>798</v>
      </c>
      <c r="KA93" s="25">
        <v>350</v>
      </c>
      <c r="KB93" s="25">
        <v>41</v>
      </c>
      <c r="KC93" s="25">
        <v>62</v>
      </c>
      <c r="KD93" s="25">
        <v>113</v>
      </c>
      <c r="KE93" s="25">
        <v>884</v>
      </c>
      <c r="KF93" s="25">
        <v>19</v>
      </c>
      <c r="KG93" s="25">
        <v>262</v>
      </c>
      <c r="KH93" s="25">
        <v>844</v>
      </c>
      <c r="KI93" s="25">
        <v>1602</v>
      </c>
      <c r="KJ93" s="25">
        <v>70</v>
      </c>
      <c r="KK93" s="25">
        <v>98</v>
      </c>
      <c r="KL93" s="25">
        <v>123</v>
      </c>
      <c r="KM93" s="25">
        <v>7</v>
      </c>
      <c r="KN93" s="25">
        <v>17</v>
      </c>
      <c r="KO93" s="25">
        <v>114</v>
      </c>
      <c r="KP93" s="25">
        <v>23</v>
      </c>
      <c r="KQ93" s="25">
        <v>2443</v>
      </c>
      <c r="KR93" s="25">
        <v>26</v>
      </c>
      <c r="KS93" s="25">
        <v>14390</v>
      </c>
      <c r="KT93" s="25">
        <v>94</v>
      </c>
      <c r="KU93" s="25">
        <v>8</v>
      </c>
      <c r="KV93" s="25">
        <v>274</v>
      </c>
      <c r="KW93" s="25">
        <v>99</v>
      </c>
      <c r="KX93" s="25">
        <v>53</v>
      </c>
      <c r="KY93" s="25">
        <v>589</v>
      </c>
      <c r="KZ93" s="25">
        <v>63</v>
      </c>
      <c r="LA93" s="25">
        <v>82</v>
      </c>
      <c r="LB93" s="25">
        <v>6</v>
      </c>
      <c r="LC93" s="25">
        <v>109</v>
      </c>
      <c r="LD93" s="25">
        <v>305</v>
      </c>
      <c r="LE93" s="25">
        <v>13</v>
      </c>
      <c r="LF93" s="25">
        <v>28</v>
      </c>
      <c r="LG93" s="25">
        <v>149</v>
      </c>
      <c r="LH93" s="25">
        <v>513</v>
      </c>
      <c r="LI93" s="25">
        <v>8</v>
      </c>
      <c r="LJ93" s="25">
        <v>154</v>
      </c>
      <c r="LK93" s="25">
        <v>1</v>
      </c>
      <c r="LL93" s="25">
        <v>0</v>
      </c>
      <c r="LM93" s="25">
        <v>0</v>
      </c>
      <c r="LN93" s="278">
        <f ca="1">$A93 - DeathsTimeS!Sweden100dt + 1</f>
        <v>26</v>
      </c>
      <c r="LO93" s="366">
        <f ca="1">INDEX(OFFSET(DeathsTimeS!HeadRow,ROW()-ROW(DeathsTimeS!HeadRow),0,1,COLUMNS(DeathsTimeS!HeadRow)),1,MATCH(LO$5,DeathsTimeS!HeadRow,0))/LO$8</f>
        <v>898.33822091886611</v>
      </c>
      <c r="LP93" s="278">
        <f ca="1">$A93 - DeathsTimeS!Spain100dt</f>
        <v>33</v>
      </c>
      <c r="LQ93" s="20">
        <f ca="1">INDEX(OFFSET(DeathsTimeS!HeadRow,ROW()-ROW(DeathsTimeS!HeadRow),0,1,COLUMNS(DeathsTimeS!HeadRow)),1,MATCH(LQ$5,DeathsTimeS!HeadRow,0))/LQ$8</f>
        <v>3782.7013208351086</v>
      </c>
      <c r="LR93" s="278">
        <f ca="1">$A93 - DeathsTimeS!Victoria100dt</f>
        <v>10</v>
      </c>
      <c r="LS93" s="20">
        <f ca="1">INDEX(OFFSET(DeathsTimeS!HeadRow,ROW()-ROW(DeathsTimeS!HeadRow),0,1,COLUMNS(DeathsTimeS!HeadRow)),1,MATCH(LS$5,DeathsTimeS!HeadRow,0))/LS$8</f>
        <v>21.119324181626187</v>
      </c>
      <c r="LT93" s="278">
        <f ca="1">$A93 - DeathsTimeS!Iran100dt</f>
        <v>40</v>
      </c>
      <c r="LU93" s="20">
        <f ca="1">INDEX(OFFSET(DeathsTimeS!HeadRow,ROW()-ROW(DeathsTimeS!HeadRow),0,1,COLUMNS(DeathsTimeS!HeadRow)),1,MATCH(LU$5,DeathsTimeS!HeadRow,0))/LU$8</f>
        <v>547.31237988373346</v>
      </c>
      <c r="LV93" s="278">
        <f ca="1">$A93 - DeathsTimeS!Japan100dt</f>
        <v>-1</v>
      </c>
      <c r="LW93" s="20">
        <f ca="1">INDEX(OFFSET(DeathsTimeS!HeadRow,ROW()-ROW(DeathsTimeS!HeadRow),0,1,COLUMNS(DeathsTimeS!HeadRow)),1,MATCH(LW$5,DeathsTimeS!HeadRow,0))/LW$8</f>
        <v>9.7191556727673447</v>
      </c>
      <c r="LX93" s="278">
        <f ca="1">$A93 - DeathsTimeS!Queensland100dt</f>
        <v>-5</v>
      </c>
      <c r="LY93" s="20">
        <f ca="1">INDEX(OFFSET(DeathsTimeS!HeadRow,ROW()-ROW(DeathsTimeS!HeadRow),0,1,COLUMNS(DeathsTimeS!HeadRow)),1,MATCH(LY$5,DeathsTimeS!HeadRow,0))/LY$8</f>
        <v>9.7743092446785251</v>
      </c>
      <c r="LZ93" s="278">
        <f ca="1">$A93 - DeathsTimeS!Tasmania100dt</f>
        <v>13</v>
      </c>
      <c r="MA93" s="20">
        <f ca="1">INDEX(OFFSET(DeathsTimeS!HeadRow,ROW()-ROW(DeathsTimeS!HeadRow),0,1,COLUMNS(DeathsTimeS!HeadRow)),1,MATCH(MA$5,DeathsTimeS!HeadRow,0))/MA$8</f>
        <v>97.087378640776706</v>
      </c>
      <c r="MB93" s="278">
        <f ca="1">$A93 - DeathsTimeS!SouthAustralia100dt</f>
        <v>5</v>
      </c>
      <c r="MC93" s="20">
        <f ca="1">INDEX(OFFSET(DeathsTimeS!HeadRow,ROW()-ROW(DeathsTimeS!HeadRow),0,1,COLUMNS(DeathsTimeS!HeadRow)),1,MATCH(MC$5,DeathsTimeS!HeadRow,0))/MC$8</f>
        <v>23.95209580838323</v>
      </c>
      <c r="MD93" s="278">
        <f ca="1">$A93 - DeathsTimeS!WesternAustralia100dt</f>
        <v>8</v>
      </c>
      <c r="ME93" s="20">
        <f ca="1">INDEX(OFFSET(DeathsTimeS!HeadRow,ROW()-ROW(DeathsTimeS!HeadRow),0,1,COLUMNS(DeathsTimeS!HeadRow)),1,MATCH(ME$5,DeathsTimeS!HeadRow,0))/ME$8</f>
        <v>23.174971031286209</v>
      </c>
      <c r="MF93" s="278">
        <f ca="1">$A93 - DeathsTimeS!NewSouthWales100dt</f>
        <v>12</v>
      </c>
      <c r="MG93" s="20">
        <f ca="1">INDEX(OFFSET(DeathsTimeS!HeadRow,ROW()-ROW(DeathsTimeS!HeadRow),0,1,COLUMNS(DeathsTimeS!HeadRow)),1,MATCH(MG$5,DeathsTimeS!HeadRow,0))/MG$8</f>
        <v>30.940594059405939</v>
      </c>
      <c r="MH93" s="278">
        <f ca="1">$A93 - DeathsTimeS!NewYork100dt</f>
        <v>28</v>
      </c>
      <c r="MI93" s="20">
        <f ca="1">INDEX(OFFSET(DeathsTimeS!HeadRow,ROW()-ROW(DeathsTimeS!HeadRow),0,1,COLUMNS(DeathsTimeS!HeadRow)),1,MATCH(MI$5,DeathsTimeS!HeadRow,0))/MI$8</f>
        <v>6090.2151742006799</v>
      </c>
      <c r="MJ93" s="278">
        <f ca="1">$A93 - DeathsTimeS!Italy100dt</f>
        <v>41</v>
      </c>
      <c r="MK93" s="20">
        <f ca="1">INDEX(OFFSET(DeathsTimeS!HeadRow,ROW()-ROW(DeathsTimeS!HeadRow),0,1,COLUMNS(DeathsTimeS!HeadRow)),1,MATCH(MK$5,DeathsTimeS!HeadRow,0))/MK$8</f>
        <v>3383.4835083078451</v>
      </c>
      <c r="ML93" s="278">
        <f ca="1">$A93 - DeathsTimeS!AustralianCapitalTerritory100dt</f>
        <v>14</v>
      </c>
      <c r="MM93" s="20">
        <f ca="1">INDEX(OFFSET(DeathsTimeS!HeadRow,ROW()-ROW(DeathsTimeS!HeadRow),0,1,COLUMNS(DeathsTimeS!HeadRow)),1,MATCH(MM$5,DeathsTimeS!HeadRow,0))/MM$8</f>
        <v>46.722422090361171</v>
      </c>
      <c r="MN93" s="278">
        <f ca="1">IF(DeathsTimeS!NorthernTerritory100dt&gt;0,$A93 - DeathsTimeS!NorthernTerritory100dt,"")</f>
        <v>-14</v>
      </c>
      <c r="MO93" s="20">
        <f ca="1">INDEX(OFFSET(DeathsTimeS!HeadRow,ROW()-ROW(DeathsTimeS!HeadRow),0,1,COLUMNS(DeathsTimeS!HeadRow)),1,MATCH(MO$5,DeathsTimeS!HeadRow,0))/MO$8</f>
        <v>0</v>
      </c>
      <c r="MP93" s="278">
        <f ca="1">$A93 - DeathsTimeS!SouthAfrica100dt + 1</f>
        <v>-6</v>
      </c>
      <c r="MQ93" s="20">
        <f ca="1">INDEX(OFFSET(DeathsTimeS!HeadRow,ROW()-ROW(DeathsTimeS!HeadRow),0,1,COLUMNS(DeathsTimeS!HeadRow)),1,MATCH(MQ$5,DeathsTimeS!HeadRow,0))/MQ$8</f>
        <v>4.6728971962616823</v>
      </c>
      <c r="MR93" s="278">
        <f ca="1">$A93 - DeathsTimeS!Germany100dt + 1</f>
        <v>24</v>
      </c>
      <c r="MS93" s="20">
        <f ca="1">INDEX(OFFSET(DeathsTimeS!HeadRow,ROW()-ROW(DeathsTimeS!HeadRow),0,1,COLUMNS(DeathsTimeS!HeadRow)),1,MATCH(MS$5,DeathsTimeS!HeadRow,0))/MS$8</f>
        <v>384.72657191038309</v>
      </c>
      <c r="MT93" s="278">
        <f ca="1">$A93 - DeathsTimeS!Ireland100dt + 1</f>
        <v>22</v>
      </c>
      <c r="MU93" s="73">
        <f ca="1">INDEX(OFFSET(DeathsTimeS!HeadRow,ROW()-ROW(DeathsTimeS!HeadRow),0,1,COLUMNS(DeathsTimeS!HeadRow)),1,MATCH(MU$5,DeathsTimeS!HeadRow,0))/MU$8</f>
        <v>744.89795918367349</v>
      </c>
      <c r="MV93" s="278">
        <f ca="1">$A93 - DeathsTimeS!UnitedKingdom100dt + 1</f>
        <v>28</v>
      </c>
      <c r="MW93" s="73">
        <f ca="1">INDEX(OFFSET(DeathsTimeS!HeadRow,ROW()-ROW(DeathsTimeS!HeadRow),0,1,COLUMNS(DeathsTimeS!HeadRow)),1,MATCH(MW$5,DeathsTimeS!HeadRow,0))/MW$8</f>
        <v>1961.0174593618301</v>
      </c>
      <c r="MX93" s="278">
        <f ca="1">$A93 - DeathsTimeS!Denmark100dt + 1</f>
        <v>26</v>
      </c>
      <c r="MY93" s="73">
        <f ca="1">INDEX(OFFSET(DeathsTimeS!HeadRow,ROW()-ROW(DeathsTimeS!HeadRow),0,1,COLUMNS(DeathsTimeS!HeadRow)),1,MATCH(MY$5,DeathsTimeS!HeadRow,0))/MY$8</f>
        <v>490.87151222872888</v>
      </c>
      <c r="MZ93" s="278">
        <f ca="1">$A93 - DeathsTimeS!US100dt + 1</f>
        <v>25</v>
      </c>
      <c r="NA93" s="73">
        <f ca="1">INDEX(OFFSET(DeathsTimeS!HeadRow,ROW()-ROW(DeathsTimeS!HeadRow),0,1,COLUMNS(DeathsTimeS!HeadRow)),1,MATCH(NA$5,DeathsTimeS!HeadRow,0))/NA$8</f>
        <v>846.52646499605783</v>
      </c>
      <c r="NB93" s="278">
        <f ca="1">$A93 - DeathsTimeS!AustraliaSum100dt + 1</f>
        <v>19</v>
      </c>
      <c r="NC93" s="366">
        <f t="shared" si="7"/>
        <v>61</v>
      </c>
      <c r="ND93" s="278">
        <f ca="1">$A93 - DeathsTimeS!Taiwan100dt + 1</f>
        <v>-13</v>
      </c>
      <c r="NE93" s="366">
        <f ca="1">INDEX(OFFSET(DeathsTimeS!HeadRow,ROW()-ROW(DeathsTimeS!HeadRow),0,1,COLUMNS(DeathsTimeS!HeadRow)),1,MATCH(NE$5,DeathsTimeS!HeadRow,0))/NE$8</f>
        <v>2.5202372954627914</v>
      </c>
      <c r="NF93" s="278">
        <f ca="1">$A93 - DeathsTimeS!Hubei100dt + 1</f>
        <v>78</v>
      </c>
      <c r="NG93" s="366">
        <f ca="1">INDEX(OFFSET(DeathsTimeS!HeadRow,ROW()-ROW(DeathsTimeS!HeadRow),0,1,COLUMNS(DeathsTimeS!HeadRow)),1,MATCH(NG$5,DeathsTimeS!HeadRow,0))/NG$8</f>
        <v>550.59829059829065</v>
      </c>
      <c r="NH93" s="278">
        <f ca="1">$A93 - DeathsTimeS!HongKong100dt + 1</f>
        <v>-13</v>
      </c>
      <c r="NI93" s="366">
        <f ca="1">INDEX(OFFSET(DeathsTimeS!HeadRow,ROW()-ROW(DeathsTimeS!HeadRow),0,1,COLUMNS(DeathsTimeS!HeadRow)),1,MATCH(NI$5,DeathsTimeS!HeadRow,0))/NI$8</f>
        <v>5.3684069252449333</v>
      </c>
    </row>
    <row r="94" spans="1:373" x14ac:dyDescent="0.25">
      <c r="A94" s="156">
        <v>43935</v>
      </c>
      <c r="B94" s="25">
        <v>23</v>
      </c>
      <c r="C94" s="25">
        <v>24</v>
      </c>
      <c r="D94" s="25">
        <v>326</v>
      </c>
      <c r="E94" s="25">
        <v>31</v>
      </c>
      <c r="F94" s="25">
        <v>2</v>
      </c>
      <c r="G94" s="25">
        <v>2</v>
      </c>
      <c r="H94" s="25">
        <v>102</v>
      </c>
      <c r="I94" s="25">
        <v>16</v>
      </c>
      <c r="J94" s="25">
        <v>2</v>
      </c>
      <c r="K94" s="25">
        <v>25</v>
      </c>
      <c r="L94" s="25">
        <v>0</v>
      </c>
      <c r="M94" s="25">
        <v>5</v>
      </c>
      <c r="N94" s="25">
        <v>4</v>
      </c>
      <c r="O94" s="25">
        <v>6</v>
      </c>
      <c r="P94" s="25">
        <v>14</v>
      </c>
      <c r="Q94" s="25">
        <v>6</v>
      </c>
      <c r="R94" s="25">
        <v>384</v>
      </c>
      <c r="S94" s="25">
        <v>13</v>
      </c>
      <c r="T94" s="25">
        <v>8</v>
      </c>
      <c r="U94" s="25">
        <v>7</v>
      </c>
      <c r="V94" s="25">
        <v>46</v>
      </c>
      <c r="W94" s="25">
        <v>4</v>
      </c>
      <c r="X94" s="25">
        <v>33</v>
      </c>
      <c r="Y94" s="25">
        <v>4157</v>
      </c>
      <c r="Z94" s="25">
        <v>1</v>
      </c>
      <c r="AA94" s="25">
        <v>0</v>
      </c>
      <c r="AB94" s="25">
        <v>28</v>
      </c>
      <c r="AC94" s="25">
        <v>40</v>
      </c>
      <c r="AD94" s="25">
        <v>1532</v>
      </c>
      <c r="AE94" s="25">
        <v>1</v>
      </c>
      <c r="AF94" s="25">
        <v>35</v>
      </c>
      <c r="AG94" s="25">
        <v>30</v>
      </c>
      <c r="AH94" s="25">
        <v>1</v>
      </c>
      <c r="AI94" s="25">
        <v>0</v>
      </c>
      <c r="AJ94" s="25">
        <v>14</v>
      </c>
      <c r="AK94" s="25">
        <v>48</v>
      </c>
      <c r="AL94" s="25">
        <v>69</v>
      </c>
      <c r="AM94" s="25">
        <v>0</v>
      </c>
      <c r="AN94" s="25">
        <v>4</v>
      </c>
      <c r="AO94" s="25">
        <v>0</v>
      </c>
      <c r="AP94" s="25">
        <v>3</v>
      </c>
      <c r="AQ94" s="25">
        <v>3</v>
      </c>
      <c r="AR94" s="25">
        <v>334</v>
      </c>
      <c r="AS94" s="25">
        <v>0</v>
      </c>
      <c r="AT94" s="25">
        <v>435</v>
      </c>
      <c r="AU94" s="25">
        <v>4</v>
      </c>
      <c r="AV94" s="25">
        <v>0</v>
      </c>
      <c r="AW94" s="25">
        <v>0</v>
      </c>
      <c r="AX94" s="25">
        <v>92</v>
      </c>
      <c r="AY94" s="25">
        <v>6</v>
      </c>
      <c r="AZ94" s="25">
        <v>8</v>
      </c>
      <c r="BA94" s="25">
        <v>6</v>
      </c>
      <c r="BB94" s="25">
        <v>1</v>
      </c>
      <c r="BC94" s="25">
        <v>2</v>
      </c>
      <c r="BD94" s="25">
        <v>8</v>
      </c>
      <c r="BE94" s="25">
        <v>2</v>
      </c>
      <c r="BF94" s="25">
        <v>2</v>
      </c>
      <c r="BG94" s="25">
        <v>6</v>
      </c>
      <c r="BH94" s="25">
        <v>6</v>
      </c>
      <c r="BI94" s="25">
        <v>13</v>
      </c>
      <c r="BJ94" s="25">
        <v>22</v>
      </c>
      <c r="BK94" s="25">
        <v>4</v>
      </c>
      <c r="BL94" s="25">
        <v>3221</v>
      </c>
      <c r="BM94" s="25">
        <v>4</v>
      </c>
      <c r="BN94" s="25">
        <v>1</v>
      </c>
      <c r="BO94" s="25">
        <v>0</v>
      </c>
      <c r="BP94" s="25">
        <v>1</v>
      </c>
      <c r="BQ94" s="25">
        <v>1</v>
      </c>
      <c r="BR94" s="25">
        <v>2</v>
      </c>
      <c r="BS94" s="25">
        <v>0</v>
      </c>
      <c r="BT94" s="25">
        <v>0</v>
      </c>
      <c r="BU94" s="25">
        <v>0</v>
      </c>
      <c r="BV94" s="25">
        <v>3</v>
      </c>
      <c r="BW94" s="25">
        <v>7</v>
      </c>
      <c r="BX94" s="25">
        <v>7</v>
      </c>
      <c r="BY94" s="25">
        <v>0</v>
      </c>
      <c r="BZ94" s="25">
        <v>3</v>
      </c>
      <c r="CA94" s="25">
        <v>3</v>
      </c>
      <c r="CB94" s="25">
        <v>0</v>
      </c>
      <c r="CC94" s="25">
        <v>3</v>
      </c>
      <c r="CD94" s="25">
        <v>2</v>
      </c>
      <c r="CE94" s="25">
        <v>1</v>
      </c>
      <c r="CF94" s="25">
        <v>127</v>
      </c>
      <c r="CG94" s="25">
        <v>5</v>
      </c>
      <c r="CH94" s="25">
        <v>20</v>
      </c>
      <c r="CI94" s="25">
        <v>3</v>
      </c>
      <c r="CJ94" s="25">
        <v>6</v>
      </c>
      <c r="CK94" s="25">
        <v>31</v>
      </c>
      <c r="CL94" s="25">
        <v>12</v>
      </c>
      <c r="CM94" s="25">
        <v>21</v>
      </c>
      <c r="CN94" s="25">
        <v>12</v>
      </c>
      <c r="CO94" s="25">
        <v>161</v>
      </c>
      <c r="CP94" s="25">
        <v>0</v>
      </c>
      <c r="CQ94" s="25">
        <v>0</v>
      </c>
      <c r="CR94" s="25">
        <v>299</v>
      </c>
      <c r="CS94" s="25">
        <v>2</v>
      </c>
      <c r="CT94" s="25">
        <v>183</v>
      </c>
      <c r="CU94" s="25">
        <v>369</v>
      </c>
      <c r="CV94" s="25">
        <v>178</v>
      </c>
      <c r="CW94" s="25">
        <v>6</v>
      </c>
      <c r="CX94" s="25">
        <v>0</v>
      </c>
      <c r="CY94" s="25">
        <v>0</v>
      </c>
      <c r="CZ94" s="25">
        <v>31</v>
      </c>
      <c r="DA94" s="25">
        <v>0</v>
      </c>
      <c r="DB94" s="25">
        <v>3</v>
      </c>
      <c r="DC94" s="25">
        <v>0</v>
      </c>
      <c r="DD94" s="25">
        <v>64</v>
      </c>
      <c r="DE94" s="25">
        <v>0</v>
      </c>
      <c r="DF94" s="25">
        <v>0</v>
      </c>
      <c r="DG94" s="25">
        <v>8</v>
      </c>
      <c r="DH94" s="25">
        <v>3</v>
      </c>
      <c r="DI94" s="25">
        <v>0</v>
      </c>
      <c r="DJ94" s="25">
        <v>0</v>
      </c>
      <c r="DK94" s="25">
        <v>0</v>
      </c>
      <c r="DL94" s="25">
        <v>2</v>
      </c>
      <c r="DM94" s="25">
        <v>6</v>
      </c>
      <c r="DN94" s="25">
        <v>15712</v>
      </c>
      <c r="DO94" s="25">
        <v>1</v>
      </c>
      <c r="DP94" s="25">
        <v>1</v>
      </c>
      <c r="DQ94" s="25">
        <v>3</v>
      </c>
      <c r="DR94" s="25">
        <v>3294</v>
      </c>
      <c r="DS94" s="25">
        <v>8</v>
      </c>
      <c r="DT94" s="25">
        <v>101</v>
      </c>
      <c r="DU94" s="25">
        <v>5</v>
      </c>
      <c r="DV94" s="25">
        <v>0</v>
      </c>
      <c r="DW94" s="25">
        <v>6</v>
      </c>
      <c r="DX94" s="25">
        <v>3</v>
      </c>
      <c r="DY94" s="25">
        <v>0</v>
      </c>
      <c r="DZ94" s="25">
        <v>26</v>
      </c>
      <c r="EA94" s="25">
        <v>122</v>
      </c>
      <c r="EB94" s="25">
        <v>8</v>
      </c>
      <c r="EC94" s="25">
        <v>393</v>
      </c>
      <c r="ED94" s="25">
        <v>459</v>
      </c>
      <c r="EE94" s="25">
        <v>4683</v>
      </c>
      <c r="EF94" s="25">
        <v>78</v>
      </c>
      <c r="EG94" s="25">
        <v>406</v>
      </c>
      <c r="EH94" s="25">
        <v>123</v>
      </c>
      <c r="EI94" s="25">
        <v>21067</v>
      </c>
      <c r="EJ94" s="25">
        <v>4</v>
      </c>
      <c r="EK94" s="25">
        <v>143</v>
      </c>
      <c r="EL94" s="25">
        <v>7</v>
      </c>
      <c r="EM94" s="25">
        <v>14</v>
      </c>
      <c r="EN94" s="25">
        <v>9</v>
      </c>
      <c r="EO94" s="25">
        <v>222</v>
      </c>
      <c r="EP94" s="25">
        <v>3</v>
      </c>
      <c r="EQ94" s="25">
        <v>5</v>
      </c>
      <c r="ER94" s="25">
        <v>5</v>
      </c>
      <c r="ES94" s="25">
        <v>21</v>
      </c>
      <c r="ET94" s="25">
        <v>6</v>
      </c>
      <c r="EU94" s="25">
        <v>1</v>
      </c>
      <c r="EV94" s="25">
        <v>29</v>
      </c>
      <c r="EW94" s="25">
        <v>67</v>
      </c>
      <c r="EX94" s="25">
        <v>0</v>
      </c>
      <c r="EY94" s="25">
        <v>82</v>
      </c>
      <c r="EZ94" s="25">
        <v>0</v>
      </c>
      <c r="FA94" s="25">
        <v>3</v>
      </c>
      <c r="FB94" s="25">
        <v>1</v>
      </c>
      <c r="FC94" s="25">
        <v>9</v>
      </c>
      <c r="FD94" s="25">
        <v>406</v>
      </c>
      <c r="FE94" s="25">
        <v>40</v>
      </c>
      <c r="FF94" s="25">
        <v>1</v>
      </c>
      <c r="FG94" s="25">
        <v>0</v>
      </c>
      <c r="FH94" s="25">
        <v>4</v>
      </c>
      <c r="FI94" s="25">
        <v>126</v>
      </c>
      <c r="FJ94" s="25">
        <v>0</v>
      </c>
      <c r="FK94" s="25">
        <v>0</v>
      </c>
      <c r="FL94" s="25">
        <v>0</v>
      </c>
      <c r="FM94" s="25">
        <v>1</v>
      </c>
      <c r="FN94" s="25">
        <v>9</v>
      </c>
      <c r="FO94" s="25">
        <v>2945</v>
      </c>
      <c r="FP94" s="25">
        <v>9</v>
      </c>
      <c r="FQ94" s="25">
        <v>1</v>
      </c>
      <c r="FR94" s="25">
        <v>14</v>
      </c>
      <c r="FS94" s="25">
        <v>11</v>
      </c>
      <c r="FT94" s="25">
        <v>44</v>
      </c>
      <c r="FU94" s="25">
        <v>139</v>
      </c>
      <c r="FV94" s="25">
        <v>4</v>
      </c>
      <c r="FW94" s="25">
        <v>96</v>
      </c>
      <c r="FX94" s="25">
        <v>94</v>
      </c>
      <c r="FY94" s="25">
        <v>0</v>
      </c>
      <c r="FZ94" s="25">
        <v>7</v>
      </c>
      <c r="GA94" s="25">
        <v>230</v>
      </c>
      <c r="GB94" s="25">
        <v>335</v>
      </c>
      <c r="GC94" s="25">
        <v>263</v>
      </c>
      <c r="GD94" s="25">
        <v>567</v>
      </c>
      <c r="GE94" s="25">
        <v>7</v>
      </c>
      <c r="GF94" s="25">
        <v>351</v>
      </c>
      <c r="GG94" s="25">
        <v>170</v>
      </c>
      <c r="GH94" s="25">
        <v>0</v>
      </c>
      <c r="GI94" s="25">
        <v>0</v>
      </c>
      <c r="GJ94" s="25">
        <v>0</v>
      </c>
      <c r="GK94" s="25">
        <v>36</v>
      </c>
      <c r="GL94" s="25">
        <v>73</v>
      </c>
      <c r="GM94" s="25">
        <v>2</v>
      </c>
      <c r="GN94" s="25">
        <v>94</v>
      </c>
      <c r="GO94" s="25">
        <v>0</v>
      </c>
      <c r="GP94" s="25">
        <v>10</v>
      </c>
      <c r="GQ94" s="25">
        <v>2</v>
      </c>
      <c r="GR94" s="25">
        <v>56</v>
      </c>
      <c r="GS94" s="25">
        <v>2</v>
      </c>
      <c r="GT94" s="25">
        <v>27</v>
      </c>
      <c r="GU94" s="25">
        <v>18056</v>
      </c>
      <c r="GV94" s="25">
        <v>7</v>
      </c>
      <c r="GW94" s="25">
        <v>5</v>
      </c>
      <c r="GX94" s="25">
        <v>1</v>
      </c>
      <c r="GY94" s="46">
        <v>1033</v>
      </c>
      <c r="GZ94" s="25">
        <v>1174</v>
      </c>
      <c r="HA94" s="25">
        <v>6</v>
      </c>
      <c r="HB94" s="25">
        <v>3</v>
      </c>
      <c r="HC94" s="25">
        <v>41</v>
      </c>
      <c r="HD94" s="25">
        <v>3</v>
      </c>
      <c r="HE94" s="25">
        <v>8</v>
      </c>
      <c r="HF94" s="25">
        <v>34</v>
      </c>
      <c r="HG94" s="25">
        <v>1403</v>
      </c>
      <c r="HH94" s="25">
        <v>0</v>
      </c>
      <c r="HI94" s="25">
        <v>98</v>
      </c>
      <c r="HJ94" s="25">
        <v>28</v>
      </c>
      <c r="HK94" s="25">
        <v>5</v>
      </c>
      <c r="HL94" s="25">
        <v>1</v>
      </c>
      <c r="HM94" s="25">
        <v>13</v>
      </c>
      <c r="HN94" s="25">
        <v>0</v>
      </c>
      <c r="HO94" s="25">
        <v>2</v>
      </c>
      <c r="HP94" s="25">
        <v>0</v>
      </c>
      <c r="HQ94" s="25">
        <v>14073</v>
      </c>
      <c r="HR94" s="25">
        <v>8</v>
      </c>
      <c r="HS94" s="25">
        <v>30262</v>
      </c>
      <c r="HT94" s="25">
        <v>4</v>
      </c>
      <c r="HU94" s="25">
        <v>9</v>
      </c>
      <c r="HV94" s="25">
        <v>0</v>
      </c>
      <c r="HW94" s="25">
        <v>2</v>
      </c>
      <c r="HX94" s="25">
        <v>3</v>
      </c>
      <c r="HY94" s="25">
        <v>1</v>
      </c>
      <c r="HZ94" s="25">
        <v>0</v>
      </c>
      <c r="IA94" s="25">
        <v>0</v>
      </c>
      <c r="IB94" s="25">
        <v>0</v>
      </c>
      <c r="IC94" s="25">
        <v>2</v>
      </c>
      <c r="ID94" s="25">
        <v>0</v>
      </c>
      <c r="IE94" s="25">
        <v>2</v>
      </c>
      <c r="IF94" s="25">
        <v>0</v>
      </c>
      <c r="IG94" s="25">
        <v>0</v>
      </c>
      <c r="IH94" s="25">
        <v>1</v>
      </c>
      <c r="II94" s="25">
        <v>2</v>
      </c>
      <c r="IJ94" s="25">
        <v>0</v>
      </c>
      <c r="IK94" s="25">
        <v>13</v>
      </c>
      <c r="IL94" s="25">
        <v>0</v>
      </c>
      <c r="IM94" s="25">
        <v>0</v>
      </c>
      <c r="IN94" s="25">
        <v>0</v>
      </c>
      <c r="IO94" s="25">
        <v>8</v>
      </c>
      <c r="IP94" s="25">
        <v>4</v>
      </c>
      <c r="IQ94" s="25">
        <v>0</v>
      </c>
      <c r="IR94" s="25">
        <v>0</v>
      </c>
      <c r="IS94" s="25">
        <v>1</v>
      </c>
      <c r="IT94" s="25">
        <v>2</v>
      </c>
      <c r="IU94" s="25">
        <v>1</v>
      </c>
      <c r="IV94" s="25">
        <v>1</v>
      </c>
      <c r="IW94" s="25">
        <v>0</v>
      </c>
      <c r="IX94" s="25">
        <v>0</v>
      </c>
      <c r="IY94" s="25">
        <v>2</v>
      </c>
      <c r="IZ94" s="25">
        <v>0</v>
      </c>
      <c r="JA94" s="25">
        <v>0</v>
      </c>
      <c r="JB94" s="25">
        <v>0</v>
      </c>
      <c r="JC94" s="25">
        <v>0</v>
      </c>
      <c r="JD94" s="25">
        <v>0</v>
      </c>
      <c r="JE94" s="25">
        <v>0</v>
      </c>
      <c r="JF94" s="25">
        <v>0</v>
      </c>
      <c r="JG94" s="25">
        <v>0</v>
      </c>
      <c r="JH94" s="25">
        <v>0</v>
      </c>
      <c r="JI94" s="25">
        <v>5</v>
      </c>
      <c r="JJ94" s="25">
        <v>2</v>
      </c>
      <c r="JK94" s="25">
        <v>45</v>
      </c>
      <c r="JL94" s="25">
        <v>1</v>
      </c>
      <c r="JM94" s="25">
        <v>114</v>
      </c>
      <c r="JN94" s="25">
        <v>9</v>
      </c>
      <c r="JO94" s="25">
        <v>143</v>
      </c>
      <c r="JP94" s="25">
        <v>32</v>
      </c>
      <c r="JQ94" s="25">
        <v>767</v>
      </c>
      <c r="JR94" s="25">
        <v>327</v>
      </c>
      <c r="JS94" s="25">
        <v>671</v>
      </c>
      <c r="JT94" s="25">
        <v>43</v>
      </c>
      <c r="JU94" s="25">
        <v>67</v>
      </c>
      <c r="JV94" s="25">
        <v>571</v>
      </c>
      <c r="JW94" s="25">
        <v>525</v>
      </c>
      <c r="JX94" s="25">
        <v>9</v>
      </c>
      <c r="JY94" s="25">
        <v>33</v>
      </c>
      <c r="JZ94" s="25">
        <v>868</v>
      </c>
      <c r="KA94" s="25">
        <v>387</v>
      </c>
      <c r="KB94" s="25">
        <v>49</v>
      </c>
      <c r="KC94" s="25">
        <v>69</v>
      </c>
      <c r="KD94" s="25">
        <v>106</v>
      </c>
      <c r="KE94" s="25">
        <v>1013</v>
      </c>
      <c r="KF94" s="25">
        <v>20</v>
      </c>
      <c r="KG94" s="25">
        <v>302</v>
      </c>
      <c r="KH94" s="25">
        <v>844</v>
      </c>
      <c r="KI94" s="25">
        <v>1768</v>
      </c>
      <c r="KJ94" s="25">
        <v>79</v>
      </c>
      <c r="KK94" s="25">
        <v>111</v>
      </c>
      <c r="KL94" s="25">
        <v>149</v>
      </c>
      <c r="KM94" s="25">
        <v>7</v>
      </c>
      <c r="KN94" s="25">
        <v>20</v>
      </c>
      <c r="KO94" s="25">
        <v>126</v>
      </c>
      <c r="KP94" s="25">
        <v>25</v>
      </c>
      <c r="KQ94" s="25">
        <v>2805</v>
      </c>
      <c r="KR94" s="25">
        <v>31</v>
      </c>
      <c r="KS94" s="25">
        <v>15261</v>
      </c>
      <c r="KT94" s="25">
        <v>112</v>
      </c>
      <c r="KU94" s="25">
        <v>8</v>
      </c>
      <c r="KV94" s="25">
        <v>324</v>
      </c>
      <c r="KW94" s="25">
        <v>108</v>
      </c>
      <c r="KX94" s="25">
        <v>55</v>
      </c>
      <c r="KY94" s="25">
        <v>691</v>
      </c>
      <c r="KZ94" s="25">
        <v>80</v>
      </c>
      <c r="LA94" s="25">
        <v>97</v>
      </c>
      <c r="LB94" s="25">
        <v>6</v>
      </c>
      <c r="LC94" s="25">
        <v>124</v>
      </c>
      <c r="LD94" s="25">
        <v>342</v>
      </c>
      <c r="LE94" s="25">
        <v>18</v>
      </c>
      <c r="LF94" s="25">
        <v>29</v>
      </c>
      <c r="LG94" s="25">
        <v>154</v>
      </c>
      <c r="LH94" s="25">
        <v>530</v>
      </c>
      <c r="LI94" s="25">
        <v>9</v>
      </c>
      <c r="LJ94" s="25">
        <v>170</v>
      </c>
      <c r="LK94" s="25">
        <v>1</v>
      </c>
      <c r="LL94" s="25">
        <v>0</v>
      </c>
      <c r="LM94" s="25">
        <v>0</v>
      </c>
      <c r="LN94" s="278">
        <f ca="1">$A94 - DeathsTimeS!Sweden100dt + 1</f>
        <v>27</v>
      </c>
      <c r="LO94" s="366">
        <f ca="1">INDEX(OFFSET(DeathsTimeS!HeadRow,ROW()-ROW(DeathsTimeS!HeadRow),0,1,COLUMNS(DeathsTimeS!HeadRow)),1,MATCH(LO$5,DeathsTimeS!HeadRow,0))/LO$8</f>
        <v>1009.7751710654937</v>
      </c>
      <c r="LP94" s="278">
        <f ca="1">$A94 - DeathsTimeS!Spain100dt</f>
        <v>34</v>
      </c>
      <c r="LQ94" s="20">
        <f ca="1">INDEX(OFFSET(DeathsTimeS!HeadRow,ROW()-ROW(DeathsTimeS!HeadRow),0,1,COLUMNS(DeathsTimeS!HeadRow)),1,MATCH(LQ$5,DeathsTimeS!HeadRow,0))/LQ$8</f>
        <v>3846.6126970600767</v>
      </c>
      <c r="LR94" s="278">
        <f ca="1">$A94 - DeathsTimeS!Victoria100dt</f>
        <v>11</v>
      </c>
      <c r="LS94" s="20">
        <f ca="1">INDEX(OFFSET(DeathsTimeS!HeadRow,ROW()-ROW(DeathsTimeS!HeadRow),0,1,COLUMNS(DeathsTimeS!HeadRow)),1,MATCH(LS$5,DeathsTimeS!HeadRow,0))/LS$8</f>
        <v>21.119324181626187</v>
      </c>
      <c r="LT94" s="278">
        <f ca="1">$A94 - DeathsTimeS!Iran100dt</f>
        <v>41</v>
      </c>
      <c r="LU94" s="20">
        <f ca="1">INDEX(OFFSET(DeathsTimeS!HeadRow,ROW()-ROW(DeathsTimeS!HeadRow),0,1,COLUMNS(DeathsTimeS!HeadRow)),1,MATCH(LU$5,DeathsTimeS!HeadRow,0))/LU$8</f>
        <v>559.01065975911092</v>
      </c>
      <c r="LV94" s="278">
        <f ca="1">$A94 - DeathsTimeS!Japan100dt</f>
        <v>0</v>
      </c>
      <c r="LW94" s="20">
        <f ca="1">INDEX(OFFSET(DeathsTimeS!HeadRow,ROW()-ROW(DeathsTimeS!HeadRow),0,1,COLUMNS(DeathsTimeS!HeadRow)),1,MATCH(LW$5,DeathsTimeS!HeadRow,0))/LW$8</f>
        <v>11.299506188664473</v>
      </c>
      <c r="LX94" s="278">
        <f ca="1">$A94 - DeathsTimeS!Queensland100dt</f>
        <v>-4</v>
      </c>
      <c r="LY94" s="20">
        <f ca="1">INDEX(OFFSET(DeathsTimeS!HeadRow,ROW()-ROW(DeathsTimeS!HeadRow),0,1,COLUMNS(DeathsTimeS!HeadRow)),1,MATCH(LY$5,DeathsTimeS!HeadRow,0))/LY$8</f>
        <v>9.7743092446785251</v>
      </c>
      <c r="LZ94" s="278">
        <f ca="1">$A94 - DeathsTimeS!Tasmania100dt</f>
        <v>14</v>
      </c>
      <c r="MA94" s="20">
        <f ca="1">INDEX(OFFSET(DeathsTimeS!HeadRow,ROW()-ROW(DeathsTimeS!HeadRow),0,1,COLUMNS(DeathsTimeS!HeadRow)),1,MATCH(MA$5,DeathsTimeS!HeadRow,0))/MA$8</f>
        <v>116.50485436893204</v>
      </c>
      <c r="MB94" s="278">
        <f ca="1">$A94 - DeathsTimeS!SouthAustralia100dt</f>
        <v>6</v>
      </c>
      <c r="MC94" s="20">
        <f ca="1">INDEX(OFFSET(DeathsTimeS!HeadRow,ROW()-ROW(DeathsTimeS!HeadRow),0,1,COLUMNS(DeathsTimeS!HeadRow)),1,MATCH(MC$5,DeathsTimeS!HeadRow,0))/MC$8</f>
        <v>23.95209580838323</v>
      </c>
      <c r="MD94" s="278">
        <f ca="1">$A94 - DeathsTimeS!WesternAustralia100dt</f>
        <v>9</v>
      </c>
      <c r="ME94" s="20">
        <f ca="1">INDEX(OFFSET(DeathsTimeS!HeadRow,ROW()-ROW(DeathsTimeS!HeadRow),0,1,COLUMNS(DeathsTimeS!HeadRow)),1,MATCH(ME$5,DeathsTimeS!HeadRow,0))/ME$8</f>
        <v>23.174971031286209</v>
      </c>
      <c r="MF94" s="278">
        <f ca="1">$A94 - DeathsTimeS!NewSouthWales100dt</f>
        <v>13</v>
      </c>
      <c r="MG94" s="20">
        <f ca="1">INDEX(OFFSET(DeathsTimeS!HeadRow,ROW()-ROW(DeathsTimeS!HeadRow),0,1,COLUMNS(DeathsTimeS!HeadRow)),1,MATCH(MG$5,DeathsTimeS!HeadRow,0))/MG$8</f>
        <v>30.940594059405939</v>
      </c>
      <c r="MH94" s="278">
        <f ca="1">$A94 - DeathsTimeS!NewYork100dt</f>
        <v>29</v>
      </c>
      <c r="MI94" s="20">
        <f ca="1">INDEX(OFFSET(DeathsTimeS!HeadRow,ROW()-ROW(DeathsTimeS!HeadRow),0,1,COLUMNS(DeathsTimeS!HeadRow)),1,MATCH(MI$5,DeathsTimeS!HeadRow,0))/MI$8</f>
        <v>6458.8445985737726</v>
      </c>
      <c r="MJ94" s="278">
        <f ca="1">$A94 - DeathsTimeS!Italy100dt</f>
        <v>42</v>
      </c>
      <c r="MK94" s="20">
        <f ca="1">INDEX(OFFSET(DeathsTimeS!HeadRow,ROW()-ROW(DeathsTimeS!HeadRow),0,1,COLUMNS(DeathsTimeS!HeadRow)),1,MATCH(MK$5,DeathsTimeS!HeadRow,0))/MK$8</f>
        <v>3483.0123171034143</v>
      </c>
      <c r="ML94" s="278">
        <f ca="1">$A94 - DeathsTimeS!AustralianCapitalTerritory100dt</f>
        <v>15</v>
      </c>
      <c r="MM94" s="20">
        <f ca="1">INDEX(OFFSET(DeathsTimeS!HeadRow,ROW()-ROW(DeathsTimeS!HeadRow),0,1,COLUMNS(DeathsTimeS!HeadRow)),1,MATCH(MM$5,DeathsTimeS!HeadRow,0))/MM$8</f>
        <v>46.722422090361171</v>
      </c>
      <c r="MN94" s="278">
        <f ca="1">IF(DeathsTimeS!NorthernTerritory100dt&gt;0,$A94 - DeathsTimeS!NorthernTerritory100dt,"")</f>
        <v>-13</v>
      </c>
      <c r="MO94" s="20">
        <f ca="1">INDEX(OFFSET(DeathsTimeS!HeadRow,ROW()-ROW(DeathsTimeS!HeadRow),0,1,COLUMNS(DeathsTimeS!HeadRow)),1,MATCH(MO$5,DeathsTimeS!HeadRow,0))/MO$8</f>
        <v>0</v>
      </c>
      <c r="MP94" s="278">
        <f ca="1">$A94 - DeathsTimeS!SouthAfrica100dt + 1</f>
        <v>-5</v>
      </c>
      <c r="MQ94" s="20">
        <f ca="1">INDEX(OFFSET(DeathsTimeS!HeadRow,ROW()-ROW(DeathsTimeS!HeadRow),0,1,COLUMNS(DeathsTimeS!HeadRow)),1,MATCH(MQ$5,DeathsTimeS!HeadRow,0))/MQ$8</f>
        <v>4.6728971962616823</v>
      </c>
      <c r="MR94" s="278">
        <f ca="1">$A94 - DeathsTimeS!Germany100dt + 1</f>
        <v>25</v>
      </c>
      <c r="MS94" s="20">
        <f ca="1">INDEX(OFFSET(DeathsTimeS!HeadRow,ROW()-ROW(DeathsTimeS!HeadRow),0,1,COLUMNS(DeathsTimeS!HeadRow)),1,MATCH(MS$5,DeathsTimeS!HeadRow,0))/MS$8</f>
        <v>396.77186220187906</v>
      </c>
      <c r="MT94" s="278">
        <f ca="1">$A94 - DeathsTimeS!Ireland100dt + 1</f>
        <v>23</v>
      </c>
      <c r="MU94" s="73">
        <f ca="1">INDEX(OFFSET(DeathsTimeS!HeadRow,ROW()-ROW(DeathsTimeS!HeadRow),0,1,COLUMNS(DeathsTimeS!HeadRow)),1,MATCH(MU$5,DeathsTimeS!HeadRow,0))/MU$8</f>
        <v>828.57142857142856</v>
      </c>
      <c r="MV94" s="278">
        <f ca="1">$A94 - DeathsTimeS!UnitedKingdom100dt + 1</f>
        <v>29</v>
      </c>
      <c r="MW94" s="73">
        <f ca="1">INDEX(OFFSET(DeathsTimeS!HeadRow,ROW()-ROW(DeathsTimeS!HeadRow),0,1,COLUMNS(DeathsTimeS!HeadRow)),1,MATCH(MW$5,DeathsTimeS!HeadRow,0))/MW$8</f>
        <v>2118.1517158338352</v>
      </c>
      <c r="MX94" s="278">
        <f ca="1">$A94 - DeathsTimeS!Denmark100dt + 1</f>
        <v>27</v>
      </c>
      <c r="MY94" s="73">
        <f ca="1">INDEX(OFFSET(DeathsTimeS!HeadRow,ROW()-ROW(DeathsTimeS!HeadRow),0,1,COLUMNS(DeathsTimeS!HeadRow)),1,MATCH(MY$5,DeathsTimeS!HeadRow,0))/MY$8</f>
        <v>514.98449879435066</v>
      </c>
      <c r="MZ94" s="278">
        <f ca="1">$A94 - DeathsTimeS!US100dt + 1</f>
        <v>26</v>
      </c>
      <c r="NA94" s="73">
        <f ca="1">INDEX(OFFSET(DeathsTimeS!HeadRow,ROW()-ROW(DeathsTimeS!HeadRow),0,1,COLUMNS(DeathsTimeS!HeadRow)),1,MATCH(NA$5,DeathsTimeS!HeadRow,0))/NA$8</f>
        <v>919.18133777218168</v>
      </c>
      <c r="NB94" s="278">
        <f ca="1">$A94 - DeathsTimeS!AustraliaSum100dt + 1</f>
        <v>20</v>
      </c>
      <c r="NC94" s="366">
        <f t="shared" si="7"/>
        <v>62</v>
      </c>
      <c r="ND94" s="278">
        <f ca="1">$A94 - DeathsTimeS!Taiwan100dt + 1</f>
        <v>-12</v>
      </c>
      <c r="NE94" s="366">
        <f ca="1">INDEX(OFFSET(DeathsTimeS!HeadRow,ROW()-ROW(DeathsTimeS!HeadRow),0,1,COLUMNS(DeathsTimeS!HeadRow)),1,MATCH(NE$5,DeathsTimeS!HeadRow,0))/NE$8</f>
        <v>2.5202372954627914</v>
      </c>
      <c r="NF94" s="278">
        <f ca="1">$A94 - DeathsTimeS!Hubei100dt + 1</f>
        <v>79</v>
      </c>
      <c r="NG94" s="366">
        <f ca="1">INDEX(OFFSET(DeathsTimeS!HeadRow,ROW()-ROW(DeathsTimeS!HeadRow),0,1,COLUMNS(DeathsTimeS!HeadRow)),1,MATCH(NG$5,DeathsTimeS!HeadRow,0))/NG$8</f>
        <v>550.59829059829065</v>
      </c>
      <c r="NH94" s="278">
        <f ca="1">$A94 - DeathsTimeS!HongKong100dt + 1</f>
        <v>-12</v>
      </c>
      <c r="NI94" s="366">
        <f ca="1">INDEX(OFFSET(DeathsTimeS!HeadRow,ROW()-ROW(DeathsTimeS!HeadRow),0,1,COLUMNS(DeathsTimeS!HeadRow)),1,MATCH(NI$5,DeathsTimeS!HeadRow,0))/NI$8</f>
        <v>5.3684069252449333</v>
      </c>
    </row>
    <row r="95" spans="1:373" x14ac:dyDescent="0.25">
      <c r="A95" s="156">
        <v>43936</v>
      </c>
      <c r="B95" s="25">
        <v>25</v>
      </c>
      <c r="C95" s="25">
        <v>25</v>
      </c>
      <c r="D95" s="25">
        <v>336</v>
      </c>
      <c r="E95" s="25">
        <v>33</v>
      </c>
      <c r="F95" s="25">
        <v>2</v>
      </c>
      <c r="G95" s="25">
        <v>2</v>
      </c>
      <c r="H95" s="25">
        <v>111</v>
      </c>
      <c r="I95" s="25">
        <v>17</v>
      </c>
      <c r="J95" s="25">
        <v>3</v>
      </c>
      <c r="K95" s="25">
        <v>25</v>
      </c>
      <c r="L95" s="25">
        <v>0</v>
      </c>
      <c r="M95" s="25">
        <v>5</v>
      </c>
      <c r="N95" s="25">
        <v>4</v>
      </c>
      <c r="O95" s="25">
        <v>6</v>
      </c>
      <c r="P95" s="25">
        <v>14</v>
      </c>
      <c r="Q95" s="25">
        <v>6</v>
      </c>
      <c r="R95" s="25">
        <v>393</v>
      </c>
      <c r="S95" s="25">
        <v>13</v>
      </c>
      <c r="T95" s="25">
        <v>8</v>
      </c>
      <c r="U95" s="25">
        <v>7</v>
      </c>
      <c r="V95" s="25">
        <v>50</v>
      </c>
      <c r="W95" s="25">
        <v>5</v>
      </c>
      <c r="X95" s="25">
        <v>36</v>
      </c>
      <c r="Y95" s="25">
        <v>4440</v>
      </c>
      <c r="Z95" s="25">
        <v>1</v>
      </c>
      <c r="AA95" s="25">
        <v>0</v>
      </c>
      <c r="AB95" s="25">
        <v>28</v>
      </c>
      <c r="AC95" s="25">
        <v>41</v>
      </c>
      <c r="AD95" s="25">
        <v>1736</v>
      </c>
      <c r="AE95" s="25">
        <v>1</v>
      </c>
      <c r="AF95" s="25">
        <v>36</v>
      </c>
      <c r="AG95" s="25">
        <v>32</v>
      </c>
      <c r="AH95" s="25">
        <v>1</v>
      </c>
      <c r="AI95" s="25">
        <v>0</v>
      </c>
      <c r="AJ95" s="25">
        <v>17</v>
      </c>
      <c r="AK95" s="25">
        <v>48</v>
      </c>
      <c r="AL95" s="25">
        <v>72</v>
      </c>
      <c r="AM95" s="25">
        <v>0</v>
      </c>
      <c r="AN95" s="25">
        <v>5</v>
      </c>
      <c r="AO95" s="25">
        <v>0</v>
      </c>
      <c r="AP95" s="25">
        <v>3</v>
      </c>
      <c r="AQ95" s="25">
        <v>3</v>
      </c>
      <c r="AR95" s="25">
        <v>385</v>
      </c>
      <c r="AS95" s="25">
        <v>0</v>
      </c>
      <c r="AT95" s="25">
        <v>487</v>
      </c>
      <c r="AU95" s="25">
        <v>4</v>
      </c>
      <c r="AV95" s="25">
        <v>0</v>
      </c>
      <c r="AW95" s="25">
        <v>0</v>
      </c>
      <c r="AX95" s="25">
        <v>94</v>
      </c>
      <c r="AY95" s="25">
        <v>6</v>
      </c>
      <c r="AZ95" s="25">
        <v>8</v>
      </c>
      <c r="BA95" s="25">
        <v>6</v>
      </c>
      <c r="BB95" s="25">
        <v>1</v>
      </c>
      <c r="BC95" s="25">
        <v>2</v>
      </c>
      <c r="BD95" s="25">
        <v>8</v>
      </c>
      <c r="BE95" s="25">
        <v>2</v>
      </c>
      <c r="BF95" s="25">
        <v>2</v>
      </c>
      <c r="BG95" s="25">
        <v>6</v>
      </c>
      <c r="BH95" s="25">
        <v>6</v>
      </c>
      <c r="BI95" s="25">
        <v>13</v>
      </c>
      <c r="BJ95" s="25">
        <v>22</v>
      </c>
      <c r="BK95" s="25">
        <v>4</v>
      </c>
      <c r="BL95" s="25">
        <v>3222</v>
      </c>
      <c r="BM95" s="25">
        <v>4</v>
      </c>
      <c r="BN95" s="25">
        <v>1</v>
      </c>
      <c r="BO95" s="25">
        <v>0</v>
      </c>
      <c r="BP95" s="25">
        <v>1</v>
      </c>
      <c r="BQ95" s="25">
        <v>1</v>
      </c>
      <c r="BR95" s="25">
        <v>2</v>
      </c>
      <c r="BS95" s="25">
        <v>0</v>
      </c>
      <c r="BT95" s="25">
        <v>0</v>
      </c>
      <c r="BU95" s="25">
        <v>0</v>
      </c>
      <c r="BV95" s="25">
        <v>3</v>
      </c>
      <c r="BW95" s="25">
        <v>7</v>
      </c>
      <c r="BX95" s="25">
        <v>7</v>
      </c>
      <c r="BY95" s="25">
        <v>0</v>
      </c>
      <c r="BZ95" s="25">
        <v>3</v>
      </c>
      <c r="CA95" s="25">
        <v>3</v>
      </c>
      <c r="CB95" s="25">
        <v>0</v>
      </c>
      <c r="CC95" s="25">
        <v>3</v>
      </c>
      <c r="CD95" s="25">
        <v>2</v>
      </c>
      <c r="CE95" s="25">
        <v>1</v>
      </c>
      <c r="CF95" s="25">
        <v>131</v>
      </c>
      <c r="CG95" s="25">
        <v>5</v>
      </c>
      <c r="CH95" s="25">
        <v>21</v>
      </c>
      <c r="CI95" s="25">
        <v>4</v>
      </c>
      <c r="CJ95" s="25">
        <v>6</v>
      </c>
      <c r="CK95" s="25">
        <v>33</v>
      </c>
      <c r="CL95" s="25">
        <v>12</v>
      </c>
      <c r="CM95" s="25">
        <v>24</v>
      </c>
      <c r="CN95" s="25">
        <v>12</v>
      </c>
      <c r="CO95" s="25">
        <v>166</v>
      </c>
      <c r="CP95" s="25">
        <v>0</v>
      </c>
      <c r="CQ95" s="25">
        <v>0</v>
      </c>
      <c r="CR95" s="25">
        <v>309</v>
      </c>
      <c r="CS95" s="25">
        <v>2</v>
      </c>
      <c r="CT95" s="25">
        <v>189</v>
      </c>
      <c r="CU95" s="25">
        <v>388</v>
      </c>
      <c r="CV95" s="25">
        <v>183</v>
      </c>
      <c r="CW95" s="25">
        <v>6</v>
      </c>
      <c r="CX95" s="25">
        <v>0</v>
      </c>
      <c r="CY95" s="25">
        <v>0</v>
      </c>
      <c r="CZ95" s="25">
        <v>35</v>
      </c>
      <c r="DA95" s="25">
        <v>0</v>
      </c>
      <c r="DB95" s="25">
        <v>3</v>
      </c>
      <c r="DC95" s="25">
        <v>0</v>
      </c>
      <c r="DD95" s="25">
        <v>72</v>
      </c>
      <c r="DE95" s="25">
        <v>0</v>
      </c>
      <c r="DF95" s="25">
        <v>0</v>
      </c>
      <c r="DG95" s="25">
        <v>8</v>
      </c>
      <c r="DH95" s="25">
        <v>3</v>
      </c>
      <c r="DI95" s="25">
        <v>0</v>
      </c>
      <c r="DJ95" s="25">
        <v>0</v>
      </c>
      <c r="DK95" s="25">
        <v>0</v>
      </c>
      <c r="DL95" s="25">
        <v>2</v>
      </c>
      <c r="DM95" s="25">
        <v>8</v>
      </c>
      <c r="DN95" s="25">
        <v>17148</v>
      </c>
      <c r="DO95" s="25">
        <v>1</v>
      </c>
      <c r="DP95" s="25">
        <v>1</v>
      </c>
      <c r="DQ95" s="25">
        <v>3</v>
      </c>
      <c r="DR95" s="25">
        <v>3804</v>
      </c>
      <c r="DS95" s="25">
        <v>8</v>
      </c>
      <c r="DT95" s="25">
        <v>102</v>
      </c>
      <c r="DU95" s="25">
        <v>5</v>
      </c>
      <c r="DV95" s="25">
        <v>1</v>
      </c>
      <c r="DW95" s="25">
        <v>6</v>
      </c>
      <c r="DX95" s="25">
        <v>3</v>
      </c>
      <c r="DY95" s="25">
        <v>0</v>
      </c>
      <c r="DZ95" s="25">
        <v>31</v>
      </c>
      <c r="EA95" s="25">
        <v>134</v>
      </c>
      <c r="EB95" s="25">
        <v>8</v>
      </c>
      <c r="EC95" s="25">
        <v>405</v>
      </c>
      <c r="ED95" s="25">
        <v>469</v>
      </c>
      <c r="EE95" s="25">
        <v>4777</v>
      </c>
      <c r="EF95" s="25">
        <v>79</v>
      </c>
      <c r="EG95" s="25">
        <v>444</v>
      </c>
      <c r="EH95" s="25">
        <v>130</v>
      </c>
      <c r="EI95" s="25">
        <v>21645</v>
      </c>
      <c r="EJ95" s="25">
        <v>5</v>
      </c>
      <c r="EK95" s="25">
        <v>146</v>
      </c>
      <c r="EL95" s="25">
        <v>7</v>
      </c>
      <c r="EM95" s="25">
        <v>16</v>
      </c>
      <c r="EN95" s="25">
        <v>10</v>
      </c>
      <c r="EO95" s="25">
        <v>225</v>
      </c>
      <c r="EP95" s="25">
        <v>3</v>
      </c>
      <c r="EQ95" s="25">
        <v>5</v>
      </c>
      <c r="ER95" s="25">
        <v>5</v>
      </c>
      <c r="ES95" s="25">
        <v>21</v>
      </c>
      <c r="ET95" s="25">
        <v>6</v>
      </c>
      <c r="EU95" s="25">
        <v>1</v>
      </c>
      <c r="EV95" s="25">
        <v>30</v>
      </c>
      <c r="EW95" s="25">
        <v>69</v>
      </c>
      <c r="EX95" s="25">
        <v>0</v>
      </c>
      <c r="EY95" s="25">
        <v>83</v>
      </c>
      <c r="EZ95" s="25">
        <v>0</v>
      </c>
      <c r="FA95" s="25">
        <v>3</v>
      </c>
      <c r="FB95" s="25">
        <v>1</v>
      </c>
      <c r="FC95" s="25">
        <v>9</v>
      </c>
      <c r="FD95" s="25">
        <v>449</v>
      </c>
      <c r="FE95" s="25">
        <v>46</v>
      </c>
      <c r="FF95" s="25">
        <v>3</v>
      </c>
      <c r="FG95" s="25">
        <v>0</v>
      </c>
      <c r="FH95" s="25">
        <v>4</v>
      </c>
      <c r="FI95" s="25">
        <v>127</v>
      </c>
      <c r="FJ95" s="25">
        <v>0</v>
      </c>
      <c r="FK95" s="25">
        <v>0</v>
      </c>
      <c r="FL95" s="25">
        <v>1</v>
      </c>
      <c r="FM95" s="25">
        <v>1</v>
      </c>
      <c r="FN95" s="25">
        <v>9</v>
      </c>
      <c r="FO95" s="25">
        <v>3134</v>
      </c>
      <c r="FP95" s="25">
        <v>9</v>
      </c>
      <c r="FQ95" s="25">
        <v>1</v>
      </c>
      <c r="FR95" s="25">
        <v>14</v>
      </c>
      <c r="FS95" s="25">
        <v>12</v>
      </c>
      <c r="FT95" s="25">
        <v>45</v>
      </c>
      <c r="FU95" s="25">
        <v>150</v>
      </c>
      <c r="FV95" s="25">
        <v>4</v>
      </c>
      <c r="FW95" s="25">
        <v>111</v>
      </c>
      <c r="FX95" s="25">
        <v>95</v>
      </c>
      <c r="FY95" s="25">
        <v>0</v>
      </c>
      <c r="FZ95" s="25">
        <v>8</v>
      </c>
      <c r="GA95" s="25">
        <v>254</v>
      </c>
      <c r="GB95" s="25">
        <v>349</v>
      </c>
      <c r="GC95" s="25">
        <v>286</v>
      </c>
      <c r="GD95" s="25">
        <v>599</v>
      </c>
      <c r="GE95" s="25">
        <v>7</v>
      </c>
      <c r="GF95" s="25">
        <v>372</v>
      </c>
      <c r="GG95" s="25">
        <v>198</v>
      </c>
      <c r="GH95" s="25">
        <v>0</v>
      </c>
      <c r="GI95" s="25">
        <v>0</v>
      </c>
      <c r="GJ95" s="25">
        <v>0</v>
      </c>
      <c r="GK95" s="25">
        <v>36</v>
      </c>
      <c r="GL95" s="25">
        <v>79</v>
      </c>
      <c r="GM95" s="25">
        <v>2</v>
      </c>
      <c r="GN95" s="25">
        <v>99</v>
      </c>
      <c r="GO95" s="25">
        <v>0</v>
      </c>
      <c r="GP95" s="25">
        <v>10</v>
      </c>
      <c r="GQ95" s="25">
        <v>6</v>
      </c>
      <c r="GR95" s="25">
        <v>61</v>
      </c>
      <c r="GS95" s="25">
        <v>5</v>
      </c>
      <c r="GT95" s="25">
        <v>34</v>
      </c>
      <c r="GU95" s="25">
        <v>18708</v>
      </c>
      <c r="GV95" s="25">
        <v>7</v>
      </c>
      <c r="GW95" s="25">
        <v>5</v>
      </c>
      <c r="GX95" s="25">
        <v>1</v>
      </c>
      <c r="GY95" s="46">
        <v>1203</v>
      </c>
      <c r="GZ95" s="25">
        <v>1239</v>
      </c>
      <c r="HA95" s="25">
        <v>6</v>
      </c>
      <c r="HB95" s="25">
        <v>4</v>
      </c>
      <c r="HC95" s="25">
        <v>43</v>
      </c>
      <c r="HD95" s="25">
        <v>3</v>
      </c>
      <c r="HE95" s="25">
        <v>8</v>
      </c>
      <c r="HF95" s="25">
        <v>35</v>
      </c>
      <c r="HG95" s="25">
        <v>1518</v>
      </c>
      <c r="HH95" s="25">
        <v>0</v>
      </c>
      <c r="HI95" s="25">
        <v>108</v>
      </c>
      <c r="HJ95" s="25">
        <v>33</v>
      </c>
      <c r="HK95" s="25">
        <v>5</v>
      </c>
      <c r="HL95" s="25">
        <v>1</v>
      </c>
      <c r="HM95" s="25">
        <v>15</v>
      </c>
      <c r="HN95" s="25">
        <v>0</v>
      </c>
      <c r="HO95" s="25">
        <v>4</v>
      </c>
      <c r="HP95" s="25">
        <v>0</v>
      </c>
      <c r="HQ95" s="25">
        <v>14915</v>
      </c>
      <c r="HR95" s="25">
        <v>8</v>
      </c>
      <c r="HS95" s="25">
        <v>32734</v>
      </c>
      <c r="HT95" s="25">
        <v>4</v>
      </c>
      <c r="HU95" s="25">
        <v>9</v>
      </c>
      <c r="HV95" s="25">
        <v>0</v>
      </c>
      <c r="HW95" s="25">
        <v>2</v>
      </c>
      <c r="HX95" s="25">
        <v>3</v>
      </c>
      <c r="HY95" s="25">
        <v>1</v>
      </c>
      <c r="HZ95" s="25">
        <v>0</v>
      </c>
      <c r="IA95" s="25">
        <v>0</v>
      </c>
      <c r="IB95" s="25">
        <v>0</v>
      </c>
      <c r="IC95" s="25">
        <v>2</v>
      </c>
      <c r="ID95" s="25">
        <v>0</v>
      </c>
      <c r="IE95" s="25">
        <v>2</v>
      </c>
      <c r="IF95" s="25">
        <v>0</v>
      </c>
      <c r="IG95" s="25">
        <v>0</v>
      </c>
      <c r="IH95" s="25">
        <v>1</v>
      </c>
      <c r="II95" s="25">
        <v>2</v>
      </c>
      <c r="IJ95" s="25">
        <v>0</v>
      </c>
      <c r="IK95" s="25">
        <v>13</v>
      </c>
      <c r="IL95" s="25">
        <v>0</v>
      </c>
      <c r="IM95" s="25">
        <v>0</v>
      </c>
      <c r="IN95" s="25">
        <v>0</v>
      </c>
      <c r="IO95" s="25">
        <v>8</v>
      </c>
      <c r="IP95" s="25">
        <v>4</v>
      </c>
      <c r="IQ95" s="25">
        <v>0</v>
      </c>
      <c r="IR95" s="25">
        <v>0</v>
      </c>
      <c r="IS95" s="25">
        <v>1</v>
      </c>
      <c r="IT95" s="25">
        <v>2</v>
      </c>
      <c r="IU95" s="25">
        <v>1</v>
      </c>
      <c r="IV95" s="25">
        <v>1</v>
      </c>
      <c r="IW95" s="25">
        <v>0</v>
      </c>
      <c r="IX95" s="25">
        <v>0</v>
      </c>
      <c r="IY95" s="25">
        <v>2</v>
      </c>
      <c r="IZ95" s="25">
        <v>0</v>
      </c>
      <c r="JA95" s="25">
        <v>0</v>
      </c>
      <c r="JB95" s="25">
        <v>0</v>
      </c>
      <c r="JC95" s="25">
        <v>0</v>
      </c>
      <c r="JD95" s="25">
        <v>0</v>
      </c>
      <c r="JE95" s="25">
        <v>0</v>
      </c>
      <c r="JF95" s="25">
        <v>0</v>
      </c>
      <c r="JG95" s="25">
        <v>0</v>
      </c>
      <c r="JH95" s="25">
        <v>0</v>
      </c>
      <c r="JI95" s="25">
        <v>5</v>
      </c>
      <c r="JJ95" s="25">
        <v>2</v>
      </c>
      <c r="JK95" s="25">
        <v>51</v>
      </c>
      <c r="JL95" s="25">
        <v>1</v>
      </c>
      <c r="JM95" s="25">
        <v>118</v>
      </c>
      <c r="JN95" s="25">
        <v>9</v>
      </c>
      <c r="JO95" s="25">
        <v>155</v>
      </c>
      <c r="JP95" s="25">
        <v>33</v>
      </c>
      <c r="JQ95" s="25">
        <v>860</v>
      </c>
      <c r="JR95" s="25">
        <v>328</v>
      </c>
      <c r="JS95" s="25">
        <v>868</v>
      </c>
      <c r="JT95" s="25">
        <v>46</v>
      </c>
      <c r="JU95" s="25">
        <v>72</v>
      </c>
      <c r="JV95" s="25">
        <v>596</v>
      </c>
      <c r="JW95" s="25">
        <v>552</v>
      </c>
      <c r="JX95" s="25">
        <v>9</v>
      </c>
      <c r="JY95" s="25">
        <v>39</v>
      </c>
      <c r="JZ95" s="25">
        <v>949</v>
      </c>
      <c r="KA95" s="25">
        <v>436</v>
      </c>
      <c r="KB95" s="25">
        <v>53</v>
      </c>
      <c r="KC95" s="25">
        <v>71</v>
      </c>
      <c r="KD95" s="25">
        <v>115</v>
      </c>
      <c r="KE95" s="25">
        <v>1103</v>
      </c>
      <c r="KF95" s="25">
        <v>24</v>
      </c>
      <c r="KG95" s="25">
        <v>311</v>
      </c>
      <c r="KH95" s="25">
        <v>1108</v>
      </c>
      <c r="KI95" s="25">
        <v>1921</v>
      </c>
      <c r="KJ95" s="25">
        <v>87</v>
      </c>
      <c r="KK95" s="25">
        <v>122</v>
      </c>
      <c r="KL95" s="25">
        <v>153</v>
      </c>
      <c r="KM95" s="25">
        <v>7</v>
      </c>
      <c r="KN95" s="25">
        <v>20</v>
      </c>
      <c r="KO95" s="25">
        <v>131</v>
      </c>
      <c r="KP95" s="25">
        <v>32</v>
      </c>
      <c r="KQ95" s="25">
        <v>3156</v>
      </c>
      <c r="KR95" s="25">
        <v>36</v>
      </c>
      <c r="KS95" s="25">
        <v>16013</v>
      </c>
      <c r="KT95" s="25">
        <v>130</v>
      </c>
      <c r="KU95" s="25">
        <v>9</v>
      </c>
      <c r="KV95" s="25">
        <v>362</v>
      </c>
      <c r="KW95" s="25">
        <v>123</v>
      </c>
      <c r="KX95" s="25">
        <v>58</v>
      </c>
      <c r="KY95" s="25">
        <v>779</v>
      </c>
      <c r="KZ95" s="25">
        <v>80</v>
      </c>
      <c r="LA95" s="25">
        <v>106</v>
      </c>
      <c r="LB95" s="25">
        <v>6</v>
      </c>
      <c r="LC95" s="25">
        <v>124</v>
      </c>
      <c r="LD95" s="25">
        <v>375</v>
      </c>
      <c r="LE95" s="25">
        <v>20</v>
      </c>
      <c r="LF95" s="25">
        <v>29</v>
      </c>
      <c r="LG95" s="25">
        <v>195</v>
      </c>
      <c r="LH95" s="25">
        <v>552</v>
      </c>
      <c r="LI95" s="25">
        <v>10</v>
      </c>
      <c r="LJ95" s="25">
        <v>183</v>
      </c>
      <c r="LK95" s="25">
        <v>1</v>
      </c>
      <c r="LL95" s="25">
        <v>0</v>
      </c>
      <c r="LM95" s="25">
        <v>0</v>
      </c>
      <c r="LN95" s="278">
        <f ca="1">$A95 - DeathsTimeS!Sweden100dt + 1</f>
        <v>28</v>
      </c>
      <c r="LO95" s="366">
        <f ca="1">INDEX(OFFSET(DeathsTimeS!HeadRow,ROW()-ROW(DeathsTimeS!HeadRow),0,1,COLUMNS(DeathsTimeS!HeadRow)),1,MATCH(LO$5,DeathsTimeS!HeadRow,0))/LO$8</f>
        <v>1175.9530791788857</v>
      </c>
      <c r="LP95" s="278">
        <f ca="1">$A95 - DeathsTimeS!Spain100dt</f>
        <v>35</v>
      </c>
      <c r="LQ95" s="20">
        <f ca="1">INDEX(OFFSET(DeathsTimeS!HeadRow,ROW()-ROW(DeathsTimeS!HeadRow),0,1,COLUMNS(DeathsTimeS!HeadRow)),1,MATCH(LQ$5,DeathsTimeS!HeadRow,0))/LQ$8</f>
        <v>3985.5134213890074</v>
      </c>
      <c r="LR95" s="278">
        <f ca="1">$A95 - DeathsTimeS!Victoria100dt</f>
        <v>12</v>
      </c>
      <c r="LS95" s="20">
        <f ca="1">INDEX(OFFSET(DeathsTimeS!HeadRow,ROW()-ROW(DeathsTimeS!HeadRow),0,1,COLUMNS(DeathsTimeS!HeadRow)),1,MATCH(LS$5,DeathsTimeS!HeadRow,0))/LS$8</f>
        <v>21.119324181626187</v>
      </c>
      <c r="LT95" s="278">
        <f ca="1">$A95 - DeathsTimeS!Iran100dt</f>
        <v>42</v>
      </c>
      <c r="LU95" s="20">
        <f ca="1">INDEX(OFFSET(DeathsTimeS!HeadRow,ROW()-ROW(DeathsTimeS!HeadRow),0,1,COLUMNS(DeathsTimeS!HeadRow)),1,MATCH(LU$5,DeathsTimeS!HeadRow,0))/LU$8</f>
        <v>570.23145882324854</v>
      </c>
      <c r="LV95" s="278">
        <f ca="1">$A95 - DeathsTimeS!Japan100dt</f>
        <v>1</v>
      </c>
      <c r="LW95" s="20">
        <f ca="1">INDEX(OFFSET(DeathsTimeS!HeadRow,ROW()-ROW(DeathsTimeS!HeadRow),0,1,COLUMNS(DeathsTimeS!HeadRow)),1,MATCH(LW$5,DeathsTimeS!HeadRow,0))/LW$8</f>
        <v>11.536558766049042</v>
      </c>
      <c r="LX95" s="278">
        <f ca="1">$A95 - DeathsTimeS!Queensland100dt</f>
        <v>-3</v>
      </c>
      <c r="LY95" s="20">
        <f ca="1">INDEX(OFFSET(DeathsTimeS!HeadRow,ROW()-ROW(DeathsTimeS!HeadRow),0,1,COLUMNS(DeathsTimeS!HeadRow)),1,MATCH(LY$5,DeathsTimeS!HeadRow,0))/LY$8</f>
        <v>9.7743092446785251</v>
      </c>
      <c r="LZ95" s="278">
        <f ca="1">$A95 - DeathsTimeS!Tasmania100dt</f>
        <v>15</v>
      </c>
      <c r="MA95" s="20">
        <f ca="1">INDEX(OFFSET(DeathsTimeS!HeadRow,ROW()-ROW(DeathsTimeS!HeadRow),0,1,COLUMNS(DeathsTimeS!HeadRow)),1,MATCH(MA$5,DeathsTimeS!HeadRow,0))/MA$8</f>
        <v>116.50485436893204</v>
      </c>
      <c r="MB95" s="278">
        <f ca="1">$A95 - DeathsTimeS!SouthAustralia100dt</f>
        <v>7</v>
      </c>
      <c r="MC95" s="20">
        <f ca="1">INDEX(OFFSET(DeathsTimeS!HeadRow,ROW()-ROW(DeathsTimeS!HeadRow),0,1,COLUMNS(DeathsTimeS!HeadRow)),1,MATCH(MC$5,DeathsTimeS!HeadRow,0))/MC$8</f>
        <v>23.95209580838323</v>
      </c>
      <c r="MD95" s="278">
        <f ca="1">$A95 - DeathsTimeS!WesternAustralia100dt</f>
        <v>10</v>
      </c>
      <c r="ME95" s="20">
        <f ca="1">INDEX(OFFSET(DeathsTimeS!HeadRow,ROW()-ROW(DeathsTimeS!HeadRow),0,1,COLUMNS(DeathsTimeS!HeadRow)),1,MATCH(ME$5,DeathsTimeS!HeadRow,0))/ME$8</f>
        <v>23.174971031286209</v>
      </c>
      <c r="MF95" s="278">
        <f ca="1">$A95 - DeathsTimeS!NewSouthWales100dt</f>
        <v>14</v>
      </c>
      <c r="MG95" s="20">
        <f ca="1">INDEX(OFFSET(DeathsTimeS!HeadRow,ROW()-ROW(DeathsTimeS!HeadRow),0,1,COLUMNS(DeathsTimeS!HeadRow)),1,MATCH(MG$5,DeathsTimeS!HeadRow,0))/MG$8</f>
        <v>30.940594059405939</v>
      </c>
      <c r="MH95" s="278">
        <f ca="1">$A95 - DeathsTimeS!NewYork100dt</f>
        <v>30</v>
      </c>
      <c r="MI95" s="20">
        <f ca="1">INDEX(OFFSET(DeathsTimeS!HeadRow,ROW()-ROW(DeathsTimeS!HeadRow),0,1,COLUMNS(DeathsTimeS!HeadRow)),1,MATCH(MI$5,DeathsTimeS!HeadRow,0))/MI$8</f>
        <v>6777.1101865514593</v>
      </c>
      <c r="MJ95" s="278">
        <f ca="1">$A95 - DeathsTimeS!Italy100dt</f>
        <v>43</v>
      </c>
      <c r="MK95" s="20">
        <f ca="1">INDEX(OFFSET(DeathsTimeS!HeadRow,ROW()-ROW(DeathsTimeS!HeadRow),0,1,COLUMNS(DeathsTimeS!HeadRow)),1,MATCH(MK$5,DeathsTimeS!HeadRow,0))/MK$8</f>
        <v>3578.5731999669342</v>
      </c>
      <c r="ML95" s="278">
        <f ca="1">$A95 - DeathsTimeS!AustralianCapitalTerritory100dt</f>
        <v>16</v>
      </c>
      <c r="MM95" s="20">
        <f ca="1">INDEX(OFFSET(DeathsTimeS!HeadRow,ROW()-ROW(DeathsTimeS!HeadRow),0,1,COLUMNS(DeathsTimeS!HeadRow)),1,MATCH(MM$5,DeathsTimeS!HeadRow,0))/MM$8</f>
        <v>70.083633135541746</v>
      </c>
      <c r="MN95" s="278">
        <f ca="1">IF(DeathsTimeS!NorthernTerritory100dt&gt;0,$A95 - DeathsTimeS!NorthernTerritory100dt,"")</f>
        <v>-12</v>
      </c>
      <c r="MO95" s="20">
        <f ca="1">INDEX(OFFSET(DeathsTimeS!HeadRow,ROW()-ROW(DeathsTimeS!HeadRow),0,1,COLUMNS(DeathsTimeS!HeadRow)),1,MATCH(MO$5,DeathsTimeS!HeadRow,0))/MO$8</f>
        <v>0</v>
      </c>
      <c r="MP95" s="278">
        <f ca="1">$A95 - DeathsTimeS!SouthAfrica100dt + 1</f>
        <v>-4</v>
      </c>
      <c r="MQ95" s="20">
        <f ca="1">INDEX(OFFSET(DeathsTimeS!HeadRow,ROW()-ROW(DeathsTimeS!HeadRow),0,1,COLUMNS(DeathsTimeS!HeadRow)),1,MATCH(MQ$5,DeathsTimeS!HeadRow,0))/MQ$8</f>
        <v>5.8843890619591557</v>
      </c>
      <c r="MR95" s="278">
        <f ca="1">$A95 - DeathsTimeS!Germany100dt + 1</f>
        <v>26</v>
      </c>
      <c r="MS95" s="20">
        <f ca="1">INDEX(OFFSET(DeathsTimeS!HeadRow,ROW()-ROW(DeathsTimeS!HeadRow),0,1,COLUMNS(DeathsTimeS!HeadRow)),1,MATCH(MS$5,DeathsTimeS!HeadRow,0))/MS$8</f>
        <v>458.20284268850884</v>
      </c>
      <c r="MT95" s="278">
        <f ca="1">$A95 - DeathsTimeS!Ireland100dt + 1</f>
        <v>24</v>
      </c>
      <c r="MU95" s="73">
        <f ca="1">INDEX(OFFSET(DeathsTimeS!HeadRow,ROW()-ROW(DeathsTimeS!HeadRow),0,1,COLUMNS(DeathsTimeS!HeadRow)),1,MATCH(MU$5,DeathsTimeS!HeadRow,0))/MU$8</f>
        <v>906.12244897959181</v>
      </c>
      <c r="MV95" s="278">
        <f ca="1">$A95 - DeathsTimeS!UnitedKingdom100dt + 1</f>
        <v>30</v>
      </c>
      <c r="MW95" s="73">
        <f ca="1">INDEX(OFFSET(DeathsTimeS!HeadRow,ROW()-ROW(DeathsTimeS!HeadRow),0,1,COLUMNS(DeathsTimeS!HeadRow)),1,MATCH(MW$5,DeathsTimeS!HeadRow,0))/MW$8</f>
        <v>2244.8826008428655</v>
      </c>
      <c r="MX95" s="278">
        <f ca="1">$A95 - DeathsTimeS!Denmark100dt + 1</f>
        <v>28</v>
      </c>
      <c r="MY95" s="73">
        <f ca="1">INDEX(OFFSET(DeathsTimeS!HeadRow,ROW()-ROW(DeathsTimeS!HeadRow),0,1,COLUMNS(DeathsTimeS!HeadRow)),1,MATCH(MY$5,DeathsTimeS!HeadRow,0))/MY$8</f>
        <v>532.20806062693759</v>
      </c>
      <c r="MZ95" s="278">
        <f ca="1">$A95 - DeathsTimeS!US100dt + 1</f>
        <v>27</v>
      </c>
      <c r="NA95" s="73">
        <f ca="1">INDEX(OFFSET(DeathsTimeS!HeadRow,ROW()-ROW(DeathsTimeS!HeadRow),0,1,COLUMNS(DeathsTimeS!HeadRow)),1,MATCH(NA$5,DeathsTimeS!HeadRow,0))/NA$8</f>
        <v>994.26613940369418</v>
      </c>
      <c r="NB95" s="278">
        <f ca="1">$A95 - DeathsTimeS!AustraliaSum100dt + 1</f>
        <v>21</v>
      </c>
      <c r="NC95" s="366">
        <f t="shared" si="7"/>
        <v>63</v>
      </c>
      <c r="ND95" s="278">
        <f ca="1">$A95 - DeathsTimeS!Taiwan100dt + 1</f>
        <v>-11</v>
      </c>
      <c r="NE95" s="366">
        <f ca="1">INDEX(OFFSET(DeathsTimeS!HeadRow,ROW()-ROW(DeathsTimeS!HeadRow),0,1,COLUMNS(DeathsTimeS!HeadRow)),1,MATCH(NE$5,DeathsTimeS!HeadRow,0))/NE$8</f>
        <v>2.5202372954627914</v>
      </c>
      <c r="NF95" s="278">
        <f ca="1">$A95 - DeathsTimeS!Hubei100dt + 1</f>
        <v>80</v>
      </c>
      <c r="NG95" s="366">
        <f ca="1">INDEX(OFFSET(DeathsTimeS!HeadRow,ROW()-ROW(DeathsTimeS!HeadRow),0,1,COLUMNS(DeathsTimeS!HeadRow)),1,MATCH(NG$5,DeathsTimeS!HeadRow,0))/NG$8</f>
        <v>550.76923076923083</v>
      </c>
      <c r="NH95" s="278">
        <f ca="1">$A95 - DeathsTimeS!HongKong100dt + 1</f>
        <v>-11</v>
      </c>
      <c r="NI95" s="366">
        <f ca="1">INDEX(OFFSET(DeathsTimeS!HeadRow,ROW()-ROW(DeathsTimeS!HeadRow),0,1,COLUMNS(DeathsTimeS!HeadRow)),1,MATCH(NI$5,DeathsTimeS!HeadRow,0))/NI$8</f>
        <v>5.3684069252449333</v>
      </c>
    </row>
    <row r="96" spans="1:373" x14ac:dyDescent="0.25">
      <c r="A96" s="156">
        <v>43937</v>
      </c>
      <c r="B96" s="25">
        <v>30</v>
      </c>
      <c r="C96" s="25">
        <v>26</v>
      </c>
      <c r="D96" s="25">
        <v>348</v>
      </c>
      <c r="E96" s="25">
        <v>33</v>
      </c>
      <c r="F96" s="25">
        <v>2</v>
      </c>
      <c r="G96" s="25">
        <v>3</v>
      </c>
      <c r="H96" s="25">
        <v>115</v>
      </c>
      <c r="I96" s="25">
        <v>18</v>
      </c>
      <c r="J96" s="25">
        <v>3</v>
      </c>
      <c r="K96" s="25">
        <v>25</v>
      </c>
      <c r="L96" s="25">
        <v>0</v>
      </c>
      <c r="M96" s="25">
        <v>5</v>
      </c>
      <c r="N96" s="25">
        <v>4</v>
      </c>
      <c r="O96" s="25">
        <v>6</v>
      </c>
      <c r="P96" s="25">
        <v>14</v>
      </c>
      <c r="Q96" s="25">
        <v>6</v>
      </c>
      <c r="R96" s="25">
        <v>410</v>
      </c>
      <c r="S96" s="25">
        <v>15</v>
      </c>
      <c r="T96" s="25">
        <v>8</v>
      </c>
      <c r="U96" s="25">
        <v>7</v>
      </c>
      <c r="V96" s="25">
        <v>60</v>
      </c>
      <c r="W96" s="25">
        <v>5</v>
      </c>
      <c r="X96" s="25">
        <v>40</v>
      </c>
      <c r="Y96" s="25">
        <v>4857</v>
      </c>
      <c r="Z96" s="25">
        <v>1</v>
      </c>
      <c r="AA96" s="25">
        <v>0</v>
      </c>
      <c r="AB96" s="25">
        <v>29</v>
      </c>
      <c r="AC96" s="25">
        <v>43</v>
      </c>
      <c r="AD96" s="25">
        <v>1924</v>
      </c>
      <c r="AE96" s="25">
        <v>1</v>
      </c>
      <c r="AF96" s="25">
        <v>38</v>
      </c>
      <c r="AG96" s="25">
        <v>32</v>
      </c>
      <c r="AH96" s="25">
        <v>1</v>
      </c>
      <c r="AI96" s="25">
        <v>0</v>
      </c>
      <c r="AJ96" s="25">
        <v>22</v>
      </c>
      <c r="AK96" s="25">
        <v>48</v>
      </c>
      <c r="AL96" s="25">
        <v>75</v>
      </c>
      <c r="AM96" s="25">
        <v>0</v>
      </c>
      <c r="AN96" s="25">
        <v>5</v>
      </c>
      <c r="AO96" s="25">
        <v>0</v>
      </c>
      <c r="AP96" s="25">
        <v>3</v>
      </c>
      <c r="AQ96" s="25">
        <v>3</v>
      </c>
      <c r="AR96" s="25">
        <v>490</v>
      </c>
      <c r="AS96" s="25">
        <v>0</v>
      </c>
      <c r="AT96" s="25">
        <v>630</v>
      </c>
      <c r="AU96" s="25">
        <v>4</v>
      </c>
      <c r="AV96" s="25">
        <v>0</v>
      </c>
      <c r="AW96" s="25">
        <v>0</v>
      </c>
      <c r="AX96" s="25">
        <v>105</v>
      </c>
      <c r="AY96" s="25">
        <v>6</v>
      </c>
      <c r="AZ96" s="25">
        <v>8</v>
      </c>
      <c r="BA96" s="25">
        <v>6</v>
      </c>
      <c r="BB96" s="25">
        <v>1</v>
      </c>
      <c r="BC96" s="25">
        <v>2</v>
      </c>
      <c r="BD96" s="25">
        <v>8</v>
      </c>
      <c r="BE96" s="25">
        <v>2</v>
      </c>
      <c r="BF96" s="25">
        <v>2</v>
      </c>
      <c r="BG96" s="25">
        <v>6</v>
      </c>
      <c r="BH96" s="25">
        <v>6</v>
      </c>
      <c r="BI96" s="25">
        <v>13</v>
      </c>
      <c r="BJ96" s="25">
        <v>22</v>
      </c>
      <c r="BK96" s="25">
        <v>4</v>
      </c>
      <c r="BL96" s="25">
        <v>3222</v>
      </c>
      <c r="BM96" s="25">
        <v>4</v>
      </c>
      <c r="BN96" s="25">
        <v>1</v>
      </c>
      <c r="BO96" s="25">
        <v>0</v>
      </c>
      <c r="BP96" s="25">
        <v>1</v>
      </c>
      <c r="BQ96" s="25">
        <v>1</v>
      </c>
      <c r="BR96" s="25">
        <v>2</v>
      </c>
      <c r="BS96" s="25">
        <v>0</v>
      </c>
      <c r="BT96" s="25">
        <v>0</v>
      </c>
      <c r="BU96" s="25">
        <v>0</v>
      </c>
      <c r="BV96" s="25">
        <v>3</v>
      </c>
      <c r="BW96" s="25">
        <v>7</v>
      </c>
      <c r="BX96" s="25">
        <v>7</v>
      </c>
      <c r="BY96" s="25">
        <v>0</v>
      </c>
      <c r="BZ96" s="25">
        <v>3</v>
      </c>
      <c r="CA96" s="25">
        <v>3</v>
      </c>
      <c r="CB96" s="25">
        <v>0</v>
      </c>
      <c r="CC96" s="25">
        <v>3</v>
      </c>
      <c r="CD96" s="25">
        <v>2</v>
      </c>
      <c r="CE96" s="25">
        <v>1</v>
      </c>
      <c r="CF96" s="25">
        <v>144</v>
      </c>
      <c r="CG96" s="25">
        <v>5</v>
      </c>
      <c r="CH96" s="25">
        <v>22</v>
      </c>
      <c r="CI96" s="25">
        <v>4</v>
      </c>
      <c r="CJ96" s="25">
        <v>6</v>
      </c>
      <c r="CK96" s="25">
        <v>35</v>
      </c>
      <c r="CL96" s="25">
        <v>12</v>
      </c>
      <c r="CM96" s="25">
        <v>27</v>
      </c>
      <c r="CN96" s="25">
        <v>12</v>
      </c>
      <c r="CO96" s="25">
        <v>169</v>
      </c>
      <c r="CP96" s="25">
        <v>0</v>
      </c>
      <c r="CQ96" s="25">
        <v>0</v>
      </c>
      <c r="CR96" s="25">
        <v>321</v>
      </c>
      <c r="CS96" s="25">
        <v>2</v>
      </c>
      <c r="CT96" s="25">
        <v>196</v>
      </c>
      <c r="CU96" s="25">
        <v>403</v>
      </c>
      <c r="CV96" s="25">
        <v>196</v>
      </c>
      <c r="CW96" s="25">
        <v>6</v>
      </c>
      <c r="CX96" s="25">
        <v>0</v>
      </c>
      <c r="CY96" s="25">
        <v>0</v>
      </c>
      <c r="CZ96" s="25">
        <v>36</v>
      </c>
      <c r="DA96" s="25">
        <v>1</v>
      </c>
      <c r="DB96" s="25">
        <v>3</v>
      </c>
      <c r="DC96" s="25">
        <v>0</v>
      </c>
      <c r="DD96" s="25">
        <v>75</v>
      </c>
      <c r="DE96" s="25">
        <v>0</v>
      </c>
      <c r="DF96" s="25">
        <v>0</v>
      </c>
      <c r="DG96" s="25">
        <v>8</v>
      </c>
      <c r="DH96" s="25">
        <v>3</v>
      </c>
      <c r="DI96" s="25">
        <v>0</v>
      </c>
      <c r="DJ96" s="25">
        <v>0</v>
      </c>
      <c r="DK96" s="25">
        <v>0</v>
      </c>
      <c r="DL96" s="25">
        <v>2</v>
      </c>
      <c r="DM96" s="25">
        <v>8</v>
      </c>
      <c r="DN96" s="25">
        <v>17901</v>
      </c>
      <c r="DO96" s="25">
        <v>1</v>
      </c>
      <c r="DP96" s="25">
        <v>1</v>
      </c>
      <c r="DQ96" s="25">
        <v>3</v>
      </c>
      <c r="DR96" s="25">
        <v>4052</v>
      </c>
      <c r="DS96" s="25">
        <v>8</v>
      </c>
      <c r="DT96" s="25">
        <v>105</v>
      </c>
      <c r="DU96" s="25">
        <v>5</v>
      </c>
      <c r="DV96" s="25">
        <v>1</v>
      </c>
      <c r="DW96" s="25">
        <v>6</v>
      </c>
      <c r="DX96" s="25">
        <v>3</v>
      </c>
      <c r="DY96" s="25">
        <v>0</v>
      </c>
      <c r="DZ96" s="25">
        <v>35</v>
      </c>
      <c r="EA96" s="25">
        <v>142</v>
      </c>
      <c r="EB96" s="25">
        <v>8</v>
      </c>
      <c r="EC96" s="25">
        <v>448</v>
      </c>
      <c r="ED96" s="25">
        <v>496</v>
      </c>
      <c r="EE96" s="25">
        <v>4869</v>
      </c>
      <c r="EF96" s="25">
        <v>80</v>
      </c>
      <c r="EG96" s="25">
        <v>486</v>
      </c>
      <c r="EH96" s="25">
        <v>142</v>
      </c>
      <c r="EI96" s="25">
        <v>22170</v>
      </c>
      <c r="EJ96" s="25">
        <v>5</v>
      </c>
      <c r="EK96" s="25">
        <v>178</v>
      </c>
      <c r="EL96" s="25">
        <v>7</v>
      </c>
      <c r="EM96" s="25">
        <v>17</v>
      </c>
      <c r="EN96" s="25">
        <v>11</v>
      </c>
      <c r="EO96" s="25">
        <v>229</v>
      </c>
      <c r="EP96" s="25">
        <v>3</v>
      </c>
      <c r="EQ96" s="25">
        <v>5</v>
      </c>
      <c r="ER96" s="25">
        <v>5</v>
      </c>
      <c r="ES96" s="25">
        <v>21</v>
      </c>
      <c r="ET96" s="25">
        <v>6</v>
      </c>
      <c r="EU96" s="25">
        <v>1</v>
      </c>
      <c r="EV96" s="25">
        <v>32</v>
      </c>
      <c r="EW96" s="25">
        <v>69</v>
      </c>
      <c r="EX96" s="25">
        <v>0</v>
      </c>
      <c r="EY96" s="25">
        <v>84</v>
      </c>
      <c r="EZ96" s="25">
        <v>0</v>
      </c>
      <c r="FA96" s="25">
        <v>3</v>
      </c>
      <c r="FB96" s="25">
        <v>1</v>
      </c>
      <c r="FC96" s="25">
        <v>9</v>
      </c>
      <c r="FD96" s="25">
        <v>486</v>
      </c>
      <c r="FE96" s="25">
        <v>54</v>
      </c>
      <c r="FF96" s="25">
        <v>3</v>
      </c>
      <c r="FG96" s="25">
        <v>0</v>
      </c>
      <c r="FH96" s="25">
        <v>4</v>
      </c>
      <c r="FI96" s="25">
        <v>130</v>
      </c>
      <c r="FJ96" s="25">
        <v>0</v>
      </c>
      <c r="FK96" s="25">
        <v>0</v>
      </c>
      <c r="FL96" s="25">
        <v>2</v>
      </c>
      <c r="FM96" s="25">
        <v>1</v>
      </c>
      <c r="FN96" s="25">
        <v>9</v>
      </c>
      <c r="FO96" s="25">
        <v>3315</v>
      </c>
      <c r="FP96" s="25">
        <v>9</v>
      </c>
      <c r="FQ96" s="25">
        <v>1</v>
      </c>
      <c r="FR96" s="25">
        <v>14</v>
      </c>
      <c r="FS96" s="25">
        <v>13</v>
      </c>
      <c r="FT96" s="25">
        <v>46</v>
      </c>
      <c r="FU96" s="25">
        <v>152</v>
      </c>
      <c r="FV96" s="25">
        <v>4</v>
      </c>
      <c r="FW96" s="25">
        <v>128</v>
      </c>
      <c r="FX96" s="25">
        <v>103</v>
      </c>
      <c r="FY96" s="25">
        <v>0</v>
      </c>
      <c r="FZ96" s="25">
        <v>8</v>
      </c>
      <c r="GA96" s="25">
        <v>274</v>
      </c>
      <c r="GB96" s="25">
        <v>362</v>
      </c>
      <c r="GC96" s="25">
        <v>314</v>
      </c>
      <c r="GD96" s="25">
        <v>629</v>
      </c>
      <c r="GE96" s="25">
        <v>7</v>
      </c>
      <c r="GF96" s="25">
        <v>392</v>
      </c>
      <c r="GG96" s="25">
        <v>232</v>
      </c>
      <c r="GH96" s="25">
        <v>0</v>
      </c>
      <c r="GI96" s="25">
        <v>0</v>
      </c>
      <c r="GJ96" s="25">
        <v>0</v>
      </c>
      <c r="GK96" s="25">
        <v>38</v>
      </c>
      <c r="GL96" s="25">
        <v>83</v>
      </c>
      <c r="GM96" s="25">
        <v>2</v>
      </c>
      <c r="GN96" s="25">
        <v>103</v>
      </c>
      <c r="GO96" s="25">
        <v>0</v>
      </c>
      <c r="GP96" s="25">
        <v>10</v>
      </c>
      <c r="GQ96" s="25">
        <v>8</v>
      </c>
      <c r="GR96" s="25">
        <v>61</v>
      </c>
      <c r="GS96" s="25">
        <v>5</v>
      </c>
      <c r="GT96" s="25">
        <v>48</v>
      </c>
      <c r="GU96" s="25">
        <v>19315</v>
      </c>
      <c r="GV96" s="25">
        <v>7</v>
      </c>
      <c r="GW96" s="25">
        <v>5</v>
      </c>
      <c r="GX96" s="25">
        <v>1</v>
      </c>
      <c r="GY96" s="46">
        <v>1333</v>
      </c>
      <c r="GZ96" s="25">
        <v>1281</v>
      </c>
      <c r="HA96" s="25">
        <v>6</v>
      </c>
      <c r="HB96" s="25">
        <v>4</v>
      </c>
      <c r="HC96" s="25">
        <v>46</v>
      </c>
      <c r="HD96" s="25">
        <v>5</v>
      </c>
      <c r="HE96" s="25">
        <v>8</v>
      </c>
      <c r="HF96" s="25">
        <v>37</v>
      </c>
      <c r="HG96" s="25">
        <v>1643</v>
      </c>
      <c r="HH96" s="25">
        <v>0</v>
      </c>
      <c r="HI96" s="25">
        <v>116</v>
      </c>
      <c r="HJ96" s="25">
        <v>35</v>
      </c>
      <c r="HK96" s="25">
        <v>5</v>
      </c>
      <c r="HL96" s="25">
        <v>1</v>
      </c>
      <c r="HM96" s="25">
        <v>19</v>
      </c>
      <c r="HN96" s="25">
        <v>0</v>
      </c>
      <c r="HO96" s="25">
        <v>4</v>
      </c>
      <c r="HP96" s="25">
        <v>0</v>
      </c>
      <c r="HQ96" s="25">
        <v>15944</v>
      </c>
      <c r="HR96" s="25">
        <v>9</v>
      </c>
      <c r="HS96" s="25">
        <v>34827</v>
      </c>
      <c r="HT96" s="25">
        <v>4</v>
      </c>
      <c r="HU96" s="25">
        <v>9</v>
      </c>
      <c r="HV96" s="25">
        <v>0</v>
      </c>
      <c r="HW96" s="25">
        <v>2</v>
      </c>
      <c r="HX96" s="25">
        <v>3</v>
      </c>
      <c r="HY96" s="25">
        <v>1</v>
      </c>
      <c r="HZ96" s="25">
        <v>0</v>
      </c>
      <c r="IA96" s="25">
        <v>0</v>
      </c>
      <c r="IB96" s="25">
        <v>0</v>
      </c>
      <c r="IC96" s="25">
        <v>2</v>
      </c>
      <c r="ID96" s="25">
        <v>0</v>
      </c>
      <c r="IE96" s="25">
        <v>2</v>
      </c>
      <c r="IF96" s="25">
        <v>0</v>
      </c>
      <c r="IG96" s="25">
        <v>0</v>
      </c>
      <c r="IH96" s="25">
        <v>1</v>
      </c>
      <c r="II96" s="25">
        <v>2</v>
      </c>
      <c r="IJ96" s="25">
        <v>0</v>
      </c>
      <c r="IK96" s="25">
        <v>13</v>
      </c>
      <c r="IL96" s="25">
        <v>0</v>
      </c>
      <c r="IM96" s="25">
        <v>0</v>
      </c>
      <c r="IN96" s="25">
        <v>0</v>
      </c>
      <c r="IO96" s="25">
        <v>11</v>
      </c>
      <c r="IP96" s="25">
        <v>4</v>
      </c>
      <c r="IQ96" s="25">
        <v>0</v>
      </c>
      <c r="IR96" s="25">
        <v>0</v>
      </c>
      <c r="IS96" s="25">
        <v>1</v>
      </c>
      <c r="IT96" s="25">
        <v>2</v>
      </c>
      <c r="IU96" s="25">
        <v>1</v>
      </c>
      <c r="IV96" s="25">
        <v>1</v>
      </c>
      <c r="IW96" s="25">
        <v>0</v>
      </c>
      <c r="IX96" s="25">
        <v>0</v>
      </c>
      <c r="IY96" s="25">
        <v>2</v>
      </c>
      <c r="IZ96" s="25">
        <v>0</v>
      </c>
      <c r="JA96" s="25">
        <v>0</v>
      </c>
      <c r="JB96" s="25">
        <v>0</v>
      </c>
      <c r="JC96" s="25">
        <v>0</v>
      </c>
      <c r="JD96" s="25">
        <v>0</v>
      </c>
      <c r="JE96" s="25">
        <v>0</v>
      </c>
      <c r="JF96" s="25">
        <v>0</v>
      </c>
      <c r="JG96" s="25">
        <v>0</v>
      </c>
      <c r="JH96" s="25">
        <v>0</v>
      </c>
      <c r="JI96" s="25">
        <v>5</v>
      </c>
      <c r="JJ96" s="25">
        <v>2</v>
      </c>
      <c r="JK96" s="25">
        <v>56</v>
      </c>
      <c r="JL96" s="25">
        <v>1</v>
      </c>
      <c r="JM96" s="25">
        <v>133</v>
      </c>
      <c r="JN96" s="25">
        <v>9</v>
      </c>
      <c r="JO96" s="25">
        <v>164</v>
      </c>
      <c r="JP96" s="25">
        <v>37</v>
      </c>
      <c r="JQ96" s="25">
        <v>956</v>
      </c>
      <c r="JR96" s="25">
        <v>355</v>
      </c>
      <c r="JS96" s="25">
        <v>971</v>
      </c>
      <c r="JT96" s="25">
        <v>55</v>
      </c>
      <c r="JU96" s="25">
        <v>81</v>
      </c>
      <c r="JV96" s="25">
        <v>668</v>
      </c>
      <c r="JW96" s="25">
        <v>587</v>
      </c>
      <c r="JX96" s="25">
        <v>9</v>
      </c>
      <c r="JY96" s="25">
        <v>41</v>
      </c>
      <c r="JZ96" s="25">
        <v>1072</v>
      </c>
      <c r="KA96" s="25">
        <v>477</v>
      </c>
      <c r="KB96" s="25">
        <v>60</v>
      </c>
      <c r="KC96" s="25">
        <v>80</v>
      </c>
      <c r="KD96" s="25">
        <v>129</v>
      </c>
      <c r="KE96" s="25">
        <v>1156</v>
      </c>
      <c r="KF96" s="25">
        <v>27</v>
      </c>
      <c r="KG96" s="25">
        <v>319</v>
      </c>
      <c r="KH96" s="25">
        <v>1108</v>
      </c>
      <c r="KI96" s="25">
        <v>1996</v>
      </c>
      <c r="KJ96" s="25">
        <v>87</v>
      </c>
      <c r="KK96" s="25">
        <v>129</v>
      </c>
      <c r="KL96" s="25">
        <v>169</v>
      </c>
      <c r="KM96" s="25">
        <v>7</v>
      </c>
      <c r="KN96" s="25">
        <v>21</v>
      </c>
      <c r="KO96" s="25">
        <v>137</v>
      </c>
      <c r="KP96" s="25">
        <v>32</v>
      </c>
      <c r="KQ96" s="25">
        <v>3518</v>
      </c>
      <c r="KR96" s="25">
        <v>36</v>
      </c>
      <c r="KS96" s="25">
        <v>16729</v>
      </c>
      <c r="KT96" s="25">
        <v>150</v>
      </c>
      <c r="KU96" s="25">
        <v>9</v>
      </c>
      <c r="KV96" s="25">
        <v>407</v>
      </c>
      <c r="KW96" s="25">
        <v>131</v>
      </c>
      <c r="KX96" s="25">
        <v>64</v>
      </c>
      <c r="KY96" s="25">
        <v>841</v>
      </c>
      <c r="KZ96" s="25">
        <v>87</v>
      </c>
      <c r="LA96" s="25">
        <v>111</v>
      </c>
      <c r="LB96" s="25">
        <v>7</v>
      </c>
      <c r="LC96" s="25">
        <v>136</v>
      </c>
      <c r="LD96" s="25">
        <v>414</v>
      </c>
      <c r="LE96" s="25">
        <v>20</v>
      </c>
      <c r="LF96" s="25">
        <v>33</v>
      </c>
      <c r="LG96" s="25">
        <v>208</v>
      </c>
      <c r="LH96" s="25">
        <v>579</v>
      </c>
      <c r="LI96" s="25">
        <v>12</v>
      </c>
      <c r="LJ96" s="25">
        <v>197</v>
      </c>
      <c r="LK96" s="25">
        <v>2</v>
      </c>
      <c r="LL96" s="25">
        <v>0</v>
      </c>
      <c r="LM96" s="25">
        <v>0</v>
      </c>
      <c r="LN96" s="278">
        <f ca="1">$A96 - DeathsTimeS!Sweden100dt + 1</f>
        <v>29</v>
      </c>
      <c r="LO96" s="366">
        <f ca="1">INDEX(OFFSET(DeathsTimeS!HeadRow,ROW()-ROW(DeathsTimeS!HeadRow),0,1,COLUMNS(DeathsTimeS!HeadRow)),1,MATCH(LO$5,DeathsTimeS!HeadRow,0))/LO$8</f>
        <v>1303.0303030303032</v>
      </c>
      <c r="LP96" s="278">
        <f ca="1">$A96 - DeathsTimeS!Spain100dt</f>
        <v>36</v>
      </c>
      <c r="LQ96" s="20">
        <f ca="1">INDEX(OFFSET(DeathsTimeS!HeadRow,ROW()-ROW(DeathsTimeS!HeadRow),0,1,COLUMNS(DeathsTimeS!HeadRow)),1,MATCH(LQ$5,DeathsTimeS!HeadRow,0))/LQ$8</f>
        <v>4114.8274392841922</v>
      </c>
      <c r="LR96" s="278">
        <f ca="1">$A96 - DeathsTimeS!Victoria100dt</f>
        <v>13</v>
      </c>
      <c r="LS96" s="20">
        <f ca="1">INDEX(OFFSET(DeathsTimeS!HeadRow,ROW()-ROW(DeathsTimeS!HeadRow),0,1,COLUMNS(DeathsTimeS!HeadRow)),1,MATCH(LS$5,DeathsTimeS!HeadRow,0))/LS$8</f>
        <v>21.119324181626187</v>
      </c>
      <c r="LT96" s="278">
        <f ca="1">$A96 - DeathsTimeS!Iran100dt</f>
        <v>43</v>
      </c>
      <c r="LU96" s="20">
        <f ca="1">INDEX(OFFSET(DeathsTimeS!HeadRow,ROW()-ROW(DeathsTimeS!HeadRow),0,1,COLUMNS(DeathsTimeS!HeadRow)),1,MATCH(LU$5,DeathsTimeS!HeadRow,0))/LU$8</f>
        <v>581.21351748176619</v>
      </c>
      <c r="LV96" s="278">
        <f ca="1">$A96 - DeathsTimeS!Japan100dt</f>
        <v>2</v>
      </c>
      <c r="LW96" s="20">
        <f ca="1">INDEX(OFFSET(DeathsTimeS!HeadRow,ROW()-ROW(DeathsTimeS!HeadRow),0,1,COLUMNS(DeathsTimeS!HeadRow)),1,MATCH(LW$5,DeathsTimeS!HeadRow,0))/LW$8</f>
        <v>14.06511959148445</v>
      </c>
      <c r="LX96" s="278">
        <f ca="1">$A96 - DeathsTimeS!Queensland100dt</f>
        <v>-2</v>
      </c>
      <c r="LY96" s="20">
        <f ca="1">INDEX(OFFSET(DeathsTimeS!HeadRow,ROW()-ROW(DeathsTimeS!HeadRow),0,1,COLUMNS(DeathsTimeS!HeadRow)),1,MATCH(LY$5,DeathsTimeS!HeadRow,0))/LY$8</f>
        <v>9.7743092446785251</v>
      </c>
      <c r="LZ96" s="278">
        <f ca="1">$A96 - DeathsTimeS!Tasmania100dt</f>
        <v>16</v>
      </c>
      <c r="MA96" s="20">
        <f ca="1">INDEX(OFFSET(DeathsTimeS!HeadRow,ROW()-ROW(DeathsTimeS!HeadRow),0,1,COLUMNS(DeathsTimeS!HeadRow)),1,MATCH(MA$5,DeathsTimeS!HeadRow,0))/MA$8</f>
        <v>116.50485436893204</v>
      </c>
      <c r="MB96" s="278">
        <f ca="1">$A96 - DeathsTimeS!SouthAustralia100dt</f>
        <v>8</v>
      </c>
      <c r="MC96" s="20">
        <f ca="1">INDEX(OFFSET(DeathsTimeS!HeadRow,ROW()-ROW(DeathsTimeS!HeadRow),0,1,COLUMNS(DeathsTimeS!HeadRow)),1,MATCH(MC$5,DeathsTimeS!HeadRow,0))/MC$8</f>
        <v>23.95209580838323</v>
      </c>
      <c r="MD96" s="278">
        <f ca="1">$A96 - DeathsTimeS!WesternAustralia100dt</f>
        <v>11</v>
      </c>
      <c r="ME96" s="20">
        <f ca="1">INDEX(OFFSET(DeathsTimeS!HeadRow,ROW()-ROW(DeathsTimeS!HeadRow),0,1,COLUMNS(DeathsTimeS!HeadRow)),1,MATCH(ME$5,DeathsTimeS!HeadRow,0))/ME$8</f>
        <v>23.174971031286209</v>
      </c>
      <c r="MF96" s="278">
        <f ca="1">$A96 - DeathsTimeS!NewSouthWales100dt</f>
        <v>15</v>
      </c>
      <c r="MG96" s="20">
        <f ca="1">INDEX(OFFSET(DeathsTimeS!HeadRow,ROW()-ROW(DeathsTimeS!HeadRow),0,1,COLUMNS(DeathsTimeS!HeadRow)),1,MATCH(MG$5,DeathsTimeS!HeadRow,0))/MG$8</f>
        <v>30.940594059405939</v>
      </c>
      <c r="MH96" s="278">
        <f ca="1">$A96 - DeathsTimeS!NewYork100dt</f>
        <v>31</v>
      </c>
      <c r="MI96" s="20">
        <f ca="1">INDEX(OFFSET(DeathsTimeS!HeadRow,ROW()-ROW(DeathsTimeS!HeadRow),0,1,COLUMNS(DeathsTimeS!HeadRow)),1,MATCH(MI$5,DeathsTimeS!HeadRow,0))/MI$8</f>
        <v>7080.1396559557461</v>
      </c>
      <c r="MJ96" s="278">
        <f ca="1">$A96 - DeathsTimeS!Italy100dt</f>
        <v>44</v>
      </c>
      <c r="MK96" s="20">
        <f ca="1">INDEX(OFFSET(DeathsTimeS!HeadRow,ROW()-ROW(DeathsTimeS!HeadRow),0,1,COLUMNS(DeathsTimeS!HeadRow)),1,MATCH(MK$5,DeathsTimeS!HeadRow,0))/MK$8</f>
        <v>3665.3715797305117</v>
      </c>
      <c r="ML96" s="278">
        <f ca="1">$A96 - DeathsTimeS!AustralianCapitalTerritory100dt</f>
        <v>17</v>
      </c>
      <c r="MM96" s="20">
        <f ca="1">INDEX(OFFSET(DeathsTimeS!HeadRow,ROW()-ROW(DeathsTimeS!HeadRow),0,1,COLUMNS(DeathsTimeS!HeadRow)),1,MATCH(MM$5,DeathsTimeS!HeadRow,0))/MM$8</f>
        <v>70.083633135541746</v>
      </c>
      <c r="MN96" s="278">
        <f ca="1">IF(DeathsTimeS!NorthernTerritory100dt&gt;0,$A96 - DeathsTimeS!NorthernTerritory100dt,"")</f>
        <v>-11</v>
      </c>
      <c r="MO96" s="20">
        <f ca="1">INDEX(OFFSET(DeathsTimeS!HeadRow,ROW()-ROW(DeathsTimeS!HeadRow),0,1,COLUMNS(DeathsTimeS!HeadRow)),1,MATCH(MO$5,DeathsTimeS!HeadRow,0))/MO$8</f>
        <v>0</v>
      </c>
      <c r="MP96" s="278">
        <f ca="1">$A96 - DeathsTimeS!SouthAfrica100dt + 1</f>
        <v>-3</v>
      </c>
      <c r="MQ96" s="20">
        <f ca="1">INDEX(OFFSET(DeathsTimeS!HeadRow,ROW()-ROW(DeathsTimeS!HeadRow),0,1,COLUMNS(DeathsTimeS!HeadRow)),1,MATCH(MQ$5,DeathsTimeS!HeadRow,0))/MQ$8</f>
        <v>8.3073727933541015</v>
      </c>
      <c r="MR96" s="278">
        <f ca="1">$A96 - DeathsTimeS!Germany100dt + 1</f>
        <v>27</v>
      </c>
      <c r="MS96" s="20">
        <f ca="1">INDEX(OFFSET(DeathsTimeS!HeadRow,ROW()-ROW(DeathsTimeS!HeadRow),0,1,COLUMNS(DeathsTimeS!HeadRow)),1,MATCH(MS$5,DeathsTimeS!HeadRow,0))/MS$8</f>
        <v>488.07516261141893</v>
      </c>
      <c r="MT96" s="278">
        <f ca="1">$A96 - DeathsTimeS!Ireland100dt + 1</f>
        <v>25</v>
      </c>
      <c r="MU96" s="73">
        <f ca="1">INDEX(OFFSET(DeathsTimeS!HeadRow,ROW()-ROW(DeathsTimeS!HeadRow),0,1,COLUMNS(DeathsTimeS!HeadRow)),1,MATCH(MU$5,DeathsTimeS!HeadRow,0))/MU$8</f>
        <v>991.83673469387759</v>
      </c>
      <c r="MV96" s="278">
        <f ca="1">$A96 - DeathsTimeS!UnitedKingdom100dt + 1</f>
        <v>31</v>
      </c>
      <c r="MW96" s="73">
        <f ca="1">INDEX(OFFSET(DeathsTimeS!HeadRow,ROW()-ROW(DeathsTimeS!HeadRow),0,1,COLUMNS(DeathsTimeS!HeadRow)),1,MATCH(MW$5,DeathsTimeS!HeadRow,0))/MW$8</f>
        <v>2399.7591812161349</v>
      </c>
      <c r="MX96" s="278">
        <f ca="1">$A96 - DeathsTimeS!Denmark100dt + 1</f>
        <v>29</v>
      </c>
      <c r="MY96" s="73">
        <f ca="1">INDEX(OFFSET(DeathsTimeS!HeadRow,ROW()-ROW(DeathsTimeS!HeadRow),0,1,COLUMNS(DeathsTimeS!HeadRow)),1,MATCH(MY$5,DeathsTimeS!HeadRow,0))/MY$8</f>
        <v>552.87633482604201</v>
      </c>
      <c r="MZ96" s="278">
        <f ca="1">$A96 - DeathsTimeS!US100dt + 1</f>
        <v>28</v>
      </c>
      <c r="NA96" s="73">
        <f ca="1">INDEX(OFFSET(DeathsTimeS!HeadRow,ROW()-ROW(DeathsTimeS!HeadRow),0,1,COLUMNS(DeathsTimeS!HeadRow)),1,MATCH(NA$5,DeathsTimeS!HeadRow,0))/NA$8</f>
        <v>1057.8391530828026</v>
      </c>
      <c r="NB96" s="278">
        <f ca="1">$A96 - DeathsTimeS!AustraliaSum100dt + 1</f>
        <v>22</v>
      </c>
      <c r="NC96" s="366">
        <f t="shared" si="7"/>
        <v>63</v>
      </c>
      <c r="ND96" s="278">
        <f ca="1">$A96 - DeathsTimeS!Taiwan100dt + 1</f>
        <v>-10</v>
      </c>
      <c r="NE96" s="366">
        <f ca="1">INDEX(OFFSET(DeathsTimeS!HeadRow,ROW()-ROW(DeathsTimeS!HeadRow),0,1,COLUMNS(DeathsTimeS!HeadRow)),1,MATCH(NE$5,DeathsTimeS!HeadRow,0))/NE$8</f>
        <v>2.5202372954627914</v>
      </c>
      <c r="NF96" s="278">
        <f ca="1">$A96 - DeathsTimeS!Hubei100dt + 1</f>
        <v>81</v>
      </c>
      <c r="NG96" s="366">
        <f ca="1">INDEX(OFFSET(DeathsTimeS!HeadRow,ROW()-ROW(DeathsTimeS!HeadRow),0,1,COLUMNS(DeathsTimeS!HeadRow)),1,MATCH(NG$5,DeathsTimeS!HeadRow,0))/NG$8</f>
        <v>550.76923076923083</v>
      </c>
      <c r="NH96" s="278">
        <f ca="1">$A96 - DeathsTimeS!HongKong100dt + 1</f>
        <v>-10</v>
      </c>
      <c r="NI96" s="366">
        <f ca="1">INDEX(OFFSET(DeathsTimeS!HeadRow,ROW()-ROW(DeathsTimeS!HeadRow),0,1,COLUMNS(DeathsTimeS!HeadRow)),1,MATCH(NI$5,DeathsTimeS!HeadRow,0))/NI$8</f>
        <v>5.3684069252449333</v>
      </c>
    </row>
    <row r="97" spans="1:373" x14ac:dyDescent="0.25">
      <c r="A97" s="156">
        <v>43938</v>
      </c>
      <c r="B97" s="25">
        <v>30</v>
      </c>
      <c r="C97" s="25">
        <v>26</v>
      </c>
      <c r="D97" s="25">
        <v>364</v>
      </c>
      <c r="E97" s="25">
        <v>35</v>
      </c>
      <c r="F97" s="25">
        <v>2</v>
      </c>
      <c r="G97" s="25">
        <v>3</v>
      </c>
      <c r="H97" s="25">
        <v>123</v>
      </c>
      <c r="I97" s="25">
        <v>19</v>
      </c>
      <c r="J97" s="25">
        <v>3</v>
      </c>
      <c r="K97" s="25">
        <v>26</v>
      </c>
      <c r="L97" s="25">
        <v>0</v>
      </c>
      <c r="M97" s="25">
        <v>5</v>
      </c>
      <c r="N97" s="25">
        <v>4</v>
      </c>
      <c r="O97" s="25">
        <v>7</v>
      </c>
      <c r="P97" s="25">
        <v>14</v>
      </c>
      <c r="Q97" s="25">
        <v>7</v>
      </c>
      <c r="R97" s="25">
        <v>431</v>
      </c>
      <c r="S97" s="25">
        <v>15</v>
      </c>
      <c r="T97" s="25">
        <v>9</v>
      </c>
      <c r="U97" s="25">
        <v>7</v>
      </c>
      <c r="V97" s="25">
        <v>75</v>
      </c>
      <c r="W97" s="25">
        <v>5</v>
      </c>
      <c r="X97" s="25">
        <v>42</v>
      </c>
      <c r="Y97" s="25">
        <v>5163</v>
      </c>
      <c r="Z97" s="25">
        <v>1</v>
      </c>
      <c r="AA97" s="25">
        <v>0</v>
      </c>
      <c r="AB97" s="25">
        <v>31</v>
      </c>
      <c r="AC97" s="25">
        <v>46</v>
      </c>
      <c r="AD97" s="25">
        <v>2141</v>
      </c>
      <c r="AE97" s="25">
        <v>1</v>
      </c>
      <c r="AF97" s="25">
        <v>41</v>
      </c>
      <c r="AG97" s="25">
        <v>35</v>
      </c>
      <c r="AH97" s="25">
        <v>1</v>
      </c>
      <c r="AI97" s="25">
        <v>0</v>
      </c>
      <c r="AJ97" s="25">
        <v>22</v>
      </c>
      <c r="AK97" s="25">
        <v>50</v>
      </c>
      <c r="AL97" s="25">
        <v>77</v>
      </c>
      <c r="AM97" s="25">
        <v>0</v>
      </c>
      <c r="AN97" s="25">
        <v>5</v>
      </c>
      <c r="AO97" s="25">
        <v>0</v>
      </c>
      <c r="AP97" s="25">
        <v>3</v>
      </c>
      <c r="AQ97" s="25">
        <v>4</v>
      </c>
      <c r="AR97" s="25">
        <v>524</v>
      </c>
      <c r="AS97" s="25">
        <v>0</v>
      </c>
      <c r="AT97" s="25">
        <v>688</v>
      </c>
      <c r="AU97" s="25">
        <v>4</v>
      </c>
      <c r="AV97" s="25">
        <v>0</v>
      </c>
      <c r="AW97" s="25">
        <v>0</v>
      </c>
      <c r="AX97" s="25">
        <v>116</v>
      </c>
      <c r="AY97" s="25">
        <v>6</v>
      </c>
      <c r="AZ97" s="25">
        <v>8</v>
      </c>
      <c r="BA97" s="25">
        <v>6</v>
      </c>
      <c r="BB97" s="25">
        <v>1</v>
      </c>
      <c r="BC97" s="25">
        <v>2</v>
      </c>
      <c r="BD97" s="25">
        <v>8</v>
      </c>
      <c r="BE97" s="25">
        <v>2</v>
      </c>
      <c r="BF97" s="25">
        <v>2</v>
      </c>
      <c r="BG97" s="25">
        <v>6</v>
      </c>
      <c r="BH97" s="25">
        <v>6</v>
      </c>
      <c r="BI97" s="25">
        <v>13</v>
      </c>
      <c r="BJ97" s="25">
        <v>22</v>
      </c>
      <c r="BK97" s="25">
        <v>4</v>
      </c>
      <c r="BL97" s="25">
        <v>4512</v>
      </c>
      <c r="BM97" s="25">
        <v>4</v>
      </c>
      <c r="BN97" s="25">
        <v>1</v>
      </c>
      <c r="BO97" s="25">
        <v>0</v>
      </c>
      <c r="BP97" s="25">
        <v>1</v>
      </c>
      <c r="BQ97" s="25">
        <v>1</v>
      </c>
      <c r="BR97" s="25">
        <v>2</v>
      </c>
      <c r="BS97" s="25">
        <v>0</v>
      </c>
      <c r="BT97" s="25">
        <v>0</v>
      </c>
      <c r="BU97" s="25">
        <v>0</v>
      </c>
      <c r="BV97" s="25">
        <v>3</v>
      </c>
      <c r="BW97" s="25">
        <v>7</v>
      </c>
      <c r="BX97" s="25">
        <v>7</v>
      </c>
      <c r="BY97" s="25">
        <v>0</v>
      </c>
      <c r="BZ97" s="25">
        <v>3</v>
      </c>
      <c r="CA97" s="25">
        <v>3</v>
      </c>
      <c r="CB97" s="25">
        <v>0</v>
      </c>
      <c r="CC97" s="25">
        <v>3</v>
      </c>
      <c r="CD97" s="25">
        <v>2</v>
      </c>
      <c r="CE97" s="25">
        <v>1</v>
      </c>
      <c r="CF97" s="25">
        <v>153</v>
      </c>
      <c r="CG97" s="25">
        <v>6</v>
      </c>
      <c r="CH97" s="25">
        <v>23</v>
      </c>
      <c r="CI97" s="25">
        <v>4</v>
      </c>
      <c r="CJ97" s="25">
        <v>6</v>
      </c>
      <c r="CK97" s="25">
        <v>36</v>
      </c>
      <c r="CL97" s="25">
        <v>13</v>
      </c>
      <c r="CM97" s="25">
        <v>31</v>
      </c>
      <c r="CN97" s="25">
        <v>12</v>
      </c>
      <c r="CO97" s="25">
        <v>173</v>
      </c>
      <c r="CP97" s="25">
        <v>0</v>
      </c>
      <c r="CQ97" s="25">
        <v>0</v>
      </c>
      <c r="CR97" s="25">
        <v>336</v>
      </c>
      <c r="CS97" s="25">
        <v>2</v>
      </c>
      <c r="CT97" s="25">
        <v>200</v>
      </c>
      <c r="CU97" s="25">
        <v>421</v>
      </c>
      <c r="CV97" s="25">
        <v>205</v>
      </c>
      <c r="CW97" s="25">
        <v>7</v>
      </c>
      <c r="CX97" s="25">
        <v>0</v>
      </c>
      <c r="CY97" s="25">
        <v>0</v>
      </c>
      <c r="CZ97" s="25">
        <v>38</v>
      </c>
      <c r="DA97" s="25">
        <v>1</v>
      </c>
      <c r="DB97" s="25">
        <v>3</v>
      </c>
      <c r="DC97" s="25">
        <v>0</v>
      </c>
      <c r="DD97" s="25">
        <v>82</v>
      </c>
      <c r="DE97" s="25">
        <v>0</v>
      </c>
      <c r="DF97" s="25">
        <v>0</v>
      </c>
      <c r="DG97" s="25">
        <v>8</v>
      </c>
      <c r="DH97" s="25">
        <v>4</v>
      </c>
      <c r="DI97" s="25">
        <v>0</v>
      </c>
      <c r="DJ97" s="25">
        <v>0</v>
      </c>
      <c r="DK97" s="25">
        <v>0</v>
      </c>
      <c r="DL97" s="25">
        <v>2</v>
      </c>
      <c r="DM97" s="25">
        <v>8</v>
      </c>
      <c r="DN97" s="25">
        <v>18661</v>
      </c>
      <c r="DO97" s="25">
        <v>1</v>
      </c>
      <c r="DP97" s="25">
        <v>1</v>
      </c>
      <c r="DQ97" s="25">
        <v>3</v>
      </c>
      <c r="DR97" s="25">
        <v>4352</v>
      </c>
      <c r="DS97" s="25">
        <v>8</v>
      </c>
      <c r="DT97" s="25">
        <v>108</v>
      </c>
      <c r="DU97" s="25">
        <v>7</v>
      </c>
      <c r="DV97" s="25">
        <v>3</v>
      </c>
      <c r="DW97" s="25">
        <v>6</v>
      </c>
      <c r="DX97" s="25">
        <v>3</v>
      </c>
      <c r="DY97" s="25">
        <v>0</v>
      </c>
      <c r="DZ97" s="25">
        <v>41</v>
      </c>
      <c r="EA97" s="25">
        <v>156</v>
      </c>
      <c r="EB97" s="25">
        <v>9</v>
      </c>
      <c r="EC97" s="25">
        <v>486</v>
      </c>
      <c r="ED97" s="25">
        <v>520</v>
      </c>
      <c r="EE97" s="25">
        <v>4958</v>
      </c>
      <c r="EF97" s="25">
        <v>81</v>
      </c>
      <c r="EG97" s="25">
        <v>530</v>
      </c>
      <c r="EH97" s="25">
        <v>151</v>
      </c>
      <c r="EI97" s="25">
        <v>22745</v>
      </c>
      <c r="EJ97" s="25">
        <v>5</v>
      </c>
      <c r="EK97" s="25">
        <v>190</v>
      </c>
      <c r="EL97" s="25">
        <v>7</v>
      </c>
      <c r="EM97" s="25">
        <v>17</v>
      </c>
      <c r="EN97" s="25">
        <v>11</v>
      </c>
      <c r="EO97" s="25">
        <v>230</v>
      </c>
      <c r="EP97" s="25">
        <v>5</v>
      </c>
      <c r="EQ97" s="25">
        <v>5</v>
      </c>
      <c r="ER97" s="25">
        <v>5</v>
      </c>
      <c r="ES97" s="25">
        <v>21</v>
      </c>
      <c r="ET97" s="25">
        <v>7</v>
      </c>
      <c r="EU97" s="25">
        <v>1</v>
      </c>
      <c r="EV97" s="25">
        <v>33</v>
      </c>
      <c r="EW97" s="25">
        <v>72</v>
      </c>
      <c r="EX97" s="25">
        <v>0</v>
      </c>
      <c r="EY97" s="25">
        <v>86</v>
      </c>
      <c r="EZ97" s="25">
        <v>0</v>
      </c>
      <c r="FA97" s="25">
        <v>3</v>
      </c>
      <c r="FB97" s="25">
        <v>1</v>
      </c>
      <c r="FC97" s="25">
        <v>9</v>
      </c>
      <c r="FD97" s="25">
        <v>546</v>
      </c>
      <c r="FE97" s="25">
        <v>56</v>
      </c>
      <c r="FF97" s="25">
        <v>3</v>
      </c>
      <c r="FG97" s="25">
        <v>0</v>
      </c>
      <c r="FH97" s="25">
        <v>5</v>
      </c>
      <c r="FI97" s="25">
        <v>135</v>
      </c>
      <c r="FJ97" s="25">
        <v>0</v>
      </c>
      <c r="FK97" s="25">
        <v>0</v>
      </c>
      <c r="FL97" s="25">
        <v>2</v>
      </c>
      <c r="FM97" s="25">
        <v>1</v>
      </c>
      <c r="FN97" s="25">
        <v>9</v>
      </c>
      <c r="FO97" s="25">
        <v>3459</v>
      </c>
      <c r="FP97" s="25">
        <v>11</v>
      </c>
      <c r="FQ97" s="25">
        <v>1</v>
      </c>
      <c r="FR97" s="25">
        <v>18</v>
      </c>
      <c r="FS97" s="25">
        <v>17</v>
      </c>
      <c r="FT97" s="25">
        <v>49</v>
      </c>
      <c r="FU97" s="25">
        <v>161</v>
      </c>
      <c r="FV97" s="25">
        <v>6</v>
      </c>
      <c r="FW97" s="25">
        <v>135</v>
      </c>
      <c r="FX97" s="25">
        <v>109</v>
      </c>
      <c r="FY97" s="25">
        <v>0</v>
      </c>
      <c r="FZ97" s="25">
        <v>8</v>
      </c>
      <c r="GA97" s="25">
        <v>300</v>
      </c>
      <c r="GB97" s="25">
        <v>387</v>
      </c>
      <c r="GC97" s="25">
        <v>332</v>
      </c>
      <c r="GD97" s="25">
        <v>657</v>
      </c>
      <c r="GE97" s="25">
        <v>7</v>
      </c>
      <c r="GF97" s="25">
        <v>411</v>
      </c>
      <c r="GG97" s="25">
        <v>273</v>
      </c>
      <c r="GH97" s="25">
        <v>0</v>
      </c>
      <c r="GI97" s="25">
        <v>0</v>
      </c>
      <c r="GJ97" s="25">
        <v>0</v>
      </c>
      <c r="GK97" s="25">
        <v>39</v>
      </c>
      <c r="GL97" s="25">
        <v>87</v>
      </c>
      <c r="GM97" s="25">
        <v>2</v>
      </c>
      <c r="GN97" s="25">
        <v>110</v>
      </c>
      <c r="GO97" s="25">
        <v>0</v>
      </c>
      <c r="GP97" s="25">
        <v>11</v>
      </c>
      <c r="GQ97" s="25">
        <v>9</v>
      </c>
      <c r="GR97" s="25">
        <v>66</v>
      </c>
      <c r="GS97" s="25">
        <v>6</v>
      </c>
      <c r="GT97" s="25">
        <v>50</v>
      </c>
      <c r="GU97" s="25">
        <v>20002</v>
      </c>
      <c r="GV97" s="25">
        <v>7</v>
      </c>
      <c r="GW97" s="25">
        <v>6</v>
      </c>
      <c r="GX97" s="25">
        <v>1</v>
      </c>
      <c r="GY97" s="46">
        <v>1400</v>
      </c>
      <c r="GZ97" s="25">
        <v>1327</v>
      </c>
      <c r="HA97" s="25">
        <v>6</v>
      </c>
      <c r="HB97" s="25">
        <v>5</v>
      </c>
      <c r="HC97" s="25">
        <v>47</v>
      </c>
      <c r="HD97" s="25">
        <v>5</v>
      </c>
      <c r="HE97" s="25">
        <v>8</v>
      </c>
      <c r="HF97" s="25">
        <v>37</v>
      </c>
      <c r="HG97" s="25">
        <v>1769</v>
      </c>
      <c r="HH97" s="25">
        <v>0</v>
      </c>
      <c r="HI97" s="25">
        <v>125</v>
      </c>
      <c r="HJ97" s="25">
        <v>37</v>
      </c>
      <c r="HK97" s="25">
        <v>5</v>
      </c>
      <c r="HL97" s="25">
        <v>1</v>
      </c>
      <c r="HM97" s="25">
        <v>20</v>
      </c>
      <c r="HN97" s="25">
        <v>0</v>
      </c>
      <c r="HO97" s="25">
        <v>4</v>
      </c>
      <c r="HP97" s="25">
        <v>0</v>
      </c>
      <c r="HQ97" s="25">
        <v>16879</v>
      </c>
      <c r="HR97" s="25">
        <v>9</v>
      </c>
      <c r="HS97" s="25">
        <v>37411</v>
      </c>
      <c r="HT97" s="25">
        <v>4</v>
      </c>
      <c r="HU97" s="25">
        <v>9</v>
      </c>
      <c r="HV97" s="25">
        <v>0</v>
      </c>
      <c r="HW97" s="25">
        <v>2</v>
      </c>
      <c r="HX97" s="25">
        <v>3</v>
      </c>
      <c r="HY97" s="25">
        <v>1</v>
      </c>
      <c r="HZ97" s="25">
        <v>0</v>
      </c>
      <c r="IA97" s="25">
        <v>0</v>
      </c>
      <c r="IB97" s="25">
        <v>0</v>
      </c>
      <c r="IC97" s="25">
        <v>2</v>
      </c>
      <c r="ID97" s="25">
        <v>0</v>
      </c>
      <c r="IE97" s="25">
        <v>2</v>
      </c>
      <c r="IF97" s="25">
        <v>0</v>
      </c>
      <c r="IG97" s="25">
        <v>0</v>
      </c>
      <c r="IH97" s="25">
        <v>1</v>
      </c>
      <c r="II97" s="25">
        <v>2</v>
      </c>
      <c r="IJ97" s="25">
        <v>0</v>
      </c>
      <c r="IK97" s="25">
        <v>13</v>
      </c>
      <c r="IL97" s="25">
        <v>0</v>
      </c>
      <c r="IM97" s="25">
        <v>0</v>
      </c>
      <c r="IN97" s="25">
        <v>0</v>
      </c>
      <c r="IO97" s="25">
        <v>12</v>
      </c>
      <c r="IP97" s="25">
        <v>4</v>
      </c>
      <c r="IQ97" s="25">
        <v>0</v>
      </c>
      <c r="IR97" s="25">
        <v>0</v>
      </c>
      <c r="IS97" s="25">
        <v>1</v>
      </c>
      <c r="IT97" s="25">
        <v>2</v>
      </c>
      <c r="IU97" s="25">
        <v>1</v>
      </c>
      <c r="IV97" s="25">
        <v>1</v>
      </c>
      <c r="IW97" s="25">
        <v>0</v>
      </c>
      <c r="IX97" s="25">
        <v>0</v>
      </c>
      <c r="IY97" s="25">
        <v>2</v>
      </c>
      <c r="IZ97" s="25">
        <v>0</v>
      </c>
      <c r="JA97" s="25">
        <v>0</v>
      </c>
      <c r="JB97" s="25">
        <v>0</v>
      </c>
      <c r="JC97" s="25">
        <v>0</v>
      </c>
      <c r="JD97" s="25">
        <v>0</v>
      </c>
      <c r="JE97" s="25">
        <v>0</v>
      </c>
      <c r="JF97" s="25">
        <v>0</v>
      </c>
      <c r="JG97" s="25">
        <v>0</v>
      </c>
      <c r="JH97" s="25">
        <v>0</v>
      </c>
      <c r="JI97" s="25">
        <v>5</v>
      </c>
      <c r="JJ97" s="25">
        <v>2</v>
      </c>
      <c r="JK97" s="25">
        <v>58</v>
      </c>
      <c r="JL97" s="25">
        <v>2</v>
      </c>
      <c r="JM97" s="25">
        <v>148</v>
      </c>
      <c r="JN97" s="25">
        <v>9</v>
      </c>
      <c r="JO97" s="25">
        <v>183</v>
      </c>
      <c r="JP97" s="25">
        <v>37</v>
      </c>
      <c r="JQ97" s="25">
        <v>1037</v>
      </c>
      <c r="JR97" s="25">
        <v>372</v>
      </c>
      <c r="JS97" s="25">
        <v>1036</v>
      </c>
      <c r="JT97" s="25">
        <v>61</v>
      </c>
      <c r="JU97" s="25">
        <v>86</v>
      </c>
      <c r="JV97" s="25">
        <v>725</v>
      </c>
      <c r="JW97" s="25">
        <v>650</v>
      </c>
      <c r="JX97" s="25">
        <v>9</v>
      </c>
      <c r="JY97" s="25">
        <v>41</v>
      </c>
      <c r="JZ97" s="25">
        <v>1132</v>
      </c>
      <c r="KA97" s="25">
        <v>522</v>
      </c>
      <c r="KB97" s="25">
        <v>64</v>
      </c>
      <c r="KC97" s="25">
        <v>82</v>
      </c>
      <c r="KD97" s="25">
        <v>137</v>
      </c>
      <c r="KE97" s="25">
        <v>1213</v>
      </c>
      <c r="KF97" s="25">
        <v>29</v>
      </c>
      <c r="KG97" s="25">
        <v>334</v>
      </c>
      <c r="KH97" s="25">
        <v>1245</v>
      </c>
      <c r="KI97" s="25">
        <v>2227</v>
      </c>
      <c r="KJ97" s="25">
        <v>111</v>
      </c>
      <c r="KK97" s="25">
        <v>140</v>
      </c>
      <c r="KL97" s="25">
        <v>184</v>
      </c>
      <c r="KM97" s="25">
        <v>8</v>
      </c>
      <c r="KN97" s="25">
        <v>24</v>
      </c>
      <c r="KO97" s="25">
        <v>142</v>
      </c>
      <c r="KP97" s="25">
        <v>37</v>
      </c>
      <c r="KQ97" s="25">
        <v>3840</v>
      </c>
      <c r="KR97" s="25">
        <v>44</v>
      </c>
      <c r="KS97" s="25">
        <v>17755</v>
      </c>
      <c r="KT97" s="25">
        <v>177</v>
      </c>
      <c r="KU97" s="25">
        <v>9</v>
      </c>
      <c r="KV97" s="25">
        <v>418</v>
      </c>
      <c r="KW97" s="25">
        <v>136</v>
      </c>
      <c r="KX97" s="25">
        <v>70</v>
      </c>
      <c r="KY97" s="25">
        <v>921</v>
      </c>
      <c r="KZ97" s="25">
        <v>118</v>
      </c>
      <c r="LA97" s="25">
        <v>116</v>
      </c>
      <c r="LB97" s="25">
        <v>7</v>
      </c>
      <c r="LC97" s="25">
        <v>141</v>
      </c>
      <c r="LD97" s="25">
        <v>451</v>
      </c>
      <c r="LE97" s="25">
        <v>23</v>
      </c>
      <c r="LF97" s="25">
        <v>35</v>
      </c>
      <c r="LG97" s="25">
        <v>231</v>
      </c>
      <c r="LH97" s="25">
        <v>603</v>
      </c>
      <c r="LI97" s="25">
        <v>16</v>
      </c>
      <c r="LJ97" s="25">
        <v>206</v>
      </c>
      <c r="LK97" s="25">
        <v>2</v>
      </c>
      <c r="LL97" s="25">
        <v>0</v>
      </c>
      <c r="LM97" s="25">
        <v>0</v>
      </c>
      <c r="LN97" s="278">
        <f ca="1">$A97 - DeathsTimeS!Sweden100dt + 1</f>
        <v>30</v>
      </c>
      <c r="LO97" s="366">
        <f ca="1">INDEX(OFFSET(DeathsTimeS!HeadRow,ROW()-ROW(DeathsTimeS!HeadRow),0,1,COLUMNS(DeathsTimeS!HeadRow)),1,MATCH(LO$5,DeathsTimeS!HeadRow,0))/LO$8</f>
        <v>1368.5239491691107</v>
      </c>
      <c r="LP97" s="278">
        <f ca="1">$A97 - DeathsTimeS!Spain100dt</f>
        <v>37</v>
      </c>
      <c r="LQ97" s="20">
        <f ca="1">INDEX(OFFSET(DeathsTimeS!HeadRow,ROW()-ROW(DeathsTimeS!HeadRow),0,1,COLUMNS(DeathsTimeS!HeadRow)),1,MATCH(LQ$5,DeathsTimeS!HeadRow,0))/LQ$8</f>
        <v>4261.1844908393696</v>
      </c>
      <c r="LR97" s="278">
        <f ca="1">$A97 - DeathsTimeS!Victoria100dt</f>
        <v>14</v>
      </c>
      <c r="LS97" s="20">
        <f ca="1">INDEX(OFFSET(DeathsTimeS!HeadRow,ROW()-ROW(DeathsTimeS!HeadRow),0,1,COLUMNS(DeathsTimeS!HeadRow)),1,MATCH(LS$5,DeathsTimeS!HeadRow,0))/LS$8</f>
        <v>21.119324181626187</v>
      </c>
      <c r="LT97" s="278">
        <f ca="1">$A97 - DeathsTimeS!Iran100dt</f>
        <v>44</v>
      </c>
      <c r="LU97" s="20">
        <f ca="1">INDEX(OFFSET(DeathsTimeS!HeadRow,ROW()-ROW(DeathsTimeS!HeadRow),0,1,COLUMNS(DeathsTimeS!HeadRow)),1,MATCH(LU$5,DeathsTimeS!HeadRow,0))/LU$8</f>
        <v>591.83746553185392</v>
      </c>
      <c r="LV97" s="278">
        <f ca="1">$A97 - DeathsTimeS!Japan100dt</f>
        <v>3</v>
      </c>
      <c r="LW97" s="20">
        <f ca="1">INDEX(OFFSET(DeathsTimeS!HeadRow,ROW()-ROW(DeathsTimeS!HeadRow),0,1,COLUMNS(DeathsTimeS!HeadRow)),1,MATCH(LW$5,DeathsTimeS!HeadRow,0))/LW$8</f>
        <v>15.013329901022727</v>
      </c>
      <c r="LX97" s="278">
        <f ca="1">$A97 - DeathsTimeS!Queensland100dt</f>
        <v>-1</v>
      </c>
      <c r="LY97" s="20">
        <f ca="1">INDEX(OFFSET(DeathsTimeS!HeadRow,ROW()-ROW(DeathsTimeS!HeadRow),0,1,COLUMNS(DeathsTimeS!HeadRow)),1,MATCH(LY$5,DeathsTimeS!HeadRow,0))/LY$8</f>
        <v>9.7743092446785251</v>
      </c>
      <c r="LZ97" s="278">
        <f ca="1">$A97 - DeathsTimeS!Tasmania100dt</f>
        <v>17</v>
      </c>
      <c r="MA97" s="20">
        <f ca="1">INDEX(OFFSET(DeathsTimeS!HeadRow,ROW()-ROW(DeathsTimeS!HeadRow),0,1,COLUMNS(DeathsTimeS!HeadRow)),1,MATCH(MA$5,DeathsTimeS!HeadRow,0))/MA$8</f>
        <v>135.92233009708738</v>
      </c>
      <c r="MB97" s="278">
        <f ca="1">$A97 - DeathsTimeS!SouthAustralia100dt</f>
        <v>9</v>
      </c>
      <c r="MC97" s="20">
        <f ca="1">INDEX(OFFSET(DeathsTimeS!HeadRow,ROW()-ROW(DeathsTimeS!HeadRow),0,1,COLUMNS(DeathsTimeS!HeadRow)),1,MATCH(MC$5,DeathsTimeS!HeadRow,0))/MC$8</f>
        <v>23.95209580838323</v>
      </c>
      <c r="MD97" s="278">
        <f ca="1">$A97 - DeathsTimeS!WesternAustralia100dt</f>
        <v>12</v>
      </c>
      <c r="ME97" s="20">
        <f ca="1">INDEX(OFFSET(DeathsTimeS!HeadRow,ROW()-ROW(DeathsTimeS!HeadRow),0,1,COLUMNS(DeathsTimeS!HeadRow)),1,MATCH(ME$5,DeathsTimeS!HeadRow,0))/ME$8</f>
        <v>27.037466203167245</v>
      </c>
      <c r="MF97" s="278">
        <f ca="1">$A97 - DeathsTimeS!NewSouthWales100dt</f>
        <v>16</v>
      </c>
      <c r="MG97" s="20">
        <f ca="1">INDEX(OFFSET(DeathsTimeS!HeadRow,ROW()-ROW(DeathsTimeS!HeadRow),0,1,COLUMNS(DeathsTimeS!HeadRow)),1,MATCH(MG$5,DeathsTimeS!HeadRow,0))/MG$8</f>
        <v>32.178217821782177</v>
      </c>
      <c r="MH97" s="278">
        <f ca="1">$A97 - DeathsTimeS!NewYork100dt</f>
        <v>32</v>
      </c>
      <c r="MI97" s="20">
        <f ca="1">INDEX(OFFSET(DeathsTimeS!HeadRow,ROW()-ROW(DeathsTimeS!HeadRow),0,1,COLUMNS(DeathsTimeS!HeadRow)),1,MATCH(MI$5,DeathsTimeS!HeadRow,0))/MI$8</f>
        <v>7514.3690352976428</v>
      </c>
      <c r="MJ97" s="278">
        <f ca="1">$A97 - DeathsTimeS!Italy100dt</f>
        <v>45</v>
      </c>
      <c r="MK97" s="20">
        <f ca="1">INDEX(OFFSET(DeathsTimeS!HeadRow,ROW()-ROW(DeathsTimeS!HeadRow),0,1,COLUMNS(DeathsTimeS!HeadRow)),1,MATCH(MK$5,DeathsTimeS!HeadRow,0))/MK$8</f>
        <v>3760.4364718525258</v>
      </c>
      <c r="ML97" s="278">
        <f ca="1">$A97 - DeathsTimeS!AustralianCapitalTerritory100dt</f>
        <v>18</v>
      </c>
      <c r="MM97" s="20">
        <f ca="1">INDEX(OFFSET(DeathsTimeS!HeadRow,ROW()-ROW(DeathsTimeS!HeadRow),0,1,COLUMNS(DeathsTimeS!HeadRow)),1,MATCH(MM$5,DeathsTimeS!HeadRow,0))/MM$8</f>
        <v>70.083633135541746</v>
      </c>
      <c r="MN97" s="278">
        <f ca="1">IF(DeathsTimeS!NorthernTerritory100dt&gt;0,$A97 - DeathsTimeS!NorthernTerritory100dt,"")</f>
        <v>-10</v>
      </c>
      <c r="MO97" s="20">
        <f ca="1">INDEX(OFFSET(DeathsTimeS!HeadRow,ROW()-ROW(DeathsTimeS!HeadRow),0,1,COLUMNS(DeathsTimeS!HeadRow)),1,MATCH(MO$5,DeathsTimeS!HeadRow,0))/MO$8</f>
        <v>0</v>
      </c>
      <c r="MP97" s="278">
        <f ca="1">$A97 - DeathsTimeS!SouthAfrica100dt + 1</f>
        <v>-2</v>
      </c>
      <c r="MQ97" s="20">
        <f ca="1">INDEX(OFFSET(DeathsTimeS!HeadRow,ROW()-ROW(DeathsTimeS!HeadRow),0,1,COLUMNS(DeathsTimeS!HeadRow)),1,MATCH(MQ$5,DeathsTimeS!HeadRow,0))/MQ$8</f>
        <v>8.6535133264105237</v>
      </c>
      <c r="MR97" s="278">
        <f ca="1">$A97 - DeathsTimeS!Germany100dt + 1</f>
        <v>28</v>
      </c>
      <c r="MS97" s="20">
        <f ca="1">INDEX(OFFSET(DeathsTimeS!HeadRow,ROW()-ROW(DeathsTimeS!HeadRow),0,1,COLUMNS(DeathsTimeS!HeadRow)),1,MATCH(MS$5,DeathsTimeS!HeadRow,0))/MS$8</f>
        <v>524.21103348590702</v>
      </c>
      <c r="MT97" s="278">
        <f ca="1">$A97 - DeathsTimeS!Ireland100dt + 1</f>
        <v>26</v>
      </c>
      <c r="MU97" s="73">
        <f ca="1">INDEX(OFFSET(DeathsTimeS!HeadRow,ROW()-ROW(DeathsTimeS!HeadRow),0,1,COLUMNS(DeathsTimeS!HeadRow)),1,MATCH(MU$5,DeathsTimeS!HeadRow,0))/MU$8</f>
        <v>1081.6326530612246</v>
      </c>
      <c r="MV97" s="278">
        <f ca="1">$A97 - DeathsTimeS!UnitedKingdom100dt + 1</f>
        <v>32</v>
      </c>
      <c r="MW97" s="73">
        <f ca="1">INDEX(OFFSET(DeathsTimeS!HeadRow,ROW()-ROW(DeathsTimeS!HeadRow),0,1,COLUMNS(DeathsTimeS!HeadRow)),1,MATCH(MW$5,DeathsTimeS!HeadRow,0))/MW$8</f>
        <v>2540.487658037327</v>
      </c>
      <c r="MX97" s="278">
        <f ca="1">$A97 - DeathsTimeS!Denmark100dt + 1</f>
        <v>30</v>
      </c>
      <c r="MY97" s="73">
        <f ca="1">INDEX(OFFSET(DeathsTimeS!HeadRow,ROW()-ROW(DeathsTimeS!HeadRow),0,1,COLUMNS(DeathsTimeS!HeadRow)),1,MATCH(MY$5,DeathsTimeS!HeadRow,0))/MY$8</f>
        <v>578.71167757492253</v>
      </c>
      <c r="MZ97" s="278">
        <f ca="1">$A97 - DeathsTimeS!US100dt + 1</f>
        <v>29</v>
      </c>
      <c r="NA97" s="73">
        <f ca="1">INDEX(OFFSET(DeathsTimeS!HeadRow,ROW()-ROW(DeathsTimeS!HeadRow),0,1,COLUMNS(DeathsTimeS!HeadRow)),1,MATCH(NA$5,DeathsTimeS!HeadRow,0))/NA$8</f>
        <v>1136.3258551118593</v>
      </c>
      <c r="NB97" s="278">
        <f ca="1">$A97 - DeathsTimeS!AustraliaSum100dt + 1</f>
        <v>23</v>
      </c>
      <c r="NC97" s="366">
        <f t="shared" si="7"/>
        <v>66</v>
      </c>
      <c r="ND97" s="278">
        <f ca="1">$A97 - DeathsTimeS!Taiwan100dt + 1</f>
        <v>-9</v>
      </c>
      <c r="NE97" s="366">
        <f ca="1">INDEX(OFFSET(DeathsTimeS!HeadRow,ROW()-ROW(DeathsTimeS!HeadRow),0,1,COLUMNS(DeathsTimeS!HeadRow)),1,MATCH(NE$5,DeathsTimeS!HeadRow,0))/NE$8</f>
        <v>2.5202372954627914</v>
      </c>
      <c r="NF97" s="278">
        <f ca="1">$A97 - DeathsTimeS!Hubei100dt + 1</f>
        <v>82</v>
      </c>
      <c r="NG97" s="366">
        <f ca="1">INDEX(OFFSET(DeathsTimeS!HeadRow,ROW()-ROW(DeathsTimeS!HeadRow),0,1,COLUMNS(DeathsTimeS!HeadRow)),1,MATCH(NG$5,DeathsTimeS!HeadRow,0))/NG$8</f>
        <v>771.28205128205138</v>
      </c>
      <c r="NH97" s="278">
        <f ca="1">$A97 - DeathsTimeS!HongKong100dt + 1</f>
        <v>-9</v>
      </c>
      <c r="NI97" s="366">
        <f ca="1">INDEX(OFFSET(DeathsTimeS!HeadRow,ROW()-ROW(DeathsTimeS!HeadRow),0,1,COLUMNS(DeathsTimeS!HeadRow)),1,MATCH(NI$5,DeathsTimeS!HeadRow,0))/NI$8</f>
        <v>5.3684069252449333</v>
      </c>
    </row>
    <row r="98" spans="1:373" x14ac:dyDescent="0.25">
      <c r="A98" s="156">
        <v>43939</v>
      </c>
      <c r="B98" s="25">
        <v>30</v>
      </c>
      <c r="C98" s="25">
        <v>26</v>
      </c>
      <c r="D98" s="25">
        <v>367</v>
      </c>
      <c r="E98" s="25">
        <v>35</v>
      </c>
      <c r="F98" s="25">
        <v>2</v>
      </c>
      <c r="G98" s="25">
        <v>3</v>
      </c>
      <c r="H98" s="25">
        <v>129</v>
      </c>
      <c r="I98" s="25">
        <v>20</v>
      </c>
      <c r="J98" s="25">
        <v>3</v>
      </c>
      <c r="K98" s="25">
        <v>26</v>
      </c>
      <c r="L98" s="25">
        <v>0</v>
      </c>
      <c r="M98" s="25">
        <v>6</v>
      </c>
      <c r="N98" s="25">
        <v>4</v>
      </c>
      <c r="O98" s="25">
        <v>7</v>
      </c>
      <c r="P98" s="25">
        <v>14</v>
      </c>
      <c r="Q98" s="25">
        <v>7</v>
      </c>
      <c r="R98" s="25">
        <v>443</v>
      </c>
      <c r="S98" s="25">
        <v>18</v>
      </c>
      <c r="T98" s="25">
        <v>9</v>
      </c>
      <c r="U98" s="25">
        <v>7</v>
      </c>
      <c r="V98" s="25">
        <v>84</v>
      </c>
      <c r="W98" s="25">
        <v>5</v>
      </c>
      <c r="X98" s="25">
        <v>45</v>
      </c>
      <c r="Y98" s="25">
        <v>5453</v>
      </c>
      <c r="Z98" s="25">
        <v>1</v>
      </c>
      <c r="AA98" s="25">
        <v>0</v>
      </c>
      <c r="AB98" s="25">
        <v>31</v>
      </c>
      <c r="AC98" s="25">
        <v>47</v>
      </c>
      <c r="AD98" s="25">
        <v>2354</v>
      </c>
      <c r="AE98" s="25">
        <v>1</v>
      </c>
      <c r="AF98" s="25">
        <v>41</v>
      </c>
      <c r="AG98" s="25">
        <v>36</v>
      </c>
      <c r="AH98" s="25">
        <v>1</v>
      </c>
      <c r="AI98" s="25">
        <v>0</v>
      </c>
      <c r="AJ98" s="25">
        <v>22</v>
      </c>
      <c r="AK98" s="25">
        <v>51</v>
      </c>
      <c r="AL98" s="25">
        <v>78</v>
      </c>
      <c r="AM98" s="25">
        <v>0</v>
      </c>
      <c r="AN98" s="25">
        <v>5</v>
      </c>
      <c r="AO98" s="25">
        <v>0</v>
      </c>
      <c r="AP98" s="25">
        <v>3</v>
      </c>
      <c r="AQ98" s="25">
        <v>7</v>
      </c>
      <c r="AR98" s="25">
        <v>564</v>
      </c>
      <c r="AS98" s="25">
        <v>0</v>
      </c>
      <c r="AT98" s="25">
        <v>688</v>
      </c>
      <c r="AU98" s="25">
        <v>4</v>
      </c>
      <c r="AV98" s="25">
        <v>0</v>
      </c>
      <c r="AW98" s="25">
        <v>0</v>
      </c>
      <c r="AX98" s="25">
        <v>126</v>
      </c>
      <c r="AY98" s="25">
        <v>6</v>
      </c>
      <c r="AZ98" s="25">
        <v>8</v>
      </c>
      <c r="BA98" s="25">
        <v>6</v>
      </c>
      <c r="BB98" s="25">
        <v>1</v>
      </c>
      <c r="BC98" s="25">
        <v>2</v>
      </c>
      <c r="BD98" s="25">
        <v>8</v>
      </c>
      <c r="BE98" s="25">
        <v>2</v>
      </c>
      <c r="BF98" s="25">
        <v>2</v>
      </c>
      <c r="BG98" s="25">
        <v>6</v>
      </c>
      <c r="BH98" s="25">
        <v>6</v>
      </c>
      <c r="BI98" s="25">
        <v>13</v>
      </c>
      <c r="BJ98" s="25">
        <v>22</v>
      </c>
      <c r="BK98" s="25">
        <v>4</v>
      </c>
      <c r="BL98" s="25">
        <v>4512</v>
      </c>
      <c r="BM98" s="25">
        <v>4</v>
      </c>
      <c r="BN98" s="25">
        <v>1</v>
      </c>
      <c r="BO98" s="25">
        <v>0</v>
      </c>
      <c r="BP98" s="25">
        <v>1</v>
      </c>
      <c r="BQ98" s="25">
        <v>1</v>
      </c>
      <c r="BR98" s="25">
        <v>2</v>
      </c>
      <c r="BS98" s="25">
        <v>0</v>
      </c>
      <c r="BT98" s="25">
        <v>0</v>
      </c>
      <c r="BU98" s="25">
        <v>0</v>
      </c>
      <c r="BV98" s="25">
        <v>3</v>
      </c>
      <c r="BW98" s="25">
        <v>7</v>
      </c>
      <c r="BX98" s="25">
        <v>7</v>
      </c>
      <c r="BY98" s="25">
        <v>0</v>
      </c>
      <c r="BZ98" s="25">
        <v>3</v>
      </c>
      <c r="CA98" s="25">
        <v>3</v>
      </c>
      <c r="CB98" s="25">
        <v>0</v>
      </c>
      <c r="CC98" s="25">
        <v>3</v>
      </c>
      <c r="CD98" s="25">
        <v>2</v>
      </c>
      <c r="CE98" s="25">
        <v>1</v>
      </c>
      <c r="CF98" s="25">
        <v>153</v>
      </c>
      <c r="CG98" s="25">
        <v>6</v>
      </c>
      <c r="CH98" s="25">
        <v>25</v>
      </c>
      <c r="CI98" s="25">
        <v>4</v>
      </c>
      <c r="CJ98" s="25">
        <v>8</v>
      </c>
      <c r="CK98" s="25">
        <v>39</v>
      </c>
      <c r="CL98" s="25">
        <v>13</v>
      </c>
      <c r="CM98" s="25">
        <v>32</v>
      </c>
      <c r="CN98" s="25">
        <v>12</v>
      </c>
      <c r="CO98" s="25">
        <v>181</v>
      </c>
      <c r="CP98" s="25">
        <v>0</v>
      </c>
      <c r="CQ98" s="25">
        <v>0</v>
      </c>
      <c r="CR98" s="25">
        <v>346</v>
      </c>
      <c r="CS98" s="25">
        <v>2</v>
      </c>
      <c r="CT98" s="25">
        <v>217</v>
      </c>
      <c r="CU98" s="25">
        <v>456</v>
      </c>
      <c r="CV98" s="25">
        <v>224</v>
      </c>
      <c r="CW98" s="25">
        <v>7</v>
      </c>
      <c r="CX98" s="25">
        <v>0</v>
      </c>
      <c r="CY98" s="25">
        <v>0</v>
      </c>
      <c r="CZ98" s="25">
        <v>38</v>
      </c>
      <c r="DA98" s="25">
        <v>1</v>
      </c>
      <c r="DB98" s="25">
        <v>3</v>
      </c>
      <c r="DC98" s="25">
        <v>0</v>
      </c>
      <c r="DD98" s="25">
        <v>90</v>
      </c>
      <c r="DE98" s="25">
        <v>0</v>
      </c>
      <c r="DF98" s="25">
        <v>0</v>
      </c>
      <c r="DG98" s="25">
        <v>8</v>
      </c>
      <c r="DH98" s="25">
        <v>4</v>
      </c>
      <c r="DI98" s="25">
        <v>0</v>
      </c>
      <c r="DJ98" s="25">
        <v>0</v>
      </c>
      <c r="DK98" s="25">
        <v>0</v>
      </c>
      <c r="DL98" s="25">
        <v>2</v>
      </c>
      <c r="DM98" s="25">
        <v>8</v>
      </c>
      <c r="DN98" s="25">
        <v>19303</v>
      </c>
      <c r="DO98" s="25">
        <v>1</v>
      </c>
      <c r="DP98" s="25">
        <v>1</v>
      </c>
      <c r="DQ98" s="25">
        <v>4</v>
      </c>
      <c r="DR98" s="25">
        <v>4459</v>
      </c>
      <c r="DS98" s="25">
        <v>9</v>
      </c>
      <c r="DT98" s="25">
        <v>110</v>
      </c>
      <c r="DU98" s="25">
        <v>7</v>
      </c>
      <c r="DV98" s="25">
        <v>3</v>
      </c>
      <c r="DW98" s="25">
        <v>6</v>
      </c>
      <c r="DX98" s="25">
        <v>3</v>
      </c>
      <c r="DY98" s="25">
        <v>0</v>
      </c>
      <c r="DZ98" s="25">
        <v>46</v>
      </c>
      <c r="EA98" s="25">
        <v>172</v>
      </c>
      <c r="EB98" s="25">
        <v>9</v>
      </c>
      <c r="EC98" s="25">
        <v>521</v>
      </c>
      <c r="ED98" s="25">
        <v>535</v>
      </c>
      <c r="EE98" s="25">
        <v>5031</v>
      </c>
      <c r="EF98" s="25">
        <v>82</v>
      </c>
      <c r="EG98" s="25">
        <v>571</v>
      </c>
      <c r="EH98" s="25">
        <v>164</v>
      </c>
      <c r="EI98" s="25">
        <v>23227</v>
      </c>
      <c r="EJ98" s="25">
        <v>5</v>
      </c>
      <c r="EK98" s="25">
        <v>222</v>
      </c>
      <c r="EL98" s="25">
        <v>7</v>
      </c>
      <c r="EM98" s="25">
        <v>17</v>
      </c>
      <c r="EN98" s="25">
        <v>12</v>
      </c>
      <c r="EO98" s="25">
        <v>232</v>
      </c>
      <c r="EP98" s="25">
        <v>6</v>
      </c>
      <c r="EQ98" s="25">
        <v>5</v>
      </c>
      <c r="ER98" s="25">
        <v>5</v>
      </c>
      <c r="ES98" s="25">
        <v>21</v>
      </c>
      <c r="ET98" s="25">
        <v>7</v>
      </c>
      <c r="EU98" s="25">
        <v>1</v>
      </c>
      <c r="EV98" s="25">
        <v>33</v>
      </c>
      <c r="EW98" s="25">
        <v>72</v>
      </c>
      <c r="EX98" s="25">
        <v>0</v>
      </c>
      <c r="EY98" s="25">
        <v>88</v>
      </c>
      <c r="EZ98" s="25">
        <v>0</v>
      </c>
      <c r="FA98" s="25">
        <v>3</v>
      </c>
      <c r="FB98" s="25">
        <v>1</v>
      </c>
      <c r="FC98" s="25">
        <v>9</v>
      </c>
      <c r="FD98" s="25">
        <v>650</v>
      </c>
      <c r="FE98" s="25">
        <v>57</v>
      </c>
      <c r="FF98" s="25">
        <v>3</v>
      </c>
      <c r="FG98" s="25">
        <v>0</v>
      </c>
      <c r="FH98" s="25">
        <v>5</v>
      </c>
      <c r="FI98" s="25">
        <v>137</v>
      </c>
      <c r="FJ98" s="25">
        <v>0</v>
      </c>
      <c r="FK98" s="25">
        <v>0</v>
      </c>
      <c r="FL98" s="25">
        <v>2</v>
      </c>
      <c r="FM98" s="25">
        <v>1</v>
      </c>
      <c r="FN98" s="25">
        <v>9</v>
      </c>
      <c r="FO98" s="25">
        <v>3601</v>
      </c>
      <c r="FP98" s="25">
        <v>11</v>
      </c>
      <c r="FQ98" s="25">
        <v>2</v>
      </c>
      <c r="FR98" s="25">
        <v>19</v>
      </c>
      <c r="FS98" s="25">
        <v>19</v>
      </c>
      <c r="FT98" s="25">
        <v>49</v>
      </c>
      <c r="FU98" s="25">
        <v>164</v>
      </c>
      <c r="FV98" s="25">
        <v>6</v>
      </c>
      <c r="FW98" s="25">
        <v>143</v>
      </c>
      <c r="FX98" s="25">
        <v>116</v>
      </c>
      <c r="FY98" s="25">
        <v>0</v>
      </c>
      <c r="FZ98" s="25">
        <v>8</v>
      </c>
      <c r="GA98" s="25">
        <v>348</v>
      </c>
      <c r="GB98" s="25">
        <v>397</v>
      </c>
      <c r="GC98" s="25">
        <v>347</v>
      </c>
      <c r="GD98" s="25">
        <v>687</v>
      </c>
      <c r="GE98" s="25">
        <v>8</v>
      </c>
      <c r="GF98" s="25">
        <v>421</v>
      </c>
      <c r="GG98" s="25">
        <v>313</v>
      </c>
      <c r="GH98" s="25">
        <v>0</v>
      </c>
      <c r="GI98" s="25">
        <v>0</v>
      </c>
      <c r="GJ98" s="25">
        <v>0</v>
      </c>
      <c r="GK98" s="25">
        <v>39</v>
      </c>
      <c r="GL98" s="25">
        <v>92</v>
      </c>
      <c r="GM98" s="25">
        <v>3</v>
      </c>
      <c r="GN98" s="25">
        <v>117</v>
      </c>
      <c r="GO98" s="25">
        <v>0</v>
      </c>
      <c r="GP98" s="25">
        <v>11</v>
      </c>
      <c r="GQ98" s="25">
        <v>11</v>
      </c>
      <c r="GR98" s="25">
        <v>70</v>
      </c>
      <c r="GS98" s="25">
        <v>7</v>
      </c>
      <c r="GT98" s="25">
        <v>52</v>
      </c>
      <c r="GU98" s="25">
        <v>20043</v>
      </c>
      <c r="GV98" s="25">
        <v>7</v>
      </c>
      <c r="GW98" s="25">
        <v>10</v>
      </c>
      <c r="GX98" s="25">
        <v>1</v>
      </c>
      <c r="GY98" s="46">
        <v>1511</v>
      </c>
      <c r="GZ98" s="25">
        <v>1368</v>
      </c>
      <c r="HA98" s="25">
        <v>6</v>
      </c>
      <c r="HB98" s="25">
        <v>5</v>
      </c>
      <c r="HC98" s="25">
        <v>47</v>
      </c>
      <c r="HD98" s="25">
        <v>5</v>
      </c>
      <c r="HE98" s="25">
        <v>8</v>
      </c>
      <c r="HF98" s="25">
        <v>37</v>
      </c>
      <c r="HG98" s="25">
        <v>1890</v>
      </c>
      <c r="HH98" s="25">
        <v>0</v>
      </c>
      <c r="HI98" s="25">
        <v>133</v>
      </c>
      <c r="HJ98" s="25">
        <v>37</v>
      </c>
      <c r="HK98" s="25">
        <v>5</v>
      </c>
      <c r="HL98" s="25">
        <v>1</v>
      </c>
      <c r="HM98" s="25">
        <v>21</v>
      </c>
      <c r="HN98" s="25">
        <v>0</v>
      </c>
      <c r="HO98" s="25">
        <v>6</v>
      </c>
      <c r="HP98" s="25">
        <v>0</v>
      </c>
      <c r="HQ98" s="25">
        <v>17994</v>
      </c>
      <c r="HR98" s="25">
        <v>9</v>
      </c>
      <c r="HS98" s="25">
        <v>39753</v>
      </c>
      <c r="HT98" s="25">
        <v>5</v>
      </c>
      <c r="HU98" s="25">
        <v>9</v>
      </c>
      <c r="HV98" s="25">
        <v>0</v>
      </c>
      <c r="HW98" s="25">
        <v>2</v>
      </c>
      <c r="HX98" s="25">
        <v>3</v>
      </c>
      <c r="HY98" s="25">
        <v>1</v>
      </c>
      <c r="HZ98" s="25">
        <v>0</v>
      </c>
      <c r="IA98" s="25">
        <v>0</v>
      </c>
      <c r="IB98" s="25">
        <v>0</v>
      </c>
      <c r="IC98" s="25">
        <v>2</v>
      </c>
      <c r="ID98" s="25">
        <v>0</v>
      </c>
      <c r="IE98" s="25">
        <v>2</v>
      </c>
      <c r="IF98" s="25">
        <v>0</v>
      </c>
      <c r="IG98" s="25">
        <v>0</v>
      </c>
      <c r="IH98" s="25">
        <v>1</v>
      </c>
      <c r="II98" s="25">
        <v>2</v>
      </c>
      <c r="IJ98" s="25">
        <v>0</v>
      </c>
      <c r="IK98" s="25">
        <v>13</v>
      </c>
      <c r="IL98" s="25">
        <v>0</v>
      </c>
      <c r="IM98" s="25">
        <v>0</v>
      </c>
      <c r="IN98" s="25">
        <v>0</v>
      </c>
      <c r="IO98" s="25">
        <v>12</v>
      </c>
      <c r="IP98" s="25">
        <v>5</v>
      </c>
      <c r="IQ98" s="25">
        <v>0</v>
      </c>
      <c r="IR98" s="25">
        <v>0</v>
      </c>
      <c r="IS98" s="25">
        <v>1</v>
      </c>
      <c r="IT98" s="25">
        <v>2</v>
      </c>
      <c r="IU98" s="25">
        <v>1</v>
      </c>
      <c r="IV98" s="25">
        <v>1</v>
      </c>
      <c r="IW98" s="25">
        <v>0</v>
      </c>
      <c r="IX98" s="25">
        <v>0</v>
      </c>
      <c r="IY98" s="25">
        <v>2</v>
      </c>
      <c r="IZ98" s="25">
        <v>0</v>
      </c>
      <c r="JA98" s="25">
        <v>0</v>
      </c>
      <c r="JB98" s="25">
        <v>0</v>
      </c>
      <c r="JC98" s="25">
        <v>0</v>
      </c>
      <c r="JD98" s="25">
        <v>0</v>
      </c>
      <c r="JE98" s="25">
        <v>0</v>
      </c>
      <c r="JF98" s="25">
        <v>0</v>
      </c>
      <c r="JG98" s="25">
        <v>0</v>
      </c>
      <c r="JH98" s="25">
        <v>0</v>
      </c>
      <c r="JI98" s="25">
        <v>5</v>
      </c>
      <c r="JJ98" s="25">
        <v>2</v>
      </c>
      <c r="JK98" s="25">
        <v>60</v>
      </c>
      <c r="JL98" s="25">
        <v>3</v>
      </c>
      <c r="JM98" s="25">
        <v>153</v>
      </c>
      <c r="JN98" s="25">
        <v>9</v>
      </c>
      <c r="JO98" s="25">
        <v>180</v>
      </c>
      <c r="JP98" s="25">
        <v>38</v>
      </c>
      <c r="JQ98" s="25">
        <v>1140</v>
      </c>
      <c r="JR98" s="25">
        <v>389</v>
      </c>
      <c r="JS98" s="25">
        <v>1086</v>
      </c>
      <c r="JT98" s="25">
        <v>67</v>
      </c>
      <c r="JU98" s="25">
        <v>91</v>
      </c>
      <c r="JV98" s="25">
        <v>748</v>
      </c>
      <c r="JW98" s="25">
        <v>673</v>
      </c>
      <c r="JX98" s="25">
        <v>9</v>
      </c>
      <c r="JY98" s="25">
        <v>43</v>
      </c>
      <c r="JZ98" s="25">
        <v>1259</v>
      </c>
      <c r="KA98" s="25">
        <v>545</v>
      </c>
      <c r="KB98" s="25">
        <v>74</v>
      </c>
      <c r="KC98" s="25">
        <v>85</v>
      </c>
      <c r="KD98" s="25">
        <v>144</v>
      </c>
      <c r="KE98" s="25">
        <v>1267</v>
      </c>
      <c r="KF98" s="25">
        <v>32</v>
      </c>
      <c r="KG98" s="25">
        <v>421</v>
      </c>
      <c r="KH98" s="25">
        <v>1404</v>
      </c>
      <c r="KI98" s="25">
        <v>2308</v>
      </c>
      <c r="KJ98" s="25">
        <v>121</v>
      </c>
      <c r="KK98" s="25">
        <v>152</v>
      </c>
      <c r="KL98" s="25">
        <v>197</v>
      </c>
      <c r="KM98" s="25">
        <v>10</v>
      </c>
      <c r="KN98" s="25">
        <v>24</v>
      </c>
      <c r="KO98" s="25">
        <v>151</v>
      </c>
      <c r="KP98" s="25">
        <v>38</v>
      </c>
      <c r="KQ98" s="25">
        <v>4070</v>
      </c>
      <c r="KR98" s="25">
        <v>53</v>
      </c>
      <c r="KS98" s="25">
        <v>18760</v>
      </c>
      <c r="KT98" s="25">
        <v>187</v>
      </c>
      <c r="KU98" s="25">
        <v>9</v>
      </c>
      <c r="KV98" s="25">
        <v>451</v>
      </c>
      <c r="KW98" s="25">
        <v>136</v>
      </c>
      <c r="KX98" s="25">
        <v>72</v>
      </c>
      <c r="KY98" s="25">
        <v>1042</v>
      </c>
      <c r="KZ98" s="25">
        <v>137</v>
      </c>
      <c r="LA98" s="25">
        <v>119</v>
      </c>
      <c r="LB98" s="25">
        <v>7</v>
      </c>
      <c r="LC98" s="25">
        <v>142</v>
      </c>
      <c r="LD98" s="25">
        <v>476</v>
      </c>
      <c r="LE98" s="25">
        <v>25</v>
      </c>
      <c r="LF98" s="25">
        <v>38</v>
      </c>
      <c r="LG98" s="25">
        <v>258</v>
      </c>
      <c r="LH98" s="25">
        <v>613</v>
      </c>
      <c r="LI98" s="25">
        <v>16</v>
      </c>
      <c r="LJ98" s="25">
        <v>212</v>
      </c>
      <c r="LK98" s="25">
        <v>2</v>
      </c>
      <c r="LL98" s="25">
        <v>0</v>
      </c>
      <c r="LM98" s="25">
        <v>0</v>
      </c>
      <c r="LN98" s="278">
        <f ca="1">$A98 - DeathsTimeS!Sweden100dt + 1</f>
        <v>31</v>
      </c>
      <c r="LO98" s="366">
        <f ca="1">INDEX(OFFSET(DeathsTimeS!HeadRow,ROW()-ROW(DeathsTimeS!HeadRow),0,1,COLUMNS(DeathsTimeS!HeadRow)),1,MATCH(LO$5,DeathsTimeS!HeadRow,0))/LO$8</f>
        <v>1477.0283479960901</v>
      </c>
      <c r="LP98" s="278">
        <f ca="1">$A98 - DeathsTimeS!Spain100dt</f>
        <v>38</v>
      </c>
      <c r="LQ98" s="20">
        <f ca="1">INDEX(OFFSET(DeathsTimeS!HeadRow,ROW()-ROW(DeathsTimeS!HeadRow),0,1,COLUMNS(DeathsTimeS!HeadRow)),1,MATCH(LQ$5,DeathsTimeS!HeadRow,0))/LQ$8</f>
        <v>4269.9190455901153</v>
      </c>
      <c r="LR98" s="278">
        <f ca="1">$A98 - DeathsTimeS!Victoria100dt</f>
        <v>15</v>
      </c>
      <c r="LS98" s="20">
        <f ca="1">INDEX(OFFSET(DeathsTimeS!HeadRow,ROW()-ROW(DeathsTimeS!HeadRow),0,1,COLUMNS(DeathsTimeS!HeadRow)),1,MATCH(LS$5,DeathsTimeS!HeadRow,0))/LS$8</f>
        <v>21.119324181626187</v>
      </c>
      <c r="LT98" s="278">
        <f ca="1">$A98 - DeathsTimeS!Iran100dt</f>
        <v>45</v>
      </c>
      <c r="LU98" s="20">
        <f ca="1">INDEX(OFFSET(DeathsTimeS!HeadRow,ROW()-ROW(DeathsTimeS!HeadRow),0,1,COLUMNS(DeathsTimeS!HeadRow)),1,MATCH(LU$5,DeathsTimeS!HeadRow,0))/LU$8</f>
        <v>600.55149033698206</v>
      </c>
      <c r="LV98" s="278">
        <f ca="1">$A98 - DeathsTimeS!Japan100dt</f>
        <v>4</v>
      </c>
      <c r="LW98" s="20">
        <f ca="1">INDEX(OFFSET(DeathsTimeS!HeadRow,ROW()-ROW(DeathsTimeS!HeadRow),0,1,COLUMNS(DeathsTimeS!HeadRow)),1,MATCH(LW$5,DeathsTimeS!HeadRow,0))/LW$8</f>
        <v>17.541890726458135</v>
      </c>
      <c r="LX98" s="278">
        <f ca="1">$A98 - DeathsTimeS!Queensland100dt</f>
        <v>0</v>
      </c>
      <c r="LY98" s="20">
        <f ca="1">INDEX(OFFSET(DeathsTimeS!HeadRow,ROW()-ROW(DeathsTimeS!HeadRow),0,1,COLUMNS(DeathsTimeS!HeadRow)),1,MATCH(LY$5,DeathsTimeS!HeadRow,0))/LY$8</f>
        <v>11.72917109361423</v>
      </c>
      <c r="LZ98" s="278">
        <f ca="1">$A98 - DeathsTimeS!Tasmania100dt</f>
        <v>18</v>
      </c>
      <c r="MA98" s="20">
        <f ca="1">INDEX(OFFSET(DeathsTimeS!HeadRow,ROW()-ROW(DeathsTimeS!HeadRow),0,1,COLUMNS(DeathsTimeS!HeadRow)),1,MATCH(MA$5,DeathsTimeS!HeadRow,0))/MA$8</f>
        <v>135.92233009708738</v>
      </c>
      <c r="MB98" s="278">
        <f ca="1">$A98 - DeathsTimeS!SouthAustralia100dt</f>
        <v>10</v>
      </c>
      <c r="MC98" s="20">
        <f ca="1">INDEX(OFFSET(DeathsTimeS!HeadRow,ROW()-ROW(DeathsTimeS!HeadRow),0,1,COLUMNS(DeathsTimeS!HeadRow)),1,MATCH(MC$5,DeathsTimeS!HeadRow,0))/MC$8</f>
        <v>23.95209580838323</v>
      </c>
      <c r="MD98" s="278">
        <f ca="1">$A98 - DeathsTimeS!WesternAustralia100dt</f>
        <v>13</v>
      </c>
      <c r="ME98" s="20">
        <f ca="1">INDEX(OFFSET(DeathsTimeS!HeadRow,ROW()-ROW(DeathsTimeS!HeadRow),0,1,COLUMNS(DeathsTimeS!HeadRow)),1,MATCH(ME$5,DeathsTimeS!HeadRow,0))/ME$8</f>
        <v>27.037466203167245</v>
      </c>
      <c r="MF98" s="278">
        <f ca="1">$A98 - DeathsTimeS!NewSouthWales100dt</f>
        <v>17</v>
      </c>
      <c r="MG98" s="20">
        <f ca="1">INDEX(OFFSET(DeathsTimeS!HeadRow,ROW()-ROW(DeathsTimeS!HeadRow),0,1,COLUMNS(DeathsTimeS!HeadRow)),1,MATCH(MG$5,DeathsTimeS!HeadRow,0))/MG$8</f>
        <v>32.178217821782177</v>
      </c>
      <c r="MH98" s="278">
        <f ca="1">$A98 - DeathsTimeS!NewYork100dt</f>
        <v>33</v>
      </c>
      <c r="MI98" s="20">
        <f ca="1">INDEX(OFFSET(DeathsTimeS!HeadRow,ROW()-ROW(DeathsTimeS!HeadRow),0,1,COLUMNS(DeathsTimeS!HeadRow)),1,MATCH(MI$5,DeathsTimeS!HeadRow,0))/MI$8</f>
        <v>7939.7106788050569</v>
      </c>
      <c r="MJ98" s="278">
        <f ca="1">$A98 - DeathsTimeS!Italy100dt</f>
        <v>46</v>
      </c>
      <c r="MK98" s="20">
        <f ca="1">INDEX(OFFSET(DeathsTimeS!HeadRow,ROW()-ROW(DeathsTimeS!HeadRow),0,1,COLUMNS(DeathsTimeS!HeadRow)),1,MATCH(MK$5,DeathsTimeS!HeadRow,0))/MK$8</f>
        <v>3840.1256509878485</v>
      </c>
      <c r="ML98" s="278">
        <f ca="1">$A98 - DeathsTimeS!AustralianCapitalTerritory100dt</f>
        <v>19</v>
      </c>
      <c r="MM98" s="20">
        <f ca="1">INDEX(OFFSET(DeathsTimeS!HeadRow,ROW()-ROW(DeathsTimeS!HeadRow),0,1,COLUMNS(DeathsTimeS!HeadRow)),1,MATCH(MM$5,DeathsTimeS!HeadRow,0))/MM$8</f>
        <v>70.083633135541746</v>
      </c>
      <c r="MN98" s="278">
        <f ca="1">IF(DeathsTimeS!NorthernTerritory100dt&gt;0,$A98 - DeathsTimeS!NorthernTerritory100dt,"")</f>
        <v>-9</v>
      </c>
      <c r="MO98" s="20">
        <f ca="1">INDEX(OFFSET(DeathsTimeS!HeadRow,ROW()-ROW(DeathsTimeS!HeadRow),0,1,COLUMNS(DeathsTimeS!HeadRow)),1,MATCH(MO$5,DeathsTimeS!HeadRow,0))/MO$8</f>
        <v>0</v>
      </c>
      <c r="MP98" s="278">
        <f ca="1">$A98 - DeathsTimeS!SouthAfrica100dt + 1</f>
        <v>-1</v>
      </c>
      <c r="MQ98" s="20">
        <f ca="1">INDEX(OFFSET(DeathsTimeS!HeadRow,ROW()-ROW(DeathsTimeS!HeadRow),0,1,COLUMNS(DeathsTimeS!HeadRow)),1,MATCH(MQ$5,DeathsTimeS!HeadRow,0))/MQ$8</f>
        <v>8.9996538594669442</v>
      </c>
      <c r="MR98" s="278">
        <f ca="1">$A98 - DeathsTimeS!Germany100dt + 1</f>
        <v>29</v>
      </c>
      <c r="MS98" s="20">
        <f ca="1">INDEX(OFFSET(DeathsTimeS!HeadRow,ROW()-ROW(DeathsTimeS!HeadRow),0,1,COLUMNS(DeathsTimeS!HeadRow)),1,MATCH(MS$5,DeathsTimeS!HeadRow,0))/MS$8</f>
        <v>537.09949409780779</v>
      </c>
      <c r="MT98" s="278">
        <f ca="1">$A98 - DeathsTimeS!Ireland100dt + 1</f>
        <v>27</v>
      </c>
      <c r="MU98" s="73">
        <f ca="1">INDEX(OFFSET(DeathsTimeS!HeadRow,ROW()-ROW(DeathsTimeS!HeadRow),0,1,COLUMNS(DeathsTimeS!HeadRow)),1,MATCH(MU$5,DeathsTimeS!HeadRow,0))/MU$8</f>
        <v>1165.3061224489795</v>
      </c>
      <c r="MV98" s="278">
        <f ca="1">$A98 - DeathsTimeS!UnitedKingdom100dt + 1</f>
        <v>33</v>
      </c>
      <c r="MW98" s="73">
        <f ca="1">INDEX(OFFSET(DeathsTimeS!HeadRow,ROW()-ROW(DeathsTimeS!HeadRow),0,1,COLUMNS(DeathsTimeS!HeadRow)),1,MATCH(MW$5,DeathsTimeS!HeadRow,0))/MW$8</f>
        <v>2708.3082480433472</v>
      </c>
      <c r="MX98" s="278">
        <f ca="1">$A98 - DeathsTimeS!Denmark100dt + 1</f>
        <v>31</v>
      </c>
      <c r="MY98" s="73">
        <f ca="1">INDEX(OFFSET(DeathsTimeS!HeadRow,ROW()-ROW(DeathsTimeS!HeadRow),0,1,COLUMNS(DeathsTimeS!HeadRow)),1,MATCH(MY$5,DeathsTimeS!HeadRow,0))/MY$8</f>
        <v>595.93523940750947</v>
      </c>
      <c r="MZ98" s="278">
        <f ca="1">$A98 - DeathsTimeS!US100dt + 1</f>
        <v>30</v>
      </c>
      <c r="NA98" s="73">
        <f ca="1">INDEX(OFFSET(DeathsTimeS!HeadRow,ROW()-ROW(DeathsTimeS!HeadRow),0,1,COLUMNS(DeathsTimeS!HeadRow)),1,MATCH(NA$5,DeathsTimeS!HeadRow,0))/NA$8</f>
        <v>1207.4620223533652</v>
      </c>
      <c r="NB98" s="278">
        <f ca="1">$A98 - DeathsTimeS!AustraliaSum100dt + 1</f>
        <v>24</v>
      </c>
      <c r="NC98" s="366">
        <f t="shared" si="7"/>
        <v>67</v>
      </c>
      <c r="ND98" s="278">
        <f ca="1">$A98 - DeathsTimeS!Taiwan100dt + 1</f>
        <v>-8</v>
      </c>
      <c r="NE98" s="366">
        <f ca="1">INDEX(OFFSET(DeathsTimeS!HeadRow,ROW()-ROW(DeathsTimeS!HeadRow),0,1,COLUMNS(DeathsTimeS!HeadRow)),1,MATCH(NE$5,DeathsTimeS!HeadRow,0))/NE$8</f>
        <v>2.5202372954627914</v>
      </c>
      <c r="NF98" s="278">
        <f ca="1">$A98 - DeathsTimeS!Hubei100dt + 1</f>
        <v>83</v>
      </c>
      <c r="NG98" s="366">
        <f ca="1">INDEX(OFFSET(DeathsTimeS!HeadRow,ROW()-ROW(DeathsTimeS!HeadRow),0,1,COLUMNS(DeathsTimeS!HeadRow)),1,MATCH(NG$5,DeathsTimeS!HeadRow,0))/NG$8</f>
        <v>771.28205128205138</v>
      </c>
      <c r="NH98" s="278">
        <f ca="1">$A98 - DeathsTimeS!HongKong100dt + 1</f>
        <v>-8</v>
      </c>
      <c r="NI98" s="366">
        <f ca="1">INDEX(OFFSET(DeathsTimeS!HeadRow,ROW()-ROW(DeathsTimeS!HeadRow),0,1,COLUMNS(DeathsTimeS!HeadRow)),1,MATCH(NI$5,DeathsTimeS!HeadRow,0))/NI$8</f>
        <v>5.3684069252449333</v>
      </c>
    </row>
    <row r="99" spans="1:373" x14ac:dyDescent="0.25">
      <c r="A99" s="156">
        <v>43940</v>
      </c>
      <c r="B99" s="25">
        <v>33</v>
      </c>
      <c r="C99" s="25">
        <v>26</v>
      </c>
      <c r="D99" s="25">
        <v>375</v>
      </c>
      <c r="E99" s="25">
        <v>36</v>
      </c>
      <c r="F99" s="25">
        <v>2</v>
      </c>
      <c r="G99" s="25">
        <v>3</v>
      </c>
      <c r="H99" s="25">
        <v>132</v>
      </c>
      <c r="I99" s="25">
        <v>20</v>
      </c>
      <c r="J99" s="25">
        <v>3</v>
      </c>
      <c r="K99" s="25">
        <v>26</v>
      </c>
      <c r="L99" s="25">
        <v>0</v>
      </c>
      <c r="M99" s="25">
        <v>6</v>
      </c>
      <c r="N99" s="25">
        <v>4</v>
      </c>
      <c r="O99" s="25">
        <v>7</v>
      </c>
      <c r="P99" s="25">
        <v>14</v>
      </c>
      <c r="Q99" s="25">
        <v>7</v>
      </c>
      <c r="R99" s="25">
        <v>452</v>
      </c>
      <c r="S99" s="25">
        <v>19</v>
      </c>
      <c r="T99" s="25">
        <v>9</v>
      </c>
      <c r="U99" s="25">
        <v>7</v>
      </c>
      <c r="V99" s="25">
        <v>91</v>
      </c>
      <c r="W99" s="25">
        <v>5</v>
      </c>
      <c r="X99" s="25">
        <v>47</v>
      </c>
      <c r="Y99" s="25">
        <v>5683</v>
      </c>
      <c r="Z99" s="25">
        <v>1</v>
      </c>
      <c r="AA99" s="25">
        <v>0</v>
      </c>
      <c r="AB99" s="25">
        <v>32</v>
      </c>
      <c r="AC99" s="25">
        <v>48</v>
      </c>
      <c r="AD99" s="25">
        <v>2462</v>
      </c>
      <c r="AE99" s="25">
        <v>1</v>
      </c>
      <c r="AF99" s="25">
        <v>42</v>
      </c>
      <c r="AG99" s="25">
        <v>36</v>
      </c>
      <c r="AH99" s="25">
        <v>1</v>
      </c>
      <c r="AI99" s="25">
        <v>0</v>
      </c>
      <c r="AJ99" s="25">
        <v>42</v>
      </c>
      <c r="AK99" s="25">
        <v>51</v>
      </c>
      <c r="AL99" s="25">
        <v>81</v>
      </c>
      <c r="AM99" s="25">
        <v>0</v>
      </c>
      <c r="AN99" s="25">
        <v>5</v>
      </c>
      <c r="AO99" s="25">
        <v>0</v>
      </c>
      <c r="AP99" s="25">
        <v>3</v>
      </c>
      <c r="AQ99" s="25">
        <v>9</v>
      </c>
      <c r="AR99" s="25">
        <v>591</v>
      </c>
      <c r="AS99" s="25">
        <v>0</v>
      </c>
      <c r="AT99" s="25">
        <v>820</v>
      </c>
      <c r="AU99" s="25">
        <v>4</v>
      </c>
      <c r="AV99" s="25">
        <v>0</v>
      </c>
      <c r="AW99" s="25">
        <v>0</v>
      </c>
      <c r="AX99" s="25">
        <v>133</v>
      </c>
      <c r="AY99" s="25">
        <v>6</v>
      </c>
      <c r="AZ99" s="25">
        <v>8</v>
      </c>
      <c r="BA99" s="25">
        <v>6</v>
      </c>
      <c r="BB99" s="25">
        <v>1</v>
      </c>
      <c r="BC99" s="25">
        <v>2</v>
      </c>
      <c r="BD99" s="25">
        <v>8</v>
      </c>
      <c r="BE99" s="25">
        <v>2</v>
      </c>
      <c r="BF99" s="25">
        <v>2</v>
      </c>
      <c r="BG99" s="25">
        <v>6</v>
      </c>
      <c r="BH99" s="25">
        <v>6</v>
      </c>
      <c r="BI99" s="25">
        <v>13</v>
      </c>
      <c r="BJ99" s="25">
        <v>22</v>
      </c>
      <c r="BK99" s="25">
        <v>4</v>
      </c>
      <c r="BL99" s="25">
        <v>4512</v>
      </c>
      <c r="BM99" s="25">
        <v>4</v>
      </c>
      <c r="BN99" s="25">
        <v>1</v>
      </c>
      <c r="BO99" s="25">
        <v>0</v>
      </c>
      <c r="BP99" s="25">
        <v>1</v>
      </c>
      <c r="BQ99" s="25">
        <v>1</v>
      </c>
      <c r="BR99" s="25">
        <v>2</v>
      </c>
      <c r="BS99" s="25">
        <v>0</v>
      </c>
      <c r="BT99" s="25">
        <v>0</v>
      </c>
      <c r="BU99" s="25">
        <v>0</v>
      </c>
      <c r="BV99" s="25">
        <v>3</v>
      </c>
      <c r="BW99" s="25">
        <v>7</v>
      </c>
      <c r="BX99" s="25">
        <v>7</v>
      </c>
      <c r="BY99" s="25">
        <v>0</v>
      </c>
      <c r="BZ99" s="25">
        <v>3</v>
      </c>
      <c r="CA99" s="25">
        <v>3</v>
      </c>
      <c r="CB99" s="25">
        <v>0</v>
      </c>
      <c r="CC99" s="25">
        <v>3</v>
      </c>
      <c r="CD99" s="25">
        <v>2</v>
      </c>
      <c r="CE99" s="25">
        <v>1</v>
      </c>
      <c r="CF99" s="25">
        <v>179</v>
      </c>
      <c r="CG99" s="25">
        <v>6</v>
      </c>
      <c r="CH99" s="25">
        <v>25</v>
      </c>
      <c r="CI99" s="25">
        <v>5</v>
      </c>
      <c r="CJ99" s="25">
        <v>9</v>
      </c>
      <c r="CK99" s="25">
        <v>47</v>
      </c>
      <c r="CL99" s="25">
        <v>13</v>
      </c>
      <c r="CM99" s="25">
        <v>34</v>
      </c>
      <c r="CN99" s="25">
        <v>12</v>
      </c>
      <c r="CO99" s="25">
        <v>186</v>
      </c>
      <c r="CP99" s="25">
        <v>0</v>
      </c>
      <c r="CQ99" s="25">
        <v>0</v>
      </c>
      <c r="CR99" s="25">
        <v>355</v>
      </c>
      <c r="CS99" s="25">
        <v>2</v>
      </c>
      <c r="CT99" s="25">
        <v>226</v>
      </c>
      <c r="CU99" s="25">
        <v>474</v>
      </c>
      <c r="CV99" s="25">
        <v>239</v>
      </c>
      <c r="CW99" s="25">
        <v>7</v>
      </c>
      <c r="CX99" s="25">
        <v>0</v>
      </c>
      <c r="CY99" s="25">
        <v>0</v>
      </c>
      <c r="CZ99" s="25">
        <v>40</v>
      </c>
      <c r="DA99" s="25">
        <v>1</v>
      </c>
      <c r="DB99" s="25">
        <v>3</v>
      </c>
      <c r="DC99" s="25">
        <v>0</v>
      </c>
      <c r="DD99" s="25">
        <v>94</v>
      </c>
      <c r="DE99" s="25">
        <v>0</v>
      </c>
      <c r="DF99" s="25">
        <v>0</v>
      </c>
      <c r="DG99" s="25">
        <v>8</v>
      </c>
      <c r="DH99" s="25">
        <v>4</v>
      </c>
      <c r="DI99" s="25">
        <v>0</v>
      </c>
      <c r="DJ99" s="25">
        <v>0</v>
      </c>
      <c r="DK99" s="25">
        <v>0</v>
      </c>
      <c r="DL99" s="25">
        <v>2</v>
      </c>
      <c r="DM99" s="25">
        <v>12</v>
      </c>
      <c r="DN99" s="25">
        <v>19694</v>
      </c>
      <c r="DO99" s="25">
        <v>1</v>
      </c>
      <c r="DP99" s="25">
        <v>1</v>
      </c>
      <c r="DQ99" s="25">
        <v>4</v>
      </c>
      <c r="DR99" s="25">
        <v>4586</v>
      </c>
      <c r="DS99" s="25">
        <v>9</v>
      </c>
      <c r="DT99" s="25">
        <v>113</v>
      </c>
      <c r="DU99" s="25">
        <v>7</v>
      </c>
      <c r="DV99" s="25">
        <v>5</v>
      </c>
      <c r="DW99" s="25">
        <v>7</v>
      </c>
      <c r="DX99" s="25">
        <v>3</v>
      </c>
      <c r="DY99" s="25">
        <v>0</v>
      </c>
      <c r="DZ99" s="25">
        <v>46</v>
      </c>
      <c r="EA99" s="25">
        <v>189</v>
      </c>
      <c r="EB99" s="25">
        <v>9</v>
      </c>
      <c r="EC99" s="25">
        <v>559</v>
      </c>
      <c r="ED99" s="25">
        <v>582</v>
      </c>
      <c r="EE99" s="25">
        <v>5118</v>
      </c>
      <c r="EF99" s="25">
        <v>82</v>
      </c>
      <c r="EG99" s="25">
        <v>610</v>
      </c>
      <c r="EH99" s="25">
        <v>172</v>
      </c>
      <c r="EI99" s="25">
        <v>23660</v>
      </c>
      <c r="EJ99" s="25">
        <v>5</v>
      </c>
      <c r="EK99" s="25">
        <v>236</v>
      </c>
      <c r="EL99" s="25">
        <v>7</v>
      </c>
      <c r="EM99" s="25">
        <v>17</v>
      </c>
      <c r="EN99" s="25">
        <v>14</v>
      </c>
      <c r="EO99" s="25">
        <v>234</v>
      </c>
      <c r="EP99" s="25">
        <v>7</v>
      </c>
      <c r="EQ99" s="25">
        <v>5</v>
      </c>
      <c r="ER99" s="25">
        <v>5</v>
      </c>
      <c r="ES99" s="25">
        <v>21</v>
      </c>
      <c r="ET99" s="25">
        <v>8</v>
      </c>
      <c r="EU99" s="25">
        <v>1</v>
      </c>
      <c r="EV99" s="25">
        <v>35</v>
      </c>
      <c r="EW99" s="25">
        <v>73</v>
      </c>
      <c r="EX99" s="25">
        <v>0</v>
      </c>
      <c r="EY99" s="25">
        <v>89</v>
      </c>
      <c r="EZ99" s="25">
        <v>0</v>
      </c>
      <c r="FA99" s="25">
        <v>3</v>
      </c>
      <c r="FB99" s="25">
        <v>1</v>
      </c>
      <c r="FC99" s="25">
        <v>9</v>
      </c>
      <c r="FD99" s="25">
        <v>686</v>
      </c>
      <c r="FE99" s="25">
        <v>67</v>
      </c>
      <c r="FF99" s="25">
        <v>3</v>
      </c>
      <c r="FG99" s="25">
        <v>0</v>
      </c>
      <c r="FH99" s="25">
        <v>5</v>
      </c>
      <c r="FI99" s="25">
        <v>141</v>
      </c>
      <c r="FJ99" s="25">
        <v>0</v>
      </c>
      <c r="FK99" s="25">
        <v>0</v>
      </c>
      <c r="FL99" s="25">
        <v>2</v>
      </c>
      <c r="FM99" s="25">
        <v>1</v>
      </c>
      <c r="FN99" s="25">
        <v>10</v>
      </c>
      <c r="FO99" s="25">
        <v>3684</v>
      </c>
      <c r="FP99" s="25">
        <v>12</v>
      </c>
      <c r="FQ99" s="25">
        <v>2</v>
      </c>
      <c r="FR99" s="25">
        <v>20</v>
      </c>
      <c r="FS99" s="25">
        <v>21</v>
      </c>
      <c r="FT99" s="25">
        <v>51</v>
      </c>
      <c r="FU99" s="25">
        <v>165</v>
      </c>
      <c r="FV99" s="25">
        <v>7</v>
      </c>
      <c r="FW99" s="25">
        <v>168</v>
      </c>
      <c r="FX99" s="25">
        <v>120</v>
      </c>
      <c r="FY99" s="25">
        <v>0</v>
      </c>
      <c r="FZ99" s="25">
        <v>8</v>
      </c>
      <c r="GA99" s="25">
        <v>400</v>
      </c>
      <c r="GB99" s="25">
        <v>409</v>
      </c>
      <c r="GC99" s="25">
        <v>360</v>
      </c>
      <c r="GD99" s="25">
        <v>714</v>
      </c>
      <c r="GE99" s="25">
        <v>8</v>
      </c>
      <c r="GF99" s="25">
        <v>451</v>
      </c>
      <c r="GG99" s="25">
        <v>361</v>
      </c>
      <c r="GH99" s="25">
        <v>0</v>
      </c>
      <c r="GI99" s="25">
        <v>0</v>
      </c>
      <c r="GJ99" s="25">
        <v>0</v>
      </c>
      <c r="GK99" s="25">
        <v>39</v>
      </c>
      <c r="GL99" s="25">
        <v>97</v>
      </c>
      <c r="GM99" s="25">
        <v>3</v>
      </c>
      <c r="GN99" s="25">
        <v>122</v>
      </c>
      <c r="GO99" s="25">
        <v>0</v>
      </c>
      <c r="GP99" s="25">
        <v>11</v>
      </c>
      <c r="GQ99" s="25">
        <v>12</v>
      </c>
      <c r="GR99" s="25">
        <v>74</v>
      </c>
      <c r="GS99" s="25">
        <v>7</v>
      </c>
      <c r="GT99" s="25">
        <v>54</v>
      </c>
      <c r="GU99" s="25">
        <v>20453</v>
      </c>
      <c r="GV99" s="25">
        <v>7</v>
      </c>
      <c r="GW99" s="25">
        <v>10</v>
      </c>
      <c r="GX99" s="25">
        <v>1</v>
      </c>
      <c r="GY99" s="46">
        <v>1540</v>
      </c>
      <c r="GZ99" s="25">
        <v>1393</v>
      </c>
      <c r="HA99" s="25">
        <v>6</v>
      </c>
      <c r="HB99" s="25">
        <v>7</v>
      </c>
      <c r="HC99" s="25">
        <v>47</v>
      </c>
      <c r="HD99" s="25">
        <v>5</v>
      </c>
      <c r="HE99" s="25">
        <v>8</v>
      </c>
      <c r="HF99" s="25">
        <v>38</v>
      </c>
      <c r="HG99" s="25">
        <v>2017</v>
      </c>
      <c r="HH99" s="25">
        <v>0</v>
      </c>
      <c r="HI99" s="25">
        <v>141</v>
      </c>
      <c r="HJ99" s="25">
        <v>41</v>
      </c>
      <c r="HK99" s="25">
        <v>5</v>
      </c>
      <c r="HL99" s="25">
        <v>1</v>
      </c>
      <c r="HM99" s="25">
        <v>21</v>
      </c>
      <c r="HN99" s="25">
        <v>0</v>
      </c>
      <c r="HO99" s="25">
        <v>6</v>
      </c>
      <c r="HP99" s="25">
        <v>0</v>
      </c>
      <c r="HQ99" s="25">
        <v>18492</v>
      </c>
      <c r="HR99" s="25">
        <v>10</v>
      </c>
      <c r="HS99" s="25">
        <v>40945</v>
      </c>
      <c r="HT99" s="25">
        <v>5</v>
      </c>
      <c r="HU99" s="25">
        <v>9</v>
      </c>
      <c r="HV99" s="25">
        <v>0</v>
      </c>
      <c r="HW99" s="25">
        <v>3</v>
      </c>
      <c r="HX99" s="25">
        <v>3</v>
      </c>
      <c r="HY99" s="25">
        <v>1</v>
      </c>
      <c r="HZ99" s="25">
        <v>0</v>
      </c>
      <c r="IA99" s="25">
        <v>0</v>
      </c>
      <c r="IB99" s="25">
        <v>0</v>
      </c>
      <c r="IC99" s="25">
        <v>3</v>
      </c>
      <c r="ID99" s="25">
        <v>0</v>
      </c>
      <c r="IE99" s="25">
        <v>2</v>
      </c>
      <c r="IF99" s="25">
        <v>0</v>
      </c>
      <c r="IG99" s="25">
        <v>0</v>
      </c>
      <c r="IH99" s="25">
        <v>1</v>
      </c>
      <c r="II99" s="25">
        <v>3</v>
      </c>
      <c r="IJ99" s="25">
        <v>0</v>
      </c>
      <c r="IK99" s="25">
        <v>14</v>
      </c>
      <c r="IL99" s="25">
        <v>0</v>
      </c>
      <c r="IM99" s="25">
        <v>0</v>
      </c>
      <c r="IN99" s="25">
        <v>0</v>
      </c>
      <c r="IO99" s="25">
        <v>12</v>
      </c>
      <c r="IP99" s="25">
        <v>5</v>
      </c>
      <c r="IQ99" s="25">
        <v>0</v>
      </c>
      <c r="IR99" s="25">
        <v>1</v>
      </c>
      <c r="IS99" s="25">
        <v>1</v>
      </c>
      <c r="IT99" s="25">
        <v>2</v>
      </c>
      <c r="IU99" s="25">
        <v>1</v>
      </c>
      <c r="IV99" s="25">
        <v>1</v>
      </c>
      <c r="IW99" s="25">
        <v>0</v>
      </c>
      <c r="IX99" s="25">
        <v>0</v>
      </c>
      <c r="IY99" s="25">
        <v>2</v>
      </c>
      <c r="IZ99" s="25">
        <v>0</v>
      </c>
      <c r="JA99" s="25">
        <v>0</v>
      </c>
      <c r="JB99" s="25">
        <v>0</v>
      </c>
      <c r="JC99" s="25">
        <v>0</v>
      </c>
      <c r="JD99" s="25">
        <v>0</v>
      </c>
      <c r="JE99" s="25">
        <v>0</v>
      </c>
      <c r="JF99" s="25">
        <v>0</v>
      </c>
      <c r="JG99" s="25">
        <v>0</v>
      </c>
      <c r="JH99" s="25">
        <v>0</v>
      </c>
      <c r="JI99" s="25">
        <v>5</v>
      </c>
      <c r="JJ99" s="25">
        <v>2</v>
      </c>
      <c r="JK99" s="25">
        <v>62</v>
      </c>
      <c r="JL99" s="25">
        <v>3</v>
      </c>
      <c r="JM99" s="25">
        <v>157</v>
      </c>
      <c r="JN99" s="25">
        <v>9</v>
      </c>
      <c r="JO99" s="25">
        <v>184</v>
      </c>
      <c r="JP99" s="25">
        <v>39</v>
      </c>
      <c r="JQ99" s="25">
        <v>1177</v>
      </c>
      <c r="JR99" s="25">
        <v>420</v>
      </c>
      <c r="JS99" s="25">
        <v>1127</v>
      </c>
      <c r="JT99" s="25">
        <v>67</v>
      </c>
      <c r="JU99" s="25">
        <v>96</v>
      </c>
      <c r="JV99" s="25">
        <v>774</v>
      </c>
      <c r="JW99" s="25">
        <v>687</v>
      </c>
      <c r="JX99" s="25">
        <v>10</v>
      </c>
      <c r="JY99" s="25">
        <v>44</v>
      </c>
      <c r="JZ99" s="25">
        <v>1290</v>
      </c>
      <c r="KA99" s="25">
        <v>562</v>
      </c>
      <c r="KB99" s="25">
        <v>75</v>
      </c>
      <c r="KC99" s="25">
        <v>93</v>
      </c>
      <c r="KD99" s="25">
        <v>146</v>
      </c>
      <c r="KE99" s="25">
        <v>1296</v>
      </c>
      <c r="KF99" s="25">
        <v>34</v>
      </c>
      <c r="KG99" s="25">
        <v>461</v>
      </c>
      <c r="KH99" s="25">
        <v>1706</v>
      </c>
      <c r="KI99" s="25">
        <v>2391</v>
      </c>
      <c r="KJ99" s="25">
        <v>134</v>
      </c>
      <c r="KK99" s="25">
        <v>159</v>
      </c>
      <c r="KL99" s="25">
        <v>199</v>
      </c>
      <c r="KM99" s="25">
        <v>10</v>
      </c>
      <c r="KN99" s="25">
        <v>28</v>
      </c>
      <c r="KO99" s="25">
        <v>158</v>
      </c>
      <c r="KP99" s="25">
        <v>38</v>
      </c>
      <c r="KQ99" s="25">
        <v>4362</v>
      </c>
      <c r="KR99" s="25">
        <v>55</v>
      </c>
      <c r="KS99" s="25">
        <v>18582</v>
      </c>
      <c r="KT99" s="25">
        <v>200</v>
      </c>
      <c r="KU99" s="25">
        <v>9</v>
      </c>
      <c r="KV99" s="25">
        <v>471</v>
      </c>
      <c r="KW99" s="25">
        <v>140</v>
      </c>
      <c r="KX99" s="25">
        <v>74</v>
      </c>
      <c r="KY99" s="25">
        <v>1276</v>
      </c>
      <c r="KZ99" s="25">
        <v>150</v>
      </c>
      <c r="LA99" s="25">
        <v>120</v>
      </c>
      <c r="LB99" s="25">
        <v>7</v>
      </c>
      <c r="LC99" s="25">
        <v>148</v>
      </c>
      <c r="LD99" s="25">
        <v>490</v>
      </c>
      <c r="LE99" s="25">
        <v>27</v>
      </c>
      <c r="LF99" s="25">
        <v>38</v>
      </c>
      <c r="LG99" s="25">
        <v>277</v>
      </c>
      <c r="LH99" s="25">
        <v>636</v>
      </c>
      <c r="LI99" s="25">
        <v>18</v>
      </c>
      <c r="LJ99" s="25">
        <v>220</v>
      </c>
      <c r="LK99" s="25">
        <v>2</v>
      </c>
      <c r="LL99" s="25">
        <v>0</v>
      </c>
      <c r="LM99" s="25">
        <v>0</v>
      </c>
      <c r="LN99" s="278">
        <f ca="1">$A99 - DeathsTimeS!Sweden100dt + 1</f>
        <v>32</v>
      </c>
      <c r="LO99" s="366">
        <f ca="1">INDEX(OFFSET(DeathsTimeS!HeadRow,ROW()-ROW(DeathsTimeS!HeadRow),0,1,COLUMNS(DeathsTimeS!HeadRow)),1,MATCH(LO$5,DeathsTimeS!HeadRow,0))/LO$8</f>
        <v>1505.3763440860216</v>
      </c>
      <c r="LP99" s="278">
        <f ca="1">$A99 - DeathsTimeS!Spain100dt</f>
        <v>39</v>
      </c>
      <c r="LQ99" s="20">
        <f ca="1">INDEX(OFFSET(DeathsTimeS!HeadRow,ROW()-ROW(DeathsTimeS!HeadRow),0,1,COLUMNS(DeathsTimeS!HeadRow)),1,MATCH(LQ$5,DeathsTimeS!HeadRow,0))/LQ$8</f>
        <v>4357.2645930975714</v>
      </c>
      <c r="LR99" s="278">
        <f ca="1">$A99 - DeathsTimeS!Victoria100dt</f>
        <v>16</v>
      </c>
      <c r="LS99" s="20">
        <f ca="1">INDEX(OFFSET(DeathsTimeS!HeadRow,ROW()-ROW(DeathsTimeS!HeadRow),0,1,COLUMNS(DeathsTimeS!HeadRow)),1,MATCH(LS$5,DeathsTimeS!HeadRow,0))/LS$8</f>
        <v>21.119324181626187</v>
      </c>
      <c r="LT99" s="278">
        <f ca="1">$A99 - DeathsTimeS!Iran100dt</f>
        <v>46</v>
      </c>
      <c r="LU99" s="20">
        <f ca="1">INDEX(OFFSET(DeathsTimeS!HeadRow,ROW()-ROW(DeathsTimeS!HeadRow),0,1,COLUMNS(DeathsTimeS!HeadRow)),1,MATCH(LU$5,DeathsTimeS!HeadRow,0))/LU$8</f>
        <v>610.93669798144992</v>
      </c>
      <c r="LV99" s="278">
        <f ca="1">$A99 - DeathsTimeS!Japan100dt</f>
        <v>5</v>
      </c>
      <c r="LW99" s="20">
        <f ca="1">INDEX(OFFSET(DeathsTimeS!HeadRow,ROW()-ROW(DeathsTimeS!HeadRow),0,1,COLUMNS(DeathsTimeS!HeadRow)),1,MATCH(LW$5,DeathsTimeS!HeadRow,0))/LW$8</f>
        <v>18.648136087586124</v>
      </c>
      <c r="LX99" s="278">
        <f ca="1">$A99 - DeathsTimeS!Queensland100dt</f>
        <v>1</v>
      </c>
      <c r="LY99" s="20">
        <f ca="1">INDEX(OFFSET(DeathsTimeS!HeadRow,ROW()-ROW(DeathsTimeS!HeadRow),0,1,COLUMNS(DeathsTimeS!HeadRow)),1,MATCH(LY$5,DeathsTimeS!HeadRow,0))/LY$8</f>
        <v>11.72917109361423</v>
      </c>
      <c r="LZ99" s="278">
        <f ca="1">$A99 - DeathsTimeS!Tasmania100dt</f>
        <v>19</v>
      </c>
      <c r="MA99" s="20">
        <f ca="1">INDEX(OFFSET(DeathsTimeS!HeadRow,ROW()-ROW(DeathsTimeS!HeadRow),0,1,COLUMNS(DeathsTimeS!HeadRow)),1,MATCH(MA$5,DeathsTimeS!HeadRow,0))/MA$8</f>
        <v>135.92233009708738</v>
      </c>
      <c r="MB99" s="278">
        <f ca="1">$A99 - DeathsTimeS!SouthAustralia100dt</f>
        <v>11</v>
      </c>
      <c r="MC99" s="20">
        <f ca="1">INDEX(OFFSET(DeathsTimeS!HeadRow,ROW()-ROW(DeathsTimeS!HeadRow),0,1,COLUMNS(DeathsTimeS!HeadRow)),1,MATCH(MC$5,DeathsTimeS!HeadRow,0))/MC$8</f>
        <v>23.95209580838323</v>
      </c>
      <c r="MD99" s="278">
        <f ca="1">$A99 - DeathsTimeS!WesternAustralia100dt</f>
        <v>14</v>
      </c>
      <c r="ME99" s="20">
        <f ca="1">INDEX(OFFSET(DeathsTimeS!HeadRow,ROW()-ROW(DeathsTimeS!HeadRow),0,1,COLUMNS(DeathsTimeS!HeadRow)),1,MATCH(ME$5,DeathsTimeS!HeadRow,0))/ME$8</f>
        <v>27.037466203167245</v>
      </c>
      <c r="MF99" s="278">
        <f ca="1">$A99 - DeathsTimeS!NewSouthWales100dt</f>
        <v>18</v>
      </c>
      <c r="MG99" s="20">
        <f ca="1">INDEX(OFFSET(DeathsTimeS!HeadRow,ROW()-ROW(DeathsTimeS!HeadRow),0,1,COLUMNS(DeathsTimeS!HeadRow)),1,MATCH(MG$5,DeathsTimeS!HeadRow,0))/MG$8</f>
        <v>32.178217821782177</v>
      </c>
      <c r="MH99" s="278">
        <f ca="1">$A99 - DeathsTimeS!NewYork100dt</f>
        <v>34</v>
      </c>
      <c r="MI99" s="20">
        <f ca="1">INDEX(OFFSET(DeathsTimeS!HeadRow,ROW()-ROW(DeathsTimeS!HeadRow),0,1,COLUMNS(DeathsTimeS!HeadRow)),1,MATCH(MI$5,DeathsTimeS!HeadRow,0))/MI$8</f>
        <v>7864.3765369699122</v>
      </c>
      <c r="MJ99" s="278">
        <f ca="1">$A99 - DeathsTimeS!Italy100dt</f>
        <v>47</v>
      </c>
      <c r="MK99" s="20">
        <f ca="1">INDEX(OFFSET(DeathsTimeS!HeadRow,ROW()-ROW(DeathsTimeS!HeadRow),0,1,COLUMNS(DeathsTimeS!HeadRow)),1,MATCH(MK$5,DeathsTimeS!HeadRow,0))/MK$8</f>
        <v>3911.7136480119038</v>
      </c>
      <c r="ML99" s="278">
        <f ca="1">$A99 - DeathsTimeS!AustralianCapitalTerritory100dt</f>
        <v>20</v>
      </c>
      <c r="MM99" s="20">
        <f ca="1">INDEX(OFFSET(DeathsTimeS!HeadRow,ROW()-ROW(DeathsTimeS!HeadRow),0,1,COLUMNS(DeathsTimeS!HeadRow)),1,MATCH(MM$5,DeathsTimeS!HeadRow,0))/MM$8</f>
        <v>70.083633135541746</v>
      </c>
      <c r="MN99" s="278">
        <f ca="1">IF(DeathsTimeS!NorthernTerritory100dt&gt;0,$A99 - DeathsTimeS!NorthernTerritory100dt,"")</f>
        <v>-8</v>
      </c>
      <c r="MO99" s="20">
        <f ca="1">INDEX(OFFSET(DeathsTimeS!HeadRow,ROW()-ROW(DeathsTimeS!HeadRow),0,1,COLUMNS(DeathsTimeS!HeadRow)),1,MATCH(MO$5,DeathsTimeS!HeadRow,0))/MO$8</f>
        <v>0</v>
      </c>
      <c r="MP99" s="278">
        <f ca="1">$A99 - DeathsTimeS!SouthAfrica100dt + 1</f>
        <v>0</v>
      </c>
      <c r="MQ99" s="20">
        <f ca="1">INDEX(OFFSET(DeathsTimeS!HeadRow,ROW()-ROW(DeathsTimeS!HeadRow),0,1,COLUMNS(DeathsTimeS!HeadRow)),1,MATCH(MQ$5,DeathsTimeS!HeadRow,0))/MQ$8</f>
        <v>9.3457943925233646</v>
      </c>
      <c r="MR99" s="278">
        <f ca="1">$A99 - DeathsTimeS!Germany100dt + 1</f>
        <v>30</v>
      </c>
      <c r="MS99" s="20">
        <f ca="1">INDEX(OFFSET(DeathsTimeS!HeadRow,ROW()-ROW(DeathsTimeS!HeadRow),0,1,COLUMNS(DeathsTimeS!HeadRow)),1,MATCH(MS$5,DeathsTimeS!HeadRow,0))/MS$8</f>
        <v>552.3970127680077</v>
      </c>
      <c r="MT99" s="278">
        <f ca="1">$A99 - DeathsTimeS!Ireland100dt + 1</f>
        <v>28</v>
      </c>
      <c r="MU99" s="73">
        <f ca="1">INDEX(OFFSET(DeathsTimeS!HeadRow,ROW()-ROW(DeathsTimeS!HeadRow),0,1,COLUMNS(DeathsTimeS!HeadRow)),1,MATCH(MU$5,DeathsTimeS!HeadRow,0))/MU$8</f>
        <v>1244.8979591836735</v>
      </c>
      <c r="MV99" s="278">
        <f ca="1">$A99 - DeathsTimeS!UnitedKingdom100dt + 1</f>
        <v>34</v>
      </c>
      <c r="MW99" s="73">
        <f ca="1">INDEX(OFFSET(DeathsTimeS!HeadRow,ROW()-ROW(DeathsTimeS!HeadRow),0,1,COLUMNS(DeathsTimeS!HeadRow)),1,MATCH(MW$5,DeathsTimeS!HeadRow,0))/MW$8</f>
        <v>2783.2630945213728</v>
      </c>
      <c r="MX99" s="278">
        <f ca="1">$A99 - DeathsTimeS!Denmark100dt + 1</f>
        <v>32</v>
      </c>
      <c r="MY99" s="73">
        <f ca="1">INDEX(OFFSET(DeathsTimeS!HeadRow,ROW()-ROW(DeathsTimeS!HeadRow),0,1,COLUMNS(DeathsTimeS!HeadRow)),1,MATCH(MY$5,DeathsTimeS!HeadRow,0))/MY$8</f>
        <v>611.43644505683778</v>
      </c>
      <c r="MZ99" s="278">
        <f ca="1">$A99 - DeathsTimeS!US100dt + 1</f>
        <v>31</v>
      </c>
      <c r="NA99" s="73">
        <f ca="1">INDEX(OFFSET(DeathsTimeS!HeadRow,ROW()-ROW(DeathsTimeS!HeadRow),0,1,COLUMNS(DeathsTimeS!HeadRow)),1,MATCH(NA$5,DeathsTimeS!HeadRow,0))/NA$8</f>
        <v>1243.6679622986576</v>
      </c>
      <c r="NB99" s="278">
        <f ca="1">$A99 - DeathsTimeS!AustraliaSum100dt + 1</f>
        <v>25</v>
      </c>
      <c r="NC99" s="366">
        <f t="shared" si="7"/>
        <v>67</v>
      </c>
      <c r="ND99" s="278">
        <f ca="1">$A99 - DeathsTimeS!Taiwan100dt + 1</f>
        <v>-7</v>
      </c>
      <c r="NE99" s="366">
        <f ca="1">INDEX(OFFSET(DeathsTimeS!HeadRow,ROW()-ROW(DeathsTimeS!HeadRow),0,1,COLUMNS(DeathsTimeS!HeadRow)),1,MATCH(NE$5,DeathsTimeS!HeadRow,0))/NE$8</f>
        <v>2.5202372954627914</v>
      </c>
      <c r="NF99" s="278">
        <f ca="1">$A99 - DeathsTimeS!Hubei100dt + 1</f>
        <v>84</v>
      </c>
      <c r="NG99" s="366">
        <f ca="1">INDEX(OFFSET(DeathsTimeS!HeadRow,ROW()-ROW(DeathsTimeS!HeadRow),0,1,COLUMNS(DeathsTimeS!HeadRow)),1,MATCH(NG$5,DeathsTimeS!HeadRow,0))/NG$8</f>
        <v>771.28205128205138</v>
      </c>
      <c r="NH99" s="278">
        <f ca="1">$A99 - DeathsTimeS!HongKong100dt + 1</f>
        <v>-7</v>
      </c>
      <c r="NI99" s="366">
        <f ca="1">INDEX(OFFSET(DeathsTimeS!HeadRow,ROW()-ROW(DeathsTimeS!HeadRow),0,1,COLUMNS(DeathsTimeS!HeadRow)),1,MATCH(NI$5,DeathsTimeS!HeadRow,0))/NI$8</f>
        <v>5.3684069252449333</v>
      </c>
    </row>
    <row r="100" spans="1:373" x14ac:dyDescent="0.25">
      <c r="A100" s="156">
        <v>43941</v>
      </c>
      <c r="B100" s="25">
        <v>36</v>
      </c>
      <c r="C100" s="25">
        <v>26</v>
      </c>
      <c r="D100" s="25">
        <v>384</v>
      </c>
      <c r="E100" s="25">
        <v>37</v>
      </c>
      <c r="F100" s="25">
        <v>2</v>
      </c>
      <c r="G100" s="25">
        <v>3</v>
      </c>
      <c r="H100" s="25">
        <v>136</v>
      </c>
      <c r="I100" s="25">
        <v>22</v>
      </c>
      <c r="J100" s="25">
        <v>3</v>
      </c>
      <c r="K100" s="25">
        <v>26</v>
      </c>
      <c r="L100" s="25">
        <v>0</v>
      </c>
      <c r="M100" s="25">
        <v>6</v>
      </c>
      <c r="N100" s="25">
        <v>4</v>
      </c>
      <c r="O100" s="25">
        <v>7</v>
      </c>
      <c r="P100" s="25">
        <v>14</v>
      </c>
      <c r="Q100" s="25">
        <v>7</v>
      </c>
      <c r="R100" s="25">
        <v>470</v>
      </c>
      <c r="S100" s="25">
        <v>19</v>
      </c>
      <c r="T100" s="25">
        <v>9</v>
      </c>
      <c r="U100" s="25">
        <v>7</v>
      </c>
      <c r="V100" s="25">
        <v>101</v>
      </c>
      <c r="W100" s="25">
        <v>5</v>
      </c>
      <c r="X100" s="25">
        <v>51</v>
      </c>
      <c r="Y100" s="25">
        <v>5828</v>
      </c>
      <c r="Z100" s="25">
        <v>1</v>
      </c>
      <c r="AA100" s="25">
        <v>0</v>
      </c>
      <c r="AB100" s="25">
        <v>33</v>
      </c>
      <c r="AC100" s="25">
        <v>49</v>
      </c>
      <c r="AD100" s="25">
        <v>2587</v>
      </c>
      <c r="AE100" s="25">
        <v>1</v>
      </c>
      <c r="AF100" s="25">
        <v>43</v>
      </c>
      <c r="AG100" s="25">
        <v>38</v>
      </c>
      <c r="AH100" s="25">
        <v>1</v>
      </c>
      <c r="AI100" s="25">
        <v>0</v>
      </c>
      <c r="AJ100" s="25">
        <v>42</v>
      </c>
      <c r="AK100" s="25">
        <v>59</v>
      </c>
      <c r="AL100" s="25">
        <v>82</v>
      </c>
      <c r="AM100" s="25">
        <v>0</v>
      </c>
      <c r="AN100" s="25">
        <v>6</v>
      </c>
      <c r="AO100" s="25">
        <v>0</v>
      </c>
      <c r="AP100" s="25">
        <v>3</v>
      </c>
      <c r="AQ100" s="25">
        <v>9</v>
      </c>
      <c r="AR100" s="25">
        <v>624</v>
      </c>
      <c r="AS100" s="25">
        <v>0</v>
      </c>
      <c r="AT100" s="25">
        <v>939</v>
      </c>
      <c r="AU100" s="25">
        <v>4</v>
      </c>
      <c r="AV100" s="25">
        <v>0</v>
      </c>
      <c r="AW100" s="25">
        <v>0</v>
      </c>
      <c r="AX100" s="25">
        <v>139</v>
      </c>
      <c r="AY100" s="25">
        <v>6</v>
      </c>
      <c r="AZ100" s="25">
        <v>8</v>
      </c>
      <c r="BA100" s="25">
        <v>6</v>
      </c>
      <c r="BB100" s="25">
        <v>1</v>
      </c>
      <c r="BC100" s="25">
        <v>2</v>
      </c>
      <c r="BD100" s="25">
        <v>8</v>
      </c>
      <c r="BE100" s="25">
        <v>2</v>
      </c>
      <c r="BF100" s="25">
        <v>2</v>
      </c>
      <c r="BG100" s="25">
        <v>6</v>
      </c>
      <c r="BH100" s="25">
        <v>6</v>
      </c>
      <c r="BI100" s="25">
        <v>13</v>
      </c>
      <c r="BJ100" s="25">
        <v>22</v>
      </c>
      <c r="BK100" s="25">
        <v>4</v>
      </c>
      <c r="BL100" s="25">
        <v>4512</v>
      </c>
      <c r="BM100" s="25">
        <v>4</v>
      </c>
      <c r="BN100" s="25">
        <v>1</v>
      </c>
      <c r="BO100" s="25">
        <v>0</v>
      </c>
      <c r="BP100" s="25">
        <v>1</v>
      </c>
      <c r="BQ100" s="25">
        <v>1</v>
      </c>
      <c r="BR100" s="25">
        <v>2</v>
      </c>
      <c r="BS100" s="25">
        <v>0</v>
      </c>
      <c r="BT100" s="25">
        <v>0</v>
      </c>
      <c r="BU100" s="25">
        <v>0</v>
      </c>
      <c r="BV100" s="25">
        <v>3</v>
      </c>
      <c r="BW100" s="25">
        <v>7</v>
      </c>
      <c r="BX100" s="25">
        <v>7</v>
      </c>
      <c r="BY100" s="25">
        <v>0</v>
      </c>
      <c r="BZ100" s="25">
        <v>3</v>
      </c>
      <c r="CA100" s="25">
        <v>3</v>
      </c>
      <c r="CB100" s="25">
        <v>0</v>
      </c>
      <c r="CC100" s="25">
        <v>3</v>
      </c>
      <c r="CD100" s="25">
        <v>2</v>
      </c>
      <c r="CE100" s="25">
        <v>1</v>
      </c>
      <c r="CF100" s="25">
        <v>189</v>
      </c>
      <c r="CG100" s="25">
        <v>6</v>
      </c>
      <c r="CH100" s="25">
        <v>25</v>
      </c>
      <c r="CI100" s="25">
        <v>6</v>
      </c>
      <c r="CJ100" s="25">
        <v>9</v>
      </c>
      <c r="CK100" s="25">
        <v>47</v>
      </c>
      <c r="CL100" s="25">
        <v>13</v>
      </c>
      <c r="CM100" s="25">
        <v>36</v>
      </c>
      <c r="CN100" s="25">
        <v>12</v>
      </c>
      <c r="CO100" s="25">
        <v>194</v>
      </c>
      <c r="CP100" s="25">
        <v>0</v>
      </c>
      <c r="CQ100" s="25">
        <v>0</v>
      </c>
      <c r="CR100" s="25">
        <v>364</v>
      </c>
      <c r="CS100" s="25">
        <v>2</v>
      </c>
      <c r="CT100" s="25">
        <v>235</v>
      </c>
      <c r="CU100" s="25">
        <v>507</v>
      </c>
      <c r="CV100" s="25">
        <v>250</v>
      </c>
      <c r="CW100" s="25">
        <v>7</v>
      </c>
      <c r="CX100" s="25">
        <v>0</v>
      </c>
      <c r="CY100" s="25">
        <v>0</v>
      </c>
      <c r="CZ100" s="25">
        <v>40</v>
      </c>
      <c r="DA100" s="25">
        <v>1</v>
      </c>
      <c r="DB100" s="25">
        <v>3</v>
      </c>
      <c r="DC100" s="25">
        <v>0</v>
      </c>
      <c r="DD100" s="25">
        <v>98</v>
      </c>
      <c r="DE100" s="25">
        <v>1</v>
      </c>
      <c r="DF100" s="25">
        <v>0</v>
      </c>
      <c r="DG100" s="25">
        <v>8</v>
      </c>
      <c r="DH100" s="25">
        <v>4</v>
      </c>
      <c r="DI100" s="25">
        <v>0</v>
      </c>
      <c r="DJ100" s="25">
        <v>0</v>
      </c>
      <c r="DK100" s="25">
        <v>0</v>
      </c>
      <c r="DL100" s="25">
        <v>2</v>
      </c>
      <c r="DM100" s="25">
        <v>12</v>
      </c>
      <c r="DN100" s="25">
        <v>20240</v>
      </c>
      <c r="DO100" s="25">
        <v>1</v>
      </c>
      <c r="DP100" s="25">
        <v>1</v>
      </c>
      <c r="DQ100" s="25">
        <v>4</v>
      </c>
      <c r="DR100" s="25">
        <v>4862</v>
      </c>
      <c r="DS100" s="25">
        <v>9</v>
      </c>
      <c r="DT100" s="25">
        <v>116</v>
      </c>
      <c r="DU100" s="25">
        <v>7</v>
      </c>
      <c r="DV100" s="25">
        <v>5</v>
      </c>
      <c r="DW100" s="25">
        <v>7</v>
      </c>
      <c r="DX100" s="25">
        <v>3</v>
      </c>
      <c r="DY100" s="25">
        <v>0</v>
      </c>
      <c r="DZ100" s="25">
        <v>46</v>
      </c>
      <c r="EA100" s="25">
        <v>199</v>
      </c>
      <c r="EB100" s="25">
        <v>10</v>
      </c>
      <c r="EC100" s="25">
        <v>592</v>
      </c>
      <c r="ED100" s="25">
        <v>590</v>
      </c>
      <c r="EE100" s="25">
        <v>5209</v>
      </c>
      <c r="EF100" s="25">
        <v>82</v>
      </c>
      <c r="EG100" s="25">
        <v>687</v>
      </c>
      <c r="EH100" s="25">
        <v>177</v>
      </c>
      <c r="EI100" s="25">
        <v>24114</v>
      </c>
      <c r="EJ100" s="25">
        <v>5</v>
      </c>
      <c r="EK100" s="25">
        <v>236</v>
      </c>
      <c r="EL100" s="25">
        <v>7</v>
      </c>
      <c r="EM100" s="25">
        <v>19</v>
      </c>
      <c r="EN100" s="25">
        <v>14</v>
      </c>
      <c r="EO100" s="25">
        <v>236</v>
      </c>
      <c r="EP100" s="25">
        <v>9</v>
      </c>
      <c r="EQ100" s="25">
        <v>7</v>
      </c>
      <c r="ER100" s="25">
        <v>5</v>
      </c>
      <c r="ES100" s="25">
        <v>21</v>
      </c>
      <c r="ET100" s="25">
        <v>8</v>
      </c>
      <c r="EU100" s="25">
        <v>1</v>
      </c>
      <c r="EV100" s="25">
        <v>37</v>
      </c>
      <c r="EW100" s="25">
        <v>75</v>
      </c>
      <c r="EX100" s="25">
        <v>0</v>
      </c>
      <c r="EY100" s="25">
        <v>89</v>
      </c>
      <c r="EZ100" s="25">
        <v>0</v>
      </c>
      <c r="FA100" s="25">
        <v>3</v>
      </c>
      <c r="FB100" s="25">
        <v>1</v>
      </c>
      <c r="FC100" s="25">
        <v>9</v>
      </c>
      <c r="FD100" s="25">
        <v>712</v>
      </c>
      <c r="FE100" s="25">
        <v>70</v>
      </c>
      <c r="FF100" s="25">
        <v>3</v>
      </c>
      <c r="FG100" s="25">
        <v>0</v>
      </c>
      <c r="FH100" s="25">
        <v>5</v>
      </c>
      <c r="FI100" s="25">
        <v>143</v>
      </c>
      <c r="FJ100" s="25">
        <v>0</v>
      </c>
      <c r="FK100" s="25">
        <v>0</v>
      </c>
      <c r="FL100" s="25">
        <v>2</v>
      </c>
      <c r="FM100" s="25">
        <v>1</v>
      </c>
      <c r="FN100" s="25">
        <v>10</v>
      </c>
      <c r="FO100" s="25">
        <v>3751</v>
      </c>
      <c r="FP100" s="25">
        <v>12</v>
      </c>
      <c r="FQ100" s="25">
        <v>2</v>
      </c>
      <c r="FR100" s="25">
        <v>20</v>
      </c>
      <c r="FS100" s="25">
        <v>22</v>
      </c>
      <c r="FT100" s="25">
        <v>54</v>
      </c>
      <c r="FU100" s="25">
        <v>181</v>
      </c>
      <c r="FV100" s="25">
        <v>7</v>
      </c>
      <c r="FW100" s="25">
        <v>176</v>
      </c>
      <c r="FX100" s="25">
        <v>126</v>
      </c>
      <c r="FY100" s="25">
        <v>0</v>
      </c>
      <c r="FZ100" s="25">
        <v>8</v>
      </c>
      <c r="GA100" s="25">
        <v>445</v>
      </c>
      <c r="GB100" s="25">
        <v>428</v>
      </c>
      <c r="GC100" s="25">
        <v>380</v>
      </c>
      <c r="GD100" s="25">
        <v>735</v>
      </c>
      <c r="GE100" s="25">
        <v>9</v>
      </c>
      <c r="GF100" s="25">
        <v>478</v>
      </c>
      <c r="GG100" s="25">
        <v>405</v>
      </c>
      <c r="GH100" s="25">
        <v>0</v>
      </c>
      <c r="GI100" s="25">
        <v>0</v>
      </c>
      <c r="GJ100" s="25">
        <v>0</v>
      </c>
      <c r="GK100" s="25">
        <v>39</v>
      </c>
      <c r="GL100" s="25">
        <v>103</v>
      </c>
      <c r="GM100" s="25">
        <v>5</v>
      </c>
      <c r="GN100" s="25">
        <v>125</v>
      </c>
      <c r="GO100" s="25">
        <v>0</v>
      </c>
      <c r="GP100" s="25">
        <v>11</v>
      </c>
      <c r="GQ100" s="25">
        <v>13</v>
      </c>
      <c r="GR100" s="25">
        <v>77</v>
      </c>
      <c r="GS100" s="25">
        <v>8</v>
      </c>
      <c r="GT100" s="25">
        <v>58</v>
      </c>
      <c r="GU100" s="25">
        <v>20852</v>
      </c>
      <c r="GV100" s="25">
        <v>7</v>
      </c>
      <c r="GW100" s="25">
        <v>12</v>
      </c>
      <c r="GX100" s="25">
        <v>1</v>
      </c>
      <c r="GY100" s="46">
        <v>1580</v>
      </c>
      <c r="GZ100" s="25">
        <v>1429</v>
      </c>
      <c r="HA100" s="25">
        <v>6</v>
      </c>
      <c r="HB100" s="25">
        <v>10</v>
      </c>
      <c r="HC100" s="25">
        <v>47</v>
      </c>
      <c r="HD100" s="25">
        <v>6</v>
      </c>
      <c r="HE100" s="25">
        <v>8</v>
      </c>
      <c r="HF100" s="25">
        <v>38</v>
      </c>
      <c r="HG100" s="25">
        <v>2140</v>
      </c>
      <c r="HH100" s="25">
        <v>0</v>
      </c>
      <c r="HI100" s="25">
        <v>151</v>
      </c>
      <c r="HJ100" s="25">
        <v>43</v>
      </c>
      <c r="HK100" s="25">
        <v>5</v>
      </c>
      <c r="HL100" s="25">
        <v>1</v>
      </c>
      <c r="HM100" s="25">
        <v>24</v>
      </c>
      <c r="HN100" s="25">
        <v>0</v>
      </c>
      <c r="HO100" s="25">
        <v>9</v>
      </c>
      <c r="HP100" s="25">
        <v>0</v>
      </c>
      <c r="HQ100" s="25">
        <v>19051</v>
      </c>
      <c r="HR100" s="25">
        <v>10</v>
      </c>
      <c r="HS100" s="25">
        <v>42659</v>
      </c>
      <c r="HT100" s="25">
        <v>5</v>
      </c>
      <c r="HU100" s="25">
        <v>9</v>
      </c>
      <c r="HV100" s="25">
        <v>0</v>
      </c>
      <c r="HW100" s="25">
        <v>3</v>
      </c>
      <c r="HX100" s="25">
        <v>3</v>
      </c>
      <c r="HY100" s="25">
        <v>1</v>
      </c>
      <c r="HZ100" s="25">
        <v>0</v>
      </c>
      <c r="IA100" s="25">
        <v>0</v>
      </c>
      <c r="IB100" s="25">
        <v>0</v>
      </c>
      <c r="IC100" s="25">
        <v>3</v>
      </c>
      <c r="ID100" s="25">
        <v>0</v>
      </c>
      <c r="IE100" s="25">
        <v>2</v>
      </c>
      <c r="IF100" s="25">
        <v>0</v>
      </c>
      <c r="IG100" s="25">
        <v>0</v>
      </c>
      <c r="IH100" s="25">
        <v>1</v>
      </c>
      <c r="II100" s="25">
        <v>3</v>
      </c>
      <c r="IJ100" s="25">
        <v>0</v>
      </c>
      <c r="IK100" s="25">
        <v>14</v>
      </c>
      <c r="IL100" s="25">
        <v>0</v>
      </c>
      <c r="IM100" s="25">
        <v>0</v>
      </c>
      <c r="IN100" s="25">
        <v>0</v>
      </c>
      <c r="IO100" s="25">
        <v>15</v>
      </c>
      <c r="IP100" s="25">
        <v>5</v>
      </c>
      <c r="IQ100" s="25">
        <v>0</v>
      </c>
      <c r="IR100" s="25">
        <v>1</v>
      </c>
      <c r="IS100" s="25">
        <v>1</v>
      </c>
      <c r="IT100" s="25">
        <v>2</v>
      </c>
      <c r="IU100" s="25">
        <v>1</v>
      </c>
      <c r="IV100" s="25">
        <v>1</v>
      </c>
      <c r="IW100" s="25">
        <v>0</v>
      </c>
      <c r="IX100" s="25">
        <v>0</v>
      </c>
      <c r="IY100" s="25">
        <v>2</v>
      </c>
      <c r="IZ100" s="25">
        <v>0</v>
      </c>
      <c r="JA100" s="25">
        <v>0</v>
      </c>
      <c r="JB100" s="25">
        <v>0</v>
      </c>
      <c r="JC100" s="25">
        <v>0</v>
      </c>
      <c r="JD100" s="25">
        <v>0</v>
      </c>
      <c r="JE100" s="25">
        <v>0</v>
      </c>
      <c r="JF100" s="25">
        <v>0</v>
      </c>
      <c r="JG100" s="25">
        <v>0</v>
      </c>
      <c r="JH100" s="25">
        <v>0</v>
      </c>
      <c r="JI100" s="25">
        <v>5</v>
      </c>
      <c r="JJ100" s="25">
        <v>2</v>
      </c>
      <c r="JK100" s="25">
        <v>63</v>
      </c>
      <c r="JL100" s="25">
        <v>3</v>
      </c>
      <c r="JM100" s="25">
        <v>163</v>
      </c>
      <c r="JN100" s="25">
        <v>9</v>
      </c>
      <c r="JO100" s="25">
        <v>191</v>
      </c>
      <c r="JP100" s="25">
        <v>41</v>
      </c>
      <c r="JQ100" s="25">
        <v>1225</v>
      </c>
      <c r="JR100" s="25">
        <v>420</v>
      </c>
      <c r="JS100" s="25">
        <v>1331</v>
      </c>
      <c r="JT100" s="25">
        <v>72</v>
      </c>
      <c r="JU100" s="25">
        <v>105</v>
      </c>
      <c r="JV100" s="25">
        <v>822</v>
      </c>
      <c r="JW100" s="25">
        <v>775</v>
      </c>
      <c r="JX100" s="25">
        <v>10</v>
      </c>
      <c r="JY100" s="25">
        <v>45</v>
      </c>
      <c r="JZ100" s="25">
        <v>1349</v>
      </c>
      <c r="KA100" s="25">
        <v>577</v>
      </c>
      <c r="KB100" s="25">
        <v>79</v>
      </c>
      <c r="KC100" s="25">
        <v>102</v>
      </c>
      <c r="KD100" s="25">
        <v>154</v>
      </c>
      <c r="KE100" s="25">
        <v>1328</v>
      </c>
      <c r="KF100" s="25">
        <v>35</v>
      </c>
      <c r="KG100" s="25">
        <v>582</v>
      </c>
      <c r="KH100" s="25">
        <v>1706</v>
      </c>
      <c r="KI100" s="25">
        <v>2468</v>
      </c>
      <c r="KJ100" s="25">
        <v>143</v>
      </c>
      <c r="KK100" s="25">
        <v>169</v>
      </c>
      <c r="KL100" s="25">
        <v>200</v>
      </c>
      <c r="KM100" s="25">
        <v>10</v>
      </c>
      <c r="KN100" s="25">
        <v>33</v>
      </c>
      <c r="KO100" s="25">
        <v>159</v>
      </c>
      <c r="KP100" s="25">
        <v>42</v>
      </c>
      <c r="KQ100" s="25">
        <v>4496</v>
      </c>
      <c r="KR100" s="25">
        <v>58</v>
      </c>
      <c r="KS100" s="25">
        <v>19176</v>
      </c>
      <c r="KT100" s="25">
        <v>218</v>
      </c>
      <c r="KU100" s="25">
        <v>9</v>
      </c>
      <c r="KV100" s="25">
        <v>509</v>
      </c>
      <c r="KW100" s="25">
        <v>143</v>
      </c>
      <c r="KX100" s="25">
        <v>75</v>
      </c>
      <c r="KY100" s="25">
        <v>1348</v>
      </c>
      <c r="KZ100" s="25">
        <v>155</v>
      </c>
      <c r="LA100" s="25">
        <v>123</v>
      </c>
      <c r="LB100" s="25">
        <v>7</v>
      </c>
      <c r="LC100" s="25">
        <v>152</v>
      </c>
      <c r="LD100" s="25">
        <v>507</v>
      </c>
      <c r="LE100" s="25">
        <v>28</v>
      </c>
      <c r="LF100" s="25">
        <v>38</v>
      </c>
      <c r="LG100" s="25">
        <v>300</v>
      </c>
      <c r="LH100" s="25">
        <v>643</v>
      </c>
      <c r="LI100" s="25">
        <v>24</v>
      </c>
      <c r="LJ100" s="25">
        <v>230</v>
      </c>
      <c r="LK100" s="25">
        <v>2</v>
      </c>
      <c r="LL100" s="25">
        <v>0</v>
      </c>
      <c r="LM100" s="25">
        <v>0</v>
      </c>
      <c r="LN100" s="278">
        <f ca="1">$A100 - DeathsTimeS!Sweden100dt + 1</f>
        <v>33</v>
      </c>
      <c r="LO100" s="366">
        <f ca="1">INDEX(OFFSET(DeathsTimeS!HeadRow,ROW()-ROW(DeathsTimeS!HeadRow),0,1,COLUMNS(DeathsTimeS!HeadRow)),1,MATCH(LO$5,DeathsTimeS!HeadRow,0))/LO$8</f>
        <v>1544.4770283479963</v>
      </c>
      <c r="LP100" s="278">
        <f ca="1">$A100 - DeathsTimeS!Spain100dt</f>
        <v>40</v>
      </c>
      <c r="LQ100" s="20">
        <f ca="1">INDEX(OFFSET(DeathsTimeS!HeadRow,ROW()-ROW(DeathsTimeS!HeadRow),0,1,COLUMNS(DeathsTimeS!HeadRow)),1,MATCH(LQ$5,DeathsTimeS!HeadRow,0))/LQ$8</f>
        <v>4442.2667234767787</v>
      </c>
      <c r="LR100" s="278">
        <f ca="1">$A100 - DeathsTimeS!Victoria100dt</f>
        <v>17</v>
      </c>
      <c r="LS100" s="20">
        <f ca="1">INDEX(OFFSET(DeathsTimeS!HeadRow,ROW()-ROW(DeathsTimeS!HeadRow),0,1,COLUMNS(DeathsTimeS!HeadRow)),1,MATCH(LS$5,DeathsTimeS!HeadRow,0))/LS$8</f>
        <v>21.119324181626187</v>
      </c>
      <c r="LT100" s="278">
        <f ca="1">$A100 - DeathsTimeS!Iran100dt</f>
        <v>47</v>
      </c>
      <c r="LU100" s="20">
        <f ca="1">INDEX(OFFSET(DeathsTimeS!HeadRow,ROW()-ROW(DeathsTimeS!HeadRow),0,1,COLUMNS(DeathsTimeS!HeadRow)),1,MATCH(LU$5,DeathsTimeS!HeadRow,0))/LU$8</f>
        <v>621.79938643715752</v>
      </c>
      <c r="LV100" s="278">
        <f ca="1">$A100 - DeathsTimeS!Japan100dt</f>
        <v>6</v>
      </c>
      <c r="LW100" s="20">
        <f ca="1">INDEX(OFFSET(DeathsTimeS!HeadRow,ROW()-ROW(DeathsTimeS!HeadRow),0,1,COLUMNS(DeathsTimeS!HeadRow)),1,MATCH(LW$5,DeathsTimeS!HeadRow,0))/LW$8</f>
        <v>18.648136087586124</v>
      </c>
      <c r="LX100" s="278">
        <f ca="1">$A100 - DeathsTimeS!Queensland100dt</f>
        <v>2</v>
      </c>
      <c r="LY100" s="20">
        <f ca="1">INDEX(OFFSET(DeathsTimeS!HeadRow,ROW()-ROW(DeathsTimeS!HeadRow),0,1,COLUMNS(DeathsTimeS!HeadRow)),1,MATCH(LY$5,DeathsTimeS!HeadRow,0))/LY$8</f>
        <v>11.72917109361423</v>
      </c>
      <c r="LZ100" s="278">
        <f ca="1">$A100 - DeathsTimeS!Tasmania100dt</f>
        <v>20</v>
      </c>
      <c r="MA100" s="20">
        <f ca="1">INDEX(OFFSET(DeathsTimeS!HeadRow,ROW()-ROW(DeathsTimeS!HeadRow),0,1,COLUMNS(DeathsTimeS!HeadRow)),1,MATCH(MA$5,DeathsTimeS!HeadRow,0))/MA$8</f>
        <v>135.92233009708738</v>
      </c>
      <c r="MB100" s="278">
        <f ca="1">$A100 - DeathsTimeS!SouthAustralia100dt</f>
        <v>12</v>
      </c>
      <c r="MC100" s="20">
        <f ca="1">INDEX(OFFSET(DeathsTimeS!HeadRow,ROW()-ROW(DeathsTimeS!HeadRow),0,1,COLUMNS(DeathsTimeS!HeadRow)),1,MATCH(MC$5,DeathsTimeS!HeadRow,0))/MC$8</f>
        <v>23.95209580838323</v>
      </c>
      <c r="MD100" s="278">
        <f ca="1">$A100 - DeathsTimeS!WesternAustralia100dt</f>
        <v>15</v>
      </c>
      <c r="ME100" s="20">
        <f ca="1">INDEX(OFFSET(DeathsTimeS!HeadRow,ROW()-ROW(DeathsTimeS!HeadRow),0,1,COLUMNS(DeathsTimeS!HeadRow)),1,MATCH(ME$5,DeathsTimeS!HeadRow,0))/ME$8</f>
        <v>27.037466203167245</v>
      </c>
      <c r="MF100" s="278">
        <f ca="1">$A100 - DeathsTimeS!NewSouthWales100dt</f>
        <v>19</v>
      </c>
      <c r="MG100" s="20">
        <f ca="1">INDEX(OFFSET(DeathsTimeS!HeadRow,ROW()-ROW(DeathsTimeS!HeadRow),0,1,COLUMNS(DeathsTimeS!HeadRow)),1,MATCH(MG$5,DeathsTimeS!HeadRow,0))/MG$8</f>
        <v>32.178217821782177</v>
      </c>
      <c r="MH100" s="278">
        <f ca="1">$A100 - DeathsTimeS!NewYork100dt</f>
        <v>35</v>
      </c>
      <c r="MI100" s="20">
        <f ca="1">INDEX(OFFSET(DeathsTimeS!HeadRow,ROW()-ROW(DeathsTimeS!HeadRow),0,1,COLUMNS(DeathsTimeS!HeadRow)),1,MATCH(MI$5,DeathsTimeS!HeadRow,0))/MI$8</f>
        <v>8115.7724934310108</v>
      </c>
      <c r="MJ100" s="278">
        <f ca="1">$A100 - DeathsTimeS!Italy100dt</f>
        <v>48</v>
      </c>
      <c r="MK100" s="20">
        <f ca="1">INDEX(OFFSET(DeathsTimeS!HeadRow,ROW()-ROW(DeathsTimeS!HeadRow),0,1,COLUMNS(DeathsTimeS!HeadRow)),1,MATCH(MK$5,DeathsTimeS!HeadRow,0))/MK$8</f>
        <v>3986.7735802265024</v>
      </c>
      <c r="ML100" s="278">
        <f ca="1">$A100 - DeathsTimeS!AustralianCapitalTerritory100dt</f>
        <v>21</v>
      </c>
      <c r="MM100" s="20">
        <f ca="1">INDEX(OFFSET(DeathsTimeS!HeadRow,ROW()-ROW(DeathsTimeS!HeadRow),0,1,COLUMNS(DeathsTimeS!HeadRow)),1,MATCH(MM$5,DeathsTimeS!HeadRow,0))/MM$8</f>
        <v>70.083633135541746</v>
      </c>
      <c r="MN100" s="278">
        <f ca="1">IF(DeathsTimeS!NorthernTerritory100dt&gt;0,$A100 - DeathsTimeS!NorthernTerritory100dt,"")</f>
        <v>-7</v>
      </c>
      <c r="MO100" s="20">
        <f ca="1">INDEX(OFFSET(DeathsTimeS!HeadRow,ROW()-ROW(DeathsTimeS!HeadRow),0,1,COLUMNS(DeathsTimeS!HeadRow)),1,MATCH(MO$5,DeathsTimeS!HeadRow,0))/MO$8</f>
        <v>0</v>
      </c>
      <c r="MP100" s="278">
        <f ca="1">$A100 - DeathsTimeS!SouthAfrica100dt + 1</f>
        <v>1</v>
      </c>
      <c r="MQ100" s="20">
        <f ca="1">INDEX(OFFSET(DeathsTimeS!HeadRow,ROW()-ROW(DeathsTimeS!HeadRow),0,1,COLUMNS(DeathsTimeS!HeadRow)),1,MATCH(MQ$5,DeathsTimeS!HeadRow,0))/MQ$8</f>
        <v>10.038075458636207</v>
      </c>
      <c r="MR100" s="278">
        <f ca="1">$A100 - DeathsTimeS!Germany100dt + 1</f>
        <v>31</v>
      </c>
      <c r="MS100" s="20">
        <f ca="1">INDEX(OFFSET(DeathsTimeS!HeadRow,ROW()-ROW(DeathsTimeS!HeadRow),0,1,COLUMNS(DeathsTimeS!HeadRow)),1,MATCH(MS$5,DeathsTimeS!HeadRow,0))/MS$8</f>
        <v>585.6420139725368</v>
      </c>
      <c r="MT100" s="278">
        <f ca="1">$A100 - DeathsTimeS!Ireland100dt + 1</f>
        <v>29</v>
      </c>
      <c r="MU100" s="73">
        <f ca="1">INDEX(OFFSET(DeathsTimeS!HeadRow,ROW()-ROW(DeathsTimeS!HeadRow),0,1,COLUMNS(DeathsTimeS!HeadRow)),1,MATCH(MU$5,DeathsTimeS!HeadRow,0))/MU$8</f>
        <v>1402.0408163265306</v>
      </c>
      <c r="MV100" s="278">
        <f ca="1">$A100 - DeathsTimeS!UnitedKingdom100dt + 1</f>
        <v>35</v>
      </c>
      <c r="MW100" s="73">
        <f ca="1">INDEX(OFFSET(DeathsTimeS!HeadRow,ROW()-ROW(DeathsTimeS!HeadRow),0,1,COLUMNS(DeathsTimeS!HeadRow)),1,MATCH(MW$5,DeathsTimeS!HeadRow,0))/MW$8</f>
        <v>2867.3991571342563</v>
      </c>
      <c r="MX100" s="278">
        <f ca="1">$A100 - DeathsTimeS!Denmark100dt + 1</f>
        <v>33</v>
      </c>
      <c r="MY100" s="73">
        <f ca="1">INDEX(OFFSET(DeathsTimeS!HeadRow,ROW()-ROW(DeathsTimeS!HeadRow),0,1,COLUMNS(DeathsTimeS!HeadRow)),1,MATCH(MY$5,DeathsTimeS!HeadRow,0))/MY$8</f>
        <v>626.93765070616598</v>
      </c>
      <c r="MZ100" s="278">
        <f ca="1">$A100 - DeathsTimeS!US100dt + 1</f>
        <v>32</v>
      </c>
      <c r="NA100" s="73">
        <f ca="1">INDEX(OFFSET(DeathsTimeS!HeadRow,ROW()-ROW(DeathsTimeS!HeadRow),0,1,COLUMNS(DeathsTimeS!HeadRow)),1,MATCH(NA$5,DeathsTimeS!HeadRow,0))/NA$8</f>
        <v>1295.7291880253617</v>
      </c>
      <c r="NB100" s="278">
        <f ca="1">$A100 - DeathsTimeS!AustraliaSum100dt + 1</f>
        <v>26</v>
      </c>
      <c r="NC100" s="366">
        <f t="shared" si="7"/>
        <v>67</v>
      </c>
      <c r="ND100" s="278">
        <f ca="1">$A100 - DeathsTimeS!Taiwan100dt + 1</f>
        <v>-6</v>
      </c>
      <c r="NE100" s="366">
        <f ca="1">INDEX(OFFSET(DeathsTimeS!HeadRow,ROW()-ROW(DeathsTimeS!HeadRow),0,1,COLUMNS(DeathsTimeS!HeadRow)),1,MATCH(NE$5,DeathsTimeS!HeadRow,0))/NE$8</f>
        <v>2.5202372954627914</v>
      </c>
      <c r="NF100" s="278">
        <f ca="1">$A100 - DeathsTimeS!Hubei100dt + 1</f>
        <v>85</v>
      </c>
      <c r="NG100" s="366">
        <f ca="1">INDEX(OFFSET(DeathsTimeS!HeadRow,ROW()-ROW(DeathsTimeS!HeadRow),0,1,COLUMNS(DeathsTimeS!HeadRow)),1,MATCH(NG$5,DeathsTimeS!HeadRow,0))/NG$8</f>
        <v>771.28205128205138</v>
      </c>
      <c r="NH100" s="278">
        <f ca="1">$A100 - DeathsTimeS!HongKong100dt + 1</f>
        <v>-6</v>
      </c>
      <c r="NI100" s="366">
        <f ca="1">INDEX(OFFSET(DeathsTimeS!HeadRow,ROW()-ROW(DeathsTimeS!HeadRow),0,1,COLUMNS(DeathsTimeS!HeadRow)),1,MATCH(NI$5,DeathsTimeS!HeadRow,0))/NI$8</f>
        <v>5.3684069252449333</v>
      </c>
    </row>
    <row r="101" spans="1:373" x14ac:dyDescent="0.25">
      <c r="A101" s="156">
        <v>43942</v>
      </c>
      <c r="B101" s="25">
        <v>36</v>
      </c>
      <c r="C101" s="25">
        <v>26</v>
      </c>
      <c r="D101" s="25">
        <v>392</v>
      </c>
      <c r="E101" s="25">
        <v>37</v>
      </c>
      <c r="F101" s="25">
        <v>2</v>
      </c>
      <c r="G101" s="25">
        <v>3</v>
      </c>
      <c r="H101" s="25">
        <v>147</v>
      </c>
      <c r="I101" s="25">
        <v>24</v>
      </c>
      <c r="J101" s="25">
        <v>3</v>
      </c>
      <c r="K101" s="25">
        <v>26</v>
      </c>
      <c r="L101" s="25">
        <v>0</v>
      </c>
      <c r="M101" s="25">
        <v>6</v>
      </c>
      <c r="N101" s="25">
        <v>4</v>
      </c>
      <c r="O101" s="25">
        <v>7</v>
      </c>
      <c r="P101" s="25">
        <v>14</v>
      </c>
      <c r="Q101" s="25">
        <v>7</v>
      </c>
      <c r="R101" s="25">
        <v>491</v>
      </c>
      <c r="S101" s="25">
        <v>20</v>
      </c>
      <c r="T101" s="25">
        <v>9</v>
      </c>
      <c r="U101" s="25">
        <v>7</v>
      </c>
      <c r="V101" s="25">
        <v>110</v>
      </c>
      <c r="W101" s="25">
        <v>5</v>
      </c>
      <c r="X101" s="25">
        <v>55</v>
      </c>
      <c r="Y101" s="25">
        <v>5998</v>
      </c>
      <c r="Z101" s="25">
        <v>1</v>
      </c>
      <c r="AA101" s="25">
        <v>0</v>
      </c>
      <c r="AB101" s="25">
        <v>34</v>
      </c>
      <c r="AC101" s="25">
        <v>51</v>
      </c>
      <c r="AD101" s="25">
        <v>2741</v>
      </c>
      <c r="AE101" s="25">
        <v>1</v>
      </c>
      <c r="AF101" s="25">
        <v>45</v>
      </c>
      <c r="AG101" s="25">
        <v>38</v>
      </c>
      <c r="AH101" s="25">
        <v>1</v>
      </c>
      <c r="AI101" s="25">
        <v>0</v>
      </c>
      <c r="AJ101" s="25">
        <v>43</v>
      </c>
      <c r="AK101" s="25">
        <v>61</v>
      </c>
      <c r="AL101" s="25">
        <v>87</v>
      </c>
      <c r="AM101" s="25">
        <v>0</v>
      </c>
      <c r="AN101" s="25">
        <v>6</v>
      </c>
      <c r="AO101" s="25">
        <v>0</v>
      </c>
      <c r="AP101" s="25">
        <v>3</v>
      </c>
      <c r="AQ101" s="25">
        <v>10</v>
      </c>
      <c r="AR101" s="25">
        <v>694</v>
      </c>
      <c r="AS101" s="25">
        <v>0</v>
      </c>
      <c r="AT101" s="25">
        <v>1044</v>
      </c>
      <c r="AU101" s="25">
        <v>4</v>
      </c>
      <c r="AV101" s="25">
        <v>0</v>
      </c>
      <c r="AW101" s="25">
        <v>0</v>
      </c>
      <c r="AX101" s="25">
        <v>147</v>
      </c>
      <c r="AY101" s="25">
        <v>6</v>
      </c>
      <c r="AZ101" s="25">
        <v>8</v>
      </c>
      <c r="BA101" s="25">
        <v>6</v>
      </c>
      <c r="BB101" s="25">
        <v>1</v>
      </c>
      <c r="BC101" s="25">
        <v>2</v>
      </c>
      <c r="BD101" s="25">
        <v>8</v>
      </c>
      <c r="BE101" s="25">
        <v>2</v>
      </c>
      <c r="BF101" s="25">
        <v>2</v>
      </c>
      <c r="BG101" s="25">
        <v>6</v>
      </c>
      <c r="BH101" s="25">
        <v>6</v>
      </c>
      <c r="BI101" s="25">
        <v>13</v>
      </c>
      <c r="BJ101" s="25">
        <v>22</v>
      </c>
      <c r="BK101" s="25">
        <v>4</v>
      </c>
      <c r="BL101" s="25">
        <v>4512</v>
      </c>
      <c r="BM101" s="25">
        <v>4</v>
      </c>
      <c r="BN101" s="25">
        <v>1</v>
      </c>
      <c r="BO101" s="25">
        <v>0</v>
      </c>
      <c r="BP101" s="25">
        <v>1</v>
      </c>
      <c r="BQ101" s="25">
        <v>1</v>
      </c>
      <c r="BR101" s="25">
        <v>2</v>
      </c>
      <c r="BS101" s="25">
        <v>0</v>
      </c>
      <c r="BT101" s="25">
        <v>0</v>
      </c>
      <c r="BU101" s="25">
        <v>0</v>
      </c>
      <c r="BV101" s="25">
        <v>3</v>
      </c>
      <c r="BW101" s="25">
        <v>7</v>
      </c>
      <c r="BX101" s="25">
        <v>7</v>
      </c>
      <c r="BY101" s="25">
        <v>0</v>
      </c>
      <c r="BZ101" s="25">
        <v>3</v>
      </c>
      <c r="CA101" s="25">
        <v>3</v>
      </c>
      <c r="CB101" s="25">
        <v>0</v>
      </c>
      <c r="CC101" s="25">
        <v>3</v>
      </c>
      <c r="CD101" s="25">
        <v>2</v>
      </c>
      <c r="CE101" s="25">
        <v>1</v>
      </c>
      <c r="CF101" s="25">
        <v>196</v>
      </c>
      <c r="CG101" s="25">
        <v>6</v>
      </c>
      <c r="CH101" s="25">
        <v>25</v>
      </c>
      <c r="CI101" s="25">
        <v>6</v>
      </c>
      <c r="CJ101" s="25">
        <v>13</v>
      </c>
      <c r="CK101" s="25">
        <v>48</v>
      </c>
      <c r="CL101" s="25">
        <v>13</v>
      </c>
      <c r="CM101" s="25">
        <v>38</v>
      </c>
      <c r="CN101" s="25">
        <v>12</v>
      </c>
      <c r="CO101" s="25">
        <v>201</v>
      </c>
      <c r="CP101" s="25">
        <v>0</v>
      </c>
      <c r="CQ101" s="25">
        <v>0</v>
      </c>
      <c r="CR101" s="25">
        <v>370</v>
      </c>
      <c r="CS101" s="25">
        <v>2</v>
      </c>
      <c r="CT101" s="25">
        <v>245</v>
      </c>
      <c r="CU101" s="25">
        <v>520</v>
      </c>
      <c r="CV101" s="25">
        <v>264</v>
      </c>
      <c r="CW101" s="25">
        <v>7</v>
      </c>
      <c r="CX101" s="25">
        <v>0</v>
      </c>
      <c r="CY101" s="25">
        <v>0</v>
      </c>
      <c r="CZ101" s="25">
        <v>43</v>
      </c>
      <c r="DA101" s="25">
        <v>1</v>
      </c>
      <c r="DB101" s="25">
        <v>3</v>
      </c>
      <c r="DC101" s="25">
        <v>0</v>
      </c>
      <c r="DD101" s="25">
        <v>141</v>
      </c>
      <c r="DE101" s="25">
        <v>1</v>
      </c>
      <c r="DF101" s="25">
        <v>0</v>
      </c>
      <c r="DG101" s="25">
        <v>12</v>
      </c>
      <c r="DH101" s="25">
        <v>4</v>
      </c>
      <c r="DI101" s="25">
        <v>0</v>
      </c>
      <c r="DJ101" s="25">
        <v>0</v>
      </c>
      <c r="DK101" s="25">
        <v>0</v>
      </c>
      <c r="DL101" s="25">
        <v>2</v>
      </c>
      <c r="DM101" s="25">
        <v>14</v>
      </c>
      <c r="DN101" s="25">
        <v>20765</v>
      </c>
      <c r="DO101" s="25">
        <v>1</v>
      </c>
      <c r="DP101" s="25">
        <v>1</v>
      </c>
      <c r="DQ101" s="25">
        <v>4</v>
      </c>
      <c r="DR101" s="25">
        <v>5033</v>
      </c>
      <c r="DS101" s="25">
        <v>9</v>
      </c>
      <c r="DT101" s="25">
        <v>121</v>
      </c>
      <c r="DU101" s="25">
        <v>7</v>
      </c>
      <c r="DV101" s="25">
        <v>6</v>
      </c>
      <c r="DW101" s="25">
        <v>7</v>
      </c>
      <c r="DX101" s="25">
        <v>3</v>
      </c>
      <c r="DY101" s="25">
        <v>0</v>
      </c>
      <c r="DZ101" s="25">
        <v>46</v>
      </c>
      <c r="EA101" s="25">
        <v>213</v>
      </c>
      <c r="EB101" s="25">
        <v>10</v>
      </c>
      <c r="EC101" s="25">
        <v>645</v>
      </c>
      <c r="ED101" s="25">
        <v>616</v>
      </c>
      <c r="EE101" s="25">
        <v>5297</v>
      </c>
      <c r="EF101" s="25">
        <v>83</v>
      </c>
      <c r="EG101" s="25">
        <v>730</v>
      </c>
      <c r="EH101" s="25">
        <v>184</v>
      </c>
      <c r="EI101" s="25">
        <v>24648</v>
      </c>
      <c r="EJ101" s="25">
        <v>6</v>
      </c>
      <c r="EK101" s="25">
        <v>263</v>
      </c>
      <c r="EL101" s="25">
        <v>7</v>
      </c>
      <c r="EM101" s="25">
        <v>19</v>
      </c>
      <c r="EN101" s="25">
        <v>14</v>
      </c>
      <c r="EO101" s="25">
        <v>237</v>
      </c>
      <c r="EP101" s="25">
        <v>11</v>
      </c>
      <c r="EQ101" s="25">
        <v>7</v>
      </c>
      <c r="ER101" s="25">
        <v>9</v>
      </c>
      <c r="ES101" s="25">
        <v>21</v>
      </c>
      <c r="ET101" s="25">
        <v>8</v>
      </c>
      <c r="EU101" s="25">
        <v>1</v>
      </c>
      <c r="EV101" s="25">
        <v>38</v>
      </c>
      <c r="EW101" s="25">
        <v>78</v>
      </c>
      <c r="EX101" s="25">
        <v>0</v>
      </c>
      <c r="EY101" s="25">
        <v>92</v>
      </c>
      <c r="EZ101" s="25">
        <v>0</v>
      </c>
      <c r="FA101" s="25">
        <v>3</v>
      </c>
      <c r="FB101" s="25">
        <v>1</v>
      </c>
      <c r="FC101" s="25">
        <v>9</v>
      </c>
      <c r="FD101" s="25">
        <v>857</v>
      </c>
      <c r="FE101" s="25">
        <v>72</v>
      </c>
      <c r="FF101" s="25">
        <v>3</v>
      </c>
      <c r="FG101" s="25">
        <v>0</v>
      </c>
      <c r="FH101" s="25">
        <v>5</v>
      </c>
      <c r="FI101" s="25">
        <v>145</v>
      </c>
      <c r="FJ101" s="25">
        <v>0</v>
      </c>
      <c r="FK101" s="25">
        <v>0</v>
      </c>
      <c r="FL101" s="25">
        <v>2</v>
      </c>
      <c r="FM101" s="25">
        <v>1</v>
      </c>
      <c r="FN101" s="25">
        <v>10</v>
      </c>
      <c r="FO101" s="25">
        <v>3916</v>
      </c>
      <c r="FP101" s="25">
        <v>13</v>
      </c>
      <c r="FQ101" s="25">
        <v>2</v>
      </c>
      <c r="FR101" s="25">
        <v>20</v>
      </c>
      <c r="FS101" s="25">
        <v>22</v>
      </c>
      <c r="FT101" s="25">
        <v>55</v>
      </c>
      <c r="FU101" s="25">
        <v>182</v>
      </c>
      <c r="FV101" s="25">
        <v>8</v>
      </c>
      <c r="FW101" s="25">
        <v>201</v>
      </c>
      <c r="FX101" s="25">
        <v>136</v>
      </c>
      <c r="FY101" s="25">
        <v>0</v>
      </c>
      <c r="FZ101" s="25">
        <v>8</v>
      </c>
      <c r="GA101" s="25">
        <v>484</v>
      </c>
      <c r="GB101" s="25">
        <v>437</v>
      </c>
      <c r="GC101" s="25">
        <v>401</v>
      </c>
      <c r="GD101" s="25">
        <v>762</v>
      </c>
      <c r="GE101" s="25">
        <v>9</v>
      </c>
      <c r="GF101" s="25">
        <v>498</v>
      </c>
      <c r="GG101" s="25">
        <v>456</v>
      </c>
      <c r="GH101" s="25">
        <v>0</v>
      </c>
      <c r="GI101" s="25">
        <v>0</v>
      </c>
      <c r="GJ101" s="25">
        <v>0</v>
      </c>
      <c r="GK101" s="25">
        <v>40</v>
      </c>
      <c r="GL101" s="25">
        <v>109</v>
      </c>
      <c r="GM101" s="25">
        <v>5</v>
      </c>
      <c r="GN101" s="25">
        <v>130</v>
      </c>
      <c r="GO101" s="25">
        <v>0</v>
      </c>
      <c r="GP101" s="25">
        <v>11</v>
      </c>
      <c r="GQ101" s="25">
        <v>14</v>
      </c>
      <c r="GR101" s="25">
        <v>77</v>
      </c>
      <c r="GS101" s="25">
        <v>8</v>
      </c>
      <c r="GT101" s="25">
        <v>58</v>
      </c>
      <c r="GU101" s="25">
        <v>21282</v>
      </c>
      <c r="GV101" s="25">
        <v>7</v>
      </c>
      <c r="GW101" s="25">
        <v>12</v>
      </c>
      <c r="GX101" s="25">
        <v>1</v>
      </c>
      <c r="GY101" s="46">
        <v>1765</v>
      </c>
      <c r="GZ101" s="25">
        <v>1478</v>
      </c>
      <c r="HA101" s="25">
        <v>6</v>
      </c>
      <c r="HB101" s="25">
        <v>10</v>
      </c>
      <c r="HC101" s="25">
        <v>48</v>
      </c>
      <c r="HD101" s="25">
        <v>6</v>
      </c>
      <c r="HE101" s="25">
        <v>8</v>
      </c>
      <c r="HF101" s="25">
        <v>38</v>
      </c>
      <c r="HG101" s="25">
        <v>2259</v>
      </c>
      <c r="HH101" s="25">
        <v>0</v>
      </c>
      <c r="HI101" s="25">
        <v>161</v>
      </c>
      <c r="HJ101" s="25">
        <v>46</v>
      </c>
      <c r="HK101" s="25">
        <v>5</v>
      </c>
      <c r="HL101" s="25">
        <v>1</v>
      </c>
      <c r="HM101" s="25">
        <v>24</v>
      </c>
      <c r="HN101" s="25">
        <v>0</v>
      </c>
      <c r="HO101" s="25">
        <v>9</v>
      </c>
      <c r="HP101" s="25">
        <v>0</v>
      </c>
      <c r="HQ101" s="25">
        <v>20223</v>
      </c>
      <c r="HR101" s="25">
        <v>11</v>
      </c>
      <c r="HS101" s="25">
        <v>45086</v>
      </c>
      <c r="HT101" s="25">
        <v>6</v>
      </c>
      <c r="HU101" s="25">
        <v>10</v>
      </c>
      <c r="HV101" s="25">
        <v>0</v>
      </c>
      <c r="HW101" s="25">
        <v>3</v>
      </c>
      <c r="HX101" s="25">
        <v>3</v>
      </c>
      <c r="HY101" s="25">
        <v>1</v>
      </c>
      <c r="HZ101" s="25">
        <v>0</v>
      </c>
      <c r="IA101" s="25">
        <v>0</v>
      </c>
      <c r="IB101" s="25">
        <v>0</v>
      </c>
      <c r="IC101" s="25">
        <v>3</v>
      </c>
      <c r="ID101" s="25">
        <v>0</v>
      </c>
      <c r="IE101" s="25">
        <v>2</v>
      </c>
      <c r="IF101" s="25">
        <v>0</v>
      </c>
      <c r="IG101" s="25">
        <v>0</v>
      </c>
      <c r="IH101" s="25">
        <v>1</v>
      </c>
      <c r="II101" s="25">
        <v>4</v>
      </c>
      <c r="IJ101" s="25">
        <v>0</v>
      </c>
      <c r="IK101" s="25">
        <v>14</v>
      </c>
      <c r="IL101" s="25">
        <v>0</v>
      </c>
      <c r="IM101" s="25">
        <v>0</v>
      </c>
      <c r="IN101" s="25">
        <v>0</v>
      </c>
      <c r="IO101" s="25">
        <v>18</v>
      </c>
      <c r="IP101" s="25">
        <v>5</v>
      </c>
      <c r="IQ101" s="25">
        <v>0</v>
      </c>
      <c r="IR101" s="25">
        <v>1</v>
      </c>
      <c r="IS101" s="25">
        <v>1</v>
      </c>
      <c r="IT101" s="25">
        <v>2</v>
      </c>
      <c r="IU101" s="25">
        <v>1</v>
      </c>
      <c r="IV101" s="25">
        <v>1</v>
      </c>
      <c r="IW101" s="25">
        <v>0</v>
      </c>
      <c r="IX101" s="25">
        <v>0</v>
      </c>
      <c r="IY101" s="25">
        <v>2</v>
      </c>
      <c r="IZ101" s="25">
        <v>0</v>
      </c>
      <c r="JA101" s="25">
        <v>0</v>
      </c>
      <c r="JB101" s="25">
        <v>0</v>
      </c>
      <c r="JC101" s="25">
        <v>0</v>
      </c>
      <c r="JD101" s="25">
        <v>0</v>
      </c>
      <c r="JE101" s="25">
        <v>0</v>
      </c>
      <c r="JF101" s="25">
        <v>0</v>
      </c>
      <c r="JG101" s="25">
        <v>0</v>
      </c>
      <c r="JH101" s="25">
        <v>0</v>
      </c>
      <c r="JI101" s="25">
        <v>5</v>
      </c>
      <c r="JJ101" s="25">
        <v>2</v>
      </c>
      <c r="JK101" s="25">
        <v>64</v>
      </c>
      <c r="JL101" s="25">
        <v>3</v>
      </c>
      <c r="JM101" s="25">
        <v>183</v>
      </c>
      <c r="JN101" s="25">
        <v>9</v>
      </c>
      <c r="JO101" s="25">
        <v>208</v>
      </c>
      <c r="JP101" s="25">
        <v>42</v>
      </c>
      <c r="JQ101" s="25">
        <v>1282</v>
      </c>
      <c r="JR101" s="25">
        <v>483</v>
      </c>
      <c r="JS101" s="25">
        <v>1423</v>
      </c>
      <c r="JT101" s="25">
        <v>82</v>
      </c>
      <c r="JU101" s="25">
        <v>112</v>
      </c>
      <c r="JV101" s="25">
        <v>867</v>
      </c>
      <c r="JW101" s="25">
        <v>798</v>
      </c>
      <c r="JX101" s="25">
        <v>10</v>
      </c>
      <c r="JY101" s="25">
        <v>48</v>
      </c>
      <c r="JZ101" s="25">
        <v>1468</v>
      </c>
      <c r="KA101" s="25">
        <v>635</v>
      </c>
      <c r="KB101" s="25">
        <v>83</v>
      </c>
      <c r="KC101" s="25">
        <v>109</v>
      </c>
      <c r="KD101" s="25">
        <v>171</v>
      </c>
      <c r="KE101" s="25">
        <v>1405</v>
      </c>
      <c r="KF101" s="25">
        <v>36</v>
      </c>
      <c r="KG101" s="25">
        <v>652</v>
      </c>
      <c r="KH101" s="25">
        <v>1961</v>
      </c>
      <c r="KI101" s="25">
        <v>2575</v>
      </c>
      <c r="KJ101" s="25">
        <v>160</v>
      </c>
      <c r="KK101" s="25">
        <v>183</v>
      </c>
      <c r="KL101" s="25">
        <v>224</v>
      </c>
      <c r="KM101" s="25">
        <v>12</v>
      </c>
      <c r="KN101" s="25">
        <v>33</v>
      </c>
      <c r="KO101" s="25">
        <v>163</v>
      </c>
      <c r="KP101" s="25">
        <v>42</v>
      </c>
      <c r="KQ101" s="25">
        <v>4753</v>
      </c>
      <c r="KR101" s="25">
        <v>58</v>
      </c>
      <c r="KS101" s="25">
        <v>19746</v>
      </c>
      <c r="KT101" s="25">
        <v>245</v>
      </c>
      <c r="KU101" s="25">
        <v>13</v>
      </c>
      <c r="KV101" s="25">
        <v>557</v>
      </c>
      <c r="KW101" s="25">
        <v>164</v>
      </c>
      <c r="KX101" s="25">
        <v>78</v>
      </c>
      <c r="KY101" s="25">
        <v>1614</v>
      </c>
      <c r="KZ101" s="25">
        <v>171</v>
      </c>
      <c r="LA101" s="25">
        <v>124</v>
      </c>
      <c r="LB101" s="25">
        <v>8</v>
      </c>
      <c r="LC101" s="25">
        <v>157</v>
      </c>
      <c r="LD101" s="25">
        <v>533</v>
      </c>
      <c r="LE101" s="25">
        <v>32</v>
      </c>
      <c r="LF101" s="25">
        <v>40</v>
      </c>
      <c r="LG101" s="25">
        <v>324</v>
      </c>
      <c r="LH101" s="25">
        <v>664</v>
      </c>
      <c r="LI101" s="25">
        <v>26</v>
      </c>
      <c r="LJ101" s="25">
        <v>244</v>
      </c>
      <c r="LK101" s="25">
        <v>2</v>
      </c>
      <c r="LL101" s="25">
        <v>0</v>
      </c>
      <c r="LM101" s="25">
        <v>0</v>
      </c>
      <c r="LN101" s="278">
        <f ca="1">$A101 - DeathsTimeS!Sweden100dt + 1</f>
        <v>34</v>
      </c>
      <c r="LO101" s="366">
        <f ca="1">INDEX(OFFSET(DeathsTimeS!HeadRow,ROW()-ROW(DeathsTimeS!HeadRow),0,1,COLUMNS(DeathsTimeS!HeadRow)),1,MATCH(LO$5,DeathsTimeS!HeadRow,0))/LO$8</f>
        <v>1725.3176930596287</v>
      </c>
      <c r="LP101" s="278">
        <f ca="1">$A101 - DeathsTimeS!Spain100dt</f>
        <v>41</v>
      </c>
      <c r="LQ101" s="20">
        <f ca="1">INDEX(OFFSET(DeathsTimeS!HeadRow,ROW()-ROW(DeathsTimeS!HeadRow),0,1,COLUMNS(DeathsTimeS!HeadRow)),1,MATCH(LQ$5,DeathsTimeS!HeadRow,0))/LQ$8</f>
        <v>4533.873029399233</v>
      </c>
      <c r="LR101" s="278">
        <f ca="1">$A101 - DeathsTimeS!Victoria100dt</f>
        <v>18</v>
      </c>
      <c r="LS101" s="20">
        <f ca="1">INDEX(OFFSET(DeathsTimeS!HeadRow,ROW()-ROW(DeathsTimeS!HeadRow),0,1,COLUMNS(DeathsTimeS!HeadRow)),1,MATCH(LS$5,DeathsTimeS!HeadRow,0))/LS$8</f>
        <v>21.119324181626187</v>
      </c>
      <c r="LT101" s="278">
        <f ca="1">$A101 - DeathsTimeS!Iran100dt</f>
        <v>48</v>
      </c>
      <c r="LU101" s="20">
        <f ca="1">INDEX(OFFSET(DeathsTimeS!HeadRow,ROW()-ROW(DeathsTimeS!HeadRow),0,1,COLUMNS(DeathsTimeS!HeadRow)),1,MATCH(LU$5,DeathsTimeS!HeadRow,0))/LU$8</f>
        <v>632.30396428443532</v>
      </c>
      <c r="LV101" s="278">
        <f ca="1">$A101 - DeathsTimeS!Japan100dt</f>
        <v>7</v>
      </c>
      <c r="LW101" s="20">
        <f ca="1">INDEX(OFFSET(DeathsTimeS!HeadRow,ROW()-ROW(DeathsTimeS!HeadRow),0,1,COLUMNS(DeathsTimeS!HeadRow)),1,MATCH(LW$5,DeathsTimeS!HeadRow,0))/LW$8</f>
        <v>20.781609284047249</v>
      </c>
      <c r="LX101" s="278">
        <f ca="1">$A101 - DeathsTimeS!Queensland100dt</f>
        <v>3</v>
      </c>
      <c r="LY101" s="20">
        <f ca="1">INDEX(OFFSET(DeathsTimeS!HeadRow,ROW()-ROW(DeathsTimeS!HeadRow),0,1,COLUMNS(DeathsTimeS!HeadRow)),1,MATCH(LY$5,DeathsTimeS!HeadRow,0))/LY$8</f>
        <v>11.72917109361423</v>
      </c>
      <c r="LZ101" s="278">
        <f ca="1">$A101 - DeathsTimeS!Tasmania100dt</f>
        <v>21</v>
      </c>
      <c r="MA101" s="20">
        <f ca="1">INDEX(OFFSET(DeathsTimeS!HeadRow,ROW()-ROW(DeathsTimeS!HeadRow),0,1,COLUMNS(DeathsTimeS!HeadRow)),1,MATCH(MA$5,DeathsTimeS!HeadRow,0))/MA$8</f>
        <v>135.92233009708738</v>
      </c>
      <c r="MB101" s="278">
        <f ca="1">$A101 - DeathsTimeS!SouthAustralia100dt</f>
        <v>13</v>
      </c>
      <c r="MC101" s="11">
        <f ca="1">INDEX(OFFSET(DeathsTimeS!HeadRow,ROW()-ROW(DeathsTimeS!HeadRow),0,1,COLUMNS(DeathsTimeS!HeadRow)),1,MATCH(MC$5,DeathsTimeS!HeadRow,0))/MC$8</f>
        <v>23.95209580838323</v>
      </c>
      <c r="MD101" s="278">
        <f ca="1">$A101 - DeathsTimeS!WesternAustralia100dt</f>
        <v>16</v>
      </c>
      <c r="ME101" s="20">
        <f ca="1">INDEX(OFFSET(DeathsTimeS!HeadRow,ROW()-ROW(DeathsTimeS!HeadRow),0,1,COLUMNS(DeathsTimeS!HeadRow)),1,MATCH(ME$5,DeathsTimeS!HeadRow,0))/ME$8</f>
        <v>27.037466203167245</v>
      </c>
      <c r="MF101" s="278">
        <f ca="1">$A101 - DeathsTimeS!NewSouthWales100dt</f>
        <v>20</v>
      </c>
      <c r="MG101" s="20">
        <f ca="1">INDEX(OFFSET(DeathsTimeS!HeadRow,ROW()-ROW(DeathsTimeS!HeadRow),0,1,COLUMNS(DeathsTimeS!HeadRow)),1,MATCH(MG$5,DeathsTimeS!HeadRow,0))/MG$8</f>
        <v>32.178217821782177</v>
      </c>
      <c r="MH101" s="278">
        <f ca="1">$A101 - DeathsTimeS!NewYork100dt</f>
        <v>36</v>
      </c>
      <c r="MI101" s="20">
        <f ca="1">INDEX(OFFSET(DeathsTimeS!HeadRow,ROW()-ROW(DeathsTimeS!HeadRow),0,1,COLUMNS(DeathsTimeS!HeadRow)),1,MATCH(MI$5,DeathsTimeS!HeadRow,0))/MI$8</f>
        <v>8357.0110375098429</v>
      </c>
      <c r="MJ101" s="278">
        <f ca="1">$A101 - DeathsTimeS!Italy100dt</f>
        <v>49</v>
      </c>
      <c r="MK101" s="20">
        <f ca="1">INDEX(OFFSET(DeathsTimeS!HeadRow,ROW()-ROW(DeathsTimeS!HeadRow),0,1,COLUMNS(DeathsTimeS!HeadRow)),1,MATCH(MK$5,DeathsTimeS!HeadRow,0))/MK$8</f>
        <v>4075.059932214599</v>
      </c>
      <c r="ML101" s="278">
        <f ca="1">$A101 - DeathsTimeS!AustralianCapitalTerritory100dt</f>
        <v>22</v>
      </c>
      <c r="MM101" s="20">
        <f ca="1">INDEX(OFFSET(DeathsTimeS!HeadRow,ROW()-ROW(DeathsTimeS!HeadRow),0,1,COLUMNS(DeathsTimeS!HeadRow)),1,MATCH(MM$5,DeathsTimeS!HeadRow,0))/MM$8</f>
        <v>70.083633135541746</v>
      </c>
      <c r="MN101" s="278">
        <f ca="1">IF(DeathsTimeS!NorthernTerritory100dt&gt;0,$A101 - DeathsTimeS!NorthernTerritory100dt,"")</f>
        <v>-6</v>
      </c>
      <c r="MO101" s="20">
        <f ca="1">INDEX(OFFSET(DeathsTimeS!HeadRow,ROW()-ROW(DeathsTimeS!HeadRow),0,1,COLUMNS(DeathsTimeS!HeadRow)),1,MATCH(MO$5,DeathsTimeS!HeadRow,0))/MO$8</f>
        <v>0</v>
      </c>
      <c r="MP101" s="278">
        <f ca="1">$A101 - DeathsTimeS!SouthAfrica100dt + 1</f>
        <v>2</v>
      </c>
      <c r="MQ101" s="20">
        <f ca="1">INDEX(OFFSET(DeathsTimeS!HeadRow,ROW()-ROW(DeathsTimeS!HeadRow),0,1,COLUMNS(DeathsTimeS!HeadRow)),1,MATCH(MQ$5,DeathsTimeS!HeadRow,0))/MQ$8</f>
        <v>10.038075458636207</v>
      </c>
      <c r="MR101" s="278">
        <f ca="1">$A101 - DeathsTimeS!Germany100dt + 1</f>
        <v>32</v>
      </c>
      <c r="MS101" s="20">
        <f ca="1">INDEX(OFFSET(DeathsTimeS!HeadRow,ROW()-ROW(DeathsTimeS!HeadRow),0,1,COLUMNS(DeathsTimeS!HeadRow)),1,MATCH(MS$5,DeathsTimeS!HeadRow,0))/MS$8</f>
        <v>606.23946037099495</v>
      </c>
      <c r="MT101" s="278">
        <f ca="1">$A101 - DeathsTimeS!Ireland100dt + 1</f>
        <v>30</v>
      </c>
      <c r="MU101" s="73">
        <f ca="1">INDEX(OFFSET(DeathsTimeS!HeadRow,ROW()-ROW(DeathsTimeS!HeadRow),0,1,COLUMNS(DeathsTimeS!HeadRow)),1,MATCH(MU$5,DeathsTimeS!HeadRow,0))/MU$8</f>
        <v>1489.795918367347</v>
      </c>
      <c r="MV101" s="278">
        <f ca="1">$A101 - DeathsTimeS!UnitedKingdom100dt + 1</f>
        <v>36</v>
      </c>
      <c r="MW101" s="73">
        <f ca="1">INDEX(OFFSET(DeathsTimeS!HeadRow,ROW()-ROW(DeathsTimeS!HeadRow),0,1,COLUMNS(DeathsTimeS!HeadRow)),1,MATCH(MW$5,DeathsTimeS!HeadRow,0))/MW$8</f>
        <v>3043.7989163154725</v>
      </c>
      <c r="MX101" s="278">
        <f ca="1">$A101 - DeathsTimeS!Denmark100dt + 1</f>
        <v>34</v>
      </c>
      <c r="MY101" s="73">
        <f ca="1">INDEX(OFFSET(DeathsTimeS!HeadRow,ROW()-ROW(DeathsTimeS!HeadRow),0,1,COLUMNS(DeathsTimeS!HeadRow)),1,MATCH(MY$5,DeathsTimeS!HeadRow,0))/MY$8</f>
        <v>637.27178780571819</v>
      </c>
      <c r="MZ101" s="278">
        <f ca="1">$A101 - DeathsTimeS!US100dt + 1</f>
        <v>33</v>
      </c>
      <c r="NA101" s="73">
        <f ca="1">INDEX(OFFSET(DeathsTimeS!HeadRow,ROW()-ROW(DeathsTimeS!HeadRow),0,1,COLUMNS(DeathsTimeS!HeadRow)),1,MATCH(NA$5,DeathsTimeS!HeadRow,0))/NA$8</f>
        <v>1369.4471546757181</v>
      </c>
      <c r="NB101" s="278">
        <f ca="1">$A101 - DeathsTimeS!AustraliaSum100dt + 1</f>
        <v>27</v>
      </c>
      <c r="NC101" s="366">
        <f t="shared" si="7"/>
        <v>67</v>
      </c>
      <c r="ND101" s="278">
        <f ca="1">$A101 - DeathsTimeS!Taiwan100dt + 1</f>
        <v>-5</v>
      </c>
      <c r="NE101" s="366">
        <f ca="1">INDEX(OFFSET(DeathsTimeS!HeadRow,ROW()-ROW(DeathsTimeS!HeadRow),0,1,COLUMNS(DeathsTimeS!HeadRow)),1,MATCH(NE$5,DeathsTimeS!HeadRow,0))/NE$8</f>
        <v>2.5202372954627914</v>
      </c>
      <c r="NF101" s="278">
        <f ca="1">$A101 - DeathsTimeS!Hubei100dt + 1</f>
        <v>86</v>
      </c>
      <c r="NG101" s="366">
        <f ca="1">INDEX(OFFSET(DeathsTimeS!HeadRow,ROW()-ROW(DeathsTimeS!HeadRow),0,1,COLUMNS(DeathsTimeS!HeadRow)),1,MATCH(NG$5,DeathsTimeS!HeadRow,0))/NG$8</f>
        <v>771.28205128205138</v>
      </c>
      <c r="NH101" s="278">
        <f ca="1">$A101 - DeathsTimeS!HongKong100dt + 1</f>
        <v>-5</v>
      </c>
      <c r="NI101" s="366">
        <f ca="1">INDEX(OFFSET(DeathsTimeS!HeadRow,ROW()-ROW(DeathsTimeS!HeadRow),0,1,COLUMNS(DeathsTimeS!HeadRow)),1,MATCH(NI$5,DeathsTimeS!HeadRow,0))/NI$8</f>
        <v>5.3684069252449333</v>
      </c>
    </row>
    <row r="102" spans="1:373" x14ac:dyDescent="0.25">
      <c r="A102" s="156">
        <v>43943</v>
      </c>
      <c r="B102" s="25">
        <v>40</v>
      </c>
      <c r="C102" s="25">
        <v>27</v>
      </c>
      <c r="D102" s="25">
        <v>402</v>
      </c>
      <c r="E102" s="25">
        <v>37</v>
      </c>
      <c r="F102" s="25">
        <v>2</v>
      </c>
      <c r="G102" s="25">
        <v>3</v>
      </c>
      <c r="H102" s="25">
        <v>152</v>
      </c>
      <c r="I102" s="25">
        <v>24</v>
      </c>
      <c r="J102" s="25">
        <v>3</v>
      </c>
      <c r="K102" s="25">
        <v>26</v>
      </c>
      <c r="L102" s="25">
        <v>0</v>
      </c>
      <c r="M102" s="25">
        <v>6</v>
      </c>
      <c r="N102" s="25">
        <v>4</v>
      </c>
      <c r="O102" s="25">
        <v>7</v>
      </c>
      <c r="P102" s="25">
        <v>14</v>
      </c>
      <c r="Q102" s="25">
        <v>7</v>
      </c>
      <c r="R102" s="25">
        <v>510</v>
      </c>
      <c r="S102" s="25">
        <v>20</v>
      </c>
      <c r="T102" s="25">
        <v>9</v>
      </c>
      <c r="U102" s="25">
        <v>7</v>
      </c>
      <c r="V102" s="25">
        <v>120</v>
      </c>
      <c r="W102" s="25">
        <v>5</v>
      </c>
      <c r="X102" s="25">
        <v>58</v>
      </c>
      <c r="Y102" s="25">
        <v>6262</v>
      </c>
      <c r="Z102" s="25">
        <v>1</v>
      </c>
      <c r="AA102" s="25">
        <v>0</v>
      </c>
      <c r="AB102" s="25">
        <v>37</v>
      </c>
      <c r="AC102" s="25">
        <v>53</v>
      </c>
      <c r="AD102" s="25">
        <v>2906</v>
      </c>
      <c r="AE102" s="25">
        <v>1</v>
      </c>
      <c r="AF102" s="25">
        <v>49</v>
      </c>
      <c r="AG102" s="25">
        <v>39</v>
      </c>
      <c r="AH102" s="25">
        <v>1</v>
      </c>
      <c r="AI102" s="25">
        <v>0</v>
      </c>
      <c r="AJ102" s="25">
        <v>43</v>
      </c>
      <c r="AK102" s="25">
        <v>66</v>
      </c>
      <c r="AL102" s="25">
        <v>90</v>
      </c>
      <c r="AM102" s="25">
        <v>0</v>
      </c>
      <c r="AN102" s="25">
        <v>6</v>
      </c>
      <c r="AO102" s="25">
        <v>0</v>
      </c>
      <c r="AP102" s="25">
        <v>3</v>
      </c>
      <c r="AQ102" s="25">
        <v>12</v>
      </c>
      <c r="AR102" s="25">
        <v>762</v>
      </c>
      <c r="AS102" s="25">
        <v>0</v>
      </c>
      <c r="AT102" s="25">
        <v>1134</v>
      </c>
      <c r="AU102" s="25">
        <v>4</v>
      </c>
      <c r="AV102" s="25">
        <v>0</v>
      </c>
      <c r="AW102" s="25">
        <v>0</v>
      </c>
      <c r="AX102" s="25">
        <v>160</v>
      </c>
      <c r="AY102" s="25">
        <v>6</v>
      </c>
      <c r="AZ102" s="25">
        <v>8</v>
      </c>
      <c r="BA102" s="25">
        <v>6</v>
      </c>
      <c r="BB102" s="25">
        <v>1</v>
      </c>
      <c r="BC102" s="25">
        <v>2</v>
      </c>
      <c r="BD102" s="25">
        <v>8</v>
      </c>
      <c r="BE102" s="25">
        <v>2</v>
      </c>
      <c r="BF102" s="25">
        <v>2</v>
      </c>
      <c r="BG102" s="25">
        <v>6</v>
      </c>
      <c r="BH102" s="25">
        <v>6</v>
      </c>
      <c r="BI102" s="25">
        <v>13</v>
      </c>
      <c r="BJ102" s="25">
        <v>22</v>
      </c>
      <c r="BK102" s="25">
        <v>4</v>
      </c>
      <c r="BL102" s="25">
        <v>4512</v>
      </c>
      <c r="BM102" s="25">
        <v>4</v>
      </c>
      <c r="BN102" s="25">
        <v>1</v>
      </c>
      <c r="BO102" s="25">
        <v>0</v>
      </c>
      <c r="BP102" s="25">
        <v>1</v>
      </c>
      <c r="BQ102" s="25">
        <v>1</v>
      </c>
      <c r="BR102" s="25">
        <v>2</v>
      </c>
      <c r="BS102" s="25">
        <v>0</v>
      </c>
      <c r="BT102" s="25">
        <v>0</v>
      </c>
      <c r="BU102" s="25">
        <v>0</v>
      </c>
      <c r="BV102" s="25">
        <v>3</v>
      </c>
      <c r="BW102" s="25">
        <v>7</v>
      </c>
      <c r="BX102" s="25">
        <v>7</v>
      </c>
      <c r="BY102" s="25">
        <v>0</v>
      </c>
      <c r="BZ102" s="25">
        <v>3</v>
      </c>
      <c r="CA102" s="25">
        <v>3</v>
      </c>
      <c r="CB102" s="25">
        <v>0</v>
      </c>
      <c r="CC102" s="25">
        <v>3</v>
      </c>
      <c r="CD102" s="25">
        <v>2</v>
      </c>
      <c r="CE102" s="25">
        <v>1</v>
      </c>
      <c r="CF102" s="25">
        <v>206</v>
      </c>
      <c r="CG102" s="25">
        <v>6</v>
      </c>
      <c r="CH102" s="25">
        <v>25</v>
      </c>
      <c r="CI102" s="25">
        <v>6</v>
      </c>
      <c r="CJ102" s="25">
        <v>14</v>
      </c>
      <c r="CK102" s="25">
        <v>48</v>
      </c>
      <c r="CL102" s="25">
        <v>13</v>
      </c>
      <c r="CM102" s="25">
        <v>40</v>
      </c>
      <c r="CN102" s="25">
        <v>13</v>
      </c>
      <c r="CO102" s="25">
        <v>208</v>
      </c>
      <c r="CP102" s="25">
        <v>0</v>
      </c>
      <c r="CQ102" s="25">
        <v>0</v>
      </c>
      <c r="CR102" s="25">
        <v>384</v>
      </c>
      <c r="CS102" s="25">
        <v>2</v>
      </c>
      <c r="CT102" s="25">
        <v>260</v>
      </c>
      <c r="CU102" s="25">
        <v>537</v>
      </c>
      <c r="CV102" s="25">
        <v>276</v>
      </c>
      <c r="CW102" s="25">
        <v>7</v>
      </c>
      <c r="CX102" s="25">
        <v>1</v>
      </c>
      <c r="CY102" s="25">
        <v>0</v>
      </c>
      <c r="CZ102" s="25">
        <v>44</v>
      </c>
      <c r="DA102" s="25">
        <v>1</v>
      </c>
      <c r="DB102" s="25">
        <v>3</v>
      </c>
      <c r="DC102" s="25">
        <v>0</v>
      </c>
      <c r="DD102" s="25">
        <v>149</v>
      </c>
      <c r="DE102" s="25">
        <v>1</v>
      </c>
      <c r="DF102" s="25">
        <v>0</v>
      </c>
      <c r="DG102" s="25">
        <v>12</v>
      </c>
      <c r="DH102" s="25">
        <v>4</v>
      </c>
      <c r="DI102" s="25">
        <v>0</v>
      </c>
      <c r="DJ102" s="25">
        <v>0</v>
      </c>
      <c r="DK102" s="25">
        <v>0</v>
      </c>
      <c r="DL102" s="25">
        <v>2</v>
      </c>
      <c r="DM102" s="25">
        <v>14</v>
      </c>
      <c r="DN102" s="25">
        <v>21309</v>
      </c>
      <c r="DO102" s="25">
        <v>1</v>
      </c>
      <c r="DP102" s="25">
        <v>1</v>
      </c>
      <c r="DQ102" s="25">
        <v>5</v>
      </c>
      <c r="DR102" s="25">
        <v>5279</v>
      </c>
      <c r="DS102" s="25">
        <v>9</v>
      </c>
      <c r="DT102" s="25">
        <v>121</v>
      </c>
      <c r="DU102" s="25">
        <v>8</v>
      </c>
      <c r="DV102" s="25">
        <v>6</v>
      </c>
      <c r="DW102" s="25">
        <v>7</v>
      </c>
      <c r="DX102" s="25">
        <v>4</v>
      </c>
      <c r="DY102" s="25">
        <v>0</v>
      </c>
      <c r="DZ102" s="25">
        <v>46</v>
      </c>
      <c r="EA102" s="25">
        <v>225</v>
      </c>
      <c r="EB102" s="25">
        <v>10</v>
      </c>
      <c r="EC102" s="25">
        <v>681</v>
      </c>
      <c r="ED102" s="25">
        <v>635</v>
      </c>
      <c r="EE102" s="25">
        <v>5391</v>
      </c>
      <c r="EF102" s="25">
        <v>83</v>
      </c>
      <c r="EG102" s="25">
        <v>769</v>
      </c>
      <c r="EH102" s="25">
        <v>189</v>
      </c>
      <c r="EI102" s="25">
        <v>25085</v>
      </c>
      <c r="EJ102" s="25">
        <v>6</v>
      </c>
      <c r="EK102" s="25">
        <v>281</v>
      </c>
      <c r="EL102" s="25">
        <v>7</v>
      </c>
      <c r="EM102" s="25">
        <v>19</v>
      </c>
      <c r="EN102" s="25">
        <v>14</v>
      </c>
      <c r="EO102" s="25">
        <v>238</v>
      </c>
      <c r="EP102" s="25">
        <v>13</v>
      </c>
      <c r="EQ102" s="25">
        <v>7</v>
      </c>
      <c r="ER102" s="25">
        <v>11</v>
      </c>
      <c r="ES102" s="25">
        <v>22</v>
      </c>
      <c r="ET102" s="25">
        <v>8</v>
      </c>
      <c r="EU102" s="25">
        <v>1</v>
      </c>
      <c r="EV102" s="25">
        <v>38</v>
      </c>
      <c r="EW102" s="25">
        <v>80</v>
      </c>
      <c r="EX102" s="25">
        <v>0</v>
      </c>
      <c r="EY102" s="25">
        <v>93</v>
      </c>
      <c r="EZ102" s="25">
        <v>0</v>
      </c>
      <c r="FA102" s="25">
        <v>3</v>
      </c>
      <c r="FB102" s="25">
        <v>1</v>
      </c>
      <c r="FC102" s="25">
        <v>9</v>
      </c>
      <c r="FD102" s="25">
        <v>970</v>
      </c>
      <c r="FE102" s="25">
        <v>75</v>
      </c>
      <c r="FF102" s="25">
        <v>3</v>
      </c>
      <c r="FG102" s="25">
        <v>0</v>
      </c>
      <c r="FH102" s="25">
        <v>5</v>
      </c>
      <c r="FI102" s="25">
        <v>149</v>
      </c>
      <c r="FJ102" s="25">
        <v>0</v>
      </c>
      <c r="FK102" s="25">
        <v>0</v>
      </c>
      <c r="FL102" s="25">
        <v>2</v>
      </c>
      <c r="FM102" s="25">
        <v>1</v>
      </c>
      <c r="FN102" s="25">
        <v>11</v>
      </c>
      <c r="FO102" s="25">
        <v>4054</v>
      </c>
      <c r="FP102" s="25">
        <v>14</v>
      </c>
      <c r="FQ102" s="25">
        <v>2</v>
      </c>
      <c r="FR102" s="25">
        <v>22</v>
      </c>
      <c r="FS102" s="25">
        <v>28</v>
      </c>
      <c r="FT102" s="25">
        <v>56</v>
      </c>
      <c r="FU102" s="25">
        <v>187</v>
      </c>
      <c r="FV102" s="25">
        <v>8</v>
      </c>
      <c r="FW102" s="25">
        <v>212</v>
      </c>
      <c r="FX102" s="25">
        <v>141</v>
      </c>
      <c r="FY102" s="25">
        <v>0</v>
      </c>
      <c r="FZ102" s="25">
        <v>9</v>
      </c>
      <c r="GA102" s="25">
        <v>530</v>
      </c>
      <c r="GB102" s="25">
        <v>446</v>
      </c>
      <c r="GC102" s="25">
        <v>426</v>
      </c>
      <c r="GD102" s="25">
        <v>785</v>
      </c>
      <c r="GE102" s="25">
        <v>10</v>
      </c>
      <c r="GF102" s="25">
        <v>524</v>
      </c>
      <c r="GG102" s="25">
        <v>513</v>
      </c>
      <c r="GH102" s="25">
        <v>0</v>
      </c>
      <c r="GI102" s="25">
        <v>0</v>
      </c>
      <c r="GJ102" s="25">
        <v>0</v>
      </c>
      <c r="GK102" s="25">
        <v>40</v>
      </c>
      <c r="GL102" s="25">
        <v>114</v>
      </c>
      <c r="GM102" s="25">
        <v>6</v>
      </c>
      <c r="GN102" s="25">
        <v>134</v>
      </c>
      <c r="GO102" s="25">
        <v>0</v>
      </c>
      <c r="GP102" s="25">
        <v>12</v>
      </c>
      <c r="GQ102" s="25">
        <v>14</v>
      </c>
      <c r="GR102" s="25">
        <v>79</v>
      </c>
      <c r="GS102" s="25">
        <v>8</v>
      </c>
      <c r="GT102" s="25">
        <v>65</v>
      </c>
      <c r="GU102" s="25">
        <v>21717</v>
      </c>
      <c r="GV102" s="25">
        <v>7</v>
      </c>
      <c r="GW102" s="25">
        <v>13</v>
      </c>
      <c r="GX102" s="25">
        <v>1</v>
      </c>
      <c r="GY102" s="46">
        <v>1937</v>
      </c>
      <c r="GZ102" s="25">
        <v>1509</v>
      </c>
      <c r="HA102" s="25">
        <v>6</v>
      </c>
      <c r="HB102" s="25">
        <v>10</v>
      </c>
      <c r="HC102" s="25">
        <v>49</v>
      </c>
      <c r="HD102" s="25">
        <v>6</v>
      </c>
      <c r="HE102" s="25">
        <v>8</v>
      </c>
      <c r="HF102" s="25">
        <v>38</v>
      </c>
      <c r="HG102" s="25">
        <v>2376</v>
      </c>
      <c r="HH102" s="25">
        <v>0</v>
      </c>
      <c r="HI102" s="25">
        <v>174</v>
      </c>
      <c r="HJ102" s="25">
        <v>52</v>
      </c>
      <c r="HK102" s="25">
        <v>5</v>
      </c>
      <c r="HL102" s="25">
        <v>1</v>
      </c>
      <c r="HM102" s="25">
        <v>28</v>
      </c>
      <c r="HN102" s="25">
        <v>0</v>
      </c>
      <c r="HO102" s="25">
        <v>15</v>
      </c>
      <c r="HP102" s="25">
        <v>0</v>
      </c>
      <c r="HQ102" s="25">
        <v>21060</v>
      </c>
      <c r="HR102" s="25">
        <v>12</v>
      </c>
      <c r="HS102" s="25">
        <v>47412</v>
      </c>
      <c r="HT102" s="25">
        <v>7</v>
      </c>
      <c r="HU102" s="25">
        <v>10</v>
      </c>
      <c r="HV102" s="25">
        <v>0</v>
      </c>
      <c r="HW102" s="25">
        <v>3</v>
      </c>
      <c r="HX102" s="25">
        <v>4</v>
      </c>
      <c r="HY102" s="25">
        <v>1</v>
      </c>
      <c r="HZ102" s="25">
        <v>0</v>
      </c>
      <c r="IA102" s="25">
        <v>0</v>
      </c>
      <c r="IB102" s="25">
        <v>0</v>
      </c>
      <c r="IC102" s="25">
        <v>3</v>
      </c>
      <c r="ID102" s="25">
        <v>0</v>
      </c>
      <c r="IE102" s="25">
        <v>2</v>
      </c>
      <c r="IF102" s="25">
        <v>0</v>
      </c>
      <c r="IG102" s="25">
        <v>0</v>
      </c>
      <c r="IH102" s="25">
        <v>1</v>
      </c>
      <c r="II102" s="25">
        <v>4</v>
      </c>
      <c r="IJ102" s="25">
        <v>0</v>
      </c>
      <c r="IK102" s="25">
        <v>17</v>
      </c>
      <c r="IL102" s="25">
        <v>0</v>
      </c>
      <c r="IM102" s="25">
        <v>0</v>
      </c>
      <c r="IN102" s="25">
        <v>0</v>
      </c>
      <c r="IO102" s="25">
        <v>18</v>
      </c>
      <c r="IP102" s="25">
        <v>5</v>
      </c>
      <c r="IQ102" s="25">
        <v>0</v>
      </c>
      <c r="IR102" s="25">
        <v>1</v>
      </c>
      <c r="IS102" s="25">
        <v>1</v>
      </c>
      <c r="IT102" s="25">
        <v>2</v>
      </c>
      <c r="IU102" s="25">
        <v>1</v>
      </c>
      <c r="IV102" s="25">
        <v>1</v>
      </c>
      <c r="IW102" s="25">
        <v>0</v>
      </c>
      <c r="IX102" s="25">
        <v>0</v>
      </c>
      <c r="IY102" s="25">
        <v>3</v>
      </c>
      <c r="IZ102" s="25">
        <v>0</v>
      </c>
      <c r="JA102" s="25">
        <v>0</v>
      </c>
      <c r="JB102" s="25">
        <v>0</v>
      </c>
      <c r="JC102" s="25">
        <v>0</v>
      </c>
      <c r="JD102" s="25">
        <v>0</v>
      </c>
      <c r="JE102" s="25">
        <v>0</v>
      </c>
      <c r="JF102" s="25">
        <v>0</v>
      </c>
      <c r="JG102" s="25">
        <v>0</v>
      </c>
      <c r="JH102" s="25">
        <v>0</v>
      </c>
      <c r="JI102" s="25">
        <v>5</v>
      </c>
      <c r="JJ102" s="25">
        <v>2</v>
      </c>
      <c r="JK102" s="25">
        <v>63</v>
      </c>
      <c r="JL102" s="25">
        <v>3</v>
      </c>
      <c r="JM102" s="25">
        <v>196</v>
      </c>
      <c r="JN102" s="25">
        <v>9</v>
      </c>
      <c r="JO102" s="25">
        <v>231</v>
      </c>
      <c r="JP102" s="25">
        <v>42</v>
      </c>
      <c r="JQ102" s="25">
        <v>1421</v>
      </c>
      <c r="JR102" s="25">
        <v>506</v>
      </c>
      <c r="JS102" s="25">
        <v>1544</v>
      </c>
      <c r="JT102" s="25">
        <v>89</v>
      </c>
      <c r="JU102" s="25">
        <v>127</v>
      </c>
      <c r="JV102" s="25">
        <v>893</v>
      </c>
      <c r="JW102" s="25">
        <v>848</v>
      </c>
      <c r="JX102" s="25">
        <v>12</v>
      </c>
      <c r="JY102" s="25">
        <v>51</v>
      </c>
      <c r="JZ102" s="25">
        <v>1565</v>
      </c>
      <c r="KA102" s="25">
        <v>666</v>
      </c>
      <c r="KB102" s="25">
        <v>90</v>
      </c>
      <c r="KC102" s="25">
        <v>112</v>
      </c>
      <c r="KD102" s="25">
        <v>185</v>
      </c>
      <c r="KE102" s="25">
        <v>1473</v>
      </c>
      <c r="KF102" s="25">
        <v>39</v>
      </c>
      <c r="KG102" s="25">
        <v>698</v>
      </c>
      <c r="KH102" s="25">
        <v>2182</v>
      </c>
      <c r="KI102" s="25">
        <v>2813</v>
      </c>
      <c r="KJ102" s="25">
        <v>179</v>
      </c>
      <c r="KK102" s="25">
        <v>193</v>
      </c>
      <c r="KL102" s="25">
        <v>238</v>
      </c>
      <c r="KM102" s="25">
        <v>14</v>
      </c>
      <c r="KN102" s="25">
        <v>38</v>
      </c>
      <c r="KO102" s="25">
        <v>172</v>
      </c>
      <c r="KP102" s="25">
        <v>48</v>
      </c>
      <c r="KQ102" s="25">
        <v>5150</v>
      </c>
      <c r="KR102" s="25">
        <v>71</v>
      </c>
      <c r="KS102" s="25">
        <v>20203</v>
      </c>
      <c r="KT102" s="25">
        <v>265</v>
      </c>
      <c r="KU102" s="25">
        <v>14</v>
      </c>
      <c r="KV102" s="25">
        <v>610</v>
      </c>
      <c r="KW102" s="25">
        <v>170</v>
      </c>
      <c r="KX102" s="25">
        <v>78</v>
      </c>
      <c r="KY102" s="25">
        <v>1673</v>
      </c>
      <c r="KZ102" s="25">
        <v>181</v>
      </c>
      <c r="LA102" s="25">
        <v>140</v>
      </c>
      <c r="LB102" s="25">
        <v>9</v>
      </c>
      <c r="LC102" s="25">
        <v>157</v>
      </c>
      <c r="LD102" s="25">
        <v>556</v>
      </c>
      <c r="LE102" s="25">
        <v>32</v>
      </c>
      <c r="LF102" s="25">
        <v>40</v>
      </c>
      <c r="LG102" s="25">
        <v>349</v>
      </c>
      <c r="LH102" s="25">
        <v>686</v>
      </c>
      <c r="LI102" s="25">
        <v>27</v>
      </c>
      <c r="LJ102" s="25">
        <v>248</v>
      </c>
      <c r="LK102" s="25">
        <v>6</v>
      </c>
      <c r="LL102" s="25">
        <v>0</v>
      </c>
      <c r="LM102" s="25">
        <v>0</v>
      </c>
      <c r="LN102" s="278">
        <f ca="1">$A102 - DeathsTimeS!Sweden100dt + 1</f>
        <v>35</v>
      </c>
      <c r="LO102" s="366">
        <f ca="1">INDEX(OFFSET(DeathsTimeS!HeadRow,ROW()-ROW(DeathsTimeS!HeadRow),0,1,COLUMNS(DeathsTimeS!HeadRow)),1,MATCH(LO$5,DeathsTimeS!HeadRow,0))/LO$8</f>
        <v>1893.4506353861195</v>
      </c>
      <c r="LP102" s="278">
        <f ca="1">$A102 - DeathsTimeS!Spain100dt</f>
        <v>42</v>
      </c>
      <c r="LQ102" s="20">
        <f ca="1">INDEX(OFFSET(DeathsTimeS!HeadRow,ROW()-ROW(DeathsTimeS!HeadRow),0,1,COLUMNS(DeathsTimeS!HeadRow)),1,MATCH(LQ$5,DeathsTimeS!HeadRow,0))/LQ$8</f>
        <v>4626.5445249254371</v>
      </c>
      <c r="LR102" s="278">
        <f ca="1">$A102 - DeathsTimeS!Victoria100dt</f>
        <v>19</v>
      </c>
      <c r="LS102" s="20">
        <f ca="1">INDEX(OFFSET(DeathsTimeS!HeadRow,ROW()-ROW(DeathsTimeS!HeadRow),0,1,COLUMNS(DeathsTimeS!HeadRow)),1,MATCH(LS$5,DeathsTimeS!HeadRow,0))/LS$8</f>
        <v>21.119324181626187</v>
      </c>
      <c r="LT102" s="278">
        <f ca="1">$A102 - DeathsTimeS!Iran100dt</f>
        <v>49</v>
      </c>
      <c r="LU102" s="20">
        <f ca="1">INDEX(OFFSET(DeathsTimeS!HeadRow,ROW()-ROW(DeathsTimeS!HeadRow),0,1,COLUMNS(DeathsTimeS!HeadRow)),1,MATCH(LU$5,DeathsTimeS!HeadRow,0))/LU$8</f>
        <v>643.52476334857295</v>
      </c>
      <c r="LV102" s="278">
        <f ca="1">$A102 - DeathsTimeS!Japan100dt</f>
        <v>8</v>
      </c>
      <c r="LW102" s="20">
        <f ca="1">INDEX(OFFSET(DeathsTimeS!HeadRow,ROW()-ROW(DeathsTimeS!HeadRow),0,1,COLUMNS(DeathsTimeS!HeadRow)),1,MATCH(LW$5,DeathsTimeS!HeadRow,0))/LW$8</f>
        <v>22.203924748354666</v>
      </c>
      <c r="LX102" s="278">
        <f ca="1">$A102 - DeathsTimeS!Queensland100dt</f>
        <v>4</v>
      </c>
      <c r="LY102" s="20">
        <f ca="1">INDEX(OFFSET(DeathsTimeS!HeadRow,ROW()-ROW(DeathsTimeS!HeadRow),0,1,COLUMNS(DeathsTimeS!HeadRow)),1,MATCH(LY$5,DeathsTimeS!HeadRow,0))/LY$8</f>
        <v>11.72917109361423</v>
      </c>
      <c r="LZ102" s="278">
        <f ca="1">$A102 - DeathsTimeS!Tasmania100dt</f>
        <v>22</v>
      </c>
      <c r="MA102" s="20">
        <f ca="1">INDEX(OFFSET(DeathsTimeS!HeadRow,ROW()-ROW(DeathsTimeS!HeadRow),0,1,COLUMNS(DeathsTimeS!HeadRow)),1,MATCH(MA$5,DeathsTimeS!HeadRow,0))/MA$8</f>
        <v>135.92233009708738</v>
      </c>
      <c r="MB102" s="278">
        <f ca="1">$A102 - DeathsTimeS!SouthAustralia100dt</f>
        <v>14</v>
      </c>
      <c r="MC102" s="11">
        <f ca="1">INDEX(OFFSET(DeathsTimeS!HeadRow,ROW()-ROW(DeathsTimeS!HeadRow),0,1,COLUMNS(DeathsTimeS!HeadRow)),1,MATCH(MC$5,DeathsTimeS!HeadRow,0))/MC$8</f>
        <v>23.95209580838323</v>
      </c>
      <c r="MD102" s="278">
        <f ca="1">$A102 - DeathsTimeS!WesternAustralia100dt</f>
        <v>17</v>
      </c>
      <c r="ME102" s="20">
        <f ca="1">INDEX(OFFSET(DeathsTimeS!HeadRow,ROW()-ROW(DeathsTimeS!HeadRow),0,1,COLUMNS(DeathsTimeS!HeadRow)),1,MATCH(ME$5,DeathsTimeS!HeadRow,0))/ME$8</f>
        <v>27.037466203167245</v>
      </c>
      <c r="MF102" s="278">
        <f ca="1">$A102 - DeathsTimeS!NewSouthWales100dt</f>
        <v>21</v>
      </c>
      <c r="MG102" s="20">
        <f ca="1">INDEX(OFFSET(DeathsTimeS!HeadRow,ROW()-ROW(DeathsTimeS!HeadRow),0,1,COLUMNS(DeathsTimeS!HeadRow)),1,MATCH(MG$5,DeathsTimeS!HeadRow,0))/MG$8</f>
        <v>32.178217821782177</v>
      </c>
      <c r="MH102" s="278">
        <f ca="1">$A102 - DeathsTimeS!NewYork100dt</f>
        <v>37</v>
      </c>
      <c r="MI102" s="20">
        <f ca="1">INDEX(OFFSET(DeathsTimeS!HeadRow,ROW()-ROW(DeathsTimeS!HeadRow),0,1,COLUMNS(DeathsTimeS!HeadRow)),1,MATCH(MI$5,DeathsTimeS!HeadRow,0))/MI$8</f>
        <v>8550.4250982888352</v>
      </c>
      <c r="MJ102" s="278">
        <f ca="1">$A102 - DeathsTimeS!Italy100dt</f>
        <v>50</v>
      </c>
      <c r="MK102" s="20">
        <f ca="1">INDEX(OFFSET(DeathsTimeS!HeadRow,ROW()-ROW(DeathsTimeS!HeadRow),0,1,COLUMNS(DeathsTimeS!HeadRow)),1,MATCH(MK$5,DeathsTimeS!HeadRow,0))/MK$8</f>
        <v>4147.3092502273294</v>
      </c>
      <c r="ML102" s="278">
        <f ca="1">$A102 - DeathsTimeS!AustralianCapitalTerritory100dt</f>
        <v>23</v>
      </c>
      <c r="MM102" s="20">
        <f ca="1">INDEX(OFFSET(DeathsTimeS!HeadRow,ROW()-ROW(DeathsTimeS!HeadRow),0,1,COLUMNS(DeathsTimeS!HeadRow)),1,MATCH(MM$5,DeathsTimeS!HeadRow,0))/MM$8</f>
        <v>70.083633135541746</v>
      </c>
      <c r="MN102" s="278">
        <f ca="1">IF(DeathsTimeS!NorthernTerritory100dt&gt;0,$A102 - DeathsTimeS!NorthernTerritory100dt,"")</f>
        <v>-5</v>
      </c>
      <c r="MO102" s="20">
        <f ca="1">INDEX(OFFSET(DeathsTimeS!HeadRow,ROW()-ROW(DeathsTimeS!HeadRow),0,1,COLUMNS(DeathsTimeS!HeadRow)),1,MATCH(MO$5,DeathsTimeS!HeadRow,0))/MO$8</f>
        <v>0</v>
      </c>
      <c r="MP102" s="278">
        <f ca="1">$A102 - DeathsTimeS!SouthAfrica100dt + 1</f>
        <v>3</v>
      </c>
      <c r="MQ102" s="20">
        <f ca="1">INDEX(OFFSET(DeathsTimeS!HeadRow,ROW()-ROW(DeathsTimeS!HeadRow),0,1,COLUMNS(DeathsTimeS!HeadRow)),1,MATCH(MQ$5,DeathsTimeS!HeadRow,0))/MQ$8</f>
        <v>11.249567324333681</v>
      </c>
      <c r="MR102" s="278">
        <f ca="1">$A102 - DeathsTimeS!Germany100dt + 1</f>
        <v>33</v>
      </c>
      <c r="MS102" s="20">
        <f ca="1">INDEX(OFFSET(DeathsTimeS!HeadRow,ROW()-ROW(DeathsTimeS!HeadRow),0,1,COLUMNS(DeathsTimeS!HeadRow)),1,MATCH(MS$5,DeathsTimeS!HeadRow,0))/MS$8</f>
        <v>635.87087448807517</v>
      </c>
      <c r="MT102" s="278">
        <f ca="1">$A102 - DeathsTimeS!Ireland100dt + 1</f>
        <v>31</v>
      </c>
      <c r="MU102" s="73">
        <f ca="1">INDEX(OFFSET(DeathsTimeS!HeadRow,ROW()-ROW(DeathsTimeS!HeadRow),0,1,COLUMNS(DeathsTimeS!HeadRow)),1,MATCH(MU$5,DeathsTimeS!HeadRow,0))/MU$8</f>
        <v>1569.387755102041</v>
      </c>
      <c r="MV102" s="278">
        <f ca="1">$A102 - DeathsTimeS!UnitedKingdom100dt + 1</f>
        <v>37</v>
      </c>
      <c r="MW102" s="73">
        <f ca="1">INDEX(OFFSET(DeathsTimeS!HeadRow,ROW()-ROW(DeathsTimeS!HeadRow),0,1,COLUMNS(DeathsTimeS!HeadRow)),1,MATCH(MW$5,DeathsTimeS!HeadRow,0))/MW$8</f>
        <v>3169.7772426249248</v>
      </c>
      <c r="MX102" s="278">
        <f ca="1">$A102 - DeathsTimeS!Denmark100dt + 1</f>
        <v>35</v>
      </c>
      <c r="MY102" s="73">
        <f ca="1">INDEX(OFFSET(DeathsTimeS!HeadRow,ROW()-ROW(DeathsTimeS!HeadRow),0,1,COLUMNS(DeathsTimeS!HeadRow)),1,MATCH(MY$5,DeathsTimeS!HeadRow,0))/MY$8</f>
        <v>661.38477437133997</v>
      </c>
      <c r="MZ102" s="278">
        <f ca="1">$A102 - DeathsTimeS!US100dt + 1</f>
        <v>34</v>
      </c>
      <c r="NA102" s="73">
        <f ca="1">INDEX(OFFSET(DeathsTimeS!HeadRow,ROW()-ROW(DeathsTimeS!HeadRow),0,1,COLUMNS(DeathsTimeS!HeadRow)),1,MATCH(NA$5,DeathsTimeS!HeadRow,0))/NA$8</f>
        <v>1440.0973361461463</v>
      </c>
      <c r="NB102" s="278">
        <f ca="1">$A102 - DeathsTimeS!AustraliaSum100dt + 1</f>
        <v>28</v>
      </c>
      <c r="NC102" s="366">
        <f t="shared" si="7"/>
        <v>67</v>
      </c>
      <c r="ND102" s="278">
        <f ca="1">$A102 - DeathsTimeS!Taiwan100dt + 1</f>
        <v>-4</v>
      </c>
      <c r="NE102" s="366">
        <f ca="1">INDEX(OFFSET(DeathsTimeS!HeadRow,ROW()-ROW(DeathsTimeS!HeadRow),0,1,COLUMNS(DeathsTimeS!HeadRow)),1,MATCH(NE$5,DeathsTimeS!HeadRow,0))/NE$8</f>
        <v>2.5202372954627914</v>
      </c>
      <c r="NF102" s="278">
        <f ca="1">$A102 - DeathsTimeS!Hubei100dt + 1</f>
        <v>87</v>
      </c>
      <c r="NG102" s="366">
        <f ca="1">INDEX(OFFSET(DeathsTimeS!HeadRow,ROW()-ROW(DeathsTimeS!HeadRow),0,1,COLUMNS(DeathsTimeS!HeadRow)),1,MATCH(NG$5,DeathsTimeS!HeadRow,0))/NG$8</f>
        <v>771.28205128205138</v>
      </c>
      <c r="NH102" s="278">
        <f ca="1">$A102 - DeathsTimeS!HongKong100dt + 1</f>
        <v>-4</v>
      </c>
      <c r="NI102" s="366">
        <f ca="1">INDEX(OFFSET(DeathsTimeS!HeadRow,ROW()-ROW(DeathsTimeS!HeadRow),0,1,COLUMNS(DeathsTimeS!HeadRow)),1,MATCH(NI$5,DeathsTimeS!HeadRow,0))/NI$8</f>
        <v>5.3684069252449333</v>
      </c>
    </row>
    <row r="103" spans="1:373" x14ac:dyDescent="0.25">
      <c r="A103" s="156">
        <v>43944</v>
      </c>
      <c r="B103" s="25">
        <v>42</v>
      </c>
      <c r="C103" s="25">
        <v>27</v>
      </c>
      <c r="D103" s="25">
        <v>407</v>
      </c>
      <c r="E103" s="25">
        <v>37</v>
      </c>
      <c r="F103" s="25">
        <v>2</v>
      </c>
      <c r="G103" s="25">
        <v>3</v>
      </c>
      <c r="H103" s="25">
        <v>165</v>
      </c>
      <c r="I103" s="25">
        <v>24</v>
      </c>
      <c r="J103" s="25">
        <v>3</v>
      </c>
      <c r="K103" s="25">
        <v>31</v>
      </c>
      <c r="L103" s="25">
        <v>0</v>
      </c>
      <c r="M103" s="25">
        <v>6</v>
      </c>
      <c r="N103" s="25">
        <v>4</v>
      </c>
      <c r="O103" s="25">
        <v>8</v>
      </c>
      <c r="P103" s="25">
        <v>16</v>
      </c>
      <c r="Q103" s="25">
        <v>7</v>
      </c>
      <c r="R103" s="25">
        <v>522</v>
      </c>
      <c r="S103" s="25">
        <v>20</v>
      </c>
      <c r="T103" s="25">
        <v>11</v>
      </c>
      <c r="U103" s="25">
        <v>8</v>
      </c>
      <c r="V103" s="25">
        <v>127</v>
      </c>
      <c r="W103" s="25">
        <v>6</v>
      </c>
      <c r="X103" s="25">
        <v>60</v>
      </c>
      <c r="Y103" s="25">
        <v>6490</v>
      </c>
      <c r="Z103" s="25">
        <v>1</v>
      </c>
      <c r="AA103" s="25">
        <v>0</v>
      </c>
      <c r="AB103" s="25">
        <v>43</v>
      </c>
      <c r="AC103" s="25">
        <v>54</v>
      </c>
      <c r="AD103" s="25">
        <v>3331</v>
      </c>
      <c r="AE103" s="25">
        <v>1</v>
      </c>
      <c r="AF103" s="25">
        <v>52</v>
      </c>
      <c r="AG103" s="25">
        <v>41</v>
      </c>
      <c r="AH103" s="25">
        <v>1</v>
      </c>
      <c r="AI103" s="25">
        <v>0</v>
      </c>
      <c r="AJ103" s="25">
        <v>43</v>
      </c>
      <c r="AK103" s="25">
        <v>68</v>
      </c>
      <c r="AL103" s="25">
        <v>94</v>
      </c>
      <c r="AM103" s="25">
        <v>0</v>
      </c>
      <c r="AN103" s="25">
        <v>6</v>
      </c>
      <c r="AO103" s="25">
        <v>0</v>
      </c>
      <c r="AP103" s="25">
        <v>3</v>
      </c>
      <c r="AQ103" s="25">
        <v>16</v>
      </c>
      <c r="AR103" s="25">
        <v>806</v>
      </c>
      <c r="AS103" s="25">
        <v>0</v>
      </c>
      <c r="AT103" s="25">
        <v>1243</v>
      </c>
      <c r="AU103" s="25">
        <v>4</v>
      </c>
      <c r="AV103" s="25">
        <v>0</v>
      </c>
      <c r="AW103" s="25">
        <v>0</v>
      </c>
      <c r="AX103" s="25">
        <v>168</v>
      </c>
      <c r="AY103" s="25">
        <v>6</v>
      </c>
      <c r="AZ103" s="25">
        <v>8</v>
      </c>
      <c r="BA103" s="25">
        <v>6</v>
      </c>
      <c r="BB103" s="25">
        <v>1</v>
      </c>
      <c r="BC103" s="25">
        <v>2</v>
      </c>
      <c r="BD103" s="25">
        <v>8</v>
      </c>
      <c r="BE103" s="25">
        <v>2</v>
      </c>
      <c r="BF103" s="25">
        <v>2</v>
      </c>
      <c r="BG103" s="25">
        <v>6</v>
      </c>
      <c r="BH103" s="25">
        <v>6</v>
      </c>
      <c r="BI103" s="25">
        <v>13</v>
      </c>
      <c r="BJ103" s="25">
        <v>22</v>
      </c>
      <c r="BK103" s="25">
        <v>4</v>
      </c>
      <c r="BL103" s="25">
        <v>4512</v>
      </c>
      <c r="BM103" s="25">
        <v>4</v>
      </c>
      <c r="BN103" s="25">
        <v>1</v>
      </c>
      <c r="BO103" s="25">
        <v>0</v>
      </c>
      <c r="BP103" s="25">
        <v>1</v>
      </c>
      <c r="BQ103" s="25">
        <v>1</v>
      </c>
      <c r="BR103" s="25">
        <v>2</v>
      </c>
      <c r="BS103" s="25">
        <v>0</v>
      </c>
      <c r="BT103" s="25">
        <v>0</v>
      </c>
      <c r="BU103" s="25">
        <v>0</v>
      </c>
      <c r="BV103" s="25">
        <v>3</v>
      </c>
      <c r="BW103" s="25">
        <v>7</v>
      </c>
      <c r="BX103" s="25">
        <v>7</v>
      </c>
      <c r="BY103" s="25">
        <v>0</v>
      </c>
      <c r="BZ103" s="25">
        <v>3</v>
      </c>
      <c r="CA103" s="25">
        <v>3</v>
      </c>
      <c r="CB103" s="25">
        <v>0</v>
      </c>
      <c r="CC103" s="25">
        <v>3</v>
      </c>
      <c r="CD103" s="25">
        <v>2</v>
      </c>
      <c r="CE103" s="25">
        <v>1</v>
      </c>
      <c r="CF103" s="25">
        <v>215</v>
      </c>
      <c r="CG103" s="25">
        <v>6</v>
      </c>
      <c r="CH103" s="25">
        <v>25</v>
      </c>
      <c r="CI103" s="25">
        <v>6</v>
      </c>
      <c r="CJ103" s="25">
        <v>14</v>
      </c>
      <c r="CK103" s="25">
        <v>50</v>
      </c>
      <c r="CL103" s="25">
        <v>13</v>
      </c>
      <c r="CM103" s="25">
        <v>43</v>
      </c>
      <c r="CN103" s="25">
        <v>13</v>
      </c>
      <c r="CO103" s="25">
        <v>210</v>
      </c>
      <c r="CP103" s="25">
        <v>0</v>
      </c>
      <c r="CQ103" s="25">
        <v>0</v>
      </c>
      <c r="CR103" s="25">
        <v>394</v>
      </c>
      <c r="CS103" s="25">
        <v>2</v>
      </c>
      <c r="CT103" s="25">
        <v>265</v>
      </c>
      <c r="CU103" s="25">
        <v>560</v>
      </c>
      <c r="CV103" s="25">
        <v>287</v>
      </c>
      <c r="CW103" s="25">
        <v>8</v>
      </c>
      <c r="CX103" s="25">
        <v>1</v>
      </c>
      <c r="CY103" s="25">
        <v>0</v>
      </c>
      <c r="CZ103" s="25">
        <v>45</v>
      </c>
      <c r="DA103" s="25">
        <v>1</v>
      </c>
      <c r="DB103" s="25">
        <v>3</v>
      </c>
      <c r="DC103" s="25">
        <v>0</v>
      </c>
      <c r="DD103" s="25">
        <v>172</v>
      </c>
      <c r="DE103" s="25">
        <v>1</v>
      </c>
      <c r="DF103" s="25">
        <v>0</v>
      </c>
      <c r="DG103" s="25">
        <v>12</v>
      </c>
      <c r="DH103" s="25">
        <v>4</v>
      </c>
      <c r="DI103" s="25">
        <v>0</v>
      </c>
      <c r="DJ103" s="25">
        <v>0</v>
      </c>
      <c r="DK103" s="25">
        <v>0</v>
      </c>
      <c r="DL103" s="25">
        <v>2</v>
      </c>
      <c r="DM103" s="25">
        <v>14</v>
      </c>
      <c r="DN103" s="25">
        <v>21825</v>
      </c>
      <c r="DO103" s="25">
        <v>2</v>
      </c>
      <c r="DP103" s="25">
        <v>1</v>
      </c>
      <c r="DQ103" s="25">
        <v>5</v>
      </c>
      <c r="DR103" s="25">
        <v>5575</v>
      </c>
      <c r="DS103" s="25">
        <v>9</v>
      </c>
      <c r="DT103" s="25">
        <v>125</v>
      </c>
      <c r="DU103" s="25">
        <v>11</v>
      </c>
      <c r="DV103" s="25">
        <v>6</v>
      </c>
      <c r="DW103" s="25">
        <v>7</v>
      </c>
      <c r="DX103" s="25">
        <v>5</v>
      </c>
      <c r="DY103" s="25">
        <v>0</v>
      </c>
      <c r="DZ103" s="25">
        <v>47</v>
      </c>
      <c r="EA103" s="25">
        <v>239</v>
      </c>
      <c r="EB103" s="25">
        <v>10</v>
      </c>
      <c r="EC103" s="25">
        <v>721</v>
      </c>
      <c r="ED103" s="25">
        <v>647</v>
      </c>
      <c r="EE103" s="25">
        <v>5481</v>
      </c>
      <c r="EF103" s="25">
        <v>83</v>
      </c>
      <c r="EG103" s="25">
        <v>794</v>
      </c>
      <c r="EH103" s="25">
        <v>192</v>
      </c>
      <c r="EI103" s="25">
        <v>25549</v>
      </c>
      <c r="EJ103" s="25">
        <v>6</v>
      </c>
      <c r="EK103" s="25">
        <v>328</v>
      </c>
      <c r="EL103" s="25">
        <v>7</v>
      </c>
      <c r="EM103" s="25">
        <v>20</v>
      </c>
      <c r="EN103" s="25">
        <v>14</v>
      </c>
      <c r="EO103" s="25">
        <v>240</v>
      </c>
      <c r="EP103" s="25">
        <v>14</v>
      </c>
      <c r="EQ103" s="25">
        <v>8</v>
      </c>
      <c r="ER103" s="25">
        <v>11</v>
      </c>
      <c r="ES103" s="25">
        <v>22</v>
      </c>
      <c r="ET103" s="25">
        <v>8</v>
      </c>
      <c r="EU103" s="25">
        <v>1</v>
      </c>
      <c r="EV103" s="25">
        <v>40</v>
      </c>
      <c r="EW103" s="25">
        <v>83</v>
      </c>
      <c r="EX103" s="25">
        <v>0</v>
      </c>
      <c r="EY103" s="25">
        <v>95</v>
      </c>
      <c r="EZ103" s="25">
        <v>0</v>
      </c>
      <c r="FA103" s="25">
        <v>3</v>
      </c>
      <c r="FB103" s="25">
        <v>1</v>
      </c>
      <c r="FC103" s="25">
        <v>9</v>
      </c>
      <c r="FD103" s="25">
        <v>1069</v>
      </c>
      <c r="FE103" s="25">
        <v>80</v>
      </c>
      <c r="FF103" s="25">
        <v>4</v>
      </c>
      <c r="FG103" s="25">
        <v>0</v>
      </c>
      <c r="FH103" s="25">
        <v>5</v>
      </c>
      <c r="FI103" s="25">
        <v>155</v>
      </c>
      <c r="FJ103" s="25">
        <v>0</v>
      </c>
      <c r="FK103" s="25">
        <v>0</v>
      </c>
      <c r="FL103" s="25">
        <v>2</v>
      </c>
      <c r="FM103" s="25">
        <v>1</v>
      </c>
      <c r="FN103" s="25">
        <v>12</v>
      </c>
      <c r="FO103" s="25">
        <v>4177</v>
      </c>
      <c r="FP103" s="25">
        <v>17</v>
      </c>
      <c r="FQ103" s="25">
        <v>3</v>
      </c>
      <c r="FR103" s="25">
        <v>24</v>
      </c>
      <c r="FS103" s="25">
        <v>31</v>
      </c>
      <c r="FT103" s="25">
        <v>56</v>
      </c>
      <c r="FU103" s="25">
        <v>194</v>
      </c>
      <c r="FV103" s="25">
        <v>9</v>
      </c>
      <c r="FW103" s="25">
        <v>237</v>
      </c>
      <c r="FX103" s="25">
        <v>146</v>
      </c>
      <c r="FY103" s="25">
        <v>0</v>
      </c>
      <c r="FZ103" s="25">
        <v>9</v>
      </c>
      <c r="GA103" s="25">
        <v>572</v>
      </c>
      <c r="GB103" s="25">
        <v>462</v>
      </c>
      <c r="GC103" s="25">
        <v>454</v>
      </c>
      <c r="GD103" s="25">
        <v>820</v>
      </c>
      <c r="GE103" s="25">
        <v>10</v>
      </c>
      <c r="GF103" s="25">
        <v>545</v>
      </c>
      <c r="GG103" s="25">
        <v>555</v>
      </c>
      <c r="GH103" s="25">
        <v>0</v>
      </c>
      <c r="GI103" s="25">
        <v>0</v>
      </c>
      <c r="GJ103" s="25">
        <v>0</v>
      </c>
      <c r="GK103" s="25">
        <v>40</v>
      </c>
      <c r="GL103" s="25">
        <v>121</v>
      </c>
      <c r="GM103" s="25">
        <v>6</v>
      </c>
      <c r="GN103" s="25">
        <v>139</v>
      </c>
      <c r="GO103" s="25">
        <v>0</v>
      </c>
      <c r="GP103" s="25">
        <v>12</v>
      </c>
      <c r="GQ103" s="25">
        <v>15</v>
      </c>
      <c r="GR103" s="25">
        <v>79</v>
      </c>
      <c r="GS103" s="25">
        <v>16</v>
      </c>
      <c r="GT103" s="25">
        <v>75</v>
      </c>
      <c r="GU103" s="25">
        <v>22157</v>
      </c>
      <c r="GV103" s="25">
        <v>7</v>
      </c>
      <c r="GW103" s="25">
        <v>16</v>
      </c>
      <c r="GX103" s="25">
        <v>1</v>
      </c>
      <c r="GY103" s="46">
        <v>2021</v>
      </c>
      <c r="GZ103" s="25">
        <v>1549</v>
      </c>
      <c r="HA103" s="25">
        <v>6</v>
      </c>
      <c r="HB103" s="25">
        <v>10</v>
      </c>
      <c r="HC103" s="25">
        <v>50</v>
      </c>
      <c r="HD103" s="25">
        <v>6</v>
      </c>
      <c r="HE103" s="25">
        <v>8</v>
      </c>
      <c r="HF103" s="25">
        <v>38</v>
      </c>
      <c r="HG103" s="25">
        <v>2491</v>
      </c>
      <c r="HH103" s="25">
        <v>0</v>
      </c>
      <c r="HI103" s="25">
        <v>187</v>
      </c>
      <c r="HJ103" s="25">
        <v>56</v>
      </c>
      <c r="HK103" s="25">
        <v>5</v>
      </c>
      <c r="HL103" s="25">
        <v>1</v>
      </c>
      <c r="HM103" s="25">
        <v>29</v>
      </c>
      <c r="HN103" s="25">
        <v>0</v>
      </c>
      <c r="HO103" s="25">
        <v>16</v>
      </c>
      <c r="HP103" s="25">
        <v>0</v>
      </c>
      <c r="HQ103" s="25">
        <v>21787</v>
      </c>
      <c r="HR103" s="25">
        <v>12</v>
      </c>
      <c r="HS103" s="25">
        <v>49724</v>
      </c>
      <c r="HT103" s="25">
        <v>7</v>
      </c>
      <c r="HU103" s="25">
        <v>10</v>
      </c>
      <c r="HV103" s="25">
        <v>0</v>
      </c>
      <c r="HW103" s="25">
        <v>3</v>
      </c>
      <c r="HX103" s="25">
        <v>4</v>
      </c>
      <c r="HY103" s="25">
        <v>1</v>
      </c>
      <c r="HZ103" s="25">
        <v>0</v>
      </c>
      <c r="IA103" s="25">
        <v>0</v>
      </c>
      <c r="IB103" s="25">
        <v>0</v>
      </c>
      <c r="IC103" s="25">
        <v>3</v>
      </c>
      <c r="ID103" s="25">
        <v>0</v>
      </c>
      <c r="IE103" s="25">
        <v>2</v>
      </c>
      <c r="IF103" s="25">
        <v>0</v>
      </c>
      <c r="IG103" s="25">
        <v>0</v>
      </c>
      <c r="IH103" s="25">
        <v>2</v>
      </c>
      <c r="II103" s="25">
        <v>4</v>
      </c>
      <c r="IJ103" s="25">
        <v>0</v>
      </c>
      <c r="IK103" s="25">
        <v>21</v>
      </c>
      <c r="IL103" s="25">
        <v>0</v>
      </c>
      <c r="IM103" s="25">
        <v>0</v>
      </c>
      <c r="IN103" s="25">
        <v>0</v>
      </c>
      <c r="IO103" s="25">
        <v>19</v>
      </c>
      <c r="IP103" s="25">
        <v>5</v>
      </c>
      <c r="IQ103" s="25">
        <v>0</v>
      </c>
      <c r="IR103" s="25">
        <v>1</v>
      </c>
      <c r="IS103" s="25">
        <v>1</v>
      </c>
      <c r="IT103" s="25">
        <v>2</v>
      </c>
      <c r="IU103" s="25">
        <v>1</v>
      </c>
      <c r="IV103" s="25">
        <v>1</v>
      </c>
      <c r="IW103" s="25">
        <v>1</v>
      </c>
      <c r="IX103" s="25">
        <v>0</v>
      </c>
      <c r="IY103" s="25">
        <v>3</v>
      </c>
      <c r="IZ103" s="25">
        <v>0</v>
      </c>
      <c r="JA103" s="25">
        <v>0</v>
      </c>
      <c r="JB103" s="25">
        <v>0</v>
      </c>
      <c r="JC103" s="25">
        <v>0</v>
      </c>
      <c r="JD103" s="25">
        <v>0</v>
      </c>
      <c r="JE103" s="25">
        <v>0</v>
      </c>
      <c r="JF103" s="25">
        <v>0</v>
      </c>
      <c r="JG103" s="25">
        <v>0</v>
      </c>
      <c r="JH103" s="25">
        <v>0</v>
      </c>
      <c r="JI103" s="25">
        <v>5</v>
      </c>
      <c r="JJ103" s="25">
        <v>2</v>
      </c>
      <c r="JK103" s="25">
        <v>69</v>
      </c>
      <c r="JL103" s="25">
        <v>3</v>
      </c>
      <c r="JM103" s="25">
        <v>202</v>
      </c>
      <c r="JN103" s="25">
        <v>9</v>
      </c>
      <c r="JO103" s="25">
        <v>249</v>
      </c>
      <c r="JP103" s="25">
        <v>45</v>
      </c>
      <c r="JQ103" s="25">
        <v>1533</v>
      </c>
      <c r="JR103" s="25">
        <v>552</v>
      </c>
      <c r="JS103" s="25">
        <v>1639</v>
      </c>
      <c r="JT103" s="25">
        <v>92</v>
      </c>
      <c r="JU103" s="25">
        <v>139</v>
      </c>
      <c r="JV103" s="25">
        <v>987</v>
      </c>
      <c r="JW103" s="25">
        <v>881</v>
      </c>
      <c r="JX103" s="25">
        <v>12</v>
      </c>
      <c r="JY103" s="25">
        <v>54</v>
      </c>
      <c r="JZ103" s="25">
        <v>1688</v>
      </c>
      <c r="KA103" s="25">
        <v>706</v>
      </c>
      <c r="KB103" s="25">
        <v>96</v>
      </c>
      <c r="KC103" s="25">
        <v>113</v>
      </c>
      <c r="KD103" s="25">
        <v>191</v>
      </c>
      <c r="KE103" s="25">
        <v>1599</v>
      </c>
      <c r="KF103" s="25">
        <v>44</v>
      </c>
      <c r="KG103" s="25">
        <v>748</v>
      </c>
      <c r="KH103" s="25">
        <v>2360</v>
      </c>
      <c r="KI103" s="25">
        <v>2977</v>
      </c>
      <c r="KJ103" s="25">
        <v>200</v>
      </c>
      <c r="KK103" s="25">
        <v>201</v>
      </c>
      <c r="KL103" s="25">
        <v>252</v>
      </c>
      <c r="KM103" s="25">
        <v>14</v>
      </c>
      <c r="KN103" s="25">
        <v>47</v>
      </c>
      <c r="KO103" s="25">
        <v>195</v>
      </c>
      <c r="KP103" s="25">
        <v>51</v>
      </c>
      <c r="KQ103" s="25">
        <v>5426</v>
      </c>
      <c r="KR103" s="25">
        <v>78</v>
      </c>
      <c r="KS103" s="25">
        <v>20743</v>
      </c>
      <c r="KT103" s="25">
        <v>281</v>
      </c>
      <c r="KU103" s="25">
        <v>15</v>
      </c>
      <c r="KV103" s="25">
        <v>656</v>
      </c>
      <c r="KW103" s="25">
        <v>179</v>
      </c>
      <c r="KX103" s="25">
        <v>83</v>
      </c>
      <c r="KY103" s="25">
        <v>1724</v>
      </c>
      <c r="KZ103" s="25">
        <v>189</v>
      </c>
      <c r="LA103" s="25">
        <v>150</v>
      </c>
      <c r="LB103" s="25">
        <v>9</v>
      </c>
      <c r="LC103" s="25">
        <v>171</v>
      </c>
      <c r="LD103" s="25">
        <v>604</v>
      </c>
      <c r="LE103" s="25">
        <v>35</v>
      </c>
      <c r="LF103" s="25">
        <v>43</v>
      </c>
      <c r="LG103" s="25">
        <v>373</v>
      </c>
      <c r="LH103" s="25">
        <v>711</v>
      </c>
      <c r="LI103" s="25">
        <v>31</v>
      </c>
      <c r="LJ103" s="25">
        <v>258</v>
      </c>
      <c r="LK103" s="25">
        <v>7</v>
      </c>
      <c r="LL103" s="25">
        <v>0</v>
      </c>
      <c r="LM103" s="25">
        <v>3</v>
      </c>
      <c r="LN103" s="278">
        <f ca="1">$A103 - DeathsTimeS!Sweden100dt + 1</f>
        <v>36</v>
      </c>
      <c r="LO103" s="366">
        <f ca="1">INDEX(OFFSET(DeathsTimeS!HeadRow,ROW()-ROW(DeathsTimeS!HeadRow),0,1,COLUMNS(DeathsTimeS!HeadRow)),1,MATCH(LO$5,DeathsTimeS!HeadRow,0))/LO$8</f>
        <v>1975.5620723362661</v>
      </c>
      <c r="LP103" s="278">
        <f ca="1">$A103 - DeathsTimeS!Spain100dt</f>
        <v>43</v>
      </c>
      <c r="LQ103" s="20">
        <f ca="1">INDEX(OFFSET(DeathsTimeS!HeadRow,ROW()-ROW(DeathsTimeS!HeadRow),0,1,COLUMNS(DeathsTimeS!HeadRow)),1,MATCH(LQ$5,DeathsTimeS!HeadRow,0))/LQ$8</f>
        <v>4720.2812100553901</v>
      </c>
      <c r="LR103" s="278">
        <f ca="1">$A103 - DeathsTimeS!Victoria100dt</f>
        <v>20</v>
      </c>
      <c r="LS103" s="20">
        <f ca="1">INDEX(OFFSET(DeathsTimeS!HeadRow,ROW()-ROW(DeathsTimeS!HeadRow),0,1,COLUMNS(DeathsTimeS!HeadRow)),1,MATCH(LS$5,DeathsTimeS!HeadRow,0))/LS$8</f>
        <v>24.136370493287071</v>
      </c>
      <c r="LT103" s="278">
        <f ca="1">$A103 - DeathsTimeS!Iran100dt</f>
        <v>50</v>
      </c>
      <c r="LU103" s="20">
        <f ca="1">INDEX(OFFSET(DeathsTimeS!HeadRow,ROW()-ROW(DeathsTimeS!HeadRow),0,1,COLUMNS(DeathsTimeS!HeadRow)),1,MATCH(LU$5,DeathsTimeS!HeadRow,0))/LU$8</f>
        <v>654.26808160147061</v>
      </c>
      <c r="LV103" s="278">
        <f ca="1">$A103 - DeathsTimeS!Japan100dt</f>
        <v>9</v>
      </c>
      <c r="LW103" s="20">
        <f ca="1">INDEX(OFFSET(DeathsTimeS!HeadRow,ROW()-ROW(DeathsTimeS!HeadRow),0,1,COLUMNS(DeathsTimeS!HeadRow)),1,MATCH(LW$5,DeathsTimeS!HeadRow,0))/LW$8</f>
        <v>25.917748460712918</v>
      </c>
      <c r="LX103" s="278">
        <f ca="1">$A103 - DeathsTimeS!Queensland100dt</f>
        <v>5</v>
      </c>
      <c r="LY103" s="20">
        <f ca="1">INDEX(OFFSET(DeathsTimeS!HeadRow,ROW()-ROW(DeathsTimeS!HeadRow),0,1,COLUMNS(DeathsTimeS!HeadRow)),1,MATCH(LY$5,DeathsTimeS!HeadRow,0))/LY$8</f>
        <v>11.72917109361423</v>
      </c>
      <c r="LZ103" s="278">
        <f ca="1">$A103 - DeathsTimeS!Tasmania100dt</f>
        <v>23</v>
      </c>
      <c r="MA103" s="20">
        <f ca="1">INDEX(OFFSET(DeathsTimeS!HeadRow,ROW()-ROW(DeathsTimeS!HeadRow),0,1,COLUMNS(DeathsTimeS!HeadRow)),1,MATCH(MA$5,DeathsTimeS!HeadRow,0))/MA$8</f>
        <v>155.33980582524273</v>
      </c>
      <c r="MB103" s="278">
        <f ca="1">$A103 - DeathsTimeS!SouthAustralia100dt</f>
        <v>15</v>
      </c>
      <c r="MC103" s="11">
        <f ca="1">INDEX(OFFSET(DeathsTimeS!HeadRow,ROW()-ROW(DeathsTimeS!HeadRow),0,1,COLUMNS(DeathsTimeS!HeadRow)),1,MATCH(MC$5,DeathsTimeS!HeadRow,0))/MC$8</f>
        <v>23.95209580838323</v>
      </c>
      <c r="MD103" s="278">
        <f ca="1">$A103 - DeathsTimeS!WesternAustralia100dt</f>
        <v>18</v>
      </c>
      <c r="ME103" s="20">
        <f ca="1">INDEX(OFFSET(DeathsTimeS!HeadRow,ROW()-ROW(DeathsTimeS!HeadRow),0,1,COLUMNS(DeathsTimeS!HeadRow)),1,MATCH(ME$5,DeathsTimeS!HeadRow,0))/ME$8</f>
        <v>27.037466203167245</v>
      </c>
      <c r="MF103" s="278">
        <f ca="1">$A103 - DeathsTimeS!NewSouthWales100dt</f>
        <v>22</v>
      </c>
      <c r="MG103" s="20">
        <f ca="1">INDEX(OFFSET(DeathsTimeS!HeadRow,ROW()-ROW(DeathsTimeS!HeadRow),0,1,COLUMNS(DeathsTimeS!HeadRow)),1,MATCH(MG$5,DeathsTimeS!HeadRow,0))/MG$8</f>
        <v>38.366336633663366</v>
      </c>
      <c r="MH103" s="278">
        <f ca="1">$A103 - DeathsTimeS!NewYork100dt</f>
        <v>38</v>
      </c>
      <c r="MI103" s="20">
        <f ca="1">INDEX(OFFSET(DeathsTimeS!HeadRow,ROW()-ROW(DeathsTimeS!HeadRow),0,1,COLUMNS(DeathsTimeS!HeadRow)),1,MATCH(MI$5,DeathsTimeS!HeadRow,0))/MI$8</f>
        <v>8778.9668768898337</v>
      </c>
      <c r="MJ103" s="278">
        <f ca="1">$A103 - DeathsTimeS!Italy100dt</f>
        <v>51</v>
      </c>
      <c r="MK103" s="20">
        <f ca="1">INDEX(OFFSET(DeathsTimeS!HeadRow,ROW()-ROW(DeathsTimeS!HeadRow),0,1,COLUMNS(DeathsTimeS!HeadRow)),1,MATCH(MK$5,DeathsTimeS!HeadRow,0))/MK$8</f>
        <v>4224.0224849136148</v>
      </c>
      <c r="ML103" s="278">
        <f ca="1">$A103 - DeathsTimeS!AustralianCapitalTerritory100dt</f>
        <v>24</v>
      </c>
      <c r="MM103" s="20">
        <f ca="1">INDEX(OFFSET(DeathsTimeS!HeadRow,ROW()-ROW(DeathsTimeS!HeadRow),0,1,COLUMNS(DeathsTimeS!HeadRow)),1,MATCH(MM$5,DeathsTimeS!HeadRow,0))/MM$8</f>
        <v>70.083633135541746</v>
      </c>
      <c r="MN103" s="278">
        <f ca="1">IF(DeathsTimeS!NorthernTerritory100dt&gt;0,$A103 - DeathsTimeS!NorthernTerritory100dt,"")</f>
        <v>-4</v>
      </c>
      <c r="MO103" s="20">
        <f ca="1">INDEX(OFFSET(DeathsTimeS!HeadRow,ROW()-ROW(DeathsTimeS!HeadRow),0,1,COLUMNS(DeathsTimeS!HeadRow)),1,MATCH(MO$5,DeathsTimeS!HeadRow,0))/MO$8</f>
        <v>0</v>
      </c>
      <c r="MP103" s="278">
        <f ca="1">$A103 - DeathsTimeS!SouthAfrica100dt + 1</f>
        <v>4</v>
      </c>
      <c r="MQ103" s="20">
        <f ca="1">INDEX(OFFSET(DeathsTimeS!HeadRow,ROW()-ROW(DeathsTimeS!HeadRow),0,1,COLUMNS(DeathsTimeS!HeadRow)),1,MATCH(MQ$5,DeathsTimeS!HeadRow,0))/MQ$8</f>
        <v>12.980269989615785</v>
      </c>
      <c r="MR103" s="278">
        <f ca="1">$A103 - DeathsTimeS!Germany100dt + 1</f>
        <v>34</v>
      </c>
      <c r="MS103" s="20">
        <f ca="1">INDEX(OFFSET(DeathsTimeS!HeadRow,ROW()-ROW(DeathsTimeS!HeadRow),0,1,COLUMNS(DeathsTimeS!HeadRow)),1,MATCH(MS$5,DeathsTimeS!HeadRow,0))/MS$8</f>
        <v>671.52493375090341</v>
      </c>
      <c r="MT103" s="20">
        <f ca="1">$A103 - DeathsTimeS!Ireland100dt + 1</f>
        <v>32</v>
      </c>
      <c r="MU103" s="20">
        <f ca="1">INDEX(OFFSET(DeathsTimeS!HeadRow,ROW()-ROW(DeathsTimeS!HeadRow),0,1,COLUMNS(DeathsTimeS!HeadRow)),1,MATCH(MU$5,DeathsTimeS!HeadRow,0))/MU$8</f>
        <v>1620.4081632653063</v>
      </c>
      <c r="MV103" s="20">
        <f ca="1">$A103 - DeathsTimeS!UnitedKingdom100dt + 1</f>
        <v>38</v>
      </c>
      <c r="MW103" s="20">
        <f ca="1">INDEX(OFFSET(DeathsTimeS!HeadRow,ROW()-ROW(DeathsTimeS!HeadRow),0,1,COLUMNS(DeathsTimeS!HeadRow)),1,MATCH(MW$5,DeathsTimeS!HeadRow,0))/MW$8</f>
        <v>3279.1992775436483</v>
      </c>
      <c r="MX103" s="20">
        <f ca="1">$A103 - DeathsTimeS!Denmark100dt + 1</f>
        <v>36</v>
      </c>
      <c r="MY103" s="20">
        <f ca="1">INDEX(OFFSET(DeathsTimeS!HeadRow,ROW()-ROW(DeathsTimeS!HeadRow),0,1,COLUMNS(DeathsTimeS!HeadRow)),1,MATCH(MY$5,DeathsTimeS!HeadRow,0))/MY$8</f>
        <v>678.60833620392691</v>
      </c>
      <c r="MZ103" s="20">
        <f ca="1">$A103 - DeathsTimeS!US100dt + 1</f>
        <v>35</v>
      </c>
      <c r="NA103" s="20">
        <f ca="1">INDEX(OFFSET(DeathsTimeS!HeadRow,ROW()-ROW(DeathsTimeS!HeadRow),0,1,COLUMNS(DeathsTimeS!HeadRow)),1,MATCH(NA$5,DeathsTimeS!HeadRow,0))/NA$8</f>
        <v>1510.3222800668814</v>
      </c>
      <c r="NB103" s="20">
        <f ca="1">$A103 - DeathsTimeS!AustraliaSum100dt + 1</f>
        <v>29</v>
      </c>
      <c r="NC103" s="366">
        <f t="shared" si="7"/>
        <v>75</v>
      </c>
      <c r="ND103" s="20">
        <f ca="1">$A103 - DeathsTimeS!Taiwan100dt + 1</f>
        <v>-3</v>
      </c>
      <c r="NE103" s="366">
        <f ca="1">INDEX(OFFSET(DeathsTimeS!HeadRow,ROW()-ROW(DeathsTimeS!HeadRow),0,1,COLUMNS(DeathsTimeS!HeadRow)),1,MATCH(NE$5,DeathsTimeS!HeadRow,0))/NE$8</f>
        <v>2.5202372954627914</v>
      </c>
      <c r="NF103" s="20">
        <f ca="1">$A103 - DeathsTimeS!Hubei100dt + 1</f>
        <v>88</v>
      </c>
      <c r="NG103" s="366">
        <f ca="1">INDEX(OFFSET(DeathsTimeS!HeadRow,ROW()-ROW(DeathsTimeS!HeadRow),0,1,COLUMNS(DeathsTimeS!HeadRow)),1,MATCH(NG$5,DeathsTimeS!HeadRow,0))/NG$8</f>
        <v>771.28205128205138</v>
      </c>
      <c r="NH103" s="366">
        <f ca="1">$A103 - DeathsTimeS!HongKong100dt + 1</f>
        <v>-3</v>
      </c>
      <c r="NI103" s="366">
        <f ca="1">INDEX(OFFSET(DeathsTimeS!HeadRow,ROW()-ROW(DeathsTimeS!HeadRow),0,1,COLUMNS(DeathsTimeS!HeadRow)),1,MATCH(NI$5,DeathsTimeS!HeadRow,0))/NI$8</f>
        <v>5.3684069252449333</v>
      </c>
    </row>
    <row r="104" spans="1:373" x14ac:dyDescent="0.25">
      <c r="A104" s="156">
        <v>43945</v>
      </c>
      <c r="B104" s="25">
        <v>43</v>
      </c>
      <c r="C104" s="25">
        <v>27</v>
      </c>
      <c r="D104" s="25">
        <v>415</v>
      </c>
      <c r="E104" s="25">
        <v>40</v>
      </c>
      <c r="F104" s="25">
        <v>2</v>
      </c>
      <c r="G104" s="25">
        <v>3</v>
      </c>
      <c r="H104" s="25">
        <v>176</v>
      </c>
      <c r="I104" s="25">
        <v>27</v>
      </c>
      <c r="J104" s="25">
        <v>3</v>
      </c>
      <c r="K104" s="25">
        <v>33</v>
      </c>
      <c r="L104" s="25">
        <v>0</v>
      </c>
      <c r="M104" s="25">
        <v>6</v>
      </c>
      <c r="N104" s="25">
        <v>4</v>
      </c>
      <c r="O104" s="25">
        <v>9</v>
      </c>
      <c r="P104" s="25">
        <v>16</v>
      </c>
      <c r="Q104" s="25">
        <v>8</v>
      </c>
      <c r="R104" s="25">
        <v>530</v>
      </c>
      <c r="S104" s="25">
        <v>21</v>
      </c>
      <c r="T104" s="25">
        <v>11</v>
      </c>
      <c r="U104" s="25">
        <v>8</v>
      </c>
      <c r="V104" s="25">
        <v>131</v>
      </c>
      <c r="W104" s="25">
        <v>6</v>
      </c>
      <c r="X104" s="25">
        <v>63</v>
      </c>
      <c r="Y104" s="25">
        <v>6679</v>
      </c>
      <c r="Z104" s="25">
        <v>1</v>
      </c>
      <c r="AA104" s="25">
        <v>0</v>
      </c>
      <c r="AB104" s="25">
        <v>44</v>
      </c>
      <c r="AC104" s="25">
        <v>55</v>
      </c>
      <c r="AD104" s="25">
        <v>3704</v>
      </c>
      <c r="AE104" s="25">
        <v>1</v>
      </c>
      <c r="AF104" s="25">
        <v>54</v>
      </c>
      <c r="AG104" s="25">
        <v>41</v>
      </c>
      <c r="AH104" s="25">
        <v>1</v>
      </c>
      <c r="AI104" s="25">
        <v>0</v>
      </c>
      <c r="AJ104" s="25">
        <v>43</v>
      </c>
      <c r="AK104" s="25">
        <v>72</v>
      </c>
      <c r="AL104" s="25">
        <v>98</v>
      </c>
      <c r="AM104" s="25">
        <v>0</v>
      </c>
      <c r="AN104" s="25">
        <v>6</v>
      </c>
      <c r="AO104" s="25">
        <v>0</v>
      </c>
      <c r="AP104" s="25">
        <v>3</v>
      </c>
      <c r="AQ104" s="25">
        <v>16</v>
      </c>
      <c r="AR104" s="25">
        <v>862</v>
      </c>
      <c r="AS104" s="25">
        <v>0</v>
      </c>
      <c r="AT104" s="25">
        <v>1340</v>
      </c>
      <c r="AU104" s="25">
        <v>4</v>
      </c>
      <c r="AV104" s="25">
        <v>0</v>
      </c>
      <c r="AW104" s="25">
        <v>0</v>
      </c>
      <c r="AX104" s="25">
        <v>174</v>
      </c>
      <c r="AY104" s="25">
        <v>6</v>
      </c>
      <c r="AZ104" s="25">
        <v>8</v>
      </c>
      <c r="BA104" s="25">
        <v>6</v>
      </c>
      <c r="BB104" s="25">
        <v>1</v>
      </c>
      <c r="BC104" s="25">
        <v>2</v>
      </c>
      <c r="BD104" s="25">
        <v>8</v>
      </c>
      <c r="BE104" s="25">
        <v>2</v>
      </c>
      <c r="BF104" s="25">
        <v>2</v>
      </c>
      <c r="BG104" s="25">
        <v>6</v>
      </c>
      <c r="BH104" s="25">
        <v>6</v>
      </c>
      <c r="BI104" s="25">
        <v>13</v>
      </c>
      <c r="BJ104" s="25">
        <v>22</v>
      </c>
      <c r="BK104" s="25">
        <v>4</v>
      </c>
      <c r="BL104" s="25">
        <v>4512</v>
      </c>
      <c r="BM104" s="25">
        <v>4</v>
      </c>
      <c r="BN104" s="25">
        <v>1</v>
      </c>
      <c r="BO104" s="25">
        <v>0</v>
      </c>
      <c r="BP104" s="25">
        <v>1</v>
      </c>
      <c r="BQ104" s="25">
        <v>1</v>
      </c>
      <c r="BR104" s="25">
        <v>2</v>
      </c>
      <c r="BS104" s="25">
        <v>0</v>
      </c>
      <c r="BT104" s="25">
        <v>0</v>
      </c>
      <c r="BU104" s="25">
        <v>0</v>
      </c>
      <c r="BV104" s="25">
        <v>3</v>
      </c>
      <c r="BW104" s="25">
        <v>7</v>
      </c>
      <c r="BX104" s="25">
        <v>7</v>
      </c>
      <c r="BY104" s="25">
        <v>0</v>
      </c>
      <c r="BZ104" s="25">
        <v>3</v>
      </c>
      <c r="CA104" s="25">
        <v>3</v>
      </c>
      <c r="CB104" s="25">
        <v>0</v>
      </c>
      <c r="CC104" s="25">
        <v>3</v>
      </c>
      <c r="CD104" s="25">
        <v>2</v>
      </c>
      <c r="CE104" s="25">
        <v>1</v>
      </c>
      <c r="CF104" s="25">
        <v>225</v>
      </c>
      <c r="CG104" s="25">
        <v>6</v>
      </c>
      <c r="CH104" s="25">
        <v>25</v>
      </c>
      <c r="CI104" s="25">
        <v>6</v>
      </c>
      <c r="CJ104" s="25">
        <v>14</v>
      </c>
      <c r="CK104" s="25">
        <v>51</v>
      </c>
      <c r="CL104" s="25">
        <v>13</v>
      </c>
      <c r="CM104" s="25">
        <v>49</v>
      </c>
      <c r="CN104" s="25">
        <v>14</v>
      </c>
      <c r="CO104" s="25">
        <v>214</v>
      </c>
      <c r="CP104" s="25">
        <v>0</v>
      </c>
      <c r="CQ104" s="25">
        <v>0</v>
      </c>
      <c r="CR104" s="25">
        <v>403</v>
      </c>
      <c r="CS104" s="25">
        <v>2</v>
      </c>
      <c r="CT104" s="25">
        <v>267</v>
      </c>
      <c r="CU104" s="25">
        <v>576</v>
      </c>
      <c r="CV104" s="25">
        <v>294</v>
      </c>
      <c r="CW104" s="25">
        <v>8</v>
      </c>
      <c r="CX104" s="25">
        <v>1</v>
      </c>
      <c r="CY104" s="25">
        <v>0</v>
      </c>
      <c r="CZ104" s="25">
        <v>46</v>
      </c>
      <c r="DA104" s="25">
        <v>1</v>
      </c>
      <c r="DB104" s="25">
        <v>3</v>
      </c>
      <c r="DC104" s="25">
        <v>0</v>
      </c>
      <c r="DD104" s="25">
        <v>177</v>
      </c>
      <c r="DE104" s="25">
        <v>1</v>
      </c>
      <c r="DF104" s="25">
        <v>0</v>
      </c>
      <c r="DG104" s="25">
        <v>12</v>
      </c>
      <c r="DH104" s="25">
        <v>4</v>
      </c>
      <c r="DI104" s="25">
        <v>0</v>
      </c>
      <c r="DJ104" s="25">
        <v>0</v>
      </c>
      <c r="DK104" s="25">
        <v>0</v>
      </c>
      <c r="DL104" s="25">
        <v>3</v>
      </c>
      <c r="DM104" s="25">
        <v>14</v>
      </c>
      <c r="DN104" s="25">
        <v>22214</v>
      </c>
      <c r="DO104" s="25">
        <v>3</v>
      </c>
      <c r="DP104" s="25">
        <v>1</v>
      </c>
      <c r="DQ104" s="25">
        <v>5</v>
      </c>
      <c r="DR104" s="25">
        <v>5760</v>
      </c>
      <c r="DS104" s="25">
        <v>10</v>
      </c>
      <c r="DT104" s="25">
        <v>130</v>
      </c>
      <c r="DU104" s="25">
        <v>11</v>
      </c>
      <c r="DV104" s="25">
        <v>6</v>
      </c>
      <c r="DW104" s="25">
        <v>7</v>
      </c>
      <c r="DX104" s="25">
        <v>5</v>
      </c>
      <c r="DY104" s="25">
        <v>0</v>
      </c>
      <c r="DZ104" s="25">
        <v>55</v>
      </c>
      <c r="EA104" s="25">
        <v>262</v>
      </c>
      <c r="EB104" s="25">
        <v>10</v>
      </c>
      <c r="EC104" s="25">
        <v>780</v>
      </c>
      <c r="ED104" s="25">
        <v>689</v>
      </c>
      <c r="EE104" s="25">
        <v>5574</v>
      </c>
      <c r="EF104" s="25">
        <v>86</v>
      </c>
      <c r="EG104" s="25">
        <v>1014</v>
      </c>
      <c r="EH104" s="25">
        <v>194</v>
      </c>
      <c r="EI104" s="25">
        <v>25969</v>
      </c>
      <c r="EJ104" s="25">
        <v>7</v>
      </c>
      <c r="EK104" s="25">
        <v>345</v>
      </c>
      <c r="EL104" s="25">
        <v>7</v>
      </c>
      <c r="EM104" s="25">
        <v>25</v>
      </c>
      <c r="EN104" s="25">
        <v>14</v>
      </c>
      <c r="EO104" s="25">
        <v>240</v>
      </c>
      <c r="EP104" s="25">
        <v>15</v>
      </c>
      <c r="EQ104" s="25">
        <v>8</v>
      </c>
      <c r="ER104" s="25">
        <v>12</v>
      </c>
      <c r="ES104" s="25">
        <v>22</v>
      </c>
      <c r="ET104" s="25">
        <v>8</v>
      </c>
      <c r="EU104" s="25">
        <v>1</v>
      </c>
      <c r="EV104" s="25">
        <v>40</v>
      </c>
      <c r="EW104" s="25">
        <v>85</v>
      </c>
      <c r="EX104" s="25">
        <v>0</v>
      </c>
      <c r="EY104" s="25">
        <v>96</v>
      </c>
      <c r="EZ104" s="25">
        <v>0</v>
      </c>
      <c r="FA104" s="25">
        <v>3</v>
      </c>
      <c r="FB104" s="25">
        <v>1</v>
      </c>
      <c r="FC104" s="25">
        <v>9</v>
      </c>
      <c r="FD104" s="25">
        <v>1221</v>
      </c>
      <c r="FE104" s="25">
        <v>84</v>
      </c>
      <c r="FF104" s="25">
        <v>4</v>
      </c>
      <c r="FG104" s="25">
        <v>0</v>
      </c>
      <c r="FH104" s="25">
        <v>6</v>
      </c>
      <c r="FI104" s="25">
        <v>158</v>
      </c>
      <c r="FJ104" s="25">
        <v>0</v>
      </c>
      <c r="FK104" s="25">
        <v>0</v>
      </c>
      <c r="FL104" s="25">
        <v>2</v>
      </c>
      <c r="FM104" s="25">
        <v>1</v>
      </c>
      <c r="FN104" s="25">
        <v>12</v>
      </c>
      <c r="FO104" s="25">
        <v>4289</v>
      </c>
      <c r="FP104" s="25">
        <v>18</v>
      </c>
      <c r="FQ104" s="25">
        <v>3</v>
      </c>
      <c r="FR104" s="25">
        <v>24</v>
      </c>
      <c r="FS104" s="25">
        <v>32</v>
      </c>
      <c r="FT104" s="25">
        <v>57</v>
      </c>
      <c r="FU104" s="25">
        <v>199</v>
      </c>
      <c r="FV104" s="25">
        <v>10</v>
      </c>
      <c r="FW104" s="25">
        <v>253</v>
      </c>
      <c r="FX104" s="25">
        <v>154</v>
      </c>
      <c r="FY104" s="25">
        <v>0</v>
      </c>
      <c r="FZ104" s="25">
        <v>9</v>
      </c>
      <c r="GA104" s="25">
        <v>634</v>
      </c>
      <c r="GB104" s="25">
        <v>477</v>
      </c>
      <c r="GC104" s="25">
        <v>494</v>
      </c>
      <c r="GD104" s="25">
        <v>854</v>
      </c>
      <c r="GE104" s="25">
        <v>10</v>
      </c>
      <c r="GF104" s="25">
        <v>567</v>
      </c>
      <c r="GG104" s="25">
        <v>615</v>
      </c>
      <c r="GH104" s="25">
        <v>0</v>
      </c>
      <c r="GI104" s="25">
        <v>0</v>
      </c>
      <c r="GJ104" s="25">
        <v>0</v>
      </c>
      <c r="GK104" s="25">
        <v>40</v>
      </c>
      <c r="GL104" s="25">
        <v>127</v>
      </c>
      <c r="GM104" s="25">
        <v>7</v>
      </c>
      <c r="GN104" s="25">
        <v>144</v>
      </c>
      <c r="GO104" s="25">
        <v>0</v>
      </c>
      <c r="GP104" s="25">
        <v>12</v>
      </c>
      <c r="GQ104" s="25">
        <v>17</v>
      </c>
      <c r="GR104" s="25">
        <v>80</v>
      </c>
      <c r="GS104" s="25">
        <v>16</v>
      </c>
      <c r="GT104" s="25">
        <v>79</v>
      </c>
      <c r="GU104" s="25">
        <v>22524</v>
      </c>
      <c r="GV104" s="25">
        <v>7</v>
      </c>
      <c r="GW104" s="25">
        <v>16</v>
      </c>
      <c r="GX104" s="25">
        <v>1</v>
      </c>
      <c r="GY104" s="46">
        <v>2152</v>
      </c>
      <c r="GZ104" s="25">
        <v>1589</v>
      </c>
      <c r="HA104" s="25">
        <v>6</v>
      </c>
      <c r="HB104" s="25">
        <v>10</v>
      </c>
      <c r="HC104" s="25">
        <v>51</v>
      </c>
      <c r="HD104" s="25">
        <v>6</v>
      </c>
      <c r="HE104" s="25">
        <v>8</v>
      </c>
      <c r="HF104" s="25">
        <v>38</v>
      </c>
      <c r="HG104" s="25">
        <v>2600</v>
      </c>
      <c r="HH104" s="25">
        <v>0</v>
      </c>
      <c r="HI104" s="25">
        <v>201</v>
      </c>
      <c r="HJ104" s="25">
        <v>64</v>
      </c>
      <c r="HK104" s="25">
        <v>5</v>
      </c>
      <c r="HL104" s="25">
        <v>1</v>
      </c>
      <c r="HM104" s="25">
        <v>34</v>
      </c>
      <c r="HN104" s="25">
        <v>0</v>
      </c>
      <c r="HO104" s="25">
        <v>18</v>
      </c>
      <c r="HP104" s="25">
        <v>1</v>
      </c>
      <c r="HQ104" s="25">
        <v>22792</v>
      </c>
      <c r="HR104" s="25">
        <v>12</v>
      </c>
      <c r="HS104" s="25">
        <v>51493</v>
      </c>
      <c r="HT104" s="25">
        <v>8</v>
      </c>
      <c r="HU104" s="25">
        <v>10</v>
      </c>
      <c r="HV104" s="25">
        <v>0</v>
      </c>
      <c r="HW104" s="25">
        <v>3</v>
      </c>
      <c r="HX104" s="25">
        <v>4</v>
      </c>
      <c r="HY104" s="25">
        <v>1</v>
      </c>
      <c r="HZ104" s="25">
        <v>0</v>
      </c>
      <c r="IA104" s="25">
        <v>0</v>
      </c>
      <c r="IB104" s="25">
        <v>0</v>
      </c>
      <c r="IC104" s="25">
        <v>3</v>
      </c>
      <c r="ID104" s="25">
        <v>0</v>
      </c>
      <c r="IE104" s="25">
        <v>2</v>
      </c>
      <c r="IF104" s="25">
        <v>0</v>
      </c>
      <c r="IG104" s="25">
        <v>0</v>
      </c>
      <c r="IH104" s="25">
        <v>2</v>
      </c>
      <c r="II104" s="25">
        <v>4</v>
      </c>
      <c r="IJ104" s="25">
        <v>0</v>
      </c>
      <c r="IK104" s="25">
        <v>21</v>
      </c>
      <c r="IL104" s="25">
        <v>0</v>
      </c>
      <c r="IM104" s="25">
        <v>0</v>
      </c>
      <c r="IN104" s="25">
        <v>0</v>
      </c>
      <c r="IO104" s="25">
        <v>19</v>
      </c>
      <c r="IP104" s="25">
        <v>5</v>
      </c>
      <c r="IQ104" s="25">
        <v>0</v>
      </c>
      <c r="IR104" s="25">
        <v>1</v>
      </c>
      <c r="IS104" s="25">
        <v>1</v>
      </c>
      <c r="IT104" s="25">
        <v>2</v>
      </c>
      <c r="IU104" s="25">
        <v>1</v>
      </c>
      <c r="IV104" s="25">
        <v>1</v>
      </c>
      <c r="IW104" s="25">
        <v>2</v>
      </c>
      <c r="IX104" s="25">
        <v>0</v>
      </c>
      <c r="IY104" s="25">
        <v>3</v>
      </c>
      <c r="IZ104" s="25">
        <v>0</v>
      </c>
      <c r="JA104" s="25">
        <v>0</v>
      </c>
      <c r="JB104" s="25">
        <v>0</v>
      </c>
      <c r="JC104" s="25">
        <v>0</v>
      </c>
      <c r="JD104" s="25">
        <v>0</v>
      </c>
      <c r="JE104" s="25">
        <v>0</v>
      </c>
      <c r="JF104" s="25">
        <v>0</v>
      </c>
      <c r="JG104" s="25">
        <v>0</v>
      </c>
      <c r="JH104" s="25">
        <v>0</v>
      </c>
      <c r="JI104" s="25">
        <v>5</v>
      </c>
      <c r="JJ104" s="25">
        <v>2</v>
      </c>
      <c r="JK104" s="25">
        <v>77</v>
      </c>
      <c r="JL104" s="25">
        <v>3</v>
      </c>
      <c r="JM104" s="25">
        <v>209</v>
      </c>
      <c r="JN104" s="25">
        <v>9</v>
      </c>
      <c r="JO104" s="25">
        <v>266</v>
      </c>
      <c r="JP104" s="25">
        <v>47</v>
      </c>
      <c r="JQ104" s="25">
        <v>1621</v>
      </c>
      <c r="JR104" s="25">
        <v>674</v>
      </c>
      <c r="JS104" s="25">
        <v>1767</v>
      </c>
      <c r="JT104" s="25">
        <v>100</v>
      </c>
      <c r="JU104" s="25">
        <v>153</v>
      </c>
      <c r="JV104" s="25">
        <v>1046</v>
      </c>
      <c r="JW104" s="25">
        <v>899</v>
      </c>
      <c r="JX104" s="25">
        <v>13</v>
      </c>
      <c r="JY104" s="25">
        <v>54</v>
      </c>
      <c r="JZ104" s="25">
        <v>1795</v>
      </c>
      <c r="KA104" s="25">
        <v>741</v>
      </c>
      <c r="KB104" s="25">
        <v>107</v>
      </c>
      <c r="KC104" s="25">
        <v>118</v>
      </c>
      <c r="KD104" s="25">
        <v>200</v>
      </c>
      <c r="KE104" s="25">
        <v>1660</v>
      </c>
      <c r="KF104" s="25">
        <v>47</v>
      </c>
      <c r="KG104" s="25">
        <v>798</v>
      </c>
      <c r="KH104" s="25">
        <v>2556</v>
      </c>
      <c r="KI104" s="25">
        <v>3085</v>
      </c>
      <c r="KJ104" s="25">
        <v>221</v>
      </c>
      <c r="KK104" s="25">
        <v>209</v>
      </c>
      <c r="KL104" s="25">
        <v>272</v>
      </c>
      <c r="KM104" s="25">
        <v>14</v>
      </c>
      <c r="KN104" s="25">
        <v>50</v>
      </c>
      <c r="KO104" s="25">
        <v>197</v>
      </c>
      <c r="KP104" s="25">
        <v>53</v>
      </c>
      <c r="KQ104" s="25">
        <v>5683</v>
      </c>
      <c r="KR104" s="25">
        <v>84</v>
      </c>
      <c r="KS104" s="25">
        <v>20955</v>
      </c>
      <c r="KT104" s="25">
        <v>294</v>
      </c>
      <c r="KU104" s="25">
        <v>15</v>
      </c>
      <c r="KV104" s="25">
        <v>690</v>
      </c>
      <c r="KW104" s="25">
        <v>188</v>
      </c>
      <c r="KX104" s="25">
        <v>86</v>
      </c>
      <c r="KY104" s="25">
        <v>1747</v>
      </c>
      <c r="KZ104" s="25">
        <v>202</v>
      </c>
      <c r="LA104" s="25">
        <v>157</v>
      </c>
      <c r="LB104" s="25">
        <v>10</v>
      </c>
      <c r="LC104" s="25">
        <v>169</v>
      </c>
      <c r="LD104" s="25">
        <v>624</v>
      </c>
      <c r="LE104" s="25">
        <v>39</v>
      </c>
      <c r="LF104" s="25">
        <v>44</v>
      </c>
      <c r="LG104" s="25">
        <v>411</v>
      </c>
      <c r="LH104" s="25">
        <v>722</v>
      </c>
      <c r="LI104" s="25">
        <v>32</v>
      </c>
      <c r="LJ104" s="25">
        <v>263</v>
      </c>
      <c r="LK104" s="25">
        <v>7</v>
      </c>
      <c r="LL104" s="25">
        <v>0</v>
      </c>
      <c r="LM104" s="25">
        <v>3</v>
      </c>
      <c r="LN104" s="278">
        <f ca="1">$A104 - DeathsTimeS!Sweden100dt + 1</f>
        <v>37</v>
      </c>
      <c r="LO104" s="366">
        <f ca="1">INDEX(OFFSET(DeathsTimeS!HeadRow,ROW()-ROW(DeathsTimeS!HeadRow),0,1,COLUMNS(DeathsTimeS!HeadRow)),1,MATCH(LO$5,DeathsTimeS!HeadRow,0))/LO$8</f>
        <v>2103.616813294233</v>
      </c>
      <c r="LP104" s="278">
        <f ca="1">$A104 - DeathsTimeS!Spain100dt</f>
        <v>44</v>
      </c>
      <c r="LQ104" s="20">
        <f ca="1">INDEX(OFFSET(DeathsTimeS!HeadRow,ROW()-ROW(DeathsTimeS!HeadRow),0,1,COLUMNS(DeathsTimeS!HeadRow)),1,MATCH(LQ$5,DeathsTimeS!HeadRow,0))/LQ$8</f>
        <v>4798.4661269706012</v>
      </c>
      <c r="LR104" s="278">
        <f ca="1">$A104 - DeathsTimeS!Victoria100dt</f>
        <v>21</v>
      </c>
      <c r="LS104" s="20">
        <f ca="1">INDEX(OFFSET(DeathsTimeS!HeadRow,ROW()-ROW(DeathsTimeS!HeadRow),0,1,COLUMNS(DeathsTimeS!HeadRow)),1,MATCH(LS$5,DeathsTimeS!HeadRow,0))/LS$8</f>
        <v>24.136370493287071</v>
      </c>
      <c r="LT104" s="278">
        <f ca="1">$A104 - DeathsTimeS!Iran100dt</f>
        <v>51</v>
      </c>
      <c r="LU104" s="20">
        <f ca="1">INDEX(OFFSET(DeathsTimeS!HeadRow,ROW()-ROW(DeathsTimeS!HeadRow),0,1,COLUMNS(DeathsTimeS!HeadRow)),1,MATCH(LU$5,DeathsTimeS!HeadRow,0))/LU$8</f>
        <v>665.3695104627983</v>
      </c>
      <c r="LV104" s="278">
        <f ca="1">$A104 - DeathsTimeS!Japan100dt</f>
        <v>10</v>
      </c>
      <c r="LW104" s="20">
        <f ca="1">INDEX(OFFSET(DeathsTimeS!HeadRow,ROW()-ROW(DeathsTimeS!HeadRow),0,1,COLUMNS(DeathsTimeS!HeadRow)),1,MATCH(LW$5,DeathsTimeS!HeadRow,0))/LW$8</f>
        <v>27.261046399225478</v>
      </c>
      <c r="LX104" s="278">
        <f ca="1">$A104 - DeathsTimeS!Queensland100dt</f>
        <v>6</v>
      </c>
      <c r="LY104" s="20">
        <f ca="1">INDEX(OFFSET(DeathsTimeS!HeadRow,ROW()-ROW(DeathsTimeS!HeadRow),0,1,COLUMNS(DeathsTimeS!HeadRow)),1,MATCH(LY$5,DeathsTimeS!HeadRow,0))/LY$8</f>
        <v>11.72917109361423</v>
      </c>
      <c r="LZ104" s="278">
        <f ca="1">$A104 - DeathsTimeS!Tasmania100dt</f>
        <v>24</v>
      </c>
      <c r="MA104" s="20">
        <f ca="1">INDEX(OFFSET(DeathsTimeS!HeadRow,ROW()-ROW(DeathsTimeS!HeadRow),0,1,COLUMNS(DeathsTimeS!HeadRow)),1,MATCH(MA$5,DeathsTimeS!HeadRow,0))/MA$8</f>
        <v>174.75728155339806</v>
      </c>
      <c r="MB104" s="278">
        <f ca="1">$A104 - DeathsTimeS!SouthAustralia100dt</f>
        <v>16</v>
      </c>
      <c r="MC104" s="11">
        <f ca="1">INDEX(OFFSET(DeathsTimeS!HeadRow,ROW()-ROW(DeathsTimeS!HeadRow),0,1,COLUMNS(DeathsTimeS!HeadRow)),1,MATCH(MC$5,DeathsTimeS!HeadRow,0))/MC$8</f>
        <v>23.95209580838323</v>
      </c>
      <c r="MD104" s="278">
        <f ca="1">$A104 - DeathsTimeS!WesternAustralia100dt</f>
        <v>19</v>
      </c>
      <c r="ME104" s="20">
        <f ca="1">INDEX(OFFSET(DeathsTimeS!HeadRow,ROW()-ROW(DeathsTimeS!HeadRow),0,1,COLUMNS(DeathsTimeS!HeadRow)),1,MATCH(ME$5,DeathsTimeS!HeadRow,0))/ME$8</f>
        <v>30.899961375048278</v>
      </c>
      <c r="MF104" s="278">
        <f ca="1">$A104 - DeathsTimeS!NewSouthWales100dt</f>
        <v>23</v>
      </c>
      <c r="MG104" s="20">
        <f ca="1">INDEX(OFFSET(DeathsTimeS!HeadRow,ROW()-ROW(DeathsTimeS!HeadRow),0,1,COLUMNS(DeathsTimeS!HeadRow)),1,MATCH(MG$5,DeathsTimeS!HeadRow,0))/MG$8</f>
        <v>40.841584158415841</v>
      </c>
      <c r="MH104" s="278">
        <f ca="1">$A104 - DeathsTimeS!NewYork100dt</f>
        <v>39</v>
      </c>
      <c r="MI104" s="20">
        <f ca="1">INDEX(OFFSET(DeathsTimeS!HeadRow,ROW()-ROW(DeathsTimeS!HeadRow),0,1,COLUMNS(DeathsTimeS!HeadRow)),1,MATCH(MI$5,DeathsTimeS!HeadRow,0))/MI$8</f>
        <v>8868.6906862665219</v>
      </c>
      <c r="MJ104" s="278">
        <f ca="1">$A104 - DeathsTimeS!Italy100dt</f>
        <v>52</v>
      </c>
      <c r="MK104" s="20">
        <f ca="1">INDEX(OFFSET(DeathsTimeS!HeadRow,ROW()-ROW(DeathsTimeS!HeadRow),0,1,COLUMNS(DeathsTimeS!HeadRow)),1,MATCH(MK$5,DeathsTimeS!HeadRow,0))/MK$8</f>
        <v>4293.4611887244773</v>
      </c>
      <c r="ML104" s="278">
        <f ca="1">$A104 - DeathsTimeS!AustralianCapitalTerritory100dt</f>
        <v>25</v>
      </c>
      <c r="MM104" s="20">
        <f ca="1">INDEX(OFFSET(DeathsTimeS!HeadRow,ROW()-ROW(DeathsTimeS!HeadRow),0,1,COLUMNS(DeathsTimeS!HeadRow)),1,MATCH(MM$5,DeathsTimeS!HeadRow,0))/MM$8</f>
        <v>70.083633135541746</v>
      </c>
      <c r="MN104" s="278">
        <f ca="1">IF(DeathsTimeS!NorthernTerritory100dt&gt;0,$A104 - DeathsTimeS!NorthernTerritory100dt,"")</f>
        <v>-3</v>
      </c>
      <c r="MO104" s="20">
        <f ca="1">INDEX(OFFSET(DeathsTimeS!HeadRow,ROW()-ROW(DeathsTimeS!HeadRow),0,1,COLUMNS(DeathsTimeS!HeadRow)),1,MATCH(MO$5,DeathsTimeS!HeadRow,0))/MO$8</f>
        <v>0</v>
      </c>
      <c r="MP104" s="278">
        <f ca="1">$A104 - DeathsTimeS!SouthAfrica100dt + 1</f>
        <v>5</v>
      </c>
      <c r="MQ104" s="20">
        <f ca="1">INDEX(OFFSET(DeathsTimeS!HeadRow,ROW()-ROW(DeathsTimeS!HeadRow),0,1,COLUMNS(DeathsTimeS!HeadRow)),1,MATCH(MQ$5,DeathsTimeS!HeadRow,0))/MQ$8</f>
        <v>13.672551055728627</v>
      </c>
      <c r="MR104" s="278">
        <f ca="1">$A104 - DeathsTimeS!Germany100dt + 1</f>
        <v>35</v>
      </c>
      <c r="MS104" s="20">
        <f ca="1">INDEX(OFFSET(DeathsTimeS!HeadRow,ROW()-ROW(DeathsTimeS!HeadRow),0,1,COLUMNS(DeathsTimeS!HeadRow)),1,MATCH(MS$5,DeathsTimeS!HeadRow,0))/MS$8</f>
        <v>693.80872079017104</v>
      </c>
      <c r="MT104" s="20">
        <f ca="1">$A104 - DeathsTimeS!Ireland100dt + 1</f>
        <v>33</v>
      </c>
      <c r="MU104" s="20">
        <f ca="1">INDEX(OFFSET(DeathsTimeS!HeadRow,ROW()-ROW(DeathsTimeS!HeadRow),0,1,COLUMNS(DeathsTimeS!HeadRow)),1,MATCH(MU$5,DeathsTimeS!HeadRow,0))/MU$8</f>
        <v>2069.387755102041</v>
      </c>
      <c r="MV104" s="20">
        <f ca="1">$A104 - DeathsTimeS!UnitedKingdom100dt + 1</f>
        <v>39</v>
      </c>
      <c r="MW104" s="20">
        <f ca="1">INDEX(OFFSET(DeathsTimeS!HeadRow,ROW()-ROW(DeathsTimeS!HeadRow),0,1,COLUMNS(DeathsTimeS!HeadRow)),1,MATCH(MW$5,DeathsTimeS!HeadRow,0))/MW$8</f>
        <v>3430.4635761589402</v>
      </c>
      <c r="MX104" s="20">
        <f ca="1">$A104 - DeathsTimeS!Denmark100dt + 1</f>
        <v>37</v>
      </c>
      <c r="MY104" s="20">
        <f ca="1">INDEX(OFFSET(DeathsTimeS!HeadRow,ROW()-ROW(DeathsTimeS!HeadRow),0,1,COLUMNS(DeathsTimeS!HeadRow)),1,MATCH(MY$5,DeathsTimeS!HeadRow,0))/MY$8</f>
        <v>694.10954185325522</v>
      </c>
      <c r="MZ104" s="20">
        <f ca="1">$A104 - DeathsTimeS!US100dt + 1</f>
        <v>36</v>
      </c>
      <c r="NA104" s="20">
        <f ca="1">INDEX(OFFSET(DeathsTimeS!HeadRow,ROW()-ROW(DeathsTimeS!HeadRow),0,1,COLUMNS(DeathsTimeS!HeadRow)),1,MATCH(NA$5,DeathsTimeS!HeadRow,0))/NA$8</f>
        <v>1564.0540818816651</v>
      </c>
      <c r="NB104" s="20">
        <f ca="1">$A104 - DeathsTimeS!AustraliaSum100dt + 1</f>
        <v>30</v>
      </c>
      <c r="NC104" s="366">
        <f t="shared" si="7"/>
        <v>79</v>
      </c>
      <c r="ND104" s="20">
        <f ca="1">$A104 - DeathsTimeS!Taiwan100dt + 1</f>
        <v>-2</v>
      </c>
      <c r="NE104" s="366">
        <f ca="1">INDEX(OFFSET(DeathsTimeS!HeadRow,ROW()-ROW(DeathsTimeS!HeadRow),0,1,COLUMNS(DeathsTimeS!HeadRow)),1,MATCH(NE$5,DeathsTimeS!HeadRow,0))/NE$8</f>
        <v>2.5202372954627914</v>
      </c>
      <c r="NF104" s="20">
        <f ca="1">$A104 - DeathsTimeS!Hubei100dt + 1</f>
        <v>89</v>
      </c>
      <c r="NG104" s="366">
        <f ca="1">INDEX(OFFSET(DeathsTimeS!HeadRow,ROW()-ROW(DeathsTimeS!HeadRow),0,1,COLUMNS(DeathsTimeS!HeadRow)),1,MATCH(NG$5,DeathsTimeS!HeadRow,0))/NG$8</f>
        <v>771.28205128205138</v>
      </c>
      <c r="NH104" s="366">
        <f ca="1">$A104 - DeathsTimeS!HongKong100dt + 1</f>
        <v>-2</v>
      </c>
      <c r="NI104" s="366">
        <f ca="1">INDEX(OFFSET(DeathsTimeS!HeadRow,ROW()-ROW(DeathsTimeS!HeadRow),0,1,COLUMNS(DeathsTimeS!HeadRow)),1,MATCH(NI$5,DeathsTimeS!HeadRow,0))/NI$8</f>
        <v>5.3684069252449333</v>
      </c>
    </row>
    <row r="105" spans="1:373" x14ac:dyDescent="0.25">
      <c r="A105" s="156">
        <v>43946</v>
      </c>
      <c r="B105" s="25">
        <v>47</v>
      </c>
      <c r="C105" s="25">
        <v>27</v>
      </c>
      <c r="D105" s="25">
        <v>419</v>
      </c>
      <c r="E105" s="25">
        <v>40</v>
      </c>
      <c r="F105" s="25">
        <v>2</v>
      </c>
      <c r="G105" s="25">
        <v>3</v>
      </c>
      <c r="H105" s="25">
        <v>185</v>
      </c>
      <c r="I105" s="25">
        <v>28</v>
      </c>
      <c r="J105" s="25">
        <v>3</v>
      </c>
      <c r="K105" s="25">
        <v>33</v>
      </c>
      <c r="L105" s="25">
        <v>0</v>
      </c>
      <c r="M105" s="25">
        <v>6</v>
      </c>
      <c r="N105" s="25">
        <v>4</v>
      </c>
      <c r="O105" s="25">
        <v>10</v>
      </c>
      <c r="P105" s="25">
        <v>16</v>
      </c>
      <c r="Q105" s="25">
        <v>8</v>
      </c>
      <c r="R105" s="25">
        <v>536</v>
      </c>
      <c r="S105" s="25">
        <v>21</v>
      </c>
      <c r="T105" s="25">
        <v>11</v>
      </c>
      <c r="U105" s="25">
        <v>8</v>
      </c>
      <c r="V105" s="25">
        <v>140</v>
      </c>
      <c r="W105" s="25">
        <v>6</v>
      </c>
      <c r="X105" s="25">
        <v>67</v>
      </c>
      <c r="Y105" s="25">
        <v>6917</v>
      </c>
      <c r="Z105" s="25">
        <v>1</v>
      </c>
      <c r="AA105" s="25">
        <v>0</v>
      </c>
      <c r="AB105" s="25">
        <v>46</v>
      </c>
      <c r="AC105" s="25">
        <v>57</v>
      </c>
      <c r="AD105" s="25">
        <v>4057</v>
      </c>
      <c r="AE105" s="25">
        <v>1</v>
      </c>
      <c r="AF105" s="25">
        <v>55</v>
      </c>
      <c r="AG105" s="25">
        <v>41</v>
      </c>
      <c r="AH105" s="25">
        <v>1</v>
      </c>
      <c r="AI105" s="25">
        <v>0</v>
      </c>
      <c r="AJ105" s="25">
        <v>53</v>
      </c>
      <c r="AK105" s="25">
        <v>73</v>
      </c>
      <c r="AL105" s="25">
        <v>100</v>
      </c>
      <c r="AM105" s="25">
        <v>0</v>
      </c>
      <c r="AN105" s="25">
        <v>6</v>
      </c>
      <c r="AO105" s="25">
        <v>0</v>
      </c>
      <c r="AP105" s="25">
        <v>3</v>
      </c>
      <c r="AQ105" s="25">
        <v>22</v>
      </c>
      <c r="AR105" s="25">
        <v>916</v>
      </c>
      <c r="AS105" s="25">
        <v>0</v>
      </c>
      <c r="AT105" s="25">
        <v>1446</v>
      </c>
      <c r="AU105" s="25">
        <v>4</v>
      </c>
      <c r="AV105" s="25">
        <v>0</v>
      </c>
      <c r="AW105" s="25">
        <v>0</v>
      </c>
      <c r="AX105" s="25">
        <v>181</v>
      </c>
      <c r="AY105" s="25">
        <v>6</v>
      </c>
      <c r="AZ105" s="25">
        <v>8</v>
      </c>
      <c r="BA105" s="25">
        <v>6</v>
      </c>
      <c r="BB105" s="25">
        <v>1</v>
      </c>
      <c r="BC105" s="25">
        <v>2</v>
      </c>
      <c r="BD105" s="25">
        <v>8</v>
      </c>
      <c r="BE105" s="25">
        <v>2</v>
      </c>
      <c r="BF105" s="25">
        <v>2</v>
      </c>
      <c r="BG105" s="25">
        <v>6</v>
      </c>
      <c r="BH105" s="25">
        <v>6</v>
      </c>
      <c r="BI105" s="25">
        <v>13</v>
      </c>
      <c r="BJ105" s="25">
        <v>22</v>
      </c>
      <c r="BK105" s="25">
        <v>4</v>
      </c>
      <c r="BL105" s="25">
        <v>4512</v>
      </c>
      <c r="BM105" s="25">
        <v>4</v>
      </c>
      <c r="BN105" s="25">
        <v>1</v>
      </c>
      <c r="BO105" s="25">
        <v>0</v>
      </c>
      <c r="BP105" s="25">
        <v>1</v>
      </c>
      <c r="BQ105" s="25">
        <v>1</v>
      </c>
      <c r="BR105" s="25">
        <v>2</v>
      </c>
      <c r="BS105" s="25">
        <v>0</v>
      </c>
      <c r="BT105" s="25">
        <v>0</v>
      </c>
      <c r="BU105" s="25">
        <v>0</v>
      </c>
      <c r="BV105" s="25">
        <v>3</v>
      </c>
      <c r="BW105" s="25">
        <v>7</v>
      </c>
      <c r="BX105" s="25">
        <v>7</v>
      </c>
      <c r="BY105" s="25">
        <v>0</v>
      </c>
      <c r="BZ105" s="25">
        <v>3</v>
      </c>
      <c r="CA105" s="25">
        <v>3</v>
      </c>
      <c r="CB105" s="25">
        <v>0</v>
      </c>
      <c r="CC105" s="25">
        <v>3</v>
      </c>
      <c r="CD105" s="25">
        <v>2</v>
      </c>
      <c r="CE105" s="25">
        <v>1</v>
      </c>
      <c r="CF105" s="25">
        <v>233</v>
      </c>
      <c r="CG105" s="25">
        <v>6</v>
      </c>
      <c r="CH105" s="25">
        <v>28</v>
      </c>
      <c r="CI105" s="25">
        <v>6</v>
      </c>
      <c r="CJ105" s="25">
        <v>14</v>
      </c>
      <c r="CK105" s="25">
        <v>54</v>
      </c>
      <c r="CL105" s="25">
        <v>13</v>
      </c>
      <c r="CM105" s="25">
        <v>51</v>
      </c>
      <c r="CN105" s="25">
        <v>14</v>
      </c>
      <c r="CO105" s="25">
        <v>218</v>
      </c>
      <c r="CP105" s="25">
        <v>0</v>
      </c>
      <c r="CQ105" s="25">
        <v>0</v>
      </c>
      <c r="CR105" s="25">
        <v>418</v>
      </c>
      <c r="CS105" s="25">
        <v>2</v>
      </c>
      <c r="CT105" s="25">
        <v>273</v>
      </c>
      <c r="CU105" s="25">
        <v>576</v>
      </c>
      <c r="CV105" s="25">
        <v>307</v>
      </c>
      <c r="CW105" s="25">
        <v>8</v>
      </c>
      <c r="CX105" s="25">
        <v>1</v>
      </c>
      <c r="CY105" s="25">
        <v>0</v>
      </c>
      <c r="CZ105" s="25">
        <v>46</v>
      </c>
      <c r="DA105" s="25">
        <v>1</v>
      </c>
      <c r="DB105" s="25">
        <v>3</v>
      </c>
      <c r="DC105" s="25">
        <v>0</v>
      </c>
      <c r="DD105" s="25">
        <v>186</v>
      </c>
      <c r="DE105" s="25">
        <v>1</v>
      </c>
      <c r="DF105" s="25">
        <v>0</v>
      </c>
      <c r="DG105" s="25">
        <v>12</v>
      </c>
      <c r="DH105" s="25">
        <v>4</v>
      </c>
      <c r="DI105" s="25">
        <v>0</v>
      </c>
      <c r="DJ105" s="25">
        <v>0</v>
      </c>
      <c r="DK105" s="25">
        <v>0</v>
      </c>
      <c r="DL105" s="25">
        <v>3</v>
      </c>
      <c r="DM105" s="25">
        <v>14</v>
      </c>
      <c r="DN105" s="25">
        <v>22583</v>
      </c>
      <c r="DO105" s="25">
        <v>3</v>
      </c>
      <c r="DP105" s="25">
        <v>1</v>
      </c>
      <c r="DQ105" s="25">
        <v>5</v>
      </c>
      <c r="DR105" s="25">
        <v>5877</v>
      </c>
      <c r="DS105" s="25">
        <v>10</v>
      </c>
      <c r="DT105" s="25">
        <v>130</v>
      </c>
      <c r="DU105" s="25">
        <v>13</v>
      </c>
      <c r="DV105" s="25">
        <v>7</v>
      </c>
      <c r="DW105" s="25">
        <v>7</v>
      </c>
      <c r="DX105" s="25">
        <v>6</v>
      </c>
      <c r="DY105" s="25">
        <v>0</v>
      </c>
      <c r="DZ105" s="25">
        <v>59</v>
      </c>
      <c r="EA105" s="25">
        <v>262</v>
      </c>
      <c r="EB105" s="25">
        <v>10</v>
      </c>
      <c r="EC105" s="25">
        <v>825</v>
      </c>
      <c r="ED105" s="25">
        <v>720</v>
      </c>
      <c r="EE105" s="25">
        <v>5650</v>
      </c>
      <c r="EF105" s="25">
        <v>86</v>
      </c>
      <c r="EG105" s="25">
        <v>1063</v>
      </c>
      <c r="EH105" s="25">
        <v>199</v>
      </c>
      <c r="EI105" s="25">
        <v>26384</v>
      </c>
      <c r="EJ105" s="25">
        <v>7</v>
      </c>
      <c r="EK105" s="25">
        <v>360</v>
      </c>
      <c r="EL105" s="25">
        <v>7</v>
      </c>
      <c r="EM105" s="25">
        <v>25</v>
      </c>
      <c r="EN105" s="25">
        <v>14</v>
      </c>
      <c r="EO105" s="25">
        <v>242</v>
      </c>
      <c r="EP105" s="25">
        <v>19</v>
      </c>
      <c r="EQ105" s="25">
        <v>8</v>
      </c>
      <c r="ER105" s="25">
        <v>12</v>
      </c>
      <c r="ES105" s="25">
        <v>24</v>
      </c>
      <c r="ET105" s="25">
        <v>11</v>
      </c>
      <c r="EU105" s="25">
        <v>1</v>
      </c>
      <c r="EV105" s="25">
        <v>41</v>
      </c>
      <c r="EW105" s="25">
        <v>85</v>
      </c>
      <c r="EX105" s="25">
        <v>0</v>
      </c>
      <c r="EY105" s="25">
        <v>98</v>
      </c>
      <c r="EZ105" s="25">
        <v>0</v>
      </c>
      <c r="FA105" s="25">
        <v>4</v>
      </c>
      <c r="FB105" s="25">
        <v>1</v>
      </c>
      <c r="FC105" s="25">
        <v>9</v>
      </c>
      <c r="FD105" s="25">
        <v>1305</v>
      </c>
      <c r="FE105" s="25">
        <v>94</v>
      </c>
      <c r="FF105" s="25">
        <v>4</v>
      </c>
      <c r="FG105" s="25">
        <v>0</v>
      </c>
      <c r="FH105" s="25">
        <v>6</v>
      </c>
      <c r="FI105" s="25">
        <v>159</v>
      </c>
      <c r="FJ105" s="25">
        <v>0</v>
      </c>
      <c r="FK105" s="25">
        <v>0</v>
      </c>
      <c r="FL105" s="25">
        <v>2</v>
      </c>
      <c r="FM105" s="25">
        <v>1</v>
      </c>
      <c r="FN105" s="25">
        <v>12</v>
      </c>
      <c r="FO105" s="25">
        <v>4409</v>
      </c>
      <c r="FP105" s="25">
        <v>18</v>
      </c>
      <c r="FQ105" s="25">
        <v>3</v>
      </c>
      <c r="FR105" s="25">
        <v>27</v>
      </c>
      <c r="FS105" s="25">
        <v>35</v>
      </c>
      <c r="FT105" s="25">
        <v>59</v>
      </c>
      <c r="FU105" s="25">
        <v>201</v>
      </c>
      <c r="FV105" s="25">
        <v>10</v>
      </c>
      <c r="FW105" s="25">
        <v>269</v>
      </c>
      <c r="FX105" s="25">
        <v>159</v>
      </c>
      <c r="FY105" s="25">
        <v>0</v>
      </c>
      <c r="FZ105" s="25">
        <v>9</v>
      </c>
      <c r="GA105" s="25">
        <v>700</v>
      </c>
      <c r="GB105" s="25">
        <v>494</v>
      </c>
      <c r="GC105" s="25">
        <v>524</v>
      </c>
      <c r="GD105" s="25">
        <v>880</v>
      </c>
      <c r="GE105" s="25">
        <v>10</v>
      </c>
      <c r="GF105" s="25">
        <v>601</v>
      </c>
      <c r="GG105" s="25">
        <v>681</v>
      </c>
      <c r="GH105" s="25">
        <v>0</v>
      </c>
      <c r="GI105" s="25">
        <v>0</v>
      </c>
      <c r="GJ105" s="25">
        <v>0</v>
      </c>
      <c r="GK105" s="25">
        <v>40</v>
      </c>
      <c r="GL105" s="25">
        <v>136</v>
      </c>
      <c r="GM105" s="25">
        <v>7</v>
      </c>
      <c r="GN105" s="25">
        <v>151</v>
      </c>
      <c r="GO105" s="25">
        <v>0</v>
      </c>
      <c r="GP105" s="25">
        <v>12</v>
      </c>
      <c r="GQ105" s="25">
        <v>17</v>
      </c>
      <c r="GR105" s="25">
        <v>81</v>
      </c>
      <c r="GS105" s="25">
        <v>18</v>
      </c>
      <c r="GT105" s="25">
        <v>86</v>
      </c>
      <c r="GU105" s="25">
        <v>22902</v>
      </c>
      <c r="GV105" s="25">
        <v>7</v>
      </c>
      <c r="GW105" s="25">
        <v>17</v>
      </c>
      <c r="GX105" s="25">
        <v>1</v>
      </c>
      <c r="GY105" s="46">
        <v>2192</v>
      </c>
      <c r="GZ105" s="25">
        <v>1599</v>
      </c>
      <c r="HA105" s="25">
        <v>6</v>
      </c>
      <c r="HB105" s="25">
        <v>10</v>
      </c>
      <c r="HC105" s="25">
        <v>51</v>
      </c>
      <c r="HD105" s="25">
        <v>6</v>
      </c>
      <c r="HE105" s="25">
        <v>8</v>
      </c>
      <c r="HF105" s="25">
        <v>38</v>
      </c>
      <c r="HG105" s="25">
        <v>2706</v>
      </c>
      <c r="HH105" s="25">
        <v>0</v>
      </c>
      <c r="HI105" s="25">
        <v>201</v>
      </c>
      <c r="HJ105" s="25">
        <v>71</v>
      </c>
      <c r="HK105" s="25">
        <v>5</v>
      </c>
      <c r="HL105" s="25">
        <v>1</v>
      </c>
      <c r="HM105" s="25">
        <v>35</v>
      </c>
      <c r="HN105" s="25">
        <v>0</v>
      </c>
      <c r="HO105" s="25">
        <v>18</v>
      </c>
      <c r="HP105" s="25">
        <v>1</v>
      </c>
      <c r="HQ105" s="25">
        <v>23635</v>
      </c>
      <c r="HR105" s="25">
        <v>14</v>
      </c>
      <c r="HS105" s="25">
        <v>53755</v>
      </c>
      <c r="HT105" s="25">
        <v>8</v>
      </c>
      <c r="HU105" s="25">
        <v>10</v>
      </c>
      <c r="HV105" s="25">
        <v>0</v>
      </c>
      <c r="HW105" s="25">
        <v>3</v>
      </c>
      <c r="HX105" s="25">
        <v>4</v>
      </c>
      <c r="HY105" s="25">
        <v>1</v>
      </c>
      <c r="HZ105" s="25">
        <v>0</v>
      </c>
      <c r="IA105" s="25">
        <v>0</v>
      </c>
      <c r="IB105" s="25">
        <v>0</v>
      </c>
      <c r="IC105" s="25">
        <v>3</v>
      </c>
      <c r="ID105" s="25">
        <v>0</v>
      </c>
      <c r="IE105" s="25">
        <v>2</v>
      </c>
      <c r="IF105" s="25">
        <v>0</v>
      </c>
      <c r="IG105" s="25">
        <v>0</v>
      </c>
      <c r="IH105" s="25">
        <v>2</v>
      </c>
      <c r="II105" s="25">
        <v>2</v>
      </c>
      <c r="IJ105" s="25">
        <v>0</v>
      </c>
      <c r="IK105" s="25">
        <v>21</v>
      </c>
      <c r="IL105" s="25">
        <v>0</v>
      </c>
      <c r="IM105" s="25">
        <v>0</v>
      </c>
      <c r="IN105" s="25">
        <v>0</v>
      </c>
      <c r="IO105" s="25">
        <v>20</v>
      </c>
      <c r="IP105" s="25">
        <v>5</v>
      </c>
      <c r="IQ105" s="25">
        <v>0</v>
      </c>
      <c r="IR105" s="25">
        <v>1</v>
      </c>
      <c r="IS105" s="25">
        <v>1</v>
      </c>
      <c r="IT105" s="25">
        <v>2</v>
      </c>
      <c r="IU105" s="25">
        <v>1</v>
      </c>
      <c r="IV105" s="25">
        <v>1</v>
      </c>
      <c r="IW105" s="25">
        <v>2</v>
      </c>
      <c r="IX105" s="25">
        <v>0</v>
      </c>
      <c r="IY105" s="25">
        <v>3</v>
      </c>
      <c r="IZ105" s="25">
        <v>0</v>
      </c>
      <c r="JA105" s="25">
        <v>0</v>
      </c>
      <c r="JB105" s="25">
        <v>0</v>
      </c>
      <c r="JC105" s="25">
        <v>0</v>
      </c>
      <c r="JD105" s="25">
        <v>0</v>
      </c>
      <c r="JE105" s="25">
        <v>0</v>
      </c>
      <c r="JF105" s="25">
        <v>0</v>
      </c>
      <c r="JG105" s="25">
        <v>0</v>
      </c>
      <c r="JH105" s="25">
        <v>0</v>
      </c>
      <c r="JI105" s="25">
        <v>5</v>
      </c>
      <c r="JJ105" s="25">
        <v>2</v>
      </c>
      <c r="JK105" s="25">
        <v>83</v>
      </c>
      <c r="JL105" s="25">
        <v>3</v>
      </c>
      <c r="JM105" s="25">
        <v>209</v>
      </c>
      <c r="JN105" s="25">
        <v>9</v>
      </c>
      <c r="JO105" s="25">
        <v>273</v>
      </c>
      <c r="JP105" s="25">
        <v>48</v>
      </c>
      <c r="JQ105" s="25">
        <v>1689</v>
      </c>
      <c r="JR105" s="25">
        <v>684</v>
      </c>
      <c r="JS105" s="25">
        <v>1865</v>
      </c>
      <c r="JT105" s="25">
        <v>112</v>
      </c>
      <c r="JU105" s="25">
        <v>165</v>
      </c>
      <c r="JV105" s="25">
        <v>1055</v>
      </c>
      <c r="JW105" s="25">
        <v>907</v>
      </c>
      <c r="JX105" s="25">
        <v>13</v>
      </c>
      <c r="JY105" s="25">
        <v>56</v>
      </c>
      <c r="JZ105" s="25">
        <v>1875</v>
      </c>
      <c r="KA105" s="25">
        <v>786</v>
      </c>
      <c r="KB105" s="25">
        <v>112</v>
      </c>
      <c r="KC105" s="25">
        <v>120</v>
      </c>
      <c r="KD105" s="25">
        <v>205</v>
      </c>
      <c r="KE105" s="25">
        <v>1707</v>
      </c>
      <c r="KF105" s="25">
        <v>47</v>
      </c>
      <c r="KG105" s="25">
        <v>875</v>
      </c>
      <c r="KH105" s="25">
        <v>2730</v>
      </c>
      <c r="KI105" s="25">
        <v>3155</v>
      </c>
      <c r="KJ105" s="25">
        <v>244</v>
      </c>
      <c r="KK105" s="25">
        <v>221</v>
      </c>
      <c r="KL105" s="25">
        <v>281</v>
      </c>
      <c r="KM105" s="25">
        <v>14</v>
      </c>
      <c r="KN105" s="25">
        <v>50</v>
      </c>
      <c r="KO105" s="25">
        <v>205</v>
      </c>
      <c r="KP105" s="25">
        <v>53</v>
      </c>
      <c r="KQ105" s="25">
        <v>5914</v>
      </c>
      <c r="KR105" s="25">
        <v>93</v>
      </c>
      <c r="KS105" s="25">
        <v>22009</v>
      </c>
      <c r="KT105" s="25">
        <v>305</v>
      </c>
      <c r="KU105" s="25">
        <v>16</v>
      </c>
      <c r="KV105" s="25">
        <v>711</v>
      </c>
      <c r="KW105" s="25">
        <v>194</v>
      </c>
      <c r="KX105" s="25">
        <v>87</v>
      </c>
      <c r="KY105" s="25">
        <v>1793</v>
      </c>
      <c r="KZ105" s="25">
        <v>215</v>
      </c>
      <c r="LA105" s="25">
        <v>166</v>
      </c>
      <c r="LB105" s="25">
        <v>10</v>
      </c>
      <c r="LC105" s="25">
        <v>177</v>
      </c>
      <c r="LD105" s="25">
        <v>638</v>
      </c>
      <c r="LE105" s="25">
        <v>41</v>
      </c>
      <c r="LF105" s="25">
        <v>46</v>
      </c>
      <c r="LG105" s="25">
        <v>437</v>
      </c>
      <c r="LH105" s="25">
        <v>737</v>
      </c>
      <c r="LI105" s="25">
        <v>32</v>
      </c>
      <c r="LJ105" s="25">
        <v>266</v>
      </c>
      <c r="LK105" s="25">
        <v>7</v>
      </c>
      <c r="LL105" s="25">
        <v>0</v>
      </c>
      <c r="LM105" s="25">
        <v>3</v>
      </c>
      <c r="LN105" s="278">
        <f ca="1">$A105 - DeathsTimeS!Sweden100dt + 1</f>
        <v>38</v>
      </c>
      <c r="LO105" s="366">
        <f ca="1">INDEX(OFFSET(DeathsTimeS!HeadRow,ROW()-ROW(DeathsTimeS!HeadRow),0,1,COLUMNS(DeathsTimeS!HeadRow)),1,MATCH(LO$5,DeathsTimeS!HeadRow,0))/LO$8</f>
        <v>2142.7174975562075</v>
      </c>
      <c r="LP105" s="278">
        <f ca="1">$A105 - DeathsTimeS!Spain100dt</f>
        <v>45</v>
      </c>
      <c r="LQ105" s="20">
        <f ca="1">INDEX(OFFSET(DeathsTimeS!HeadRow,ROW()-ROW(DeathsTimeS!HeadRow),0,1,COLUMNS(DeathsTimeS!HeadRow)),1,MATCH(LQ$5,DeathsTimeS!HeadRow,0))/LQ$8</f>
        <v>4878.9944610140601</v>
      </c>
      <c r="LR105" s="278">
        <f ca="1">$A105 - DeathsTimeS!Victoria100dt</f>
        <v>22</v>
      </c>
      <c r="LS105" s="20">
        <f ca="1">INDEX(OFFSET(DeathsTimeS!HeadRow,ROW()-ROW(DeathsTimeS!HeadRow),0,1,COLUMNS(DeathsTimeS!HeadRow)),1,MATCH(LS$5,DeathsTimeS!HeadRow,0))/LS$8</f>
        <v>24.136370493287071</v>
      </c>
      <c r="LT105" s="278">
        <f ca="1">$A105 - DeathsTimeS!Iran100dt</f>
        <v>52</v>
      </c>
      <c r="LU105" s="20">
        <f ca="1">INDEX(OFFSET(DeathsTimeS!HeadRow,ROW()-ROW(DeathsTimeS!HeadRow),0,1,COLUMNS(DeathsTimeS!HeadRow)),1,MATCH(LU$5,DeathsTimeS!HeadRow,0))/LU$8</f>
        <v>674.44164587635635</v>
      </c>
      <c r="LV105" s="278">
        <f ca="1">$A105 - DeathsTimeS!Japan100dt</f>
        <v>11</v>
      </c>
      <c r="LW105" s="20">
        <f ca="1">INDEX(OFFSET(DeathsTimeS!HeadRow,ROW()-ROW(DeathsTimeS!HeadRow),0,1,COLUMNS(DeathsTimeS!HeadRow)),1,MATCH(LW$5,DeathsTimeS!HeadRow,0))/LW$8</f>
        <v>28.446309286148324</v>
      </c>
      <c r="LX105" s="278">
        <f ca="1">$A105 - DeathsTimeS!Queensland100dt</f>
        <v>7</v>
      </c>
      <c r="LY105" s="20">
        <f ca="1">INDEX(OFFSET(DeathsTimeS!HeadRow,ROW()-ROW(DeathsTimeS!HeadRow),0,1,COLUMNS(DeathsTimeS!HeadRow)),1,MATCH(LY$5,DeathsTimeS!HeadRow,0))/LY$8</f>
        <v>11.72917109361423</v>
      </c>
      <c r="LZ105" s="278">
        <f ca="1">$A105 - DeathsTimeS!Tasmania100dt</f>
        <v>25</v>
      </c>
      <c r="MA105" s="20">
        <f ca="1">INDEX(OFFSET(DeathsTimeS!HeadRow,ROW()-ROW(DeathsTimeS!HeadRow),0,1,COLUMNS(DeathsTimeS!HeadRow)),1,MATCH(MA$5,DeathsTimeS!HeadRow,0))/MA$8</f>
        <v>194.17475728155341</v>
      </c>
      <c r="MB105" s="278">
        <f ca="1">$A105 - DeathsTimeS!SouthAustralia100dt</f>
        <v>17</v>
      </c>
      <c r="MC105" s="11">
        <f ca="1">INDEX(OFFSET(DeathsTimeS!HeadRow,ROW()-ROW(DeathsTimeS!HeadRow),0,1,COLUMNS(DeathsTimeS!HeadRow)),1,MATCH(MC$5,DeathsTimeS!HeadRow,0))/MC$8</f>
        <v>23.95209580838323</v>
      </c>
      <c r="MD105" s="278">
        <f ca="1">$A105 - DeathsTimeS!WesternAustralia100dt</f>
        <v>20</v>
      </c>
      <c r="ME105" s="20">
        <f ca="1">INDEX(OFFSET(DeathsTimeS!HeadRow,ROW()-ROW(DeathsTimeS!HeadRow),0,1,COLUMNS(DeathsTimeS!HeadRow)),1,MATCH(ME$5,DeathsTimeS!HeadRow,0))/ME$8</f>
        <v>30.899961375048278</v>
      </c>
      <c r="MF105" s="278">
        <f ca="1">$A105 - DeathsTimeS!NewSouthWales100dt</f>
        <v>24</v>
      </c>
      <c r="MG105" s="20">
        <f ca="1">INDEX(OFFSET(DeathsTimeS!HeadRow,ROW()-ROW(DeathsTimeS!HeadRow),0,1,COLUMNS(DeathsTimeS!HeadRow)),1,MATCH(MG$5,DeathsTimeS!HeadRow,0))/MG$8</f>
        <v>40.841584158415841</v>
      </c>
      <c r="MH105" s="278">
        <f ca="1">$A105 - DeathsTimeS!NewYork100dt</f>
        <v>40</v>
      </c>
      <c r="MI105" s="20">
        <f ca="1">INDEX(OFFSET(DeathsTimeS!HeadRow,ROW()-ROW(DeathsTimeS!HeadRow),0,1,COLUMNS(DeathsTimeS!HeadRow)),1,MATCH(MI$5,DeathsTimeS!HeadRow,0))/MI$8</f>
        <v>9314.7703800543968</v>
      </c>
      <c r="MJ105" s="278">
        <f ca="1">$A105 - DeathsTimeS!Italy100dt</f>
        <v>53</v>
      </c>
      <c r="MK105" s="20">
        <f ca="1">INDEX(OFFSET(DeathsTimeS!HeadRow,ROW()-ROW(DeathsTimeS!HeadRow),0,1,COLUMNS(DeathsTimeS!HeadRow)),1,MATCH(MK$5,DeathsTimeS!HeadRow,0))/MK$8</f>
        <v>4362.0732412994957</v>
      </c>
      <c r="ML105" s="278">
        <f ca="1">$A105 - DeathsTimeS!AustralianCapitalTerritory100dt</f>
        <v>26</v>
      </c>
      <c r="MM105" s="20">
        <f ca="1">INDEX(OFFSET(DeathsTimeS!HeadRow,ROW()-ROW(DeathsTimeS!HeadRow),0,1,COLUMNS(DeathsTimeS!HeadRow)),1,MATCH(MM$5,DeathsTimeS!HeadRow,0))/MM$8</f>
        <v>70.083633135541746</v>
      </c>
      <c r="MN105" s="278">
        <f ca="1">IF(DeathsTimeS!NorthernTerritory100dt&gt;0,$A105 - DeathsTimeS!NorthernTerritory100dt,"")</f>
        <v>-2</v>
      </c>
      <c r="MO105" s="20">
        <f ca="1">INDEX(OFFSET(DeathsTimeS!HeadRow,ROW()-ROW(DeathsTimeS!HeadRow),0,1,COLUMNS(DeathsTimeS!HeadRow)),1,MATCH(MO$5,DeathsTimeS!HeadRow,0))/MO$8</f>
        <v>0</v>
      </c>
      <c r="MP105" s="278">
        <f ca="1">$A105 - DeathsTimeS!SouthAfrica100dt + 1</f>
        <v>6</v>
      </c>
      <c r="MQ105" s="20">
        <f ca="1">INDEX(OFFSET(DeathsTimeS!HeadRow,ROW()-ROW(DeathsTimeS!HeadRow),0,1,COLUMNS(DeathsTimeS!HeadRow)),1,MATCH(MQ$5,DeathsTimeS!HeadRow,0))/MQ$8</f>
        <v>14.884042921426101</v>
      </c>
      <c r="MR105" s="278">
        <f ca="1">$A105 - DeathsTimeS!Germany100dt + 1</f>
        <v>36</v>
      </c>
      <c r="MS105" s="20">
        <f ca="1">INDEX(OFFSET(DeathsTimeS!HeadRow,ROW()-ROW(DeathsTimeS!HeadRow),0,1,COLUMNS(DeathsTimeS!HeadRow)),1,MATCH(MS$5,DeathsTimeS!HeadRow,0))/MS$8</f>
        <v>707.90171043122143</v>
      </c>
      <c r="MT105" s="20">
        <f ca="1">$A105 - DeathsTimeS!Ireland100dt + 1</f>
        <v>34</v>
      </c>
      <c r="MU105" s="20">
        <f ca="1">INDEX(OFFSET(DeathsTimeS!HeadRow,ROW()-ROW(DeathsTimeS!HeadRow),0,1,COLUMNS(DeathsTimeS!HeadRow)),1,MATCH(MU$5,DeathsTimeS!HeadRow,0))/MU$8</f>
        <v>2169.387755102041</v>
      </c>
      <c r="MV105" s="20">
        <f ca="1">$A105 - DeathsTimeS!UnitedKingdom100dt + 1</f>
        <v>40</v>
      </c>
      <c r="MW105" s="20">
        <f ca="1">INDEX(OFFSET(DeathsTimeS!HeadRow,ROW()-ROW(DeathsTimeS!HeadRow),0,1,COLUMNS(DeathsTimeS!HeadRow)),1,MATCH(MW$5,DeathsTimeS!HeadRow,0))/MW$8</f>
        <v>3557.3449729078866</v>
      </c>
      <c r="MX105" s="20">
        <f ca="1">$A105 - DeathsTimeS!Denmark100dt + 1</f>
        <v>38</v>
      </c>
      <c r="MY105" s="20">
        <f ca="1">INDEX(OFFSET(DeathsTimeS!HeadRow,ROW()-ROW(DeathsTimeS!HeadRow),0,1,COLUMNS(DeathsTimeS!HeadRow)),1,MATCH(MY$5,DeathsTimeS!HeadRow,0))/MY$8</f>
        <v>719.94488460213574</v>
      </c>
      <c r="MZ105" s="20">
        <f ca="1">$A105 - DeathsTimeS!US100dt + 1</f>
        <v>37</v>
      </c>
      <c r="NA105" s="20">
        <f ca="1">INDEX(OFFSET(DeathsTimeS!HeadRow,ROW()-ROW(DeathsTimeS!HeadRow),0,1,COLUMNS(DeathsTimeS!HeadRow)),1,MATCH(NA$5,DeathsTimeS!HeadRow,0))/NA$8</f>
        <v>1632.7603202677822</v>
      </c>
      <c r="NB105" s="20">
        <f ca="1">$A105 - DeathsTimeS!AustraliaSum100dt + 1</f>
        <v>31</v>
      </c>
      <c r="NC105" s="366">
        <f t="shared" si="7"/>
        <v>80</v>
      </c>
      <c r="ND105" s="20">
        <f ca="1">$A105 - DeathsTimeS!Taiwan100dt + 1</f>
        <v>-1</v>
      </c>
      <c r="NE105" s="366">
        <f ca="1">INDEX(OFFSET(DeathsTimeS!HeadRow,ROW()-ROW(DeathsTimeS!HeadRow),0,1,COLUMNS(DeathsTimeS!HeadRow)),1,MATCH(NE$5,DeathsTimeS!HeadRow,0))/NE$8</f>
        <v>2.5202372954627914</v>
      </c>
      <c r="NF105" s="20">
        <f ca="1">$A105 - DeathsTimeS!Hubei100dt + 1</f>
        <v>90</v>
      </c>
      <c r="NG105" s="366">
        <f ca="1">INDEX(OFFSET(DeathsTimeS!HeadRow,ROW()-ROW(DeathsTimeS!HeadRow),0,1,COLUMNS(DeathsTimeS!HeadRow)),1,MATCH(NG$5,DeathsTimeS!HeadRow,0))/NG$8</f>
        <v>771.28205128205138</v>
      </c>
      <c r="NH105" s="366">
        <f ca="1">$A105 - DeathsTimeS!HongKong100dt + 1</f>
        <v>-1</v>
      </c>
      <c r="NI105" s="366">
        <f ca="1">INDEX(OFFSET(DeathsTimeS!HeadRow,ROW()-ROW(DeathsTimeS!HeadRow),0,1,COLUMNS(DeathsTimeS!HeadRow)),1,MATCH(NI$5,DeathsTimeS!HeadRow,0))/NI$8</f>
        <v>5.3684069252449333</v>
      </c>
    </row>
    <row r="106" spans="1:373" x14ac:dyDescent="0.25">
      <c r="A106" s="156">
        <v>43947</v>
      </c>
      <c r="B106" s="25">
        <v>50</v>
      </c>
      <c r="C106" s="25">
        <v>28</v>
      </c>
      <c r="D106" s="25">
        <v>425</v>
      </c>
      <c r="E106" s="25">
        <v>40</v>
      </c>
      <c r="F106" s="25">
        <v>2</v>
      </c>
      <c r="G106" s="25">
        <v>3</v>
      </c>
      <c r="H106" s="25">
        <v>192</v>
      </c>
      <c r="I106" s="25">
        <v>28</v>
      </c>
      <c r="J106" s="25">
        <v>3</v>
      </c>
      <c r="K106" s="25">
        <v>34</v>
      </c>
      <c r="L106" s="25">
        <v>0</v>
      </c>
      <c r="M106" s="25">
        <v>6</v>
      </c>
      <c r="N106" s="25">
        <v>4</v>
      </c>
      <c r="O106" s="25">
        <v>11</v>
      </c>
      <c r="P106" s="25">
        <v>17</v>
      </c>
      <c r="Q106" s="25">
        <v>8</v>
      </c>
      <c r="R106" s="25">
        <v>542</v>
      </c>
      <c r="S106" s="25">
        <v>21</v>
      </c>
      <c r="T106" s="25">
        <v>11</v>
      </c>
      <c r="U106" s="25">
        <v>8</v>
      </c>
      <c r="V106" s="25">
        <v>145</v>
      </c>
      <c r="W106" s="25">
        <v>6</v>
      </c>
      <c r="X106" s="25">
        <v>72</v>
      </c>
      <c r="Y106" s="25">
        <v>7094</v>
      </c>
      <c r="Z106" s="25">
        <v>1</v>
      </c>
      <c r="AA106" s="25">
        <v>0</v>
      </c>
      <c r="AB106" s="25">
        <v>50</v>
      </c>
      <c r="AC106" s="25">
        <v>59</v>
      </c>
      <c r="AD106" s="25">
        <v>4286</v>
      </c>
      <c r="AE106" s="25">
        <v>1</v>
      </c>
      <c r="AF106" s="25">
        <v>56</v>
      </c>
      <c r="AG106" s="25">
        <v>42</v>
      </c>
      <c r="AH106" s="25">
        <v>1</v>
      </c>
      <c r="AI106" s="25">
        <v>0</v>
      </c>
      <c r="AJ106" s="25">
        <v>56</v>
      </c>
      <c r="AK106" s="25">
        <v>73</v>
      </c>
      <c r="AL106" s="25">
        <v>100</v>
      </c>
      <c r="AM106" s="25">
        <v>0</v>
      </c>
      <c r="AN106" s="25">
        <v>6</v>
      </c>
      <c r="AO106" s="25">
        <v>0</v>
      </c>
      <c r="AP106" s="25">
        <v>3</v>
      </c>
      <c r="AQ106" s="25">
        <v>24</v>
      </c>
      <c r="AR106" s="25">
        <v>960</v>
      </c>
      <c r="AS106" s="25">
        <v>0</v>
      </c>
      <c r="AT106" s="25">
        <v>1516</v>
      </c>
      <c r="AU106" s="25">
        <v>4</v>
      </c>
      <c r="AV106" s="25">
        <v>0</v>
      </c>
      <c r="AW106" s="25">
        <v>0</v>
      </c>
      <c r="AX106" s="25">
        <v>189</v>
      </c>
      <c r="AY106" s="25">
        <v>6</v>
      </c>
      <c r="AZ106" s="25">
        <v>9</v>
      </c>
      <c r="BA106" s="25">
        <v>6</v>
      </c>
      <c r="BB106" s="25">
        <v>1</v>
      </c>
      <c r="BC106" s="25">
        <v>2</v>
      </c>
      <c r="BD106" s="25">
        <v>8</v>
      </c>
      <c r="BE106" s="25">
        <v>2</v>
      </c>
      <c r="BF106" s="25">
        <v>2</v>
      </c>
      <c r="BG106" s="25">
        <v>6</v>
      </c>
      <c r="BH106" s="25">
        <v>6</v>
      </c>
      <c r="BI106" s="25">
        <v>13</v>
      </c>
      <c r="BJ106" s="25">
        <v>22</v>
      </c>
      <c r="BK106" s="25">
        <v>4</v>
      </c>
      <c r="BL106" s="25">
        <v>4512</v>
      </c>
      <c r="BM106" s="25">
        <v>4</v>
      </c>
      <c r="BN106" s="25">
        <v>1</v>
      </c>
      <c r="BO106" s="25">
        <v>0</v>
      </c>
      <c r="BP106" s="25">
        <v>1</v>
      </c>
      <c r="BQ106" s="25">
        <v>1</v>
      </c>
      <c r="BR106" s="25">
        <v>2</v>
      </c>
      <c r="BS106" s="25">
        <v>0</v>
      </c>
      <c r="BT106" s="25">
        <v>0</v>
      </c>
      <c r="BU106" s="25">
        <v>0</v>
      </c>
      <c r="BV106" s="25">
        <v>3</v>
      </c>
      <c r="BW106" s="25">
        <v>7</v>
      </c>
      <c r="BX106" s="25">
        <v>7</v>
      </c>
      <c r="BY106" s="25">
        <v>0</v>
      </c>
      <c r="BZ106" s="25">
        <v>3</v>
      </c>
      <c r="CA106" s="25">
        <v>3</v>
      </c>
      <c r="CB106" s="25">
        <v>0</v>
      </c>
      <c r="CC106" s="25">
        <v>3</v>
      </c>
      <c r="CD106" s="25">
        <v>2</v>
      </c>
      <c r="CE106" s="25">
        <v>1</v>
      </c>
      <c r="CF106" s="25">
        <v>244</v>
      </c>
      <c r="CG106" s="25">
        <v>6</v>
      </c>
      <c r="CH106" s="25">
        <v>28</v>
      </c>
      <c r="CI106" s="25">
        <v>6</v>
      </c>
      <c r="CJ106" s="25">
        <v>14</v>
      </c>
      <c r="CK106" s="25">
        <v>55</v>
      </c>
      <c r="CL106" s="25">
        <v>13</v>
      </c>
      <c r="CM106" s="25">
        <v>54</v>
      </c>
      <c r="CN106" s="25">
        <v>14</v>
      </c>
      <c r="CO106" s="25">
        <v>220</v>
      </c>
      <c r="CP106" s="25">
        <v>0</v>
      </c>
      <c r="CQ106" s="25">
        <v>0</v>
      </c>
      <c r="CR106" s="25">
        <v>422</v>
      </c>
      <c r="CS106" s="25">
        <v>2</v>
      </c>
      <c r="CT106" s="25">
        <v>278</v>
      </c>
      <c r="CU106" s="25">
        <v>576</v>
      </c>
      <c r="CV106" s="25">
        <v>317</v>
      </c>
      <c r="CW106" s="25">
        <v>8</v>
      </c>
      <c r="CX106" s="25">
        <v>1</v>
      </c>
      <c r="CY106" s="25">
        <v>0</v>
      </c>
      <c r="CZ106" s="25">
        <v>49</v>
      </c>
      <c r="DA106" s="25">
        <v>1</v>
      </c>
      <c r="DB106" s="25">
        <v>3</v>
      </c>
      <c r="DC106" s="25">
        <v>0</v>
      </c>
      <c r="DD106" s="25">
        <v>190</v>
      </c>
      <c r="DE106" s="25">
        <v>1</v>
      </c>
      <c r="DF106" s="25">
        <v>0</v>
      </c>
      <c r="DG106" s="25">
        <v>12</v>
      </c>
      <c r="DH106" s="25">
        <v>4</v>
      </c>
      <c r="DI106" s="25">
        <v>0</v>
      </c>
      <c r="DJ106" s="25">
        <v>0</v>
      </c>
      <c r="DK106" s="25">
        <v>0</v>
      </c>
      <c r="DL106" s="25">
        <v>3</v>
      </c>
      <c r="DM106" s="25">
        <v>14</v>
      </c>
      <c r="DN106" s="25">
        <v>22825</v>
      </c>
      <c r="DO106" s="25">
        <v>3</v>
      </c>
      <c r="DP106" s="25">
        <v>1</v>
      </c>
      <c r="DQ106" s="25">
        <v>6</v>
      </c>
      <c r="DR106" s="25">
        <v>5976</v>
      </c>
      <c r="DS106" s="25">
        <v>11</v>
      </c>
      <c r="DT106" s="25">
        <v>134</v>
      </c>
      <c r="DU106" s="25">
        <v>15</v>
      </c>
      <c r="DV106" s="25">
        <v>7</v>
      </c>
      <c r="DW106" s="25">
        <v>8</v>
      </c>
      <c r="DX106" s="25">
        <v>6</v>
      </c>
      <c r="DY106" s="25">
        <v>0</v>
      </c>
      <c r="DZ106" s="25">
        <v>59</v>
      </c>
      <c r="EA106" s="25">
        <v>272</v>
      </c>
      <c r="EB106" s="25">
        <v>10</v>
      </c>
      <c r="EC106" s="25">
        <v>881</v>
      </c>
      <c r="ED106" s="25">
        <v>743</v>
      </c>
      <c r="EE106" s="25">
        <v>5710</v>
      </c>
      <c r="EF106" s="25">
        <v>87</v>
      </c>
      <c r="EG106" s="25">
        <v>1087</v>
      </c>
      <c r="EH106" s="25">
        <v>201</v>
      </c>
      <c r="EI106" s="25">
        <v>26644</v>
      </c>
      <c r="EJ106" s="25">
        <v>7</v>
      </c>
      <c r="EK106" s="25">
        <v>372</v>
      </c>
      <c r="EL106" s="25">
        <v>7</v>
      </c>
      <c r="EM106" s="25">
        <v>25</v>
      </c>
      <c r="EN106" s="25">
        <v>14</v>
      </c>
      <c r="EO106" s="25">
        <v>243</v>
      </c>
      <c r="EP106" s="25">
        <v>20</v>
      </c>
      <c r="EQ106" s="25">
        <v>8</v>
      </c>
      <c r="ER106" s="25">
        <v>12</v>
      </c>
      <c r="ES106" s="25">
        <v>24</v>
      </c>
      <c r="ET106" s="25">
        <v>12</v>
      </c>
      <c r="EU106" s="25">
        <v>1</v>
      </c>
      <c r="EV106" s="25">
        <v>41</v>
      </c>
      <c r="EW106" s="25">
        <v>88</v>
      </c>
      <c r="EX106" s="25">
        <v>0</v>
      </c>
      <c r="EY106" s="25">
        <v>98</v>
      </c>
      <c r="EZ106" s="25">
        <v>0</v>
      </c>
      <c r="FA106" s="25">
        <v>4</v>
      </c>
      <c r="FB106" s="25">
        <v>1</v>
      </c>
      <c r="FC106" s="25">
        <v>9</v>
      </c>
      <c r="FD106" s="25">
        <v>1351</v>
      </c>
      <c r="FE106" s="25">
        <v>96</v>
      </c>
      <c r="FF106" s="25">
        <v>4</v>
      </c>
      <c r="FG106" s="25">
        <v>0</v>
      </c>
      <c r="FH106" s="25">
        <v>7</v>
      </c>
      <c r="FI106" s="25">
        <v>161</v>
      </c>
      <c r="FJ106" s="25">
        <v>0</v>
      </c>
      <c r="FK106" s="25">
        <v>0</v>
      </c>
      <c r="FL106" s="25">
        <v>2</v>
      </c>
      <c r="FM106" s="25">
        <v>1</v>
      </c>
      <c r="FN106" s="25">
        <v>13</v>
      </c>
      <c r="FO106" s="25">
        <v>4475</v>
      </c>
      <c r="FP106" s="25">
        <v>19</v>
      </c>
      <c r="FQ106" s="25">
        <v>3</v>
      </c>
      <c r="FR106" s="25">
        <v>29</v>
      </c>
      <c r="FS106" s="25">
        <v>40</v>
      </c>
      <c r="FT106" s="25">
        <v>61</v>
      </c>
      <c r="FU106" s="25">
        <v>201</v>
      </c>
      <c r="FV106" s="25">
        <v>10</v>
      </c>
      <c r="FW106" s="25">
        <v>281</v>
      </c>
      <c r="FX106" s="25">
        <v>165</v>
      </c>
      <c r="FY106" s="25">
        <v>0</v>
      </c>
      <c r="FZ106" s="25">
        <v>9</v>
      </c>
      <c r="GA106" s="25">
        <v>728</v>
      </c>
      <c r="GB106" s="25">
        <v>501</v>
      </c>
      <c r="GC106" s="25">
        <v>535</v>
      </c>
      <c r="GD106" s="25">
        <v>903</v>
      </c>
      <c r="GE106" s="25">
        <v>10</v>
      </c>
      <c r="GF106" s="25">
        <v>619</v>
      </c>
      <c r="GG106" s="25">
        <v>747</v>
      </c>
      <c r="GH106" s="25">
        <v>0</v>
      </c>
      <c r="GI106" s="25">
        <v>0</v>
      </c>
      <c r="GJ106" s="25">
        <v>0</v>
      </c>
      <c r="GK106" s="25">
        <v>41</v>
      </c>
      <c r="GL106" s="25">
        <v>139</v>
      </c>
      <c r="GM106" s="25">
        <v>9</v>
      </c>
      <c r="GN106" s="25">
        <v>156</v>
      </c>
      <c r="GO106" s="25">
        <v>0</v>
      </c>
      <c r="GP106" s="25">
        <v>12</v>
      </c>
      <c r="GQ106" s="25">
        <v>18</v>
      </c>
      <c r="GR106" s="25">
        <v>82</v>
      </c>
      <c r="GS106" s="25">
        <v>23</v>
      </c>
      <c r="GT106" s="25">
        <v>87</v>
      </c>
      <c r="GU106" s="25">
        <v>23190</v>
      </c>
      <c r="GV106" s="25">
        <v>7</v>
      </c>
      <c r="GW106" s="25">
        <v>21</v>
      </c>
      <c r="GX106" s="25">
        <v>1</v>
      </c>
      <c r="GY106" s="46">
        <v>2194</v>
      </c>
      <c r="GZ106" s="25">
        <v>1610</v>
      </c>
      <c r="HA106" s="25">
        <v>6</v>
      </c>
      <c r="HB106" s="25">
        <v>10</v>
      </c>
      <c r="HC106" s="25">
        <v>51</v>
      </c>
      <c r="HD106" s="25">
        <v>6</v>
      </c>
      <c r="HE106" s="25">
        <v>8</v>
      </c>
      <c r="HF106" s="25">
        <v>38</v>
      </c>
      <c r="HG106" s="25">
        <v>2805</v>
      </c>
      <c r="HH106" s="25">
        <v>0</v>
      </c>
      <c r="HI106" s="25">
        <v>209</v>
      </c>
      <c r="HJ106" s="25">
        <v>76</v>
      </c>
      <c r="HK106" s="25">
        <v>5</v>
      </c>
      <c r="HL106" s="25">
        <v>1</v>
      </c>
      <c r="HM106" s="25">
        <v>35</v>
      </c>
      <c r="HN106" s="25">
        <v>0</v>
      </c>
      <c r="HO106" s="25">
        <v>18</v>
      </c>
      <c r="HP106" s="25">
        <v>1</v>
      </c>
      <c r="HQ106" s="25">
        <v>24055</v>
      </c>
      <c r="HR106" s="25">
        <v>15</v>
      </c>
      <c r="HS106" s="25">
        <v>54881</v>
      </c>
      <c r="HT106" s="25">
        <v>8</v>
      </c>
      <c r="HU106" s="25">
        <v>10</v>
      </c>
      <c r="HV106" s="25">
        <v>0</v>
      </c>
      <c r="HW106" s="25">
        <v>3</v>
      </c>
      <c r="HX106" s="25">
        <v>4</v>
      </c>
      <c r="HY106" s="25">
        <v>1</v>
      </c>
      <c r="HZ106" s="25">
        <v>0</v>
      </c>
      <c r="IA106" s="25">
        <v>0</v>
      </c>
      <c r="IB106" s="25">
        <v>0</v>
      </c>
      <c r="IC106" s="25">
        <v>3</v>
      </c>
      <c r="ID106" s="25">
        <v>0</v>
      </c>
      <c r="IE106" s="25">
        <v>2</v>
      </c>
      <c r="IF106" s="25">
        <v>0</v>
      </c>
      <c r="IG106" s="25">
        <v>0</v>
      </c>
      <c r="IH106" s="25">
        <v>2</v>
      </c>
      <c r="II106" s="25">
        <v>2</v>
      </c>
      <c r="IJ106" s="25">
        <v>1</v>
      </c>
      <c r="IK106" s="25">
        <v>23</v>
      </c>
      <c r="IL106" s="25">
        <v>0</v>
      </c>
      <c r="IM106" s="25">
        <v>0</v>
      </c>
      <c r="IN106" s="25">
        <v>0</v>
      </c>
      <c r="IO106" s="25">
        <v>21</v>
      </c>
      <c r="IP106" s="25">
        <v>5</v>
      </c>
      <c r="IQ106" s="25">
        <v>0</v>
      </c>
      <c r="IR106" s="25">
        <v>1</v>
      </c>
      <c r="IS106" s="25">
        <v>1</v>
      </c>
      <c r="IT106" s="25">
        <v>2</v>
      </c>
      <c r="IU106" s="25">
        <v>1</v>
      </c>
      <c r="IV106" s="25">
        <v>1</v>
      </c>
      <c r="IW106" s="25">
        <v>4</v>
      </c>
      <c r="IX106" s="25">
        <v>0</v>
      </c>
      <c r="IY106" s="25">
        <v>3</v>
      </c>
      <c r="IZ106" s="25">
        <v>0</v>
      </c>
      <c r="JA106" s="25">
        <v>0</v>
      </c>
      <c r="JB106" s="25">
        <v>0</v>
      </c>
      <c r="JC106" s="25">
        <v>0</v>
      </c>
      <c r="JD106" s="25">
        <v>0</v>
      </c>
      <c r="JE106" s="25">
        <v>0</v>
      </c>
      <c r="JF106" s="25">
        <v>0</v>
      </c>
      <c r="JG106" s="25">
        <v>0</v>
      </c>
      <c r="JH106" s="25">
        <v>0</v>
      </c>
      <c r="JI106" s="25">
        <v>5</v>
      </c>
      <c r="JJ106" s="25">
        <v>2</v>
      </c>
      <c r="JK106" s="25">
        <v>84</v>
      </c>
      <c r="JL106" s="25">
        <v>4</v>
      </c>
      <c r="JM106" s="25">
        <v>219</v>
      </c>
      <c r="JN106" s="25">
        <v>9</v>
      </c>
      <c r="JO106" s="25">
        <v>275</v>
      </c>
      <c r="JP106" s="25">
        <v>51</v>
      </c>
      <c r="JQ106" s="25">
        <v>1725</v>
      </c>
      <c r="JR106" s="25">
        <v>688</v>
      </c>
      <c r="JS106" s="25">
        <v>1924</v>
      </c>
      <c r="JT106" s="25">
        <v>120</v>
      </c>
      <c r="JU106" s="25">
        <v>178</v>
      </c>
      <c r="JV106" s="25">
        <v>1075</v>
      </c>
      <c r="JW106" s="25">
        <v>916</v>
      </c>
      <c r="JX106" s="25">
        <v>14</v>
      </c>
      <c r="JY106" s="25">
        <v>56</v>
      </c>
      <c r="JZ106" s="25">
        <v>1933</v>
      </c>
      <c r="KA106" s="25">
        <v>813</v>
      </c>
      <c r="KB106" s="25">
        <v>118</v>
      </c>
      <c r="KC106" s="25">
        <v>121</v>
      </c>
      <c r="KD106" s="25">
        <v>208</v>
      </c>
      <c r="KE106" s="25">
        <v>1729</v>
      </c>
      <c r="KF106" s="25">
        <v>50</v>
      </c>
      <c r="KG106" s="25">
        <v>910</v>
      </c>
      <c r="KH106" s="25">
        <v>2899</v>
      </c>
      <c r="KI106" s="25">
        <v>3315</v>
      </c>
      <c r="KJ106" s="25">
        <v>272</v>
      </c>
      <c r="KK106" s="25">
        <v>227</v>
      </c>
      <c r="KL106" s="25">
        <v>283</v>
      </c>
      <c r="KM106" s="25">
        <v>14</v>
      </c>
      <c r="KN106" s="25">
        <v>56</v>
      </c>
      <c r="KO106" s="25">
        <v>206</v>
      </c>
      <c r="KP106" s="25">
        <v>60</v>
      </c>
      <c r="KQ106" s="25">
        <v>5938</v>
      </c>
      <c r="KR106" s="25">
        <v>99</v>
      </c>
      <c r="KS106" s="25">
        <v>22269</v>
      </c>
      <c r="KT106" s="25">
        <v>324</v>
      </c>
      <c r="KU106" s="25">
        <v>17</v>
      </c>
      <c r="KV106" s="25">
        <v>728</v>
      </c>
      <c r="KW106" s="25">
        <v>195</v>
      </c>
      <c r="KX106" s="25">
        <v>92</v>
      </c>
      <c r="KY106" s="25">
        <v>1816</v>
      </c>
      <c r="KZ106" s="25">
        <v>226</v>
      </c>
      <c r="LA106" s="25">
        <v>174</v>
      </c>
      <c r="LB106" s="25">
        <v>11</v>
      </c>
      <c r="LC106" s="25">
        <v>181</v>
      </c>
      <c r="LD106" s="25">
        <v>651</v>
      </c>
      <c r="LE106" s="25">
        <v>41</v>
      </c>
      <c r="LF106" s="25">
        <v>46</v>
      </c>
      <c r="LG106" s="25">
        <v>449</v>
      </c>
      <c r="LH106" s="25">
        <v>749</v>
      </c>
      <c r="LI106" s="25">
        <v>34</v>
      </c>
      <c r="LJ106" s="25">
        <v>272</v>
      </c>
      <c r="LK106" s="25">
        <v>7</v>
      </c>
      <c r="LL106" s="25">
        <v>0</v>
      </c>
      <c r="LM106" s="25">
        <v>3</v>
      </c>
      <c r="LN106" s="278">
        <f ca="1">$A106 - DeathsTimeS!Sweden100dt + 1</f>
        <v>39</v>
      </c>
      <c r="LO106" s="366">
        <f ca="1">INDEX(OFFSET(DeathsTimeS!HeadRow,ROW()-ROW(DeathsTimeS!HeadRow),0,1,COLUMNS(DeathsTimeS!HeadRow)),1,MATCH(LO$5,DeathsTimeS!HeadRow,0))/LO$8</f>
        <v>2144.6725317693063</v>
      </c>
      <c r="LP106" s="278">
        <f ca="1">$A106 - DeathsTimeS!Spain100dt</f>
        <v>46</v>
      </c>
      <c r="LQ106" s="20">
        <f ca="1">INDEX(OFFSET(DeathsTimeS!HeadRow,ROW()-ROW(DeathsTimeS!HeadRow),0,1,COLUMNS(DeathsTimeS!HeadRow)),1,MATCH(LQ$5,DeathsTimeS!HeadRow,0))/LQ$8</f>
        <v>4940.3493821900302</v>
      </c>
      <c r="LR106" s="278">
        <f ca="1">$A106 - DeathsTimeS!Victoria100dt</f>
        <v>23</v>
      </c>
      <c r="LS106" s="20">
        <f ca="1">INDEX(OFFSET(DeathsTimeS!HeadRow,ROW()-ROW(DeathsTimeS!HeadRow),0,1,COLUMNS(DeathsTimeS!HeadRow)),1,MATCH(LS$5,DeathsTimeS!HeadRow,0))/LS$8</f>
        <v>25.644893649117513</v>
      </c>
      <c r="LT106" s="278">
        <f ca="1">$A106 - DeathsTimeS!Iran100dt</f>
        <v>53</v>
      </c>
      <c r="LU106" s="20">
        <f ca="1">INDEX(OFFSET(DeathsTimeS!HeadRow,ROW()-ROW(DeathsTimeS!HeadRow),0,1,COLUMNS(DeathsTimeS!HeadRow)),1,MATCH(LU$5,DeathsTimeS!HeadRow,0))/LU$8</f>
        <v>681.60385804495479</v>
      </c>
      <c r="LV106" s="278">
        <f ca="1">$A106 - DeathsTimeS!Japan100dt</f>
        <v>12</v>
      </c>
      <c r="LW106" s="20">
        <f ca="1">INDEX(OFFSET(DeathsTimeS!HeadRow,ROW()-ROW(DeathsTimeS!HeadRow),0,1,COLUMNS(DeathsTimeS!HeadRow)),1,MATCH(LW$5,DeathsTimeS!HeadRow,0))/LW$8</f>
        <v>29.394519595686603</v>
      </c>
      <c r="LX106" s="278">
        <f ca="1">$A106 - DeathsTimeS!Queensland100dt</f>
        <v>8</v>
      </c>
      <c r="LY106" s="20">
        <f ca="1">INDEX(OFFSET(DeathsTimeS!HeadRow,ROW()-ROW(DeathsTimeS!HeadRow),0,1,COLUMNS(DeathsTimeS!HeadRow)),1,MATCH(LY$5,DeathsTimeS!HeadRow,0))/LY$8</f>
        <v>11.72917109361423</v>
      </c>
      <c r="LZ106" s="278">
        <f ca="1">$A106 - DeathsTimeS!Tasmania100dt</f>
        <v>26</v>
      </c>
      <c r="MA106" s="20">
        <f ca="1">INDEX(OFFSET(DeathsTimeS!HeadRow,ROW()-ROW(DeathsTimeS!HeadRow),0,1,COLUMNS(DeathsTimeS!HeadRow)),1,MATCH(MA$5,DeathsTimeS!HeadRow,0))/MA$8</f>
        <v>213.59223300970876</v>
      </c>
      <c r="MB106" s="278">
        <f ca="1">$A106 - DeathsTimeS!SouthAustralia100dt</f>
        <v>18</v>
      </c>
      <c r="MC106" s="11">
        <f ca="1">INDEX(OFFSET(DeathsTimeS!HeadRow,ROW()-ROW(DeathsTimeS!HeadRow),0,1,COLUMNS(DeathsTimeS!HeadRow)),1,MATCH(MC$5,DeathsTimeS!HeadRow,0))/MC$8</f>
        <v>23.95209580838323</v>
      </c>
      <c r="MD106" s="278">
        <f ca="1">$A106 - DeathsTimeS!WesternAustralia100dt</f>
        <v>21</v>
      </c>
      <c r="ME106" s="20">
        <f ca="1">INDEX(OFFSET(DeathsTimeS!HeadRow,ROW()-ROW(DeathsTimeS!HeadRow),0,1,COLUMNS(DeathsTimeS!HeadRow)),1,MATCH(ME$5,DeathsTimeS!HeadRow,0))/ME$8</f>
        <v>30.899961375048278</v>
      </c>
      <c r="MF106" s="278">
        <f ca="1">$A106 - DeathsTimeS!NewSouthWales100dt</f>
        <v>25</v>
      </c>
      <c r="MG106" s="20">
        <f ca="1">INDEX(OFFSET(DeathsTimeS!HeadRow,ROW()-ROW(DeathsTimeS!HeadRow),0,1,COLUMNS(DeathsTimeS!HeadRow)),1,MATCH(MG$5,DeathsTimeS!HeadRow,0))/MG$8</f>
        <v>42.079207920792079</v>
      </c>
      <c r="MH106" s="278">
        <f ca="1">$A106 - DeathsTimeS!NewYork100dt</f>
        <v>41</v>
      </c>
      <c r="MI106" s="20">
        <f ca="1">INDEX(OFFSET(DeathsTimeS!HeadRow,ROW()-ROW(DeathsTimeS!HeadRow),0,1,COLUMNS(DeathsTimeS!HeadRow)),1,MATCH(MI$5,DeathsTimeS!HeadRow,0))/MI$8</f>
        <v>9424.8090141956181</v>
      </c>
      <c r="MJ106" s="278">
        <f ca="1">$A106 - DeathsTimeS!Italy100dt</f>
        <v>54</v>
      </c>
      <c r="MK106" s="20">
        <f ca="1">INDEX(OFFSET(DeathsTimeS!HeadRow,ROW()-ROW(DeathsTimeS!HeadRow),0,1,COLUMNS(DeathsTimeS!HeadRow)),1,MATCH(MK$5,DeathsTimeS!HeadRow,0))/MK$8</f>
        <v>4405.0591055633631</v>
      </c>
      <c r="ML106" s="278">
        <f ca="1">$A106 - DeathsTimeS!AustralianCapitalTerritory100dt</f>
        <v>27</v>
      </c>
      <c r="MM106" s="20">
        <f ca="1">INDEX(OFFSET(DeathsTimeS!HeadRow,ROW()-ROW(DeathsTimeS!HeadRow),0,1,COLUMNS(DeathsTimeS!HeadRow)),1,MATCH(MM$5,DeathsTimeS!HeadRow,0))/MM$8</f>
        <v>70.083633135541746</v>
      </c>
      <c r="MN106" s="278">
        <f ca="1">IF(DeathsTimeS!NorthernTerritory100dt&gt;0,$A106 - DeathsTimeS!NorthernTerritory100dt,"")</f>
        <v>-1</v>
      </c>
      <c r="MO106" s="20">
        <f ca="1">INDEX(OFFSET(DeathsTimeS!HeadRow,ROW()-ROW(DeathsTimeS!HeadRow),0,1,COLUMNS(DeathsTimeS!HeadRow)),1,MATCH(MO$5,DeathsTimeS!HeadRow,0))/MO$8</f>
        <v>0</v>
      </c>
      <c r="MP106" s="278">
        <f ca="1">$A106 - DeathsTimeS!SouthAfrica100dt + 1</f>
        <v>7</v>
      </c>
      <c r="MQ106" s="20">
        <f ca="1">INDEX(OFFSET(DeathsTimeS!HeadRow,ROW()-ROW(DeathsTimeS!HeadRow),0,1,COLUMNS(DeathsTimeS!HeadRow)),1,MATCH(MQ$5,DeathsTimeS!HeadRow,0))/MQ$8</f>
        <v>15.057113187954311</v>
      </c>
      <c r="MR106" s="278">
        <f ca="1">$A106 - DeathsTimeS!Germany100dt + 1</f>
        <v>37</v>
      </c>
      <c r="MS106" s="20">
        <f ca="1">INDEX(OFFSET(DeathsTimeS!HeadRow,ROW()-ROW(DeathsTimeS!HeadRow),0,1,COLUMNS(DeathsTimeS!HeadRow)),1,MATCH(MS$5,DeathsTimeS!HeadRow,0))/MS$8</f>
        <v>719.8265478198025</v>
      </c>
      <c r="MT106" s="20">
        <f ca="1">$A106 - DeathsTimeS!Ireland100dt + 1</f>
        <v>35</v>
      </c>
      <c r="MU106" s="20">
        <f ca="1">INDEX(OFFSET(DeathsTimeS!HeadRow,ROW()-ROW(DeathsTimeS!HeadRow),0,1,COLUMNS(DeathsTimeS!HeadRow)),1,MATCH(MU$5,DeathsTimeS!HeadRow,0))/MU$8</f>
        <v>2218.3673469387754</v>
      </c>
      <c r="MV106" s="20">
        <f ca="1">$A106 - DeathsTimeS!UnitedKingdom100dt + 1</f>
        <v>41</v>
      </c>
      <c r="MW106" s="20">
        <f ca="1">INDEX(OFFSET(DeathsTimeS!HeadRow,ROW()-ROW(DeathsTimeS!HeadRow),0,1,COLUMNS(DeathsTimeS!HeadRow)),1,MATCH(MW$5,DeathsTimeS!HeadRow,0))/MW$8</f>
        <v>3620.5599036724866</v>
      </c>
      <c r="MX106" s="20">
        <f ca="1">$A106 - DeathsTimeS!Denmark100dt + 1</f>
        <v>39</v>
      </c>
      <c r="MY106" s="20">
        <f ca="1">INDEX(OFFSET(DeathsTimeS!HeadRow,ROW()-ROW(DeathsTimeS!HeadRow),0,1,COLUMNS(DeathsTimeS!HeadRow)),1,MATCH(MY$5,DeathsTimeS!HeadRow,0))/MY$8</f>
        <v>726.83430933517047</v>
      </c>
      <c r="MZ106" s="20">
        <f ca="1">$A106 - DeathsTimeS!US100dt + 1</f>
        <v>38</v>
      </c>
      <c r="NA106" s="20">
        <f ca="1">INDEX(OFFSET(DeathsTimeS!HeadRow,ROW()-ROW(DeathsTimeS!HeadRow),0,1,COLUMNS(DeathsTimeS!HeadRow)),1,MATCH(NA$5,DeathsTimeS!HeadRow,0))/NA$8</f>
        <v>1666.9615689073789</v>
      </c>
      <c r="NB106" s="20">
        <f ca="1">$A106 - DeathsTimeS!AustraliaSum100dt + 1</f>
        <v>32</v>
      </c>
      <c r="NC106" s="366">
        <f t="shared" si="7"/>
        <v>83</v>
      </c>
      <c r="ND106" s="20">
        <f ca="1">$A106 - DeathsTimeS!Taiwan100dt + 1</f>
        <v>0</v>
      </c>
      <c r="NE106" s="366">
        <f ca="1">INDEX(OFFSET(DeathsTimeS!HeadRow,ROW()-ROW(DeathsTimeS!HeadRow),0,1,COLUMNS(DeathsTimeS!HeadRow)),1,MATCH(NE$5,DeathsTimeS!HeadRow,0))/NE$8</f>
        <v>2.5202372954627914</v>
      </c>
      <c r="NF106" s="20">
        <f ca="1">$A106 - DeathsTimeS!Hubei100dt + 1</f>
        <v>91</v>
      </c>
      <c r="NG106" s="366">
        <f ca="1">INDEX(OFFSET(DeathsTimeS!HeadRow,ROW()-ROW(DeathsTimeS!HeadRow),0,1,COLUMNS(DeathsTimeS!HeadRow)),1,MATCH(NG$5,DeathsTimeS!HeadRow,0))/NG$8</f>
        <v>771.28205128205138</v>
      </c>
      <c r="NH106" s="366">
        <f ca="1">$A106 - DeathsTimeS!HongKong100dt + 1</f>
        <v>0</v>
      </c>
      <c r="NI106" s="366">
        <f ca="1">INDEX(OFFSET(DeathsTimeS!HeadRow,ROW()-ROW(DeathsTimeS!HeadRow),0,1,COLUMNS(DeathsTimeS!HeadRow)),1,MATCH(NI$5,DeathsTimeS!HeadRow,0))/NI$8</f>
        <v>5.3684069252449333</v>
      </c>
    </row>
    <row r="107" spans="1:373" x14ac:dyDescent="0.25">
      <c r="A107" s="156">
        <v>43948</v>
      </c>
      <c r="B107" s="25">
        <v>57</v>
      </c>
      <c r="C107" s="25">
        <v>28</v>
      </c>
      <c r="D107" s="25">
        <v>432</v>
      </c>
      <c r="E107" s="25">
        <v>40</v>
      </c>
      <c r="F107" s="25">
        <v>2</v>
      </c>
      <c r="G107" s="25">
        <v>3</v>
      </c>
      <c r="H107" s="25">
        <v>197</v>
      </c>
      <c r="I107" s="25">
        <v>29</v>
      </c>
      <c r="J107" s="25">
        <v>3</v>
      </c>
      <c r="K107" s="25">
        <v>34</v>
      </c>
      <c r="L107" s="25">
        <v>0</v>
      </c>
      <c r="M107" s="25">
        <v>6</v>
      </c>
      <c r="N107" s="25">
        <v>4</v>
      </c>
      <c r="O107" s="25">
        <v>11</v>
      </c>
      <c r="P107" s="25">
        <v>17</v>
      </c>
      <c r="Q107" s="25">
        <v>8</v>
      </c>
      <c r="R107" s="25">
        <v>549</v>
      </c>
      <c r="S107" s="25">
        <v>22</v>
      </c>
      <c r="T107" s="25">
        <v>11</v>
      </c>
      <c r="U107" s="25">
        <v>8</v>
      </c>
      <c r="V107" s="25">
        <v>152</v>
      </c>
      <c r="W107" s="25">
        <v>6</v>
      </c>
      <c r="X107" s="25">
        <v>75</v>
      </c>
      <c r="Y107" s="25">
        <v>7207</v>
      </c>
      <c r="Z107" s="25">
        <v>1</v>
      </c>
      <c r="AA107" s="25">
        <v>0</v>
      </c>
      <c r="AB107" s="25">
        <v>53</v>
      </c>
      <c r="AC107" s="25">
        <v>60</v>
      </c>
      <c r="AD107" s="25">
        <v>4603</v>
      </c>
      <c r="AE107" s="25">
        <v>1</v>
      </c>
      <c r="AF107" s="25">
        <v>58</v>
      </c>
      <c r="AG107" s="25">
        <v>42</v>
      </c>
      <c r="AH107" s="25">
        <v>1</v>
      </c>
      <c r="AI107" s="25">
        <v>0</v>
      </c>
      <c r="AJ107" s="25">
        <v>58</v>
      </c>
      <c r="AK107" s="25">
        <v>75</v>
      </c>
      <c r="AL107" s="25">
        <v>104</v>
      </c>
      <c r="AM107" s="25">
        <v>0</v>
      </c>
      <c r="AN107" s="25">
        <v>6</v>
      </c>
      <c r="AO107" s="25">
        <v>0</v>
      </c>
      <c r="AP107" s="25">
        <v>3</v>
      </c>
      <c r="AQ107" s="25">
        <v>24</v>
      </c>
      <c r="AR107" s="25">
        <v>1023</v>
      </c>
      <c r="AS107" s="25">
        <v>0</v>
      </c>
      <c r="AT107" s="25">
        <v>1600</v>
      </c>
      <c r="AU107" s="25">
        <v>5</v>
      </c>
      <c r="AV107" s="25">
        <v>0</v>
      </c>
      <c r="AW107" s="25">
        <v>0</v>
      </c>
      <c r="AX107" s="25">
        <v>198</v>
      </c>
      <c r="AY107" s="25">
        <v>6</v>
      </c>
      <c r="AZ107" s="25">
        <v>9</v>
      </c>
      <c r="BA107" s="25">
        <v>6</v>
      </c>
      <c r="BB107" s="25">
        <v>1</v>
      </c>
      <c r="BC107" s="25">
        <v>2</v>
      </c>
      <c r="BD107" s="25">
        <v>8</v>
      </c>
      <c r="BE107" s="25">
        <v>2</v>
      </c>
      <c r="BF107" s="25">
        <v>2</v>
      </c>
      <c r="BG107" s="25">
        <v>6</v>
      </c>
      <c r="BH107" s="25">
        <v>6</v>
      </c>
      <c r="BI107" s="25">
        <v>13</v>
      </c>
      <c r="BJ107" s="25">
        <v>22</v>
      </c>
      <c r="BK107" s="25">
        <v>4</v>
      </c>
      <c r="BL107" s="25">
        <v>4512</v>
      </c>
      <c r="BM107" s="25">
        <v>4</v>
      </c>
      <c r="BN107" s="25">
        <v>1</v>
      </c>
      <c r="BO107" s="25">
        <v>0</v>
      </c>
      <c r="BP107" s="25">
        <v>1</v>
      </c>
      <c r="BQ107" s="25">
        <v>1</v>
      </c>
      <c r="BR107" s="25">
        <v>2</v>
      </c>
      <c r="BS107" s="25">
        <v>0</v>
      </c>
      <c r="BT107" s="25">
        <v>0</v>
      </c>
      <c r="BU107" s="25">
        <v>0</v>
      </c>
      <c r="BV107" s="25">
        <v>3</v>
      </c>
      <c r="BW107" s="25">
        <v>7</v>
      </c>
      <c r="BX107" s="25">
        <v>7</v>
      </c>
      <c r="BY107" s="25">
        <v>0</v>
      </c>
      <c r="BZ107" s="25">
        <v>3</v>
      </c>
      <c r="CA107" s="25">
        <v>3</v>
      </c>
      <c r="CB107" s="25">
        <v>0</v>
      </c>
      <c r="CC107" s="25">
        <v>3</v>
      </c>
      <c r="CD107" s="25">
        <v>2</v>
      </c>
      <c r="CE107" s="25">
        <v>1</v>
      </c>
      <c r="CF107" s="25">
        <v>253</v>
      </c>
      <c r="CG107" s="25">
        <v>6</v>
      </c>
      <c r="CH107" s="25">
        <v>28</v>
      </c>
      <c r="CI107" s="25">
        <v>6</v>
      </c>
      <c r="CJ107" s="25">
        <v>14</v>
      </c>
      <c r="CK107" s="25">
        <v>59</v>
      </c>
      <c r="CL107" s="25">
        <v>13</v>
      </c>
      <c r="CM107" s="25">
        <v>56</v>
      </c>
      <c r="CN107" s="25">
        <v>15</v>
      </c>
      <c r="CO107" s="25">
        <v>223</v>
      </c>
      <c r="CP107" s="25">
        <v>0</v>
      </c>
      <c r="CQ107" s="25">
        <v>0</v>
      </c>
      <c r="CR107" s="25">
        <v>427</v>
      </c>
      <c r="CS107" s="25">
        <v>2</v>
      </c>
      <c r="CT107" s="25">
        <v>282</v>
      </c>
      <c r="CU107" s="25">
        <v>663</v>
      </c>
      <c r="CV107" s="25">
        <v>337</v>
      </c>
      <c r="CW107" s="25">
        <v>8</v>
      </c>
      <c r="CX107" s="25">
        <v>1</v>
      </c>
      <c r="CY107" s="25">
        <v>0</v>
      </c>
      <c r="CZ107" s="25">
        <v>50</v>
      </c>
      <c r="DA107" s="25">
        <v>1</v>
      </c>
      <c r="DB107" s="25">
        <v>3</v>
      </c>
      <c r="DC107" s="25">
        <v>0</v>
      </c>
      <c r="DD107" s="25">
        <v>193</v>
      </c>
      <c r="DE107" s="25">
        <v>1</v>
      </c>
      <c r="DF107" s="25">
        <v>0</v>
      </c>
      <c r="DG107" s="25">
        <v>12</v>
      </c>
      <c r="DH107" s="25">
        <v>4</v>
      </c>
      <c r="DI107" s="25">
        <v>0</v>
      </c>
      <c r="DJ107" s="25">
        <v>0</v>
      </c>
      <c r="DK107" s="25">
        <v>0</v>
      </c>
      <c r="DL107" s="25">
        <v>3</v>
      </c>
      <c r="DM107" s="25">
        <v>14</v>
      </c>
      <c r="DN107" s="25">
        <v>23262</v>
      </c>
      <c r="DO107" s="25">
        <v>3</v>
      </c>
      <c r="DP107" s="25">
        <v>1</v>
      </c>
      <c r="DQ107" s="25">
        <v>6</v>
      </c>
      <c r="DR107" s="25">
        <v>6126</v>
      </c>
      <c r="DS107" s="25">
        <v>11</v>
      </c>
      <c r="DT107" s="25">
        <v>136</v>
      </c>
      <c r="DU107" s="25">
        <v>15</v>
      </c>
      <c r="DV107" s="25">
        <v>7</v>
      </c>
      <c r="DW107" s="25">
        <v>8</v>
      </c>
      <c r="DX107" s="25">
        <v>6</v>
      </c>
      <c r="DY107" s="25">
        <v>0</v>
      </c>
      <c r="DZ107" s="25">
        <v>61</v>
      </c>
      <c r="EA107" s="25">
        <v>280</v>
      </c>
      <c r="EB107" s="25">
        <v>10</v>
      </c>
      <c r="EC107" s="25">
        <v>939</v>
      </c>
      <c r="ED107" s="25">
        <v>765</v>
      </c>
      <c r="EE107" s="25">
        <v>5806</v>
      </c>
      <c r="EF107" s="25">
        <v>88</v>
      </c>
      <c r="EG107" s="25">
        <v>1102</v>
      </c>
      <c r="EH107" s="25">
        <v>204</v>
      </c>
      <c r="EI107" s="25">
        <v>26977</v>
      </c>
      <c r="EJ107" s="25">
        <v>7</v>
      </c>
      <c r="EK107" s="25">
        <v>385</v>
      </c>
      <c r="EL107" s="25">
        <v>7</v>
      </c>
      <c r="EM107" s="25">
        <v>25</v>
      </c>
      <c r="EN107" s="25">
        <v>14</v>
      </c>
      <c r="EO107" s="25">
        <v>244</v>
      </c>
      <c r="EP107" s="25">
        <v>22</v>
      </c>
      <c r="EQ107" s="25">
        <v>8</v>
      </c>
      <c r="ER107" s="25">
        <v>13</v>
      </c>
      <c r="ES107" s="25">
        <v>24</v>
      </c>
      <c r="ET107" s="25">
        <v>12</v>
      </c>
      <c r="EU107" s="25">
        <v>1</v>
      </c>
      <c r="EV107" s="25">
        <v>41</v>
      </c>
      <c r="EW107" s="25">
        <v>88</v>
      </c>
      <c r="EX107" s="25">
        <v>0</v>
      </c>
      <c r="EY107" s="25">
        <v>99</v>
      </c>
      <c r="EZ107" s="25">
        <v>0</v>
      </c>
      <c r="FA107" s="25">
        <v>4</v>
      </c>
      <c r="FB107" s="25">
        <v>1</v>
      </c>
      <c r="FC107" s="25">
        <v>10</v>
      </c>
      <c r="FD107" s="25">
        <v>1434</v>
      </c>
      <c r="FE107" s="25">
        <v>102</v>
      </c>
      <c r="FF107" s="25">
        <v>4</v>
      </c>
      <c r="FG107" s="25">
        <v>0</v>
      </c>
      <c r="FH107" s="25">
        <v>7</v>
      </c>
      <c r="FI107" s="25">
        <v>162</v>
      </c>
      <c r="FJ107" s="25">
        <v>0</v>
      </c>
      <c r="FK107" s="25">
        <v>0</v>
      </c>
      <c r="FL107" s="25">
        <v>2</v>
      </c>
      <c r="FM107" s="25">
        <v>1</v>
      </c>
      <c r="FN107" s="25">
        <v>13</v>
      </c>
      <c r="FO107" s="25">
        <v>4518</v>
      </c>
      <c r="FP107" s="25">
        <v>19</v>
      </c>
      <c r="FQ107" s="25">
        <v>3</v>
      </c>
      <c r="FR107" s="25">
        <v>29</v>
      </c>
      <c r="FS107" s="25">
        <v>40</v>
      </c>
      <c r="FT107" s="25">
        <v>65</v>
      </c>
      <c r="FU107" s="25">
        <v>205</v>
      </c>
      <c r="FV107" s="25">
        <v>10</v>
      </c>
      <c r="FW107" s="25">
        <v>292</v>
      </c>
      <c r="FX107" s="25">
        <v>167</v>
      </c>
      <c r="FY107" s="25">
        <v>0</v>
      </c>
      <c r="FZ107" s="25">
        <v>9</v>
      </c>
      <c r="GA107" s="25">
        <v>782</v>
      </c>
      <c r="GB107" s="25">
        <v>511</v>
      </c>
      <c r="GC107" s="25">
        <v>562</v>
      </c>
      <c r="GD107" s="25">
        <v>928</v>
      </c>
      <c r="GE107" s="25">
        <v>10</v>
      </c>
      <c r="GF107" s="25">
        <v>641</v>
      </c>
      <c r="GG107" s="25">
        <v>794</v>
      </c>
      <c r="GH107" s="25">
        <v>0</v>
      </c>
      <c r="GI107" s="25">
        <v>0</v>
      </c>
      <c r="GJ107" s="25">
        <v>0</v>
      </c>
      <c r="GK107" s="25">
        <v>41</v>
      </c>
      <c r="GL107" s="25">
        <v>144</v>
      </c>
      <c r="GM107" s="25">
        <v>9</v>
      </c>
      <c r="GN107" s="25">
        <v>162</v>
      </c>
      <c r="GO107" s="25">
        <v>0</v>
      </c>
      <c r="GP107" s="25">
        <v>14</v>
      </c>
      <c r="GQ107" s="25">
        <v>18</v>
      </c>
      <c r="GR107" s="25">
        <v>83</v>
      </c>
      <c r="GS107" s="25">
        <v>26</v>
      </c>
      <c r="GT107" s="25">
        <v>90</v>
      </c>
      <c r="GU107" s="25">
        <v>23521</v>
      </c>
      <c r="GV107" s="25">
        <v>7</v>
      </c>
      <c r="GW107" s="25">
        <v>22</v>
      </c>
      <c r="GX107" s="25">
        <v>1</v>
      </c>
      <c r="GY107" s="46">
        <v>2274</v>
      </c>
      <c r="GZ107" s="25">
        <v>1665</v>
      </c>
      <c r="HA107" s="25">
        <v>6</v>
      </c>
      <c r="HB107" s="25">
        <v>10</v>
      </c>
      <c r="HC107" s="25">
        <v>52</v>
      </c>
      <c r="HD107" s="25">
        <v>6</v>
      </c>
      <c r="HE107" s="25">
        <v>8</v>
      </c>
      <c r="HF107" s="25">
        <v>39</v>
      </c>
      <c r="HG107" s="25">
        <v>2900</v>
      </c>
      <c r="HH107" s="25">
        <v>0</v>
      </c>
      <c r="HI107" s="25">
        <v>220</v>
      </c>
      <c r="HJ107" s="25">
        <v>82</v>
      </c>
      <c r="HK107" s="25">
        <v>6</v>
      </c>
      <c r="HL107" s="25">
        <v>1</v>
      </c>
      <c r="HM107" s="25">
        <v>35</v>
      </c>
      <c r="HN107" s="25">
        <v>0</v>
      </c>
      <c r="HO107" s="25">
        <v>20</v>
      </c>
      <c r="HP107" s="25">
        <v>1</v>
      </c>
      <c r="HQ107" s="25">
        <v>24393</v>
      </c>
      <c r="HR107" s="25">
        <v>15</v>
      </c>
      <c r="HS107" s="25">
        <v>56259</v>
      </c>
      <c r="HT107" s="25">
        <v>8</v>
      </c>
      <c r="HU107" s="25">
        <v>10</v>
      </c>
      <c r="HV107" s="25">
        <v>0</v>
      </c>
      <c r="HW107" s="25">
        <v>3</v>
      </c>
      <c r="HX107" s="25">
        <v>4</v>
      </c>
      <c r="HY107" s="25">
        <v>1</v>
      </c>
      <c r="HZ107" s="25">
        <v>0</v>
      </c>
      <c r="IA107" s="25">
        <v>0</v>
      </c>
      <c r="IB107" s="25">
        <v>0</v>
      </c>
      <c r="IC107" s="25">
        <v>3</v>
      </c>
      <c r="ID107" s="25">
        <v>0</v>
      </c>
      <c r="IE107" s="25">
        <v>2</v>
      </c>
      <c r="IF107" s="25">
        <v>0</v>
      </c>
      <c r="IG107" s="25">
        <v>0</v>
      </c>
      <c r="IH107" s="25">
        <v>2</v>
      </c>
      <c r="II107" s="25">
        <v>2</v>
      </c>
      <c r="IJ107" s="25">
        <v>1</v>
      </c>
      <c r="IK107" s="25">
        <v>23</v>
      </c>
      <c r="IL107" s="25">
        <v>0</v>
      </c>
      <c r="IM107" s="25">
        <v>0</v>
      </c>
      <c r="IN107" s="25">
        <v>0</v>
      </c>
      <c r="IO107" s="25">
        <v>22</v>
      </c>
      <c r="IP107" s="25">
        <v>5</v>
      </c>
      <c r="IQ107" s="25">
        <v>0</v>
      </c>
      <c r="IR107" s="25">
        <v>1</v>
      </c>
      <c r="IS107" s="25">
        <v>1</v>
      </c>
      <c r="IT107" s="25">
        <v>2</v>
      </c>
      <c r="IU107" s="25">
        <v>1</v>
      </c>
      <c r="IV107" s="25">
        <v>1</v>
      </c>
      <c r="IW107" s="25">
        <v>4</v>
      </c>
      <c r="IX107" s="25">
        <v>0</v>
      </c>
      <c r="IY107" s="25">
        <v>3</v>
      </c>
      <c r="IZ107" s="25">
        <v>0</v>
      </c>
      <c r="JA107" s="25">
        <v>0</v>
      </c>
      <c r="JB107" s="25">
        <v>0</v>
      </c>
      <c r="JC107" s="25">
        <v>0</v>
      </c>
      <c r="JD107" s="25">
        <v>0</v>
      </c>
      <c r="JE107" s="25">
        <v>0</v>
      </c>
      <c r="JF107" s="25">
        <v>0</v>
      </c>
      <c r="JG107" s="25">
        <v>0</v>
      </c>
      <c r="JH107" s="25">
        <v>0</v>
      </c>
      <c r="JI107" s="25">
        <v>5</v>
      </c>
      <c r="JJ107" s="25">
        <v>2</v>
      </c>
      <c r="JK107" s="25">
        <v>84</v>
      </c>
      <c r="JL107" s="25">
        <v>4</v>
      </c>
      <c r="JM107" s="25">
        <v>228</v>
      </c>
      <c r="JN107" s="25">
        <v>9</v>
      </c>
      <c r="JO107" s="25">
        <v>275</v>
      </c>
      <c r="JP107" s="25">
        <v>51</v>
      </c>
      <c r="JQ107" s="25">
        <v>1779</v>
      </c>
      <c r="JR107" s="25">
        <v>706</v>
      </c>
      <c r="JS107" s="25">
        <v>2012</v>
      </c>
      <c r="JT107" s="25">
        <v>125</v>
      </c>
      <c r="JU107" s="25">
        <v>185</v>
      </c>
      <c r="JV107" s="25">
        <v>1088</v>
      </c>
      <c r="JW107" s="25">
        <v>995</v>
      </c>
      <c r="JX107" s="25">
        <v>16</v>
      </c>
      <c r="JY107" s="25">
        <v>56</v>
      </c>
      <c r="JZ107" s="25">
        <v>1983</v>
      </c>
      <c r="KA107" s="25">
        <v>844</v>
      </c>
      <c r="KB107" s="25">
        <v>127</v>
      </c>
      <c r="KC107" s="25">
        <v>126</v>
      </c>
      <c r="KD107" s="25">
        <v>213</v>
      </c>
      <c r="KE107" s="25">
        <v>1740</v>
      </c>
      <c r="KF107" s="25">
        <v>51</v>
      </c>
      <c r="KG107" s="25">
        <v>945</v>
      </c>
      <c r="KH107" s="25">
        <v>3003</v>
      </c>
      <c r="KI107" s="25">
        <v>3407</v>
      </c>
      <c r="KJ107" s="25">
        <v>286</v>
      </c>
      <c r="KK107" s="25">
        <v>229</v>
      </c>
      <c r="KL107" s="25">
        <v>343</v>
      </c>
      <c r="KM107" s="25">
        <v>14</v>
      </c>
      <c r="KN107" s="25">
        <v>56</v>
      </c>
      <c r="KO107" s="25">
        <v>206</v>
      </c>
      <c r="KP107" s="25">
        <v>60</v>
      </c>
      <c r="KQ107" s="25">
        <v>6044</v>
      </c>
      <c r="KR107" s="25">
        <v>99</v>
      </c>
      <c r="KS107" s="25">
        <v>22668</v>
      </c>
      <c r="KT107" s="25">
        <v>340</v>
      </c>
      <c r="KU107" s="25">
        <v>19</v>
      </c>
      <c r="KV107" s="25">
        <v>753</v>
      </c>
      <c r="KW107" s="25">
        <v>197</v>
      </c>
      <c r="KX107" s="25">
        <v>92</v>
      </c>
      <c r="KY107" s="25">
        <v>1886</v>
      </c>
      <c r="KZ107" s="25">
        <v>233</v>
      </c>
      <c r="LA107" s="25">
        <v>177</v>
      </c>
      <c r="LB107" s="25">
        <v>11</v>
      </c>
      <c r="LC107" s="25">
        <v>184</v>
      </c>
      <c r="LD107" s="25">
        <v>666</v>
      </c>
      <c r="LE107" s="25">
        <v>41</v>
      </c>
      <c r="LF107" s="25">
        <v>47</v>
      </c>
      <c r="LG107" s="25">
        <v>460</v>
      </c>
      <c r="LH107" s="25">
        <v>764</v>
      </c>
      <c r="LI107" s="25">
        <v>34</v>
      </c>
      <c r="LJ107" s="25">
        <v>281</v>
      </c>
      <c r="LK107" s="25">
        <v>7</v>
      </c>
      <c r="LL107" s="25">
        <v>0</v>
      </c>
      <c r="LM107" s="25">
        <v>3</v>
      </c>
    </row>
    <row r="108" spans="1:373" x14ac:dyDescent="0.25">
      <c r="A108" s="156">
        <v>43949</v>
      </c>
      <c r="B108" s="25">
        <v>58</v>
      </c>
      <c r="C108" s="25">
        <v>30</v>
      </c>
      <c r="D108" s="25">
        <v>437</v>
      </c>
      <c r="E108" s="25">
        <v>41</v>
      </c>
      <c r="F108" s="25">
        <v>2</v>
      </c>
      <c r="G108" s="25">
        <v>3</v>
      </c>
      <c r="H108" s="25">
        <v>207</v>
      </c>
      <c r="I108" s="25">
        <v>30</v>
      </c>
      <c r="J108" s="25">
        <v>3</v>
      </c>
      <c r="K108" s="25">
        <v>39</v>
      </c>
      <c r="L108" s="25">
        <v>0</v>
      </c>
      <c r="M108" s="25">
        <v>6</v>
      </c>
      <c r="N108" s="25">
        <v>4</v>
      </c>
      <c r="O108" s="25">
        <v>11</v>
      </c>
      <c r="P108" s="25">
        <v>18</v>
      </c>
      <c r="Q108" s="25">
        <v>8</v>
      </c>
      <c r="R108" s="25">
        <v>569</v>
      </c>
      <c r="S108" s="25">
        <v>22</v>
      </c>
      <c r="T108" s="25">
        <v>11</v>
      </c>
      <c r="U108" s="25">
        <v>8</v>
      </c>
      <c r="V108" s="25">
        <v>155</v>
      </c>
      <c r="W108" s="25">
        <v>6</v>
      </c>
      <c r="X108" s="25">
        <v>79</v>
      </c>
      <c r="Y108" s="25">
        <v>7331</v>
      </c>
      <c r="Z108" s="25">
        <v>1</v>
      </c>
      <c r="AA108" s="25">
        <v>0</v>
      </c>
      <c r="AB108" s="25">
        <v>53</v>
      </c>
      <c r="AC108" s="25">
        <v>63</v>
      </c>
      <c r="AD108" s="25">
        <v>5083</v>
      </c>
      <c r="AE108" s="25">
        <v>1</v>
      </c>
      <c r="AF108" s="25">
        <v>58</v>
      </c>
      <c r="AG108" s="25">
        <v>42</v>
      </c>
      <c r="AH108" s="25">
        <v>1</v>
      </c>
      <c r="AI108" s="25">
        <v>0</v>
      </c>
      <c r="AJ108" s="25">
        <v>58</v>
      </c>
      <c r="AK108" s="25">
        <v>80</v>
      </c>
      <c r="AL108" s="25">
        <v>106</v>
      </c>
      <c r="AM108" s="25">
        <v>0</v>
      </c>
      <c r="AN108" s="25">
        <v>6</v>
      </c>
      <c r="AO108" s="25">
        <v>0</v>
      </c>
      <c r="AP108" s="25">
        <v>3</v>
      </c>
      <c r="AQ108" s="25">
        <v>27</v>
      </c>
      <c r="AR108" s="25">
        <v>1072</v>
      </c>
      <c r="AS108" s="25">
        <v>0</v>
      </c>
      <c r="AT108" s="25">
        <v>1683</v>
      </c>
      <c r="AU108" s="25">
        <v>5</v>
      </c>
      <c r="AV108" s="25">
        <v>0</v>
      </c>
      <c r="AW108" s="25">
        <v>2</v>
      </c>
      <c r="AX108" s="25">
        <v>207</v>
      </c>
      <c r="AY108" s="25">
        <v>6</v>
      </c>
      <c r="AZ108" s="25">
        <v>9</v>
      </c>
      <c r="BA108" s="25">
        <v>6</v>
      </c>
      <c r="BB108" s="25">
        <v>1</v>
      </c>
      <c r="BC108" s="25">
        <v>2</v>
      </c>
      <c r="BD108" s="25">
        <v>8</v>
      </c>
      <c r="BE108" s="25">
        <v>2</v>
      </c>
      <c r="BF108" s="25">
        <v>2</v>
      </c>
      <c r="BG108" s="25">
        <v>6</v>
      </c>
      <c r="BH108" s="25">
        <v>6</v>
      </c>
      <c r="BI108" s="25">
        <v>13</v>
      </c>
      <c r="BJ108" s="25">
        <v>22</v>
      </c>
      <c r="BK108" s="25">
        <v>4</v>
      </c>
      <c r="BL108" s="25">
        <v>4512</v>
      </c>
      <c r="BM108" s="25">
        <v>4</v>
      </c>
      <c r="BN108" s="25">
        <v>1</v>
      </c>
      <c r="BO108" s="25">
        <v>0</v>
      </c>
      <c r="BP108" s="25">
        <v>1</v>
      </c>
      <c r="BQ108" s="25">
        <v>1</v>
      </c>
      <c r="BR108" s="25">
        <v>2</v>
      </c>
      <c r="BS108" s="25">
        <v>0</v>
      </c>
      <c r="BT108" s="25">
        <v>0</v>
      </c>
      <c r="BU108" s="25">
        <v>0</v>
      </c>
      <c r="BV108" s="25">
        <v>3</v>
      </c>
      <c r="BW108" s="25">
        <v>7</v>
      </c>
      <c r="BX108" s="25">
        <v>7</v>
      </c>
      <c r="BY108" s="25">
        <v>0</v>
      </c>
      <c r="BZ108" s="25">
        <v>3</v>
      </c>
      <c r="CA108" s="25">
        <v>3</v>
      </c>
      <c r="CB108" s="25">
        <v>0</v>
      </c>
      <c r="CC108" s="25">
        <v>3</v>
      </c>
      <c r="CD108" s="25">
        <v>2</v>
      </c>
      <c r="CE108" s="25">
        <v>1</v>
      </c>
      <c r="CF108" s="25">
        <v>269</v>
      </c>
      <c r="CG108" s="25">
        <v>8</v>
      </c>
      <c r="CH108" s="25">
        <v>30</v>
      </c>
      <c r="CI108" s="25">
        <v>6</v>
      </c>
      <c r="CJ108" s="25">
        <v>14</v>
      </c>
      <c r="CK108" s="25">
        <v>63</v>
      </c>
      <c r="CL108" s="25">
        <v>13</v>
      </c>
      <c r="CM108" s="25">
        <v>58</v>
      </c>
      <c r="CN108" s="25">
        <v>15</v>
      </c>
      <c r="CO108" s="25">
        <v>227</v>
      </c>
      <c r="CP108" s="25">
        <v>0</v>
      </c>
      <c r="CQ108" s="25">
        <v>0</v>
      </c>
      <c r="CR108" s="25">
        <v>434</v>
      </c>
      <c r="CS108" s="25">
        <v>2</v>
      </c>
      <c r="CT108" s="25">
        <v>286</v>
      </c>
      <c r="CU108" s="25">
        <v>871</v>
      </c>
      <c r="CV108" s="25">
        <v>359</v>
      </c>
      <c r="CW108" s="25">
        <v>8</v>
      </c>
      <c r="CX108" s="25">
        <v>1</v>
      </c>
      <c r="CY108" s="25">
        <v>0</v>
      </c>
      <c r="CZ108" s="25">
        <v>50</v>
      </c>
      <c r="DA108" s="25">
        <v>1</v>
      </c>
      <c r="DB108" s="25">
        <v>3</v>
      </c>
      <c r="DC108" s="25">
        <v>0</v>
      </c>
      <c r="DD108" s="25">
        <v>199</v>
      </c>
      <c r="DE108" s="25">
        <v>1</v>
      </c>
      <c r="DF108" s="25">
        <v>0</v>
      </c>
      <c r="DG108" s="25">
        <v>12</v>
      </c>
      <c r="DH108" s="25">
        <v>4</v>
      </c>
      <c r="DI108" s="25">
        <v>0</v>
      </c>
      <c r="DJ108" s="25">
        <v>0</v>
      </c>
      <c r="DK108" s="25">
        <v>0</v>
      </c>
      <c r="DL108" s="25">
        <v>3</v>
      </c>
      <c r="DM108" s="25">
        <v>14</v>
      </c>
      <c r="DN108" s="25">
        <v>23629</v>
      </c>
      <c r="DO108" s="25">
        <v>3</v>
      </c>
      <c r="DP108" s="25">
        <v>1</v>
      </c>
      <c r="DQ108" s="25">
        <v>6</v>
      </c>
      <c r="DR108" s="25">
        <v>6314</v>
      </c>
      <c r="DS108" s="25">
        <v>16</v>
      </c>
      <c r="DT108" s="25">
        <v>138</v>
      </c>
      <c r="DU108" s="25">
        <v>15</v>
      </c>
      <c r="DV108" s="25">
        <v>7</v>
      </c>
      <c r="DW108" s="25">
        <v>8</v>
      </c>
      <c r="DX108" s="25">
        <v>6</v>
      </c>
      <c r="DY108" s="25">
        <v>0</v>
      </c>
      <c r="DZ108" s="25">
        <v>64</v>
      </c>
      <c r="EA108" s="25">
        <v>291</v>
      </c>
      <c r="EB108" s="25">
        <v>10</v>
      </c>
      <c r="EC108" s="25">
        <v>1008</v>
      </c>
      <c r="ED108" s="25">
        <v>773</v>
      </c>
      <c r="EE108" s="25">
        <v>5877</v>
      </c>
      <c r="EF108" s="25">
        <v>90</v>
      </c>
      <c r="EG108" s="25">
        <v>1159</v>
      </c>
      <c r="EH108" s="25">
        <v>210</v>
      </c>
      <c r="EI108" s="25">
        <v>27359</v>
      </c>
      <c r="EJ108" s="25">
        <v>7</v>
      </c>
      <c r="EK108" s="25">
        <v>394</v>
      </c>
      <c r="EL108" s="25">
        <v>8</v>
      </c>
      <c r="EM108" s="25">
        <v>25</v>
      </c>
      <c r="EN108" s="25">
        <v>14</v>
      </c>
      <c r="EO108" s="25">
        <v>246</v>
      </c>
      <c r="EP108" s="25">
        <v>23</v>
      </c>
      <c r="EQ108" s="25">
        <v>8</v>
      </c>
      <c r="ER108" s="25">
        <v>13</v>
      </c>
      <c r="ES108" s="25">
        <v>24</v>
      </c>
      <c r="ET108" s="25">
        <v>16</v>
      </c>
      <c r="EU108" s="25">
        <v>1</v>
      </c>
      <c r="EV108" s="25">
        <v>44</v>
      </c>
      <c r="EW108" s="25">
        <v>89</v>
      </c>
      <c r="EX108" s="25">
        <v>0</v>
      </c>
      <c r="EY108" s="25">
        <v>100</v>
      </c>
      <c r="EZ108" s="25">
        <v>0</v>
      </c>
      <c r="FA108" s="25">
        <v>4</v>
      </c>
      <c r="FB108" s="25">
        <v>1</v>
      </c>
      <c r="FC108" s="25">
        <v>10</v>
      </c>
      <c r="FD108" s="25">
        <v>1569</v>
      </c>
      <c r="FE108" s="25">
        <v>103</v>
      </c>
      <c r="FF108" s="25">
        <v>4</v>
      </c>
      <c r="FG108" s="25">
        <v>0</v>
      </c>
      <c r="FH108" s="25">
        <v>7</v>
      </c>
      <c r="FI108" s="25">
        <v>165</v>
      </c>
      <c r="FJ108" s="25">
        <v>0</v>
      </c>
      <c r="FK108" s="25">
        <v>0</v>
      </c>
      <c r="FL108" s="25">
        <v>2</v>
      </c>
      <c r="FM108" s="25">
        <v>1</v>
      </c>
      <c r="FN108" s="25">
        <v>13</v>
      </c>
      <c r="FO108" s="25">
        <v>4566</v>
      </c>
      <c r="FP108" s="25">
        <v>19</v>
      </c>
      <c r="FQ108" s="25">
        <v>3</v>
      </c>
      <c r="FR108" s="25">
        <v>31</v>
      </c>
      <c r="FS108" s="25">
        <v>44</v>
      </c>
      <c r="FT108" s="25">
        <v>71</v>
      </c>
      <c r="FU108" s="25">
        <v>206</v>
      </c>
      <c r="FV108" s="25">
        <v>10</v>
      </c>
      <c r="FW108" s="25">
        <v>312</v>
      </c>
      <c r="FX108" s="25">
        <v>167</v>
      </c>
      <c r="FY108" s="25">
        <v>0</v>
      </c>
      <c r="FZ108" s="25">
        <v>9</v>
      </c>
      <c r="GA108" s="25">
        <v>854</v>
      </c>
      <c r="GB108" s="25">
        <v>530</v>
      </c>
      <c r="GC108" s="25">
        <v>596</v>
      </c>
      <c r="GD108" s="25">
        <v>948</v>
      </c>
      <c r="GE108" s="25">
        <v>10</v>
      </c>
      <c r="GF108" s="25">
        <v>663</v>
      </c>
      <c r="GG108" s="25">
        <v>867</v>
      </c>
      <c r="GH108" s="25">
        <v>0</v>
      </c>
      <c r="GI108" s="25">
        <v>0</v>
      </c>
      <c r="GJ108" s="25">
        <v>0</v>
      </c>
      <c r="GK108" s="25">
        <v>41</v>
      </c>
      <c r="GL108" s="25">
        <v>152</v>
      </c>
      <c r="GM108" s="25">
        <v>9</v>
      </c>
      <c r="GN108" s="25">
        <v>168</v>
      </c>
      <c r="GO108" s="25">
        <v>0</v>
      </c>
      <c r="GP108" s="25">
        <v>14</v>
      </c>
      <c r="GQ108" s="25">
        <v>20</v>
      </c>
      <c r="GR108" s="25">
        <v>86</v>
      </c>
      <c r="GS108" s="25">
        <v>28</v>
      </c>
      <c r="GT108" s="25">
        <v>93</v>
      </c>
      <c r="GU108" s="25">
        <v>23822</v>
      </c>
      <c r="GV108" s="25">
        <v>7</v>
      </c>
      <c r="GW108" s="25">
        <v>25</v>
      </c>
      <c r="GX108" s="25">
        <v>1</v>
      </c>
      <c r="GY108" s="46">
        <v>2355</v>
      </c>
      <c r="GZ108" s="25">
        <v>1699</v>
      </c>
      <c r="HA108" s="25">
        <v>6</v>
      </c>
      <c r="HB108" s="25">
        <v>10</v>
      </c>
      <c r="HC108" s="25">
        <v>54</v>
      </c>
      <c r="HD108" s="25">
        <v>6</v>
      </c>
      <c r="HE108" s="25">
        <v>8</v>
      </c>
      <c r="HF108" s="25">
        <v>40</v>
      </c>
      <c r="HG108" s="25">
        <v>2992</v>
      </c>
      <c r="HH108" s="25">
        <v>0</v>
      </c>
      <c r="HI108" s="25">
        <v>239</v>
      </c>
      <c r="HJ108" s="25">
        <v>89</v>
      </c>
      <c r="HK108" s="25">
        <v>6</v>
      </c>
      <c r="HL108" s="25">
        <v>1</v>
      </c>
      <c r="HM108" s="25">
        <v>36</v>
      </c>
      <c r="HN108" s="25">
        <v>0</v>
      </c>
      <c r="HO108" s="25">
        <v>21</v>
      </c>
      <c r="HP108" s="25">
        <v>1</v>
      </c>
      <c r="HQ108" s="25">
        <v>25302</v>
      </c>
      <c r="HR108" s="25">
        <v>15</v>
      </c>
      <c r="HS108" s="25">
        <v>58355</v>
      </c>
      <c r="HT108" s="25">
        <v>8</v>
      </c>
      <c r="HU108" s="25">
        <v>10</v>
      </c>
      <c r="HV108" s="25">
        <v>0</v>
      </c>
      <c r="HW108" s="25">
        <v>3</v>
      </c>
      <c r="HX108" s="25">
        <v>4</v>
      </c>
      <c r="HY108" s="25">
        <v>1</v>
      </c>
      <c r="HZ108" s="25">
        <v>0</v>
      </c>
      <c r="IA108" s="25">
        <v>0</v>
      </c>
      <c r="IB108" s="25">
        <v>0</v>
      </c>
      <c r="IC108" s="25">
        <v>3</v>
      </c>
      <c r="ID108" s="25">
        <v>0</v>
      </c>
      <c r="IE108" s="25">
        <v>2</v>
      </c>
      <c r="IF108" s="25">
        <v>0</v>
      </c>
      <c r="IG108" s="25">
        <v>0</v>
      </c>
      <c r="IH108" s="25">
        <v>2</v>
      </c>
      <c r="II108" s="25">
        <v>2</v>
      </c>
      <c r="IJ108" s="25">
        <v>1</v>
      </c>
      <c r="IK108" s="25">
        <v>24</v>
      </c>
      <c r="IL108" s="25">
        <v>0</v>
      </c>
      <c r="IM108" s="25">
        <v>0</v>
      </c>
      <c r="IN108" s="25">
        <v>0</v>
      </c>
      <c r="IO108" s="25">
        <v>22</v>
      </c>
      <c r="IP108" s="25">
        <v>5</v>
      </c>
      <c r="IQ108" s="25">
        <v>0</v>
      </c>
      <c r="IR108" s="25">
        <v>1</v>
      </c>
      <c r="IS108" s="25">
        <v>1</v>
      </c>
      <c r="IT108" s="25">
        <v>2</v>
      </c>
      <c r="IU108" s="25">
        <v>1</v>
      </c>
      <c r="IV108" s="25">
        <v>1</v>
      </c>
      <c r="IW108" s="25">
        <v>4</v>
      </c>
      <c r="IX108" s="25">
        <v>0</v>
      </c>
      <c r="IY108" s="25">
        <v>3</v>
      </c>
      <c r="IZ108" s="25">
        <v>0</v>
      </c>
      <c r="JA108" s="25">
        <v>0</v>
      </c>
      <c r="JB108" s="25">
        <v>0</v>
      </c>
      <c r="JC108" s="25">
        <v>0</v>
      </c>
      <c r="JD108" s="25">
        <v>0</v>
      </c>
      <c r="JE108" s="25">
        <v>0</v>
      </c>
      <c r="JF108" s="25">
        <v>0</v>
      </c>
      <c r="JG108" s="25">
        <v>0</v>
      </c>
      <c r="JH108" s="25">
        <v>0</v>
      </c>
      <c r="JI108" s="25">
        <v>5</v>
      </c>
      <c r="JJ108" s="25">
        <v>2</v>
      </c>
      <c r="JK108" s="25">
        <v>86</v>
      </c>
      <c r="JL108" s="25">
        <v>4</v>
      </c>
      <c r="JM108" s="25">
        <v>242</v>
      </c>
      <c r="JN108" s="25">
        <v>9</v>
      </c>
      <c r="JO108" s="25">
        <v>275</v>
      </c>
      <c r="JP108" s="25">
        <v>57</v>
      </c>
      <c r="JQ108" s="25">
        <v>1864</v>
      </c>
      <c r="JR108" s="25">
        <v>736</v>
      </c>
      <c r="JS108" s="25">
        <v>2087</v>
      </c>
      <c r="JT108" s="25">
        <v>137</v>
      </c>
      <c r="JU108" s="25">
        <v>190</v>
      </c>
      <c r="JV108" s="25">
        <v>1171</v>
      </c>
      <c r="JW108" s="25">
        <v>1036</v>
      </c>
      <c r="JX108" s="25">
        <v>16</v>
      </c>
      <c r="JY108" s="25">
        <v>60</v>
      </c>
      <c r="JZ108" s="25">
        <v>2125</v>
      </c>
      <c r="KA108" s="25">
        <v>901</v>
      </c>
      <c r="KB108" s="25">
        <v>136</v>
      </c>
      <c r="KC108" s="25">
        <v>127</v>
      </c>
      <c r="KD108" s="25">
        <v>225</v>
      </c>
      <c r="KE108" s="25">
        <v>1801</v>
      </c>
      <c r="KF108" s="25">
        <v>51</v>
      </c>
      <c r="KG108" s="25">
        <v>1016</v>
      </c>
      <c r="KH108" s="25">
        <v>3153</v>
      </c>
      <c r="KI108" s="25">
        <v>3568</v>
      </c>
      <c r="KJ108" s="25">
        <v>301</v>
      </c>
      <c r="KK108" s="25">
        <v>239</v>
      </c>
      <c r="KL108" s="25">
        <v>330</v>
      </c>
      <c r="KM108" s="25">
        <v>15</v>
      </c>
      <c r="KN108" s="25">
        <v>56</v>
      </c>
      <c r="KO108" s="25">
        <v>219</v>
      </c>
      <c r="KP108" s="25">
        <v>60</v>
      </c>
      <c r="KQ108" s="25">
        <v>6442</v>
      </c>
      <c r="KR108" s="25">
        <v>105</v>
      </c>
      <c r="KS108" s="25">
        <v>22912</v>
      </c>
      <c r="KT108" s="25">
        <v>363</v>
      </c>
      <c r="KU108" s="25">
        <v>19</v>
      </c>
      <c r="KV108" s="25">
        <v>799</v>
      </c>
      <c r="KW108" s="25">
        <v>207</v>
      </c>
      <c r="KX108" s="25">
        <v>99</v>
      </c>
      <c r="KY108" s="25">
        <v>2046</v>
      </c>
      <c r="KZ108" s="25">
        <v>239</v>
      </c>
      <c r="LA108" s="25">
        <v>192</v>
      </c>
      <c r="LB108" s="25">
        <v>11</v>
      </c>
      <c r="LC108" s="25">
        <v>188</v>
      </c>
      <c r="LD108" s="25">
        <v>719</v>
      </c>
      <c r="LE108" s="25">
        <v>41</v>
      </c>
      <c r="LF108" s="25">
        <v>47</v>
      </c>
      <c r="LG108" s="25">
        <v>492</v>
      </c>
      <c r="LH108" s="25">
        <v>786</v>
      </c>
      <c r="LI108" s="25">
        <v>38</v>
      </c>
      <c r="LJ108" s="25">
        <v>300</v>
      </c>
      <c r="LK108" s="25">
        <v>7</v>
      </c>
      <c r="LL108" s="25">
        <v>0</v>
      </c>
      <c r="LM108" s="25">
        <v>3</v>
      </c>
    </row>
    <row r="109" spans="1:373" x14ac:dyDescent="0.25">
      <c r="A109" s="156">
        <v>43950</v>
      </c>
      <c r="B109" s="25">
        <v>60</v>
      </c>
      <c r="C109" s="25">
        <v>30</v>
      </c>
      <c r="D109" s="25">
        <v>444</v>
      </c>
      <c r="E109" s="25">
        <v>42</v>
      </c>
      <c r="F109" s="25">
        <v>2</v>
      </c>
      <c r="G109" s="25">
        <v>3</v>
      </c>
      <c r="H109" s="25">
        <v>214</v>
      </c>
      <c r="I109" s="25">
        <v>30</v>
      </c>
      <c r="J109" s="25">
        <v>3</v>
      </c>
      <c r="K109" s="25">
        <v>40</v>
      </c>
      <c r="L109" s="25">
        <v>0</v>
      </c>
      <c r="M109" s="25">
        <v>6</v>
      </c>
      <c r="N109" s="25">
        <v>4</v>
      </c>
      <c r="O109" s="25">
        <v>12</v>
      </c>
      <c r="P109" s="25">
        <v>18</v>
      </c>
      <c r="Q109" s="25">
        <v>8</v>
      </c>
      <c r="R109" s="25">
        <v>580</v>
      </c>
      <c r="S109" s="25">
        <v>23</v>
      </c>
      <c r="T109" s="25">
        <v>11</v>
      </c>
      <c r="U109" s="25">
        <v>8</v>
      </c>
      <c r="V109" s="25">
        <v>163</v>
      </c>
      <c r="W109" s="25">
        <v>7</v>
      </c>
      <c r="X109" s="25">
        <v>84</v>
      </c>
      <c r="Y109" s="25">
        <v>7501</v>
      </c>
      <c r="Z109" s="25">
        <v>1</v>
      </c>
      <c r="AA109" s="25">
        <v>0</v>
      </c>
      <c r="AB109" s="25">
        <v>59</v>
      </c>
      <c r="AC109" s="25">
        <v>65</v>
      </c>
      <c r="AD109" s="25">
        <v>5513</v>
      </c>
      <c r="AE109" s="25">
        <v>1</v>
      </c>
      <c r="AF109" s="25">
        <v>64</v>
      </c>
      <c r="AG109" s="25">
        <v>43</v>
      </c>
      <c r="AH109" s="25">
        <v>1</v>
      </c>
      <c r="AI109" s="25">
        <v>0</v>
      </c>
      <c r="AJ109" s="25">
        <v>61</v>
      </c>
      <c r="AK109" s="25">
        <v>87</v>
      </c>
      <c r="AL109" s="25">
        <v>109</v>
      </c>
      <c r="AM109" s="25">
        <v>0</v>
      </c>
      <c r="AN109" s="25">
        <v>6</v>
      </c>
      <c r="AO109" s="25">
        <v>0</v>
      </c>
      <c r="AP109" s="25">
        <v>3</v>
      </c>
      <c r="AQ109" s="25">
        <v>28</v>
      </c>
      <c r="AR109" s="25">
        <v>1153</v>
      </c>
      <c r="AS109" s="25">
        <v>0</v>
      </c>
      <c r="AT109" s="25">
        <v>1762</v>
      </c>
      <c r="AU109" s="25">
        <v>6</v>
      </c>
      <c r="AV109" s="25">
        <v>0</v>
      </c>
      <c r="AW109" s="25">
        <v>2</v>
      </c>
      <c r="AX109" s="25">
        <v>216</v>
      </c>
      <c r="AY109" s="25">
        <v>6</v>
      </c>
      <c r="AZ109" s="25">
        <v>9</v>
      </c>
      <c r="BA109" s="25">
        <v>6</v>
      </c>
      <c r="BB109" s="25">
        <v>1</v>
      </c>
      <c r="BC109" s="25">
        <v>2</v>
      </c>
      <c r="BD109" s="25">
        <v>8</v>
      </c>
      <c r="BE109" s="25">
        <v>2</v>
      </c>
      <c r="BF109" s="25">
        <v>2</v>
      </c>
      <c r="BG109" s="25">
        <v>6</v>
      </c>
      <c r="BH109" s="25">
        <v>6</v>
      </c>
      <c r="BI109" s="25">
        <v>13</v>
      </c>
      <c r="BJ109" s="25">
        <v>22</v>
      </c>
      <c r="BK109" s="25">
        <v>4</v>
      </c>
      <c r="BL109" s="25">
        <v>4512</v>
      </c>
      <c r="BM109" s="25">
        <v>4</v>
      </c>
      <c r="BN109" s="25">
        <v>1</v>
      </c>
      <c r="BO109" s="25">
        <v>0</v>
      </c>
      <c r="BP109" s="25">
        <v>1</v>
      </c>
      <c r="BQ109" s="25">
        <v>1</v>
      </c>
      <c r="BR109" s="25">
        <v>2</v>
      </c>
      <c r="BS109" s="25">
        <v>0</v>
      </c>
      <c r="BT109" s="25">
        <v>0</v>
      </c>
      <c r="BU109" s="25">
        <v>0</v>
      </c>
      <c r="BV109" s="25">
        <v>3</v>
      </c>
      <c r="BW109" s="25">
        <v>7</v>
      </c>
      <c r="BX109" s="25">
        <v>7</v>
      </c>
      <c r="BY109" s="25">
        <v>0</v>
      </c>
      <c r="BZ109" s="25">
        <v>3</v>
      </c>
      <c r="CA109" s="25">
        <v>3</v>
      </c>
      <c r="CB109" s="25">
        <v>0</v>
      </c>
      <c r="CC109" s="25">
        <v>3</v>
      </c>
      <c r="CD109" s="25">
        <v>2</v>
      </c>
      <c r="CE109" s="25">
        <v>1</v>
      </c>
      <c r="CF109" s="25">
        <v>278</v>
      </c>
      <c r="CG109" s="25">
        <v>8</v>
      </c>
      <c r="CH109" s="25">
        <v>30</v>
      </c>
      <c r="CI109" s="25">
        <v>6</v>
      </c>
      <c r="CJ109" s="25">
        <v>14</v>
      </c>
      <c r="CK109" s="25">
        <v>67</v>
      </c>
      <c r="CL109" s="25">
        <v>13</v>
      </c>
      <c r="CM109" s="25">
        <v>58</v>
      </c>
      <c r="CN109" s="25">
        <v>15</v>
      </c>
      <c r="CO109" s="25">
        <v>227</v>
      </c>
      <c r="CP109" s="25">
        <v>0</v>
      </c>
      <c r="CQ109" s="25">
        <v>0</v>
      </c>
      <c r="CR109" s="25">
        <v>443</v>
      </c>
      <c r="CS109" s="25">
        <v>2</v>
      </c>
      <c r="CT109" s="25">
        <v>293</v>
      </c>
      <c r="CU109" s="25">
        <v>883</v>
      </c>
      <c r="CV109" s="25">
        <v>380</v>
      </c>
      <c r="CW109" s="25">
        <v>9</v>
      </c>
      <c r="CX109" s="25">
        <v>1</v>
      </c>
      <c r="CY109" s="25">
        <v>0</v>
      </c>
      <c r="CZ109" s="25">
        <v>50</v>
      </c>
      <c r="DA109" s="25">
        <v>1</v>
      </c>
      <c r="DB109" s="25">
        <v>3</v>
      </c>
      <c r="DC109" s="25">
        <v>0</v>
      </c>
      <c r="DD109" s="25">
        <v>206</v>
      </c>
      <c r="DE109" s="25">
        <v>1</v>
      </c>
      <c r="DF109" s="25">
        <v>0</v>
      </c>
      <c r="DG109" s="25">
        <v>12</v>
      </c>
      <c r="DH109" s="25">
        <v>4</v>
      </c>
      <c r="DI109" s="25">
        <v>0</v>
      </c>
      <c r="DJ109" s="25">
        <v>0</v>
      </c>
      <c r="DK109" s="25">
        <v>0</v>
      </c>
      <c r="DL109" s="25">
        <v>3</v>
      </c>
      <c r="DM109" s="25">
        <v>14</v>
      </c>
      <c r="DN109" s="25">
        <v>24056</v>
      </c>
      <c r="DO109" s="25">
        <v>3</v>
      </c>
      <c r="DP109" s="25">
        <v>1</v>
      </c>
      <c r="DQ109" s="25">
        <v>6</v>
      </c>
      <c r="DR109" s="25">
        <v>6467</v>
      </c>
      <c r="DS109" s="25">
        <v>16</v>
      </c>
      <c r="DT109" s="25">
        <v>139</v>
      </c>
      <c r="DU109" s="25">
        <v>16</v>
      </c>
      <c r="DV109" s="25">
        <v>7</v>
      </c>
      <c r="DW109" s="25">
        <v>8</v>
      </c>
      <c r="DX109" s="25">
        <v>6</v>
      </c>
      <c r="DY109" s="25">
        <v>0</v>
      </c>
      <c r="DZ109" s="25">
        <v>66</v>
      </c>
      <c r="EA109" s="25">
        <v>300</v>
      </c>
      <c r="EB109" s="25">
        <v>10</v>
      </c>
      <c r="EC109" s="25">
        <v>1079</v>
      </c>
      <c r="ED109" s="25">
        <v>784</v>
      </c>
      <c r="EE109" s="25">
        <v>5957</v>
      </c>
      <c r="EF109" s="25">
        <v>92</v>
      </c>
      <c r="EG109" s="25">
        <v>1190</v>
      </c>
      <c r="EH109" s="25">
        <v>215</v>
      </c>
      <c r="EI109" s="25">
        <v>27682</v>
      </c>
      <c r="EJ109" s="25">
        <v>7</v>
      </c>
      <c r="EK109" s="25">
        <v>413</v>
      </c>
      <c r="EL109" s="25">
        <v>8</v>
      </c>
      <c r="EM109" s="25">
        <v>25</v>
      </c>
      <c r="EN109" s="25">
        <v>15</v>
      </c>
      <c r="EO109" s="25">
        <v>247</v>
      </c>
      <c r="EP109" s="25">
        <v>24</v>
      </c>
      <c r="EQ109" s="25">
        <v>8</v>
      </c>
      <c r="ER109" s="25">
        <v>15</v>
      </c>
      <c r="ES109" s="25">
        <v>24</v>
      </c>
      <c r="ET109" s="25">
        <v>16</v>
      </c>
      <c r="EU109" s="25">
        <v>1</v>
      </c>
      <c r="EV109" s="25">
        <v>45</v>
      </c>
      <c r="EW109" s="25">
        <v>89</v>
      </c>
      <c r="EX109" s="25">
        <v>0</v>
      </c>
      <c r="EY109" s="25">
        <v>100</v>
      </c>
      <c r="EZ109" s="25">
        <v>1</v>
      </c>
      <c r="FA109" s="25">
        <v>4</v>
      </c>
      <c r="FB109" s="25">
        <v>1</v>
      </c>
      <c r="FC109" s="25">
        <v>10</v>
      </c>
      <c r="FD109" s="25">
        <v>1732</v>
      </c>
      <c r="FE109" s="25">
        <v>111</v>
      </c>
      <c r="FF109" s="25">
        <v>4</v>
      </c>
      <c r="FG109" s="25">
        <v>0</v>
      </c>
      <c r="FH109" s="25">
        <v>7</v>
      </c>
      <c r="FI109" s="25">
        <v>168</v>
      </c>
      <c r="FJ109" s="25">
        <v>0</v>
      </c>
      <c r="FK109" s="25">
        <v>0</v>
      </c>
      <c r="FL109" s="25">
        <v>2</v>
      </c>
      <c r="FM109" s="25">
        <v>1</v>
      </c>
      <c r="FN109" s="25">
        <v>13</v>
      </c>
      <c r="FO109" s="25">
        <v>4711</v>
      </c>
      <c r="FP109" s="25">
        <v>19</v>
      </c>
      <c r="FQ109" s="25">
        <v>3</v>
      </c>
      <c r="FR109" s="25">
        <v>32</v>
      </c>
      <c r="FS109" s="25">
        <v>51</v>
      </c>
      <c r="FT109" s="25">
        <v>73</v>
      </c>
      <c r="FU109" s="25">
        <v>207</v>
      </c>
      <c r="FV109" s="25">
        <v>10</v>
      </c>
      <c r="FW109" s="25">
        <v>343</v>
      </c>
      <c r="FX109" s="25">
        <v>178</v>
      </c>
      <c r="FY109" s="25">
        <v>0</v>
      </c>
      <c r="FZ109" s="25">
        <v>9</v>
      </c>
      <c r="GA109" s="25">
        <v>943</v>
      </c>
      <c r="GB109" s="25">
        <v>558</v>
      </c>
      <c r="GC109" s="25">
        <v>624</v>
      </c>
      <c r="GD109" s="25">
        <v>973</v>
      </c>
      <c r="GE109" s="25">
        <v>10</v>
      </c>
      <c r="GF109" s="25">
        <v>693</v>
      </c>
      <c r="GG109" s="25">
        <v>972</v>
      </c>
      <c r="GH109" s="25">
        <v>0</v>
      </c>
      <c r="GI109" s="25">
        <v>0</v>
      </c>
      <c r="GJ109" s="25">
        <v>0</v>
      </c>
      <c r="GK109" s="25">
        <v>41</v>
      </c>
      <c r="GL109" s="25">
        <v>157</v>
      </c>
      <c r="GM109" s="25">
        <v>9</v>
      </c>
      <c r="GN109" s="25">
        <v>173</v>
      </c>
      <c r="GO109" s="25">
        <v>0</v>
      </c>
      <c r="GP109" s="25">
        <v>14</v>
      </c>
      <c r="GQ109" s="25">
        <v>22</v>
      </c>
      <c r="GR109" s="25">
        <v>89</v>
      </c>
      <c r="GS109" s="25">
        <v>28</v>
      </c>
      <c r="GT109" s="25">
        <v>103</v>
      </c>
      <c r="GU109" s="25">
        <v>24275</v>
      </c>
      <c r="GV109" s="25">
        <v>7</v>
      </c>
      <c r="GW109" s="25">
        <v>28</v>
      </c>
      <c r="GX109" s="25">
        <v>1</v>
      </c>
      <c r="GY109" s="46">
        <v>2462</v>
      </c>
      <c r="GZ109" s="25">
        <v>1716</v>
      </c>
      <c r="HA109" s="25">
        <v>6</v>
      </c>
      <c r="HB109" s="25">
        <v>16</v>
      </c>
      <c r="HC109" s="25">
        <v>54</v>
      </c>
      <c r="HD109" s="25">
        <v>7</v>
      </c>
      <c r="HE109" s="25">
        <v>8</v>
      </c>
      <c r="HF109" s="25">
        <v>40</v>
      </c>
      <c r="HG109" s="25">
        <v>3081</v>
      </c>
      <c r="HH109" s="25">
        <v>0</v>
      </c>
      <c r="HI109" s="25">
        <v>250</v>
      </c>
      <c r="HJ109" s="25">
        <v>98</v>
      </c>
      <c r="HK109" s="25">
        <v>6</v>
      </c>
      <c r="HL109" s="25">
        <v>1</v>
      </c>
      <c r="HM109" s="25">
        <v>38</v>
      </c>
      <c r="HN109" s="25">
        <v>0</v>
      </c>
      <c r="HO109" s="25">
        <v>21</v>
      </c>
      <c r="HP109" s="25">
        <v>1</v>
      </c>
      <c r="HQ109" s="25">
        <v>26097</v>
      </c>
      <c r="HR109" s="25">
        <v>15</v>
      </c>
      <c r="HS109" s="25">
        <v>60967</v>
      </c>
      <c r="HT109" s="25">
        <v>9</v>
      </c>
      <c r="HU109" s="25">
        <v>10</v>
      </c>
      <c r="HV109" s="25">
        <v>0</v>
      </c>
      <c r="HW109" s="25">
        <v>3</v>
      </c>
      <c r="HX109" s="25">
        <v>4</v>
      </c>
      <c r="HY109" s="25">
        <v>1</v>
      </c>
      <c r="HZ109" s="25">
        <v>0</v>
      </c>
      <c r="IA109" s="25">
        <v>0</v>
      </c>
      <c r="IB109" s="25">
        <v>0</v>
      </c>
      <c r="IC109" s="25">
        <v>3</v>
      </c>
      <c r="ID109" s="25">
        <v>0</v>
      </c>
      <c r="IE109" s="25">
        <v>2</v>
      </c>
      <c r="IF109" s="25">
        <v>0</v>
      </c>
      <c r="IG109" s="25">
        <v>0</v>
      </c>
      <c r="IH109" s="25">
        <v>2</v>
      </c>
      <c r="II109" s="25">
        <v>2</v>
      </c>
      <c r="IJ109" s="25">
        <v>1</v>
      </c>
      <c r="IK109" s="25">
        <v>25</v>
      </c>
      <c r="IL109" s="25">
        <v>0</v>
      </c>
      <c r="IM109" s="25">
        <v>0</v>
      </c>
      <c r="IN109" s="25">
        <v>0</v>
      </c>
      <c r="IO109" s="25">
        <v>22</v>
      </c>
      <c r="IP109" s="25">
        <v>6</v>
      </c>
      <c r="IQ109" s="25">
        <v>0</v>
      </c>
      <c r="IR109" s="25">
        <v>1</v>
      </c>
      <c r="IS109" s="25">
        <v>1</v>
      </c>
      <c r="IT109" s="25">
        <v>2</v>
      </c>
      <c r="IU109" s="25">
        <v>1</v>
      </c>
      <c r="IV109" s="25">
        <v>1</v>
      </c>
      <c r="IW109" s="25">
        <v>4</v>
      </c>
      <c r="IX109" s="25">
        <v>0</v>
      </c>
      <c r="IY109" s="25">
        <v>3</v>
      </c>
      <c r="IZ109" s="25">
        <v>0</v>
      </c>
      <c r="JA109" s="25">
        <v>0</v>
      </c>
      <c r="JB109" s="25">
        <v>0</v>
      </c>
      <c r="JC109" s="25">
        <v>0</v>
      </c>
      <c r="JD109" s="25">
        <v>0</v>
      </c>
      <c r="JE109" s="25">
        <v>0</v>
      </c>
      <c r="JF109" s="25">
        <v>0</v>
      </c>
      <c r="JG109" s="25">
        <v>0</v>
      </c>
      <c r="JH109" s="25">
        <v>0</v>
      </c>
      <c r="JI109" s="25">
        <v>5</v>
      </c>
      <c r="JJ109" s="25">
        <v>2</v>
      </c>
      <c r="JK109" s="25">
        <v>86</v>
      </c>
      <c r="JL109" s="25">
        <v>4</v>
      </c>
      <c r="JM109" s="25">
        <v>256</v>
      </c>
      <c r="JN109" s="25">
        <v>9</v>
      </c>
      <c r="JO109" s="25">
        <v>308</v>
      </c>
      <c r="JP109" s="25">
        <v>57</v>
      </c>
      <c r="JQ109" s="25">
        <v>1946</v>
      </c>
      <c r="JR109" s="25">
        <v>766</v>
      </c>
      <c r="JS109" s="25">
        <v>2169</v>
      </c>
      <c r="JT109" s="25">
        <v>144</v>
      </c>
      <c r="JU109" s="25">
        <v>205</v>
      </c>
      <c r="JV109" s="25">
        <v>1218</v>
      </c>
      <c r="JW109" s="25">
        <v>1101</v>
      </c>
      <c r="JX109" s="25">
        <v>16</v>
      </c>
      <c r="JY109" s="25">
        <v>60</v>
      </c>
      <c r="JZ109" s="25">
        <v>2215</v>
      </c>
      <c r="KA109" s="25">
        <v>964</v>
      </c>
      <c r="KB109" s="25">
        <v>148</v>
      </c>
      <c r="KC109" s="25">
        <v>134</v>
      </c>
      <c r="KD109" s="25">
        <v>234</v>
      </c>
      <c r="KE109" s="25">
        <v>1845</v>
      </c>
      <c r="KF109" s="25">
        <v>52</v>
      </c>
      <c r="KG109" s="25">
        <v>1078</v>
      </c>
      <c r="KH109" s="25">
        <v>3405</v>
      </c>
      <c r="KI109" s="25">
        <v>3670</v>
      </c>
      <c r="KJ109" s="25">
        <v>319</v>
      </c>
      <c r="KK109" s="25">
        <v>250</v>
      </c>
      <c r="KL109" s="25">
        <v>338</v>
      </c>
      <c r="KM109" s="25">
        <v>16</v>
      </c>
      <c r="KN109" s="25">
        <v>56</v>
      </c>
      <c r="KO109" s="25">
        <v>230</v>
      </c>
      <c r="KP109" s="25">
        <v>60</v>
      </c>
      <c r="KQ109" s="25">
        <v>6771</v>
      </c>
      <c r="KR109" s="25">
        <v>112</v>
      </c>
      <c r="KS109" s="25">
        <v>23477</v>
      </c>
      <c r="KT109" s="25">
        <v>382</v>
      </c>
      <c r="KU109" s="25">
        <v>19</v>
      </c>
      <c r="KV109" s="25">
        <v>937</v>
      </c>
      <c r="KW109" s="25">
        <v>214</v>
      </c>
      <c r="KX109" s="25">
        <v>101</v>
      </c>
      <c r="KY109" s="25">
        <v>2373</v>
      </c>
      <c r="KZ109" s="25">
        <v>251</v>
      </c>
      <c r="LA109" s="25">
        <v>231</v>
      </c>
      <c r="LB109" s="25">
        <v>13</v>
      </c>
      <c r="LC109" s="25">
        <v>195</v>
      </c>
      <c r="LD109" s="25">
        <v>754</v>
      </c>
      <c r="LE109" s="25">
        <v>45</v>
      </c>
      <c r="LF109" s="25">
        <v>47</v>
      </c>
      <c r="LG109" s="25">
        <v>522</v>
      </c>
      <c r="LH109" s="25">
        <v>801</v>
      </c>
      <c r="LI109" s="25">
        <v>38</v>
      </c>
      <c r="LJ109" s="25">
        <v>308</v>
      </c>
      <c r="LK109" s="25">
        <v>7</v>
      </c>
      <c r="LL109" s="25">
        <v>0</v>
      </c>
      <c r="LM109" s="25">
        <v>3</v>
      </c>
    </row>
    <row r="110" spans="1:373" x14ac:dyDescent="0.25">
      <c r="A110" s="156">
        <v>43951</v>
      </c>
      <c r="B110" s="25">
        <v>64</v>
      </c>
      <c r="C110" s="25">
        <v>31</v>
      </c>
      <c r="D110" s="25">
        <v>450</v>
      </c>
      <c r="E110" s="25">
        <v>42</v>
      </c>
      <c r="F110" s="25">
        <v>2</v>
      </c>
      <c r="G110" s="25">
        <v>3</v>
      </c>
      <c r="H110" s="25">
        <v>218</v>
      </c>
      <c r="I110" s="25">
        <v>32</v>
      </c>
      <c r="J110" s="25">
        <v>3</v>
      </c>
      <c r="K110" s="25">
        <v>41</v>
      </c>
      <c r="L110" s="25">
        <v>0</v>
      </c>
      <c r="M110" s="25">
        <v>6</v>
      </c>
      <c r="N110" s="25">
        <v>4</v>
      </c>
      <c r="O110" s="25">
        <v>13</v>
      </c>
      <c r="P110" s="25">
        <v>18</v>
      </c>
      <c r="Q110" s="25">
        <v>8</v>
      </c>
      <c r="R110" s="25">
        <v>584</v>
      </c>
      <c r="S110" s="25">
        <v>24</v>
      </c>
      <c r="T110" s="25">
        <v>11</v>
      </c>
      <c r="U110" s="25">
        <v>8</v>
      </c>
      <c r="V110" s="25">
        <v>168</v>
      </c>
      <c r="W110" s="25">
        <v>7</v>
      </c>
      <c r="X110" s="25">
        <v>89</v>
      </c>
      <c r="Y110" s="25">
        <v>7594</v>
      </c>
      <c r="Z110" s="25">
        <v>1</v>
      </c>
      <c r="AA110" s="25">
        <v>0</v>
      </c>
      <c r="AB110" s="25">
        <v>59</v>
      </c>
      <c r="AC110" s="25">
        <v>69</v>
      </c>
      <c r="AD110" s="25">
        <v>6006</v>
      </c>
      <c r="AE110" s="25">
        <v>1</v>
      </c>
      <c r="AF110" s="25">
        <v>66</v>
      </c>
      <c r="AG110" s="25">
        <v>43</v>
      </c>
      <c r="AH110" s="25">
        <v>1</v>
      </c>
      <c r="AI110" s="25">
        <v>0</v>
      </c>
      <c r="AJ110" s="25">
        <v>61</v>
      </c>
      <c r="AK110" s="25">
        <v>90</v>
      </c>
      <c r="AL110" s="25">
        <v>111</v>
      </c>
      <c r="AM110" s="25">
        <v>0</v>
      </c>
      <c r="AN110" s="25">
        <v>6</v>
      </c>
      <c r="AO110" s="25">
        <v>0</v>
      </c>
      <c r="AP110" s="25">
        <v>3</v>
      </c>
      <c r="AQ110" s="25">
        <v>28</v>
      </c>
      <c r="AR110" s="25">
        <v>1205</v>
      </c>
      <c r="AS110" s="25">
        <v>0</v>
      </c>
      <c r="AT110" s="25">
        <v>1859</v>
      </c>
      <c r="AU110" s="25">
        <v>7</v>
      </c>
      <c r="AV110" s="25">
        <v>0</v>
      </c>
      <c r="AW110" s="25">
        <v>5</v>
      </c>
      <c r="AX110" s="25">
        <v>227</v>
      </c>
      <c r="AY110" s="25">
        <v>6</v>
      </c>
      <c r="AZ110" s="25">
        <v>9</v>
      </c>
      <c r="BA110" s="25">
        <v>6</v>
      </c>
      <c r="BB110" s="25">
        <v>1</v>
      </c>
      <c r="BC110" s="25">
        <v>2</v>
      </c>
      <c r="BD110" s="25">
        <v>8</v>
      </c>
      <c r="BE110" s="25">
        <v>2</v>
      </c>
      <c r="BF110" s="25">
        <v>2</v>
      </c>
      <c r="BG110" s="25">
        <v>6</v>
      </c>
      <c r="BH110" s="25">
        <v>6</v>
      </c>
      <c r="BI110" s="25">
        <v>13</v>
      </c>
      <c r="BJ110" s="25">
        <v>22</v>
      </c>
      <c r="BK110" s="25">
        <v>4</v>
      </c>
      <c r="BL110" s="25">
        <v>4512</v>
      </c>
      <c r="BM110" s="25">
        <v>4</v>
      </c>
      <c r="BN110" s="25">
        <v>1</v>
      </c>
      <c r="BO110" s="25">
        <v>0</v>
      </c>
      <c r="BP110" s="25">
        <v>1</v>
      </c>
      <c r="BQ110" s="25">
        <v>1</v>
      </c>
      <c r="BR110" s="25">
        <v>2</v>
      </c>
      <c r="BS110" s="25">
        <v>0</v>
      </c>
      <c r="BT110" s="25">
        <v>0</v>
      </c>
      <c r="BU110" s="25">
        <v>0</v>
      </c>
      <c r="BV110" s="25">
        <v>3</v>
      </c>
      <c r="BW110" s="25">
        <v>7</v>
      </c>
      <c r="BX110" s="25">
        <v>7</v>
      </c>
      <c r="BY110" s="25">
        <v>0</v>
      </c>
      <c r="BZ110" s="25">
        <v>3</v>
      </c>
      <c r="CA110" s="25">
        <v>3</v>
      </c>
      <c r="CB110" s="25">
        <v>0</v>
      </c>
      <c r="CC110" s="25">
        <v>3</v>
      </c>
      <c r="CD110" s="25">
        <v>2</v>
      </c>
      <c r="CE110" s="25">
        <v>1</v>
      </c>
      <c r="CF110" s="25">
        <v>293</v>
      </c>
      <c r="CG110" s="25">
        <v>9</v>
      </c>
      <c r="CH110" s="25">
        <v>31</v>
      </c>
      <c r="CI110" s="25">
        <v>6</v>
      </c>
      <c r="CJ110" s="25">
        <v>14</v>
      </c>
      <c r="CK110" s="25">
        <v>69</v>
      </c>
      <c r="CL110" s="25">
        <v>13</v>
      </c>
      <c r="CM110" s="25">
        <v>61</v>
      </c>
      <c r="CN110" s="25">
        <v>15</v>
      </c>
      <c r="CO110" s="25">
        <v>236</v>
      </c>
      <c r="CP110" s="25">
        <v>0</v>
      </c>
      <c r="CQ110" s="25">
        <v>0</v>
      </c>
      <c r="CR110" s="25">
        <v>452</v>
      </c>
      <c r="CS110" s="25">
        <v>2</v>
      </c>
      <c r="CT110" s="25">
        <v>301</v>
      </c>
      <c r="CU110" s="25">
        <v>900</v>
      </c>
      <c r="CV110" s="25">
        <v>392</v>
      </c>
      <c r="CW110" s="25">
        <v>10</v>
      </c>
      <c r="CX110" s="25">
        <v>1</v>
      </c>
      <c r="CY110" s="25">
        <v>0</v>
      </c>
      <c r="CZ110" s="25">
        <v>52</v>
      </c>
      <c r="DA110" s="25">
        <v>1</v>
      </c>
      <c r="DB110" s="25">
        <v>3</v>
      </c>
      <c r="DC110" s="25">
        <v>0</v>
      </c>
      <c r="DD110" s="25">
        <v>211</v>
      </c>
      <c r="DE110" s="25">
        <v>1</v>
      </c>
      <c r="DF110" s="25">
        <v>0</v>
      </c>
      <c r="DG110" s="25">
        <v>12</v>
      </c>
      <c r="DH110" s="25">
        <v>4</v>
      </c>
      <c r="DI110" s="25">
        <v>0</v>
      </c>
      <c r="DJ110" s="25">
        <v>0</v>
      </c>
      <c r="DK110" s="25">
        <v>0</v>
      </c>
      <c r="DL110" s="25">
        <v>3</v>
      </c>
      <c r="DM110" s="25">
        <v>14</v>
      </c>
      <c r="DN110" s="25">
        <v>24345</v>
      </c>
      <c r="DO110" s="25">
        <v>3</v>
      </c>
      <c r="DP110" s="25">
        <v>1</v>
      </c>
      <c r="DQ110" s="25">
        <v>6</v>
      </c>
      <c r="DR110" s="25">
        <v>6623</v>
      </c>
      <c r="DS110" s="25">
        <v>17</v>
      </c>
      <c r="DT110" s="25">
        <v>140</v>
      </c>
      <c r="DU110" s="25">
        <v>16</v>
      </c>
      <c r="DV110" s="25">
        <v>7</v>
      </c>
      <c r="DW110" s="25">
        <v>9</v>
      </c>
      <c r="DX110" s="25">
        <v>8</v>
      </c>
      <c r="DY110" s="25">
        <v>0</v>
      </c>
      <c r="DZ110" s="25">
        <v>71</v>
      </c>
      <c r="EA110" s="25">
        <v>312</v>
      </c>
      <c r="EB110" s="25">
        <v>10</v>
      </c>
      <c r="EC110" s="25">
        <v>1154</v>
      </c>
      <c r="ED110" s="25">
        <v>792</v>
      </c>
      <c r="EE110" s="25">
        <v>6028</v>
      </c>
      <c r="EF110" s="25">
        <v>93</v>
      </c>
      <c r="EG110" s="25">
        <v>1232</v>
      </c>
      <c r="EH110" s="25">
        <v>222</v>
      </c>
      <c r="EI110" s="25">
        <v>27967</v>
      </c>
      <c r="EJ110" s="25">
        <v>8</v>
      </c>
      <c r="EK110" s="25">
        <v>430</v>
      </c>
      <c r="EL110" s="25">
        <v>8</v>
      </c>
      <c r="EM110" s="25">
        <v>25</v>
      </c>
      <c r="EN110" s="25">
        <v>17</v>
      </c>
      <c r="EO110" s="25">
        <v>248</v>
      </c>
      <c r="EP110" s="25">
        <v>26</v>
      </c>
      <c r="EQ110" s="25">
        <v>8</v>
      </c>
      <c r="ER110" s="25">
        <v>15</v>
      </c>
      <c r="ES110" s="25">
        <v>24</v>
      </c>
      <c r="ET110" s="25">
        <v>16</v>
      </c>
      <c r="EU110" s="25">
        <v>1</v>
      </c>
      <c r="EV110" s="25">
        <v>45</v>
      </c>
      <c r="EW110" s="25">
        <v>90</v>
      </c>
      <c r="EX110" s="25">
        <v>0</v>
      </c>
      <c r="EY110" s="25">
        <v>102</v>
      </c>
      <c r="EZ110" s="25">
        <v>1</v>
      </c>
      <c r="FA110" s="25">
        <v>4</v>
      </c>
      <c r="FB110" s="25">
        <v>1</v>
      </c>
      <c r="FC110" s="25">
        <v>10</v>
      </c>
      <c r="FD110" s="25">
        <v>1859</v>
      </c>
      <c r="FE110" s="25">
        <v>116</v>
      </c>
      <c r="FF110" s="25">
        <v>4</v>
      </c>
      <c r="FG110" s="25">
        <v>0</v>
      </c>
      <c r="FH110" s="25">
        <v>7</v>
      </c>
      <c r="FI110" s="25">
        <v>170</v>
      </c>
      <c r="FJ110" s="25">
        <v>0</v>
      </c>
      <c r="FK110" s="25">
        <v>0</v>
      </c>
      <c r="FL110" s="25">
        <v>2</v>
      </c>
      <c r="FM110" s="25">
        <v>1</v>
      </c>
      <c r="FN110" s="25">
        <v>13</v>
      </c>
      <c r="FO110" s="25">
        <v>4795</v>
      </c>
      <c r="FP110" s="25">
        <v>19</v>
      </c>
      <c r="FQ110" s="25">
        <v>3</v>
      </c>
      <c r="FR110" s="25">
        <v>32</v>
      </c>
      <c r="FS110" s="25">
        <v>58</v>
      </c>
      <c r="FT110" s="25">
        <v>77</v>
      </c>
      <c r="FU110" s="25">
        <v>210</v>
      </c>
      <c r="FV110" s="25">
        <v>11</v>
      </c>
      <c r="FW110" s="25">
        <v>385</v>
      </c>
      <c r="FX110" s="25">
        <v>188</v>
      </c>
      <c r="FY110" s="25">
        <v>0</v>
      </c>
      <c r="FZ110" s="25">
        <v>10</v>
      </c>
      <c r="GA110" s="25">
        <v>1051</v>
      </c>
      <c r="GB110" s="25">
        <v>568</v>
      </c>
      <c r="GC110" s="25">
        <v>644</v>
      </c>
      <c r="GD110" s="25">
        <v>989</v>
      </c>
      <c r="GE110" s="25">
        <v>10</v>
      </c>
      <c r="GF110" s="25">
        <v>717</v>
      </c>
      <c r="GG110" s="25">
        <v>1073</v>
      </c>
      <c r="GH110" s="25">
        <v>0</v>
      </c>
      <c r="GI110" s="25">
        <v>0</v>
      </c>
      <c r="GJ110" s="25">
        <v>0</v>
      </c>
      <c r="GK110" s="25">
        <v>41</v>
      </c>
      <c r="GL110" s="25">
        <v>162</v>
      </c>
      <c r="GM110" s="25">
        <v>9</v>
      </c>
      <c r="GN110" s="25">
        <v>179</v>
      </c>
      <c r="GO110" s="25">
        <v>0</v>
      </c>
      <c r="GP110" s="25">
        <v>15</v>
      </c>
      <c r="GQ110" s="25">
        <v>23</v>
      </c>
      <c r="GR110" s="25">
        <v>91</v>
      </c>
      <c r="GS110" s="25">
        <v>28</v>
      </c>
      <c r="GT110" s="25">
        <v>103</v>
      </c>
      <c r="GU110" s="25">
        <v>24543</v>
      </c>
      <c r="GV110" s="25">
        <v>7</v>
      </c>
      <c r="GW110" s="25">
        <v>31</v>
      </c>
      <c r="GX110" s="25">
        <v>1</v>
      </c>
      <c r="GY110" s="46">
        <v>2586</v>
      </c>
      <c r="GZ110" s="25">
        <v>1737</v>
      </c>
      <c r="HA110" s="25">
        <v>6</v>
      </c>
      <c r="HB110" s="25">
        <v>16</v>
      </c>
      <c r="HC110" s="25">
        <v>54</v>
      </c>
      <c r="HD110" s="25">
        <v>9</v>
      </c>
      <c r="HE110" s="25">
        <v>8</v>
      </c>
      <c r="HF110" s="25">
        <v>41</v>
      </c>
      <c r="HG110" s="25">
        <v>3174</v>
      </c>
      <c r="HH110" s="25">
        <v>0</v>
      </c>
      <c r="HI110" s="25">
        <v>261</v>
      </c>
      <c r="HJ110" s="25">
        <v>105</v>
      </c>
      <c r="HK110" s="25">
        <v>6</v>
      </c>
      <c r="HL110" s="25">
        <v>1</v>
      </c>
      <c r="HM110" s="25">
        <v>40</v>
      </c>
      <c r="HN110" s="25">
        <v>0</v>
      </c>
      <c r="HO110" s="25">
        <v>21</v>
      </c>
      <c r="HP110" s="25">
        <v>1</v>
      </c>
      <c r="HQ110" s="25">
        <v>26771</v>
      </c>
      <c r="HR110" s="25">
        <v>17</v>
      </c>
      <c r="HS110" s="25">
        <v>62996</v>
      </c>
      <c r="HT110" s="25">
        <v>9</v>
      </c>
      <c r="HU110" s="25">
        <v>16</v>
      </c>
      <c r="HV110" s="25">
        <v>0</v>
      </c>
      <c r="HW110" s="25">
        <v>3</v>
      </c>
      <c r="HX110" s="25">
        <v>4</v>
      </c>
      <c r="HY110" s="25">
        <v>1</v>
      </c>
      <c r="HZ110" s="25">
        <v>0</v>
      </c>
      <c r="IA110" s="25">
        <v>0</v>
      </c>
      <c r="IB110" s="25">
        <v>0</v>
      </c>
      <c r="IC110" s="25">
        <v>3</v>
      </c>
      <c r="ID110" s="25">
        <v>0</v>
      </c>
      <c r="IE110" s="25">
        <v>2</v>
      </c>
      <c r="IF110" s="25">
        <v>0</v>
      </c>
      <c r="IG110" s="25">
        <v>0</v>
      </c>
      <c r="IH110" s="25">
        <v>3</v>
      </c>
      <c r="II110" s="25">
        <v>2</v>
      </c>
      <c r="IJ110" s="25">
        <v>1</v>
      </c>
      <c r="IK110" s="25">
        <v>26</v>
      </c>
      <c r="IL110" s="25">
        <v>0</v>
      </c>
      <c r="IM110" s="25">
        <v>0</v>
      </c>
      <c r="IN110" s="25">
        <v>0</v>
      </c>
      <c r="IO110" s="25">
        <v>22</v>
      </c>
      <c r="IP110" s="25">
        <v>6</v>
      </c>
      <c r="IQ110" s="25">
        <v>0</v>
      </c>
      <c r="IR110" s="25">
        <v>1</v>
      </c>
      <c r="IS110" s="25">
        <v>1</v>
      </c>
      <c r="IT110" s="25">
        <v>2</v>
      </c>
      <c r="IU110" s="25">
        <v>1</v>
      </c>
      <c r="IV110" s="25">
        <v>1</v>
      </c>
      <c r="IW110" s="25">
        <v>7</v>
      </c>
      <c r="IX110" s="25">
        <v>0</v>
      </c>
      <c r="IY110" s="25">
        <v>3</v>
      </c>
      <c r="IZ110" s="25">
        <v>0</v>
      </c>
      <c r="JA110" s="25">
        <v>0</v>
      </c>
      <c r="JB110" s="25">
        <v>0</v>
      </c>
      <c r="JC110" s="25">
        <v>0</v>
      </c>
      <c r="JD110" s="25">
        <v>0</v>
      </c>
      <c r="JE110" s="25">
        <v>2</v>
      </c>
      <c r="JF110" s="25">
        <v>0</v>
      </c>
      <c r="JG110" s="25">
        <v>0</v>
      </c>
      <c r="JH110" s="25">
        <v>0</v>
      </c>
      <c r="JI110" s="25">
        <v>5</v>
      </c>
      <c r="JJ110" s="25">
        <v>2</v>
      </c>
      <c r="JK110" s="25">
        <v>92</v>
      </c>
      <c r="JL110" s="25">
        <v>4</v>
      </c>
      <c r="JM110" s="25">
        <v>272</v>
      </c>
      <c r="JN110" s="25">
        <v>9</v>
      </c>
      <c r="JO110" s="25">
        <v>320</v>
      </c>
      <c r="JP110" s="25">
        <v>61</v>
      </c>
      <c r="JQ110" s="25">
        <v>2031</v>
      </c>
      <c r="JR110" s="25">
        <v>777</v>
      </c>
      <c r="JS110" s="25">
        <v>2257</v>
      </c>
      <c r="JT110" s="25">
        <v>152</v>
      </c>
      <c r="JU110" s="25">
        <v>224</v>
      </c>
      <c r="JV110" s="25">
        <v>1268</v>
      </c>
      <c r="JW110" s="25">
        <v>1132</v>
      </c>
      <c r="JX110" s="25">
        <v>16</v>
      </c>
      <c r="JY110" s="25">
        <v>60</v>
      </c>
      <c r="JZ110" s="25">
        <v>2355</v>
      </c>
      <c r="KA110" s="25">
        <v>1114</v>
      </c>
      <c r="KB110" s="25">
        <v>162</v>
      </c>
      <c r="KC110" s="25">
        <v>134</v>
      </c>
      <c r="KD110" s="25">
        <v>240</v>
      </c>
      <c r="KE110" s="25">
        <v>1905</v>
      </c>
      <c r="KF110" s="25">
        <v>53</v>
      </c>
      <c r="KG110" s="25">
        <v>1140</v>
      </c>
      <c r="KH110" s="25">
        <v>3562</v>
      </c>
      <c r="KI110" s="25">
        <v>3789</v>
      </c>
      <c r="KJ110" s="25">
        <v>343</v>
      </c>
      <c r="KK110" s="25">
        <v>261</v>
      </c>
      <c r="KL110" s="25">
        <v>350</v>
      </c>
      <c r="KM110" s="25">
        <v>16</v>
      </c>
      <c r="KN110" s="25">
        <v>70</v>
      </c>
      <c r="KO110" s="25">
        <v>243</v>
      </c>
      <c r="KP110" s="25">
        <v>72</v>
      </c>
      <c r="KQ110" s="25">
        <v>7228</v>
      </c>
      <c r="KR110" s="25">
        <v>123</v>
      </c>
      <c r="KS110" s="25">
        <v>23587</v>
      </c>
      <c r="KT110" s="25">
        <v>406</v>
      </c>
      <c r="KU110" s="25">
        <v>19</v>
      </c>
      <c r="KV110" s="25">
        <v>976</v>
      </c>
      <c r="KW110" s="25">
        <v>222</v>
      </c>
      <c r="KX110" s="25">
        <v>103</v>
      </c>
      <c r="KY110" s="25">
        <v>2475</v>
      </c>
      <c r="KZ110" s="25">
        <v>266</v>
      </c>
      <c r="LA110" s="25">
        <v>244</v>
      </c>
      <c r="LB110" s="25">
        <v>17</v>
      </c>
      <c r="LC110" s="25">
        <v>199</v>
      </c>
      <c r="LD110" s="25">
        <v>812</v>
      </c>
      <c r="LE110" s="25">
        <v>46</v>
      </c>
      <c r="LF110" s="25">
        <v>49</v>
      </c>
      <c r="LG110" s="25">
        <v>552</v>
      </c>
      <c r="LH110" s="25">
        <v>814</v>
      </c>
      <c r="LI110" s="25">
        <v>41</v>
      </c>
      <c r="LJ110" s="25">
        <v>316</v>
      </c>
      <c r="LK110" s="25">
        <v>7</v>
      </c>
      <c r="LL110" s="25">
        <v>0</v>
      </c>
      <c r="LM110" s="25">
        <v>3</v>
      </c>
    </row>
    <row r="111" spans="1:373" x14ac:dyDescent="0.25">
      <c r="A111" s="156">
        <v>43952</v>
      </c>
      <c r="B111" s="25">
        <v>68</v>
      </c>
      <c r="C111" s="25">
        <v>31</v>
      </c>
      <c r="D111" s="25">
        <v>453</v>
      </c>
      <c r="E111" s="25">
        <v>43</v>
      </c>
      <c r="F111" s="25">
        <v>2</v>
      </c>
      <c r="G111" s="25">
        <v>3</v>
      </c>
      <c r="H111" s="25">
        <v>225</v>
      </c>
      <c r="I111" s="25">
        <v>33</v>
      </c>
      <c r="J111" s="25">
        <v>3</v>
      </c>
      <c r="K111" s="25">
        <v>41</v>
      </c>
      <c r="L111" s="25">
        <v>0</v>
      </c>
      <c r="M111" s="25">
        <v>6</v>
      </c>
      <c r="N111" s="25">
        <v>4</v>
      </c>
      <c r="O111" s="25">
        <v>13</v>
      </c>
      <c r="P111" s="25">
        <v>18</v>
      </c>
      <c r="Q111" s="25">
        <v>8</v>
      </c>
      <c r="R111" s="25">
        <v>589</v>
      </c>
      <c r="S111" s="25">
        <v>25</v>
      </c>
      <c r="T111" s="25">
        <v>11</v>
      </c>
      <c r="U111" s="25">
        <v>8</v>
      </c>
      <c r="V111" s="25">
        <v>170</v>
      </c>
      <c r="W111" s="25">
        <v>7</v>
      </c>
      <c r="X111" s="25">
        <v>93</v>
      </c>
      <c r="Y111" s="25">
        <v>7703</v>
      </c>
      <c r="Z111" s="25">
        <v>2</v>
      </c>
      <c r="AA111" s="25">
        <v>0</v>
      </c>
      <c r="AB111" s="25">
        <v>66</v>
      </c>
      <c r="AC111" s="25">
        <v>70</v>
      </c>
      <c r="AD111" s="25">
        <v>6412</v>
      </c>
      <c r="AE111" s="25">
        <v>1</v>
      </c>
      <c r="AF111" s="25">
        <v>68</v>
      </c>
      <c r="AG111" s="25">
        <v>44</v>
      </c>
      <c r="AH111" s="25">
        <v>1</v>
      </c>
      <c r="AI111" s="25">
        <v>0</v>
      </c>
      <c r="AJ111" s="25">
        <v>61</v>
      </c>
      <c r="AK111" s="25">
        <v>92</v>
      </c>
      <c r="AL111" s="25">
        <v>112</v>
      </c>
      <c r="AM111" s="25">
        <v>0</v>
      </c>
      <c r="AN111" s="25">
        <v>6</v>
      </c>
      <c r="AO111" s="25">
        <v>0</v>
      </c>
      <c r="AP111" s="25">
        <v>3</v>
      </c>
      <c r="AQ111" s="25">
        <v>29</v>
      </c>
      <c r="AR111" s="25">
        <v>1265</v>
      </c>
      <c r="AS111" s="25">
        <v>0</v>
      </c>
      <c r="AT111" s="25">
        <v>2022</v>
      </c>
      <c r="AU111" s="25">
        <v>7</v>
      </c>
      <c r="AV111" s="25">
        <v>0</v>
      </c>
      <c r="AW111" s="25">
        <v>5</v>
      </c>
      <c r="AX111" s="25">
        <v>234</v>
      </c>
      <c r="AY111" s="25">
        <v>6</v>
      </c>
      <c r="AZ111" s="25">
        <v>9</v>
      </c>
      <c r="BA111" s="25">
        <v>6</v>
      </c>
      <c r="BB111" s="25">
        <v>1</v>
      </c>
      <c r="BC111" s="25">
        <v>2</v>
      </c>
      <c r="BD111" s="25">
        <v>8</v>
      </c>
      <c r="BE111" s="25">
        <v>2</v>
      </c>
      <c r="BF111" s="25">
        <v>2</v>
      </c>
      <c r="BG111" s="25">
        <v>6</v>
      </c>
      <c r="BH111" s="25">
        <v>6</v>
      </c>
      <c r="BI111" s="25">
        <v>13</v>
      </c>
      <c r="BJ111" s="25">
        <v>22</v>
      </c>
      <c r="BK111" s="25">
        <v>4</v>
      </c>
      <c r="BL111" s="25">
        <v>4512</v>
      </c>
      <c r="BM111" s="25">
        <v>4</v>
      </c>
      <c r="BN111" s="25">
        <v>1</v>
      </c>
      <c r="BO111" s="25">
        <v>0</v>
      </c>
      <c r="BP111" s="25">
        <v>1</v>
      </c>
      <c r="BQ111" s="25">
        <v>1</v>
      </c>
      <c r="BR111" s="25">
        <v>2</v>
      </c>
      <c r="BS111" s="25">
        <v>0</v>
      </c>
      <c r="BT111" s="25">
        <v>0</v>
      </c>
      <c r="BU111" s="25">
        <v>0</v>
      </c>
      <c r="BV111" s="25">
        <v>3</v>
      </c>
      <c r="BW111" s="25">
        <v>7</v>
      </c>
      <c r="BX111" s="25">
        <v>7</v>
      </c>
      <c r="BY111" s="25">
        <v>0</v>
      </c>
      <c r="BZ111" s="25">
        <v>3</v>
      </c>
      <c r="CA111" s="25">
        <v>3</v>
      </c>
      <c r="CB111" s="25">
        <v>0</v>
      </c>
      <c r="CC111" s="25">
        <v>3</v>
      </c>
      <c r="CD111" s="25">
        <v>2</v>
      </c>
      <c r="CE111" s="25">
        <v>1</v>
      </c>
      <c r="CF111" s="25">
        <v>314</v>
      </c>
      <c r="CG111" s="25">
        <v>9</v>
      </c>
      <c r="CH111" s="25">
        <v>32</v>
      </c>
      <c r="CI111" s="25">
        <v>6</v>
      </c>
      <c r="CJ111" s="25">
        <v>15</v>
      </c>
      <c r="CK111" s="25">
        <v>75</v>
      </c>
      <c r="CL111" s="25">
        <v>13</v>
      </c>
      <c r="CM111" s="25">
        <v>64</v>
      </c>
      <c r="CN111" s="25">
        <v>15</v>
      </c>
      <c r="CO111" s="25">
        <v>240</v>
      </c>
      <c r="CP111" s="25">
        <v>0</v>
      </c>
      <c r="CQ111" s="25">
        <v>0</v>
      </c>
      <c r="CR111" s="25">
        <v>460</v>
      </c>
      <c r="CS111" s="25">
        <v>2</v>
      </c>
      <c r="CT111" s="25">
        <v>313</v>
      </c>
      <c r="CU111" s="25">
        <v>1063</v>
      </c>
      <c r="CV111" s="25">
        <v>406</v>
      </c>
      <c r="CW111" s="25">
        <v>10</v>
      </c>
      <c r="CX111" s="25">
        <v>1</v>
      </c>
      <c r="CY111" s="25">
        <v>0</v>
      </c>
      <c r="CZ111" s="25">
        <v>52</v>
      </c>
      <c r="DA111" s="25">
        <v>1</v>
      </c>
      <c r="DB111" s="25">
        <v>3</v>
      </c>
      <c r="DC111" s="25">
        <v>0</v>
      </c>
      <c r="DD111" s="25">
        <v>218</v>
      </c>
      <c r="DE111" s="25">
        <v>1</v>
      </c>
      <c r="DF111" s="25">
        <v>0</v>
      </c>
      <c r="DG111" s="25">
        <v>12</v>
      </c>
      <c r="DH111" s="25">
        <v>4</v>
      </c>
      <c r="DI111" s="25">
        <v>0</v>
      </c>
      <c r="DJ111" s="25">
        <v>0</v>
      </c>
      <c r="DK111" s="25">
        <v>0</v>
      </c>
      <c r="DL111" s="25">
        <v>3</v>
      </c>
      <c r="DM111" s="25">
        <v>14</v>
      </c>
      <c r="DN111" s="25">
        <v>24563</v>
      </c>
      <c r="DO111" s="25">
        <v>3</v>
      </c>
      <c r="DP111" s="25">
        <v>1</v>
      </c>
      <c r="DQ111" s="25">
        <v>7</v>
      </c>
      <c r="DR111" s="25">
        <v>6736</v>
      </c>
      <c r="DS111" s="25">
        <v>17</v>
      </c>
      <c r="DT111" s="25">
        <v>140</v>
      </c>
      <c r="DU111" s="25">
        <v>16</v>
      </c>
      <c r="DV111" s="25">
        <v>7</v>
      </c>
      <c r="DW111" s="25">
        <v>9</v>
      </c>
      <c r="DX111" s="25">
        <v>8</v>
      </c>
      <c r="DY111" s="25">
        <v>0</v>
      </c>
      <c r="DZ111" s="25">
        <v>75</v>
      </c>
      <c r="EA111" s="25">
        <v>323</v>
      </c>
      <c r="EB111" s="25">
        <v>10</v>
      </c>
      <c r="EC111" s="25">
        <v>1223</v>
      </c>
      <c r="ED111" s="25">
        <v>800</v>
      </c>
      <c r="EE111" s="25">
        <v>6091</v>
      </c>
      <c r="EF111" s="25">
        <v>94</v>
      </c>
      <c r="EG111" s="25">
        <v>1265</v>
      </c>
      <c r="EH111" s="25">
        <v>225</v>
      </c>
      <c r="EI111" s="25">
        <v>28236</v>
      </c>
      <c r="EJ111" s="25">
        <v>8</v>
      </c>
      <c r="EK111" s="25">
        <v>455</v>
      </c>
      <c r="EL111" s="25">
        <v>8</v>
      </c>
      <c r="EM111" s="25">
        <v>25</v>
      </c>
      <c r="EN111" s="25">
        <v>21</v>
      </c>
      <c r="EO111" s="25">
        <v>250</v>
      </c>
      <c r="EP111" s="25">
        <v>30</v>
      </c>
      <c r="EQ111" s="25">
        <v>8</v>
      </c>
      <c r="ER111" s="25">
        <v>16</v>
      </c>
      <c r="ES111" s="25">
        <v>24</v>
      </c>
      <c r="ET111" s="25">
        <v>18</v>
      </c>
      <c r="EU111" s="25">
        <v>1</v>
      </c>
      <c r="EV111" s="25">
        <v>45</v>
      </c>
      <c r="EW111" s="25">
        <v>92</v>
      </c>
      <c r="EX111" s="25">
        <v>0</v>
      </c>
      <c r="EY111" s="25">
        <v>103</v>
      </c>
      <c r="EZ111" s="25">
        <v>1</v>
      </c>
      <c r="FA111" s="25">
        <v>4</v>
      </c>
      <c r="FB111" s="25">
        <v>1</v>
      </c>
      <c r="FC111" s="25">
        <v>10</v>
      </c>
      <c r="FD111" s="25">
        <v>1972</v>
      </c>
      <c r="FE111" s="25">
        <v>122</v>
      </c>
      <c r="FF111" s="25">
        <v>4</v>
      </c>
      <c r="FG111" s="25">
        <v>0</v>
      </c>
      <c r="FH111" s="25">
        <v>7</v>
      </c>
      <c r="FI111" s="25">
        <v>171</v>
      </c>
      <c r="FJ111" s="25">
        <v>0</v>
      </c>
      <c r="FK111" s="25">
        <v>0</v>
      </c>
      <c r="FL111" s="25">
        <v>2</v>
      </c>
      <c r="FM111" s="25">
        <v>1</v>
      </c>
      <c r="FN111" s="25">
        <v>13</v>
      </c>
      <c r="FO111" s="25">
        <v>4893</v>
      </c>
      <c r="FP111" s="25">
        <v>20</v>
      </c>
      <c r="FQ111" s="25">
        <v>3</v>
      </c>
      <c r="FR111" s="25">
        <v>33</v>
      </c>
      <c r="FS111" s="25">
        <v>68</v>
      </c>
      <c r="FT111" s="25">
        <v>81</v>
      </c>
      <c r="FU111" s="25">
        <v>210</v>
      </c>
      <c r="FV111" s="25">
        <v>11</v>
      </c>
      <c r="FW111" s="25">
        <v>417</v>
      </c>
      <c r="FX111" s="25">
        <v>192</v>
      </c>
      <c r="FY111" s="25">
        <v>0</v>
      </c>
      <c r="FZ111" s="25">
        <v>10</v>
      </c>
      <c r="GA111" s="25">
        <v>1124</v>
      </c>
      <c r="GB111" s="25">
        <v>579</v>
      </c>
      <c r="GC111" s="25">
        <v>651</v>
      </c>
      <c r="GD111" s="25">
        <v>1007</v>
      </c>
      <c r="GE111" s="25">
        <v>12</v>
      </c>
      <c r="GF111" s="25">
        <v>744</v>
      </c>
      <c r="GG111" s="25">
        <v>1169</v>
      </c>
      <c r="GH111" s="25">
        <v>0</v>
      </c>
      <c r="GI111" s="25">
        <v>0</v>
      </c>
      <c r="GJ111" s="25">
        <v>0</v>
      </c>
      <c r="GK111" s="25">
        <v>41</v>
      </c>
      <c r="GL111" s="25">
        <v>169</v>
      </c>
      <c r="GM111" s="25">
        <v>9</v>
      </c>
      <c r="GN111" s="25">
        <v>179</v>
      </c>
      <c r="GO111" s="25">
        <v>0</v>
      </c>
      <c r="GP111" s="25">
        <v>16</v>
      </c>
      <c r="GQ111" s="25">
        <v>23</v>
      </c>
      <c r="GR111" s="25">
        <v>92</v>
      </c>
      <c r="GS111" s="25">
        <v>28</v>
      </c>
      <c r="GT111" s="25">
        <v>116</v>
      </c>
      <c r="GU111" s="25">
        <v>24543</v>
      </c>
      <c r="GV111" s="25">
        <v>7</v>
      </c>
      <c r="GW111" s="25">
        <v>36</v>
      </c>
      <c r="GX111" s="25">
        <v>1</v>
      </c>
      <c r="GY111" s="46">
        <v>2653</v>
      </c>
      <c r="GZ111" s="25">
        <v>1754</v>
      </c>
      <c r="HA111" s="25">
        <v>6</v>
      </c>
      <c r="HB111" s="25">
        <v>16</v>
      </c>
      <c r="HC111" s="25">
        <v>54</v>
      </c>
      <c r="HD111" s="25">
        <v>9</v>
      </c>
      <c r="HE111" s="25">
        <v>8</v>
      </c>
      <c r="HF111" s="25">
        <v>41</v>
      </c>
      <c r="HG111" s="25">
        <v>3258</v>
      </c>
      <c r="HH111" s="25">
        <v>0</v>
      </c>
      <c r="HI111" s="25">
        <v>272</v>
      </c>
      <c r="HJ111" s="25">
        <v>111</v>
      </c>
      <c r="HK111" s="25">
        <v>6</v>
      </c>
      <c r="HL111" s="25">
        <v>1</v>
      </c>
      <c r="HM111" s="25">
        <v>41</v>
      </c>
      <c r="HN111" s="25">
        <v>0</v>
      </c>
      <c r="HO111" s="25">
        <v>22</v>
      </c>
      <c r="HP111" s="25">
        <v>1</v>
      </c>
      <c r="HQ111" s="25">
        <v>27510</v>
      </c>
      <c r="HR111" s="25">
        <v>17</v>
      </c>
      <c r="HS111" s="25">
        <v>64943</v>
      </c>
      <c r="HT111" s="25">
        <v>9</v>
      </c>
      <c r="HU111" s="25">
        <v>10</v>
      </c>
      <c r="HV111" s="25">
        <v>0</v>
      </c>
      <c r="HW111" s="25">
        <v>3</v>
      </c>
      <c r="HX111" s="25">
        <v>4</v>
      </c>
      <c r="HY111" s="25">
        <v>1</v>
      </c>
      <c r="HZ111" s="25">
        <v>0</v>
      </c>
      <c r="IA111" s="25">
        <v>0</v>
      </c>
      <c r="IB111" s="25">
        <v>0</v>
      </c>
      <c r="IC111" s="25">
        <v>3</v>
      </c>
      <c r="ID111" s="25">
        <v>0</v>
      </c>
      <c r="IE111" s="25">
        <v>2</v>
      </c>
      <c r="IF111" s="25">
        <v>0</v>
      </c>
      <c r="IG111" s="25">
        <v>0</v>
      </c>
      <c r="IH111" s="25">
        <v>3</v>
      </c>
      <c r="II111" s="25">
        <v>2</v>
      </c>
      <c r="IJ111" s="25">
        <v>1</v>
      </c>
      <c r="IK111" s="25">
        <v>26</v>
      </c>
      <c r="IL111" s="25">
        <v>0</v>
      </c>
      <c r="IM111" s="25">
        <v>0</v>
      </c>
      <c r="IN111" s="25">
        <v>0</v>
      </c>
      <c r="IO111" s="25">
        <v>22</v>
      </c>
      <c r="IP111" s="25">
        <v>6</v>
      </c>
      <c r="IQ111" s="25">
        <v>0</v>
      </c>
      <c r="IR111" s="25">
        <v>1</v>
      </c>
      <c r="IS111" s="25">
        <v>1</v>
      </c>
      <c r="IT111" s="25">
        <v>2</v>
      </c>
      <c r="IU111" s="25">
        <v>1</v>
      </c>
      <c r="IV111" s="25">
        <v>1</v>
      </c>
      <c r="IW111" s="25">
        <v>7</v>
      </c>
      <c r="IX111" s="25">
        <v>0</v>
      </c>
      <c r="IY111" s="25">
        <v>3</v>
      </c>
      <c r="IZ111" s="25">
        <v>0</v>
      </c>
      <c r="JA111" s="25">
        <v>0</v>
      </c>
      <c r="JB111" s="25">
        <v>0</v>
      </c>
      <c r="JC111" s="25">
        <v>0</v>
      </c>
      <c r="JD111" s="25">
        <v>1</v>
      </c>
      <c r="JE111" s="25">
        <v>2</v>
      </c>
      <c r="JF111" s="25">
        <v>0</v>
      </c>
      <c r="JG111" s="25">
        <v>0</v>
      </c>
      <c r="JH111" s="25">
        <v>0</v>
      </c>
      <c r="JI111" s="25">
        <v>5</v>
      </c>
      <c r="JJ111" s="25">
        <v>2</v>
      </c>
      <c r="JK111" s="25">
        <v>94</v>
      </c>
      <c r="JL111" s="25">
        <v>4</v>
      </c>
      <c r="JM111" s="25">
        <v>289</v>
      </c>
      <c r="JN111" s="25">
        <v>9</v>
      </c>
      <c r="JO111" s="25">
        <v>330</v>
      </c>
      <c r="JP111" s="25">
        <v>64</v>
      </c>
      <c r="JQ111" s="25">
        <v>2126</v>
      </c>
      <c r="JR111" s="25">
        <v>821</v>
      </c>
      <c r="JS111" s="25">
        <v>2339</v>
      </c>
      <c r="JT111" s="25">
        <v>159</v>
      </c>
      <c r="JU111" s="25">
        <v>231</v>
      </c>
      <c r="JV111" s="25">
        <v>1314</v>
      </c>
      <c r="JW111" s="25">
        <v>1169</v>
      </c>
      <c r="JX111" s="25">
        <v>16</v>
      </c>
      <c r="JY111" s="25">
        <v>63</v>
      </c>
      <c r="JZ111" s="25">
        <v>2457</v>
      </c>
      <c r="KA111" s="25">
        <v>1175</v>
      </c>
      <c r="KB111" s="25">
        <v>170</v>
      </c>
      <c r="KC111" s="25">
        <v>140</v>
      </c>
      <c r="KD111" s="25">
        <v>246</v>
      </c>
      <c r="KE111" s="25">
        <v>1970</v>
      </c>
      <c r="KF111" s="25">
        <v>55</v>
      </c>
      <c r="KG111" s="25">
        <v>1080</v>
      </c>
      <c r="KH111" s="25">
        <v>3716</v>
      </c>
      <c r="KI111" s="25">
        <v>3866</v>
      </c>
      <c r="KJ111" s="25">
        <v>370</v>
      </c>
      <c r="KK111" s="25">
        <v>281</v>
      </c>
      <c r="KL111" s="25">
        <v>360</v>
      </c>
      <c r="KM111" s="25">
        <v>16</v>
      </c>
      <c r="KN111" s="25">
        <v>73</v>
      </c>
      <c r="KO111" s="25">
        <v>246</v>
      </c>
      <c r="KP111" s="25">
        <v>81</v>
      </c>
      <c r="KQ111" s="25">
        <v>7538</v>
      </c>
      <c r="KR111" s="25">
        <v>131</v>
      </c>
      <c r="KS111" s="25">
        <v>24039</v>
      </c>
      <c r="KT111" s="25">
        <v>419</v>
      </c>
      <c r="KU111" s="25">
        <v>23</v>
      </c>
      <c r="KV111" s="25">
        <v>1003</v>
      </c>
      <c r="KW111" s="25">
        <v>230</v>
      </c>
      <c r="KX111" s="25">
        <v>104</v>
      </c>
      <c r="KY111" s="25">
        <v>2635</v>
      </c>
      <c r="KZ111" s="25">
        <v>279</v>
      </c>
      <c r="LA111" s="25">
        <v>256</v>
      </c>
      <c r="LB111" s="25">
        <v>21</v>
      </c>
      <c r="LC111" s="25">
        <v>204</v>
      </c>
      <c r="LD111" s="25">
        <v>840</v>
      </c>
      <c r="LE111" s="25">
        <v>46</v>
      </c>
      <c r="LF111" s="25">
        <v>50</v>
      </c>
      <c r="LG111" s="25">
        <v>581</v>
      </c>
      <c r="LH111" s="25">
        <v>824</v>
      </c>
      <c r="LI111" s="25">
        <v>46</v>
      </c>
      <c r="LJ111" s="25">
        <v>327</v>
      </c>
      <c r="LK111" s="25">
        <v>7</v>
      </c>
      <c r="LL111" s="25">
        <v>0</v>
      </c>
      <c r="LM111" s="25">
        <v>3</v>
      </c>
    </row>
    <row r="112" spans="1:373" x14ac:dyDescent="0.25">
      <c r="A112" s="156">
        <v>43953</v>
      </c>
      <c r="B112" s="25">
        <v>72</v>
      </c>
      <c r="C112" s="25">
        <v>31</v>
      </c>
      <c r="D112" s="25">
        <v>459</v>
      </c>
      <c r="E112" s="25">
        <v>44</v>
      </c>
      <c r="F112" s="25">
        <v>2</v>
      </c>
      <c r="G112" s="25">
        <v>3</v>
      </c>
      <c r="H112" s="25">
        <v>237</v>
      </c>
      <c r="I112" s="25">
        <v>33</v>
      </c>
      <c r="J112" s="25">
        <v>3</v>
      </c>
      <c r="K112" s="25">
        <v>42</v>
      </c>
      <c r="L112" s="25">
        <v>0</v>
      </c>
      <c r="M112" s="25">
        <v>6</v>
      </c>
      <c r="N112" s="25">
        <v>4</v>
      </c>
      <c r="O112" s="25">
        <v>13</v>
      </c>
      <c r="P112" s="25">
        <v>18</v>
      </c>
      <c r="Q112" s="25">
        <v>8</v>
      </c>
      <c r="R112" s="25">
        <v>596</v>
      </c>
      <c r="S112" s="25">
        <v>25</v>
      </c>
      <c r="T112" s="25">
        <v>11</v>
      </c>
      <c r="U112" s="25">
        <v>8</v>
      </c>
      <c r="V112" s="25">
        <v>175</v>
      </c>
      <c r="W112" s="25">
        <v>7</v>
      </c>
      <c r="X112" s="25">
        <v>97</v>
      </c>
      <c r="Y112" s="25">
        <v>7765</v>
      </c>
      <c r="Z112" s="25">
        <v>2</v>
      </c>
      <c r="AA112" s="25">
        <v>0</v>
      </c>
      <c r="AB112" s="25">
        <v>66</v>
      </c>
      <c r="AC112" s="25">
        <v>72</v>
      </c>
      <c r="AD112" s="25">
        <v>6761</v>
      </c>
      <c r="AE112" s="25">
        <v>1</v>
      </c>
      <c r="AF112" s="25">
        <v>72</v>
      </c>
      <c r="AG112" s="25">
        <v>44</v>
      </c>
      <c r="AH112" s="25">
        <v>2</v>
      </c>
      <c r="AI112" s="25">
        <v>0</v>
      </c>
      <c r="AJ112" s="25">
        <v>64</v>
      </c>
      <c r="AK112" s="25">
        <v>94</v>
      </c>
      <c r="AL112" s="25">
        <v>114</v>
      </c>
      <c r="AM112" s="25">
        <v>0</v>
      </c>
      <c r="AN112" s="25">
        <v>6</v>
      </c>
      <c r="AO112" s="25">
        <v>0</v>
      </c>
      <c r="AP112" s="25">
        <v>3</v>
      </c>
      <c r="AQ112" s="25">
        <v>31</v>
      </c>
      <c r="AR112" s="25">
        <v>1292</v>
      </c>
      <c r="AS112" s="25">
        <v>0</v>
      </c>
      <c r="AT112" s="25">
        <v>2136</v>
      </c>
      <c r="AU112" s="25">
        <v>7</v>
      </c>
      <c r="AV112" s="25">
        <v>0</v>
      </c>
      <c r="AW112" s="25">
        <v>10</v>
      </c>
      <c r="AX112" s="25">
        <v>247</v>
      </c>
      <c r="AY112" s="25">
        <v>6</v>
      </c>
      <c r="AZ112" s="25">
        <v>9</v>
      </c>
      <c r="BA112" s="25">
        <v>6</v>
      </c>
      <c r="BB112" s="25">
        <v>1</v>
      </c>
      <c r="BC112" s="25">
        <v>2</v>
      </c>
      <c r="BD112" s="25">
        <v>8</v>
      </c>
      <c r="BE112" s="25">
        <v>2</v>
      </c>
      <c r="BF112" s="25">
        <v>2</v>
      </c>
      <c r="BG112" s="25">
        <v>6</v>
      </c>
      <c r="BH112" s="25">
        <v>6</v>
      </c>
      <c r="BI112" s="25">
        <v>13</v>
      </c>
      <c r="BJ112" s="25">
        <v>22</v>
      </c>
      <c r="BK112" s="25">
        <v>4</v>
      </c>
      <c r="BL112" s="25">
        <v>4512</v>
      </c>
      <c r="BM112" s="25">
        <v>4</v>
      </c>
      <c r="BN112" s="25">
        <v>1</v>
      </c>
      <c r="BO112" s="25">
        <v>0</v>
      </c>
      <c r="BP112" s="25">
        <v>1</v>
      </c>
      <c r="BQ112" s="25">
        <v>1</v>
      </c>
      <c r="BR112" s="25">
        <v>2</v>
      </c>
      <c r="BS112" s="25">
        <v>0</v>
      </c>
      <c r="BT112" s="25">
        <v>0</v>
      </c>
      <c r="BU112" s="25">
        <v>0</v>
      </c>
      <c r="BV112" s="25">
        <v>3</v>
      </c>
      <c r="BW112" s="25">
        <v>7</v>
      </c>
      <c r="BX112" s="25">
        <v>7</v>
      </c>
      <c r="BY112" s="25">
        <v>0</v>
      </c>
      <c r="BZ112" s="25">
        <v>3</v>
      </c>
      <c r="CA112" s="25">
        <v>3</v>
      </c>
      <c r="CB112" s="25">
        <v>0</v>
      </c>
      <c r="CC112" s="25">
        <v>3</v>
      </c>
      <c r="CD112" s="25">
        <v>2</v>
      </c>
      <c r="CE112" s="25">
        <v>1</v>
      </c>
      <c r="CF112" s="25">
        <v>324</v>
      </c>
      <c r="CG112" s="25">
        <v>9</v>
      </c>
      <c r="CH112" s="25">
        <v>33</v>
      </c>
      <c r="CI112" s="25">
        <v>6</v>
      </c>
      <c r="CJ112" s="25">
        <v>15</v>
      </c>
      <c r="CK112" s="25">
        <v>77</v>
      </c>
      <c r="CL112" s="25">
        <v>13</v>
      </c>
      <c r="CM112" s="25">
        <v>66</v>
      </c>
      <c r="CN112" s="25">
        <v>15</v>
      </c>
      <c r="CO112" s="25">
        <v>245</v>
      </c>
      <c r="CP112" s="25">
        <v>0</v>
      </c>
      <c r="CQ112" s="25">
        <v>0</v>
      </c>
      <c r="CR112" s="25">
        <v>475</v>
      </c>
      <c r="CS112" s="25">
        <v>2</v>
      </c>
      <c r="CT112" s="25">
        <v>326</v>
      </c>
      <c r="CU112" s="25">
        <v>1371</v>
      </c>
      <c r="CV112" s="25">
        <v>415</v>
      </c>
      <c r="CW112" s="25">
        <v>11</v>
      </c>
      <c r="CX112" s="25">
        <v>1</v>
      </c>
      <c r="CY112" s="25">
        <v>0</v>
      </c>
      <c r="CZ112" s="25">
        <v>53</v>
      </c>
      <c r="DA112" s="25">
        <v>1</v>
      </c>
      <c r="DB112" s="25">
        <v>3</v>
      </c>
      <c r="DC112" s="25">
        <v>0</v>
      </c>
      <c r="DD112" s="25">
        <v>220</v>
      </c>
      <c r="DE112" s="25">
        <v>1</v>
      </c>
      <c r="DF112" s="25">
        <v>0</v>
      </c>
      <c r="DG112" s="25">
        <v>12</v>
      </c>
      <c r="DH112" s="25">
        <v>4</v>
      </c>
      <c r="DI112" s="25">
        <v>0</v>
      </c>
      <c r="DJ112" s="25">
        <v>0</v>
      </c>
      <c r="DK112" s="25">
        <v>0</v>
      </c>
      <c r="DL112" s="25">
        <v>3</v>
      </c>
      <c r="DM112" s="25">
        <v>14</v>
      </c>
      <c r="DN112" s="25">
        <v>24729</v>
      </c>
      <c r="DO112" s="25">
        <v>5</v>
      </c>
      <c r="DP112" s="25">
        <v>1</v>
      </c>
      <c r="DQ112" s="25">
        <v>8</v>
      </c>
      <c r="DR112" s="25">
        <v>6812</v>
      </c>
      <c r="DS112" s="25">
        <v>18</v>
      </c>
      <c r="DT112" s="25">
        <v>143</v>
      </c>
      <c r="DU112" s="25">
        <v>17</v>
      </c>
      <c r="DV112" s="25">
        <v>7</v>
      </c>
      <c r="DW112" s="25">
        <v>9</v>
      </c>
      <c r="DX112" s="25">
        <v>8</v>
      </c>
      <c r="DY112" s="25">
        <v>0</v>
      </c>
      <c r="DZ112" s="25">
        <v>76</v>
      </c>
      <c r="EA112" s="25">
        <v>335</v>
      </c>
      <c r="EB112" s="25">
        <v>10</v>
      </c>
      <c r="EC112" s="25">
        <v>1323</v>
      </c>
      <c r="ED112" s="25">
        <v>831</v>
      </c>
      <c r="EE112" s="25">
        <v>6156</v>
      </c>
      <c r="EF112" s="25">
        <v>95</v>
      </c>
      <c r="EG112" s="25">
        <v>1286</v>
      </c>
      <c r="EH112" s="25">
        <v>229</v>
      </c>
      <c r="EI112" s="25">
        <v>28710</v>
      </c>
      <c r="EJ112" s="25">
        <v>8</v>
      </c>
      <c r="EK112" s="25">
        <v>474</v>
      </c>
      <c r="EL112" s="25">
        <v>9</v>
      </c>
      <c r="EM112" s="25">
        <v>25</v>
      </c>
      <c r="EN112" s="25">
        <v>22</v>
      </c>
      <c r="EO112" s="25">
        <v>250</v>
      </c>
      <c r="EP112" s="25">
        <v>33</v>
      </c>
      <c r="EQ112" s="25">
        <v>8</v>
      </c>
      <c r="ER112" s="25">
        <v>16</v>
      </c>
      <c r="ES112" s="25">
        <v>25</v>
      </c>
      <c r="ET112" s="25">
        <v>18</v>
      </c>
      <c r="EU112" s="25">
        <v>1</v>
      </c>
      <c r="EV112" s="25">
        <v>46</v>
      </c>
      <c r="EW112" s="25">
        <v>92</v>
      </c>
      <c r="EX112" s="25">
        <v>0</v>
      </c>
      <c r="EY112" s="25">
        <v>103</v>
      </c>
      <c r="EZ112" s="25">
        <v>1</v>
      </c>
      <c r="FA112" s="25">
        <v>4</v>
      </c>
      <c r="FB112" s="25">
        <v>1</v>
      </c>
      <c r="FC112" s="25">
        <v>10</v>
      </c>
      <c r="FD112" s="25">
        <v>2061</v>
      </c>
      <c r="FE112" s="25">
        <v>124</v>
      </c>
      <c r="FF112" s="25">
        <v>4</v>
      </c>
      <c r="FG112" s="25">
        <v>0</v>
      </c>
      <c r="FH112" s="25">
        <v>8</v>
      </c>
      <c r="FI112" s="25">
        <v>173</v>
      </c>
      <c r="FJ112" s="25">
        <v>0</v>
      </c>
      <c r="FK112" s="25">
        <v>0</v>
      </c>
      <c r="FL112" s="25">
        <v>2</v>
      </c>
      <c r="FM112" s="25">
        <v>1</v>
      </c>
      <c r="FN112" s="25">
        <v>13</v>
      </c>
      <c r="FO112" s="25">
        <v>4987</v>
      </c>
      <c r="FP112" s="25">
        <v>20</v>
      </c>
      <c r="FQ112" s="25">
        <v>3</v>
      </c>
      <c r="FR112" s="25">
        <v>35</v>
      </c>
      <c r="FS112" s="25">
        <v>85</v>
      </c>
      <c r="FT112" s="25">
        <v>82</v>
      </c>
      <c r="FU112" s="25">
        <v>211</v>
      </c>
      <c r="FV112" s="25">
        <v>12</v>
      </c>
      <c r="FW112" s="25">
        <v>440</v>
      </c>
      <c r="FX112" s="25">
        <v>197</v>
      </c>
      <c r="FY112" s="25">
        <v>0</v>
      </c>
      <c r="FZ112" s="25">
        <v>10</v>
      </c>
      <c r="GA112" s="25">
        <v>1200</v>
      </c>
      <c r="GB112" s="25">
        <v>603</v>
      </c>
      <c r="GC112" s="25">
        <v>664</v>
      </c>
      <c r="GD112" s="25">
        <v>1023</v>
      </c>
      <c r="GE112" s="25">
        <v>12</v>
      </c>
      <c r="GF112" s="25">
        <v>771</v>
      </c>
      <c r="GG112" s="25">
        <v>1222</v>
      </c>
      <c r="GH112" s="25">
        <v>0</v>
      </c>
      <c r="GI112" s="25">
        <v>0</v>
      </c>
      <c r="GJ112" s="25">
        <v>0</v>
      </c>
      <c r="GK112" s="25">
        <v>41</v>
      </c>
      <c r="GL112" s="25">
        <v>176</v>
      </c>
      <c r="GM112" s="25">
        <v>9</v>
      </c>
      <c r="GN112" s="25">
        <v>189</v>
      </c>
      <c r="GO112" s="25">
        <v>0</v>
      </c>
      <c r="GP112" s="25">
        <v>17</v>
      </c>
      <c r="GQ112" s="25">
        <v>24</v>
      </c>
      <c r="GR112" s="25">
        <v>94</v>
      </c>
      <c r="GS112" s="25">
        <v>31</v>
      </c>
      <c r="GT112" s="25">
        <v>123</v>
      </c>
      <c r="GU112" s="25">
        <v>25100</v>
      </c>
      <c r="GV112" s="25">
        <v>7</v>
      </c>
      <c r="GW112" s="25">
        <v>41</v>
      </c>
      <c r="GX112" s="25">
        <v>1</v>
      </c>
      <c r="GY112" s="46">
        <v>2669</v>
      </c>
      <c r="GZ112" s="25">
        <v>1762</v>
      </c>
      <c r="HA112" s="25">
        <v>6</v>
      </c>
      <c r="HB112" s="25">
        <v>16</v>
      </c>
      <c r="HC112" s="25">
        <v>54</v>
      </c>
      <c r="HD112" s="25">
        <v>9</v>
      </c>
      <c r="HE112" s="25">
        <v>8</v>
      </c>
      <c r="HF112" s="25">
        <v>42</v>
      </c>
      <c r="HG112" s="25">
        <v>3336</v>
      </c>
      <c r="HH112" s="25">
        <v>0</v>
      </c>
      <c r="HI112" s="25">
        <v>279</v>
      </c>
      <c r="HJ112" s="25">
        <v>119</v>
      </c>
      <c r="HK112" s="25">
        <v>7</v>
      </c>
      <c r="HL112" s="25">
        <v>1</v>
      </c>
      <c r="HM112" s="25">
        <v>41</v>
      </c>
      <c r="HN112" s="25">
        <v>0</v>
      </c>
      <c r="HO112" s="25">
        <v>22</v>
      </c>
      <c r="HP112" s="25">
        <v>1</v>
      </c>
      <c r="HQ112" s="25">
        <v>28131</v>
      </c>
      <c r="HR112" s="25">
        <v>17</v>
      </c>
      <c r="HS112" s="25">
        <v>66369</v>
      </c>
      <c r="HT112" s="25">
        <v>9</v>
      </c>
      <c r="HU112" s="25">
        <v>10</v>
      </c>
      <c r="HV112" s="25">
        <v>0</v>
      </c>
      <c r="HW112" s="25">
        <v>3</v>
      </c>
      <c r="HX112" s="25">
        <v>4</v>
      </c>
      <c r="HY112" s="25">
        <v>1</v>
      </c>
      <c r="HZ112" s="25">
        <v>0</v>
      </c>
      <c r="IA112" s="25">
        <v>0</v>
      </c>
      <c r="IB112" s="25">
        <v>0</v>
      </c>
      <c r="IC112" s="25">
        <v>3</v>
      </c>
      <c r="ID112" s="25">
        <v>0</v>
      </c>
      <c r="IE112" s="25">
        <v>2</v>
      </c>
      <c r="IF112" s="25">
        <v>0</v>
      </c>
      <c r="IG112" s="25">
        <v>0</v>
      </c>
      <c r="IH112" s="25">
        <v>3</v>
      </c>
      <c r="II112" s="25">
        <v>2</v>
      </c>
      <c r="IJ112" s="25">
        <v>1</v>
      </c>
      <c r="IK112" s="25">
        <v>26</v>
      </c>
      <c r="IL112" s="25">
        <v>0</v>
      </c>
      <c r="IM112" s="25">
        <v>0</v>
      </c>
      <c r="IN112" s="25">
        <v>0</v>
      </c>
      <c r="IO112" s="25">
        <v>22</v>
      </c>
      <c r="IP112" s="25">
        <v>6</v>
      </c>
      <c r="IQ112" s="25">
        <v>0</v>
      </c>
      <c r="IR112" s="25">
        <v>1</v>
      </c>
      <c r="IS112" s="25">
        <v>1</v>
      </c>
      <c r="IT112" s="25">
        <v>2</v>
      </c>
      <c r="IU112" s="25">
        <v>1</v>
      </c>
      <c r="IV112" s="25">
        <v>1</v>
      </c>
      <c r="IW112" s="25">
        <v>8</v>
      </c>
      <c r="IX112" s="25">
        <v>0</v>
      </c>
      <c r="IY112" s="25">
        <v>3</v>
      </c>
      <c r="IZ112" s="25">
        <v>0</v>
      </c>
      <c r="JA112" s="25">
        <v>0</v>
      </c>
      <c r="JB112" s="25">
        <v>0</v>
      </c>
      <c r="JC112" s="25">
        <v>0</v>
      </c>
      <c r="JD112" s="25">
        <v>1</v>
      </c>
      <c r="JE112" s="25">
        <v>2</v>
      </c>
      <c r="JF112" s="25">
        <v>0</v>
      </c>
      <c r="JG112" s="25">
        <v>2</v>
      </c>
      <c r="JH112" s="25">
        <v>0</v>
      </c>
      <c r="JI112" s="25">
        <v>5</v>
      </c>
      <c r="JJ112" s="25">
        <v>2</v>
      </c>
      <c r="JK112" s="25">
        <v>95</v>
      </c>
      <c r="JL112" s="25">
        <v>4</v>
      </c>
      <c r="JM112" s="25">
        <v>288</v>
      </c>
      <c r="JN112" s="25">
        <v>9</v>
      </c>
      <c r="JO112" s="25">
        <v>330</v>
      </c>
      <c r="JP112" s="25">
        <v>72</v>
      </c>
      <c r="JQ112" s="25">
        <v>2180</v>
      </c>
      <c r="JR112" s="25">
        <v>832</v>
      </c>
      <c r="JS112" s="25">
        <v>2436</v>
      </c>
      <c r="JT112" s="25">
        <v>168</v>
      </c>
      <c r="JU112" s="25">
        <v>240</v>
      </c>
      <c r="JV112" s="25">
        <v>1364</v>
      </c>
      <c r="JW112" s="25">
        <v>1177</v>
      </c>
      <c r="JX112" s="25">
        <v>16</v>
      </c>
      <c r="JY112" s="25">
        <v>64</v>
      </c>
      <c r="JZ112" s="25">
        <v>2559</v>
      </c>
      <c r="KA112" s="25">
        <v>1115</v>
      </c>
      <c r="KB112" s="25">
        <v>175</v>
      </c>
      <c r="KC112" s="25">
        <v>142</v>
      </c>
      <c r="KD112" s="25">
        <v>248</v>
      </c>
      <c r="KE112" s="25">
        <v>1993</v>
      </c>
      <c r="KF112" s="25">
        <v>56</v>
      </c>
      <c r="KG112" s="25">
        <v>1251</v>
      </c>
      <c r="KH112" s="25">
        <v>3846</v>
      </c>
      <c r="KI112" s="25">
        <v>4021</v>
      </c>
      <c r="KJ112" s="25">
        <v>394</v>
      </c>
      <c r="KK112" s="25">
        <v>291</v>
      </c>
      <c r="KL112" s="25">
        <v>376</v>
      </c>
      <c r="KM112" s="25">
        <v>16</v>
      </c>
      <c r="KN112" s="25">
        <v>73</v>
      </c>
      <c r="KO112" s="25">
        <v>255</v>
      </c>
      <c r="KP112" s="25">
        <v>84</v>
      </c>
      <c r="KQ112" s="25">
        <v>7742</v>
      </c>
      <c r="KR112" s="25">
        <v>138</v>
      </c>
      <c r="KS112" s="25">
        <v>24198</v>
      </c>
      <c r="KT112" s="25">
        <v>431</v>
      </c>
      <c r="KU112" s="25">
        <v>24</v>
      </c>
      <c r="KV112" s="25">
        <v>1022</v>
      </c>
      <c r="KW112" s="25">
        <v>238</v>
      </c>
      <c r="KX112" s="25">
        <v>109</v>
      </c>
      <c r="KY112" s="25">
        <v>2695</v>
      </c>
      <c r="KZ112" s="25">
        <v>296</v>
      </c>
      <c r="LA112" s="25">
        <v>267</v>
      </c>
      <c r="LB112" s="25">
        <v>21</v>
      </c>
      <c r="LC112" s="25">
        <v>209</v>
      </c>
      <c r="LD112" s="25">
        <v>863</v>
      </c>
      <c r="LE112" s="25">
        <v>49</v>
      </c>
      <c r="LF112" s="25">
        <v>51</v>
      </c>
      <c r="LG112" s="25">
        <v>617</v>
      </c>
      <c r="LH112" s="25">
        <v>830</v>
      </c>
      <c r="LI112" s="25">
        <v>48</v>
      </c>
      <c r="LJ112" s="25">
        <v>334</v>
      </c>
      <c r="LK112" s="25">
        <v>7</v>
      </c>
      <c r="LL112" s="25">
        <v>0</v>
      </c>
      <c r="LM112" s="25">
        <v>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325"/>
  <sheetViews>
    <sheetView tabSelected="1" workbookViewId="0">
      <selection activeCell="L4" sqref="L4"/>
    </sheetView>
  </sheetViews>
  <sheetFormatPr defaultRowHeight="15" x14ac:dyDescent="0.25"/>
  <cols>
    <col min="1" max="1" width="21.5703125" customWidth="1"/>
    <col min="2" max="2" width="17.42578125" bestFit="1" customWidth="1"/>
    <col min="3" max="3" width="10.7109375" bestFit="1" customWidth="1"/>
    <col min="4" max="4" width="11" bestFit="1" customWidth="1"/>
    <col min="5" max="14" width="10.7109375" bestFit="1" customWidth="1"/>
    <col min="15" max="23" width="9.7109375" bestFit="1" customWidth="1"/>
    <col min="24" max="43" width="10.7109375" bestFit="1" customWidth="1"/>
    <col min="44" max="52" width="9.7109375" bestFit="1" customWidth="1"/>
    <col min="53" max="69" width="10.7109375" bestFit="1" customWidth="1"/>
    <col min="71" max="73" width="10.7109375" bestFit="1" customWidth="1"/>
    <col min="74" max="74" width="11.85546875" customWidth="1"/>
    <col min="75" max="75" width="12.140625" customWidth="1"/>
    <col min="76" max="76" width="12.85546875" customWidth="1"/>
    <col min="77" max="77" width="14.42578125" customWidth="1"/>
    <col min="78" max="80" width="9.7109375" bestFit="1" customWidth="1"/>
    <col min="81" max="81" width="11.42578125" customWidth="1"/>
    <col min="82" max="83" width="9.7109375" bestFit="1" customWidth="1"/>
    <col min="84" max="97" width="10.7109375" bestFit="1" customWidth="1"/>
    <col min="98" max="98" width="11.85546875" customWidth="1"/>
  </cols>
  <sheetData>
    <row r="1" spans="1:106" x14ac:dyDescent="0.25">
      <c r="A1" t="s">
        <v>0</v>
      </c>
      <c r="B1" t="s">
        <v>1</v>
      </c>
      <c r="C1" t="s">
        <v>2</v>
      </c>
      <c r="D1" t="s">
        <v>3</v>
      </c>
      <c r="E1" s="26">
        <v>43852</v>
      </c>
      <c r="F1" s="26">
        <v>43853</v>
      </c>
      <c r="G1" s="26">
        <v>43854</v>
      </c>
      <c r="H1" s="26">
        <v>43855</v>
      </c>
      <c r="I1" s="26">
        <v>43856</v>
      </c>
      <c r="J1" s="26">
        <v>43857</v>
      </c>
      <c r="K1" s="26">
        <v>43858</v>
      </c>
      <c r="L1" s="26">
        <v>43859</v>
      </c>
      <c r="M1" s="26">
        <v>43860</v>
      </c>
      <c r="N1" s="26">
        <v>43861</v>
      </c>
      <c r="O1" s="26">
        <v>43862</v>
      </c>
      <c r="P1" s="26">
        <v>43863</v>
      </c>
      <c r="Q1" s="26">
        <v>43864</v>
      </c>
      <c r="R1" s="26">
        <v>43865</v>
      </c>
      <c r="S1" s="26">
        <v>43866</v>
      </c>
      <c r="T1" s="26">
        <v>43867</v>
      </c>
      <c r="U1" s="26">
        <v>43868</v>
      </c>
      <c r="V1" s="26">
        <v>43869</v>
      </c>
      <c r="W1" s="26">
        <v>43870</v>
      </c>
      <c r="X1" s="26">
        <v>43871</v>
      </c>
      <c r="Y1" s="26">
        <v>43872</v>
      </c>
      <c r="Z1" s="26">
        <v>43873</v>
      </c>
      <c r="AA1" s="26">
        <v>43874</v>
      </c>
      <c r="AB1" s="26">
        <v>43875</v>
      </c>
      <c r="AC1" s="26">
        <v>43876</v>
      </c>
      <c r="AD1" s="26">
        <v>43877</v>
      </c>
      <c r="AE1" s="26">
        <v>43878</v>
      </c>
      <c r="AF1" s="26">
        <v>43879</v>
      </c>
      <c r="AG1" s="26">
        <v>43880</v>
      </c>
      <c r="AH1" s="26">
        <v>43881</v>
      </c>
      <c r="AI1" s="26">
        <v>43882</v>
      </c>
      <c r="AJ1" s="26">
        <v>43883</v>
      </c>
      <c r="AK1" s="26">
        <v>43884</v>
      </c>
      <c r="AL1" s="26">
        <v>43885</v>
      </c>
      <c r="AM1" s="26">
        <v>43886</v>
      </c>
      <c r="AN1" s="26">
        <v>43887</v>
      </c>
      <c r="AO1" s="26">
        <v>43888</v>
      </c>
      <c r="AP1" s="26">
        <v>43889</v>
      </c>
      <c r="AQ1" s="26">
        <v>43890</v>
      </c>
      <c r="AR1" s="26">
        <v>43891</v>
      </c>
      <c r="AS1" s="26">
        <v>43892</v>
      </c>
      <c r="AT1" s="26">
        <v>43893</v>
      </c>
      <c r="AU1" s="26">
        <v>43894</v>
      </c>
      <c r="AV1" s="26">
        <v>43895</v>
      </c>
      <c r="AW1" s="26">
        <v>43896</v>
      </c>
      <c r="AX1" s="26">
        <v>43897</v>
      </c>
      <c r="AY1" s="26">
        <v>43898</v>
      </c>
      <c r="AZ1" s="26">
        <v>43899</v>
      </c>
      <c r="BA1" s="26">
        <v>43900</v>
      </c>
      <c r="BB1" s="26">
        <v>43901</v>
      </c>
      <c r="BC1" s="26">
        <v>43902</v>
      </c>
      <c r="BD1" s="26">
        <v>43903</v>
      </c>
      <c r="BE1" s="26">
        <v>43904</v>
      </c>
      <c r="BF1" s="26">
        <v>43905</v>
      </c>
      <c r="BG1" s="26">
        <v>43906</v>
      </c>
      <c r="BH1" s="26">
        <v>43907</v>
      </c>
      <c r="BI1" s="26">
        <v>43908</v>
      </c>
      <c r="BJ1" s="26">
        <v>43909</v>
      </c>
      <c r="BK1" s="26">
        <v>43910</v>
      </c>
      <c r="BL1" s="26">
        <v>43911</v>
      </c>
      <c r="BM1" s="26">
        <v>43912</v>
      </c>
      <c r="BN1" s="26">
        <v>43913</v>
      </c>
      <c r="BO1" s="26">
        <v>43914</v>
      </c>
      <c r="BP1" s="26">
        <v>43915</v>
      </c>
      <c r="BQ1" s="26">
        <v>43916</v>
      </c>
      <c r="BR1" s="26">
        <v>43917</v>
      </c>
      <c r="BS1" s="26">
        <v>43918</v>
      </c>
      <c r="BT1" s="26">
        <v>43919</v>
      </c>
      <c r="BU1" s="26">
        <v>43920</v>
      </c>
      <c r="BV1" s="26">
        <v>43921</v>
      </c>
      <c r="BW1" s="26">
        <v>43922</v>
      </c>
      <c r="BX1" s="26">
        <v>43923</v>
      </c>
      <c r="BY1" s="26">
        <v>43924</v>
      </c>
      <c r="BZ1" s="26">
        <v>43925</v>
      </c>
      <c r="CA1" s="26">
        <v>43926</v>
      </c>
      <c r="CB1" s="26">
        <v>43927</v>
      </c>
      <c r="CC1" s="26">
        <v>43928</v>
      </c>
      <c r="CD1" s="26">
        <v>43929</v>
      </c>
      <c r="CE1" s="26">
        <v>43930</v>
      </c>
      <c r="CF1" s="26">
        <v>43931</v>
      </c>
      <c r="CG1" s="26">
        <v>43932</v>
      </c>
      <c r="CH1" s="26">
        <v>43933</v>
      </c>
      <c r="CI1" s="26">
        <v>43934</v>
      </c>
      <c r="CJ1" s="26">
        <v>43935</v>
      </c>
      <c r="CK1" s="26">
        <v>43936</v>
      </c>
      <c r="CL1" s="26">
        <v>43937</v>
      </c>
      <c r="CM1" s="26">
        <v>43938</v>
      </c>
      <c r="CN1" s="26">
        <v>43939</v>
      </c>
      <c r="CO1" s="26">
        <v>43940</v>
      </c>
      <c r="CP1" s="26">
        <v>43941</v>
      </c>
      <c r="CQ1" s="26">
        <v>43942</v>
      </c>
      <c r="CR1" s="26">
        <v>43943</v>
      </c>
      <c r="CS1" s="26">
        <v>43944</v>
      </c>
      <c r="CT1" s="26">
        <v>43945</v>
      </c>
      <c r="CU1" s="26">
        <v>43946</v>
      </c>
      <c r="CV1" s="26">
        <v>43947</v>
      </c>
      <c r="CW1" s="26">
        <v>43948</v>
      </c>
      <c r="CX1" s="26">
        <v>43949</v>
      </c>
      <c r="CY1" s="26">
        <v>43950</v>
      </c>
      <c r="CZ1" s="26">
        <v>43951</v>
      </c>
      <c r="DA1" s="26">
        <v>43952</v>
      </c>
      <c r="DB1" s="26">
        <v>43953</v>
      </c>
    </row>
    <row r="2" spans="1:106" x14ac:dyDescent="0.25">
      <c r="B2" t="s">
        <v>70</v>
      </c>
      <c r="C2">
        <v>33</v>
      </c>
      <c r="D2">
        <v>65</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1</v>
      </c>
      <c r="AM2">
        <v>1</v>
      </c>
      <c r="AN2">
        <v>1</v>
      </c>
      <c r="AO2">
        <v>1</v>
      </c>
      <c r="AP2">
        <v>1</v>
      </c>
      <c r="AQ2">
        <v>1</v>
      </c>
      <c r="AR2">
        <v>1</v>
      </c>
      <c r="AS2">
        <v>1</v>
      </c>
      <c r="AT2">
        <v>1</v>
      </c>
      <c r="AU2">
        <v>1</v>
      </c>
      <c r="AV2">
        <v>1</v>
      </c>
      <c r="AW2">
        <v>1</v>
      </c>
      <c r="AX2">
        <v>1</v>
      </c>
      <c r="AY2">
        <v>4</v>
      </c>
      <c r="AZ2">
        <v>4</v>
      </c>
      <c r="BA2">
        <v>5</v>
      </c>
      <c r="BB2">
        <v>7</v>
      </c>
      <c r="BC2">
        <v>7</v>
      </c>
      <c r="BD2">
        <v>7</v>
      </c>
      <c r="BE2">
        <v>11</v>
      </c>
      <c r="BF2">
        <v>16</v>
      </c>
      <c r="BG2">
        <v>21</v>
      </c>
      <c r="BH2">
        <v>22</v>
      </c>
      <c r="BI2">
        <v>22</v>
      </c>
      <c r="BJ2">
        <v>22</v>
      </c>
      <c r="BK2">
        <v>24</v>
      </c>
      <c r="BL2">
        <v>24</v>
      </c>
      <c r="BM2">
        <v>40</v>
      </c>
      <c r="BN2">
        <v>40</v>
      </c>
      <c r="BO2">
        <v>74</v>
      </c>
      <c r="BP2">
        <v>84</v>
      </c>
      <c r="BQ2">
        <v>94</v>
      </c>
      <c r="BR2">
        <v>110</v>
      </c>
      <c r="BS2">
        <v>110</v>
      </c>
      <c r="BT2">
        <v>120</v>
      </c>
      <c r="BU2">
        <v>170</v>
      </c>
      <c r="BV2">
        <v>174</v>
      </c>
      <c r="BW2">
        <v>237</v>
      </c>
      <c r="BX2">
        <v>273</v>
      </c>
      <c r="BY2">
        <v>281</v>
      </c>
      <c r="BZ2">
        <v>299</v>
      </c>
      <c r="CA2">
        <v>349</v>
      </c>
      <c r="CB2">
        <v>367</v>
      </c>
      <c r="CC2">
        <v>423</v>
      </c>
      <c r="CD2">
        <v>444</v>
      </c>
      <c r="CE2">
        <v>484</v>
      </c>
      <c r="CF2">
        <v>521</v>
      </c>
      <c r="CG2">
        <v>555</v>
      </c>
      <c r="CH2">
        <v>607</v>
      </c>
      <c r="CI2">
        <v>665</v>
      </c>
      <c r="CJ2">
        <v>714</v>
      </c>
      <c r="CK2">
        <v>784</v>
      </c>
      <c r="CL2">
        <v>840</v>
      </c>
      <c r="CM2">
        <v>906</v>
      </c>
      <c r="CN2">
        <v>933</v>
      </c>
      <c r="CO2">
        <v>996</v>
      </c>
      <c r="CP2">
        <v>1026</v>
      </c>
      <c r="CQ2">
        <v>1092</v>
      </c>
      <c r="CR2">
        <v>1176</v>
      </c>
      <c r="CS2">
        <v>1279</v>
      </c>
      <c r="CT2">
        <v>1351</v>
      </c>
      <c r="CU2">
        <v>1463</v>
      </c>
      <c r="CV2">
        <v>1531</v>
      </c>
      <c r="CW2">
        <v>1703</v>
      </c>
      <c r="CX2">
        <v>1828</v>
      </c>
      <c r="CY2">
        <v>1939</v>
      </c>
      <c r="CZ2">
        <v>2171</v>
      </c>
      <c r="DA2">
        <v>2335</v>
      </c>
      <c r="DB2">
        <v>2469</v>
      </c>
    </row>
    <row r="3" spans="1:106" x14ac:dyDescent="0.25">
      <c r="B3" t="s">
        <v>144</v>
      </c>
      <c r="C3">
        <v>41.153300000000002</v>
      </c>
      <c r="D3">
        <v>20.168299999999999</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2</v>
      </c>
      <c r="BA3">
        <v>10</v>
      </c>
      <c r="BB3">
        <v>12</v>
      </c>
      <c r="BC3">
        <v>23</v>
      </c>
      <c r="BD3">
        <v>33</v>
      </c>
      <c r="BE3">
        <v>38</v>
      </c>
      <c r="BF3">
        <v>42</v>
      </c>
      <c r="BG3">
        <v>51</v>
      </c>
      <c r="BH3">
        <v>55</v>
      </c>
      <c r="BI3">
        <v>59</v>
      </c>
      <c r="BJ3">
        <v>64</v>
      </c>
      <c r="BK3">
        <v>70</v>
      </c>
      <c r="BL3">
        <v>76</v>
      </c>
      <c r="BM3">
        <v>89</v>
      </c>
      <c r="BN3">
        <v>104</v>
      </c>
      <c r="BO3">
        <v>123</v>
      </c>
      <c r="BP3">
        <v>146</v>
      </c>
      <c r="BQ3">
        <v>174</v>
      </c>
      <c r="BR3">
        <v>186</v>
      </c>
      <c r="BS3">
        <v>197</v>
      </c>
      <c r="BT3">
        <v>212</v>
      </c>
      <c r="BU3">
        <v>223</v>
      </c>
      <c r="BV3">
        <v>243</v>
      </c>
      <c r="BW3">
        <v>259</v>
      </c>
      <c r="BX3">
        <v>277</v>
      </c>
      <c r="BY3">
        <v>304</v>
      </c>
      <c r="BZ3">
        <v>333</v>
      </c>
      <c r="CA3">
        <v>361</v>
      </c>
      <c r="CB3">
        <v>377</v>
      </c>
      <c r="CC3">
        <v>383</v>
      </c>
      <c r="CD3">
        <v>400</v>
      </c>
      <c r="CE3">
        <v>409</v>
      </c>
      <c r="CF3">
        <v>416</v>
      </c>
      <c r="CG3">
        <v>433</v>
      </c>
      <c r="CH3">
        <v>446</v>
      </c>
      <c r="CI3">
        <v>467</v>
      </c>
      <c r="CJ3">
        <v>475</v>
      </c>
      <c r="CK3">
        <v>494</v>
      </c>
      <c r="CL3">
        <v>518</v>
      </c>
      <c r="CM3">
        <v>539</v>
      </c>
      <c r="CN3">
        <v>548</v>
      </c>
      <c r="CO3">
        <v>562</v>
      </c>
      <c r="CP3">
        <v>584</v>
      </c>
      <c r="CQ3">
        <v>609</v>
      </c>
      <c r="CR3">
        <v>634</v>
      </c>
      <c r="CS3">
        <v>663</v>
      </c>
      <c r="CT3">
        <v>678</v>
      </c>
      <c r="CU3">
        <v>712</v>
      </c>
      <c r="CV3">
        <v>726</v>
      </c>
      <c r="CW3">
        <v>736</v>
      </c>
      <c r="CX3">
        <v>750</v>
      </c>
      <c r="CY3">
        <v>766</v>
      </c>
      <c r="CZ3">
        <v>773</v>
      </c>
      <c r="DA3">
        <v>782</v>
      </c>
      <c r="DB3">
        <v>789</v>
      </c>
    </row>
    <row r="4" spans="1:106" x14ac:dyDescent="0.25">
      <c r="B4" t="s">
        <v>73</v>
      </c>
      <c r="C4">
        <v>28.033899999999999</v>
      </c>
      <c r="D4">
        <v>1.6596</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1</v>
      </c>
      <c r="AN4">
        <v>1</v>
      </c>
      <c r="AO4">
        <v>1</v>
      </c>
      <c r="AP4">
        <v>1</v>
      </c>
      <c r="AQ4">
        <v>1</v>
      </c>
      <c r="AR4">
        <v>1</v>
      </c>
      <c r="AS4">
        <v>3</v>
      </c>
      <c r="AT4">
        <v>5</v>
      </c>
      <c r="AU4">
        <v>12</v>
      </c>
      <c r="AV4">
        <v>12</v>
      </c>
      <c r="AW4">
        <v>17</v>
      </c>
      <c r="AX4">
        <v>17</v>
      </c>
      <c r="AY4">
        <v>19</v>
      </c>
      <c r="AZ4">
        <v>20</v>
      </c>
      <c r="BA4">
        <v>20</v>
      </c>
      <c r="BB4">
        <v>20</v>
      </c>
      <c r="BC4">
        <v>24</v>
      </c>
      <c r="BD4">
        <v>26</v>
      </c>
      <c r="BE4">
        <v>37</v>
      </c>
      <c r="BF4">
        <v>48</v>
      </c>
      <c r="BG4">
        <v>54</v>
      </c>
      <c r="BH4">
        <v>60</v>
      </c>
      <c r="BI4">
        <v>74</v>
      </c>
      <c r="BJ4">
        <v>87</v>
      </c>
      <c r="BK4">
        <v>90</v>
      </c>
      <c r="BL4">
        <v>139</v>
      </c>
      <c r="BM4">
        <v>201</v>
      </c>
      <c r="BN4">
        <v>230</v>
      </c>
      <c r="BO4">
        <v>264</v>
      </c>
      <c r="BP4">
        <v>302</v>
      </c>
      <c r="BQ4">
        <v>367</v>
      </c>
      <c r="BR4">
        <v>409</v>
      </c>
      <c r="BS4">
        <v>454</v>
      </c>
      <c r="BT4">
        <v>511</v>
      </c>
      <c r="BU4">
        <v>584</v>
      </c>
      <c r="BV4">
        <v>716</v>
      </c>
      <c r="BW4">
        <v>847</v>
      </c>
      <c r="BX4">
        <v>986</v>
      </c>
      <c r="BY4">
        <v>1171</v>
      </c>
      <c r="BZ4">
        <v>1251</v>
      </c>
      <c r="CA4">
        <v>1320</v>
      </c>
      <c r="CB4">
        <v>1423</v>
      </c>
      <c r="CC4">
        <v>1468</v>
      </c>
      <c r="CD4">
        <v>1572</v>
      </c>
      <c r="CE4">
        <v>1666</v>
      </c>
      <c r="CF4">
        <v>1761</v>
      </c>
      <c r="CG4">
        <v>1825</v>
      </c>
      <c r="CH4">
        <v>1914</v>
      </c>
      <c r="CI4">
        <v>1983</v>
      </c>
      <c r="CJ4">
        <v>2070</v>
      </c>
      <c r="CK4">
        <v>2160</v>
      </c>
      <c r="CL4">
        <v>2268</v>
      </c>
      <c r="CM4">
        <v>2418</v>
      </c>
      <c r="CN4">
        <v>2534</v>
      </c>
      <c r="CO4">
        <v>2629</v>
      </c>
      <c r="CP4">
        <v>2718</v>
      </c>
      <c r="CQ4">
        <v>2811</v>
      </c>
      <c r="CR4">
        <v>2910</v>
      </c>
      <c r="CS4">
        <v>3007</v>
      </c>
      <c r="CT4">
        <v>3127</v>
      </c>
      <c r="CU4">
        <v>3256</v>
      </c>
      <c r="CV4">
        <v>3382</v>
      </c>
      <c r="CW4">
        <v>3517</v>
      </c>
      <c r="CX4">
        <v>3649</v>
      </c>
      <c r="CY4">
        <v>3848</v>
      </c>
      <c r="CZ4">
        <v>4006</v>
      </c>
      <c r="DA4">
        <v>4154</v>
      </c>
      <c r="DB4">
        <v>4295</v>
      </c>
    </row>
    <row r="5" spans="1:106" x14ac:dyDescent="0.25">
      <c r="B5" t="s">
        <v>105</v>
      </c>
      <c r="C5">
        <v>42.506300000000003</v>
      </c>
      <c r="D5">
        <v>1.5218</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1</v>
      </c>
      <c r="AT5">
        <v>1</v>
      </c>
      <c r="AU5">
        <v>1</v>
      </c>
      <c r="AV5">
        <v>1</v>
      </c>
      <c r="AW5">
        <v>1</v>
      </c>
      <c r="AX5">
        <v>1</v>
      </c>
      <c r="AY5">
        <v>1</v>
      </c>
      <c r="AZ5">
        <v>1</v>
      </c>
      <c r="BA5">
        <v>1</v>
      </c>
      <c r="BB5">
        <v>1</v>
      </c>
      <c r="BC5">
        <v>1</v>
      </c>
      <c r="BD5">
        <v>1</v>
      </c>
      <c r="BE5">
        <v>1</v>
      </c>
      <c r="BF5">
        <v>1</v>
      </c>
      <c r="BG5">
        <v>2</v>
      </c>
      <c r="BH5">
        <v>39</v>
      </c>
      <c r="BI5">
        <v>39</v>
      </c>
      <c r="BJ5">
        <v>53</v>
      </c>
      <c r="BK5">
        <v>75</v>
      </c>
      <c r="BL5">
        <v>88</v>
      </c>
      <c r="BM5">
        <v>113</v>
      </c>
      <c r="BN5">
        <v>133</v>
      </c>
      <c r="BO5">
        <v>164</v>
      </c>
      <c r="BP5">
        <v>188</v>
      </c>
      <c r="BQ5">
        <v>224</v>
      </c>
      <c r="BR5">
        <v>267</v>
      </c>
      <c r="BS5">
        <v>308</v>
      </c>
      <c r="BT5">
        <v>334</v>
      </c>
      <c r="BU5">
        <v>370</v>
      </c>
      <c r="BV5">
        <v>376</v>
      </c>
      <c r="BW5">
        <v>390</v>
      </c>
      <c r="BX5">
        <v>428</v>
      </c>
      <c r="BY5">
        <v>439</v>
      </c>
      <c r="BZ5">
        <v>466</v>
      </c>
      <c r="CA5">
        <v>501</v>
      </c>
      <c r="CB5">
        <v>525</v>
      </c>
      <c r="CC5">
        <v>545</v>
      </c>
      <c r="CD5">
        <v>564</v>
      </c>
      <c r="CE5">
        <v>583</v>
      </c>
      <c r="CF5">
        <v>601</v>
      </c>
      <c r="CG5">
        <v>601</v>
      </c>
      <c r="CH5">
        <v>638</v>
      </c>
      <c r="CI5">
        <v>646</v>
      </c>
      <c r="CJ5">
        <v>659</v>
      </c>
      <c r="CK5">
        <v>673</v>
      </c>
      <c r="CL5">
        <v>673</v>
      </c>
      <c r="CM5">
        <v>696</v>
      </c>
      <c r="CN5">
        <v>704</v>
      </c>
      <c r="CO5">
        <v>713</v>
      </c>
      <c r="CP5">
        <v>717</v>
      </c>
      <c r="CQ5">
        <v>717</v>
      </c>
      <c r="CR5">
        <v>723</v>
      </c>
      <c r="CS5">
        <v>723</v>
      </c>
      <c r="CT5">
        <v>731</v>
      </c>
      <c r="CU5">
        <v>738</v>
      </c>
      <c r="CV5">
        <v>738</v>
      </c>
      <c r="CW5">
        <v>743</v>
      </c>
      <c r="CX5">
        <v>743</v>
      </c>
      <c r="CY5">
        <v>743</v>
      </c>
      <c r="CZ5">
        <v>745</v>
      </c>
      <c r="DA5">
        <v>745</v>
      </c>
      <c r="DB5">
        <v>747</v>
      </c>
    </row>
    <row r="6" spans="1:106" x14ac:dyDescent="0.25">
      <c r="B6" t="s">
        <v>741</v>
      </c>
      <c r="C6">
        <v>-11.2027</v>
      </c>
      <c r="D6">
        <v>17.873899999999999</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1</v>
      </c>
      <c r="BL6">
        <v>2</v>
      </c>
      <c r="BM6">
        <v>2</v>
      </c>
      <c r="BN6">
        <v>3</v>
      </c>
      <c r="BO6">
        <v>3</v>
      </c>
      <c r="BP6">
        <v>3</v>
      </c>
      <c r="BQ6">
        <v>4</v>
      </c>
      <c r="BR6">
        <v>4</v>
      </c>
      <c r="BS6">
        <v>5</v>
      </c>
      <c r="BT6">
        <v>7</v>
      </c>
      <c r="BU6">
        <v>7</v>
      </c>
      <c r="BV6">
        <v>7</v>
      </c>
      <c r="BW6">
        <v>8</v>
      </c>
      <c r="BX6">
        <v>8</v>
      </c>
      <c r="BY6">
        <v>8</v>
      </c>
      <c r="BZ6">
        <v>10</v>
      </c>
      <c r="CA6">
        <v>14</v>
      </c>
      <c r="CB6">
        <v>16</v>
      </c>
      <c r="CC6">
        <v>17</v>
      </c>
      <c r="CD6">
        <v>19</v>
      </c>
      <c r="CE6">
        <v>19</v>
      </c>
      <c r="CF6">
        <v>19</v>
      </c>
      <c r="CG6">
        <v>19</v>
      </c>
      <c r="CH6">
        <v>19</v>
      </c>
      <c r="CI6">
        <v>19</v>
      </c>
      <c r="CJ6">
        <v>19</v>
      </c>
      <c r="CK6">
        <v>19</v>
      </c>
      <c r="CL6">
        <v>19</v>
      </c>
      <c r="CM6">
        <v>19</v>
      </c>
      <c r="CN6">
        <v>24</v>
      </c>
      <c r="CO6">
        <v>24</v>
      </c>
      <c r="CP6">
        <v>24</v>
      </c>
      <c r="CQ6">
        <v>24</v>
      </c>
      <c r="CR6">
        <v>25</v>
      </c>
      <c r="CS6">
        <v>25</v>
      </c>
      <c r="CT6">
        <v>25</v>
      </c>
      <c r="CU6">
        <v>25</v>
      </c>
      <c r="CV6">
        <v>26</v>
      </c>
      <c r="CW6">
        <v>27</v>
      </c>
      <c r="CX6">
        <v>27</v>
      </c>
      <c r="CY6">
        <v>27</v>
      </c>
      <c r="CZ6">
        <v>27</v>
      </c>
      <c r="DA6">
        <v>30</v>
      </c>
      <c r="DB6">
        <v>35</v>
      </c>
    </row>
    <row r="7" spans="1:106" x14ac:dyDescent="0.25">
      <c r="B7" t="s">
        <v>207</v>
      </c>
      <c r="C7">
        <v>17.0608</v>
      </c>
      <c r="D7">
        <v>-61.796399999999998</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1</v>
      </c>
      <c r="BE7">
        <v>1</v>
      </c>
      <c r="BF7">
        <v>1</v>
      </c>
      <c r="BG7">
        <v>1</v>
      </c>
      <c r="BH7">
        <v>1</v>
      </c>
      <c r="BI7">
        <v>1</v>
      </c>
      <c r="BJ7">
        <v>1</v>
      </c>
      <c r="BK7">
        <v>1</v>
      </c>
      <c r="BL7">
        <v>1</v>
      </c>
      <c r="BM7">
        <v>1</v>
      </c>
      <c r="BN7">
        <v>3</v>
      </c>
      <c r="BO7">
        <v>3</v>
      </c>
      <c r="BP7">
        <v>3</v>
      </c>
      <c r="BQ7">
        <v>7</v>
      </c>
      <c r="BR7">
        <v>7</v>
      </c>
      <c r="BS7">
        <v>7</v>
      </c>
      <c r="BT7">
        <v>7</v>
      </c>
      <c r="BU7">
        <v>7</v>
      </c>
      <c r="BV7">
        <v>7</v>
      </c>
      <c r="BW7">
        <v>7</v>
      </c>
      <c r="BX7">
        <v>9</v>
      </c>
      <c r="BY7">
        <v>15</v>
      </c>
      <c r="BZ7">
        <v>15</v>
      </c>
      <c r="CA7">
        <v>15</v>
      </c>
      <c r="CB7">
        <v>15</v>
      </c>
      <c r="CC7">
        <v>19</v>
      </c>
      <c r="CD7">
        <v>19</v>
      </c>
      <c r="CE7">
        <v>19</v>
      </c>
      <c r="CF7">
        <v>19</v>
      </c>
      <c r="CG7">
        <v>21</v>
      </c>
      <c r="CH7">
        <v>21</v>
      </c>
      <c r="CI7">
        <v>23</v>
      </c>
      <c r="CJ7">
        <v>23</v>
      </c>
      <c r="CK7">
        <v>23</v>
      </c>
      <c r="CL7">
        <v>23</v>
      </c>
      <c r="CM7">
        <v>23</v>
      </c>
      <c r="CN7">
        <v>23</v>
      </c>
      <c r="CO7">
        <v>23</v>
      </c>
      <c r="CP7">
        <v>23</v>
      </c>
      <c r="CQ7">
        <v>23</v>
      </c>
      <c r="CR7">
        <v>24</v>
      </c>
      <c r="CS7">
        <v>24</v>
      </c>
      <c r="CT7">
        <v>24</v>
      </c>
      <c r="CU7">
        <v>24</v>
      </c>
      <c r="CV7">
        <v>24</v>
      </c>
      <c r="CW7">
        <v>24</v>
      </c>
      <c r="CX7">
        <v>24</v>
      </c>
      <c r="CY7">
        <v>24</v>
      </c>
      <c r="CZ7">
        <v>24</v>
      </c>
      <c r="DA7">
        <v>25</v>
      </c>
      <c r="DB7">
        <v>25</v>
      </c>
    </row>
    <row r="8" spans="1:106" x14ac:dyDescent="0.25">
      <c r="B8" t="s">
        <v>111</v>
      </c>
      <c r="C8">
        <v>-38.4161</v>
      </c>
      <c r="D8">
        <v>-63.616700000000002</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1</v>
      </c>
      <c r="AU8">
        <v>1</v>
      </c>
      <c r="AV8">
        <v>1</v>
      </c>
      <c r="AW8">
        <v>2</v>
      </c>
      <c r="AX8">
        <v>8</v>
      </c>
      <c r="AY8">
        <v>12</v>
      </c>
      <c r="AZ8">
        <v>12</v>
      </c>
      <c r="BA8">
        <v>17</v>
      </c>
      <c r="BB8">
        <v>19</v>
      </c>
      <c r="BC8">
        <v>19</v>
      </c>
      <c r="BD8">
        <v>31</v>
      </c>
      <c r="BE8">
        <v>34</v>
      </c>
      <c r="BF8">
        <v>45</v>
      </c>
      <c r="BG8">
        <v>56</v>
      </c>
      <c r="BH8">
        <v>68</v>
      </c>
      <c r="BI8">
        <v>79</v>
      </c>
      <c r="BJ8">
        <v>97</v>
      </c>
      <c r="BK8">
        <v>128</v>
      </c>
      <c r="BL8">
        <v>158</v>
      </c>
      <c r="BM8">
        <v>266</v>
      </c>
      <c r="BN8">
        <v>301</v>
      </c>
      <c r="BO8">
        <v>387</v>
      </c>
      <c r="BP8">
        <v>387</v>
      </c>
      <c r="BQ8">
        <v>502</v>
      </c>
      <c r="BR8">
        <v>589</v>
      </c>
      <c r="BS8">
        <v>690</v>
      </c>
      <c r="BT8">
        <v>745</v>
      </c>
      <c r="BU8">
        <v>820</v>
      </c>
      <c r="BV8">
        <v>1054</v>
      </c>
      <c r="BW8">
        <v>1054</v>
      </c>
      <c r="BX8">
        <v>1133</v>
      </c>
      <c r="BY8">
        <v>1265</v>
      </c>
      <c r="BZ8">
        <v>1451</v>
      </c>
      <c r="CA8">
        <v>1451</v>
      </c>
      <c r="CB8">
        <v>1554</v>
      </c>
      <c r="CC8">
        <v>1628</v>
      </c>
      <c r="CD8">
        <v>1715</v>
      </c>
      <c r="CE8">
        <v>1795</v>
      </c>
      <c r="CF8">
        <v>1975</v>
      </c>
      <c r="CG8">
        <v>1975</v>
      </c>
      <c r="CH8">
        <v>2142</v>
      </c>
      <c r="CI8">
        <v>2208</v>
      </c>
      <c r="CJ8">
        <v>2277</v>
      </c>
      <c r="CK8">
        <v>2443</v>
      </c>
      <c r="CL8">
        <v>2571</v>
      </c>
      <c r="CM8">
        <v>2669</v>
      </c>
      <c r="CN8">
        <v>2758</v>
      </c>
      <c r="CO8">
        <v>2839</v>
      </c>
      <c r="CP8">
        <v>2941</v>
      </c>
      <c r="CQ8">
        <v>3031</v>
      </c>
      <c r="CR8">
        <v>3144</v>
      </c>
      <c r="CS8">
        <v>3435</v>
      </c>
      <c r="CT8">
        <v>3607</v>
      </c>
      <c r="CU8">
        <v>3780</v>
      </c>
      <c r="CV8">
        <v>3892</v>
      </c>
      <c r="CW8">
        <v>4003</v>
      </c>
      <c r="CX8">
        <v>4127</v>
      </c>
      <c r="CY8">
        <v>4285</v>
      </c>
      <c r="CZ8">
        <v>4428</v>
      </c>
      <c r="DA8">
        <v>4532</v>
      </c>
      <c r="DB8">
        <v>4681</v>
      </c>
    </row>
    <row r="9" spans="1:106" x14ac:dyDescent="0.25">
      <c r="B9" t="s">
        <v>101</v>
      </c>
      <c r="C9">
        <v>40.069099999999999</v>
      </c>
      <c r="D9">
        <v>45.038200000000003</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1</v>
      </c>
      <c r="AS9">
        <v>1</v>
      </c>
      <c r="AT9">
        <v>1</v>
      </c>
      <c r="AU9">
        <v>1</v>
      </c>
      <c r="AV9">
        <v>1</v>
      </c>
      <c r="AW9">
        <v>1</v>
      </c>
      <c r="AX9">
        <v>1</v>
      </c>
      <c r="AY9">
        <v>1</v>
      </c>
      <c r="AZ9">
        <v>1</v>
      </c>
      <c r="BA9">
        <v>1</v>
      </c>
      <c r="BB9">
        <v>1</v>
      </c>
      <c r="BC9">
        <v>4</v>
      </c>
      <c r="BD9">
        <v>8</v>
      </c>
      <c r="BE9">
        <v>18</v>
      </c>
      <c r="BF9">
        <v>26</v>
      </c>
      <c r="BG9">
        <v>52</v>
      </c>
      <c r="BH9">
        <v>78</v>
      </c>
      <c r="BI9">
        <v>84</v>
      </c>
      <c r="BJ9">
        <v>115</v>
      </c>
      <c r="BK9">
        <v>136</v>
      </c>
      <c r="BL9">
        <v>160</v>
      </c>
      <c r="BM9">
        <v>194</v>
      </c>
      <c r="BN9">
        <v>235</v>
      </c>
      <c r="BO9">
        <v>249</v>
      </c>
      <c r="BP9">
        <v>265</v>
      </c>
      <c r="BQ9">
        <v>290</v>
      </c>
      <c r="BR9">
        <v>329</v>
      </c>
      <c r="BS9">
        <v>407</v>
      </c>
      <c r="BT9">
        <v>424</v>
      </c>
      <c r="BU9">
        <v>482</v>
      </c>
      <c r="BV9">
        <v>532</v>
      </c>
      <c r="BW9">
        <v>571</v>
      </c>
      <c r="BX9">
        <v>663</v>
      </c>
      <c r="BY9">
        <v>736</v>
      </c>
      <c r="BZ9">
        <v>770</v>
      </c>
      <c r="CA9">
        <v>822</v>
      </c>
      <c r="CB9">
        <v>833</v>
      </c>
      <c r="CC9">
        <v>853</v>
      </c>
      <c r="CD9">
        <v>881</v>
      </c>
      <c r="CE9">
        <v>921</v>
      </c>
      <c r="CF9">
        <v>937</v>
      </c>
      <c r="CG9">
        <v>967</v>
      </c>
      <c r="CH9">
        <v>1013</v>
      </c>
      <c r="CI9">
        <v>1039</v>
      </c>
      <c r="CJ9">
        <v>1067</v>
      </c>
      <c r="CK9">
        <v>1111</v>
      </c>
      <c r="CL9">
        <v>1159</v>
      </c>
      <c r="CM9">
        <v>1201</v>
      </c>
      <c r="CN9">
        <v>1248</v>
      </c>
      <c r="CO9">
        <v>1291</v>
      </c>
      <c r="CP9">
        <v>1339</v>
      </c>
      <c r="CQ9">
        <v>1401</v>
      </c>
      <c r="CR9">
        <v>1473</v>
      </c>
      <c r="CS9">
        <v>1523</v>
      </c>
      <c r="CT9">
        <v>1596</v>
      </c>
      <c r="CU9">
        <v>1677</v>
      </c>
      <c r="CV9">
        <v>1746</v>
      </c>
      <c r="CW9">
        <v>1808</v>
      </c>
      <c r="CX9">
        <v>1867</v>
      </c>
      <c r="CY9">
        <v>1932</v>
      </c>
      <c r="CZ9">
        <v>2066</v>
      </c>
      <c r="DA9">
        <v>2148</v>
      </c>
      <c r="DB9">
        <v>2273</v>
      </c>
    </row>
    <row r="10" spans="1:106" x14ac:dyDescent="0.25">
      <c r="A10" t="s">
        <v>196</v>
      </c>
      <c r="B10" t="s">
        <v>48</v>
      </c>
      <c r="C10">
        <v>-35.473500000000001</v>
      </c>
      <c r="D10">
        <v>149.01240000000001</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1</v>
      </c>
      <c r="BE10">
        <v>1</v>
      </c>
      <c r="BF10">
        <v>1</v>
      </c>
      <c r="BG10">
        <v>2</v>
      </c>
      <c r="BH10">
        <v>2</v>
      </c>
      <c r="BI10">
        <v>3</v>
      </c>
      <c r="BJ10">
        <v>4</v>
      </c>
      <c r="BK10">
        <v>6</v>
      </c>
      <c r="BL10">
        <v>9</v>
      </c>
      <c r="BM10">
        <v>19</v>
      </c>
      <c r="BN10">
        <v>32</v>
      </c>
      <c r="BO10">
        <v>39</v>
      </c>
      <c r="BP10">
        <v>39</v>
      </c>
      <c r="BQ10">
        <v>53</v>
      </c>
      <c r="BR10">
        <v>62</v>
      </c>
      <c r="BS10">
        <v>71</v>
      </c>
      <c r="BT10">
        <v>77</v>
      </c>
      <c r="BU10">
        <v>78</v>
      </c>
      <c r="BV10">
        <v>80</v>
      </c>
      <c r="BW10">
        <v>84</v>
      </c>
      <c r="BX10">
        <v>87</v>
      </c>
      <c r="BY10">
        <v>91</v>
      </c>
      <c r="BZ10">
        <v>93</v>
      </c>
      <c r="CA10">
        <v>96</v>
      </c>
      <c r="CB10">
        <v>96</v>
      </c>
      <c r="CC10">
        <v>96</v>
      </c>
      <c r="CD10">
        <v>99</v>
      </c>
      <c r="CE10">
        <v>100</v>
      </c>
      <c r="CF10">
        <v>103</v>
      </c>
      <c r="CG10">
        <v>103</v>
      </c>
      <c r="CH10">
        <v>103</v>
      </c>
      <c r="CI10">
        <v>102</v>
      </c>
      <c r="CJ10">
        <v>103</v>
      </c>
      <c r="CK10">
        <v>103</v>
      </c>
      <c r="CL10">
        <v>103</v>
      </c>
      <c r="CM10">
        <v>103</v>
      </c>
      <c r="CN10">
        <v>103</v>
      </c>
      <c r="CO10">
        <v>103</v>
      </c>
      <c r="CP10">
        <v>104</v>
      </c>
      <c r="CQ10">
        <v>104</v>
      </c>
      <c r="CR10">
        <v>104</v>
      </c>
      <c r="CS10">
        <v>104</v>
      </c>
      <c r="CT10">
        <v>105</v>
      </c>
      <c r="CU10">
        <v>106</v>
      </c>
      <c r="CV10">
        <v>106</v>
      </c>
      <c r="CW10">
        <v>106</v>
      </c>
      <c r="CX10">
        <v>106</v>
      </c>
      <c r="CY10">
        <v>106</v>
      </c>
      <c r="CZ10">
        <v>106</v>
      </c>
      <c r="DA10">
        <v>106</v>
      </c>
      <c r="DB10">
        <v>106</v>
      </c>
    </row>
    <row r="11" spans="1:106" x14ac:dyDescent="0.25">
      <c r="A11" t="s">
        <v>47</v>
      </c>
      <c r="B11" t="s">
        <v>48</v>
      </c>
      <c r="C11">
        <v>-33.8688</v>
      </c>
      <c r="D11">
        <v>151.20930000000001</v>
      </c>
      <c r="E11">
        <v>0</v>
      </c>
      <c r="F11">
        <v>0</v>
      </c>
      <c r="G11">
        <v>0</v>
      </c>
      <c r="H11">
        <v>0</v>
      </c>
      <c r="I11">
        <v>3</v>
      </c>
      <c r="J11">
        <v>4</v>
      </c>
      <c r="K11">
        <v>4</v>
      </c>
      <c r="L11">
        <v>4</v>
      </c>
      <c r="M11">
        <v>4</v>
      </c>
      <c r="N11">
        <v>4</v>
      </c>
      <c r="O11">
        <v>4</v>
      </c>
      <c r="P11">
        <v>4</v>
      </c>
      <c r="Q11">
        <v>4</v>
      </c>
      <c r="R11">
        <v>4</v>
      </c>
      <c r="S11">
        <v>4</v>
      </c>
      <c r="T11">
        <v>4</v>
      </c>
      <c r="U11">
        <v>4</v>
      </c>
      <c r="V11">
        <v>4</v>
      </c>
      <c r="W11">
        <v>4</v>
      </c>
      <c r="X11">
        <v>4</v>
      </c>
      <c r="Y11">
        <v>4</v>
      </c>
      <c r="Z11">
        <v>4</v>
      </c>
      <c r="AA11">
        <v>4</v>
      </c>
      <c r="AB11">
        <v>4</v>
      </c>
      <c r="AC11">
        <v>4</v>
      </c>
      <c r="AD11">
        <v>4</v>
      </c>
      <c r="AE11">
        <v>4</v>
      </c>
      <c r="AF11">
        <v>4</v>
      </c>
      <c r="AG11">
        <v>4</v>
      </c>
      <c r="AH11">
        <v>4</v>
      </c>
      <c r="AI11">
        <v>4</v>
      </c>
      <c r="AJ11">
        <v>4</v>
      </c>
      <c r="AK11">
        <v>4</v>
      </c>
      <c r="AL11">
        <v>4</v>
      </c>
      <c r="AM11">
        <v>4</v>
      </c>
      <c r="AN11">
        <v>4</v>
      </c>
      <c r="AO11">
        <v>4</v>
      </c>
      <c r="AP11">
        <v>4</v>
      </c>
      <c r="AQ11">
        <v>4</v>
      </c>
      <c r="AR11">
        <v>6</v>
      </c>
      <c r="AS11">
        <v>6</v>
      </c>
      <c r="AT11">
        <v>13</v>
      </c>
      <c r="AU11">
        <v>22</v>
      </c>
      <c r="AV11">
        <v>22</v>
      </c>
      <c r="AW11">
        <v>26</v>
      </c>
      <c r="AX11">
        <v>28</v>
      </c>
      <c r="AY11">
        <v>38</v>
      </c>
      <c r="AZ11">
        <v>48</v>
      </c>
      <c r="BA11">
        <v>55</v>
      </c>
      <c r="BB11">
        <v>65</v>
      </c>
      <c r="BC11">
        <v>65</v>
      </c>
      <c r="BD11">
        <v>92</v>
      </c>
      <c r="BE11">
        <v>112</v>
      </c>
      <c r="BF11">
        <v>134</v>
      </c>
      <c r="BG11">
        <v>171</v>
      </c>
      <c r="BH11">
        <v>210</v>
      </c>
      <c r="BI11">
        <v>267</v>
      </c>
      <c r="BJ11">
        <v>307</v>
      </c>
      <c r="BK11">
        <v>353</v>
      </c>
      <c r="BL11">
        <v>436</v>
      </c>
      <c r="BM11">
        <v>669</v>
      </c>
      <c r="BN11">
        <v>669</v>
      </c>
      <c r="BO11">
        <v>818</v>
      </c>
      <c r="BP11">
        <v>1029</v>
      </c>
      <c r="BQ11">
        <v>1219</v>
      </c>
      <c r="BR11">
        <v>1405</v>
      </c>
      <c r="BS11">
        <v>1617</v>
      </c>
      <c r="BT11">
        <v>1791</v>
      </c>
      <c r="BU11">
        <v>2032</v>
      </c>
      <c r="BV11">
        <v>2032</v>
      </c>
      <c r="BW11">
        <v>2182</v>
      </c>
      <c r="BX11">
        <v>2298</v>
      </c>
      <c r="BY11">
        <v>2389</v>
      </c>
      <c r="BZ11">
        <v>2493</v>
      </c>
      <c r="CA11">
        <v>2580</v>
      </c>
      <c r="CB11">
        <v>2637</v>
      </c>
      <c r="CC11">
        <v>2686</v>
      </c>
      <c r="CD11">
        <v>2734</v>
      </c>
      <c r="CE11">
        <v>2773</v>
      </c>
      <c r="CF11">
        <v>2822</v>
      </c>
      <c r="CG11">
        <v>2857</v>
      </c>
      <c r="CH11">
        <v>2857</v>
      </c>
      <c r="CI11">
        <v>2863</v>
      </c>
      <c r="CJ11">
        <v>2870</v>
      </c>
      <c r="CK11">
        <v>2886</v>
      </c>
      <c r="CL11">
        <v>2897</v>
      </c>
      <c r="CM11">
        <v>2926</v>
      </c>
      <c r="CN11">
        <v>2936</v>
      </c>
      <c r="CO11">
        <v>2957</v>
      </c>
      <c r="CP11">
        <v>2963</v>
      </c>
      <c r="CQ11">
        <v>2969</v>
      </c>
      <c r="CR11">
        <v>2971</v>
      </c>
      <c r="CS11">
        <v>2976</v>
      </c>
      <c r="CT11">
        <v>2982</v>
      </c>
      <c r="CU11">
        <v>2994</v>
      </c>
      <c r="CV11">
        <v>3002</v>
      </c>
      <c r="CW11">
        <v>3004</v>
      </c>
      <c r="CX11">
        <v>3016</v>
      </c>
      <c r="CY11">
        <v>3016</v>
      </c>
      <c r="CZ11">
        <v>3025</v>
      </c>
      <c r="DA11">
        <v>3030</v>
      </c>
      <c r="DB11">
        <v>3035</v>
      </c>
    </row>
    <row r="12" spans="1:106" x14ac:dyDescent="0.25">
      <c r="A12" t="s">
        <v>117</v>
      </c>
      <c r="B12" t="s">
        <v>48</v>
      </c>
      <c r="C12">
        <v>-12.4634</v>
      </c>
      <c r="D12">
        <v>130.84559999999999</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1</v>
      </c>
      <c r="AV12">
        <v>1</v>
      </c>
      <c r="AW12">
        <v>0</v>
      </c>
      <c r="AX12">
        <v>0</v>
      </c>
      <c r="AY12">
        <v>0</v>
      </c>
      <c r="AZ12">
        <v>0</v>
      </c>
      <c r="BA12">
        <v>1</v>
      </c>
      <c r="BB12">
        <v>1</v>
      </c>
      <c r="BC12">
        <v>1</v>
      </c>
      <c r="BD12">
        <v>1</v>
      </c>
      <c r="BE12">
        <v>1</v>
      </c>
      <c r="BF12">
        <v>1</v>
      </c>
      <c r="BG12">
        <v>1</v>
      </c>
      <c r="BH12">
        <v>1</v>
      </c>
      <c r="BI12">
        <v>1</v>
      </c>
      <c r="BJ12">
        <v>1</v>
      </c>
      <c r="BK12">
        <v>3</v>
      </c>
      <c r="BL12">
        <v>3</v>
      </c>
      <c r="BM12">
        <v>5</v>
      </c>
      <c r="BN12">
        <v>5</v>
      </c>
      <c r="BO12">
        <v>6</v>
      </c>
      <c r="BP12">
        <v>6</v>
      </c>
      <c r="BQ12">
        <v>12</v>
      </c>
      <c r="BR12">
        <v>12</v>
      </c>
      <c r="BS12">
        <v>15</v>
      </c>
      <c r="BT12">
        <v>15</v>
      </c>
      <c r="BU12">
        <v>15</v>
      </c>
      <c r="BV12">
        <v>17</v>
      </c>
      <c r="BW12">
        <v>19</v>
      </c>
      <c r="BX12">
        <v>21</v>
      </c>
      <c r="BY12">
        <v>22</v>
      </c>
      <c r="BZ12">
        <v>26</v>
      </c>
      <c r="CA12">
        <v>27</v>
      </c>
      <c r="CB12">
        <v>28</v>
      </c>
      <c r="CC12">
        <v>28</v>
      </c>
      <c r="CD12">
        <v>28</v>
      </c>
      <c r="CE12">
        <v>28</v>
      </c>
      <c r="CF12">
        <v>28</v>
      </c>
      <c r="CG12">
        <v>28</v>
      </c>
      <c r="CH12">
        <v>28</v>
      </c>
      <c r="CI12">
        <v>28</v>
      </c>
      <c r="CJ12">
        <v>28</v>
      </c>
      <c r="CK12">
        <v>28</v>
      </c>
      <c r="CL12">
        <v>28</v>
      </c>
      <c r="CM12">
        <v>28</v>
      </c>
      <c r="CN12">
        <v>28</v>
      </c>
      <c r="CO12">
        <v>28</v>
      </c>
      <c r="CP12">
        <v>28</v>
      </c>
      <c r="CQ12">
        <v>28</v>
      </c>
      <c r="CR12">
        <v>28</v>
      </c>
      <c r="CS12">
        <v>28</v>
      </c>
      <c r="CT12">
        <v>28</v>
      </c>
      <c r="CU12">
        <v>28</v>
      </c>
      <c r="CV12">
        <v>28</v>
      </c>
      <c r="CW12">
        <v>28</v>
      </c>
      <c r="CX12">
        <v>28</v>
      </c>
      <c r="CY12">
        <v>28</v>
      </c>
      <c r="CZ12">
        <v>28</v>
      </c>
      <c r="DA12">
        <v>27</v>
      </c>
      <c r="DB12">
        <v>29</v>
      </c>
    </row>
    <row r="13" spans="1:106" x14ac:dyDescent="0.25">
      <c r="A13" t="s">
        <v>50</v>
      </c>
      <c r="B13" t="s">
        <v>48</v>
      </c>
      <c r="C13">
        <v>-28.0167</v>
      </c>
      <c r="D13">
        <v>153.4</v>
      </c>
      <c r="E13">
        <v>0</v>
      </c>
      <c r="F13">
        <v>0</v>
      </c>
      <c r="G13">
        <v>0</v>
      </c>
      <c r="H13">
        <v>0</v>
      </c>
      <c r="I13">
        <v>0</v>
      </c>
      <c r="J13">
        <v>0</v>
      </c>
      <c r="K13">
        <v>0</v>
      </c>
      <c r="L13">
        <v>1</v>
      </c>
      <c r="M13">
        <v>3</v>
      </c>
      <c r="N13">
        <v>2</v>
      </c>
      <c r="O13">
        <v>3</v>
      </c>
      <c r="P13">
        <v>2</v>
      </c>
      <c r="Q13">
        <v>2</v>
      </c>
      <c r="R13">
        <v>3</v>
      </c>
      <c r="S13">
        <v>3</v>
      </c>
      <c r="T13">
        <v>4</v>
      </c>
      <c r="U13">
        <v>5</v>
      </c>
      <c r="V13">
        <v>5</v>
      </c>
      <c r="W13">
        <v>5</v>
      </c>
      <c r="X13">
        <v>5</v>
      </c>
      <c r="Y13">
        <v>5</v>
      </c>
      <c r="Z13">
        <v>5</v>
      </c>
      <c r="AA13">
        <v>5</v>
      </c>
      <c r="AB13">
        <v>5</v>
      </c>
      <c r="AC13">
        <v>5</v>
      </c>
      <c r="AD13">
        <v>5</v>
      </c>
      <c r="AE13">
        <v>5</v>
      </c>
      <c r="AF13">
        <v>5</v>
      </c>
      <c r="AG13">
        <v>5</v>
      </c>
      <c r="AH13">
        <v>5</v>
      </c>
      <c r="AI13">
        <v>5</v>
      </c>
      <c r="AJ13">
        <v>5</v>
      </c>
      <c r="AK13">
        <v>5</v>
      </c>
      <c r="AL13">
        <v>5</v>
      </c>
      <c r="AM13">
        <v>5</v>
      </c>
      <c r="AN13">
        <v>5</v>
      </c>
      <c r="AO13">
        <v>5</v>
      </c>
      <c r="AP13">
        <v>5</v>
      </c>
      <c r="AQ13">
        <v>9</v>
      </c>
      <c r="AR13">
        <v>9</v>
      </c>
      <c r="AS13">
        <v>9</v>
      </c>
      <c r="AT13">
        <v>11</v>
      </c>
      <c r="AU13">
        <v>11</v>
      </c>
      <c r="AV13">
        <v>13</v>
      </c>
      <c r="AW13">
        <v>13</v>
      </c>
      <c r="AX13">
        <v>13</v>
      </c>
      <c r="AY13">
        <v>15</v>
      </c>
      <c r="AZ13">
        <v>15</v>
      </c>
      <c r="BA13">
        <v>18</v>
      </c>
      <c r="BB13">
        <v>20</v>
      </c>
      <c r="BC13">
        <v>20</v>
      </c>
      <c r="BD13">
        <v>35</v>
      </c>
      <c r="BE13">
        <v>46</v>
      </c>
      <c r="BF13">
        <v>61</v>
      </c>
      <c r="BG13">
        <v>68</v>
      </c>
      <c r="BH13">
        <v>78</v>
      </c>
      <c r="BI13">
        <v>94</v>
      </c>
      <c r="BJ13">
        <v>144</v>
      </c>
      <c r="BK13">
        <v>184</v>
      </c>
      <c r="BL13">
        <v>221</v>
      </c>
      <c r="BM13">
        <v>259</v>
      </c>
      <c r="BN13">
        <v>319</v>
      </c>
      <c r="BO13">
        <v>397</v>
      </c>
      <c r="BP13">
        <v>443</v>
      </c>
      <c r="BQ13">
        <v>493</v>
      </c>
      <c r="BR13">
        <v>555</v>
      </c>
      <c r="BS13">
        <v>625</v>
      </c>
      <c r="BT13">
        <v>656</v>
      </c>
      <c r="BU13">
        <v>689</v>
      </c>
      <c r="BV13">
        <v>743</v>
      </c>
      <c r="BW13">
        <v>781</v>
      </c>
      <c r="BX13">
        <v>835</v>
      </c>
      <c r="BY13">
        <v>873</v>
      </c>
      <c r="BZ13">
        <v>900</v>
      </c>
      <c r="CA13">
        <v>907</v>
      </c>
      <c r="CB13">
        <v>921</v>
      </c>
      <c r="CC13">
        <v>934</v>
      </c>
      <c r="CD13">
        <v>943</v>
      </c>
      <c r="CE13">
        <v>953</v>
      </c>
      <c r="CF13">
        <v>965</v>
      </c>
      <c r="CG13">
        <v>974</v>
      </c>
      <c r="CH13">
        <v>983</v>
      </c>
      <c r="CI13">
        <v>987</v>
      </c>
      <c r="CJ13">
        <v>998</v>
      </c>
      <c r="CK13">
        <v>999</v>
      </c>
      <c r="CL13">
        <v>1001</v>
      </c>
      <c r="CM13">
        <v>1007</v>
      </c>
      <c r="CN13">
        <v>1015</v>
      </c>
      <c r="CO13">
        <v>1019</v>
      </c>
      <c r="CP13">
        <v>1019</v>
      </c>
      <c r="CQ13">
        <v>1024</v>
      </c>
      <c r="CR13">
        <v>1024</v>
      </c>
      <c r="CS13">
        <v>1026</v>
      </c>
      <c r="CT13">
        <v>1026</v>
      </c>
      <c r="CU13">
        <v>1026</v>
      </c>
      <c r="CV13">
        <v>1030</v>
      </c>
      <c r="CW13">
        <v>1033</v>
      </c>
      <c r="CX13">
        <v>1034</v>
      </c>
      <c r="CY13">
        <v>1033</v>
      </c>
      <c r="CZ13">
        <v>1033</v>
      </c>
      <c r="DA13">
        <v>1034</v>
      </c>
      <c r="DB13">
        <v>1035</v>
      </c>
    </row>
    <row r="14" spans="1:106" x14ac:dyDescent="0.25">
      <c r="A14" t="s">
        <v>62</v>
      </c>
      <c r="B14" t="s">
        <v>48</v>
      </c>
      <c r="C14">
        <v>-34.9285</v>
      </c>
      <c r="D14">
        <v>138.60069999999999</v>
      </c>
      <c r="E14">
        <v>0</v>
      </c>
      <c r="F14">
        <v>0</v>
      </c>
      <c r="G14">
        <v>0</v>
      </c>
      <c r="H14">
        <v>0</v>
      </c>
      <c r="I14">
        <v>0</v>
      </c>
      <c r="J14">
        <v>0</v>
      </c>
      <c r="K14">
        <v>0</v>
      </c>
      <c r="L14">
        <v>0</v>
      </c>
      <c r="M14">
        <v>0</v>
      </c>
      <c r="N14">
        <v>0</v>
      </c>
      <c r="O14">
        <v>1</v>
      </c>
      <c r="P14">
        <v>2</v>
      </c>
      <c r="Q14">
        <v>2</v>
      </c>
      <c r="R14">
        <v>2</v>
      </c>
      <c r="S14">
        <v>2</v>
      </c>
      <c r="T14">
        <v>2</v>
      </c>
      <c r="U14">
        <v>2</v>
      </c>
      <c r="V14">
        <v>2</v>
      </c>
      <c r="W14">
        <v>2</v>
      </c>
      <c r="X14">
        <v>2</v>
      </c>
      <c r="Y14">
        <v>2</v>
      </c>
      <c r="Z14">
        <v>2</v>
      </c>
      <c r="AA14">
        <v>2</v>
      </c>
      <c r="AB14">
        <v>2</v>
      </c>
      <c r="AC14">
        <v>2</v>
      </c>
      <c r="AD14">
        <v>2</v>
      </c>
      <c r="AE14">
        <v>2</v>
      </c>
      <c r="AF14">
        <v>2</v>
      </c>
      <c r="AG14">
        <v>2</v>
      </c>
      <c r="AH14">
        <v>2</v>
      </c>
      <c r="AI14">
        <v>2</v>
      </c>
      <c r="AJ14">
        <v>2</v>
      </c>
      <c r="AK14">
        <v>2</v>
      </c>
      <c r="AL14">
        <v>2</v>
      </c>
      <c r="AM14">
        <v>2</v>
      </c>
      <c r="AN14">
        <v>2</v>
      </c>
      <c r="AO14">
        <v>2</v>
      </c>
      <c r="AP14">
        <v>2</v>
      </c>
      <c r="AQ14">
        <v>3</v>
      </c>
      <c r="AR14">
        <v>3</v>
      </c>
      <c r="AS14">
        <v>3</v>
      </c>
      <c r="AT14">
        <v>3</v>
      </c>
      <c r="AU14">
        <v>5</v>
      </c>
      <c r="AV14">
        <v>5</v>
      </c>
      <c r="AW14">
        <v>7</v>
      </c>
      <c r="AX14">
        <v>7</v>
      </c>
      <c r="AY14">
        <v>7</v>
      </c>
      <c r="AZ14">
        <v>7</v>
      </c>
      <c r="BA14">
        <v>7</v>
      </c>
      <c r="BB14">
        <v>9</v>
      </c>
      <c r="BC14">
        <v>9</v>
      </c>
      <c r="BD14">
        <v>16</v>
      </c>
      <c r="BE14">
        <v>19</v>
      </c>
      <c r="BF14">
        <v>20</v>
      </c>
      <c r="BG14">
        <v>29</v>
      </c>
      <c r="BH14">
        <v>29</v>
      </c>
      <c r="BI14">
        <v>37</v>
      </c>
      <c r="BJ14">
        <v>42</v>
      </c>
      <c r="BK14">
        <v>50</v>
      </c>
      <c r="BL14">
        <v>67</v>
      </c>
      <c r="BM14">
        <v>100</v>
      </c>
      <c r="BN14">
        <v>134</v>
      </c>
      <c r="BO14">
        <v>170</v>
      </c>
      <c r="BP14">
        <v>170</v>
      </c>
      <c r="BQ14">
        <v>235</v>
      </c>
      <c r="BR14">
        <v>257</v>
      </c>
      <c r="BS14">
        <v>287</v>
      </c>
      <c r="BT14">
        <v>299</v>
      </c>
      <c r="BU14">
        <v>305</v>
      </c>
      <c r="BV14">
        <v>337</v>
      </c>
      <c r="BW14">
        <v>367</v>
      </c>
      <c r="BX14">
        <v>367</v>
      </c>
      <c r="BY14">
        <v>396</v>
      </c>
      <c r="BZ14">
        <v>407</v>
      </c>
      <c r="CA14">
        <v>407</v>
      </c>
      <c r="CB14">
        <v>411</v>
      </c>
      <c r="CC14">
        <v>411</v>
      </c>
      <c r="CD14">
        <v>415</v>
      </c>
      <c r="CE14">
        <v>420</v>
      </c>
      <c r="CF14">
        <v>428</v>
      </c>
      <c r="CG14">
        <v>429</v>
      </c>
      <c r="CH14">
        <v>429</v>
      </c>
      <c r="CI14">
        <v>429</v>
      </c>
      <c r="CJ14">
        <v>433</v>
      </c>
      <c r="CK14">
        <v>433</v>
      </c>
      <c r="CL14">
        <v>433</v>
      </c>
      <c r="CM14">
        <v>435</v>
      </c>
      <c r="CN14">
        <v>435</v>
      </c>
      <c r="CO14">
        <v>435</v>
      </c>
      <c r="CP14">
        <v>435</v>
      </c>
      <c r="CQ14">
        <v>437</v>
      </c>
      <c r="CR14">
        <v>438</v>
      </c>
      <c r="CS14">
        <v>438</v>
      </c>
      <c r="CT14">
        <v>438</v>
      </c>
      <c r="CU14">
        <v>438</v>
      </c>
      <c r="CV14">
        <v>438</v>
      </c>
      <c r="CW14">
        <v>438</v>
      </c>
      <c r="CX14">
        <v>438</v>
      </c>
      <c r="CY14">
        <v>438</v>
      </c>
      <c r="CZ14">
        <v>438</v>
      </c>
      <c r="DA14">
        <v>438</v>
      </c>
      <c r="DB14">
        <v>438</v>
      </c>
    </row>
    <row r="15" spans="1:106" x14ac:dyDescent="0.25">
      <c r="A15" t="s">
        <v>106</v>
      </c>
      <c r="B15" t="s">
        <v>48</v>
      </c>
      <c r="C15">
        <v>-41.454500000000003</v>
      </c>
      <c r="D15">
        <v>145.97069999999999</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1</v>
      </c>
      <c r="AT15">
        <v>1</v>
      </c>
      <c r="AU15">
        <v>1</v>
      </c>
      <c r="AV15">
        <v>1</v>
      </c>
      <c r="AW15">
        <v>1</v>
      </c>
      <c r="AX15">
        <v>1</v>
      </c>
      <c r="AY15">
        <v>2</v>
      </c>
      <c r="AZ15">
        <v>2</v>
      </c>
      <c r="BA15">
        <v>2</v>
      </c>
      <c r="BB15">
        <v>3</v>
      </c>
      <c r="BC15">
        <v>3</v>
      </c>
      <c r="BD15">
        <v>5</v>
      </c>
      <c r="BE15">
        <v>5</v>
      </c>
      <c r="BF15">
        <v>6</v>
      </c>
      <c r="BG15">
        <v>7</v>
      </c>
      <c r="BH15">
        <v>7</v>
      </c>
      <c r="BI15">
        <v>10</v>
      </c>
      <c r="BJ15">
        <v>10</v>
      </c>
      <c r="BK15">
        <v>10</v>
      </c>
      <c r="BL15">
        <v>16</v>
      </c>
      <c r="BM15">
        <v>22</v>
      </c>
      <c r="BN15">
        <v>28</v>
      </c>
      <c r="BO15">
        <v>28</v>
      </c>
      <c r="BP15">
        <v>36</v>
      </c>
      <c r="BQ15">
        <v>47</v>
      </c>
      <c r="BR15">
        <v>47</v>
      </c>
      <c r="BS15">
        <v>62</v>
      </c>
      <c r="BT15">
        <v>66</v>
      </c>
      <c r="BU15">
        <v>66</v>
      </c>
      <c r="BV15">
        <v>69</v>
      </c>
      <c r="BW15">
        <v>69</v>
      </c>
      <c r="BX15">
        <v>72</v>
      </c>
      <c r="BY15">
        <v>74</v>
      </c>
      <c r="BZ15">
        <v>80</v>
      </c>
      <c r="CA15">
        <v>82</v>
      </c>
      <c r="CB15">
        <v>86</v>
      </c>
      <c r="CC15">
        <v>89</v>
      </c>
      <c r="CD15">
        <v>98</v>
      </c>
      <c r="CE15">
        <v>111</v>
      </c>
      <c r="CF15">
        <v>122</v>
      </c>
      <c r="CG15">
        <v>133</v>
      </c>
      <c r="CH15">
        <v>133</v>
      </c>
      <c r="CI15">
        <v>144</v>
      </c>
      <c r="CJ15">
        <v>165</v>
      </c>
      <c r="CK15">
        <v>165</v>
      </c>
      <c r="CL15">
        <v>169</v>
      </c>
      <c r="CM15">
        <v>180</v>
      </c>
      <c r="CN15">
        <v>188</v>
      </c>
      <c r="CO15">
        <v>195</v>
      </c>
      <c r="CP15">
        <v>200</v>
      </c>
      <c r="CQ15">
        <v>201</v>
      </c>
      <c r="CR15">
        <v>205</v>
      </c>
      <c r="CS15">
        <v>207</v>
      </c>
      <c r="CT15">
        <v>207</v>
      </c>
      <c r="CU15">
        <v>207</v>
      </c>
      <c r="CV15">
        <v>212</v>
      </c>
      <c r="CW15">
        <v>214</v>
      </c>
      <c r="CX15">
        <v>218</v>
      </c>
      <c r="CY15">
        <v>219</v>
      </c>
      <c r="CZ15">
        <v>221</v>
      </c>
      <c r="DA15">
        <v>221</v>
      </c>
      <c r="DB15">
        <v>221</v>
      </c>
    </row>
    <row r="16" spans="1:106" x14ac:dyDescent="0.25">
      <c r="A16" t="s">
        <v>49</v>
      </c>
      <c r="B16" t="s">
        <v>48</v>
      </c>
      <c r="C16">
        <v>-37.813600000000001</v>
      </c>
      <c r="D16">
        <v>144.9631</v>
      </c>
      <c r="E16">
        <v>0</v>
      </c>
      <c r="F16">
        <v>0</v>
      </c>
      <c r="G16">
        <v>0</v>
      </c>
      <c r="H16">
        <v>0</v>
      </c>
      <c r="I16">
        <v>1</v>
      </c>
      <c r="J16">
        <v>1</v>
      </c>
      <c r="K16">
        <v>1</v>
      </c>
      <c r="L16">
        <v>1</v>
      </c>
      <c r="M16">
        <v>2</v>
      </c>
      <c r="N16">
        <v>3</v>
      </c>
      <c r="O16">
        <v>4</v>
      </c>
      <c r="P16">
        <v>4</v>
      </c>
      <c r="Q16">
        <v>4</v>
      </c>
      <c r="R16">
        <v>4</v>
      </c>
      <c r="S16">
        <v>4</v>
      </c>
      <c r="T16">
        <v>4</v>
      </c>
      <c r="U16">
        <v>4</v>
      </c>
      <c r="V16">
        <v>4</v>
      </c>
      <c r="W16">
        <v>4</v>
      </c>
      <c r="X16">
        <v>4</v>
      </c>
      <c r="Y16">
        <v>4</v>
      </c>
      <c r="Z16">
        <v>4</v>
      </c>
      <c r="AA16">
        <v>4</v>
      </c>
      <c r="AB16">
        <v>4</v>
      </c>
      <c r="AC16">
        <v>4</v>
      </c>
      <c r="AD16">
        <v>4</v>
      </c>
      <c r="AE16">
        <v>4</v>
      </c>
      <c r="AF16">
        <v>4</v>
      </c>
      <c r="AG16">
        <v>4</v>
      </c>
      <c r="AH16">
        <v>4</v>
      </c>
      <c r="AI16">
        <v>4</v>
      </c>
      <c r="AJ16">
        <v>4</v>
      </c>
      <c r="AK16">
        <v>4</v>
      </c>
      <c r="AL16">
        <v>4</v>
      </c>
      <c r="AM16">
        <v>4</v>
      </c>
      <c r="AN16">
        <v>4</v>
      </c>
      <c r="AO16">
        <v>4</v>
      </c>
      <c r="AP16">
        <v>4</v>
      </c>
      <c r="AQ16">
        <v>7</v>
      </c>
      <c r="AR16">
        <v>7</v>
      </c>
      <c r="AS16">
        <v>9</v>
      </c>
      <c r="AT16">
        <v>9</v>
      </c>
      <c r="AU16">
        <v>10</v>
      </c>
      <c r="AV16">
        <v>10</v>
      </c>
      <c r="AW16">
        <v>10</v>
      </c>
      <c r="AX16">
        <v>11</v>
      </c>
      <c r="AY16">
        <v>11</v>
      </c>
      <c r="AZ16">
        <v>15</v>
      </c>
      <c r="BA16">
        <v>18</v>
      </c>
      <c r="BB16">
        <v>21</v>
      </c>
      <c r="BC16">
        <v>21</v>
      </c>
      <c r="BD16">
        <v>36</v>
      </c>
      <c r="BE16">
        <v>49</v>
      </c>
      <c r="BF16">
        <v>57</v>
      </c>
      <c r="BG16">
        <v>71</v>
      </c>
      <c r="BH16">
        <v>94</v>
      </c>
      <c r="BI16">
        <v>121</v>
      </c>
      <c r="BJ16">
        <v>121</v>
      </c>
      <c r="BK16">
        <v>121</v>
      </c>
      <c r="BL16">
        <v>229</v>
      </c>
      <c r="BM16">
        <v>355</v>
      </c>
      <c r="BN16">
        <v>355</v>
      </c>
      <c r="BO16">
        <v>411</v>
      </c>
      <c r="BP16">
        <v>466</v>
      </c>
      <c r="BQ16">
        <v>520</v>
      </c>
      <c r="BR16">
        <v>574</v>
      </c>
      <c r="BS16">
        <v>685</v>
      </c>
      <c r="BT16">
        <v>769</v>
      </c>
      <c r="BU16">
        <v>821</v>
      </c>
      <c r="BV16">
        <v>917</v>
      </c>
      <c r="BW16">
        <v>968</v>
      </c>
      <c r="BX16">
        <v>1036</v>
      </c>
      <c r="BY16">
        <v>1085</v>
      </c>
      <c r="BZ16">
        <v>1115</v>
      </c>
      <c r="CA16">
        <v>1135</v>
      </c>
      <c r="CB16">
        <v>1158</v>
      </c>
      <c r="CC16">
        <v>1191</v>
      </c>
      <c r="CD16">
        <v>1212</v>
      </c>
      <c r="CE16">
        <v>1228</v>
      </c>
      <c r="CF16">
        <v>1241</v>
      </c>
      <c r="CG16">
        <v>1265</v>
      </c>
      <c r="CH16">
        <v>1268</v>
      </c>
      <c r="CI16">
        <v>1281</v>
      </c>
      <c r="CJ16">
        <v>1291</v>
      </c>
      <c r="CK16">
        <v>1299</v>
      </c>
      <c r="CL16">
        <v>1299</v>
      </c>
      <c r="CM16">
        <v>1302</v>
      </c>
      <c r="CN16">
        <v>1319</v>
      </c>
      <c r="CO16">
        <v>1328</v>
      </c>
      <c r="CP16">
        <v>1329</v>
      </c>
      <c r="CQ16">
        <v>1336</v>
      </c>
      <c r="CR16">
        <v>1336</v>
      </c>
      <c r="CS16">
        <v>1337</v>
      </c>
      <c r="CT16">
        <v>1343</v>
      </c>
      <c r="CU16">
        <v>1346</v>
      </c>
      <c r="CV16">
        <v>1349</v>
      </c>
      <c r="CW16">
        <v>1349</v>
      </c>
      <c r="CX16">
        <v>1354</v>
      </c>
      <c r="CY16">
        <v>1361</v>
      </c>
      <c r="CZ16">
        <v>1364</v>
      </c>
      <c r="DA16">
        <v>1371</v>
      </c>
      <c r="DB16">
        <v>1384</v>
      </c>
    </row>
    <row r="17" spans="1:106" x14ac:dyDescent="0.25">
      <c r="A17" t="s">
        <v>95</v>
      </c>
      <c r="B17" t="s">
        <v>48</v>
      </c>
      <c r="C17">
        <v>-31.950500000000002</v>
      </c>
      <c r="D17">
        <v>115.8605</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2</v>
      </c>
      <c r="AR17">
        <v>2</v>
      </c>
      <c r="AS17">
        <v>2</v>
      </c>
      <c r="AT17">
        <v>2</v>
      </c>
      <c r="AU17">
        <v>2</v>
      </c>
      <c r="AV17">
        <v>3</v>
      </c>
      <c r="AW17">
        <v>3</v>
      </c>
      <c r="AX17">
        <v>3</v>
      </c>
      <c r="AY17">
        <v>3</v>
      </c>
      <c r="AZ17">
        <v>4</v>
      </c>
      <c r="BA17">
        <v>6</v>
      </c>
      <c r="BB17">
        <v>9</v>
      </c>
      <c r="BC17">
        <v>9</v>
      </c>
      <c r="BD17">
        <v>14</v>
      </c>
      <c r="BE17">
        <v>17</v>
      </c>
      <c r="BF17">
        <v>17</v>
      </c>
      <c r="BG17">
        <v>28</v>
      </c>
      <c r="BH17">
        <v>31</v>
      </c>
      <c r="BI17">
        <v>35</v>
      </c>
      <c r="BJ17">
        <v>52</v>
      </c>
      <c r="BK17">
        <v>64</v>
      </c>
      <c r="BL17">
        <v>90</v>
      </c>
      <c r="BM17">
        <v>120</v>
      </c>
      <c r="BN17">
        <v>140</v>
      </c>
      <c r="BO17">
        <v>175</v>
      </c>
      <c r="BP17">
        <v>175</v>
      </c>
      <c r="BQ17">
        <v>231</v>
      </c>
      <c r="BR17">
        <v>231</v>
      </c>
      <c r="BS17">
        <v>278</v>
      </c>
      <c r="BT17">
        <v>311</v>
      </c>
      <c r="BU17">
        <v>355</v>
      </c>
      <c r="BV17">
        <v>364</v>
      </c>
      <c r="BW17">
        <v>392</v>
      </c>
      <c r="BX17">
        <v>400</v>
      </c>
      <c r="BY17">
        <v>400</v>
      </c>
      <c r="BZ17">
        <v>436</v>
      </c>
      <c r="CA17">
        <v>453</v>
      </c>
      <c r="CB17">
        <v>460</v>
      </c>
      <c r="CC17">
        <v>460</v>
      </c>
      <c r="CD17">
        <v>481</v>
      </c>
      <c r="CE17">
        <v>495</v>
      </c>
      <c r="CF17">
        <v>506</v>
      </c>
      <c r="CG17">
        <v>514</v>
      </c>
      <c r="CH17">
        <v>514</v>
      </c>
      <c r="CI17">
        <v>517</v>
      </c>
      <c r="CJ17">
        <v>527</v>
      </c>
      <c r="CK17">
        <v>527</v>
      </c>
      <c r="CL17">
        <v>532</v>
      </c>
      <c r="CM17">
        <v>541</v>
      </c>
      <c r="CN17">
        <v>544</v>
      </c>
      <c r="CO17">
        <v>545</v>
      </c>
      <c r="CP17">
        <v>545</v>
      </c>
      <c r="CQ17">
        <v>546</v>
      </c>
      <c r="CR17">
        <v>546</v>
      </c>
      <c r="CS17">
        <v>546</v>
      </c>
      <c r="CT17">
        <v>548</v>
      </c>
      <c r="CU17">
        <v>549</v>
      </c>
      <c r="CV17">
        <v>549</v>
      </c>
      <c r="CW17">
        <v>549</v>
      </c>
      <c r="CX17">
        <v>550</v>
      </c>
      <c r="CY17">
        <v>551</v>
      </c>
      <c r="CZ17">
        <v>551</v>
      </c>
      <c r="DA17">
        <v>551</v>
      </c>
      <c r="DB17">
        <v>551</v>
      </c>
    </row>
    <row r="18" spans="1:106" x14ac:dyDescent="0.25">
      <c r="B18" t="s">
        <v>76</v>
      </c>
      <c r="C18">
        <v>47.516199999999998</v>
      </c>
      <c r="D18">
        <v>14.5501</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2</v>
      </c>
      <c r="AN18">
        <v>2</v>
      </c>
      <c r="AO18">
        <v>3</v>
      </c>
      <c r="AP18">
        <v>3</v>
      </c>
      <c r="AQ18">
        <v>9</v>
      </c>
      <c r="AR18">
        <v>14</v>
      </c>
      <c r="AS18">
        <v>18</v>
      </c>
      <c r="AT18">
        <v>21</v>
      </c>
      <c r="AU18">
        <v>29</v>
      </c>
      <c r="AV18">
        <v>41</v>
      </c>
      <c r="AW18">
        <v>55</v>
      </c>
      <c r="AX18">
        <v>79</v>
      </c>
      <c r="AY18">
        <v>104</v>
      </c>
      <c r="AZ18">
        <v>131</v>
      </c>
      <c r="BA18">
        <v>182</v>
      </c>
      <c r="BB18">
        <v>246</v>
      </c>
      <c r="BC18">
        <v>302</v>
      </c>
      <c r="BD18">
        <v>504</v>
      </c>
      <c r="BE18">
        <v>655</v>
      </c>
      <c r="BF18">
        <v>860</v>
      </c>
      <c r="BG18">
        <v>1018</v>
      </c>
      <c r="BH18">
        <v>1332</v>
      </c>
      <c r="BI18">
        <v>1646</v>
      </c>
      <c r="BJ18">
        <v>2013</v>
      </c>
      <c r="BK18">
        <v>2388</v>
      </c>
      <c r="BL18">
        <v>2814</v>
      </c>
      <c r="BM18">
        <v>3582</v>
      </c>
      <c r="BN18">
        <v>4474</v>
      </c>
      <c r="BO18">
        <v>5283</v>
      </c>
      <c r="BP18">
        <v>5588</v>
      </c>
      <c r="BQ18">
        <v>6909</v>
      </c>
      <c r="BR18">
        <v>7657</v>
      </c>
      <c r="BS18">
        <v>8271</v>
      </c>
      <c r="BT18">
        <v>8788</v>
      </c>
      <c r="BU18">
        <v>9618</v>
      </c>
      <c r="BV18">
        <v>10180</v>
      </c>
      <c r="BW18">
        <v>10711</v>
      </c>
      <c r="BX18">
        <v>11129</v>
      </c>
      <c r="BY18">
        <v>11524</v>
      </c>
      <c r="BZ18">
        <v>11781</v>
      </c>
      <c r="CA18">
        <v>12051</v>
      </c>
      <c r="CB18">
        <v>12297</v>
      </c>
      <c r="CC18">
        <v>12639</v>
      </c>
      <c r="CD18">
        <v>12942</v>
      </c>
      <c r="CE18">
        <v>13244</v>
      </c>
      <c r="CF18">
        <v>13555</v>
      </c>
      <c r="CG18">
        <v>13806</v>
      </c>
      <c r="CH18">
        <v>13945</v>
      </c>
      <c r="CI18">
        <v>14041</v>
      </c>
      <c r="CJ18">
        <v>14226</v>
      </c>
      <c r="CK18">
        <v>14336</v>
      </c>
      <c r="CL18">
        <v>14476</v>
      </c>
      <c r="CM18">
        <v>14595</v>
      </c>
      <c r="CN18">
        <v>14671</v>
      </c>
      <c r="CO18">
        <v>14749</v>
      </c>
      <c r="CP18">
        <v>14795</v>
      </c>
      <c r="CQ18">
        <v>14873</v>
      </c>
      <c r="CR18">
        <v>14925</v>
      </c>
      <c r="CS18">
        <v>15002</v>
      </c>
      <c r="CT18">
        <v>15071</v>
      </c>
      <c r="CU18">
        <v>15148</v>
      </c>
      <c r="CV18">
        <v>15225</v>
      </c>
      <c r="CW18">
        <v>15274</v>
      </c>
      <c r="CX18">
        <v>15357</v>
      </c>
      <c r="CY18">
        <v>15402</v>
      </c>
      <c r="CZ18">
        <v>15452</v>
      </c>
      <c r="DA18">
        <v>15531</v>
      </c>
      <c r="DB18">
        <v>15558</v>
      </c>
    </row>
    <row r="19" spans="1:106" x14ac:dyDescent="0.25">
      <c r="B19" t="s">
        <v>100</v>
      </c>
      <c r="C19">
        <v>40.143099999999997</v>
      </c>
      <c r="D19">
        <v>47.576900000000002</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3</v>
      </c>
      <c r="AS19">
        <v>3</v>
      </c>
      <c r="AT19">
        <v>3</v>
      </c>
      <c r="AU19">
        <v>3</v>
      </c>
      <c r="AV19">
        <v>6</v>
      </c>
      <c r="AW19">
        <v>6</v>
      </c>
      <c r="AX19">
        <v>9</v>
      </c>
      <c r="AY19">
        <v>9</v>
      </c>
      <c r="AZ19">
        <v>9</v>
      </c>
      <c r="BA19">
        <v>11</v>
      </c>
      <c r="BB19">
        <v>11</v>
      </c>
      <c r="BC19">
        <v>11</v>
      </c>
      <c r="BD19">
        <v>15</v>
      </c>
      <c r="BE19">
        <v>15</v>
      </c>
      <c r="BF19">
        <v>23</v>
      </c>
      <c r="BG19">
        <v>28</v>
      </c>
      <c r="BH19">
        <v>28</v>
      </c>
      <c r="BI19">
        <v>28</v>
      </c>
      <c r="BJ19">
        <v>44</v>
      </c>
      <c r="BK19">
        <v>44</v>
      </c>
      <c r="BL19">
        <v>53</v>
      </c>
      <c r="BM19">
        <v>65</v>
      </c>
      <c r="BN19">
        <v>72</v>
      </c>
      <c r="BO19">
        <v>87</v>
      </c>
      <c r="BP19">
        <v>93</v>
      </c>
      <c r="BQ19">
        <v>122</v>
      </c>
      <c r="BR19">
        <v>165</v>
      </c>
      <c r="BS19">
        <v>182</v>
      </c>
      <c r="BT19">
        <v>209</v>
      </c>
      <c r="BU19">
        <v>273</v>
      </c>
      <c r="BV19">
        <v>298</v>
      </c>
      <c r="BW19">
        <v>359</v>
      </c>
      <c r="BX19">
        <v>400</v>
      </c>
      <c r="BY19">
        <v>443</v>
      </c>
      <c r="BZ19">
        <v>521</v>
      </c>
      <c r="CA19">
        <v>584</v>
      </c>
      <c r="CB19">
        <v>641</v>
      </c>
      <c r="CC19">
        <v>717</v>
      </c>
      <c r="CD19">
        <v>822</v>
      </c>
      <c r="CE19">
        <v>926</v>
      </c>
      <c r="CF19">
        <v>991</v>
      </c>
      <c r="CG19">
        <v>1058</v>
      </c>
      <c r="CH19">
        <v>1098</v>
      </c>
      <c r="CI19">
        <v>1148</v>
      </c>
      <c r="CJ19">
        <v>1197</v>
      </c>
      <c r="CK19">
        <v>1253</v>
      </c>
      <c r="CL19">
        <v>1283</v>
      </c>
      <c r="CM19">
        <v>1340</v>
      </c>
      <c r="CN19">
        <v>1373</v>
      </c>
      <c r="CO19">
        <v>1398</v>
      </c>
      <c r="CP19">
        <v>1436</v>
      </c>
      <c r="CQ19">
        <v>1480</v>
      </c>
      <c r="CR19">
        <v>1518</v>
      </c>
      <c r="CS19">
        <v>1548</v>
      </c>
      <c r="CT19">
        <v>1592</v>
      </c>
      <c r="CU19">
        <v>1617</v>
      </c>
      <c r="CV19">
        <v>1645</v>
      </c>
      <c r="CW19">
        <v>1678</v>
      </c>
      <c r="CX19">
        <v>1717</v>
      </c>
      <c r="CY19">
        <v>1766</v>
      </c>
      <c r="CZ19">
        <v>1804</v>
      </c>
      <c r="DA19">
        <v>1854</v>
      </c>
      <c r="DB19">
        <v>1894</v>
      </c>
    </row>
    <row r="20" spans="1:106" x14ac:dyDescent="0.25">
      <c r="B20" t="s">
        <v>1130</v>
      </c>
      <c r="C20">
        <v>25.034300000000002</v>
      </c>
      <c r="D20">
        <v>-77.396299999999997</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1</v>
      </c>
      <c r="BH20">
        <v>1</v>
      </c>
      <c r="BI20">
        <v>1</v>
      </c>
      <c r="BJ20">
        <v>3</v>
      </c>
      <c r="BK20">
        <v>3</v>
      </c>
      <c r="BL20">
        <v>4</v>
      </c>
      <c r="BM20">
        <v>4</v>
      </c>
      <c r="BN20">
        <v>4</v>
      </c>
      <c r="BO20">
        <v>5</v>
      </c>
      <c r="BP20">
        <v>5</v>
      </c>
      <c r="BQ20">
        <v>9</v>
      </c>
      <c r="BR20">
        <v>10</v>
      </c>
      <c r="BS20">
        <v>10</v>
      </c>
      <c r="BT20">
        <v>11</v>
      </c>
      <c r="BU20">
        <v>14</v>
      </c>
      <c r="BV20">
        <v>14</v>
      </c>
      <c r="BW20">
        <v>21</v>
      </c>
      <c r="BX20">
        <v>24</v>
      </c>
      <c r="BY20">
        <v>24</v>
      </c>
      <c r="BZ20">
        <v>28</v>
      </c>
      <c r="CA20">
        <v>28</v>
      </c>
      <c r="CB20">
        <v>29</v>
      </c>
      <c r="CC20">
        <v>33</v>
      </c>
      <c r="CD20">
        <v>40</v>
      </c>
      <c r="CE20">
        <v>41</v>
      </c>
      <c r="CF20">
        <v>42</v>
      </c>
      <c r="CG20">
        <v>46</v>
      </c>
      <c r="CH20">
        <v>46</v>
      </c>
      <c r="CI20">
        <v>47</v>
      </c>
      <c r="CJ20">
        <v>49</v>
      </c>
      <c r="CK20">
        <v>49</v>
      </c>
      <c r="CL20">
        <v>53</v>
      </c>
      <c r="CM20">
        <v>54</v>
      </c>
      <c r="CN20">
        <v>55</v>
      </c>
      <c r="CO20">
        <v>55</v>
      </c>
      <c r="CP20">
        <v>60</v>
      </c>
      <c r="CQ20">
        <v>65</v>
      </c>
      <c r="CR20">
        <v>65</v>
      </c>
      <c r="CS20">
        <v>72</v>
      </c>
      <c r="CT20">
        <v>73</v>
      </c>
      <c r="CU20">
        <v>78</v>
      </c>
      <c r="CV20">
        <v>80</v>
      </c>
      <c r="CW20">
        <v>80</v>
      </c>
      <c r="CX20">
        <v>80</v>
      </c>
      <c r="CY20">
        <v>80</v>
      </c>
      <c r="CZ20">
        <v>81</v>
      </c>
      <c r="DA20">
        <v>81</v>
      </c>
      <c r="DB20">
        <v>83</v>
      </c>
    </row>
    <row r="21" spans="1:106" x14ac:dyDescent="0.25">
      <c r="B21" t="s">
        <v>71</v>
      </c>
      <c r="C21">
        <v>26.0275</v>
      </c>
      <c r="D21">
        <v>50.55</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1</v>
      </c>
      <c r="AM21">
        <v>23</v>
      </c>
      <c r="AN21">
        <v>33</v>
      </c>
      <c r="AO21">
        <v>33</v>
      </c>
      <c r="AP21">
        <v>36</v>
      </c>
      <c r="AQ21">
        <v>41</v>
      </c>
      <c r="AR21">
        <v>47</v>
      </c>
      <c r="AS21">
        <v>49</v>
      </c>
      <c r="AT21">
        <v>49</v>
      </c>
      <c r="AU21">
        <v>52</v>
      </c>
      <c r="AV21">
        <v>55</v>
      </c>
      <c r="AW21">
        <v>60</v>
      </c>
      <c r="AX21">
        <v>85</v>
      </c>
      <c r="AY21">
        <v>85</v>
      </c>
      <c r="AZ21">
        <v>95</v>
      </c>
      <c r="BA21">
        <v>110</v>
      </c>
      <c r="BB21">
        <v>195</v>
      </c>
      <c r="BC21">
        <v>195</v>
      </c>
      <c r="BD21">
        <v>195</v>
      </c>
      <c r="BE21">
        <v>210</v>
      </c>
      <c r="BF21">
        <v>214</v>
      </c>
      <c r="BG21">
        <v>214</v>
      </c>
      <c r="BH21">
        <v>228</v>
      </c>
      <c r="BI21">
        <v>256</v>
      </c>
      <c r="BJ21">
        <v>278</v>
      </c>
      <c r="BK21">
        <v>285</v>
      </c>
      <c r="BL21">
        <v>305</v>
      </c>
      <c r="BM21">
        <v>334</v>
      </c>
      <c r="BN21">
        <v>377</v>
      </c>
      <c r="BO21">
        <v>392</v>
      </c>
      <c r="BP21">
        <v>419</v>
      </c>
      <c r="BQ21">
        <v>458</v>
      </c>
      <c r="BR21">
        <v>466</v>
      </c>
      <c r="BS21">
        <v>476</v>
      </c>
      <c r="BT21">
        <v>499</v>
      </c>
      <c r="BU21">
        <v>515</v>
      </c>
      <c r="BV21">
        <v>567</v>
      </c>
      <c r="BW21">
        <v>569</v>
      </c>
      <c r="BX21">
        <v>643</v>
      </c>
      <c r="BY21">
        <v>672</v>
      </c>
      <c r="BZ21">
        <v>688</v>
      </c>
      <c r="CA21">
        <v>700</v>
      </c>
      <c r="CB21">
        <v>756</v>
      </c>
      <c r="CC21">
        <v>811</v>
      </c>
      <c r="CD21">
        <v>823</v>
      </c>
      <c r="CE21">
        <v>887</v>
      </c>
      <c r="CF21">
        <v>925</v>
      </c>
      <c r="CG21">
        <v>1040</v>
      </c>
      <c r="CH21">
        <v>1136</v>
      </c>
      <c r="CI21">
        <v>1361</v>
      </c>
      <c r="CJ21">
        <v>1528</v>
      </c>
      <c r="CK21">
        <v>1671</v>
      </c>
      <c r="CL21">
        <v>1700</v>
      </c>
      <c r="CM21">
        <v>1740</v>
      </c>
      <c r="CN21">
        <v>1773</v>
      </c>
      <c r="CO21">
        <v>1881</v>
      </c>
      <c r="CP21">
        <v>1907</v>
      </c>
      <c r="CQ21">
        <v>1973</v>
      </c>
      <c r="CR21">
        <v>2027</v>
      </c>
      <c r="CS21">
        <v>2217</v>
      </c>
      <c r="CT21">
        <v>2518</v>
      </c>
      <c r="CU21">
        <v>2588</v>
      </c>
      <c r="CV21">
        <v>2647</v>
      </c>
      <c r="CW21">
        <v>2723</v>
      </c>
      <c r="CX21">
        <v>2811</v>
      </c>
      <c r="CY21">
        <v>2921</v>
      </c>
      <c r="CZ21">
        <v>3040</v>
      </c>
      <c r="DA21">
        <v>3170</v>
      </c>
      <c r="DB21">
        <v>3284</v>
      </c>
    </row>
    <row r="22" spans="1:106" x14ac:dyDescent="0.25">
      <c r="B22" t="s">
        <v>138</v>
      </c>
      <c r="C22">
        <v>23.684999999999999</v>
      </c>
      <c r="D22">
        <v>90.356300000000005</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3</v>
      </c>
      <c r="AZ22">
        <v>3</v>
      </c>
      <c r="BA22">
        <v>3</v>
      </c>
      <c r="BB22">
        <v>3</v>
      </c>
      <c r="BC22">
        <v>3</v>
      </c>
      <c r="BD22">
        <v>3</v>
      </c>
      <c r="BE22">
        <v>3</v>
      </c>
      <c r="BF22">
        <v>5</v>
      </c>
      <c r="BG22">
        <v>8</v>
      </c>
      <c r="BH22">
        <v>10</v>
      </c>
      <c r="BI22">
        <v>14</v>
      </c>
      <c r="BJ22">
        <v>17</v>
      </c>
      <c r="BK22">
        <v>20</v>
      </c>
      <c r="BL22">
        <v>25</v>
      </c>
      <c r="BM22">
        <v>27</v>
      </c>
      <c r="BN22">
        <v>33</v>
      </c>
      <c r="BO22">
        <v>39</v>
      </c>
      <c r="BP22">
        <v>39</v>
      </c>
      <c r="BQ22">
        <v>44</v>
      </c>
      <c r="BR22">
        <v>48</v>
      </c>
      <c r="BS22">
        <v>48</v>
      </c>
      <c r="BT22">
        <v>48</v>
      </c>
      <c r="BU22">
        <v>49</v>
      </c>
      <c r="BV22">
        <v>51</v>
      </c>
      <c r="BW22">
        <v>54</v>
      </c>
      <c r="BX22">
        <v>56</v>
      </c>
      <c r="BY22">
        <v>61</v>
      </c>
      <c r="BZ22">
        <v>70</v>
      </c>
      <c r="CA22">
        <v>88</v>
      </c>
      <c r="CB22">
        <v>123</v>
      </c>
      <c r="CC22">
        <v>164</v>
      </c>
      <c r="CD22">
        <v>218</v>
      </c>
      <c r="CE22">
        <v>330</v>
      </c>
      <c r="CF22">
        <v>424</v>
      </c>
      <c r="CG22">
        <v>482</v>
      </c>
      <c r="CH22">
        <v>621</v>
      </c>
      <c r="CI22">
        <v>803</v>
      </c>
      <c r="CJ22">
        <v>1012</v>
      </c>
      <c r="CK22">
        <v>1231</v>
      </c>
      <c r="CL22">
        <v>1572</v>
      </c>
      <c r="CM22">
        <v>1838</v>
      </c>
      <c r="CN22">
        <v>2144</v>
      </c>
      <c r="CO22">
        <v>2456</v>
      </c>
      <c r="CP22">
        <v>2948</v>
      </c>
      <c r="CQ22">
        <v>3382</v>
      </c>
      <c r="CR22">
        <v>3772</v>
      </c>
      <c r="CS22">
        <v>4186</v>
      </c>
      <c r="CT22">
        <v>4689</v>
      </c>
      <c r="CU22">
        <v>4998</v>
      </c>
      <c r="CV22">
        <v>5416</v>
      </c>
      <c r="CW22">
        <v>5913</v>
      </c>
      <c r="CX22">
        <v>6462</v>
      </c>
      <c r="CY22">
        <v>7103</v>
      </c>
      <c r="CZ22">
        <v>7667</v>
      </c>
      <c r="DA22">
        <v>8238</v>
      </c>
      <c r="DB22">
        <v>8790</v>
      </c>
    </row>
    <row r="23" spans="1:106" x14ac:dyDescent="0.25">
      <c r="B23" t="s">
        <v>666</v>
      </c>
      <c r="C23">
        <v>13.193899999999999</v>
      </c>
      <c r="D23">
        <v>-59.543199999999999</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2</v>
      </c>
      <c r="BI23">
        <v>2</v>
      </c>
      <c r="BJ23">
        <v>5</v>
      </c>
      <c r="BK23">
        <v>5</v>
      </c>
      <c r="BL23">
        <v>6</v>
      </c>
      <c r="BM23">
        <v>14</v>
      </c>
      <c r="BN23">
        <v>17</v>
      </c>
      <c r="BO23">
        <v>18</v>
      </c>
      <c r="BP23">
        <v>18</v>
      </c>
      <c r="BQ23">
        <v>18</v>
      </c>
      <c r="BR23">
        <v>24</v>
      </c>
      <c r="BS23">
        <v>26</v>
      </c>
      <c r="BT23">
        <v>33</v>
      </c>
      <c r="BU23">
        <v>33</v>
      </c>
      <c r="BV23">
        <v>34</v>
      </c>
      <c r="BW23">
        <v>34</v>
      </c>
      <c r="BX23">
        <v>46</v>
      </c>
      <c r="BY23">
        <v>51</v>
      </c>
      <c r="BZ23">
        <v>52</v>
      </c>
      <c r="CA23">
        <v>56</v>
      </c>
      <c r="CB23">
        <v>60</v>
      </c>
      <c r="CC23">
        <v>63</v>
      </c>
      <c r="CD23">
        <v>63</v>
      </c>
      <c r="CE23">
        <v>66</v>
      </c>
      <c r="CF23">
        <v>67</v>
      </c>
      <c r="CG23">
        <v>68</v>
      </c>
      <c r="CH23">
        <v>71</v>
      </c>
      <c r="CI23">
        <v>72</v>
      </c>
      <c r="CJ23">
        <v>72</v>
      </c>
      <c r="CK23">
        <v>73</v>
      </c>
      <c r="CL23">
        <v>75</v>
      </c>
      <c r="CM23">
        <v>75</v>
      </c>
      <c r="CN23">
        <v>75</v>
      </c>
      <c r="CO23">
        <v>75</v>
      </c>
      <c r="CP23">
        <v>75</v>
      </c>
      <c r="CQ23">
        <v>75</v>
      </c>
      <c r="CR23">
        <v>75</v>
      </c>
      <c r="CS23">
        <v>76</v>
      </c>
      <c r="CT23">
        <v>77</v>
      </c>
      <c r="CU23">
        <v>79</v>
      </c>
      <c r="CV23">
        <v>79</v>
      </c>
      <c r="CW23">
        <v>80</v>
      </c>
      <c r="CX23">
        <v>80</v>
      </c>
      <c r="CY23">
        <v>80</v>
      </c>
      <c r="CZ23">
        <v>81</v>
      </c>
      <c r="DA23">
        <v>81</v>
      </c>
      <c r="DB23">
        <v>81</v>
      </c>
    </row>
    <row r="24" spans="1:106" x14ac:dyDescent="0.25">
      <c r="B24" t="s">
        <v>89</v>
      </c>
      <c r="C24">
        <v>53.709800000000001</v>
      </c>
      <c r="D24">
        <v>27.953399999999998</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1</v>
      </c>
      <c r="AQ24">
        <v>1</v>
      </c>
      <c r="AR24">
        <v>1</v>
      </c>
      <c r="AS24">
        <v>1</v>
      </c>
      <c r="AT24">
        <v>1</v>
      </c>
      <c r="AU24">
        <v>6</v>
      </c>
      <c r="AV24">
        <v>6</v>
      </c>
      <c r="AW24">
        <v>6</v>
      </c>
      <c r="AX24">
        <v>6</v>
      </c>
      <c r="AY24">
        <v>6</v>
      </c>
      <c r="AZ24">
        <v>6</v>
      </c>
      <c r="BA24">
        <v>9</v>
      </c>
      <c r="BB24">
        <v>9</v>
      </c>
      <c r="BC24">
        <v>12</v>
      </c>
      <c r="BD24">
        <v>27</v>
      </c>
      <c r="BE24">
        <v>27</v>
      </c>
      <c r="BF24">
        <v>27</v>
      </c>
      <c r="BG24">
        <v>36</v>
      </c>
      <c r="BH24">
        <v>36</v>
      </c>
      <c r="BI24">
        <v>51</v>
      </c>
      <c r="BJ24">
        <v>51</v>
      </c>
      <c r="BK24">
        <v>69</v>
      </c>
      <c r="BL24">
        <v>76</v>
      </c>
      <c r="BM24">
        <v>76</v>
      </c>
      <c r="BN24">
        <v>81</v>
      </c>
      <c r="BO24">
        <v>81</v>
      </c>
      <c r="BP24">
        <v>86</v>
      </c>
      <c r="BQ24">
        <v>86</v>
      </c>
      <c r="BR24">
        <v>94</v>
      </c>
      <c r="BS24">
        <v>94</v>
      </c>
      <c r="BT24">
        <v>94</v>
      </c>
      <c r="BU24">
        <v>152</v>
      </c>
      <c r="BV24">
        <v>152</v>
      </c>
      <c r="BW24">
        <v>163</v>
      </c>
      <c r="BX24">
        <v>304</v>
      </c>
      <c r="BY24">
        <v>351</v>
      </c>
      <c r="BZ24">
        <v>440</v>
      </c>
      <c r="CA24">
        <v>562</v>
      </c>
      <c r="CB24">
        <v>700</v>
      </c>
      <c r="CC24">
        <v>861</v>
      </c>
      <c r="CD24">
        <v>1066</v>
      </c>
      <c r="CE24">
        <v>1486</v>
      </c>
      <c r="CF24">
        <v>1981</v>
      </c>
      <c r="CG24">
        <v>2226</v>
      </c>
      <c r="CH24">
        <v>2578</v>
      </c>
      <c r="CI24">
        <v>2919</v>
      </c>
      <c r="CJ24">
        <v>3281</v>
      </c>
      <c r="CK24">
        <v>3728</v>
      </c>
      <c r="CL24">
        <v>4204</v>
      </c>
      <c r="CM24">
        <v>4779</v>
      </c>
      <c r="CN24">
        <v>4779</v>
      </c>
      <c r="CO24">
        <v>4779</v>
      </c>
      <c r="CP24">
        <v>6264</v>
      </c>
      <c r="CQ24">
        <v>6723</v>
      </c>
      <c r="CR24">
        <v>7281</v>
      </c>
      <c r="CS24">
        <v>8022</v>
      </c>
      <c r="CT24">
        <v>8773</v>
      </c>
      <c r="CU24">
        <v>9590</v>
      </c>
      <c r="CV24">
        <v>10463</v>
      </c>
      <c r="CW24">
        <v>11289</v>
      </c>
      <c r="CX24">
        <v>12208</v>
      </c>
      <c r="CY24">
        <v>13181</v>
      </c>
      <c r="CZ24">
        <v>14027</v>
      </c>
      <c r="DA24">
        <v>14917</v>
      </c>
      <c r="DB24">
        <v>15828</v>
      </c>
    </row>
    <row r="25" spans="1:106" x14ac:dyDescent="0.25">
      <c r="B25" t="s">
        <v>63</v>
      </c>
      <c r="C25">
        <v>50.833300000000001</v>
      </c>
      <c r="D25">
        <v>4</v>
      </c>
      <c r="E25">
        <v>0</v>
      </c>
      <c r="F25">
        <v>0</v>
      </c>
      <c r="G25">
        <v>0</v>
      </c>
      <c r="H25">
        <v>0</v>
      </c>
      <c r="I25">
        <v>0</v>
      </c>
      <c r="J25">
        <v>0</v>
      </c>
      <c r="K25">
        <v>0</v>
      </c>
      <c r="L25">
        <v>0</v>
      </c>
      <c r="M25">
        <v>0</v>
      </c>
      <c r="N25">
        <v>0</v>
      </c>
      <c r="O25">
        <v>0</v>
      </c>
      <c r="P25">
        <v>0</v>
      </c>
      <c r="Q25">
        <v>0</v>
      </c>
      <c r="R25">
        <v>1</v>
      </c>
      <c r="S25">
        <v>1</v>
      </c>
      <c r="T25">
        <v>1</v>
      </c>
      <c r="U25">
        <v>1</v>
      </c>
      <c r="V25">
        <v>1</v>
      </c>
      <c r="W25">
        <v>1</v>
      </c>
      <c r="X25">
        <v>1</v>
      </c>
      <c r="Y25">
        <v>1</v>
      </c>
      <c r="Z25">
        <v>1</v>
      </c>
      <c r="AA25">
        <v>1</v>
      </c>
      <c r="AB25">
        <v>1</v>
      </c>
      <c r="AC25">
        <v>1</v>
      </c>
      <c r="AD25">
        <v>1</v>
      </c>
      <c r="AE25">
        <v>1</v>
      </c>
      <c r="AF25">
        <v>1</v>
      </c>
      <c r="AG25">
        <v>1</v>
      </c>
      <c r="AH25">
        <v>1</v>
      </c>
      <c r="AI25">
        <v>1</v>
      </c>
      <c r="AJ25">
        <v>1</v>
      </c>
      <c r="AK25">
        <v>1</v>
      </c>
      <c r="AL25">
        <v>1</v>
      </c>
      <c r="AM25">
        <v>1</v>
      </c>
      <c r="AN25">
        <v>1</v>
      </c>
      <c r="AO25">
        <v>1</v>
      </c>
      <c r="AP25">
        <v>1</v>
      </c>
      <c r="AQ25">
        <v>1</v>
      </c>
      <c r="AR25">
        <v>2</v>
      </c>
      <c r="AS25">
        <v>8</v>
      </c>
      <c r="AT25">
        <v>13</v>
      </c>
      <c r="AU25">
        <v>23</v>
      </c>
      <c r="AV25">
        <v>50</v>
      </c>
      <c r="AW25">
        <v>109</v>
      </c>
      <c r="AX25">
        <v>169</v>
      </c>
      <c r="AY25">
        <v>200</v>
      </c>
      <c r="AZ25">
        <v>239</v>
      </c>
      <c r="BA25">
        <v>267</v>
      </c>
      <c r="BB25">
        <v>314</v>
      </c>
      <c r="BC25">
        <v>314</v>
      </c>
      <c r="BD25">
        <v>559</v>
      </c>
      <c r="BE25">
        <v>689</v>
      </c>
      <c r="BF25">
        <v>886</v>
      </c>
      <c r="BG25">
        <v>1058</v>
      </c>
      <c r="BH25">
        <v>1243</v>
      </c>
      <c r="BI25">
        <v>1486</v>
      </c>
      <c r="BJ25">
        <v>1795</v>
      </c>
      <c r="BK25">
        <v>2257</v>
      </c>
      <c r="BL25">
        <v>2815</v>
      </c>
      <c r="BM25">
        <v>3401</v>
      </c>
      <c r="BN25">
        <v>3743</v>
      </c>
      <c r="BO25">
        <v>4269</v>
      </c>
      <c r="BP25">
        <v>4937</v>
      </c>
      <c r="BQ25">
        <v>6235</v>
      </c>
      <c r="BR25">
        <v>7284</v>
      </c>
      <c r="BS25">
        <v>9134</v>
      </c>
      <c r="BT25">
        <v>10836</v>
      </c>
      <c r="BU25">
        <v>11899</v>
      </c>
      <c r="BV25">
        <v>12775</v>
      </c>
      <c r="BW25">
        <v>13964</v>
      </c>
      <c r="BX25">
        <v>15348</v>
      </c>
      <c r="BY25">
        <v>16770</v>
      </c>
      <c r="BZ25">
        <v>18431</v>
      </c>
      <c r="CA25">
        <v>19691</v>
      </c>
      <c r="CB25">
        <v>20814</v>
      </c>
      <c r="CC25">
        <v>22194</v>
      </c>
      <c r="CD25">
        <v>23403</v>
      </c>
      <c r="CE25">
        <v>24983</v>
      </c>
      <c r="CF25">
        <v>26667</v>
      </c>
      <c r="CG25">
        <v>28018</v>
      </c>
      <c r="CH25">
        <v>29647</v>
      </c>
      <c r="CI25">
        <v>30589</v>
      </c>
      <c r="CJ25">
        <v>31119</v>
      </c>
      <c r="CK25">
        <v>33573</v>
      </c>
      <c r="CL25">
        <v>34809</v>
      </c>
      <c r="CM25">
        <v>36138</v>
      </c>
      <c r="CN25">
        <v>37183</v>
      </c>
      <c r="CO25">
        <v>38496</v>
      </c>
      <c r="CP25">
        <v>39983</v>
      </c>
      <c r="CQ25">
        <v>40956</v>
      </c>
      <c r="CR25">
        <v>41889</v>
      </c>
      <c r="CS25">
        <v>42797</v>
      </c>
      <c r="CT25">
        <v>44293</v>
      </c>
      <c r="CU25">
        <v>45325</v>
      </c>
      <c r="CV25">
        <v>46134</v>
      </c>
      <c r="CW25">
        <v>46687</v>
      </c>
      <c r="CX25">
        <v>47334</v>
      </c>
      <c r="CY25">
        <v>47859</v>
      </c>
      <c r="CZ25">
        <v>48519</v>
      </c>
      <c r="DA25">
        <v>49032</v>
      </c>
      <c r="DB25">
        <v>49517</v>
      </c>
    </row>
    <row r="26" spans="1:106" x14ac:dyDescent="0.25">
      <c r="B26" t="s">
        <v>661</v>
      </c>
      <c r="C26">
        <v>9.3077000000000005</v>
      </c>
      <c r="D26">
        <v>2.3157999999999999</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1</v>
      </c>
      <c r="BH26">
        <v>1</v>
      </c>
      <c r="BI26">
        <v>2</v>
      </c>
      <c r="BJ26">
        <v>2</v>
      </c>
      <c r="BK26">
        <v>2</v>
      </c>
      <c r="BL26">
        <v>2</v>
      </c>
      <c r="BM26">
        <v>2</v>
      </c>
      <c r="BN26">
        <v>5</v>
      </c>
      <c r="BO26">
        <v>6</v>
      </c>
      <c r="BP26">
        <v>6</v>
      </c>
      <c r="BQ26">
        <v>6</v>
      </c>
      <c r="BR26">
        <v>6</v>
      </c>
      <c r="BS26">
        <v>6</v>
      </c>
      <c r="BT26">
        <v>6</v>
      </c>
      <c r="BU26">
        <v>6</v>
      </c>
      <c r="BV26">
        <v>9</v>
      </c>
      <c r="BW26">
        <v>13</v>
      </c>
      <c r="BX26">
        <v>13</v>
      </c>
      <c r="BY26">
        <v>16</v>
      </c>
      <c r="BZ26">
        <v>16</v>
      </c>
      <c r="CA26">
        <v>22</v>
      </c>
      <c r="CB26">
        <v>26</v>
      </c>
      <c r="CC26">
        <v>26</v>
      </c>
      <c r="CD26">
        <v>26</v>
      </c>
      <c r="CE26">
        <v>26</v>
      </c>
      <c r="CF26">
        <v>35</v>
      </c>
      <c r="CG26">
        <v>35</v>
      </c>
      <c r="CH26">
        <v>35</v>
      </c>
      <c r="CI26">
        <v>35</v>
      </c>
      <c r="CJ26">
        <v>35</v>
      </c>
      <c r="CK26">
        <v>35</v>
      </c>
      <c r="CL26">
        <v>35</v>
      </c>
      <c r="CM26">
        <v>35</v>
      </c>
      <c r="CN26">
        <v>35</v>
      </c>
      <c r="CO26">
        <v>35</v>
      </c>
      <c r="CP26">
        <v>54</v>
      </c>
      <c r="CQ26">
        <v>54</v>
      </c>
      <c r="CR26">
        <v>54</v>
      </c>
      <c r="CS26">
        <v>54</v>
      </c>
      <c r="CT26">
        <v>54</v>
      </c>
      <c r="CU26">
        <v>54</v>
      </c>
      <c r="CV26">
        <v>64</v>
      </c>
      <c r="CW26">
        <v>64</v>
      </c>
      <c r="CX26">
        <v>64</v>
      </c>
      <c r="CY26">
        <v>64</v>
      </c>
      <c r="CZ26">
        <v>64</v>
      </c>
      <c r="DA26">
        <v>90</v>
      </c>
      <c r="DB26">
        <v>90</v>
      </c>
    </row>
    <row r="27" spans="1:106" x14ac:dyDescent="0.25">
      <c r="B27" t="s">
        <v>125</v>
      </c>
      <c r="C27">
        <v>27.514199999999999</v>
      </c>
      <c r="D27">
        <v>90.433599999999998</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1</v>
      </c>
      <c r="AX27">
        <v>1</v>
      </c>
      <c r="AY27">
        <v>1</v>
      </c>
      <c r="AZ27">
        <v>1</v>
      </c>
      <c r="BA27">
        <v>1</v>
      </c>
      <c r="BB27">
        <v>1</v>
      </c>
      <c r="BC27">
        <v>1</v>
      </c>
      <c r="BD27">
        <v>1</v>
      </c>
      <c r="BE27">
        <v>1</v>
      </c>
      <c r="BF27">
        <v>1</v>
      </c>
      <c r="BG27">
        <v>1</v>
      </c>
      <c r="BH27">
        <v>1</v>
      </c>
      <c r="BI27">
        <v>1</v>
      </c>
      <c r="BJ27">
        <v>1</v>
      </c>
      <c r="BK27">
        <v>2</v>
      </c>
      <c r="BL27">
        <v>2</v>
      </c>
      <c r="BM27">
        <v>2</v>
      </c>
      <c r="BN27">
        <v>2</v>
      </c>
      <c r="BO27">
        <v>2</v>
      </c>
      <c r="BP27">
        <v>2</v>
      </c>
      <c r="BQ27">
        <v>2</v>
      </c>
      <c r="BR27">
        <v>3</v>
      </c>
      <c r="BS27">
        <v>3</v>
      </c>
      <c r="BT27">
        <v>4</v>
      </c>
      <c r="BU27">
        <v>4</v>
      </c>
      <c r="BV27">
        <v>4</v>
      </c>
      <c r="BW27">
        <v>4</v>
      </c>
      <c r="BX27">
        <v>5</v>
      </c>
      <c r="BY27">
        <v>5</v>
      </c>
      <c r="BZ27">
        <v>5</v>
      </c>
      <c r="CA27">
        <v>5</v>
      </c>
      <c r="CB27">
        <v>5</v>
      </c>
      <c r="CC27">
        <v>5</v>
      </c>
      <c r="CD27">
        <v>5</v>
      </c>
      <c r="CE27">
        <v>5</v>
      </c>
      <c r="CF27">
        <v>5</v>
      </c>
      <c r="CG27">
        <v>5</v>
      </c>
      <c r="CH27">
        <v>5</v>
      </c>
      <c r="CI27">
        <v>5</v>
      </c>
      <c r="CJ27">
        <v>5</v>
      </c>
      <c r="CK27">
        <v>5</v>
      </c>
      <c r="CL27">
        <v>5</v>
      </c>
      <c r="CM27">
        <v>5</v>
      </c>
      <c r="CN27">
        <v>5</v>
      </c>
      <c r="CO27">
        <v>5</v>
      </c>
      <c r="CP27">
        <v>5</v>
      </c>
      <c r="CQ27">
        <v>6</v>
      </c>
      <c r="CR27">
        <v>6</v>
      </c>
      <c r="CS27">
        <v>7</v>
      </c>
      <c r="CT27">
        <v>7</v>
      </c>
      <c r="CU27">
        <v>7</v>
      </c>
      <c r="CV27">
        <v>7</v>
      </c>
      <c r="CW27">
        <v>7</v>
      </c>
      <c r="CX27">
        <v>7</v>
      </c>
      <c r="CY27">
        <v>7</v>
      </c>
      <c r="CZ27">
        <v>7</v>
      </c>
      <c r="DA27">
        <v>7</v>
      </c>
      <c r="DB27">
        <v>7</v>
      </c>
    </row>
    <row r="28" spans="1:106" x14ac:dyDescent="0.25">
      <c r="B28" t="s">
        <v>178</v>
      </c>
      <c r="C28">
        <v>-16.290199999999999</v>
      </c>
      <c r="D28">
        <v>-63.588700000000003</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2</v>
      </c>
      <c r="BC28">
        <v>2</v>
      </c>
      <c r="BD28">
        <v>3</v>
      </c>
      <c r="BE28">
        <v>10</v>
      </c>
      <c r="BF28">
        <v>10</v>
      </c>
      <c r="BG28">
        <v>11</v>
      </c>
      <c r="BH28">
        <v>11</v>
      </c>
      <c r="BI28">
        <v>12</v>
      </c>
      <c r="BJ28">
        <v>12</v>
      </c>
      <c r="BK28">
        <v>15</v>
      </c>
      <c r="BL28">
        <v>19</v>
      </c>
      <c r="BM28">
        <v>24</v>
      </c>
      <c r="BN28">
        <v>27</v>
      </c>
      <c r="BO28">
        <v>29</v>
      </c>
      <c r="BP28">
        <v>32</v>
      </c>
      <c r="BQ28">
        <v>43</v>
      </c>
      <c r="BR28">
        <v>61</v>
      </c>
      <c r="BS28">
        <v>74</v>
      </c>
      <c r="BT28">
        <v>81</v>
      </c>
      <c r="BU28">
        <v>97</v>
      </c>
      <c r="BV28">
        <v>107</v>
      </c>
      <c r="BW28">
        <v>115</v>
      </c>
      <c r="BX28">
        <v>123</v>
      </c>
      <c r="BY28">
        <v>132</v>
      </c>
      <c r="BZ28">
        <v>139</v>
      </c>
      <c r="CA28">
        <v>157</v>
      </c>
      <c r="CB28">
        <v>183</v>
      </c>
      <c r="CC28">
        <v>194</v>
      </c>
      <c r="CD28">
        <v>210</v>
      </c>
      <c r="CE28">
        <v>264</v>
      </c>
      <c r="CF28">
        <v>268</v>
      </c>
      <c r="CG28">
        <v>275</v>
      </c>
      <c r="CH28">
        <v>300</v>
      </c>
      <c r="CI28">
        <v>330</v>
      </c>
      <c r="CJ28">
        <v>354</v>
      </c>
      <c r="CK28">
        <v>397</v>
      </c>
      <c r="CL28">
        <v>441</v>
      </c>
      <c r="CM28">
        <v>465</v>
      </c>
      <c r="CN28">
        <v>493</v>
      </c>
      <c r="CO28">
        <v>520</v>
      </c>
      <c r="CP28">
        <v>564</v>
      </c>
      <c r="CQ28">
        <v>598</v>
      </c>
      <c r="CR28">
        <v>609</v>
      </c>
      <c r="CS28">
        <v>703</v>
      </c>
      <c r="CT28">
        <v>807</v>
      </c>
      <c r="CU28">
        <v>866</v>
      </c>
      <c r="CV28">
        <v>950</v>
      </c>
      <c r="CW28">
        <v>1014</v>
      </c>
      <c r="CX28">
        <v>1014</v>
      </c>
      <c r="CY28">
        <v>1110</v>
      </c>
      <c r="CZ28">
        <v>1110</v>
      </c>
      <c r="DA28">
        <v>1229</v>
      </c>
      <c r="DB28">
        <v>1229</v>
      </c>
    </row>
    <row r="29" spans="1:106" x14ac:dyDescent="0.25">
      <c r="B29" t="s">
        <v>122</v>
      </c>
      <c r="C29">
        <v>43.915900000000001</v>
      </c>
      <c r="D29">
        <v>17.679099999999998</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2</v>
      </c>
      <c r="AW29">
        <v>2</v>
      </c>
      <c r="AX29">
        <v>3</v>
      </c>
      <c r="AY29">
        <v>3</v>
      </c>
      <c r="AZ29">
        <v>3</v>
      </c>
      <c r="BA29">
        <v>5</v>
      </c>
      <c r="BB29">
        <v>7</v>
      </c>
      <c r="BC29">
        <v>11</v>
      </c>
      <c r="BD29">
        <v>13</v>
      </c>
      <c r="BE29">
        <v>18</v>
      </c>
      <c r="BF29">
        <v>24</v>
      </c>
      <c r="BG29">
        <v>25</v>
      </c>
      <c r="BH29">
        <v>26</v>
      </c>
      <c r="BI29">
        <v>38</v>
      </c>
      <c r="BJ29">
        <v>63</v>
      </c>
      <c r="BK29">
        <v>89</v>
      </c>
      <c r="BL29">
        <v>93</v>
      </c>
      <c r="BM29">
        <v>126</v>
      </c>
      <c r="BN29">
        <v>136</v>
      </c>
      <c r="BO29">
        <v>166</v>
      </c>
      <c r="BP29">
        <v>176</v>
      </c>
      <c r="BQ29">
        <v>191</v>
      </c>
      <c r="BR29">
        <v>237</v>
      </c>
      <c r="BS29">
        <v>258</v>
      </c>
      <c r="BT29">
        <v>323</v>
      </c>
      <c r="BU29">
        <v>368</v>
      </c>
      <c r="BV29">
        <v>420</v>
      </c>
      <c r="BW29">
        <v>459</v>
      </c>
      <c r="BX29">
        <v>533</v>
      </c>
      <c r="BY29">
        <v>579</v>
      </c>
      <c r="BZ29">
        <v>624</v>
      </c>
      <c r="CA29">
        <v>654</v>
      </c>
      <c r="CB29">
        <v>674</v>
      </c>
      <c r="CC29">
        <v>764</v>
      </c>
      <c r="CD29">
        <v>804</v>
      </c>
      <c r="CE29">
        <v>858</v>
      </c>
      <c r="CF29">
        <v>901</v>
      </c>
      <c r="CG29">
        <v>946</v>
      </c>
      <c r="CH29">
        <v>1009</v>
      </c>
      <c r="CI29">
        <v>1037</v>
      </c>
      <c r="CJ29">
        <v>1083</v>
      </c>
      <c r="CK29">
        <v>1110</v>
      </c>
      <c r="CL29">
        <v>1167</v>
      </c>
      <c r="CM29">
        <v>1214</v>
      </c>
      <c r="CN29">
        <v>1268</v>
      </c>
      <c r="CO29">
        <v>1285</v>
      </c>
      <c r="CP29">
        <v>1309</v>
      </c>
      <c r="CQ29">
        <v>1342</v>
      </c>
      <c r="CR29">
        <v>1368</v>
      </c>
      <c r="CS29">
        <v>1413</v>
      </c>
      <c r="CT29">
        <v>1421</v>
      </c>
      <c r="CU29">
        <v>1486</v>
      </c>
      <c r="CV29">
        <v>1516</v>
      </c>
      <c r="CW29">
        <v>1565</v>
      </c>
      <c r="CX29">
        <v>1585</v>
      </c>
      <c r="CY29">
        <v>1677</v>
      </c>
      <c r="CZ29">
        <v>1757</v>
      </c>
      <c r="DA29">
        <v>1781</v>
      </c>
      <c r="DB29">
        <v>1839</v>
      </c>
    </row>
    <row r="30" spans="1:106" x14ac:dyDescent="0.25">
      <c r="B30" t="s">
        <v>79</v>
      </c>
      <c r="C30">
        <v>-14.234999999999999</v>
      </c>
      <c r="D30">
        <v>-51.9253</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1</v>
      </c>
      <c r="AO30">
        <v>1</v>
      </c>
      <c r="AP30">
        <v>1</v>
      </c>
      <c r="AQ30">
        <v>2</v>
      </c>
      <c r="AR30">
        <v>2</v>
      </c>
      <c r="AS30">
        <v>2</v>
      </c>
      <c r="AT30">
        <v>2</v>
      </c>
      <c r="AU30">
        <v>4</v>
      </c>
      <c r="AV30">
        <v>4</v>
      </c>
      <c r="AW30">
        <v>13</v>
      </c>
      <c r="AX30">
        <v>13</v>
      </c>
      <c r="AY30">
        <v>20</v>
      </c>
      <c r="AZ30">
        <v>25</v>
      </c>
      <c r="BA30">
        <v>31</v>
      </c>
      <c r="BB30">
        <v>38</v>
      </c>
      <c r="BC30">
        <v>52</v>
      </c>
      <c r="BD30">
        <v>151</v>
      </c>
      <c r="BE30">
        <v>151</v>
      </c>
      <c r="BF30">
        <v>162</v>
      </c>
      <c r="BG30">
        <v>200</v>
      </c>
      <c r="BH30">
        <v>321</v>
      </c>
      <c r="BI30">
        <v>372</v>
      </c>
      <c r="BJ30">
        <v>621</v>
      </c>
      <c r="BK30">
        <v>793</v>
      </c>
      <c r="BL30">
        <v>1021</v>
      </c>
      <c r="BM30">
        <v>1546</v>
      </c>
      <c r="BN30">
        <v>1924</v>
      </c>
      <c r="BO30">
        <v>2247</v>
      </c>
      <c r="BP30">
        <v>2554</v>
      </c>
      <c r="BQ30">
        <v>2985</v>
      </c>
      <c r="BR30">
        <v>3417</v>
      </c>
      <c r="BS30">
        <v>3904</v>
      </c>
      <c r="BT30">
        <v>4256</v>
      </c>
      <c r="BU30">
        <v>4579</v>
      </c>
      <c r="BV30">
        <v>5717</v>
      </c>
      <c r="BW30">
        <v>6836</v>
      </c>
      <c r="BX30">
        <v>8044</v>
      </c>
      <c r="BY30">
        <v>9056</v>
      </c>
      <c r="BZ30">
        <v>10360</v>
      </c>
      <c r="CA30">
        <v>11130</v>
      </c>
      <c r="CB30">
        <v>12161</v>
      </c>
      <c r="CC30">
        <v>14034</v>
      </c>
      <c r="CD30">
        <v>16170</v>
      </c>
      <c r="CE30">
        <v>18092</v>
      </c>
      <c r="CF30">
        <v>19638</v>
      </c>
      <c r="CG30">
        <v>20727</v>
      </c>
      <c r="CH30">
        <v>22192</v>
      </c>
      <c r="CI30">
        <v>23430</v>
      </c>
      <c r="CJ30">
        <v>25262</v>
      </c>
      <c r="CK30">
        <v>28320</v>
      </c>
      <c r="CL30">
        <v>30425</v>
      </c>
      <c r="CM30">
        <v>33682</v>
      </c>
      <c r="CN30">
        <v>36658</v>
      </c>
      <c r="CO30">
        <v>38654</v>
      </c>
      <c r="CP30">
        <v>40743</v>
      </c>
      <c r="CQ30">
        <v>43079</v>
      </c>
      <c r="CR30">
        <v>45757</v>
      </c>
      <c r="CS30">
        <v>50036</v>
      </c>
      <c r="CT30">
        <v>54043</v>
      </c>
      <c r="CU30">
        <v>59324</v>
      </c>
      <c r="CV30">
        <v>63100</v>
      </c>
      <c r="CW30">
        <v>67446</v>
      </c>
      <c r="CX30">
        <v>73235</v>
      </c>
      <c r="CY30">
        <v>79685</v>
      </c>
      <c r="CZ30">
        <v>87187</v>
      </c>
      <c r="DA30">
        <v>92202</v>
      </c>
      <c r="DB30">
        <v>97100</v>
      </c>
    </row>
    <row r="31" spans="1:106" x14ac:dyDescent="0.25">
      <c r="B31" t="s">
        <v>146</v>
      </c>
      <c r="C31">
        <v>4.5353000000000003</v>
      </c>
      <c r="D31">
        <v>114.7277</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1</v>
      </c>
      <c r="BA31">
        <v>1</v>
      </c>
      <c r="BB31">
        <v>11</v>
      </c>
      <c r="BC31">
        <v>11</v>
      </c>
      <c r="BD31">
        <v>37</v>
      </c>
      <c r="BE31">
        <v>40</v>
      </c>
      <c r="BF31">
        <v>50</v>
      </c>
      <c r="BG31">
        <v>54</v>
      </c>
      <c r="BH31">
        <v>56</v>
      </c>
      <c r="BI31">
        <v>68</v>
      </c>
      <c r="BJ31">
        <v>75</v>
      </c>
      <c r="BK31">
        <v>78</v>
      </c>
      <c r="BL31">
        <v>83</v>
      </c>
      <c r="BM31">
        <v>88</v>
      </c>
      <c r="BN31">
        <v>91</v>
      </c>
      <c r="BO31">
        <v>104</v>
      </c>
      <c r="BP31">
        <v>109</v>
      </c>
      <c r="BQ31">
        <v>114</v>
      </c>
      <c r="BR31">
        <v>115</v>
      </c>
      <c r="BS31">
        <v>120</v>
      </c>
      <c r="BT31">
        <v>126</v>
      </c>
      <c r="BU31">
        <v>127</v>
      </c>
      <c r="BV31">
        <v>129</v>
      </c>
      <c r="BW31">
        <v>131</v>
      </c>
      <c r="BX31">
        <v>133</v>
      </c>
      <c r="BY31">
        <v>134</v>
      </c>
      <c r="BZ31">
        <v>135</v>
      </c>
      <c r="CA31">
        <v>135</v>
      </c>
      <c r="CB31">
        <v>135</v>
      </c>
      <c r="CC31">
        <v>135</v>
      </c>
      <c r="CD31">
        <v>135</v>
      </c>
      <c r="CE31">
        <v>135</v>
      </c>
      <c r="CF31">
        <v>136</v>
      </c>
      <c r="CG31">
        <v>136</v>
      </c>
      <c r="CH31">
        <v>136</v>
      </c>
      <c r="CI31">
        <v>136</v>
      </c>
      <c r="CJ31">
        <v>136</v>
      </c>
      <c r="CK31">
        <v>136</v>
      </c>
      <c r="CL31">
        <v>136</v>
      </c>
      <c r="CM31">
        <v>136</v>
      </c>
      <c r="CN31">
        <v>137</v>
      </c>
      <c r="CO31">
        <v>138</v>
      </c>
      <c r="CP31">
        <v>138</v>
      </c>
      <c r="CQ31">
        <v>138</v>
      </c>
      <c r="CR31">
        <v>138</v>
      </c>
      <c r="CS31">
        <v>138</v>
      </c>
      <c r="CT31">
        <v>138</v>
      </c>
      <c r="CU31">
        <v>138</v>
      </c>
      <c r="CV31">
        <v>138</v>
      </c>
      <c r="CW31">
        <v>138</v>
      </c>
      <c r="CX31">
        <v>138</v>
      </c>
      <c r="CY31">
        <v>138</v>
      </c>
      <c r="CZ31">
        <v>138</v>
      </c>
      <c r="DA31">
        <v>138</v>
      </c>
      <c r="DB31">
        <v>138</v>
      </c>
    </row>
    <row r="32" spans="1:106" x14ac:dyDescent="0.25">
      <c r="B32" t="s">
        <v>136</v>
      </c>
      <c r="C32">
        <v>42.733899999999998</v>
      </c>
      <c r="D32">
        <v>25.485800000000001</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4</v>
      </c>
      <c r="AZ32">
        <v>4</v>
      </c>
      <c r="BA32">
        <v>4</v>
      </c>
      <c r="BB32">
        <v>7</v>
      </c>
      <c r="BC32">
        <v>7</v>
      </c>
      <c r="BD32">
        <v>23</v>
      </c>
      <c r="BE32">
        <v>41</v>
      </c>
      <c r="BF32">
        <v>51</v>
      </c>
      <c r="BG32">
        <v>52</v>
      </c>
      <c r="BH32">
        <v>67</v>
      </c>
      <c r="BI32">
        <v>92</v>
      </c>
      <c r="BJ32">
        <v>94</v>
      </c>
      <c r="BK32">
        <v>127</v>
      </c>
      <c r="BL32">
        <v>163</v>
      </c>
      <c r="BM32">
        <v>187</v>
      </c>
      <c r="BN32">
        <v>201</v>
      </c>
      <c r="BO32">
        <v>218</v>
      </c>
      <c r="BP32">
        <v>242</v>
      </c>
      <c r="BQ32">
        <v>264</v>
      </c>
      <c r="BR32">
        <v>293</v>
      </c>
      <c r="BS32">
        <v>331</v>
      </c>
      <c r="BT32">
        <v>346</v>
      </c>
      <c r="BU32">
        <v>359</v>
      </c>
      <c r="BV32">
        <v>399</v>
      </c>
      <c r="BW32">
        <v>422</v>
      </c>
      <c r="BX32">
        <v>457</v>
      </c>
      <c r="BY32">
        <v>485</v>
      </c>
      <c r="BZ32">
        <v>503</v>
      </c>
      <c r="CA32">
        <v>531</v>
      </c>
      <c r="CB32">
        <v>549</v>
      </c>
      <c r="CC32">
        <v>577</v>
      </c>
      <c r="CD32">
        <v>593</v>
      </c>
      <c r="CE32">
        <v>618</v>
      </c>
      <c r="CF32">
        <v>635</v>
      </c>
      <c r="CG32">
        <v>661</v>
      </c>
      <c r="CH32">
        <v>675</v>
      </c>
      <c r="CI32">
        <v>685</v>
      </c>
      <c r="CJ32">
        <v>713</v>
      </c>
      <c r="CK32">
        <v>747</v>
      </c>
      <c r="CL32">
        <v>800</v>
      </c>
      <c r="CM32">
        <v>846</v>
      </c>
      <c r="CN32">
        <v>878</v>
      </c>
      <c r="CO32">
        <v>894</v>
      </c>
      <c r="CP32">
        <v>929</v>
      </c>
      <c r="CQ32">
        <v>975</v>
      </c>
      <c r="CR32">
        <v>1024</v>
      </c>
      <c r="CS32">
        <v>1097</v>
      </c>
      <c r="CT32">
        <v>1234</v>
      </c>
      <c r="CU32">
        <v>1247</v>
      </c>
      <c r="CV32">
        <v>1300</v>
      </c>
      <c r="CW32">
        <v>1363</v>
      </c>
      <c r="CX32">
        <v>1399</v>
      </c>
      <c r="CY32">
        <v>1447</v>
      </c>
      <c r="CZ32">
        <v>1506</v>
      </c>
      <c r="DA32">
        <v>1555</v>
      </c>
      <c r="DB32">
        <v>1594</v>
      </c>
    </row>
    <row r="33" spans="1:106" x14ac:dyDescent="0.25">
      <c r="B33" t="s">
        <v>149</v>
      </c>
      <c r="C33">
        <v>12.238300000000001</v>
      </c>
      <c r="D33">
        <v>-1.5616000000000001</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1</v>
      </c>
      <c r="BB33">
        <v>2</v>
      </c>
      <c r="BC33">
        <v>2</v>
      </c>
      <c r="BD33">
        <v>2</v>
      </c>
      <c r="BE33">
        <v>2</v>
      </c>
      <c r="BF33">
        <v>3</v>
      </c>
      <c r="BG33">
        <v>15</v>
      </c>
      <c r="BH33">
        <v>15</v>
      </c>
      <c r="BI33">
        <v>20</v>
      </c>
      <c r="BJ33">
        <v>33</v>
      </c>
      <c r="BK33">
        <v>40</v>
      </c>
      <c r="BL33">
        <v>64</v>
      </c>
      <c r="BM33">
        <v>75</v>
      </c>
      <c r="BN33">
        <v>99</v>
      </c>
      <c r="BO33">
        <v>114</v>
      </c>
      <c r="BP33">
        <v>146</v>
      </c>
      <c r="BQ33">
        <v>152</v>
      </c>
      <c r="BR33">
        <v>180</v>
      </c>
      <c r="BS33">
        <v>207</v>
      </c>
      <c r="BT33">
        <v>222</v>
      </c>
      <c r="BU33">
        <v>246</v>
      </c>
      <c r="BV33">
        <v>261</v>
      </c>
      <c r="BW33">
        <v>282</v>
      </c>
      <c r="BX33">
        <v>288</v>
      </c>
      <c r="BY33">
        <v>302</v>
      </c>
      <c r="BZ33">
        <v>318</v>
      </c>
      <c r="CA33">
        <v>345</v>
      </c>
      <c r="CB33">
        <v>364</v>
      </c>
      <c r="CC33">
        <v>384</v>
      </c>
      <c r="CD33">
        <v>414</v>
      </c>
      <c r="CE33">
        <v>443</v>
      </c>
      <c r="CF33">
        <v>443</v>
      </c>
      <c r="CG33">
        <v>484</v>
      </c>
      <c r="CH33">
        <v>497</v>
      </c>
      <c r="CI33">
        <v>497</v>
      </c>
      <c r="CJ33">
        <v>528</v>
      </c>
      <c r="CK33">
        <v>542</v>
      </c>
      <c r="CL33">
        <v>546</v>
      </c>
      <c r="CM33">
        <v>557</v>
      </c>
      <c r="CN33">
        <v>565</v>
      </c>
      <c r="CO33">
        <v>576</v>
      </c>
      <c r="CP33">
        <v>581</v>
      </c>
      <c r="CQ33">
        <v>600</v>
      </c>
      <c r="CR33">
        <v>609</v>
      </c>
      <c r="CS33">
        <v>616</v>
      </c>
      <c r="CT33">
        <v>629</v>
      </c>
      <c r="CU33">
        <v>629</v>
      </c>
      <c r="CV33">
        <v>632</v>
      </c>
      <c r="CW33">
        <v>635</v>
      </c>
      <c r="CX33">
        <v>638</v>
      </c>
      <c r="CY33">
        <v>641</v>
      </c>
      <c r="CZ33">
        <v>645</v>
      </c>
      <c r="DA33">
        <v>649</v>
      </c>
      <c r="DB33">
        <v>652</v>
      </c>
    </row>
    <row r="34" spans="1:106" x14ac:dyDescent="0.25">
      <c r="B34" t="s">
        <v>742</v>
      </c>
      <c r="C34">
        <v>16.538799999999998</v>
      </c>
      <c r="D34">
        <v>-23.041799999999999</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1</v>
      </c>
      <c r="BL34">
        <v>3</v>
      </c>
      <c r="BM34">
        <v>3</v>
      </c>
      <c r="BN34">
        <v>3</v>
      </c>
      <c r="BO34">
        <v>3</v>
      </c>
      <c r="BP34">
        <v>4</v>
      </c>
      <c r="BQ34">
        <v>4</v>
      </c>
      <c r="BR34">
        <v>5</v>
      </c>
      <c r="BS34">
        <v>5</v>
      </c>
      <c r="BT34">
        <v>6</v>
      </c>
      <c r="BU34">
        <v>6</v>
      </c>
      <c r="BV34">
        <v>6</v>
      </c>
      <c r="BW34">
        <v>6</v>
      </c>
      <c r="BX34">
        <v>6</v>
      </c>
      <c r="BY34">
        <v>6</v>
      </c>
      <c r="BZ34">
        <v>7</v>
      </c>
      <c r="CA34">
        <v>7</v>
      </c>
      <c r="CB34">
        <v>7</v>
      </c>
      <c r="CC34">
        <v>7</v>
      </c>
      <c r="CD34">
        <v>7</v>
      </c>
      <c r="CE34">
        <v>7</v>
      </c>
      <c r="CF34">
        <v>7</v>
      </c>
      <c r="CG34">
        <v>8</v>
      </c>
      <c r="CH34">
        <v>8</v>
      </c>
      <c r="CI34">
        <v>10</v>
      </c>
      <c r="CJ34">
        <v>11</v>
      </c>
      <c r="CK34">
        <v>56</v>
      </c>
      <c r="CL34">
        <v>56</v>
      </c>
      <c r="CM34">
        <v>56</v>
      </c>
      <c r="CN34">
        <v>58</v>
      </c>
      <c r="CO34">
        <v>61</v>
      </c>
      <c r="CP34">
        <v>67</v>
      </c>
      <c r="CQ34">
        <v>68</v>
      </c>
      <c r="CR34">
        <v>73</v>
      </c>
      <c r="CS34">
        <v>82</v>
      </c>
      <c r="CT34">
        <v>88</v>
      </c>
      <c r="CU34">
        <v>90</v>
      </c>
      <c r="CV34">
        <v>106</v>
      </c>
      <c r="CW34">
        <v>109</v>
      </c>
      <c r="CX34">
        <v>114</v>
      </c>
      <c r="CY34">
        <v>114</v>
      </c>
      <c r="CZ34">
        <v>121</v>
      </c>
      <c r="DA34">
        <v>122</v>
      </c>
      <c r="DB34">
        <v>152</v>
      </c>
    </row>
    <row r="35" spans="1:106" x14ac:dyDescent="0.25">
      <c r="B35" t="s">
        <v>51</v>
      </c>
      <c r="C35">
        <v>11.55</v>
      </c>
      <c r="D35">
        <v>104.91670000000001</v>
      </c>
      <c r="E35">
        <v>0</v>
      </c>
      <c r="F35">
        <v>0</v>
      </c>
      <c r="G35">
        <v>0</v>
      </c>
      <c r="H35">
        <v>0</v>
      </c>
      <c r="I35">
        <v>0</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c r="AF35">
        <v>1</v>
      </c>
      <c r="AG35">
        <v>1</v>
      </c>
      <c r="AH35">
        <v>1</v>
      </c>
      <c r="AI35">
        <v>1</v>
      </c>
      <c r="AJ35">
        <v>1</v>
      </c>
      <c r="AK35">
        <v>1</v>
      </c>
      <c r="AL35">
        <v>1</v>
      </c>
      <c r="AM35">
        <v>1</v>
      </c>
      <c r="AN35">
        <v>1</v>
      </c>
      <c r="AO35">
        <v>1</v>
      </c>
      <c r="AP35">
        <v>1</v>
      </c>
      <c r="AQ35">
        <v>1</v>
      </c>
      <c r="AR35">
        <v>1</v>
      </c>
      <c r="AS35">
        <v>1</v>
      </c>
      <c r="AT35">
        <v>1</v>
      </c>
      <c r="AU35">
        <v>1</v>
      </c>
      <c r="AV35">
        <v>1</v>
      </c>
      <c r="AW35">
        <v>1</v>
      </c>
      <c r="AX35">
        <v>1</v>
      </c>
      <c r="AY35">
        <v>2</v>
      </c>
      <c r="AZ35">
        <v>2</v>
      </c>
      <c r="BA35">
        <v>2</v>
      </c>
      <c r="BB35">
        <v>3</v>
      </c>
      <c r="BC35">
        <v>3</v>
      </c>
      <c r="BD35">
        <v>5</v>
      </c>
      <c r="BE35">
        <v>7</v>
      </c>
      <c r="BF35">
        <v>7</v>
      </c>
      <c r="BG35">
        <v>7</v>
      </c>
      <c r="BH35">
        <v>33</v>
      </c>
      <c r="BI35">
        <v>35</v>
      </c>
      <c r="BJ35">
        <v>37</v>
      </c>
      <c r="BK35">
        <v>51</v>
      </c>
      <c r="BL35">
        <v>53</v>
      </c>
      <c r="BM35">
        <v>84</v>
      </c>
      <c r="BN35">
        <v>87</v>
      </c>
      <c r="BO35">
        <v>91</v>
      </c>
      <c r="BP35">
        <v>96</v>
      </c>
      <c r="BQ35">
        <v>96</v>
      </c>
      <c r="BR35">
        <v>99</v>
      </c>
      <c r="BS35">
        <v>99</v>
      </c>
      <c r="BT35">
        <v>103</v>
      </c>
      <c r="BU35">
        <v>107</v>
      </c>
      <c r="BV35">
        <v>109</v>
      </c>
      <c r="BW35">
        <v>109</v>
      </c>
      <c r="BX35">
        <v>110</v>
      </c>
      <c r="BY35">
        <v>114</v>
      </c>
      <c r="BZ35">
        <v>114</v>
      </c>
      <c r="CA35">
        <v>114</v>
      </c>
      <c r="CB35">
        <v>114</v>
      </c>
      <c r="CC35">
        <v>115</v>
      </c>
      <c r="CD35">
        <v>117</v>
      </c>
      <c r="CE35">
        <v>119</v>
      </c>
      <c r="CF35">
        <v>119</v>
      </c>
      <c r="CG35">
        <v>120</v>
      </c>
      <c r="CH35">
        <v>122</v>
      </c>
      <c r="CI35">
        <v>122</v>
      </c>
      <c r="CJ35">
        <v>122</v>
      </c>
      <c r="CK35">
        <v>122</v>
      </c>
      <c r="CL35">
        <v>122</v>
      </c>
      <c r="CM35">
        <v>122</v>
      </c>
      <c r="CN35">
        <v>122</v>
      </c>
      <c r="CO35">
        <v>122</v>
      </c>
      <c r="CP35">
        <v>122</v>
      </c>
      <c r="CQ35">
        <v>122</v>
      </c>
      <c r="CR35">
        <v>122</v>
      </c>
      <c r="CS35">
        <v>122</v>
      </c>
      <c r="CT35">
        <v>122</v>
      </c>
      <c r="CU35">
        <v>122</v>
      </c>
      <c r="CV35">
        <v>122</v>
      </c>
      <c r="CW35">
        <v>122</v>
      </c>
      <c r="CX35">
        <v>122</v>
      </c>
      <c r="CY35">
        <v>122</v>
      </c>
      <c r="CZ35">
        <v>122</v>
      </c>
      <c r="DA35">
        <v>122</v>
      </c>
      <c r="DB35">
        <v>122</v>
      </c>
    </row>
    <row r="36" spans="1:106" x14ac:dyDescent="0.25">
      <c r="B36" t="s">
        <v>126</v>
      </c>
      <c r="C36">
        <v>3.8480000000000003</v>
      </c>
      <c r="D36">
        <v>11.5021</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1</v>
      </c>
      <c r="AX36">
        <v>1</v>
      </c>
      <c r="AY36">
        <v>2</v>
      </c>
      <c r="AZ36">
        <v>2</v>
      </c>
      <c r="BA36">
        <v>2</v>
      </c>
      <c r="BB36">
        <v>2</v>
      </c>
      <c r="BC36">
        <v>2</v>
      </c>
      <c r="BD36">
        <v>2</v>
      </c>
      <c r="BE36">
        <v>2</v>
      </c>
      <c r="BF36">
        <v>2</v>
      </c>
      <c r="BG36">
        <v>4</v>
      </c>
      <c r="BH36">
        <v>10</v>
      </c>
      <c r="BI36">
        <v>10</v>
      </c>
      <c r="BJ36">
        <v>13</v>
      </c>
      <c r="BK36">
        <v>20</v>
      </c>
      <c r="BL36">
        <v>27</v>
      </c>
      <c r="BM36">
        <v>40</v>
      </c>
      <c r="BN36">
        <v>56</v>
      </c>
      <c r="BO36">
        <v>66</v>
      </c>
      <c r="BP36">
        <v>75</v>
      </c>
      <c r="BQ36">
        <v>75</v>
      </c>
      <c r="BR36">
        <v>91</v>
      </c>
      <c r="BS36">
        <v>91</v>
      </c>
      <c r="BT36">
        <v>139</v>
      </c>
      <c r="BU36">
        <v>139</v>
      </c>
      <c r="BV36">
        <v>193</v>
      </c>
      <c r="BW36">
        <v>233</v>
      </c>
      <c r="BX36">
        <v>306</v>
      </c>
      <c r="BY36">
        <v>509</v>
      </c>
      <c r="BZ36">
        <v>555</v>
      </c>
      <c r="CA36">
        <v>650</v>
      </c>
      <c r="CB36">
        <v>658</v>
      </c>
      <c r="CC36">
        <v>658</v>
      </c>
      <c r="CD36">
        <v>730</v>
      </c>
      <c r="CE36">
        <v>730</v>
      </c>
      <c r="CF36">
        <v>820</v>
      </c>
      <c r="CG36">
        <v>820</v>
      </c>
      <c r="CH36">
        <v>820</v>
      </c>
      <c r="CI36">
        <v>820</v>
      </c>
      <c r="CJ36">
        <v>848</v>
      </c>
      <c r="CK36">
        <v>848</v>
      </c>
      <c r="CL36">
        <v>996</v>
      </c>
      <c r="CM36">
        <v>996</v>
      </c>
      <c r="CN36">
        <v>1017</v>
      </c>
      <c r="CO36">
        <v>1017</v>
      </c>
      <c r="CP36">
        <v>1163</v>
      </c>
      <c r="CQ36">
        <v>1163</v>
      </c>
      <c r="CR36">
        <v>1163</v>
      </c>
      <c r="CS36">
        <v>1334</v>
      </c>
      <c r="CT36">
        <v>1430</v>
      </c>
      <c r="CU36">
        <v>1518</v>
      </c>
      <c r="CV36">
        <v>1621</v>
      </c>
      <c r="CW36">
        <v>1705</v>
      </c>
      <c r="CX36">
        <v>1705</v>
      </c>
      <c r="CY36">
        <v>1832</v>
      </c>
      <c r="CZ36">
        <v>1832</v>
      </c>
      <c r="DA36">
        <v>1832</v>
      </c>
      <c r="DB36">
        <v>2077</v>
      </c>
    </row>
    <row r="37" spans="1:106" x14ac:dyDescent="0.25">
      <c r="A37" t="s">
        <v>142</v>
      </c>
      <c r="B37" t="s">
        <v>46</v>
      </c>
      <c r="C37">
        <v>53.933300000000003</v>
      </c>
      <c r="D37">
        <v>-116.5765</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1</v>
      </c>
      <c r="AX37">
        <v>2</v>
      </c>
      <c r="AY37">
        <v>4</v>
      </c>
      <c r="AZ37">
        <v>7</v>
      </c>
      <c r="BA37">
        <v>7</v>
      </c>
      <c r="BB37">
        <v>19</v>
      </c>
      <c r="BC37">
        <v>19</v>
      </c>
      <c r="BD37">
        <v>29</v>
      </c>
      <c r="BE37">
        <v>29</v>
      </c>
      <c r="BF37">
        <v>39</v>
      </c>
      <c r="BG37">
        <v>56</v>
      </c>
      <c r="BH37">
        <v>74</v>
      </c>
      <c r="BI37">
        <v>97</v>
      </c>
      <c r="BJ37">
        <v>119</v>
      </c>
      <c r="BK37">
        <v>146</v>
      </c>
      <c r="BL37">
        <v>195</v>
      </c>
      <c r="BM37">
        <v>259</v>
      </c>
      <c r="BN37">
        <v>301</v>
      </c>
      <c r="BO37">
        <v>359</v>
      </c>
      <c r="BP37">
        <v>358</v>
      </c>
      <c r="BQ37">
        <v>486</v>
      </c>
      <c r="BR37">
        <v>542</v>
      </c>
      <c r="BS37">
        <v>542</v>
      </c>
      <c r="BT37">
        <v>621</v>
      </c>
      <c r="BU37">
        <v>661</v>
      </c>
      <c r="BV37">
        <v>690</v>
      </c>
      <c r="BW37">
        <v>754</v>
      </c>
      <c r="BX37">
        <v>969</v>
      </c>
      <c r="BY37">
        <v>969</v>
      </c>
      <c r="BZ37">
        <v>1075</v>
      </c>
      <c r="CA37">
        <v>1181</v>
      </c>
      <c r="CB37">
        <v>1250</v>
      </c>
      <c r="CC37">
        <v>1373</v>
      </c>
      <c r="CD37">
        <v>1373</v>
      </c>
      <c r="CE37">
        <v>1423</v>
      </c>
      <c r="CF37">
        <v>1451</v>
      </c>
      <c r="CG37">
        <v>1567</v>
      </c>
      <c r="CH37">
        <v>1567</v>
      </c>
      <c r="CI37">
        <v>1732</v>
      </c>
      <c r="CJ37">
        <v>1870</v>
      </c>
      <c r="CK37">
        <v>1870</v>
      </c>
      <c r="CL37">
        <v>1996</v>
      </c>
      <c r="CM37">
        <v>2397</v>
      </c>
      <c r="CN37">
        <v>2562</v>
      </c>
      <c r="CO37">
        <v>2803</v>
      </c>
      <c r="CP37">
        <v>2908</v>
      </c>
      <c r="CQ37">
        <v>3095</v>
      </c>
      <c r="CR37">
        <v>3401</v>
      </c>
      <c r="CS37">
        <v>3720</v>
      </c>
      <c r="CT37">
        <v>4017</v>
      </c>
      <c r="CU37">
        <v>4233</v>
      </c>
      <c r="CV37">
        <v>4480</v>
      </c>
      <c r="CW37">
        <v>4696</v>
      </c>
      <c r="CX37">
        <v>4850</v>
      </c>
      <c r="CY37">
        <v>5165</v>
      </c>
      <c r="CZ37">
        <v>5355</v>
      </c>
      <c r="DA37">
        <v>5573</v>
      </c>
      <c r="DB37">
        <v>5670</v>
      </c>
    </row>
    <row r="38" spans="1:106" x14ac:dyDescent="0.25">
      <c r="A38" t="s">
        <v>45</v>
      </c>
      <c r="B38" t="s">
        <v>46</v>
      </c>
      <c r="C38">
        <v>49.282699999999998</v>
      </c>
      <c r="D38">
        <v>-123.1207</v>
      </c>
      <c r="E38">
        <v>0</v>
      </c>
      <c r="F38">
        <v>0</v>
      </c>
      <c r="G38">
        <v>0</v>
      </c>
      <c r="H38">
        <v>0</v>
      </c>
      <c r="I38">
        <v>0</v>
      </c>
      <c r="J38">
        <v>0</v>
      </c>
      <c r="K38">
        <v>1</v>
      </c>
      <c r="L38">
        <v>1</v>
      </c>
      <c r="M38">
        <v>1</v>
      </c>
      <c r="N38">
        <v>1</v>
      </c>
      <c r="O38">
        <v>1</v>
      </c>
      <c r="P38">
        <v>1</v>
      </c>
      <c r="Q38">
        <v>1</v>
      </c>
      <c r="R38">
        <v>1</v>
      </c>
      <c r="S38">
        <v>2</v>
      </c>
      <c r="T38">
        <v>2</v>
      </c>
      <c r="U38">
        <v>4</v>
      </c>
      <c r="V38">
        <v>4</v>
      </c>
      <c r="W38">
        <v>4</v>
      </c>
      <c r="X38">
        <v>4</v>
      </c>
      <c r="Y38">
        <v>4</v>
      </c>
      <c r="Z38">
        <v>4</v>
      </c>
      <c r="AA38">
        <v>4</v>
      </c>
      <c r="AB38">
        <v>4</v>
      </c>
      <c r="AC38">
        <v>4</v>
      </c>
      <c r="AD38">
        <v>4</v>
      </c>
      <c r="AE38">
        <v>5</v>
      </c>
      <c r="AF38">
        <v>5</v>
      </c>
      <c r="AG38">
        <v>5</v>
      </c>
      <c r="AH38">
        <v>5</v>
      </c>
      <c r="AI38">
        <v>6</v>
      </c>
      <c r="AJ38">
        <v>6</v>
      </c>
      <c r="AK38">
        <v>6</v>
      </c>
      <c r="AL38">
        <v>6</v>
      </c>
      <c r="AM38">
        <v>7</v>
      </c>
      <c r="AN38">
        <v>7</v>
      </c>
      <c r="AO38">
        <v>7</v>
      </c>
      <c r="AP38">
        <v>7</v>
      </c>
      <c r="AQ38">
        <v>8</v>
      </c>
      <c r="AR38">
        <v>8</v>
      </c>
      <c r="AS38">
        <v>8</v>
      </c>
      <c r="AT38">
        <v>9</v>
      </c>
      <c r="AU38">
        <v>12</v>
      </c>
      <c r="AV38">
        <v>13</v>
      </c>
      <c r="AW38">
        <v>21</v>
      </c>
      <c r="AX38">
        <v>21</v>
      </c>
      <c r="AY38">
        <v>27</v>
      </c>
      <c r="AZ38">
        <v>32</v>
      </c>
      <c r="BA38">
        <v>32</v>
      </c>
      <c r="BB38">
        <v>39</v>
      </c>
      <c r="BC38">
        <v>46</v>
      </c>
      <c r="BD38">
        <v>64</v>
      </c>
      <c r="BE38">
        <v>64</v>
      </c>
      <c r="BF38">
        <v>73</v>
      </c>
      <c r="BG38">
        <v>103</v>
      </c>
      <c r="BH38">
        <v>103</v>
      </c>
      <c r="BI38">
        <v>186</v>
      </c>
      <c r="BJ38">
        <v>231</v>
      </c>
      <c r="BK38">
        <v>271</v>
      </c>
      <c r="BL38">
        <v>424</v>
      </c>
      <c r="BM38">
        <v>424</v>
      </c>
      <c r="BN38">
        <v>472</v>
      </c>
      <c r="BO38">
        <v>617</v>
      </c>
      <c r="BP38">
        <v>617</v>
      </c>
      <c r="BQ38">
        <v>725</v>
      </c>
      <c r="BR38">
        <v>725</v>
      </c>
      <c r="BS38">
        <v>884</v>
      </c>
      <c r="BT38">
        <v>884</v>
      </c>
      <c r="BU38">
        <v>970</v>
      </c>
      <c r="BV38">
        <v>1013</v>
      </c>
      <c r="BW38">
        <v>1013</v>
      </c>
      <c r="BX38">
        <v>1121</v>
      </c>
      <c r="BY38">
        <v>1174</v>
      </c>
      <c r="BZ38">
        <v>1203</v>
      </c>
      <c r="CA38">
        <v>1203</v>
      </c>
      <c r="CB38">
        <v>1266</v>
      </c>
      <c r="CC38">
        <v>1266</v>
      </c>
      <c r="CD38">
        <v>1291</v>
      </c>
      <c r="CE38">
        <v>1336</v>
      </c>
      <c r="CF38">
        <v>1370</v>
      </c>
      <c r="CG38">
        <v>1445</v>
      </c>
      <c r="CH38">
        <v>1445</v>
      </c>
      <c r="CI38">
        <v>1490</v>
      </c>
      <c r="CJ38">
        <v>1490</v>
      </c>
      <c r="CK38">
        <v>1517</v>
      </c>
      <c r="CL38">
        <v>1561</v>
      </c>
      <c r="CM38">
        <v>1575</v>
      </c>
      <c r="CN38">
        <v>1618</v>
      </c>
      <c r="CO38">
        <v>1647</v>
      </c>
      <c r="CP38">
        <v>1647</v>
      </c>
      <c r="CQ38">
        <v>1724</v>
      </c>
      <c r="CR38">
        <v>1795</v>
      </c>
      <c r="CS38">
        <v>1824</v>
      </c>
      <c r="CT38">
        <v>1853</v>
      </c>
      <c r="CU38">
        <v>1948</v>
      </c>
      <c r="CV38">
        <v>1948</v>
      </c>
      <c r="CW38">
        <v>1998</v>
      </c>
      <c r="CX38">
        <v>2053</v>
      </c>
      <c r="CY38">
        <v>2087</v>
      </c>
      <c r="CZ38">
        <v>2112</v>
      </c>
      <c r="DA38">
        <v>2145</v>
      </c>
      <c r="DB38">
        <v>2171</v>
      </c>
    </row>
    <row r="39" spans="1:106" x14ac:dyDescent="0.25">
      <c r="A39" t="s">
        <v>148</v>
      </c>
      <c r="B39" t="s">
        <v>46</v>
      </c>
      <c r="C39">
        <v>37.648899999999998</v>
      </c>
      <c r="D39">
        <v>-122.66549999999999</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2</v>
      </c>
      <c r="BE39">
        <v>2</v>
      </c>
      <c r="BF39">
        <v>2</v>
      </c>
      <c r="BG39">
        <v>2</v>
      </c>
      <c r="BH39">
        <v>8</v>
      </c>
      <c r="BI39">
        <v>9</v>
      </c>
      <c r="BJ39">
        <v>9</v>
      </c>
      <c r="BK39">
        <v>10</v>
      </c>
      <c r="BL39">
        <v>10</v>
      </c>
      <c r="BM39">
        <v>13</v>
      </c>
      <c r="BN39">
        <v>13</v>
      </c>
      <c r="BO39">
        <v>13</v>
      </c>
      <c r="BP39">
        <v>13</v>
      </c>
      <c r="BQ39">
        <v>13</v>
      </c>
      <c r="BR39">
        <v>13</v>
      </c>
      <c r="BS39">
        <v>13</v>
      </c>
      <c r="BT39">
        <v>13</v>
      </c>
      <c r="BU39">
        <v>13</v>
      </c>
      <c r="BV39">
        <v>13</v>
      </c>
      <c r="BW39">
        <v>13</v>
      </c>
      <c r="BX39">
        <v>13</v>
      </c>
      <c r="BY39">
        <v>13</v>
      </c>
      <c r="BZ39">
        <v>13</v>
      </c>
      <c r="CA39">
        <v>13</v>
      </c>
      <c r="CB39">
        <v>13</v>
      </c>
      <c r="CC39">
        <v>13</v>
      </c>
      <c r="CD39">
        <v>13</v>
      </c>
      <c r="CE39">
        <v>13</v>
      </c>
      <c r="CF39">
        <v>13</v>
      </c>
      <c r="CG39">
        <v>13</v>
      </c>
      <c r="CH39">
        <v>13</v>
      </c>
      <c r="CI39">
        <v>13</v>
      </c>
      <c r="CJ39">
        <v>13</v>
      </c>
      <c r="CK39">
        <v>13</v>
      </c>
      <c r="CL39">
        <v>13</v>
      </c>
      <c r="CM39">
        <v>13</v>
      </c>
      <c r="CN39">
        <v>13</v>
      </c>
      <c r="CO39">
        <v>13</v>
      </c>
      <c r="CP39">
        <v>13</v>
      </c>
      <c r="CQ39">
        <v>13</v>
      </c>
      <c r="CR39">
        <v>13</v>
      </c>
      <c r="CS39">
        <v>13</v>
      </c>
      <c r="CT39">
        <v>13</v>
      </c>
      <c r="CU39">
        <v>13</v>
      </c>
      <c r="CV39">
        <v>13</v>
      </c>
      <c r="CW39">
        <v>13</v>
      </c>
      <c r="CX39">
        <v>13</v>
      </c>
      <c r="CY39">
        <v>13</v>
      </c>
      <c r="CZ39">
        <v>13</v>
      </c>
      <c r="DA39">
        <v>13</v>
      </c>
      <c r="DB39">
        <v>13</v>
      </c>
    </row>
    <row r="40" spans="1:106" x14ac:dyDescent="0.25">
      <c r="A40" t="s">
        <v>200</v>
      </c>
      <c r="B40" t="s">
        <v>46</v>
      </c>
      <c r="C40">
        <v>53.760899999999999</v>
      </c>
      <c r="D40">
        <v>-98.813900000000004</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4</v>
      </c>
      <c r="BE40">
        <v>4</v>
      </c>
      <c r="BF40">
        <v>4</v>
      </c>
      <c r="BG40">
        <v>7</v>
      </c>
      <c r="BH40">
        <v>8</v>
      </c>
      <c r="BI40">
        <v>15</v>
      </c>
      <c r="BJ40">
        <v>17</v>
      </c>
      <c r="BK40">
        <v>17</v>
      </c>
      <c r="BL40">
        <v>18</v>
      </c>
      <c r="BM40">
        <v>20</v>
      </c>
      <c r="BN40">
        <v>20</v>
      </c>
      <c r="BO40">
        <v>21</v>
      </c>
      <c r="BP40">
        <v>35</v>
      </c>
      <c r="BQ40">
        <v>36</v>
      </c>
      <c r="BR40">
        <v>39</v>
      </c>
      <c r="BS40">
        <v>64</v>
      </c>
      <c r="BT40">
        <v>72</v>
      </c>
      <c r="BU40">
        <v>96</v>
      </c>
      <c r="BV40">
        <v>103</v>
      </c>
      <c r="BW40">
        <v>127</v>
      </c>
      <c r="BX40">
        <v>167</v>
      </c>
      <c r="BY40">
        <v>182</v>
      </c>
      <c r="BZ40">
        <v>182</v>
      </c>
      <c r="CA40">
        <v>203</v>
      </c>
      <c r="CB40">
        <v>203</v>
      </c>
      <c r="CC40">
        <v>217</v>
      </c>
      <c r="CD40">
        <v>217</v>
      </c>
      <c r="CE40">
        <v>221</v>
      </c>
      <c r="CF40">
        <v>230</v>
      </c>
      <c r="CG40">
        <v>243</v>
      </c>
      <c r="CH40">
        <v>242</v>
      </c>
      <c r="CI40">
        <v>246</v>
      </c>
      <c r="CJ40">
        <v>246</v>
      </c>
      <c r="CK40">
        <v>246</v>
      </c>
      <c r="CL40">
        <v>250</v>
      </c>
      <c r="CM40">
        <v>250</v>
      </c>
      <c r="CN40">
        <v>253</v>
      </c>
      <c r="CO40">
        <v>254</v>
      </c>
      <c r="CP40">
        <v>254</v>
      </c>
      <c r="CQ40">
        <v>255</v>
      </c>
      <c r="CR40">
        <v>257</v>
      </c>
      <c r="CS40">
        <v>262</v>
      </c>
      <c r="CT40">
        <v>263</v>
      </c>
      <c r="CU40">
        <v>267</v>
      </c>
      <c r="CV40">
        <v>271</v>
      </c>
      <c r="CW40">
        <v>273</v>
      </c>
      <c r="CX40">
        <v>273</v>
      </c>
      <c r="CY40">
        <v>275</v>
      </c>
      <c r="CZ40">
        <v>277</v>
      </c>
      <c r="DA40">
        <v>281</v>
      </c>
      <c r="DB40">
        <v>282</v>
      </c>
    </row>
    <row r="41" spans="1:106" x14ac:dyDescent="0.25">
      <c r="A41" t="s">
        <v>181</v>
      </c>
      <c r="B41" t="s">
        <v>46</v>
      </c>
      <c r="C41">
        <v>46.565300000000001</v>
      </c>
      <c r="D41">
        <v>-66.4619</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1</v>
      </c>
      <c r="BC41">
        <v>1</v>
      </c>
      <c r="BD41">
        <v>1</v>
      </c>
      <c r="BE41">
        <v>1</v>
      </c>
      <c r="BF41">
        <v>2</v>
      </c>
      <c r="BG41">
        <v>6</v>
      </c>
      <c r="BH41">
        <v>8</v>
      </c>
      <c r="BI41">
        <v>11</v>
      </c>
      <c r="BJ41">
        <v>11</v>
      </c>
      <c r="BK41">
        <v>11</v>
      </c>
      <c r="BL41">
        <v>17</v>
      </c>
      <c r="BM41">
        <v>17</v>
      </c>
      <c r="BN41">
        <v>17</v>
      </c>
      <c r="BO41">
        <v>18</v>
      </c>
      <c r="BP41">
        <v>18</v>
      </c>
      <c r="BQ41">
        <v>33</v>
      </c>
      <c r="BR41">
        <v>45</v>
      </c>
      <c r="BS41">
        <v>51</v>
      </c>
      <c r="BT41">
        <v>66</v>
      </c>
      <c r="BU41">
        <v>68</v>
      </c>
      <c r="BV41">
        <v>70</v>
      </c>
      <c r="BW41">
        <v>81</v>
      </c>
      <c r="BX41">
        <v>91</v>
      </c>
      <c r="BY41">
        <v>91</v>
      </c>
      <c r="BZ41">
        <v>91</v>
      </c>
      <c r="CA41">
        <v>98</v>
      </c>
      <c r="CB41">
        <v>103</v>
      </c>
      <c r="CC41">
        <v>105</v>
      </c>
      <c r="CD41">
        <v>105</v>
      </c>
      <c r="CE41">
        <v>108</v>
      </c>
      <c r="CF41">
        <v>112</v>
      </c>
      <c r="CG41">
        <v>112</v>
      </c>
      <c r="CH41">
        <v>114</v>
      </c>
      <c r="CI41">
        <v>116</v>
      </c>
      <c r="CJ41">
        <v>116</v>
      </c>
      <c r="CK41">
        <v>117</v>
      </c>
      <c r="CL41">
        <v>117</v>
      </c>
      <c r="CM41">
        <v>117</v>
      </c>
      <c r="CN41">
        <v>117</v>
      </c>
      <c r="CO41">
        <v>118</v>
      </c>
      <c r="CP41">
        <v>118</v>
      </c>
      <c r="CQ41">
        <v>118</v>
      </c>
      <c r="CR41">
        <v>118</v>
      </c>
      <c r="CS41">
        <v>118</v>
      </c>
      <c r="CT41">
        <v>118</v>
      </c>
      <c r="CU41">
        <v>118</v>
      </c>
      <c r="CV41">
        <v>118</v>
      </c>
      <c r="CW41">
        <v>118</v>
      </c>
      <c r="CX41">
        <v>118</v>
      </c>
      <c r="CY41">
        <v>118</v>
      </c>
      <c r="CZ41">
        <v>118</v>
      </c>
      <c r="DA41">
        <v>118</v>
      </c>
      <c r="DB41">
        <v>118</v>
      </c>
    </row>
    <row r="42" spans="1:106" x14ac:dyDescent="0.25">
      <c r="A42" t="s">
        <v>488</v>
      </c>
      <c r="B42" t="s">
        <v>46</v>
      </c>
      <c r="C42">
        <v>53.1355</v>
      </c>
      <c r="D42">
        <v>-57.660400000000003</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1</v>
      </c>
      <c r="BG42">
        <v>1</v>
      </c>
      <c r="BH42">
        <v>3</v>
      </c>
      <c r="BI42">
        <v>3</v>
      </c>
      <c r="BJ42">
        <v>3</v>
      </c>
      <c r="BK42">
        <v>4</v>
      </c>
      <c r="BL42">
        <v>6</v>
      </c>
      <c r="BM42">
        <v>9</v>
      </c>
      <c r="BN42">
        <v>24</v>
      </c>
      <c r="BO42">
        <v>35</v>
      </c>
      <c r="BP42">
        <v>35</v>
      </c>
      <c r="BQ42">
        <v>82</v>
      </c>
      <c r="BR42">
        <v>102</v>
      </c>
      <c r="BS42">
        <v>120</v>
      </c>
      <c r="BT42">
        <v>135</v>
      </c>
      <c r="BU42">
        <v>148</v>
      </c>
      <c r="BV42">
        <v>152</v>
      </c>
      <c r="BW42">
        <v>175</v>
      </c>
      <c r="BX42">
        <v>183</v>
      </c>
      <c r="BY42">
        <v>195</v>
      </c>
      <c r="BZ42">
        <v>195</v>
      </c>
      <c r="CA42">
        <v>217</v>
      </c>
      <c r="CB42">
        <v>226</v>
      </c>
      <c r="CC42">
        <v>228</v>
      </c>
      <c r="CD42">
        <v>228</v>
      </c>
      <c r="CE42">
        <v>232</v>
      </c>
      <c r="CF42">
        <v>239</v>
      </c>
      <c r="CG42">
        <v>241</v>
      </c>
      <c r="CH42">
        <v>242</v>
      </c>
      <c r="CI42">
        <v>244</v>
      </c>
      <c r="CJ42">
        <v>244</v>
      </c>
      <c r="CK42">
        <v>247</v>
      </c>
      <c r="CL42">
        <v>252</v>
      </c>
      <c r="CM42">
        <v>256</v>
      </c>
      <c r="CN42">
        <v>257</v>
      </c>
      <c r="CO42">
        <v>257</v>
      </c>
      <c r="CP42">
        <v>257</v>
      </c>
      <c r="CQ42">
        <v>257</v>
      </c>
      <c r="CR42">
        <v>256</v>
      </c>
      <c r="CS42">
        <v>256</v>
      </c>
      <c r="CT42">
        <v>256</v>
      </c>
      <c r="CU42">
        <v>257</v>
      </c>
      <c r="CV42">
        <v>258</v>
      </c>
      <c r="CW42">
        <v>258</v>
      </c>
      <c r="CX42">
        <v>258</v>
      </c>
      <c r="CY42">
        <v>258</v>
      </c>
      <c r="CZ42">
        <v>258</v>
      </c>
      <c r="DA42">
        <v>259</v>
      </c>
      <c r="DB42">
        <v>259</v>
      </c>
    </row>
    <row r="43" spans="1:106" x14ac:dyDescent="0.25">
      <c r="A43" t="s">
        <v>660</v>
      </c>
      <c r="B43" t="s">
        <v>46</v>
      </c>
      <c r="C43">
        <v>44.681999999999995</v>
      </c>
      <c r="D43">
        <v>-63.744300000000003</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5</v>
      </c>
      <c r="BH43">
        <v>7</v>
      </c>
      <c r="BI43">
        <v>12</v>
      </c>
      <c r="BJ43">
        <v>14</v>
      </c>
      <c r="BK43">
        <v>15</v>
      </c>
      <c r="BL43">
        <v>21</v>
      </c>
      <c r="BM43">
        <v>28</v>
      </c>
      <c r="BN43">
        <v>41</v>
      </c>
      <c r="BO43">
        <v>51</v>
      </c>
      <c r="BP43">
        <v>68</v>
      </c>
      <c r="BQ43">
        <v>73</v>
      </c>
      <c r="BR43">
        <v>90</v>
      </c>
      <c r="BS43">
        <v>110</v>
      </c>
      <c r="BT43">
        <v>122</v>
      </c>
      <c r="BU43">
        <v>127</v>
      </c>
      <c r="BV43">
        <v>147</v>
      </c>
      <c r="BW43">
        <v>173</v>
      </c>
      <c r="BX43">
        <v>193</v>
      </c>
      <c r="BY43">
        <v>207</v>
      </c>
      <c r="BZ43">
        <v>236</v>
      </c>
      <c r="CA43">
        <v>262</v>
      </c>
      <c r="CB43">
        <v>293</v>
      </c>
      <c r="CC43">
        <v>310</v>
      </c>
      <c r="CD43">
        <v>310</v>
      </c>
      <c r="CE43">
        <v>342</v>
      </c>
      <c r="CF43">
        <v>407</v>
      </c>
      <c r="CG43">
        <v>428</v>
      </c>
      <c r="CH43">
        <v>445</v>
      </c>
      <c r="CI43">
        <v>474</v>
      </c>
      <c r="CJ43">
        <v>517</v>
      </c>
      <c r="CK43">
        <v>549</v>
      </c>
      <c r="CL43">
        <v>579</v>
      </c>
      <c r="CM43">
        <v>606</v>
      </c>
      <c r="CN43">
        <v>649</v>
      </c>
      <c r="CO43">
        <v>675</v>
      </c>
      <c r="CP43">
        <v>721</v>
      </c>
      <c r="CQ43">
        <v>737</v>
      </c>
      <c r="CR43">
        <v>772</v>
      </c>
      <c r="CS43">
        <v>827</v>
      </c>
      <c r="CT43">
        <v>850</v>
      </c>
      <c r="CU43">
        <v>865</v>
      </c>
      <c r="CV43">
        <v>873</v>
      </c>
      <c r="CW43">
        <v>900</v>
      </c>
      <c r="CX43">
        <v>915</v>
      </c>
      <c r="CY43">
        <v>935</v>
      </c>
      <c r="CZ43">
        <v>947</v>
      </c>
      <c r="DA43">
        <v>959</v>
      </c>
      <c r="DB43">
        <v>963</v>
      </c>
    </row>
    <row r="44" spans="1:106" x14ac:dyDescent="0.25">
      <c r="A44" t="s">
        <v>141</v>
      </c>
      <c r="B44" t="s">
        <v>46</v>
      </c>
      <c r="C44">
        <v>51.253799999999998</v>
      </c>
      <c r="D44">
        <v>-85.3232</v>
      </c>
      <c r="E44">
        <v>0</v>
      </c>
      <c r="F44">
        <v>0</v>
      </c>
      <c r="G44">
        <v>0</v>
      </c>
      <c r="H44">
        <v>0</v>
      </c>
      <c r="I44">
        <v>1</v>
      </c>
      <c r="J44">
        <v>1</v>
      </c>
      <c r="K44">
        <v>1</v>
      </c>
      <c r="L44">
        <v>1</v>
      </c>
      <c r="M44">
        <v>1</v>
      </c>
      <c r="N44">
        <v>3</v>
      </c>
      <c r="O44">
        <v>3</v>
      </c>
      <c r="P44">
        <v>3</v>
      </c>
      <c r="Q44">
        <v>3</v>
      </c>
      <c r="R44">
        <v>3</v>
      </c>
      <c r="S44">
        <v>3</v>
      </c>
      <c r="T44">
        <v>3</v>
      </c>
      <c r="U44">
        <v>3</v>
      </c>
      <c r="V44">
        <v>3</v>
      </c>
      <c r="W44">
        <v>3</v>
      </c>
      <c r="X44">
        <v>3</v>
      </c>
      <c r="Y44">
        <v>3</v>
      </c>
      <c r="Z44">
        <v>3</v>
      </c>
      <c r="AA44">
        <v>3</v>
      </c>
      <c r="AB44">
        <v>3</v>
      </c>
      <c r="AC44">
        <v>3</v>
      </c>
      <c r="AD44">
        <v>3</v>
      </c>
      <c r="AE44">
        <v>3</v>
      </c>
      <c r="AF44">
        <v>3</v>
      </c>
      <c r="AG44">
        <v>3</v>
      </c>
      <c r="AH44">
        <v>3</v>
      </c>
      <c r="AI44">
        <v>3</v>
      </c>
      <c r="AJ44">
        <v>3</v>
      </c>
      <c r="AK44">
        <v>3</v>
      </c>
      <c r="AL44">
        <v>4</v>
      </c>
      <c r="AM44">
        <v>4</v>
      </c>
      <c r="AN44">
        <v>4</v>
      </c>
      <c r="AO44">
        <v>6</v>
      </c>
      <c r="AP44">
        <v>6</v>
      </c>
      <c r="AQ44">
        <v>11</v>
      </c>
      <c r="AR44">
        <v>15</v>
      </c>
      <c r="AS44">
        <v>18</v>
      </c>
      <c r="AT44">
        <v>20</v>
      </c>
      <c r="AU44">
        <v>20</v>
      </c>
      <c r="AV44">
        <v>22</v>
      </c>
      <c r="AW44">
        <v>25</v>
      </c>
      <c r="AX44">
        <v>28</v>
      </c>
      <c r="AY44">
        <v>29</v>
      </c>
      <c r="AZ44">
        <v>34</v>
      </c>
      <c r="BA44">
        <v>36</v>
      </c>
      <c r="BB44">
        <v>41</v>
      </c>
      <c r="BC44">
        <v>42</v>
      </c>
      <c r="BD44">
        <v>74</v>
      </c>
      <c r="BE44">
        <v>79</v>
      </c>
      <c r="BF44">
        <v>104</v>
      </c>
      <c r="BG44">
        <v>177</v>
      </c>
      <c r="BH44">
        <v>185</v>
      </c>
      <c r="BI44">
        <v>221</v>
      </c>
      <c r="BJ44">
        <v>257</v>
      </c>
      <c r="BK44">
        <v>308</v>
      </c>
      <c r="BL44">
        <v>377</v>
      </c>
      <c r="BM44">
        <v>425</v>
      </c>
      <c r="BN44">
        <v>503</v>
      </c>
      <c r="BO44">
        <v>588</v>
      </c>
      <c r="BP44">
        <v>688</v>
      </c>
      <c r="BQ44">
        <v>858</v>
      </c>
      <c r="BR44">
        <v>994</v>
      </c>
      <c r="BS44">
        <v>1144</v>
      </c>
      <c r="BT44">
        <v>1355</v>
      </c>
      <c r="BU44">
        <v>1706</v>
      </c>
      <c r="BV44">
        <v>1966</v>
      </c>
      <c r="BW44">
        <v>2392</v>
      </c>
      <c r="BX44">
        <v>2793</v>
      </c>
      <c r="BY44">
        <v>3255</v>
      </c>
      <c r="BZ44">
        <v>3630</v>
      </c>
      <c r="CA44">
        <v>4354</v>
      </c>
      <c r="CB44">
        <v>4347</v>
      </c>
      <c r="CC44">
        <v>4726</v>
      </c>
      <c r="CD44">
        <v>5276</v>
      </c>
      <c r="CE44">
        <v>5759</v>
      </c>
      <c r="CF44">
        <v>6237</v>
      </c>
      <c r="CG44">
        <v>6648</v>
      </c>
      <c r="CH44">
        <v>7049</v>
      </c>
      <c r="CI44">
        <v>7470</v>
      </c>
      <c r="CJ44">
        <v>7953</v>
      </c>
      <c r="CK44">
        <v>8447</v>
      </c>
      <c r="CL44">
        <v>9840</v>
      </c>
      <c r="CM44">
        <v>10456</v>
      </c>
      <c r="CN44">
        <v>11013</v>
      </c>
      <c r="CO44">
        <v>11561</v>
      </c>
      <c r="CP44">
        <v>12063</v>
      </c>
      <c r="CQ44">
        <v>12715</v>
      </c>
      <c r="CR44">
        <v>13718</v>
      </c>
      <c r="CS44">
        <v>14068</v>
      </c>
      <c r="CT44">
        <v>14550</v>
      </c>
      <c r="CU44">
        <v>15012</v>
      </c>
      <c r="CV44">
        <v>15568</v>
      </c>
      <c r="CW44">
        <v>15970</v>
      </c>
      <c r="CX44">
        <v>16500</v>
      </c>
      <c r="CY44">
        <v>16978</v>
      </c>
      <c r="CZ44">
        <v>17395</v>
      </c>
      <c r="DA44">
        <v>17880</v>
      </c>
      <c r="DB44">
        <v>18321</v>
      </c>
    </row>
    <row r="45" spans="1:106" x14ac:dyDescent="0.25">
      <c r="A45" t="s">
        <v>489</v>
      </c>
      <c r="B45" t="s">
        <v>46</v>
      </c>
      <c r="C45">
        <v>46.5107</v>
      </c>
      <c r="D45">
        <v>-63.416800000000002</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1</v>
      </c>
      <c r="BG45">
        <v>1</v>
      </c>
      <c r="BH45">
        <v>1</v>
      </c>
      <c r="BI45">
        <v>1</v>
      </c>
      <c r="BJ45">
        <v>2</v>
      </c>
      <c r="BK45">
        <v>2</v>
      </c>
      <c r="BL45">
        <v>2</v>
      </c>
      <c r="BM45">
        <v>3</v>
      </c>
      <c r="BN45">
        <v>3</v>
      </c>
      <c r="BO45">
        <v>3</v>
      </c>
      <c r="BP45">
        <v>5</v>
      </c>
      <c r="BQ45">
        <v>5</v>
      </c>
      <c r="BR45">
        <v>9</v>
      </c>
      <c r="BS45">
        <v>11</v>
      </c>
      <c r="BT45">
        <v>11</v>
      </c>
      <c r="BU45">
        <v>18</v>
      </c>
      <c r="BV45">
        <v>21</v>
      </c>
      <c r="BW45">
        <v>21</v>
      </c>
      <c r="BX45">
        <v>22</v>
      </c>
      <c r="BY45">
        <v>22</v>
      </c>
      <c r="BZ45">
        <v>22</v>
      </c>
      <c r="CA45">
        <v>22</v>
      </c>
      <c r="CB45">
        <v>22</v>
      </c>
      <c r="CC45">
        <v>22</v>
      </c>
      <c r="CD45">
        <v>25</v>
      </c>
      <c r="CE45">
        <v>25</v>
      </c>
      <c r="CF45">
        <v>25</v>
      </c>
      <c r="CG45">
        <v>25</v>
      </c>
      <c r="CH45">
        <v>25</v>
      </c>
      <c r="CI45">
        <v>25</v>
      </c>
      <c r="CJ45">
        <v>25</v>
      </c>
      <c r="CK45">
        <v>26</v>
      </c>
      <c r="CL45">
        <v>26</v>
      </c>
      <c r="CM45">
        <v>26</v>
      </c>
      <c r="CN45">
        <v>26</v>
      </c>
      <c r="CO45">
        <v>26</v>
      </c>
      <c r="CP45">
        <v>26</v>
      </c>
      <c r="CQ45">
        <v>26</v>
      </c>
      <c r="CR45">
        <v>26</v>
      </c>
      <c r="CS45">
        <v>26</v>
      </c>
      <c r="CT45">
        <v>26</v>
      </c>
      <c r="CU45">
        <v>26</v>
      </c>
      <c r="CV45">
        <v>26</v>
      </c>
      <c r="CW45">
        <v>26</v>
      </c>
      <c r="CX45">
        <v>27</v>
      </c>
      <c r="CY45">
        <v>27</v>
      </c>
      <c r="CZ45">
        <v>27</v>
      </c>
      <c r="DA45">
        <v>27</v>
      </c>
      <c r="DB45">
        <v>27</v>
      </c>
    </row>
    <row r="46" spans="1:106" x14ac:dyDescent="0.25">
      <c r="A46" t="s">
        <v>143</v>
      </c>
      <c r="B46" t="s">
        <v>46</v>
      </c>
      <c r="C46">
        <v>52.939900000000002</v>
      </c>
      <c r="D46">
        <v>-73.549099999999996</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1</v>
      </c>
      <c r="AQ46">
        <v>1</v>
      </c>
      <c r="AR46">
        <v>1</v>
      </c>
      <c r="AS46">
        <v>1</v>
      </c>
      <c r="AT46">
        <v>1</v>
      </c>
      <c r="AU46">
        <v>1</v>
      </c>
      <c r="AV46">
        <v>2</v>
      </c>
      <c r="AW46">
        <v>2</v>
      </c>
      <c r="AX46">
        <v>3</v>
      </c>
      <c r="AY46">
        <v>4</v>
      </c>
      <c r="AZ46">
        <v>4</v>
      </c>
      <c r="BA46">
        <v>4</v>
      </c>
      <c r="BB46">
        <v>8</v>
      </c>
      <c r="BC46">
        <v>9</v>
      </c>
      <c r="BD46">
        <v>17</v>
      </c>
      <c r="BE46">
        <v>17</v>
      </c>
      <c r="BF46">
        <v>24</v>
      </c>
      <c r="BG46">
        <v>50</v>
      </c>
      <c r="BH46">
        <v>74</v>
      </c>
      <c r="BI46">
        <v>94</v>
      </c>
      <c r="BJ46">
        <v>121</v>
      </c>
      <c r="BK46">
        <v>139</v>
      </c>
      <c r="BL46">
        <v>181</v>
      </c>
      <c r="BM46">
        <v>219</v>
      </c>
      <c r="BN46">
        <v>628</v>
      </c>
      <c r="BO46">
        <v>1013</v>
      </c>
      <c r="BP46">
        <v>1342</v>
      </c>
      <c r="BQ46">
        <v>1632</v>
      </c>
      <c r="BR46">
        <v>2024</v>
      </c>
      <c r="BS46">
        <v>2498</v>
      </c>
      <c r="BT46">
        <v>2840</v>
      </c>
      <c r="BU46">
        <v>3430</v>
      </c>
      <c r="BV46">
        <v>4162</v>
      </c>
      <c r="BW46">
        <v>4611</v>
      </c>
      <c r="BX46">
        <v>5518</v>
      </c>
      <c r="BY46">
        <v>6101</v>
      </c>
      <c r="BZ46">
        <v>6101</v>
      </c>
      <c r="CA46">
        <v>7944</v>
      </c>
      <c r="CB46">
        <v>8580</v>
      </c>
      <c r="CC46">
        <v>9340</v>
      </c>
      <c r="CD46">
        <v>10031</v>
      </c>
      <c r="CE46">
        <v>10912</v>
      </c>
      <c r="CF46">
        <v>11677</v>
      </c>
      <c r="CG46">
        <v>12292</v>
      </c>
      <c r="CH46">
        <v>12846</v>
      </c>
      <c r="CI46">
        <v>13557</v>
      </c>
      <c r="CJ46">
        <v>14248</v>
      </c>
      <c r="CK46">
        <v>14860</v>
      </c>
      <c r="CL46">
        <v>15857</v>
      </c>
      <c r="CM46">
        <v>16798</v>
      </c>
      <c r="CN46">
        <v>17521</v>
      </c>
      <c r="CO46">
        <v>17950</v>
      </c>
      <c r="CP46">
        <v>19319</v>
      </c>
      <c r="CQ46">
        <v>20126</v>
      </c>
      <c r="CR46">
        <v>20965</v>
      </c>
      <c r="CS46">
        <v>21838</v>
      </c>
      <c r="CT46">
        <v>22616</v>
      </c>
      <c r="CU46">
        <v>23267</v>
      </c>
      <c r="CV46">
        <v>24109</v>
      </c>
      <c r="CW46">
        <v>24983</v>
      </c>
      <c r="CX46">
        <v>25761</v>
      </c>
      <c r="CY46">
        <v>26610</v>
      </c>
      <c r="CZ46">
        <v>27550</v>
      </c>
      <c r="DA46">
        <v>28656</v>
      </c>
      <c r="DB46">
        <v>29664</v>
      </c>
    </row>
    <row r="47" spans="1:106" x14ac:dyDescent="0.25">
      <c r="A47" t="s">
        <v>201</v>
      </c>
      <c r="B47" t="s">
        <v>46</v>
      </c>
      <c r="C47">
        <v>52.939900000000002</v>
      </c>
      <c r="D47">
        <v>-106.4509</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2</v>
      </c>
      <c r="BE47">
        <v>2</v>
      </c>
      <c r="BF47">
        <v>2</v>
      </c>
      <c r="BG47">
        <v>7</v>
      </c>
      <c r="BH47">
        <v>7</v>
      </c>
      <c r="BI47">
        <v>8</v>
      </c>
      <c r="BJ47">
        <v>16</v>
      </c>
      <c r="BK47">
        <v>20</v>
      </c>
      <c r="BL47">
        <v>26</v>
      </c>
      <c r="BM47">
        <v>52</v>
      </c>
      <c r="BN47">
        <v>66</v>
      </c>
      <c r="BO47">
        <v>72</v>
      </c>
      <c r="BP47">
        <v>72</v>
      </c>
      <c r="BQ47">
        <v>95</v>
      </c>
      <c r="BR47">
        <v>95</v>
      </c>
      <c r="BS47">
        <v>134</v>
      </c>
      <c r="BT47">
        <v>156</v>
      </c>
      <c r="BU47">
        <v>156</v>
      </c>
      <c r="BV47">
        <v>184</v>
      </c>
      <c r="BW47">
        <v>193</v>
      </c>
      <c r="BX47">
        <v>206</v>
      </c>
      <c r="BY47">
        <v>220</v>
      </c>
      <c r="BZ47">
        <v>220</v>
      </c>
      <c r="CA47">
        <v>249</v>
      </c>
      <c r="CB47">
        <v>249</v>
      </c>
      <c r="CC47">
        <v>260</v>
      </c>
      <c r="CD47">
        <v>260</v>
      </c>
      <c r="CE47">
        <v>271</v>
      </c>
      <c r="CF47">
        <v>285</v>
      </c>
      <c r="CG47">
        <v>289</v>
      </c>
      <c r="CH47">
        <v>298</v>
      </c>
      <c r="CI47">
        <v>300</v>
      </c>
      <c r="CJ47">
        <v>300</v>
      </c>
      <c r="CK47">
        <v>304</v>
      </c>
      <c r="CL47">
        <v>305</v>
      </c>
      <c r="CM47">
        <v>307</v>
      </c>
      <c r="CN47">
        <v>313</v>
      </c>
      <c r="CO47">
        <v>315</v>
      </c>
      <c r="CP47">
        <v>316</v>
      </c>
      <c r="CQ47">
        <v>320</v>
      </c>
      <c r="CR47">
        <v>326</v>
      </c>
      <c r="CS47">
        <v>331</v>
      </c>
      <c r="CT47">
        <v>341</v>
      </c>
      <c r="CU47">
        <v>349</v>
      </c>
      <c r="CV47">
        <v>353</v>
      </c>
      <c r="CW47">
        <v>365</v>
      </c>
      <c r="CX47">
        <v>366</v>
      </c>
      <c r="CY47">
        <v>383</v>
      </c>
      <c r="CZ47">
        <v>389</v>
      </c>
      <c r="DA47">
        <v>415</v>
      </c>
      <c r="DB47">
        <v>421</v>
      </c>
    </row>
    <row r="48" spans="1:106" x14ac:dyDescent="0.25">
      <c r="B48" t="s">
        <v>490</v>
      </c>
      <c r="C48">
        <v>6.6111000000000004</v>
      </c>
      <c r="D48">
        <v>20.939399999999999</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1</v>
      </c>
      <c r="BG48">
        <v>1</v>
      </c>
      <c r="BH48">
        <v>1</v>
      </c>
      <c r="BI48">
        <v>1</v>
      </c>
      <c r="BJ48">
        <v>1</v>
      </c>
      <c r="BK48">
        <v>3</v>
      </c>
      <c r="BL48">
        <v>3</v>
      </c>
      <c r="BM48">
        <v>3</v>
      </c>
      <c r="BN48">
        <v>3</v>
      </c>
      <c r="BO48">
        <v>3</v>
      </c>
      <c r="BP48">
        <v>3</v>
      </c>
      <c r="BQ48">
        <v>3</v>
      </c>
      <c r="BR48">
        <v>3</v>
      </c>
      <c r="BS48">
        <v>3</v>
      </c>
      <c r="BT48">
        <v>3</v>
      </c>
      <c r="BU48">
        <v>3</v>
      </c>
      <c r="BV48">
        <v>3</v>
      </c>
      <c r="BW48">
        <v>3</v>
      </c>
      <c r="BX48">
        <v>3</v>
      </c>
      <c r="BY48">
        <v>8</v>
      </c>
      <c r="BZ48">
        <v>8</v>
      </c>
      <c r="CA48">
        <v>8</v>
      </c>
      <c r="CB48">
        <v>8</v>
      </c>
      <c r="CC48">
        <v>8</v>
      </c>
      <c r="CD48">
        <v>8</v>
      </c>
      <c r="CE48">
        <v>8</v>
      </c>
      <c r="CF48">
        <v>8</v>
      </c>
      <c r="CG48">
        <v>8</v>
      </c>
      <c r="CH48">
        <v>8</v>
      </c>
      <c r="CI48">
        <v>11</v>
      </c>
      <c r="CJ48">
        <v>11</v>
      </c>
      <c r="CK48">
        <v>12</v>
      </c>
      <c r="CL48">
        <v>12</v>
      </c>
      <c r="CM48">
        <v>12</v>
      </c>
      <c r="CN48">
        <v>12</v>
      </c>
      <c r="CO48">
        <v>12</v>
      </c>
      <c r="CP48">
        <v>12</v>
      </c>
      <c r="CQ48">
        <v>14</v>
      </c>
      <c r="CR48">
        <v>14</v>
      </c>
      <c r="CS48">
        <v>16</v>
      </c>
      <c r="CT48">
        <v>16</v>
      </c>
      <c r="CU48">
        <v>16</v>
      </c>
      <c r="CV48">
        <v>19</v>
      </c>
      <c r="CW48">
        <v>19</v>
      </c>
      <c r="CX48">
        <v>50</v>
      </c>
      <c r="CY48">
        <v>50</v>
      </c>
      <c r="CZ48">
        <v>50</v>
      </c>
      <c r="DA48">
        <v>72</v>
      </c>
      <c r="DB48">
        <v>72</v>
      </c>
    </row>
    <row r="49" spans="1:106" x14ac:dyDescent="0.25">
      <c r="B49" t="s">
        <v>735</v>
      </c>
      <c r="C49">
        <v>15.4542</v>
      </c>
      <c r="D49">
        <v>18.732199999999999</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1</v>
      </c>
      <c r="BK49">
        <v>1</v>
      </c>
      <c r="BL49">
        <v>1</v>
      </c>
      <c r="BM49">
        <v>1</v>
      </c>
      <c r="BN49">
        <v>1</v>
      </c>
      <c r="BO49">
        <v>3</v>
      </c>
      <c r="BP49">
        <v>3</v>
      </c>
      <c r="BQ49">
        <v>3</v>
      </c>
      <c r="BR49">
        <v>3</v>
      </c>
      <c r="BS49">
        <v>3</v>
      </c>
      <c r="BT49">
        <v>3</v>
      </c>
      <c r="BU49">
        <v>5</v>
      </c>
      <c r="BV49">
        <v>7</v>
      </c>
      <c r="BW49">
        <v>7</v>
      </c>
      <c r="BX49">
        <v>8</v>
      </c>
      <c r="BY49">
        <v>8</v>
      </c>
      <c r="BZ49">
        <v>9</v>
      </c>
      <c r="CA49">
        <v>9</v>
      </c>
      <c r="CB49">
        <v>9</v>
      </c>
      <c r="CC49">
        <v>10</v>
      </c>
      <c r="CD49">
        <v>10</v>
      </c>
      <c r="CE49">
        <v>11</v>
      </c>
      <c r="CF49">
        <v>11</v>
      </c>
      <c r="CG49">
        <v>11</v>
      </c>
      <c r="CH49">
        <v>18</v>
      </c>
      <c r="CI49">
        <v>23</v>
      </c>
      <c r="CJ49">
        <v>23</v>
      </c>
      <c r="CK49">
        <v>23</v>
      </c>
      <c r="CL49">
        <v>27</v>
      </c>
      <c r="CM49">
        <v>27</v>
      </c>
      <c r="CN49">
        <v>33</v>
      </c>
      <c r="CO49">
        <v>33</v>
      </c>
      <c r="CP49">
        <v>33</v>
      </c>
      <c r="CQ49">
        <v>33</v>
      </c>
      <c r="CR49">
        <v>33</v>
      </c>
      <c r="CS49">
        <v>33</v>
      </c>
      <c r="CT49">
        <v>40</v>
      </c>
      <c r="CU49">
        <v>46</v>
      </c>
      <c r="CV49">
        <v>46</v>
      </c>
      <c r="CW49">
        <v>46</v>
      </c>
      <c r="CX49">
        <v>52</v>
      </c>
      <c r="CY49">
        <v>52</v>
      </c>
      <c r="CZ49">
        <v>73</v>
      </c>
      <c r="DA49">
        <v>73</v>
      </c>
      <c r="DB49">
        <v>117</v>
      </c>
    </row>
    <row r="50" spans="1:106" x14ac:dyDescent="0.25">
      <c r="B50" t="s">
        <v>112</v>
      </c>
      <c r="C50">
        <v>-35.6751</v>
      </c>
      <c r="D50">
        <v>-71.543000000000006</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1</v>
      </c>
      <c r="AU50">
        <v>1</v>
      </c>
      <c r="AV50">
        <v>4</v>
      </c>
      <c r="AW50">
        <v>4</v>
      </c>
      <c r="AX50">
        <v>4</v>
      </c>
      <c r="AY50">
        <v>8</v>
      </c>
      <c r="AZ50">
        <v>8</v>
      </c>
      <c r="BA50">
        <v>13</v>
      </c>
      <c r="BB50">
        <v>23</v>
      </c>
      <c r="BC50">
        <v>23</v>
      </c>
      <c r="BD50">
        <v>43</v>
      </c>
      <c r="BE50">
        <v>61</v>
      </c>
      <c r="BF50">
        <v>74</v>
      </c>
      <c r="BG50">
        <v>155</v>
      </c>
      <c r="BH50">
        <v>201</v>
      </c>
      <c r="BI50">
        <v>238</v>
      </c>
      <c r="BJ50">
        <v>238</v>
      </c>
      <c r="BK50">
        <v>434</v>
      </c>
      <c r="BL50">
        <v>537</v>
      </c>
      <c r="BM50">
        <v>632</v>
      </c>
      <c r="BN50">
        <v>746</v>
      </c>
      <c r="BO50">
        <v>922</v>
      </c>
      <c r="BP50">
        <v>1142</v>
      </c>
      <c r="BQ50">
        <v>1306</v>
      </c>
      <c r="BR50">
        <v>1610</v>
      </c>
      <c r="BS50">
        <v>1909</v>
      </c>
      <c r="BT50">
        <v>2139</v>
      </c>
      <c r="BU50">
        <v>2449</v>
      </c>
      <c r="BV50">
        <v>2738</v>
      </c>
      <c r="BW50">
        <v>3031</v>
      </c>
      <c r="BX50">
        <v>3404</v>
      </c>
      <c r="BY50">
        <v>3737</v>
      </c>
      <c r="BZ50">
        <v>4161</v>
      </c>
      <c r="CA50">
        <v>4471</v>
      </c>
      <c r="CB50">
        <v>4815</v>
      </c>
      <c r="CC50">
        <v>5116</v>
      </c>
      <c r="CD50">
        <v>5546</v>
      </c>
      <c r="CE50">
        <v>5972</v>
      </c>
      <c r="CF50">
        <v>6501</v>
      </c>
      <c r="CG50">
        <v>6927</v>
      </c>
      <c r="CH50">
        <v>7213</v>
      </c>
      <c r="CI50">
        <v>7525</v>
      </c>
      <c r="CJ50">
        <v>7917</v>
      </c>
      <c r="CK50">
        <v>8273</v>
      </c>
      <c r="CL50">
        <v>8807</v>
      </c>
      <c r="CM50">
        <v>9252</v>
      </c>
      <c r="CN50">
        <v>9730</v>
      </c>
      <c r="CO50">
        <v>10088</v>
      </c>
      <c r="CP50">
        <v>10507</v>
      </c>
      <c r="CQ50">
        <v>10832</v>
      </c>
      <c r="CR50">
        <v>11296</v>
      </c>
      <c r="CS50">
        <v>11812</v>
      </c>
      <c r="CT50">
        <v>12306</v>
      </c>
      <c r="CU50">
        <v>12858</v>
      </c>
      <c r="CV50">
        <v>13331</v>
      </c>
      <c r="CW50">
        <v>13813</v>
      </c>
      <c r="CX50">
        <v>14365</v>
      </c>
      <c r="CY50">
        <v>14885</v>
      </c>
      <c r="CZ50">
        <v>16023</v>
      </c>
      <c r="DA50">
        <v>17008</v>
      </c>
      <c r="DB50">
        <v>18435</v>
      </c>
    </row>
    <row r="51" spans="1:106" x14ac:dyDescent="0.25">
      <c r="A51" t="s">
        <v>4</v>
      </c>
      <c r="B51" t="s">
        <v>176</v>
      </c>
      <c r="C51">
        <v>31.825700000000001</v>
      </c>
      <c r="D51">
        <v>117.2264</v>
      </c>
      <c r="E51">
        <v>1</v>
      </c>
      <c r="F51">
        <v>9</v>
      </c>
      <c r="G51">
        <v>15</v>
      </c>
      <c r="H51">
        <v>39</v>
      </c>
      <c r="I51">
        <v>60</v>
      </c>
      <c r="J51">
        <v>70</v>
      </c>
      <c r="K51">
        <v>106</v>
      </c>
      <c r="L51">
        <v>152</v>
      </c>
      <c r="M51">
        <v>200</v>
      </c>
      <c r="N51">
        <v>237</v>
      </c>
      <c r="O51">
        <v>297</v>
      </c>
      <c r="P51">
        <v>340</v>
      </c>
      <c r="Q51">
        <v>408</v>
      </c>
      <c r="R51">
        <v>480</v>
      </c>
      <c r="S51">
        <v>530</v>
      </c>
      <c r="T51">
        <v>591</v>
      </c>
      <c r="U51">
        <v>665</v>
      </c>
      <c r="V51">
        <v>733</v>
      </c>
      <c r="W51">
        <v>779</v>
      </c>
      <c r="X51">
        <v>830</v>
      </c>
      <c r="Y51">
        <v>860</v>
      </c>
      <c r="Z51">
        <v>889</v>
      </c>
      <c r="AA51">
        <v>910</v>
      </c>
      <c r="AB51">
        <v>934</v>
      </c>
      <c r="AC51">
        <v>950</v>
      </c>
      <c r="AD51">
        <v>962</v>
      </c>
      <c r="AE51">
        <v>973</v>
      </c>
      <c r="AF51">
        <v>982</v>
      </c>
      <c r="AG51">
        <v>986</v>
      </c>
      <c r="AH51">
        <v>987</v>
      </c>
      <c r="AI51">
        <v>988</v>
      </c>
      <c r="AJ51">
        <v>989</v>
      </c>
      <c r="AK51">
        <v>989</v>
      </c>
      <c r="AL51">
        <v>989</v>
      </c>
      <c r="AM51">
        <v>989</v>
      </c>
      <c r="AN51">
        <v>989</v>
      </c>
      <c r="AO51">
        <v>989</v>
      </c>
      <c r="AP51">
        <v>990</v>
      </c>
      <c r="AQ51">
        <v>990</v>
      </c>
      <c r="AR51">
        <v>990</v>
      </c>
      <c r="AS51">
        <v>990</v>
      </c>
      <c r="AT51">
        <v>990</v>
      </c>
      <c r="AU51">
        <v>990</v>
      </c>
      <c r="AV51">
        <v>990</v>
      </c>
      <c r="AW51">
        <v>990</v>
      </c>
      <c r="AX51">
        <v>990</v>
      </c>
      <c r="AY51">
        <v>990</v>
      </c>
      <c r="AZ51">
        <v>990</v>
      </c>
      <c r="BA51">
        <v>990</v>
      </c>
      <c r="BB51">
        <v>990</v>
      </c>
      <c r="BC51">
        <v>990</v>
      </c>
      <c r="BD51">
        <v>990</v>
      </c>
      <c r="BE51">
        <v>990</v>
      </c>
      <c r="BF51">
        <v>990</v>
      </c>
      <c r="BG51">
        <v>990</v>
      </c>
      <c r="BH51">
        <v>990</v>
      </c>
      <c r="BI51">
        <v>990</v>
      </c>
      <c r="BJ51">
        <v>990</v>
      </c>
      <c r="BK51">
        <v>990</v>
      </c>
      <c r="BL51">
        <v>990</v>
      </c>
      <c r="BM51">
        <v>990</v>
      </c>
      <c r="BN51">
        <v>990</v>
      </c>
      <c r="BO51">
        <v>990</v>
      </c>
      <c r="BP51">
        <v>990</v>
      </c>
      <c r="BQ51">
        <v>990</v>
      </c>
      <c r="BR51">
        <v>990</v>
      </c>
      <c r="BS51">
        <v>990</v>
      </c>
      <c r="BT51">
        <v>990</v>
      </c>
      <c r="BU51">
        <v>990</v>
      </c>
      <c r="BV51">
        <v>990</v>
      </c>
      <c r="BW51">
        <v>990</v>
      </c>
      <c r="BX51">
        <v>990</v>
      </c>
      <c r="BY51">
        <v>990</v>
      </c>
      <c r="BZ51">
        <v>990</v>
      </c>
      <c r="CA51">
        <v>990</v>
      </c>
      <c r="CB51">
        <v>990</v>
      </c>
      <c r="CC51">
        <v>990</v>
      </c>
      <c r="CD51">
        <v>990</v>
      </c>
      <c r="CE51">
        <v>991</v>
      </c>
      <c r="CF51">
        <v>991</v>
      </c>
      <c r="CG51">
        <v>991</v>
      </c>
      <c r="CH51">
        <v>991</v>
      </c>
      <c r="CI51">
        <v>991</v>
      </c>
      <c r="CJ51">
        <v>991</v>
      </c>
      <c r="CK51">
        <v>991</v>
      </c>
      <c r="CL51">
        <v>991</v>
      </c>
      <c r="CM51">
        <v>991</v>
      </c>
      <c r="CN51">
        <v>991</v>
      </c>
      <c r="CO51">
        <v>991</v>
      </c>
      <c r="CP51">
        <v>991</v>
      </c>
      <c r="CQ51">
        <v>991</v>
      </c>
      <c r="CR51">
        <v>991</v>
      </c>
      <c r="CS51">
        <v>991</v>
      </c>
      <c r="CT51">
        <v>991</v>
      </c>
      <c r="CU51">
        <v>991</v>
      </c>
      <c r="CV51">
        <v>991</v>
      </c>
      <c r="CW51">
        <v>991</v>
      </c>
      <c r="CX51">
        <v>991</v>
      </c>
      <c r="CY51">
        <v>991</v>
      </c>
      <c r="CZ51">
        <v>991</v>
      </c>
      <c r="DA51">
        <v>991</v>
      </c>
      <c r="DB51">
        <v>991</v>
      </c>
    </row>
    <row r="52" spans="1:106" x14ac:dyDescent="0.25">
      <c r="A52" t="s">
        <v>5</v>
      </c>
      <c r="B52" t="s">
        <v>176</v>
      </c>
      <c r="C52">
        <v>40.182400000000001</v>
      </c>
      <c r="D52">
        <v>116.41419999999999</v>
      </c>
      <c r="E52">
        <v>14</v>
      </c>
      <c r="F52">
        <v>22</v>
      </c>
      <c r="G52">
        <v>36</v>
      </c>
      <c r="H52">
        <v>41</v>
      </c>
      <c r="I52">
        <v>68</v>
      </c>
      <c r="J52">
        <v>80</v>
      </c>
      <c r="K52">
        <v>91</v>
      </c>
      <c r="L52">
        <v>111</v>
      </c>
      <c r="M52">
        <v>114</v>
      </c>
      <c r="N52">
        <v>139</v>
      </c>
      <c r="O52">
        <v>168</v>
      </c>
      <c r="P52">
        <v>191</v>
      </c>
      <c r="Q52">
        <v>212</v>
      </c>
      <c r="R52">
        <v>228</v>
      </c>
      <c r="S52">
        <v>253</v>
      </c>
      <c r="T52">
        <v>274</v>
      </c>
      <c r="U52">
        <v>297</v>
      </c>
      <c r="V52">
        <v>315</v>
      </c>
      <c r="W52">
        <v>326</v>
      </c>
      <c r="X52">
        <v>337</v>
      </c>
      <c r="Y52">
        <v>342</v>
      </c>
      <c r="Z52">
        <v>352</v>
      </c>
      <c r="AA52">
        <v>366</v>
      </c>
      <c r="AB52">
        <v>372</v>
      </c>
      <c r="AC52">
        <v>375</v>
      </c>
      <c r="AD52">
        <v>380</v>
      </c>
      <c r="AE52">
        <v>381</v>
      </c>
      <c r="AF52">
        <v>387</v>
      </c>
      <c r="AG52">
        <v>393</v>
      </c>
      <c r="AH52">
        <v>395</v>
      </c>
      <c r="AI52">
        <v>396</v>
      </c>
      <c r="AJ52">
        <v>399</v>
      </c>
      <c r="AK52">
        <v>399</v>
      </c>
      <c r="AL52">
        <v>399</v>
      </c>
      <c r="AM52">
        <v>400</v>
      </c>
      <c r="AN52">
        <v>400</v>
      </c>
      <c r="AO52">
        <v>410</v>
      </c>
      <c r="AP52">
        <v>410</v>
      </c>
      <c r="AQ52">
        <v>411</v>
      </c>
      <c r="AR52">
        <v>413</v>
      </c>
      <c r="AS52">
        <v>414</v>
      </c>
      <c r="AT52">
        <v>414</v>
      </c>
      <c r="AU52">
        <v>418</v>
      </c>
      <c r="AV52">
        <v>418</v>
      </c>
      <c r="AW52">
        <v>422</v>
      </c>
      <c r="AX52">
        <v>426</v>
      </c>
      <c r="AY52">
        <v>428</v>
      </c>
      <c r="AZ52">
        <v>428</v>
      </c>
      <c r="BA52">
        <v>429</v>
      </c>
      <c r="BB52">
        <v>435</v>
      </c>
      <c r="BC52">
        <v>435</v>
      </c>
      <c r="BD52">
        <v>436</v>
      </c>
      <c r="BE52">
        <v>437</v>
      </c>
      <c r="BF52">
        <v>442</v>
      </c>
      <c r="BG52">
        <v>452</v>
      </c>
      <c r="BH52">
        <v>456</v>
      </c>
      <c r="BI52">
        <v>469</v>
      </c>
      <c r="BJ52">
        <v>480</v>
      </c>
      <c r="BK52">
        <v>491</v>
      </c>
      <c r="BL52">
        <v>504</v>
      </c>
      <c r="BM52">
        <v>522</v>
      </c>
      <c r="BN52">
        <v>537</v>
      </c>
      <c r="BO52">
        <v>558</v>
      </c>
      <c r="BP52">
        <v>561</v>
      </c>
      <c r="BQ52">
        <v>566</v>
      </c>
      <c r="BR52">
        <v>569</v>
      </c>
      <c r="BS52">
        <v>573</v>
      </c>
      <c r="BT52">
        <v>577</v>
      </c>
      <c r="BU52">
        <v>577</v>
      </c>
      <c r="BV52">
        <v>580</v>
      </c>
      <c r="BW52">
        <v>580</v>
      </c>
      <c r="BX52">
        <v>582</v>
      </c>
      <c r="BY52">
        <v>584</v>
      </c>
      <c r="BZ52">
        <v>585</v>
      </c>
      <c r="CA52">
        <v>586</v>
      </c>
      <c r="CB52">
        <v>587</v>
      </c>
      <c r="CC52">
        <v>587</v>
      </c>
      <c r="CD52">
        <v>588</v>
      </c>
      <c r="CE52">
        <v>588</v>
      </c>
      <c r="CF52">
        <v>588</v>
      </c>
      <c r="CG52">
        <v>589</v>
      </c>
      <c r="CH52">
        <v>589</v>
      </c>
      <c r="CI52">
        <v>589</v>
      </c>
      <c r="CJ52">
        <v>589</v>
      </c>
      <c r="CK52">
        <v>590</v>
      </c>
      <c r="CL52">
        <v>593</v>
      </c>
      <c r="CM52">
        <v>593</v>
      </c>
      <c r="CN52">
        <v>593</v>
      </c>
      <c r="CO52">
        <v>593</v>
      </c>
      <c r="CP52">
        <v>593</v>
      </c>
      <c r="CQ52">
        <v>593</v>
      </c>
      <c r="CR52">
        <v>593</v>
      </c>
      <c r="CS52">
        <v>593</v>
      </c>
      <c r="CT52">
        <v>593</v>
      </c>
      <c r="CU52">
        <v>593</v>
      </c>
      <c r="CV52">
        <v>593</v>
      </c>
      <c r="CW52">
        <v>593</v>
      </c>
      <c r="CX52">
        <v>593</v>
      </c>
      <c r="CY52">
        <v>593</v>
      </c>
      <c r="CZ52">
        <v>593</v>
      </c>
      <c r="DA52">
        <v>593</v>
      </c>
      <c r="DB52">
        <v>593</v>
      </c>
    </row>
    <row r="53" spans="1:106" x14ac:dyDescent="0.25">
      <c r="A53" t="s">
        <v>6</v>
      </c>
      <c r="B53" t="s">
        <v>176</v>
      </c>
      <c r="C53">
        <v>30.057200000000002</v>
      </c>
      <c r="D53">
        <v>107.874</v>
      </c>
      <c r="E53">
        <v>6</v>
      </c>
      <c r="F53">
        <v>9</v>
      </c>
      <c r="G53">
        <v>27</v>
      </c>
      <c r="H53">
        <v>57</v>
      </c>
      <c r="I53">
        <v>75</v>
      </c>
      <c r="J53">
        <v>110</v>
      </c>
      <c r="K53">
        <v>132</v>
      </c>
      <c r="L53">
        <v>147</v>
      </c>
      <c r="M53">
        <v>182</v>
      </c>
      <c r="N53">
        <v>211</v>
      </c>
      <c r="O53">
        <v>247</v>
      </c>
      <c r="P53">
        <v>300</v>
      </c>
      <c r="Q53">
        <v>337</v>
      </c>
      <c r="R53">
        <v>366</v>
      </c>
      <c r="S53">
        <v>389</v>
      </c>
      <c r="T53">
        <v>411</v>
      </c>
      <c r="U53">
        <v>426</v>
      </c>
      <c r="V53">
        <v>428</v>
      </c>
      <c r="W53">
        <v>468</v>
      </c>
      <c r="X53">
        <v>486</v>
      </c>
      <c r="Y53">
        <v>505</v>
      </c>
      <c r="Z53">
        <v>518</v>
      </c>
      <c r="AA53">
        <v>529</v>
      </c>
      <c r="AB53">
        <v>537</v>
      </c>
      <c r="AC53">
        <v>544</v>
      </c>
      <c r="AD53">
        <v>551</v>
      </c>
      <c r="AE53">
        <v>553</v>
      </c>
      <c r="AF53">
        <v>555</v>
      </c>
      <c r="AG53">
        <v>560</v>
      </c>
      <c r="AH53">
        <v>567</v>
      </c>
      <c r="AI53">
        <v>572</v>
      </c>
      <c r="AJ53">
        <v>573</v>
      </c>
      <c r="AK53">
        <v>575</v>
      </c>
      <c r="AL53">
        <v>576</v>
      </c>
      <c r="AM53">
        <v>576</v>
      </c>
      <c r="AN53">
        <v>576</v>
      </c>
      <c r="AO53">
        <v>576</v>
      </c>
      <c r="AP53">
        <v>576</v>
      </c>
      <c r="AQ53">
        <v>576</v>
      </c>
      <c r="AR53">
        <v>576</v>
      </c>
      <c r="AS53">
        <v>576</v>
      </c>
      <c r="AT53">
        <v>576</v>
      </c>
      <c r="AU53">
        <v>576</v>
      </c>
      <c r="AV53">
        <v>576</v>
      </c>
      <c r="AW53">
        <v>576</v>
      </c>
      <c r="AX53">
        <v>576</v>
      </c>
      <c r="AY53">
        <v>576</v>
      </c>
      <c r="AZ53">
        <v>576</v>
      </c>
      <c r="BA53">
        <v>576</v>
      </c>
      <c r="BB53">
        <v>576</v>
      </c>
      <c r="BC53">
        <v>576</v>
      </c>
      <c r="BD53">
        <v>576</v>
      </c>
      <c r="BE53">
        <v>576</v>
      </c>
      <c r="BF53">
        <v>576</v>
      </c>
      <c r="BG53">
        <v>576</v>
      </c>
      <c r="BH53">
        <v>576</v>
      </c>
      <c r="BI53">
        <v>576</v>
      </c>
      <c r="BJ53">
        <v>576</v>
      </c>
      <c r="BK53">
        <v>576</v>
      </c>
      <c r="BL53">
        <v>576</v>
      </c>
      <c r="BM53">
        <v>577</v>
      </c>
      <c r="BN53">
        <v>578</v>
      </c>
      <c r="BO53">
        <v>578</v>
      </c>
      <c r="BP53">
        <v>578</v>
      </c>
      <c r="BQ53">
        <v>578</v>
      </c>
      <c r="BR53">
        <v>578</v>
      </c>
      <c r="BS53">
        <v>578</v>
      </c>
      <c r="BT53">
        <v>579</v>
      </c>
      <c r="BU53">
        <v>579</v>
      </c>
      <c r="BV53">
        <v>579</v>
      </c>
      <c r="BW53">
        <v>579</v>
      </c>
      <c r="BX53">
        <v>579</v>
      </c>
      <c r="BY53">
        <v>579</v>
      </c>
      <c r="BZ53">
        <v>579</v>
      </c>
      <c r="CA53">
        <v>579</v>
      </c>
      <c r="CB53">
        <v>579</v>
      </c>
      <c r="CC53">
        <v>579</v>
      </c>
      <c r="CD53">
        <v>579</v>
      </c>
      <c r="CE53">
        <v>579</v>
      </c>
      <c r="CF53">
        <v>579</v>
      </c>
      <c r="CG53">
        <v>579</v>
      </c>
      <c r="CH53">
        <v>579</v>
      </c>
      <c r="CI53">
        <v>579</v>
      </c>
      <c r="CJ53">
        <v>579</v>
      </c>
      <c r="CK53">
        <v>579</v>
      </c>
      <c r="CL53">
        <v>579</v>
      </c>
      <c r="CM53">
        <v>579</v>
      </c>
      <c r="CN53">
        <v>579</v>
      </c>
      <c r="CO53">
        <v>579</v>
      </c>
      <c r="CP53">
        <v>579</v>
      </c>
      <c r="CQ53">
        <v>579</v>
      </c>
      <c r="CR53">
        <v>579</v>
      </c>
      <c r="CS53">
        <v>579</v>
      </c>
      <c r="CT53">
        <v>579</v>
      </c>
      <c r="CU53">
        <v>579</v>
      </c>
      <c r="CV53">
        <v>579</v>
      </c>
      <c r="CW53">
        <v>579</v>
      </c>
      <c r="CX53">
        <v>579</v>
      </c>
      <c r="CY53">
        <v>579</v>
      </c>
      <c r="CZ53">
        <v>579</v>
      </c>
      <c r="DA53">
        <v>579</v>
      </c>
      <c r="DB53">
        <v>579</v>
      </c>
    </row>
    <row r="54" spans="1:106" x14ac:dyDescent="0.25">
      <c r="A54" t="s">
        <v>7</v>
      </c>
      <c r="B54" t="s">
        <v>176</v>
      </c>
      <c r="C54">
        <v>26.078900000000001</v>
      </c>
      <c r="D54">
        <v>117.98739999999999</v>
      </c>
      <c r="E54">
        <v>1</v>
      </c>
      <c r="F54">
        <v>5</v>
      </c>
      <c r="G54">
        <v>10</v>
      </c>
      <c r="H54">
        <v>18</v>
      </c>
      <c r="I54">
        <v>35</v>
      </c>
      <c r="J54">
        <v>59</v>
      </c>
      <c r="K54">
        <v>80</v>
      </c>
      <c r="L54">
        <v>84</v>
      </c>
      <c r="M54">
        <v>101</v>
      </c>
      <c r="N54">
        <v>120</v>
      </c>
      <c r="O54">
        <v>144</v>
      </c>
      <c r="P54">
        <v>159</v>
      </c>
      <c r="Q54">
        <v>179</v>
      </c>
      <c r="R54">
        <v>194</v>
      </c>
      <c r="S54">
        <v>205</v>
      </c>
      <c r="T54">
        <v>215</v>
      </c>
      <c r="U54">
        <v>224</v>
      </c>
      <c r="V54">
        <v>239</v>
      </c>
      <c r="W54">
        <v>250</v>
      </c>
      <c r="X54">
        <v>261</v>
      </c>
      <c r="Y54">
        <v>267</v>
      </c>
      <c r="Z54">
        <v>272</v>
      </c>
      <c r="AA54">
        <v>279</v>
      </c>
      <c r="AB54">
        <v>281</v>
      </c>
      <c r="AC54">
        <v>285</v>
      </c>
      <c r="AD54">
        <v>287</v>
      </c>
      <c r="AE54">
        <v>290</v>
      </c>
      <c r="AF54">
        <v>292</v>
      </c>
      <c r="AG54">
        <v>293</v>
      </c>
      <c r="AH54">
        <v>293</v>
      </c>
      <c r="AI54">
        <v>293</v>
      </c>
      <c r="AJ54">
        <v>293</v>
      </c>
      <c r="AK54">
        <v>293</v>
      </c>
      <c r="AL54">
        <v>293</v>
      </c>
      <c r="AM54">
        <v>294</v>
      </c>
      <c r="AN54">
        <v>294</v>
      </c>
      <c r="AO54">
        <v>296</v>
      </c>
      <c r="AP54">
        <v>296</v>
      </c>
      <c r="AQ54">
        <v>296</v>
      </c>
      <c r="AR54">
        <v>296</v>
      </c>
      <c r="AS54">
        <v>296</v>
      </c>
      <c r="AT54">
        <v>296</v>
      </c>
      <c r="AU54">
        <v>296</v>
      </c>
      <c r="AV54">
        <v>296</v>
      </c>
      <c r="AW54">
        <v>296</v>
      </c>
      <c r="AX54">
        <v>296</v>
      </c>
      <c r="AY54">
        <v>296</v>
      </c>
      <c r="AZ54">
        <v>296</v>
      </c>
      <c r="BA54">
        <v>296</v>
      </c>
      <c r="BB54">
        <v>296</v>
      </c>
      <c r="BC54">
        <v>296</v>
      </c>
      <c r="BD54">
        <v>296</v>
      </c>
      <c r="BE54">
        <v>296</v>
      </c>
      <c r="BF54">
        <v>296</v>
      </c>
      <c r="BG54">
        <v>296</v>
      </c>
      <c r="BH54">
        <v>296</v>
      </c>
      <c r="BI54">
        <v>296</v>
      </c>
      <c r="BJ54">
        <v>296</v>
      </c>
      <c r="BK54">
        <v>299</v>
      </c>
      <c r="BL54">
        <v>303</v>
      </c>
      <c r="BM54">
        <v>313</v>
      </c>
      <c r="BN54">
        <v>313</v>
      </c>
      <c r="BO54">
        <v>318</v>
      </c>
      <c r="BP54">
        <v>322</v>
      </c>
      <c r="BQ54">
        <v>328</v>
      </c>
      <c r="BR54">
        <v>331</v>
      </c>
      <c r="BS54">
        <v>337</v>
      </c>
      <c r="BT54">
        <v>338</v>
      </c>
      <c r="BU54">
        <v>340</v>
      </c>
      <c r="BV54">
        <v>343</v>
      </c>
      <c r="BW54">
        <v>345</v>
      </c>
      <c r="BX54">
        <v>345</v>
      </c>
      <c r="BY54">
        <v>349</v>
      </c>
      <c r="BZ54">
        <v>350</v>
      </c>
      <c r="CA54">
        <v>350</v>
      </c>
      <c r="CB54">
        <v>350</v>
      </c>
      <c r="CC54">
        <v>351</v>
      </c>
      <c r="CD54">
        <v>351</v>
      </c>
      <c r="CE54">
        <v>351</v>
      </c>
      <c r="CF54">
        <v>351</v>
      </c>
      <c r="CG54">
        <v>351</v>
      </c>
      <c r="CH54">
        <v>352</v>
      </c>
      <c r="CI54">
        <v>352</v>
      </c>
      <c r="CJ54">
        <v>353</v>
      </c>
      <c r="CK54">
        <v>353</v>
      </c>
      <c r="CL54">
        <v>353</v>
      </c>
      <c r="CM54">
        <v>354</v>
      </c>
      <c r="CN54">
        <v>355</v>
      </c>
      <c r="CO54">
        <v>355</v>
      </c>
      <c r="CP54">
        <v>355</v>
      </c>
      <c r="CQ54">
        <v>355</v>
      </c>
      <c r="CR54">
        <v>355</v>
      </c>
      <c r="CS54">
        <v>355</v>
      </c>
      <c r="CT54">
        <v>355</v>
      </c>
      <c r="CU54">
        <v>355</v>
      </c>
      <c r="CV54">
        <v>355</v>
      </c>
      <c r="CW54">
        <v>355</v>
      </c>
      <c r="CX54">
        <v>355</v>
      </c>
      <c r="CY54">
        <v>355</v>
      </c>
      <c r="CZ54">
        <v>356</v>
      </c>
      <c r="DA54">
        <v>356</v>
      </c>
      <c r="DB54">
        <v>356</v>
      </c>
    </row>
    <row r="55" spans="1:106" x14ac:dyDescent="0.25">
      <c r="A55" t="s">
        <v>8</v>
      </c>
      <c r="B55" t="s">
        <v>176</v>
      </c>
      <c r="C55">
        <v>37.809899999999999</v>
      </c>
      <c r="D55">
        <v>101.0583</v>
      </c>
      <c r="E55">
        <v>0</v>
      </c>
      <c r="F55">
        <v>2</v>
      </c>
      <c r="G55">
        <v>2</v>
      </c>
      <c r="H55">
        <v>4</v>
      </c>
      <c r="I55">
        <v>7</v>
      </c>
      <c r="J55">
        <v>14</v>
      </c>
      <c r="K55">
        <v>19</v>
      </c>
      <c r="L55">
        <v>24</v>
      </c>
      <c r="M55">
        <v>26</v>
      </c>
      <c r="N55">
        <v>29</v>
      </c>
      <c r="O55">
        <v>40</v>
      </c>
      <c r="P55">
        <v>51</v>
      </c>
      <c r="Q55">
        <v>55</v>
      </c>
      <c r="R55">
        <v>57</v>
      </c>
      <c r="S55">
        <v>62</v>
      </c>
      <c r="T55">
        <v>62</v>
      </c>
      <c r="U55">
        <v>67</v>
      </c>
      <c r="V55">
        <v>79</v>
      </c>
      <c r="W55">
        <v>83</v>
      </c>
      <c r="X55">
        <v>83</v>
      </c>
      <c r="Y55">
        <v>86</v>
      </c>
      <c r="Z55">
        <v>87</v>
      </c>
      <c r="AA55">
        <v>90</v>
      </c>
      <c r="AB55">
        <v>90</v>
      </c>
      <c r="AC55">
        <v>90</v>
      </c>
      <c r="AD55">
        <v>90</v>
      </c>
      <c r="AE55">
        <v>91</v>
      </c>
      <c r="AF55">
        <v>91</v>
      </c>
      <c r="AG55">
        <v>91</v>
      </c>
      <c r="AH55">
        <v>91</v>
      </c>
      <c r="AI55">
        <v>91</v>
      </c>
      <c r="AJ55">
        <v>91</v>
      </c>
      <c r="AK55">
        <v>91</v>
      </c>
      <c r="AL55">
        <v>91</v>
      </c>
      <c r="AM55">
        <v>91</v>
      </c>
      <c r="AN55">
        <v>91</v>
      </c>
      <c r="AO55">
        <v>91</v>
      </c>
      <c r="AP55">
        <v>91</v>
      </c>
      <c r="AQ55">
        <v>91</v>
      </c>
      <c r="AR55">
        <v>91</v>
      </c>
      <c r="AS55">
        <v>91</v>
      </c>
      <c r="AT55">
        <v>91</v>
      </c>
      <c r="AU55">
        <v>91</v>
      </c>
      <c r="AV55">
        <v>102</v>
      </c>
      <c r="AW55">
        <v>119</v>
      </c>
      <c r="AX55">
        <v>120</v>
      </c>
      <c r="AY55">
        <v>124</v>
      </c>
      <c r="AZ55">
        <v>124</v>
      </c>
      <c r="BA55">
        <v>125</v>
      </c>
      <c r="BB55">
        <v>127</v>
      </c>
      <c r="BC55">
        <v>127</v>
      </c>
      <c r="BD55">
        <v>127</v>
      </c>
      <c r="BE55">
        <v>129</v>
      </c>
      <c r="BF55">
        <v>133</v>
      </c>
      <c r="BG55">
        <v>133</v>
      </c>
      <c r="BH55">
        <v>133</v>
      </c>
      <c r="BI55">
        <v>133</v>
      </c>
      <c r="BJ55">
        <v>134</v>
      </c>
      <c r="BK55">
        <v>134</v>
      </c>
      <c r="BL55">
        <v>134</v>
      </c>
      <c r="BM55">
        <v>136</v>
      </c>
      <c r="BN55">
        <v>136</v>
      </c>
      <c r="BO55">
        <v>136</v>
      </c>
      <c r="BP55">
        <v>136</v>
      </c>
      <c r="BQ55">
        <v>136</v>
      </c>
      <c r="BR55">
        <v>136</v>
      </c>
      <c r="BS55">
        <v>136</v>
      </c>
      <c r="BT55">
        <v>138</v>
      </c>
      <c r="BU55">
        <v>138</v>
      </c>
      <c r="BV55">
        <v>138</v>
      </c>
      <c r="BW55">
        <v>138</v>
      </c>
      <c r="BX55">
        <v>138</v>
      </c>
      <c r="BY55">
        <v>138</v>
      </c>
      <c r="BZ55">
        <v>138</v>
      </c>
      <c r="CA55">
        <v>138</v>
      </c>
      <c r="CB55">
        <v>139</v>
      </c>
      <c r="CC55">
        <v>139</v>
      </c>
      <c r="CD55">
        <v>139</v>
      </c>
      <c r="CE55">
        <v>139</v>
      </c>
      <c r="CF55">
        <v>139</v>
      </c>
      <c r="CG55">
        <v>139</v>
      </c>
      <c r="CH55">
        <v>139</v>
      </c>
      <c r="CI55">
        <v>139</v>
      </c>
      <c r="CJ55">
        <v>139</v>
      </c>
      <c r="CK55">
        <v>139</v>
      </c>
      <c r="CL55">
        <v>139</v>
      </c>
      <c r="CM55">
        <v>139</v>
      </c>
      <c r="CN55">
        <v>139</v>
      </c>
      <c r="CO55">
        <v>139</v>
      </c>
      <c r="CP55">
        <v>139</v>
      </c>
      <c r="CQ55">
        <v>139</v>
      </c>
      <c r="CR55">
        <v>139</v>
      </c>
      <c r="CS55">
        <v>139</v>
      </c>
      <c r="CT55">
        <v>139</v>
      </c>
      <c r="CU55">
        <v>139</v>
      </c>
      <c r="CV55">
        <v>139</v>
      </c>
      <c r="CW55">
        <v>139</v>
      </c>
      <c r="CX55">
        <v>139</v>
      </c>
      <c r="CY55">
        <v>139</v>
      </c>
      <c r="CZ55">
        <v>139</v>
      </c>
      <c r="DA55">
        <v>139</v>
      </c>
      <c r="DB55">
        <v>139</v>
      </c>
    </row>
    <row r="56" spans="1:106" x14ac:dyDescent="0.25">
      <c r="A56" t="s">
        <v>9</v>
      </c>
      <c r="B56" t="s">
        <v>176</v>
      </c>
      <c r="C56">
        <v>23.341699999999999</v>
      </c>
      <c r="D56">
        <v>113.42440000000001</v>
      </c>
      <c r="E56">
        <v>26</v>
      </c>
      <c r="F56">
        <v>32</v>
      </c>
      <c r="G56">
        <v>53</v>
      </c>
      <c r="H56">
        <v>78</v>
      </c>
      <c r="I56">
        <v>111</v>
      </c>
      <c r="J56">
        <v>151</v>
      </c>
      <c r="K56">
        <v>207</v>
      </c>
      <c r="L56">
        <v>277</v>
      </c>
      <c r="M56">
        <v>354</v>
      </c>
      <c r="N56">
        <v>436</v>
      </c>
      <c r="O56">
        <v>535</v>
      </c>
      <c r="P56">
        <v>632</v>
      </c>
      <c r="Q56">
        <v>725</v>
      </c>
      <c r="R56">
        <v>813</v>
      </c>
      <c r="S56">
        <v>895</v>
      </c>
      <c r="T56">
        <v>970</v>
      </c>
      <c r="U56">
        <v>1034</v>
      </c>
      <c r="V56">
        <v>1095</v>
      </c>
      <c r="W56">
        <v>1131</v>
      </c>
      <c r="X56">
        <v>1159</v>
      </c>
      <c r="Y56">
        <v>1177</v>
      </c>
      <c r="Z56">
        <v>1219</v>
      </c>
      <c r="AA56">
        <v>1241</v>
      </c>
      <c r="AB56">
        <v>1261</v>
      </c>
      <c r="AC56">
        <v>1294</v>
      </c>
      <c r="AD56">
        <v>1316</v>
      </c>
      <c r="AE56">
        <v>1322</v>
      </c>
      <c r="AF56">
        <v>1328</v>
      </c>
      <c r="AG56">
        <v>1331</v>
      </c>
      <c r="AH56">
        <v>1332</v>
      </c>
      <c r="AI56">
        <v>1333</v>
      </c>
      <c r="AJ56">
        <v>1339</v>
      </c>
      <c r="AK56">
        <v>1342</v>
      </c>
      <c r="AL56">
        <v>1345</v>
      </c>
      <c r="AM56">
        <v>1347</v>
      </c>
      <c r="AN56">
        <v>1347</v>
      </c>
      <c r="AO56">
        <v>1347</v>
      </c>
      <c r="AP56">
        <v>1348</v>
      </c>
      <c r="AQ56">
        <v>1349</v>
      </c>
      <c r="AR56">
        <v>1349</v>
      </c>
      <c r="AS56">
        <v>1350</v>
      </c>
      <c r="AT56">
        <v>1350</v>
      </c>
      <c r="AU56">
        <v>1350</v>
      </c>
      <c r="AV56">
        <v>1351</v>
      </c>
      <c r="AW56">
        <v>1352</v>
      </c>
      <c r="AX56">
        <v>1352</v>
      </c>
      <c r="AY56">
        <v>1352</v>
      </c>
      <c r="AZ56">
        <v>1352</v>
      </c>
      <c r="BA56">
        <v>1353</v>
      </c>
      <c r="BB56">
        <v>1356</v>
      </c>
      <c r="BC56">
        <v>1356</v>
      </c>
      <c r="BD56">
        <v>1356</v>
      </c>
      <c r="BE56">
        <v>1356</v>
      </c>
      <c r="BF56">
        <v>1360</v>
      </c>
      <c r="BG56">
        <v>1361</v>
      </c>
      <c r="BH56">
        <v>1364</v>
      </c>
      <c r="BI56">
        <v>1370</v>
      </c>
      <c r="BJ56">
        <v>1378</v>
      </c>
      <c r="BK56">
        <v>1395</v>
      </c>
      <c r="BL56">
        <v>1400</v>
      </c>
      <c r="BM56">
        <v>1413</v>
      </c>
      <c r="BN56">
        <v>1415</v>
      </c>
      <c r="BO56">
        <v>1428</v>
      </c>
      <c r="BP56">
        <v>1433</v>
      </c>
      <c r="BQ56">
        <v>1448</v>
      </c>
      <c r="BR56">
        <v>1456</v>
      </c>
      <c r="BS56">
        <v>1467</v>
      </c>
      <c r="BT56">
        <v>1475</v>
      </c>
      <c r="BU56">
        <v>1484</v>
      </c>
      <c r="BV56">
        <v>1494</v>
      </c>
      <c r="BW56">
        <v>1501</v>
      </c>
      <c r="BX56">
        <v>1507</v>
      </c>
      <c r="BY56">
        <v>1514</v>
      </c>
      <c r="BZ56">
        <v>1516</v>
      </c>
      <c r="CA56">
        <v>1524</v>
      </c>
      <c r="CB56">
        <v>1532</v>
      </c>
      <c r="CC56">
        <v>1533</v>
      </c>
      <c r="CD56">
        <v>1536</v>
      </c>
      <c r="CE56">
        <v>1539</v>
      </c>
      <c r="CF56">
        <v>1544</v>
      </c>
      <c r="CG56">
        <v>1548</v>
      </c>
      <c r="CH56">
        <v>1552</v>
      </c>
      <c r="CI56">
        <v>1555</v>
      </c>
      <c r="CJ56">
        <v>1564</v>
      </c>
      <c r="CK56">
        <v>1566</v>
      </c>
      <c r="CL56">
        <v>1571</v>
      </c>
      <c r="CM56">
        <v>1577</v>
      </c>
      <c r="CN56">
        <v>1579</v>
      </c>
      <c r="CO56">
        <v>1580</v>
      </c>
      <c r="CP56">
        <v>1581</v>
      </c>
      <c r="CQ56">
        <v>1582</v>
      </c>
      <c r="CR56">
        <v>1582</v>
      </c>
      <c r="CS56">
        <v>1585</v>
      </c>
      <c r="CT56">
        <v>1585</v>
      </c>
      <c r="CU56">
        <v>1586</v>
      </c>
      <c r="CV56">
        <v>1587</v>
      </c>
      <c r="CW56">
        <v>1587</v>
      </c>
      <c r="CX56">
        <v>1588</v>
      </c>
      <c r="CY56">
        <v>1588</v>
      </c>
      <c r="CZ56">
        <v>1588</v>
      </c>
      <c r="DA56">
        <v>1588</v>
      </c>
      <c r="DB56">
        <v>1588</v>
      </c>
    </row>
    <row r="57" spans="1:106" x14ac:dyDescent="0.25">
      <c r="A57" t="s">
        <v>10</v>
      </c>
      <c r="B57" t="s">
        <v>176</v>
      </c>
      <c r="C57">
        <v>23.829799999999999</v>
      </c>
      <c r="D57">
        <v>108.7881</v>
      </c>
      <c r="E57">
        <v>2</v>
      </c>
      <c r="F57">
        <v>5</v>
      </c>
      <c r="G57">
        <v>23</v>
      </c>
      <c r="H57">
        <v>23</v>
      </c>
      <c r="I57">
        <v>36</v>
      </c>
      <c r="J57">
        <v>46</v>
      </c>
      <c r="K57">
        <v>51</v>
      </c>
      <c r="L57">
        <v>58</v>
      </c>
      <c r="M57">
        <v>78</v>
      </c>
      <c r="N57">
        <v>87</v>
      </c>
      <c r="O57">
        <v>100</v>
      </c>
      <c r="P57">
        <v>111</v>
      </c>
      <c r="Q57">
        <v>127</v>
      </c>
      <c r="R57">
        <v>139</v>
      </c>
      <c r="S57">
        <v>150</v>
      </c>
      <c r="T57">
        <v>168</v>
      </c>
      <c r="U57">
        <v>172</v>
      </c>
      <c r="V57">
        <v>183</v>
      </c>
      <c r="W57">
        <v>195</v>
      </c>
      <c r="X57">
        <v>210</v>
      </c>
      <c r="Y57">
        <v>215</v>
      </c>
      <c r="Z57">
        <v>222</v>
      </c>
      <c r="AA57">
        <v>222</v>
      </c>
      <c r="AB57">
        <v>226</v>
      </c>
      <c r="AC57">
        <v>235</v>
      </c>
      <c r="AD57">
        <v>237</v>
      </c>
      <c r="AE57">
        <v>238</v>
      </c>
      <c r="AF57">
        <v>242</v>
      </c>
      <c r="AG57">
        <v>244</v>
      </c>
      <c r="AH57">
        <v>245</v>
      </c>
      <c r="AI57">
        <v>246</v>
      </c>
      <c r="AJ57">
        <v>249</v>
      </c>
      <c r="AK57">
        <v>249</v>
      </c>
      <c r="AL57">
        <v>251</v>
      </c>
      <c r="AM57">
        <v>252</v>
      </c>
      <c r="AN57">
        <v>252</v>
      </c>
      <c r="AO57">
        <v>252</v>
      </c>
      <c r="AP57">
        <v>252</v>
      </c>
      <c r="AQ57">
        <v>252</v>
      </c>
      <c r="AR57">
        <v>252</v>
      </c>
      <c r="AS57">
        <v>252</v>
      </c>
      <c r="AT57">
        <v>252</v>
      </c>
      <c r="AU57">
        <v>252</v>
      </c>
      <c r="AV57">
        <v>252</v>
      </c>
      <c r="AW57">
        <v>252</v>
      </c>
      <c r="AX57">
        <v>252</v>
      </c>
      <c r="AY57">
        <v>252</v>
      </c>
      <c r="AZ57">
        <v>252</v>
      </c>
      <c r="BA57">
        <v>252</v>
      </c>
      <c r="BB57">
        <v>252</v>
      </c>
      <c r="BC57">
        <v>252</v>
      </c>
      <c r="BD57">
        <v>252</v>
      </c>
      <c r="BE57">
        <v>252</v>
      </c>
      <c r="BF57">
        <v>252</v>
      </c>
      <c r="BG57">
        <v>252</v>
      </c>
      <c r="BH57">
        <v>253</v>
      </c>
      <c r="BI57">
        <v>253</v>
      </c>
      <c r="BJ57">
        <v>253</v>
      </c>
      <c r="BK57">
        <v>254</v>
      </c>
      <c r="BL57">
        <v>254</v>
      </c>
      <c r="BM57">
        <v>254</v>
      </c>
      <c r="BN57">
        <v>254</v>
      </c>
      <c r="BO57">
        <v>254</v>
      </c>
      <c r="BP57">
        <v>254</v>
      </c>
      <c r="BQ57">
        <v>254</v>
      </c>
      <c r="BR57">
        <v>254</v>
      </c>
      <c r="BS57">
        <v>254</v>
      </c>
      <c r="BT57">
        <v>254</v>
      </c>
      <c r="BU57">
        <v>254</v>
      </c>
      <c r="BV57">
        <v>254</v>
      </c>
      <c r="BW57">
        <v>254</v>
      </c>
      <c r="BX57">
        <v>254</v>
      </c>
      <c r="BY57">
        <v>254</v>
      </c>
      <c r="BZ57">
        <v>254</v>
      </c>
      <c r="CA57">
        <v>254</v>
      </c>
      <c r="CB57">
        <v>254</v>
      </c>
      <c r="CC57">
        <v>254</v>
      </c>
      <c r="CD57">
        <v>254</v>
      </c>
      <c r="CE57">
        <v>254</v>
      </c>
      <c r="CF57">
        <v>254</v>
      </c>
      <c r="CG57">
        <v>254</v>
      </c>
      <c r="CH57">
        <v>254</v>
      </c>
      <c r="CI57">
        <v>254</v>
      </c>
      <c r="CJ57">
        <v>254</v>
      </c>
      <c r="CK57">
        <v>254</v>
      </c>
      <c r="CL57">
        <v>254</v>
      </c>
      <c r="CM57">
        <v>254</v>
      </c>
      <c r="CN57">
        <v>254</v>
      </c>
      <c r="CO57">
        <v>254</v>
      </c>
      <c r="CP57">
        <v>254</v>
      </c>
      <c r="CQ57">
        <v>254</v>
      </c>
      <c r="CR57">
        <v>254</v>
      </c>
      <c r="CS57">
        <v>254</v>
      </c>
      <c r="CT57">
        <v>254</v>
      </c>
      <c r="CU57">
        <v>254</v>
      </c>
      <c r="CV57">
        <v>254</v>
      </c>
      <c r="CW57">
        <v>254</v>
      </c>
      <c r="CX57">
        <v>254</v>
      </c>
      <c r="CY57">
        <v>254</v>
      </c>
      <c r="CZ57">
        <v>254</v>
      </c>
      <c r="DA57">
        <v>254</v>
      </c>
      <c r="DB57">
        <v>254</v>
      </c>
    </row>
    <row r="58" spans="1:106" x14ac:dyDescent="0.25">
      <c r="A58" t="s">
        <v>11</v>
      </c>
      <c r="B58" t="s">
        <v>176</v>
      </c>
      <c r="C58">
        <v>26.8154</v>
      </c>
      <c r="D58">
        <v>106.87479999999999</v>
      </c>
      <c r="E58">
        <v>1</v>
      </c>
      <c r="F58">
        <v>3</v>
      </c>
      <c r="G58">
        <v>3</v>
      </c>
      <c r="H58">
        <v>4</v>
      </c>
      <c r="I58">
        <v>5</v>
      </c>
      <c r="J58">
        <v>7</v>
      </c>
      <c r="K58">
        <v>9</v>
      </c>
      <c r="L58">
        <v>9</v>
      </c>
      <c r="M58">
        <v>12</v>
      </c>
      <c r="N58">
        <v>29</v>
      </c>
      <c r="O58">
        <v>29</v>
      </c>
      <c r="P58">
        <v>38</v>
      </c>
      <c r="Q58">
        <v>46</v>
      </c>
      <c r="R58">
        <v>58</v>
      </c>
      <c r="S58">
        <v>64</v>
      </c>
      <c r="T58">
        <v>71</v>
      </c>
      <c r="U58">
        <v>81</v>
      </c>
      <c r="V58">
        <v>89</v>
      </c>
      <c r="W58">
        <v>99</v>
      </c>
      <c r="X58">
        <v>109</v>
      </c>
      <c r="Y58">
        <v>127</v>
      </c>
      <c r="Z58">
        <v>133</v>
      </c>
      <c r="AA58">
        <v>135</v>
      </c>
      <c r="AB58">
        <v>140</v>
      </c>
      <c r="AC58">
        <v>143</v>
      </c>
      <c r="AD58">
        <v>144</v>
      </c>
      <c r="AE58">
        <v>146</v>
      </c>
      <c r="AF58">
        <v>146</v>
      </c>
      <c r="AG58">
        <v>146</v>
      </c>
      <c r="AH58">
        <v>146</v>
      </c>
      <c r="AI58">
        <v>146</v>
      </c>
      <c r="AJ58">
        <v>146</v>
      </c>
      <c r="AK58">
        <v>146</v>
      </c>
      <c r="AL58">
        <v>146</v>
      </c>
      <c r="AM58">
        <v>146</v>
      </c>
      <c r="AN58">
        <v>146</v>
      </c>
      <c r="AO58">
        <v>146</v>
      </c>
      <c r="AP58">
        <v>146</v>
      </c>
      <c r="AQ58">
        <v>146</v>
      </c>
      <c r="AR58">
        <v>146</v>
      </c>
      <c r="AS58">
        <v>146</v>
      </c>
      <c r="AT58">
        <v>146</v>
      </c>
      <c r="AU58">
        <v>146</v>
      </c>
      <c r="AV58">
        <v>146</v>
      </c>
      <c r="AW58">
        <v>146</v>
      </c>
      <c r="AX58">
        <v>146</v>
      </c>
      <c r="AY58">
        <v>146</v>
      </c>
      <c r="AZ58">
        <v>146</v>
      </c>
      <c r="BA58">
        <v>146</v>
      </c>
      <c r="BB58">
        <v>146</v>
      </c>
      <c r="BC58">
        <v>146</v>
      </c>
      <c r="BD58">
        <v>146</v>
      </c>
      <c r="BE58">
        <v>146</v>
      </c>
      <c r="BF58">
        <v>146</v>
      </c>
      <c r="BG58">
        <v>146</v>
      </c>
      <c r="BH58">
        <v>147</v>
      </c>
      <c r="BI58">
        <v>146</v>
      </c>
      <c r="BJ58">
        <v>146</v>
      </c>
      <c r="BK58">
        <v>146</v>
      </c>
      <c r="BL58">
        <v>146</v>
      </c>
      <c r="BM58">
        <v>146</v>
      </c>
      <c r="BN58">
        <v>146</v>
      </c>
      <c r="BO58">
        <v>146</v>
      </c>
      <c r="BP58">
        <v>146</v>
      </c>
      <c r="BQ58">
        <v>146</v>
      </c>
      <c r="BR58">
        <v>146</v>
      </c>
      <c r="BS58">
        <v>146</v>
      </c>
      <c r="BT58">
        <v>146</v>
      </c>
      <c r="BU58">
        <v>146</v>
      </c>
      <c r="BV58">
        <v>146</v>
      </c>
      <c r="BW58">
        <v>146</v>
      </c>
      <c r="BX58">
        <v>146</v>
      </c>
      <c r="BY58">
        <v>146</v>
      </c>
      <c r="BZ58">
        <v>146</v>
      </c>
      <c r="CA58">
        <v>146</v>
      </c>
      <c r="CB58">
        <v>146</v>
      </c>
      <c r="CC58">
        <v>146</v>
      </c>
      <c r="CD58">
        <v>146</v>
      </c>
      <c r="CE58">
        <v>146</v>
      </c>
      <c r="CF58">
        <v>146</v>
      </c>
      <c r="CG58">
        <v>146</v>
      </c>
      <c r="CH58">
        <v>146</v>
      </c>
      <c r="CI58">
        <v>146</v>
      </c>
      <c r="CJ58">
        <v>146</v>
      </c>
      <c r="CK58">
        <v>146</v>
      </c>
      <c r="CL58">
        <v>146</v>
      </c>
      <c r="CM58">
        <v>146</v>
      </c>
      <c r="CN58">
        <v>146</v>
      </c>
      <c r="CO58">
        <v>147</v>
      </c>
      <c r="CP58">
        <v>147</v>
      </c>
      <c r="CQ58">
        <v>147</v>
      </c>
      <c r="CR58">
        <v>147</v>
      </c>
      <c r="CS58">
        <v>147</v>
      </c>
      <c r="CT58">
        <v>147</v>
      </c>
      <c r="CU58">
        <v>147</v>
      </c>
      <c r="CV58">
        <v>147</v>
      </c>
      <c r="CW58">
        <v>147</v>
      </c>
      <c r="CX58">
        <v>147</v>
      </c>
      <c r="CY58">
        <v>147</v>
      </c>
      <c r="CZ58">
        <v>147</v>
      </c>
      <c r="DA58">
        <v>147</v>
      </c>
      <c r="DB58">
        <v>147</v>
      </c>
    </row>
    <row r="59" spans="1:106" x14ac:dyDescent="0.25">
      <c r="A59" t="s">
        <v>12</v>
      </c>
      <c r="B59" t="s">
        <v>176</v>
      </c>
      <c r="C59">
        <v>19.195900000000002</v>
      </c>
      <c r="D59">
        <v>109.7453</v>
      </c>
      <c r="E59">
        <v>4</v>
      </c>
      <c r="F59">
        <v>5</v>
      </c>
      <c r="G59">
        <v>8</v>
      </c>
      <c r="H59">
        <v>19</v>
      </c>
      <c r="I59">
        <v>22</v>
      </c>
      <c r="J59">
        <v>33</v>
      </c>
      <c r="K59">
        <v>40</v>
      </c>
      <c r="L59">
        <v>43</v>
      </c>
      <c r="M59">
        <v>46</v>
      </c>
      <c r="N59">
        <v>52</v>
      </c>
      <c r="O59">
        <v>62</v>
      </c>
      <c r="P59">
        <v>64</v>
      </c>
      <c r="Q59">
        <v>72</v>
      </c>
      <c r="R59">
        <v>80</v>
      </c>
      <c r="S59">
        <v>99</v>
      </c>
      <c r="T59">
        <v>106</v>
      </c>
      <c r="U59">
        <v>117</v>
      </c>
      <c r="V59">
        <v>124</v>
      </c>
      <c r="W59">
        <v>131</v>
      </c>
      <c r="X59">
        <v>138</v>
      </c>
      <c r="Y59">
        <v>144</v>
      </c>
      <c r="Z59">
        <v>157</v>
      </c>
      <c r="AA59">
        <v>157</v>
      </c>
      <c r="AB59">
        <v>159</v>
      </c>
      <c r="AC59">
        <v>162</v>
      </c>
      <c r="AD59">
        <v>162</v>
      </c>
      <c r="AE59">
        <v>163</v>
      </c>
      <c r="AF59">
        <v>163</v>
      </c>
      <c r="AG59">
        <v>168</v>
      </c>
      <c r="AH59">
        <v>168</v>
      </c>
      <c r="AI59">
        <v>168</v>
      </c>
      <c r="AJ59">
        <v>168</v>
      </c>
      <c r="AK59">
        <v>168</v>
      </c>
      <c r="AL59">
        <v>168</v>
      </c>
      <c r="AM59">
        <v>168</v>
      </c>
      <c r="AN59">
        <v>168</v>
      </c>
      <c r="AO59">
        <v>168</v>
      </c>
      <c r="AP59">
        <v>168</v>
      </c>
      <c r="AQ59">
        <v>168</v>
      </c>
      <c r="AR59">
        <v>168</v>
      </c>
      <c r="AS59">
        <v>168</v>
      </c>
      <c r="AT59">
        <v>168</v>
      </c>
      <c r="AU59">
        <v>168</v>
      </c>
      <c r="AV59">
        <v>168</v>
      </c>
      <c r="AW59">
        <v>168</v>
      </c>
      <c r="AX59">
        <v>168</v>
      </c>
      <c r="AY59">
        <v>168</v>
      </c>
      <c r="AZ59">
        <v>168</v>
      </c>
      <c r="BA59">
        <v>168</v>
      </c>
      <c r="BB59">
        <v>168</v>
      </c>
      <c r="BC59">
        <v>168</v>
      </c>
      <c r="BD59">
        <v>168</v>
      </c>
      <c r="BE59">
        <v>168</v>
      </c>
      <c r="BF59">
        <v>168</v>
      </c>
      <c r="BG59">
        <v>168</v>
      </c>
      <c r="BH59">
        <v>168</v>
      </c>
      <c r="BI59">
        <v>168</v>
      </c>
      <c r="BJ59">
        <v>168</v>
      </c>
      <c r="BK59">
        <v>168</v>
      </c>
      <c r="BL59">
        <v>168</v>
      </c>
      <c r="BM59">
        <v>168</v>
      </c>
      <c r="BN59">
        <v>168</v>
      </c>
      <c r="BO59">
        <v>168</v>
      </c>
      <c r="BP59">
        <v>168</v>
      </c>
      <c r="BQ59">
        <v>168</v>
      </c>
      <c r="BR59">
        <v>168</v>
      </c>
      <c r="BS59">
        <v>168</v>
      </c>
      <c r="BT59">
        <v>168</v>
      </c>
      <c r="BU59">
        <v>168</v>
      </c>
      <c r="BV59">
        <v>168</v>
      </c>
      <c r="BW59">
        <v>168</v>
      </c>
      <c r="BX59">
        <v>168</v>
      </c>
      <c r="BY59">
        <v>168</v>
      </c>
      <c r="BZ59">
        <v>168</v>
      </c>
      <c r="CA59">
        <v>168</v>
      </c>
      <c r="CB59">
        <v>168</v>
      </c>
      <c r="CC59">
        <v>168</v>
      </c>
      <c r="CD59">
        <v>168</v>
      </c>
      <c r="CE59">
        <v>168</v>
      </c>
      <c r="CF59">
        <v>168</v>
      </c>
      <c r="CG59">
        <v>168</v>
      </c>
      <c r="CH59">
        <v>168</v>
      </c>
      <c r="CI59">
        <v>168</v>
      </c>
      <c r="CJ59">
        <v>168</v>
      </c>
      <c r="CK59">
        <v>168</v>
      </c>
      <c r="CL59">
        <v>168</v>
      </c>
      <c r="CM59">
        <v>168</v>
      </c>
      <c r="CN59">
        <v>168</v>
      </c>
      <c r="CO59">
        <v>168</v>
      </c>
      <c r="CP59">
        <v>168</v>
      </c>
      <c r="CQ59">
        <v>168</v>
      </c>
      <c r="CR59">
        <v>168</v>
      </c>
      <c r="CS59">
        <v>168</v>
      </c>
      <c r="CT59">
        <v>168</v>
      </c>
      <c r="CU59">
        <v>168</v>
      </c>
      <c r="CV59">
        <v>168</v>
      </c>
      <c r="CW59">
        <v>168</v>
      </c>
      <c r="CX59">
        <v>168</v>
      </c>
      <c r="CY59">
        <v>168</v>
      </c>
      <c r="CZ59">
        <v>168</v>
      </c>
      <c r="DA59">
        <v>168</v>
      </c>
      <c r="DB59">
        <v>168</v>
      </c>
    </row>
    <row r="60" spans="1:106" x14ac:dyDescent="0.25">
      <c r="A60" t="s">
        <v>13</v>
      </c>
      <c r="B60" t="s">
        <v>176</v>
      </c>
      <c r="C60">
        <v>39.548999999999999</v>
      </c>
      <c r="D60">
        <v>116.1306</v>
      </c>
      <c r="E60">
        <v>1</v>
      </c>
      <c r="F60">
        <v>1</v>
      </c>
      <c r="G60">
        <v>2</v>
      </c>
      <c r="H60">
        <v>8</v>
      </c>
      <c r="I60">
        <v>13</v>
      </c>
      <c r="J60">
        <v>18</v>
      </c>
      <c r="K60">
        <v>33</v>
      </c>
      <c r="L60">
        <v>48</v>
      </c>
      <c r="M60">
        <v>65</v>
      </c>
      <c r="N60">
        <v>82</v>
      </c>
      <c r="O60">
        <v>96</v>
      </c>
      <c r="P60">
        <v>104</v>
      </c>
      <c r="Q60">
        <v>113</v>
      </c>
      <c r="R60">
        <v>126</v>
      </c>
      <c r="S60">
        <v>135</v>
      </c>
      <c r="T60">
        <v>157</v>
      </c>
      <c r="U60">
        <v>172</v>
      </c>
      <c r="V60">
        <v>195</v>
      </c>
      <c r="W60">
        <v>206</v>
      </c>
      <c r="X60">
        <v>218</v>
      </c>
      <c r="Y60">
        <v>239</v>
      </c>
      <c r="Z60">
        <v>251</v>
      </c>
      <c r="AA60">
        <v>265</v>
      </c>
      <c r="AB60">
        <v>283</v>
      </c>
      <c r="AC60">
        <v>291</v>
      </c>
      <c r="AD60">
        <v>300</v>
      </c>
      <c r="AE60">
        <v>301</v>
      </c>
      <c r="AF60">
        <v>306</v>
      </c>
      <c r="AG60">
        <v>306</v>
      </c>
      <c r="AH60">
        <v>307</v>
      </c>
      <c r="AI60">
        <v>308</v>
      </c>
      <c r="AJ60">
        <v>309</v>
      </c>
      <c r="AK60">
        <v>311</v>
      </c>
      <c r="AL60">
        <v>311</v>
      </c>
      <c r="AM60">
        <v>311</v>
      </c>
      <c r="AN60">
        <v>312</v>
      </c>
      <c r="AO60">
        <v>317</v>
      </c>
      <c r="AP60">
        <v>318</v>
      </c>
      <c r="AQ60">
        <v>318</v>
      </c>
      <c r="AR60">
        <v>318</v>
      </c>
      <c r="AS60">
        <v>318</v>
      </c>
      <c r="AT60">
        <v>318</v>
      </c>
      <c r="AU60">
        <v>318</v>
      </c>
      <c r="AV60">
        <v>318</v>
      </c>
      <c r="AW60">
        <v>318</v>
      </c>
      <c r="AX60">
        <v>318</v>
      </c>
      <c r="AY60">
        <v>318</v>
      </c>
      <c r="AZ60">
        <v>318</v>
      </c>
      <c r="BA60">
        <v>318</v>
      </c>
      <c r="BB60">
        <v>318</v>
      </c>
      <c r="BC60">
        <v>318</v>
      </c>
      <c r="BD60">
        <v>318</v>
      </c>
      <c r="BE60">
        <v>318</v>
      </c>
      <c r="BF60">
        <v>318</v>
      </c>
      <c r="BG60">
        <v>318</v>
      </c>
      <c r="BH60">
        <v>318</v>
      </c>
      <c r="BI60">
        <v>318</v>
      </c>
      <c r="BJ60">
        <v>318</v>
      </c>
      <c r="BK60">
        <v>318</v>
      </c>
      <c r="BL60">
        <v>318</v>
      </c>
      <c r="BM60">
        <v>319</v>
      </c>
      <c r="BN60">
        <v>319</v>
      </c>
      <c r="BO60">
        <v>319</v>
      </c>
      <c r="BP60">
        <v>319</v>
      </c>
      <c r="BQ60">
        <v>319</v>
      </c>
      <c r="BR60">
        <v>319</v>
      </c>
      <c r="BS60">
        <v>319</v>
      </c>
      <c r="BT60">
        <v>319</v>
      </c>
      <c r="BU60">
        <v>321</v>
      </c>
      <c r="BV60">
        <v>321</v>
      </c>
      <c r="BW60">
        <v>323</v>
      </c>
      <c r="BX60">
        <v>325</v>
      </c>
      <c r="BY60">
        <v>326</v>
      </c>
      <c r="BZ60">
        <v>326</v>
      </c>
      <c r="CA60">
        <v>327</v>
      </c>
      <c r="CB60">
        <v>327</v>
      </c>
      <c r="CC60">
        <v>327</v>
      </c>
      <c r="CD60">
        <v>327</v>
      </c>
      <c r="CE60">
        <v>327</v>
      </c>
      <c r="CF60">
        <v>327</v>
      </c>
      <c r="CG60">
        <v>327</v>
      </c>
      <c r="CH60">
        <v>327</v>
      </c>
      <c r="CI60">
        <v>327</v>
      </c>
      <c r="CJ60">
        <v>327</v>
      </c>
      <c r="CK60">
        <v>327</v>
      </c>
      <c r="CL60">
        <v>328</v>
      </c>
      <c r="CM60">
        <v>328</v>
      </c>
      <c r="CN60">
        <v>328</v>
      </c>
      <c r="CO60">
        <v>328</v>
      </c>
      <c r="CP60">
        <v>328</v>
      </c>
      <c r="CQ60">
        <v>328</v>
      </c>
      <c r="CR60">
        <v>328</v>
      </c>
      <c r="CS60">
        <v>328</v>
      </c>
      <c r="CT60">
        <v>328</v>
      </c>
      <c r="CU60">
        <v>328</v>
      </c>
      <c r="CV60">
        <v>328</v>
      </c>
      <c r="CW60">
        <v>328</v>
      </c>
      <c r="CX60">
        <v>328</v>
      </c>
      <c r="CY60">
        <v>328</v>
      </c>
      <c r="CZ60">
        <v>328</v>
      </c>
      <c r="DA60">
        <v>328</v>
      </c>
      <c r="DB60">
        <v>328</v>
      </c>
    </row>
    <row r="61" spans="1:106" x14ac:dyDescent="0.25">
      <c r="A61" t="s">
        <v>14</v>
      </c>
      <c r="B61" t="s">
        <v>176</v>
      </c>
      <c r="C61">
        <v>47.861999999999995</v>
      </c>
      <c r="D61">
        <v>127.7615</v>
      </c>
      <c r="E61">
        <v>0</v>
      </c>
      <c r="F61">
        <v>2</v>
      </c>
      <c r="G61">
        <v>4</v>
      </c>
      <c r="H61">
        <v>9</v>
      </c>
      <c r="I61">
        <v>15</v>
      </c>
      <c r="J61">
        <v>21</v>
      </c>
      <c r="K61">
        <v>33</v>
      </c>
      <c r="L61">
        <v>38</v>
      </c>
      <c r="M61">
        <v>44</v>
      </c>
      <c r="N61">
        <v>59</v>
      </c>
      <c r="O61">
        <v>80</v>
      </c>
      <c r="P61">
        <v>95</v>
      </c>
      <c r="Q61">
        <v>121</v>
      </c>
      <c r="R61">
        <v>155</v>
      </c>
      <c r="S61">
        <v>190</v>
      </c>
      <c r="T61">
        <v>227</v>
      </c>
      <c r="U61">
        <v>277</v>
      </c>
      <c r="V61">
        <v>295</v>
      </c>
      <c r="W61">
        <v>307</v>
      </c>
      <c r="X61">
        <v>331</v>
      </c>
      <c r="Y61">
        <v>360</v>
      </c>
      <c r="Z61">
        <v>378</v>
      </c>
      <c r="AA61">
        <v>395</v>
      </c>
      <c r="AB61">
        <v>419</v>
      </c>
      <c r="AC61">
        <v>425</v>
      </c>
      <c r="AD61">
        <v>445</v>
      </c>
      <c r="AE61">
        <v>457</v>
      </c>
      <c r="AF61">
        <v>464</v>
      </c>
      <c r="AG61">
        <v>470</v>
      </c>
      <c r="AH61">
        <v>476</v>
      </c>
      <c r="AI61">
        <v>479</v>
      </c>
      <c r="AJ61">
        <v>479</v>
      </c>
      <c r="AK61">
        <v>480</v>
      </c>
      <c r="AL61">
        <v>480</v>
      </c>
      <c r="AM61">
        <v>480</v>
      </c>
      <c r="AN61">
        <v>480</v>
      </c>
      <c r="AO61">
        <v>480</v>
      </c>
      <c r="AP61">
        <v>480</v>
      </c>
      <c r="AQ61">
        <v>480</v>
      </c>
      <c r="AR61">
        <v>480</v>
      </c>
      <c r="AS61">
        <v>480</v>
      </c>
      <c r="AT61">
        <v>480</v>
      </c>
      <c r="AU61">
        <v>480</v>
      </c>
      <c r="AV61">
        <v>481</v>
      </c>
      <c r="AW61">
        <v>481</v>
      </c>
      <c r="AX61">
        <v>481</v>
      </c>
      <c r="AY61">
        <v>481</v>
      </c>
      <c r="AZ61">
        <v>481</v>
      </c>
      <c r="BA61">
        <v>481</v>
      </c>
      <c r="BB61">
        <v>482</v>
      </c>
      <c r="BC61">
        <v>482</v>
      </c>
      <c r="BD61">
        <v>482</v>
      </c>
      <c r="BE61">
        <v>482</v>
      </c>
      <c r="BF61">
        <v>482</v>
      </c>
      <c r="BG61">
        <v>482</v>
      </c>
      <c r="BH61">
        <v>482</v>
      </c>
      <c r="BI61">
        <v>482</v>
      </c>
      <c r="BJ61">
        <v>483</v>
      </c>
      <c r="BK61">
        <v>484</v>
      </c>
      <c r="BL61">
        <v>484</v>
      </c>
      <c r="BM61">
        <v>484</v>
      </c>
      <c r="BN61">
        <v>484</v>
      </c>
      <c r="BO61">
        <v>484</v>
      </c>
      <c r="BP61">
        <v>484</v>
      </c>
      <c r="BQ61">
        <v>484</v>
      </c>
      <c r="BR61">
        <v>484</v>
      </c>
      <c r="BS61">
        <v>484</v>
      </c>
      <c r="BT61">
        <v>484</v>
      </c>
      <c r="BU61">
        <v>484</v>
      </c>
      <c r="BV61">
        <v>484</v>
      </c>
      <c r="BW61">
        <v>484</v>
      </c>
      <c r="BX61">
        <v>488</v>
      </c>
      <c r="BY61">
        <v>489</v>
      </c>
      <c r="BZ61">
        <v>491</v>
      </c>
      <c r="CA61">
        <v>504</v>
      </c>
      <c r="CB61">
        <v>524</v>
      </c>
      <c r="CC61">
        <v>544</v>
      </c>
      <c r="CD61">
        <v>569</v>
      </c>
      <c r="CE61">
        <v>609</v>
      </c>
      <c r="CF61">
        <v>638</v>
      </c>
      <c r="CG61">
        <v>661</v>
      </c>
      <c r="CH61">
        <v>684</v>
      </c>
      <c r="CI61">
        <v>740</v>
      </c>
      <c r="CJ61">
        <v>819</v>
      </c>
      <c r="CK61">
        <v>841</v>
      </c>
      <c r="CL61">
        <v>861</v>
      </c>
      <c r="CM61">
        <v>872</v>
      </c>
      <c r="CN61">
        <v>892</v>
      </c>
      <c r="CO61">
        <v>898</v>
      </c>
      <c r="CP61">
        <v>905</v>
      </c>
      <c r="CQ61">
        <v>913</v>
      </c>
      <c r="CR61">
        <v>921</v>
      </c>
      <c r="CS61">
        <v>928</v>
      </c>
      <c r="CT61">
        <v>930</v>
      </c>
      <c r="CU61">
        <v>935</v>
      </c>
      <c r="CV61">
        <v>936</v>
      </c>
      <c r="CW61">
        <v>939</v>
      </c>
      <c r="CX61">
        <v>939</v>
      </c>
      <c r="CY61">
        <v>939</v>
      </c>
      <c r="CZ61">
        <v>944</v>
      </c>
      <c r="DA61">
        <v>944</v>
      </c>
      <c r="DB61">
        <v>944</v>
      </c>
    </row>
    <row r="62" spans="1:106" x14ac:dyDescent="0.25">
      <c r="A62" t="s">
        <v>15</v>
      </c>
      <c r="B62" t="s">
        <v>176</v>
      </c>
      <c r="C62">
        <v>33.881999999999998</v>
      </c>
      <c r="D62">
        <v>113.61399999999999</v>
      </c>
      <c r="E62">
        <v>5</v>
      </c>
      <c r="F62">
        <v>5</v>
      </c>
      <c r="G62">
        <v>9</v>
      </c>
      <c r="H62">
        <v>32</v>
      </c>
      <c r="I62">
        <v>83</v>
      </c>
      <c r="J62">
        <v>128</v>
      </c>
      <c r="K62">
        <v>168</v>
      </c>
      <c r="L62">
        <v>206</v>
      </c>
      <c r="M62">
        <v>278</v>
      </c>
      <c r="N62">
        <v>352</v>
      </c>
      <c r="O62">
        <v>422</v>
      </c>
      <c r="P62">
        <v>493</v>
      </c>
      <c r="Q62">
        <v>566</v>
      </c>
      <c r="R62">
        <v>675</v>
      </c>
      <c r="S62">
        <v>764</v>
      </c>
      <c r="T62">
        <v>851</v>
      </c>
      <c r="U62">
        <v>914</v>
      </c>
      <c r="V62">
        <v>981</v>
      </c>
      <c r="W62">
        <v>1033</v>
      </c>
      <c r="X62">
        <v>1073</v>
      </c>
      <c r="Y62">
        <v>1105</v>
      </c>
      <c r="Z62">
        <v>1135</v>
      </c>
      <c r="AA62">
        <v>1169</v>
      </c>
      <c r="AB62">
        <v>1184</v>
      </c>
      <c r="AC62">
        <v>1212</v>
      </c>
      <c r="AD62">
        <v>1231</v>
      </c>
      <c r="AE62">
        <v>1246</v>
      </c>
      <c r="AF62">
        <v>1257</v>
      </c>
      <c r="AG62">
        <v>1262</v>
      </c>
      <c r="AH62">
        <v>1265</v>
      </c>
      <c r="AI62">
        <v>1267</v>
      </c>
      <c r="AJ62">
        <v>1270</v>
      </c>
      <c r="AK62">
        <v>1271</v>
      </c>
      <c r="AL62">
        <v>1271</v>
      </c>
      <c r="AM62">
        <v>1271</v>
      </c>
      <c r="AN62">
        <v>1271</v>
      </c>
      <c r="AO62">
        <v>1272</v>
      </c>
      <c r="AP62">
        <v>1272</v>
      </c>
      <c r="AQ62">
        <v>1272</v>
      </c>
      <c r="AR62">
        <v>1272</v>
      </c>
      <c r="AS62">
        <v>1272</v>
      </c>
      <c r="AT62">
        <v>1272</v>
      </c>
      <c r="AU62">
        <v>1272</v>
      </c>
      <c r="AV62">
        <v>1272</v>
      </c>
      <c r="AW62">
        <v>1272</v>
      </c>
      <c r="AX62">
        <v>1272</v>
      </c>
      <c r="AY62">
        <v>1272</v>
      </c>
      <c r="AZ62">
        <v>1272</v>
      </c>
      <c r="BA62">
        <v>1272</v>
      </c>
      <c r="BB62">
        <v>1273</v>
      </c>
      <c r="BC62">
        <v>1273</v>
      </c>
      <c r="BD62">
        <v>1273</v>
      </c>
      <c r="BE62">
        <v>1273</v>
      </c>
      <c r="BF62">
        <v>1273</v>
      </c>
      <c r="BG62">
        <v>1273</v>
      </c>
      <c r="BH62">
        <v>1273</v>
      </c>
      <c r="BI62">
        <v>1273</v>
      </c>
      <c r="BJ62">
        <v>1273</v>
      </c>
      <c r="BK62">
        <v>1273</v>
      </c>
      <c r="BL62">
        <v>1273</v>
      </c>
      <c r="BM62">
        <v>1274</v>
      </c>
      <c r="BN62">
        <v>1274</v>
      </c>
      <c r="BO62">
        <v>1274</v>
      </c>
      <c r="BP62">
        <v>1274</v>
      </c>
      <c r="BQ62">
        <v>1275</v>
      </c>
      <c r="BR62">
        <v>1275</v>
      </c>
      <c r="BS62">
        <v>1275</v>
      </c>
      <c r="BT62">
        <v>1276</v>
      </c>
      <c r="BU62">
        <v>1276</v>
      </c>
      <c r="BV62">
        <v>1276</v>
      </c>
      <c r="BW62">
        <v>1276</v>
      </c>
      <c r="BX62">
        <v>1276</v>
      </c>
      <c r="BY62">
        <v>1276</v>
      </c>
      <c r="BZ62">
        <v>1276</v>
      </c>
      <c r="CA62">
        <v>1276</v>
      </c>
      <c r="CB62">
        <v>1276</v>
      </c>
      <c r="CC62">
        <v>1276</v>
      </c>
      <c r="CD62">
        <v>1276</v>
      </c>
      <c r="CE62">
        <v>1276</v>
      </c>
      <c r="CF62">
        <v>1276</v>
      </c>
      <c r="CG62">
        <v>1276</v>
      </c>
      <c r="CH62">
        <v>1276</v>
      </c>
      <c r="CI62">
        <v>1276</v>
      </c>
      <c r="CJ62">
        <v>1276</v>
      </c>
      <c r="CK62">
        <v>1276</v>
      </c>
      <c r="CL62">
        <v>1276</v>
      </c>
      <c r="CM62">
        <v>1276</v>
      </c>
      <c r="CN62">
        <v>1276</v>
      </c>
      <c r="CO62">
        <v>1276</v>
      </c>
      <c r="CP62">
        <v>1276</v>
      </c>
      <c r="CQ62">
        <v>1276</v>
      </c>
      <c r="CR62">
        <v>1276</v>
      </c>
      <c r="CS62">
        <v>1276</v>
      </c>
      <c r="CT62">
        <v>1276</v>
      </c>
      <c r="CU62">
        <v>1276</v>
      </c>
      <c r="CV62">
        <v>1276</v>
      </c>
      <c r="CW62">
        <v>1276</v>
      </c>
      <c r="CX62">
        <v>1276</v>
      </c>
      <c r="CY62">
        <v>1276</v>
      </c>
      <c r="CZ62">
        <v>1276</v>
      </c>
      <c r="DA62">
        <v>1276</v>
      </c>
      <c r="DB62">
        <v>1276</v>
      </c>
    </row>
    <row r="63" spans="1:106" x14ac:dyDescent="0.25">
      <c r="A63" t="s">
        <v>39</v>
      </c>
      <c r="B63" t="s">
        <v>176</v>
      </c>
      <c r="C63">
        <v>22.3</v>
      </c>
      <c r="D63">
        <v>114.2</v>
      </c>
      <c r="E63">
        <v>0</v>
      </c>
      <c r="F63">
        <v>2</v>
      </c>
      <c r="G63">
        <v>2</v>
      </c>
      <c r="H63">
        <v>5</v>
      </c>
      <c r="I63">
        <v>8</v>
      </c>
      <c r="J63">
        <v>8</v>
      </c>
      <c r="K63">
        <v>8</v>
      </c>
      <c r="L63">
        <v>10</v>
      </c>
      <c r="M63">
        <v>10</v>
      </c>
      <c r="N63">
        <v>12</v>
      </c>
      <c r="O63">
        <v>13</v>
      </c>
      <c r="P63">
        <v>15</v>
      </c>
      <c r="Q63">
        <v>15</v>
      </c>
      <c r="R63">
        <v>17</v>
      </c>
      <c r="S63">
        <v>21</v>
      </c>
      <c r="T63">
        <v>24</v>
      </c>
      <c r="U63">
        <v>25</v>
      </c>
      <c r="V63">
        <v>26</v>
      </c>
      <c r="W63">
        <v>29</v>
      </c>
      <c r="X63">
        <v>38</v>
      </c>
      <c r="Y63">
        <v>49</v>
      </c>
      <c r="Z63">
        <v>50</v>
      </c>
      <c r="AA63">
        <v>53</v>
      </c>
      <c r="AB63">
        <v>56</v>
      </c>
      <c r="AC63">
        <v>56</v>
      </c>
      <c r="AD63">
        <v>57</v>
      </c>
      <c r="AE63">
        <v>60</v>
      </c>
      <c r="AF63">
        <v>62</v>
      </c>
      <c r="AG63">
        <v>63</v>
      </c>
      <c r="AH63">
        <v>68</v>
      </c>
      <c r="AI63">
        <v>68</v>
      </c>
      <c r="AJ63">
        <v>69</v>
      </c>
      <c r="AK63">
        <v>74</v>
      </c>
      <c r="AL63">
        <v>79</v>
      </c>
      <c r="AM63">
        <v>84</v>
      </c>
      <c r="AN63">
        <v>91</v>
      </c>
      <c r="AO63">
        <v>92</v>
      </c>
      <c r="AP63">
        <v>94</v>
      </c>
      <c r="AQ63">
        <v>95</v>
      </c>
      <c r="AR63">
        <v>96</v>
      </c>
      <c r="AS63">
        <v>100</v>
      </c>
      <c r="AT63">
        <v>100</v>
      </c>
      <c r="AU63">
        <v>105</v>
      </c>
      <c r="AV63">
        <v>105</v>
      </c>
      <c r="AW63">
        <v>107</v>
      </c>
      <c r="AX63">
        <v>108</v>
      </c>
      <c r="AY63">
        <v>114</v>
      </c>
      <c r="AZ63">
        <v>115</v>
      </c>
      <c r="BA63">
        <v>120</v>
      </c>
      <c r="BB63">
        <v>126</v>
      </c>
      <c r="BC63">
        <v>129</v>
      </c>
      <c r="BD63">
        <v>134</v>
      </c>
      <c r="BE63">
        <v>140</v>
      </c>
      <c r="BF63">
        <v>145</v>
      </c>
      <c r="BG63">
        <v>155</v>
      </c>
      <c r="BH63">
        <v>162</v>
      </c>
      <c r="BI63">
        <v>181</v>
      </c>
      <c r="BJ63">
        <v>208</v>
      </c>
      <c r="BK63">
        <v>256</v>
      </c>
      <c r="BL63">
        <v>273</v>
      </c>
      <c r="BM63">
        <v>317</v>
      </c>
      <c r="BN63">
        <v>356</v>
      </c>
      <c r="BO63">
        <v>386</v>
      </c>
      <c r="BP63">
        <v>410</v>
      </c>
      <c r="BQ63">
        <v>453</v>
      </c>
      <c r="BR63">
        <v>519</v>
      </c>
      <c r="BS63">
        <v>561</v>
      </c>
      <c r="BT63">
        <v>641</v>
      </c>
      <c r="BU63">
        <v>682</v>
      </c>
      <c r="BV63">
        <v>714</v>
      </c>
      <c r="BW63">
        <v>765</v>
      </c>
      <c r="BX63">
        <v>802</v>
      </c>
      <c r="BY63">
        <v>845</v>
      </c>
      <c r="BZ63">
        <v>862</v>
      </c>
      <c r="CA63">
        <v>890</v>
      </c>
      <c r="CB63">
        <v>914</v>
      </c>
      <c r="CC63">
        <v>935</v>
      </c>
      <c r="CD63">
        <v>960</v>
      </c>
      <c r="CE63">
        <v>973</v>
      </c>
      <c r="CF63">
        <v>989</v>
      </c>
      <c r="CG63">
        <v>1000</v>
      </c>
      <c r="CH63">
        <v>1004</v>
      </c>
      <c r="CI63">
        <v>1009</v>
      </c>
      <c r="CJ63">
        <v>1012</v>
      </c>
      <c r="CK63">
        <v>1017</v>
      </c>
      <c r="CL63">
        <v>1017</v>
      </c>
      <c r="CM63">
        <v>1021</v>
      </c>
      <c r="CN63">
        <v>1024</v>
      </c>
      <c r="CO63">
        <v>1025</v>
      </c>
      <c r="CP63">
        <v>1025</v>
      </c>
      <c r="CQ63">
        <v>1029</v>
      </c>
      <c r="CR63">
        <v>1033</v>
      </c>
      <c r="CS63">
        <v>1035</v>
      </c>
      <c r="CT63">
        <v>1035</v>
      </c>
      <c r="CU63">
        <v>1037</v>
      </c>
      <c r="CV63">
        <v>1037</v>
      </c>
      <c r="CW63">
        <v>1037</v>
      </c>
      <c r="CX63">
        <v>1037</v>
      </c>
      <c r="CY63">
        <v>1037</v>
      </c>
      <c r="CZ63">
        <v>1037</v>
      </c>
      <c r="DA63">
        <v>1039</v>
      </c>
      <c r="DB63">
        <v>1039</v>
      </c>
    </row>
    <row r="64" spans="1:106" x14ac:dyDescent="0.25">
      <c r="A64" t="s">
        <v>16</v>
      </c>
      <c r="B64" t="s">
        <v>176</v>
      </c>
      <c r="C64">
        <v>30.9756</v>
      </c>
      <c r="D64">
        <v>112.27070000000001</v>
      </c>
      <c r="E64">
        <v>444</v>
      </c>
      <c r="F64">
        <v>444</v>
      </c>
      <c r="G64">
        <v>549</v>
      </c>
      <c r="H64">
        <v>761</v>
      </c>
      <c r="I64">
        <v>1058</v>
      </c>
      <c r="J64">
        <v>1423</v>
      </c>
      <c r="K64">
        <v>3554</v>
      </c>
      <c r="L64">
        <v>3554</v>
      </c>
      <c r="M64">
        <v>4903</v>
      </c>
      <c r="N64">
        <v>5806</v>
      </c>
      <c r="O64">
        <v>7153</v>
      </c>
      <c r="P64">
        <v>11177</v>
      </c>
      <c r="Q64">
        <v>13522</v>
      </c>
      <c r="R64">
        <v>16678</v>
      </c>
      <c r="S64">
        <v>19665</v>
      </c>
      <c r="T64">
        <v>22112</v>
      </c>
      <c r="U64">
        <v>24953</v>
      </c>
      <c r="V64">
        <v>27100</v>
      </c>
      <c r="W64">
        <v>29631</v>
      </c>
      <c r="X64">
        <v>31728</v>
      </c>
      <c r="Y64">
        <v>33366</v>
      </c>
      <c r="Z64">
        <v>33366</v>
      </c>
      <c r="AA64">
        <v>48206</v>
      </c>
      <c r="AB64">
        <v>54406</v>
      </c>
      <c r="AC64">
        <v>56249</v>
      </c>
      <c r="AD64">
        <v>58182</v>
      </c>
      <c r="AE64">
        <v>59989</v>
      </c>
      <c r="AF64">
        <v>61682</v>
      </c>
      <c r="AG64">
        <v>62031</v>
      </c>
      <c r="AH64">
        <v>62442</v>
      </c>
      <c r="AI64">
        <v>62662</v>
      </c>
      <c r="AJ64">
        <v>64084</v>
      </c>
      <c r="AK64">
        <v>64084</v>
      </c>
      <c r="AL64">
        <v>64287</v>
      </c>
      <c r="AM64">
        <v>64786</v>
      </c>
      <c r="AN64">
        <v>65187</v>
      </c>
      <c r="AO64">
        <v>65596</v>
      </c>
      <c r="AP64">
        <v>65914</v>
      </c>
      <c r="AQ64">
        <v>66337</v>
      </c>
      <c r="AR64">
        <v>66907</v>
      </c>
      <c r="AS64">
        <v>67103</v>
      </c>
      <c r="AT64">
        <v>67217</v>
      </c>
      <c r="AU64">
        <v>67332</v>
      </c>
      <c r="AV64">
        <v>67466</v>
      </c>
      <c r="AW64">
        <v>67592</v>
      </c>
      <c r="AX64">
        <v>67666</v>
      </c>
      <c r="AY64">
        <v>67707</v>
      </c>
      <c r="AZ64">
        <v>67743</v>
      </c>
      <c r="BA64">
        <v>67760</v>
      </c>
      <c r="BB64">
        <v>67773</v>
      </c>
      <c r="BC64">
        <v>67781</v>
      </c>
      <c r="BD64">
        <v>67786</v>
      </c>
      <c r="BE64">
        <v>67790</v>
      </c>
      <c r="BF64">
        <v>67794</v>
      </c>
      <c r="BG64">
        <v>67798</v>
      </c>
      <c r="BH64">
        <v>67799</v>
      </c>
      <c r="BI64">
        <v>67800</v>
      </c>
      <c r="BJ64">
        <v>67800</v>
      </c>
      <c r="BK64">
        <v>67800</v>
      </c>
      <c r="BL64">
        <v>67800</v>
      </c>
      <c r="BM64">
        <v>67800</v>
      </c>
      <c r="BN64">
        <v>67800</v>
      </c>
      <c r="BO64">
        <v>67801</v>
      </c>
      <c r="BP64">
        <v>67801</v>
      </c>
      <c r="BQ64">
        <v>67801</v>
      </c>
      <c r="BR64">
        <v>67801</v>
      </c>
      <c r="BS64">
        <v>67801</v>
      </c>
      <c r="BT64">
        <v>67801</v>
      </c>
      <c r="BU64">
        <v>67801</v>
      </c>
      <c r="BV64">
        <v>67801</v>
      </c>
      <c r="BW64">
        <v>67802</v>
      </c>
      <c r="BX64">
        <v>67802</v>
      </c>
      <c r="BY64">
        <v>67802</v>
      </c>
      <c r="BZ64">
        <v>67803</v>
      </c>
      <c r="CA64">
        <v>67803</v>
      </c>
      <c r="CB64">
        <v>67803</v>
      </c>
      <c r="CC64">
        <v>67803</v>
      </c>
      <c r="CD64">
        <v>67803</v>
      </c>
      <c r="CE64">
        <v>67803</v>
      </c>
      <c r="CF64">
        <v>67803</v>
      </c>
      <c r="CG64">
        <v>67803</v>
      </c>
      <c r="CH64">
        <v>67803</v>
      </c>
      <c r="CI64">
        <v>67803</v>
      </c>
      <c r="CJ64">
        <v>67803</v>
      </c>
      <c r="CK64">
        <v>67803</v>
      </c>
      <c r="CL64">
        <v>67803</v>
      </c>
      <c r="CM64">
        <v>68128</v>
      </c>
      <c r="CN64">
        <v>68128</v>
      </c>
      <c r="CO64">
        <v>68128</v>
      </c>
      <c r="CP64">
        <v>68128</v>
      </c>
      <c r="CQ64">
        <v>68128</v>
      </c>
      <c r="CR64">
        <v>68128</v>
      </c>
      <c r="CS64">
        <v>68128</v>
      </c>
      <c r="CT64">
        <v>68128</v>
      </c>
      <c r="CU64">
        <v>68128</v>
      </c>
      <c r="CV64">
        <v>68128</v>
      </c>
      <c r="CW64">
        <v>68128</v>
      </c>
      <c r="CX64">
        <v>68128</v>
      </c>
      <c r="CY64">
        <v>68128</v>
      </c>
      <c r="CZ64">
        <v>68128</v>
      </c>
      <c r="DA64">
        <v>68128</v>
      </c>
      <c r="DB64">
        <v>68128</v>
      </c>
    </row>
    <row r="65" spans="1:106" x14ac:dyDescent="0.25">
      <c r="A65" t="s">
        <v>17</v>
      </c>
      <c r="B65" t="s">
        <v>176</v>
      </c>
      <c r="C65">
        <v>27.610399999999998</v>
      </c>
      <c r="D65">
        <v>111.7088</v>
      </c>
      <c r="E65">
        <v>4</v>
      </c>
      <c r="F65">
        <v>9</v>
      </c>
      <c r="G65">
        <v>24</v>
      </c>
      <c r="H65">
        <v>43</v>
      </c>
      <c r="I65">
        <v>69</v>
      </c>
      <c r="J65">
        <v>100</v>
      </c>
      <c r="K65">
        <v>143</v>
      </c>
      <c r="L65">
        <v>221</v>
      </c>
      <c r="M65">
        <v>277</v>
      </c>
      <c r="N65">
        <v>332</v>
      </c>
      <c r="O65">
        <v>389</v>
      </c>
      <c r="P65">
        <v>463</v>
      </c>
      <c r="Q65">
        <v>521</v>
      </c>
      <c r="R65">
        <v>593</v>
      </c>
      <c r="S65">
        <v>661</v>
      </c>
      <c r="T65">
        <v>711</v>
      </c>
      <c r="U65">
        <v>772</v>
      </c>
      <c r="V65">
        <v>803</v>
      </c>
      <c r="W65">
        <v>838</v>
      </c>
      <c r="X65">
        <v>879</v>
      </c>
      <c r="Y65">
        <v>912</v>
      </c>
      <c r="Z65">
        <v>946</v>
      </c>
      <c r="AA65">
        <v>968</v>
      </c>
      <c r="AB65">
        <v>988</v>
      </c>
      <c r="AC65">
        <v>1001</v>
      </c>
      <c r="AD65">
        <v>1004</v>
      </c>
      <c r="AE65">
        <v>1006</v>
      </c>
      <c r="AF65">
        <v>1007</v>
      </c>
      <c r="AG65">
        <v>1008</v>
      </c>
      <c r="AH65">
        <v>1010</v>
      </c>
      <c r="AI65">
        <v>1011</v>
      </c>
      <c r="AJ65">
        <v>1013</v>
      </c>
      <c r="AK65">
        <v>1016</v>
      </c>
      <c r="AL65">
        <v>1016</v>
      </c>
      <c r="AM65">
        <v>1016</v>
      </c>
      <c r="AN65">
        <v>1016</v>
      </c>
      <c r="AO65">
        <v>1017</v>
      </c>
      <c r="AP65">
        <v>1017</v>
      </c>
      <c r="AQ65">
        <v>1018</v>
      </c>
      <c r="AR65">
        <v>1018</v>
      </c>
      <c r="AS65">
        <v>1018</v>
      </c>
      <c r="AT65">
        <v>1018</v>
      </c>
      <c r="AU65">
        <v>1018</v>
      </c>
      <c r="AV65">
        <v>1018</v>
      </c>
      <c r="AW65">
        <v>1018</v>
      </c>
      <c r="AX65">
        <v>1018</v>
      </c>
      <c r="AY65">
        <v>1018</v>
      </c>
      <c r="AZ65">
        <v>1018</v>
      </c>
      <c r="BA65">
        <v>1018</v>
      </c>
      <c r="BB65">
        <v>1018</v>
      </c>
      <c r="BC65">
        <v>1018</v>
      </c>
      <c r="BD65">
        <v>1018</v>
      </c>
      <c r="BE65">
        <v>1018</v>
      </c>
      <c r="BF65">
        <v>1018</v>
      </c>
      <c r="BG65">
        <v>1018</v>
      </c>
      <c r="BH65">
        <v>1018</v>
      </c>
      <c r="BI65">
        <v>1018</v>
      </c>
      <c r="BJ65">
        <v>1018</v>
      </c>
      <c r="BK65">
        <v>1018</v>
      </c>
      <c r="BL65">
        <v>1018</v>
      </c>
      <c r="BM65">
        <v>1018</v>
      </c>
      <c r="BN65">
        <v>1018</v>
      </c>
      <c r="BO65">
        <v>1018</v>
      </c>
      <c r="BP65">
        <v>1018</v>
      </c>
      <c r="BQ65">
        <v>1018</v>
      </c>
      <c r="BR65">
        <v>1018</v>
      </c>
      <c r="BS65">
        <v>1018</v>
      </c>
      <c r="BT65">
        <v>1018</v>
      </c>
      <c r="BU65">
        <v>1018</v>
      </c>
      <c r="BV65">
        <v>1018</v>
      </c>
      <c r="BW65">
        <v>1018</v>
      </c>
      <c r="BX65">
        <v>1019</v>
      </c>
      <c r="BY65">
        <v>1019</v>
      </c>
      <c r="BZ65">
        <v>1019</v>
      </c>
      <c r="CA65">
        <v>1019</v>
      </c>
      <c r="CB65">
        <v>1019</v>
      </c>
      <c r="CC65">
        <v>1019</v>
      </c>
      <c r="CD65">
        <v>1019</v>
      </c>
      <c r="CE65">
        <v>1019</v>
      </c>
      <c r="CF65">
        <v>1019</v>
      </c>
      <c r="CG65">
        <v>1019</v>
      </c>
      <c r="CH65">
        <v>1019</v>
      </c>
      <c r="CI65">
        <v>1019</v>
      </c>
      <c r="CJ65">
        <v>1019</v>
      </c>
      <c r="CK65">
        <v>1019</v>
      </c>
      <c r="CL65">
        <v>1019</v>
      </c>
      <c r="CM65">
        <v>1019</v>
      </c>
      <c r="CN65">
        <v>1019</v>
      </c>
      <c r="CO65">
        <v>1019</v>
      </c>
      <c r="CP65">
        <v>1019</v>
      </c>
      <c r="CQ65">
        <v>1019</v>
      </c>
      <c r="CR65">
        <v>1019</v>
      </c>
      <c r="CS65">
        <v>1019</v>
      </c>
      <c r="CT65">
        <v>1019</v>
      </c>
      <c r="CU65">
        <v>1019</v>
      </c>
      <c r="CV65">
        <v>1019</v>
      </c>
      <c r="CW65">
        <v>1019</v>
      </c>
      <c r="CX65">
        <v>1019</v>
      </c>
      <c r="CY65">
        <v>1019</v>
      </c>
      <c r="CZ65">
        <v>1019</v>
      </c>
      <c r="DA65">
        <v>1019</v>
      </c>
      <c r="DB65">
        <v>1019</v>
      </c>
    </row>
    <row r="66" spans="1:106" x14ac:dyDescent="0.25">
      <c r="A66" t="s">
        <v>18</v>
      </c>
      <c r="B66" t="s">
        <v>176</v>
      </c>
      <c r="C66">
        <v>44.093499999999999</v>
      </c>
      <c r="D66">
        <v>113.9448</v>
      </c>
      <c r="E66">
        <v>0</v>
      </c>
      <c r="F66">
        <v>0</v>
      </c>
      <c r="G66">
        <v>1</v>
      </c>
      <c r="H66">
        <v>7</v>
      </c>
      <c r="I66">
        <v>7</v>
      </c>
      <c r="J66">
        <v>11</v>
      </c>
      <c r="K66">
        <v>15</v>
      </c>
      <c r="L66">
        <v>16</v>
      </c>
      <c r="M66">
        <v>19</v>
      </c>
      <c r="N66">
        <v>20</v>
      </c>
      <c r="O66">
        <v>23</v>
      </c>
      <c r="P66">
        <v>27</v>
      </c>
      <c r="Q66">
        <v>34</v>
      </c>
      <c r="R66">
        <v>35</v>
      </c>
      <c r="S66">
        <v>42</v>
      </c>
      <c r="T66">
        <v>46</v>
      </c>
      <c r="U66">
        <v>50</v>
      </c>
      <c r="V66">
        <v>52</v>
      </c>
      <c r="W66">
        <v>54</v>
      </c>
      <c r="X66">
        <v>58</v>
      </c>
      <c r="Y66">
        <v>58</v>
      </c>
      <c r="Z66">
        <v>60</v>
      </c>
      <c r="AA66">
        <v>61</v>
      </c>
      <c r="AB66">
        <v>65</v>
      </c>
      <c r="AC66">
        <v>68</v>
      </c>
      <c r="AD66">
        <v>70</v>
      </c>
      <c r="AE66">
        <v>72</v>
      </c>
      <c r="AF66">
        <v>73</v>
      </c>
      <c r="AG66">
        <v>75</v>
      </c>
      <c r="AH66">
        <v>75</v>
      </c>
      <c r="AI66">
        <v>75</v>
      </c>
      <c r="AJ66">
        <v>75</v>
      </c>
      <c r="AK66">
        <v>75</v>
      </c>
      <c r="AL66">
        <v>75</v>
      </c>
      <c r="AM66">
        <v>75</v>
      </c>
      <c r="AN66">
        <v>75</v>
      </c>
      <c r="AO66">
        <v>75</v>
      </c>
      <c r="AP66">
        <v>75</v>
      </c>
      <c r="AQ66">
        <v>75</v>
      </c>
      <c r="AR66">
        <v>75</v>
      </c>
      <c r="AS66">
        <v>75</v>
      </c>
      <c r="AT66">
        <v>75</v>
      </c>
      <c r="AU66">
        <v>75</v>
      </c>
      <c r="AV66">
        <v>75</v>
      </c>
      <c r="AW66">
        <v>75</v>
      </c>
      <c r="AX66">
        <v>75</v>
      </c>
      <c r="AY66">
        <v>75</v>
      </c>
      <c r="AZ66">
        <v>75</v>
      </c>
      <c r="BA66">
        <v>75</v>
      </c>
      <c r="BB66">
        <v>75</v>
      </c>
      <c r="BC66">
        <v>75</v>
      </c>
      <c r="BD66">
        <v>75</v>
      </c>
      <c r="BE66">
        <v>75</v>
      </c>
      <c r="BF66">
        <v>75</v>
      </c>
      <c r="BG66">
        <v>75</v>
      </c>
      <c r="BH66">
        <v>75</v>
      </c>
      <c r="BI66">
        <v>75</v>
      </c>
      <c r="BJ66">
        <v>75</v>
      </c>
      <c r="BK66">
        <v>75</v>
      </c>
      <c r="BL66">
        <v>75</v>
      </c>
      <c r="BM66">
        <v>75</v>
      </c>
      <c r="BN66">
        <v>75</v>
      </c>
      <c r="BO66">
        <v>75</v>
      </c>
      <c r="BP66">
        <v>77</v>
      </c>
      <c r="BQ66">
        <v>89</v>
      </c>
      <c r="BR66">
        <v>92</v>
      </c>
      <c r="BS66">
        <v>94</v>
      </c>
      <c r="BT66">
        <v>95</v>
      </c>
      <c r="BU66">
        <v>97</v>
      </c>
      <c r="BV66">
        <v>107</v>
      </c>
      <c r="BW66">
        <v>111</v>
      </c>
      <c r="BX66">
        <v>117</v>
      </c>
      <c r="BY66">
        <v>117</v>
      </c>
      <c r="BZ66">
        <v>117</v>
      </c>
      <c r="CA66">
        <v>117</v>
      </c>
      <c r="CB66">
        <v>118</v>
      </c>
      <c r="CC66">
        <v>121</v>
      </c>
      <c r="CD66">
        <v>124</v>
      </c>
      <c r="CE66">
        <v>126</v>
      </c>
      <c r="CF66">
        <v>128</v>
      </c>
      <c r="CG66">
        <v>155</v>
      </c>
      <c r="CH66">
        <v>189</v>
      </c>
      <c r="CI66">
        <v>190</v>
      </c>
      <c r="CJ66">
        <v>190</v>
      </c>
      <c r="CK66">
        <v>190</v>
      </c>
      <c r="CL66">
        <v>193</v>
      </c>
      <c r="CM66">
        <v>193</v>
      </c>
      <c r="CN66">
        <v>193</v>
      </c>
      <c r="CO66">
        <v>193</v>
      </c>
      <c r="CP66">
        <v>194</v>
      </c>
      <c r="CQ66">
        <v>194</v>
      </c>
      <c r="CR66">
        <v>194</v>
      </c>
      <c r="CS66">
        <v>194</v>
      </c>
      <c r="CT66">
        <v>197</v>
      </c>
      <c r="CU66">
        <v>198</v>
      </c>
      <c r="CV66">
        <v>198</v>
      </c>
      <c r="CW66">
        <v>199</v>
      </c>
      <c r="CX66">
        <v>199</v>
      </c>
      <c r="CY66">
        <v>200</v>
      </c>
      <c r="CZ66">
        <v>201</v>
      </c>
      <c r="DA66">
        <v>201</v>
      </c>
      <c r="DB66">
        <v>201</v>
      </c>
    </row>
    <row r="67" spans="1:106" x14ac:dyDescent="0.25">
      <c r="A67" t="s">
        <v>19</v>
      </c>
      <c r="B67" t="s">
        <v>176</v>
      </c>
      <c r="C67">
        <v>32.9711</v>
      </c>
      <c r="D67">
        <v>119.455</v>
      </c>
      <c r="E67">
        <v>1</v>
      </c>
      <c r="F67">
        <v>5</v>
      </c>
      <c r="G67">
        <v>9</v>
      </c>
      <c r="H67">
        <v>18</v>
      </c>
      <c r="I67">
        <v>33</v>
      </c>
      <c r="J67">
        <v>47</v>
      </c>
      <c r="K67">
        <v>70</v>
      </c>
      <c r="L67">
        <v>99</v>
      </c>
      <c r="M67">
        <v>129</v>
      </c>
      <c r="N67">
        <v>168</v>
      </c>
      <c r="O67">
        <v>202</v>
      </c>
      <c r="P67">
        <v>236</v>
      </c>
      <c r="Q67">
        <v>271</v>
      </c>
      <c r="R67">
        <v>308</v>
      </c>
      <c r="S67">
        <v>341</v>
      </c>
      <c r="T67">
        <v>373</v>
      </c>
      <c r="U67">
        <v>408</v>
      </c>
      <c r="V67">
        <v>439</v>
      </c>
      <c r="W67">
        <v>468</v>
      </c>
      <c r="X67">
        <v>492</v>
      </c>
      <c r="Y67">
        <v>515</v>
      </c>
      <c r="Z67">
        <v>543</v>
      </c>
      <c r="AA67">
        <v>570</v>
      </c>
      <c r="AB67">
        <v>593</v>
      </c>
      <c r="AC67">
        <v>604</v>
      </c>
      <c r="AD67">
        <v>617</v>
      </c>
      <c r="AE67">
        <v>626</v>
      </c>
      <c r="AF67">
        <v>629</v>
      </c>
      <c r="AG67">
        <v>631</v>
      </c>
      <c r="AH67">
        <v>631</v>
      </c>
      <c r="AI67">
        <v>631</v>
      </c>
      <c r="AJ67">
        <v>631</v>
      </c>
      <c r="AK67">
        <v>631</v>
      </c>
      <c r="AL67">
        <v>631</v>
      </c>
      <c r="AM67">
        <v>631</v>
      </c>
      <c r="AN67">
        <v>631</v>
      </c>
      <c r="AO67">
        <v>631</v>
      </c>
      <c r="AP67">
        <v>631</v>
      </c>
      <c r="AQ67">
        <v>631</v>
      </c>
      <c r="AR67">
        <v>631</v>
      </c>
      <c r="AS67">
        <v>631</v>
      </c>
      <c r="AT67">
        <v>631</v>
      </c>
      <c r="AU67">
        <v>631</v>
      </c>
      <c r="AV67">
        <v>631</v>
      </c>
      <c r="AW67">
        <v>631</v>
      </c>
      <c r="AX67">
        <v>631</v>
      </c>
      <c r="AY67">
        <v>631</v>
      </c>
      <c r="AZ67">
        <v>631</v>
      </c>
      <c r="BA67">
        <v>631</v>
      </c>
      <c r="BB67">
        <v>631</v>
      </c>
      <c r="BC67">
        <v>631</v>
      </c>
      <c r="BD67">
        <v>631</v>
      </c>
      <c r="BE67">
        <v>631</v>
      </c>
      <c r="BF67">
        <v>631</v>
      </c>
      <c r="BG67">
        <v>631</v>
      </c>
      <c r="BH67">
        <v>631</v>
      </c>
      <c r="BI67">
        <v>631</v>
      </c>
      <c r="BJ67">
        <v>631</v>
      </c>
      <c r="BK67">
        <v>631</v>
      </c>
      <c r="BL67">
        <v>631</v>
      </c>
      <c r="BM67">
        <v>633</v>
      </c>
      <c r="BN67">
        <v>633</v>
      </c>
      <c r="BO67">
        <v>636</v>
      </c>
      <c r="BP67">
        <v>638</v>
      </c>
      <c r="BQ67">
        <v>640</v>
      </c>
      <c r="BR67">
        <v>641</v>
      </c>
      <c r="BS67">
        <v>641</v>
      </c>
      <c r="BT67">
        <v>644</v>
      </c>
      <c r="BU67">
        <v>645</v>
      </c>
      <c r="BV67">
        <v>646</v>
      </c>
      <c r="BW67">
        <v>646</v>
      </c>
      <c r="BX67">
        <v>647</v>
      </c>
      <c r="BY67">
        <v>651</v>
      </c>
      <c r="BZ67">
        <v>651</v>
      </c>
      <c r="CA67">
        <v>651</v>
      </c>
      <c r="CB67">
        <v>651</v>
      </c>
      <c r="CC67">
        <v>651</v>
      </c>
      <c r="CD67">
        <v>651</v>
      </c>
      <c r="CE67">
        <v>651</v>
      </c>
      <c r="CF67">
        <v>651</v>
      </c>
      <c r="CG67">
        <v>652</v>
      </c>
      <c r="CH67">
        <v>653</v>
      </c>
      <c r="CI67">
        <v>653</v>
      </c>
      <c r="CJ67">
        <v>653</v>
      </c>
      <c r="CK67">
        <v>653</v>
      </c>
      <c r="CL67">
        <v>653</v>
      </c>
      <c r="CM67">
        <v>653</v>
      </c>
      <c r="CN67">
        <v>653</v>
      </c>
      <c r="CO67">
        <v>653</v>
      </c>
      <c r="CP67">
        <v>653</v>
      </c>
      <c r="CQ67">
        <v>653</v>
      </c>
      <c r="CR67">
        <v>653</v>
      </c>
      <c r="CS67">
        <v>653</v>
      </c>
      <c r="CT67">
        <v>653</v>
      </c>
      <c r="CU67">
        <v>653</v>
      </c>
      <c r="CV67">
        <v>653</v>
      </c>
      <c r="CW67">
        <v>653</v>
      </c>
      <c r="CX67">
        <v>653</v>
      </c>
      <c r="CY67">
        <v>653</v>
      </c>
      <c r="CZ67">
        <v>653</v>
      </c>
      <c r="DA67">
        <v>653</v>
      </c>
      <c r="DB67">
        <v>653</v>
      </c>
    </row>
    <row r="68" spans="1:106" x14ac:dyDescent="0.25">
      <c r="A68" t="s">
        <v>20</v>
      </c>
      <c r="B68" t="s">
        <v>176</v>
      </c>
      <c r="C68">
        <v>27.614000000000001</v>
      </c>
      <c r="D68">
        <v>115.7221</v>
      </c>
      <c r="E68">
        <v>2</v>
      </c>
      <c r="F68">
        <v>7</v>
      </c>
      <c r="G68">
        <v>18</v>
      </c>
      <c r="H68">
        <v>18</v>
      </c>
      <c r="I68">
        <v>36</v>
      </c>
      <c r="J68">
        <v>72</v>
      </c>
      <c r="K68">
        <v>109</v>
      </c>
      <c r="L68">
        <v>109</v>
      </c>
      <c r="M68">
        <v>162</v>
      </c>
      <c r="N68">
        <v>240</v>
      </c>
      <c r="O68">
        <v>286</v>
      </c>
      <c r="P68">
        <v>333</v>
      </c>
      <c r="Q68">
        <v>391</v>
      </c>
      <c r="R68">
        <v>476</v>
      </c>
      <c r="S68">
        <v>548</v>
      </c>
      <c r="T68">
        <v>600</v>
      </c>
      <c r="U68">
        <v>661</v>
      </c>
      <c r="V68">
        <v>698</v>
      </c>
      <c r="W68">
        <v>740</v>
      </c>
      <c r="X68">
        <v>771</v>
      </c>
      <c r="Y68">
        <v>804</v>
      </c>
      <c r="Z68">
        <v>844</v>
      </c>
      <c r="AA68">
        <v>872</v>
      </c>
      <c r="AB68">
        <v>900</v>
      </c>
      <c r="AC68">
        <v>913</v>
      </c>
      <c r="AD68">
        <v>925</v>
      </c>
      <c r="AE68">
        <v>930</v>
      </c>
      <c r="AF68">
        <v>933</v>
      </c>
      <c r="AG68">
        <v>934</v>
      </c>
      <c r="AH68">
        <v>934</v>
      </c>
      <c r="AI68">
        <v>934</v>
      </c>
      <c r="AJ68">
        <v>934</v>
      </c>
      <c r="AK68">
        <v>934</v>
      </c>
      <c r="AL68">
        <v>934</v>
      </c>
      <c r="AM68">
        <v>934</v>
      </c>
      <c r="AN68">
        <v>934</v>
      </c>
      <c r="AO68">
        <v>934</v>
      </c>
      <c r="AP68">
        <v>935</v>
      </c>
      <c r="AQ68">
        <v>935</v>
      </c>
      <c r="AR68">
        <v>935</v>
      </c>
      <c r="AS68">
        <v>935</v>
      </c>
      <c r="AT68">
        <v>935</v>
      </c>
      <c r="AU68">
        <v>935</v>
      </c>
      <c r="AV68">
        <v>935</v>
      </c>
      <c r="AW68">
        <v>935</v>
      </c>
      <c r="AX68">
        <v>935</v>
      </c>
      <c r="AY68">
        <v>935</v>
      </c>
      <c r="AZ68">
        <v>935</v>
      </c>
      <c r="BA68">
        <v>935</v>
      </c>
      <c r="BB68">
        <v>935</v>
      </c>
      <c r="BC68">
        <v>935</v>
      </c>
      <c r="BD68">
        <v>935</v>
      </c>
      <c r="BE68">
        <v>935</v>
      </c>
      <c r="BF68">
        <v>935</v>
      </c>
      <c r="BG68">
        <v>935</v>
      </c>
      <c r="BH68">
        <v>935</v>
      </c>
      <c r="BI68">
        <v>935</v>
      </c>
      <c r="BJ68">
        <v>935</v>
      </c>
      <c r="BK68">
        <v>935</v>
      </c>
      <c r="BL68">
        <v>935</v>
      </c>
      <c r="BM68">
        <v>936</v>
      </c>
      <c r="BN68">
        <v>936</v>
      </c>
      <c r="BO68">
        <v>936</v>
      </c>
      <c r="BP68">
        <v>936</v>
      </c>
      <c r="BQ68">
        <v>936</v>
      </c>
      <c r="BR68">
        <v>936</v>
      </c>
      <c r="BS68">
        <v>936</v>
      </c>
      <c r="BT68">
        <v>937</v>
      </c>
      <c r="BU68">
        <v>937</v>
      </c>
      <c r="BV68">
        <v>937</v>
      </c>
      <c r="BW68">
        <v>937</v>
      </c>
      <c r="BX68">
        <v>937</v>
      </c>
      <c r="BY68">
        <v>937</v>
      </c>
      <c r="BZ68">
        <v>937</v>
      </c>
      <c r="CA68">
        <v>937</v>
      </c>
      <c r="CB68">
        <v>937</v>
      </c>
      <c r="CC68">
        <v>937</v>
      </c>
      <c r="CD68">
        <v>937</v>
      </c>
      <c r="CE68">
        <v>937</v>
      </c>
      <c r="CF68">
        <v>937</v>
      </c>
      <c r="CG68">
        <v>937</v>
      </c>
      <c r="CH68">
        <v>937</v>
      </c>
      <c r="CI68">
        <v>937</v>
      </c>
      <c r="CJ68">
        <v>937</v>
      </c>
      <c r="CK68">
        <v>937</v>
      </c>
      <c r="CL68">
        <v>937</v>
      </c>
      <c r="CM68">
        <v>937</v>
      </c>
      <c r="CN68">
        <v>937</v>
      </c>
      <c r="CO68">
        <v>937</v>
      </c>
      <c r="CP68">
        <v>937</v>
      </c>
      <c r="CQ68">
        <v>937</v>
      </c>
      <c r="CR68">
        <v>937</v>
      </c>
      <c r="CS68">
        <v>937</v>
      </c>
      <c r="CT68">
        <v>937</v>
      </c>
      <c r="CU68">
        <v>937</v>
      </c>
      <c r="CV68">
        <v>937</v>
      </c>
      <c r="CW68">
        <v>937</v>
      </c>
      <c r="CX68">
        <v>937</v>
      </c>
      <c r="CY68">
        <v>937</v>
      </c>
      <c r="CZ68">
        <v>937</v>
      </c>
      <c r="DA68">
        <v>937</v>
      </c>
      <c r="DB68">
        <v>937</v>
      </c>
    </row>
    <row r="69" spans="1:106" x14ac:dyDescent="0.25">
      <c r="A69" t="s">
        <v>21</v>
      </c>
      <c r="B69" t="s">
        <v>176</v>
      </c>
      <c r="C69">
        <v>43.6661</v>
      </c>
      <c r="D69">
        <v>126.1923</v>
      </c>
      <c r="E69">
        <v>0</v>
      </c>
      <c r="F69">
        <v>1</v>
      </c>
      <c r="G69">
        <v>3</v>
      </c>
      <c r="H69">
        <v>4</v>
      </c>
      <c r="I69">
        <v>4</v>
      </c>
      <c r="J69">
        <v>6</v>
      </c>
      <c r="K69">
        <v>8</v>
      </c>
      <c r="L69">
        <v>9</v>
      </c>
      <c r="M69">
        <v>14</v>
      </c>
      <c r="N69">
        <v>14</v>
      </c>
      <c r="O69">
        <v>17</v>
      </c>
      <c r="P69">
        <v>23</v>
      </c>
      <c r="Q69">
        <v>31</v>
      </c>
      <c r="R69">
        <v>42</v>
      </c>
      <c r="S69">
        <v>54</v>
      </c>
      <c r="T69">
        <v>59</v>
      </c>
      <c r="U69">
        <v>65</v>
      </c>
      <c r="V69">
        <v>69</v>
      </c>
      <c r="W69">
        <v>78</v>
      </c>
      <c r="X69">
        <v>80</v>
      </c>
      <c r="Y69">
        <v>81</v>
      </c>
      <c r="Z69">
        <v>83</v>
      </c>
      <c r="AA69">
        <v>84</v>
      </c>
      <c r="AB69">
        <v>86</v>
      </c>
      <c r="AC69">
        <v>88</v>
      </c>
      <c r="AD69">
        <v>89</v>
      </c>
      <c r="AE69">
        <v>89</v>
      </c>
      <c r="AF69">
        <v>89</v>
      </c>
      <c r="AG69">
        <v>90</v>
      </c>
      <c r="AH69">
        <v>91</v>
      </c>
      <c r="AI69">
        <v>91</v>
      </c>
      <c r="AJ69">
        <v>91</v>
      </c>
      <c r="AK69">
        <v>91</v>
      </c>
      <c r="AL69">
        <v>93</v>
      </c>
      <c r="AM69">
        <v>93</v>
      </c>
      <c r="AN69">
        <v>93</v>
      </c>
      <c r="AO69">
        <v>93</v>
      </c>
      <c r="AP69">
        <v>93</v>
      </c>
      <c r="AQ69">
        <v>93</v>
      </c>
      <c r="AR69">
        <v>93</v>
      </c>
      <c r="AS69">
        <v>93</v>
      </c>
      <c r="AT69">
        <v>93</v>
      </c>
      <c r="AU69">
        <v>93</v>
      </c>
      <c r="AV69">
        <v>93</v>
      </c>
      <c r="AW69">
        <v>93</v>
      </c>
      <c r="AX69">
        <v>93</v>
      </c>
      <c r="AY69">
        <v>93</v>
      </c>
      <c r="AZ69">
        <v>93</v>
      </c>
      <c r="BA69">
        <v>93</v>
      </c>
      <c r="BB69">
        <v>93</v>
      </c>
      <c r="BC69">
        <v>93</v>
      </c>
      <c r="BD69">
        <v>93</v>
      </c>
      <c r="BE69">
        <v>93</v>
      </c>
      <c r="BF69">
        <v>93</v>
      </c>
      <c r="BG69">
        <v>93</v>
      </c>
      <c r="BH69">
        <v>93</v>
      </c>
      <c r="BI69">
        <v>93</v>
      </c>
      <c r="BJ69">
        <v>93</v>
      </c>
      <c r="BK69">
        <v>93</v>
      </c>
      <c r="BL69">
        <v>93</v>
      </c>
      <c r="BM69">
        <v>93</v>
      </c>
      <c r="BN69">
        <v>93</v>
      </c>
      <c r="BO69">
        <v>93</v>
      </c>
      <c r="BP69">
        <v>94</v>
      </c>
      <c r="BQ69">
        <v>95</v>
      </c>
      <c r="BR69">
        <v>95</v>
      </c>
      <c r="BS69">
        <v>97</v>
      </c>
      <c r="BT69">
        <v>98</v>
      </c>
      <c r="BU69">
        <v>98</v>
      </c>
      <c r="BV69">
        <v>98</v>
      </c>
      <c r="BW69">
        <v>98</v>
      </c>
      <c r="BX69">
        <v>98</v>
      </c>
      <c r="BY69">
        <v>98</v>
      </c>
      <c r="BZ69">
        <v>98</v>
      </c>
      <c r="CA69">
        <v>98</v>
      </c>
      <c r="CB69">
        <v>98</v>
      </c>
      <c r="CC69">
        <v>98</v>
      </c>
      <c r="CD69">
        <v>98</v>
      </c>
      <c r="CE69">
        <v>98</v>
      </c>
      <c r="CF69">
        <v>98</v>
      </c>
      <c r="CG69">
        <v>98</v>
      </c>
      <c r="CH69">
        <v>99</v>
      </c>
      <c r="CI69">
        <v>100</v>
      </c>
      <c r="CJ69">
        <v>100</v>
      </c>
      <c r="CK69">
        <v>102</v>
      </c>
      <c r="CL69">
        <v>102</v>
      </c>
      <c r="CM69">
        <v>102</v>
      </c>
      <c r="CN69">
        <v>102</v>
      </c>
      <c r="CO69">
        <v>104</v>
      </c>
      <c r="CP69">
        <v>104</v>
      </c>
      <c r="CQ69">
        <v>106</v>
      </c>
      <c r="CR69">
        <v>106</v>
      </c>
      <c r="CS69">
        <v>108</v>
      </c>
      <c r="CT69">
        <v>109</v>
      </c>
      <c r="CU69">
        <v>109</v>
      </c>
      <c r="CV69">
        <v>110</v>
      </c>
      <c r="CW69">
        <v>110</v>
      </c>
      <c r="CX69">
        <v>110</v>
      </c>
      <c r="CY69">
        <v>111</v>
      </c>
      <c r="CZ69">
        <v>111</v>
      </c>
      <c r="DA69">
        <v>112</v>
      </c>
      <c r="DB69">
        <v>112</v>
      </c>
    </row>
    <row r="70" spans="1:106" x14ac:dyDescent="0.25">
      <c r="A70" t="s">
        <v>22</v>
      </c>
      <c r="B70" t="s">
        <v>176</v>
      </c>
      <c r="C70">
        <v>41.2956</v>
      </c>
      <c r="D70">
        <v>122.60850000000001</v>
      </c>
      <c r="E70">
        <v>2</v>
      </c>
      <c r="F70">
        <v>3</v>
      </c>
      <c r="G70">
        <v>4</v>
      </c>
      <c r="H70">
        <v>17</v>
      </c>
      <c r="I70">
        <v>21</v>
      </c>
      <c r="J70">
        <v>27</v>
      </c>
      <c r="K70">
        <v>34</v>
      </c>
      <c r="L70">
        <v>39</v>
      </c>
      <c r="M70">
        <v>41</v>
      </c>
      <c r="N70">
        <v>48</v>
      </c>
      <c r="O70">
        <v>64</v>
      </c>
      <c r="P70">
        <v>70</v>
      </c>
      <c r="Q70">
        <v>74</v>
      </c>
      <c r="R70">
        <v>81</v>
      </c>
      <c r="S70">
        <v>89</v>
      </c>
      <c r="T70">
        <v>94</v>
      </c>
      <c r="U70">
        <v>99</v>
      </c>
      <c r="V70">
        <v>105</v>
      </c>
      <c r="W70">
        <v>107</v>
      </c>
      <c r="X70">
        <v>108</v>
      </c>
      <c r="Y70">
        <v>111</v>
      </c>
      <c r="Z70">
        <v>116</v>
      </c>
      <c r="AA70">
        <v>117</v>
      </c>
      <c r="AB70">
        <v>119</v>
      </c>
      <c r="AC70">
        <v>119</v>
      </c>
      <c r="AD70">
        <v>121</v>
      </c>
      <c r="AE70">
        <v>121</v>
      </c>
      <c r="AF70">
        <v>121</v>
      </c>
      <c r="AG70">
        <v>121</v>
      </c>
      <c r="AH70">
        <v>121</v>
      </c>
      <c r="AI70">
        <v>121</v>
      </c>
      <c r="AJ70">
        <v>121</v>
      </c>
      <c r="AK70">
        <v>121</v>
      </c>
      <c r="AL70">
        <v>121</v>
      </c>
      <c r="AM70">
        <v>121</v>
      </c>
      <c r="AN70">
        <v>121</v>
      </c>
      <c r="AO70">
        <v>121</v>
      </c>
      <c r="AP70">
        <v>121</v>
      </c>
      <c r="AQ70">
        <v>121</v>
      </c>
      <c r="AR70">
        <v>122</v>
      </c>
      <c r="AS70">
        <v>122</v>
      </c>
      <c r="AT70">
        <v>125</v>
      </c>
      <c r="AU70">
        <v>125</v>
      </c>
      <c r="AV70">
        <v>125</v>
      </c>
      <c r="AW70">
        <v>125</v>
      </c>
      <c r="AX70">
        <v>125</v>
      </c>
      <c r="AY70">
        <v>125</v>
      </c>
      <c r="AZ70">
        <v>125</v>
      </c>
      <c r="BA70">
        <v>125</v>
      </c>
      <c r="BB70">
        <v>125</v>
      </c>
      <c r="BC70">
        <v>125</v>
      </c>
      <c r="BD70">
        <v>125</v>
      </c>
      <c r="BE70">
        <v>125</v>
      </c>
      <c r="BF70">
        <v>125</v>
      </c>
      <c r="BG70">
        <v>125</v>
      </c>
      <c r="BH70">
        <v>125</v>
      </c>
      <c r="BI70">
        <v>125</v>
      </c>
      <c r="BJ70">
        <v>125</v>
      </c>
      <c r="BK70">
        <v>126</v>
      </c>
      <c r="BL70">
        <v>126</v>
      </c>
      <c r="BM70">
        <v>127</v>
      </c>
      <c r="BN70">
        <v>127</v>
      </c>
      <c r="BO70">
        <v>127</v>
      </c>
      <c r="BP70">
        <v>127</v>
      </c>
      <c r="BQ70">
        <v>128</v>
      </c>
      <c r="BR70">
        <v>128</v>
      </c>
      <c r="BS70">
        <v>132</v>
      </c>
      <c r="BT70">
        <v>134</v>
      </c>
      <c r="BU70">
        <v>136</v>
      </c>
      <c r="BV70">
        <v>139</v>
      </c>
      <c r="BW70">
        <v>140</v>
      </c>
      <c r="BX70">
        <v>141</v>
      </c>
      <c r="BY70">
        <v>141</v>
      </c>
      <c r="BZ70">
        <v>141</v>
      </c>
      <c r="CA70">
        <v>142</v>
      </c>
      <c r="CB70">
        <v>142</v>
      </c>
      <c r="CC70">
        <v>144</v>
      </c>
      <c r="CD70">
        <v>144</v>
      </c>
      <c r="CE70">
        <v>144</v>
      </c>
      <c r="CF70">
        <v>144</v>
      </c>
      <c r="CG70">
        <v>145</v>
      </c>
      <c r="CH70">
        <v>145</v>
      </c>
      <c r="CI70">
        <v>145</v>
      </c>
      <c r="CJ70">
        <v>145</v>
      </c>
      <c r="CK70">
        <v>145</v>
      </c>
      <c r="CL70">
        <v>145</v>
      </c>
      <c r="CM70">
        <v>146</v>
      </c>
      <c r="CN70">
        <v>146</v>
      </c>
      <c r="CO70">
        <v>146</v>
      </c>
      <c r="CP70">
        <v>146</v>
      </c>
      <c r="CQ70">
        <v>146</v>
      </c>
      <c r="CR70">
        <v>146</v>
      </c>
      <c r="CS70">
        <v>146</v>
      </c>
      <c r="CT70">
        <v>146</v>
      </c>
      <c r="CU70">
        <v>146</v>
      </c>
      <c r="CV70">
        <v>146</v>
      </c>
      <c r="CW70">
        <v>146</v>
      </c>
      <c r="CX70">
        <v>146</v>
      </c>
      <c r="CY70">
        <v>146</v>
      </c>
      <c r="CZ70">
        <v>146</v>
      </c>
      <c r="DA70">
        <v>146</v>
      </c>
      <c r="DB70">
        <v>146</v>
      </c>
    </row>
    <row r="71" spans="1:106" x14ac:dyDescent="0.25">
      <c r="A71" t="s">
        <v>38</v>
      </c>
      <c r="B71" t="s">
        <v>176</v>
      </c>
      <c r="C71">
        <v>22.166699999999999</v>
      </c>
      <c r="D71">
        <v>113.55</v>
      </c>
      <c r="E71">
        <v>1</v>
      </c>
      <c r="F71">
        <v>2</v>
      </c>
      <c r="G71">
        <v>2</v>
      </c>
      <c r="H71">
        <v>2</v>
      </c>
      <c r="I71">
        <v>5</v>
      </c>
      <c r="J71">
        <v>6</v>
      </c>
      <c r="K71">
        <v>7</v>
      </c>
      <c r="L71">
        <v>7</v>
      </c>
      <c r="M71">
        <v>7</v>
      </c>
      <c r="N71">
        <v>7</v>
      </c>
      <c r="O71">
        <v>7</v>
      </c>
      <c r="P71">
        <v>8</v>
      </c>
      <c r="Q71">
        <v>8</v>
      </c>
      <c r="R71">
        <v>10</v>
      </c>
      <c r="S71">
        <v>10</v>
      </c>
      <c r="T71">
        <v>10</v>
      </c>
      <c r="U71">
        <v>10</v>
      </c>
      <c r="V71">
        <v>10</v>
      </c>
      <c r="W71">
        <v>10</v>
      </c>
      <c r="X71">
        <v>10</v>
      </c>
      <c r="Y71">
        <v>10</v>
      </c>
      <c r="Z71">
        <v>10</v>
      </c>
      <c r="AA71">
        <v>10</v>
      </c>
      <c r="AB71">
        <v>10</v>
      </c>
      <c r="AC71">
        <v>10</v>
      </c>
      <c r="AD71">
        <v>10</v>
      </c>
      <c r="AE71">
        <v>10</v>
      </c>
      <c r="AF71">
        <v>10</v>
      </c>
      <c r="AG71">
        <v>10</v>
      </c>
      <c r="AH71">
        <v>10</v>
      </c>
      <c r="AI71">
        <v>10</v>
      </c>
      <c r="AJ71">
        <v>10</v>
      </c>
      <c r="AK71">
        <v>10</v>
      </c>
      <c r="AL71">
        <v>10</v>
      </c>
      <c r="AM71">
        <v>10</v>
      </c>
      <c r="AN71">
        <v>10</v>
      </c>
      <c r="AO71">
        <v>10</v>
      </c>
      <c r="AP71">
        <v>10</v>
      </c>
      <c r="AQ71">
        <v>10</v>
      </c>
      <c r="AR71">
        <v>10</v>
      </c>
      <c r="AS71">
        <v>10</v>
      </c>
      <c r="AT71">
        <v>10</v>
      </c>
      <c r="AU71">
        <v>10</v>
      </c>
      <c r="AV71">
        <v>10</v>
      </c>
      <c r="AW71">
        <v>10</v>
      </c>
      <c r="AX71">
        <v>10</v>
      </c>
      <c r="AY71">
        <v>10</v>
      </c>
      <c r="AZ71">
        <v>10</v>
      </c>
      <c r="BA71">
        <v>10</v>
      </c>
      <c r="BB71">
        <v>10</v>
      </c>
      <c r="BC71">
        <v>10</v>
      </c>
      <c r="BD71">
        <v>10</v>
      </c>
      <c r="BE71">
        <v>10</v>
      </c>
      <c r="BF71">
        <v>10</v>
      </c>
      <c r="BG71">
        <v>11</v>
      </c>
      <c r="BH71">
        <v>12</v>
      </c>
      <c r="BI71">
        <v>15</v>
      </c>
      <c r="BJ71">
        <v>17</v>
      </c>
      <c r="BK71">
        <v>17</v>
      </c>
      <c r="BL71">
        <v>18</v>
      </c>
      <c r="BM71">
        <v>24</v>
      </c>
      <c r="BN71">
        <v>24</v>
      </c>
      <c r="BO71">
        <v>25</v>
      </c>
      <c r="BP71">
        <v>30</v>
      </c>
      <c r="BQ71">
        <v>31</v>
      </c>
      <c r="BR71">
        <v>33</v>
      </c>
      <c r="BS71">
        <v>37</v>
      </c>
      <c r="BT71">
        <v>37</v>
      </c>
      <c r="BU71">
        <v>38</v>
      </c>
      <c r="BV71">
        <v>41</v>
      </c>
      <c r="BW71">
        <v>41</v>
      </c>
      <c r="BX71">
        <v>41</v>
      </c>
      <c r="BY71">
        <v>43</v>
      </c>
      <c r="BZ71">
        <v>43</v>
      </c>
      <c r="CA71">
        <v>44</v>
      </c>
      <c r="CB71">
        <v>44</v>
      </c>
      <c r="CC71">
        <v>44</v>
      </c>
      <c r="CD71">
        <v>45</v>
      </c>
      <c r="CE71">
        <v>45</v>
      </c>
      <c r="CF71">
        <v>45</v>
      </c>
      <c r="CG71">
        <v>45</v>
      </c>
      <c r="CH71">
        <v>45</v>
      </c>
      <c r="CI71">
        <v>45</v>
      </c>
      <c r="CJ71">
        <v>45</v>
      </c>
      <c r="CK71">
        <v>45</v>
      </c>
      <c r="CL71">
        <v>45</v>
      </c>
      <c r="CM71">
        <v>45</v>
      </c>
      <c r="CN71">
        <v>45</v>
      </c>
      <c r="CO71">
        <v>45</v>
      </c>
      <c r="CP71">
        <v>45</v>
      </c>
      <c r="CQ71">
        <v>45</v>
      </c>
      <c r="CR71">
        <v>45</v>
      </c>
      <c r="CS71">
        <v>45</v>
      </c>
      <c r="CT71">
        <v>45</v>
      </c>
      <c r="CU71">
        <v>45</v>
      </c>
      <c r="CV71">
        <v>45</v>
      </c>
      <c r="CW71">
        <v>45</v>
      </c>
      <c r="CX71">
        <v>45</v>
      </c>
      <c r="CY71">
        <v>45</v>
      </c>
      <c r="CZ71">
        <v>45</v>
      </c>
      <c r="DA71">
        <v>45</v>
      </c>
      <c r="DB71">
        <v>45</v>
      </c>
    </row>
    <row r="72" spans="1:106" x14ac:dyDescent="0.25">
      <c r="A72" t="s">
        <v>23</v>
      </c>
      <c r="B72" t="s">
        <v>176</v>
      </c>
      <c r="C72">
        <v>37.269199999999998</v>
      </c>
      <c r="D72">
        <v>106.16549999999999</v>
      </c>
      <c r="E72">
        <v>1</v>
      </c>
      <c r="F72">
        <v>1</v>
      </c>
      <c r="G72">
        <v>2</v>
      </c>
      <c r="H72">
        <v>3</v>
      </c>
      <c r="I72">
        <v>4</v>
      </c>
      <c r="J72">
        <v>7</v>
      </c>
      <c r="K72">
        <v>11</v>
      </c>
      <c r="L72">
        <v>12</v>
      </c>
      <c r="M72">
        <v>17</v>
      </c>
      <c r="N72">
        <v>21</v>
      </c>
      <c r="O72">
        <v>26</v>
      </c>
      <c r="P72">
        <v>28</v>
      </c>
      <c r="Q72">
        <v>31</v>
      </c>
      <c r="R72">
        <v>34</v>
      </c>
      <c r="S72">
        <v>34</v>
      </c>
      <c r="T72">
        <v>40</v>
      </c>
      <c r="U72">
        <v>43</v>
      </c>
      <c r="V72">
        <v>45</v>
      </c>
      <c r="W72">
        <v>45</v>
      </c>
      <c r="X72">
        <v>49</v>
      </c>
      <c r="Y72">
        <v>53</v>
      </c>
      <c r="Z72">
        <v>58</v>
      </c>
      <c r="AA72">
        <v>64</v>
      </c>
      <c r="AB72">
        <v>67</v>
      </c>
      <c r="AC72">
        <v>70</v>
      </c>
      <c r="AD72">
        <v>70</v>
      </c>
      <c r="AE72">
        <v>70</v>
      </c>
      <c r="AF72">
        <v>70</v>
      </c>
      <c r="AG72">
        <v>71</v>
      </c>
      <c r="AH72">
        <v>71</v>
      </c>
      <c r="AI72">
        <v>71</v>
      </c>
      <c r="AJ72">
        <v>71</v>
      </c>
      <c r="AK72">
        <v>71</v>
      </c>
      <c r="AL72">
        <v>71</v>
      </c>
      <c r="AM72">
        <v>71</v>
      </c>
      <c r="AN72">
        <v>71</v>
      </c>
      <c r="AO72">
        <v>72</v>
      </c>
      <c r="AP72">
        <v>72</v>
      </c>
      <c r="AQ72">
        <v>73</v>
      </c>
      <c r="AR72">
        <v>73</v>
      </c>
      <c r="AS72">
        <v>74</v>
      </c>
      <c r="AT72">
        <v>74</v>
      </c>
      <c r="AU72">
        <v>75</v>
      </c>
      <c r="AV72">
        <v>75</v>
      </c>
      <c r="AW72">
        <v>75</v>
      </c>
      <c r="AX72">
        <v>75</v>
      </c>
      <c r="AY72">
        <v>75</v>
      </c>
      <c r="AZ72">
        <v>75</v>
      </c>
      <c r="BA72">
        <v>75</v>
      </c>
      <c r="BB72">
        <v>75</v>
      </c>
      <c r="BC72">
        <v>75</v>
      </c>
      <c r="BD72">
        <v>75</v>
      </c>
      <c r="BE72">
        <v>75</v>
      </c>
      <c r="BF72">
        <v>75</v>
      </c>
      <c r="BG72">
        <v>75</v>
      </c>
      <c r="BH72">
        <v>75</v>
      </c>
      <c r="BI72">
        <v>75</v>
      </c>
      <c r="BJ72">
        <v>75</v>
      </c>
      <c r="BK72">
        <v>75</v>
      </c>
      <c r="BL72">
        <v>75</v>
      </c>
      <c r="BM72">
        <v>75</v>
      </c>
      <c r="BN72">
        <v>75</v>
      </c>
      <c r="BO72">
        <v>75</v>
      </c>
      <c r="BP72">
        <v>75</v>
      </c>
      <c r="BQ72">
        <v>75</v>
      </c>
      <c r="BR72">
        <v>75</v>
      </c>
      <c r="BS72">
        <v>75</v>
      </c>
      <c r="BT72">
        <v>75</v>
      </c>
      <c r="BU72">
        <v>75</v>
      </c>
      <c r="BV72">
        <v>75</v>
      </c>
      <c r="BW72">
        <v>75</v>
      </c>
      <c r="BX72">
        <v>75</v>
      </c>
      <c r="BY72">
        <v>75</v>
      </c>
      <c r="BZ72">
        <v>75</v>
      </c>
      <c r="CA72">
        <v>75</v>
      </c>
      <c r="CB72">
        <v>75</v>
      </c>
      <c r="CC72">
        <v>75</v>
      </c>
      <c r="CD72">
        <v>75</v>
      </c>
      <c r="CE72">
        <v>75</v>
      </c>
      <c r="CF72">
        <v>75</v>
      </c>
      <c r="CG72">
        <v>75</v>
      </c>
      <c r="CH72">
        <v>75</v>
      </c>
      <c r="CI72">
        <v>75</v>
      </c>
      <c r="CJ72">
        <v>75</v>
      </c>
      <c r="CK72">
        <v>75</v>
      </c>
      <c r="CL72">
        <v>75</v>
      </c>
      <c r="CM72">
        <v>75</v>
      </c>
      <c r="CN72">
        <v>75</v>
      </c>
      <c r="CO72">
        <v>75</v>
      </c>
      <c r="CP72">
        <v>75</v>
      </c>
      <c r="CQ72">
        <v>75</v>
      </c>
      <c r="CR72">
        <v>75</v>
      </c>
      <c r="CS72">
        <v>75</v>
      </c>
      <c r="CT72">
        <v>75</v>
      </c>
      <c r="CU72">
        <v>75</v>
      </c>
      <c r="CV72">
        <v>75</v>
      </c>
      <c r="CW72">
        <v>75</v>
      </c>
      <c r="CX72">
        <v>75</v>
      </c>
      <c r="CY72">
        <v>75</v>
      </c>
      <c r="CZ72">
        <v>75</v>
      </c>
      <c r="DA72">
        <v>75</v>
      </c>
      <c r="DB72">
        <v>75</v>
      </c>
    </row>
    <row r="73" spans="1:106" x14ac:dyDescent="0.25">
      <c r="A73" t="s">
        <v>24</v>
      </c>
      <c r="B73" t="s">
        <v>176</v>
      </c>
      <c r="C73">
        <v>35.745199999999997</v>
      </c>
      <c r="D73">
        <v>95.995599999999996</v>
      </c>
      <c r="E73">
        <v>0</v>
      </c>
      <c r="F73">
        <v>0</v>
      </c>
      <c r="G73">
        <v>0</v>
      </c>
      <c r="H73">
        <v>1</v>
      </c>
      <c r="I73">
        <v>1</v>
      </c>
      <c r="J73">
        <v>6</v>
      </c>
      <c r="K73">
        <v>6</v>
      </c>
      <c r="L73">
        <v>6</v>
      </c>
      <c r="M73">
        <v>8</v>
      </c>
      <c r="N73">
        <v>8</v>
      </c>
      <c r="O73">
        <v>9</v>
      </c>
      <c r="P73">
        <v>11</v>
      </c>
      <c r="Q73">
        <v>13</v>
      </c>
      <c r="R73">
        <v>15</v>
      </c>
      <c r="S73">
        <v>17</v>
      </c>
      <c r="T73">
        <v>18</v>
      </c>
      <c r="U73">
        <v>18</v>
      </c>
      <c r="V73">
        <v>18</v>
      </c>
      <c r="W73">
        <v>18</v>
      </c>
      <c r="X73">
        <v>18</v>
      </c>
      <c r="Y73">
        <v>18</v>
      </c>
      <c r="Z73">
        <v>18</v>
      </c>
      <c r="AA73">
        <v>18</v>
      </c>
      <c r="AB73">
        <v>18</v>
      </c>
      <c r="AC73">
        <v>18</v>
      </c>
      <c r="AD73">
        <v>18</v>
      </c>
      <c r="AE73">
        <v>18</v>
      </c>
      <c r="AF73">
        <v>18</v>
      </c>
      <c r="AG73">
        <v>18</v>
      </c>
      <c r="AH73">
        <v>18</v>
      </c>
      <c r="AI73">
        <v>18</v>
      </c>
      <c r="AJ73">
        <v>18</v>
      </c>
      <c r="AK73">
        <v>18</v>
      </c>
      <c r="AL73">
        <v>18</v>
      </c>
      <c r="AM73">
        <v>18</v>
      </c>
      <c r="AN73">
        <v>18</v>
      </c>
      <c r="AO73">
        <v>18</v>
      </c>
      <c r="AP73">
        <v>18</v>
      </c>
      <c r="AQ73">
        <v>18</v>
      </c>
      <c r="AR73">
        <v>18</v>
      </c>
      <c r="AS73">
        <v>18</v>
      </c>
      <c r="AT73">
        <v>18</v>
      </c>
      <c r="AU73">
        <v>18</v>
      </c>
      <c r="AV73">
        <v>18</v>
      </c>
      <c r="AW73">
        <v>18</v>
      </c>
      <c r="AX73">
        <v>18</v>
      </c>
      <c r="AY73">
        <v>18</v>
      </c>
      <c r="AZ73">
        <v>18</v>
      </c>
      <c r="BA73">
        <v>18</v>
      </c>
      <c r="BB73">
        <v>18</v>
      </c>
      <c r="BC73">
        <v>18</v>
      </c>
      <c r="BD73">
        <v>18</v>
      </c>
      <c r="BE73">
        <v>18</v>
      </c>
      <c r="BF73">
        <v>18</v>
      </c>
      <c r="BG73">
        <v>18</v>
      </c>
      <c r="BH73">
        <v>18</v>
      </c>
      <c r="BI73">
        <v>18</v>
      </c>
      <c r="BJ73">
        <v>18</v>
      </c>
      <c r="BK73">
        <v>18</v>
      </c>
      <c r="BL73">
        <v>18</v>
      </c>
      <c r="BM73">
        <v>18</v>
      </c>
      <c r="BN73">
        <v>18</v>
      </c>
      <c r="BO73">
        <v>18</v>
      </c>
      <c r="BP73">
        <v>18</v>
      </c>
      <c r="BQ73">
        <v>18</v>
      </c>
      <c r="BR73">
        <v>18</v>
      </c>
      <c r="BS73">
        <v>18</v>
      </c>
      <c r="BT73">
        <v>18</v>
      </c>
      <c r="BU73">
        <v>18</v>
      </c>
      <c r="BV73">
        <v>18</v>
      </c>
      <c r="BW73">
        <v>18</v>
      </c>
      <c r="BX73">
        <v>18</v>
      </c>
      <c r="BY73">
        <v>18</v>
      </c>
      <c r="BZ73">
        <v>18</v>
      </c>
      <c r="CA73">
        <v>18</v>
      </c>
      <c r="CB73">
        <v>18</v>
      </c>
      <c r="CC73">
        <v>18</v>
      </c>
      <c r="CD73">
        <v>18</v>
      </c>
      <c r="CE73">
        <v>18</v>
      </c>
      <c r="CF73">
        <v>18</v>
      </c>
      <c r="CG73">
        <v>18</v>
      </c>
      <c r="CH73">
        <v>18</v>
      </c>
      <c r="CI73">
        <v>18</v>
      </c>
      <c r="CJ73">
        <v>18</v>
      </c>
      <c r="CK73">
        <v>18</v>
      </c>
      <c r="CL73">
        <v>18</v>
      </c>
      <c r="CM73">
        <v>18</v>
      </c>
      <c r="CN73">
        <v>18</v>
      </c>
      <c r="CO73">
        <v>18</v>
      </c>
      <c r="CP73">
        <v>18</v>
      </c>
      <c r="CQ73">
        <v>18</v>
      </c>
      <c r="CR73">
        <v>18</v>
      </c>
      <c r="CS73">
        <v>18</v>
      </c>
      <c r="CT73">
        <v>18</v>
      </c>
      <c r="CU73">
        <v>18</v>
      </c>
      <c r="CV73">
        <v>18</v>
      </c>
      <c r="CW73">
        <v>18</v>
      </c>
      <c r="CX73">
        <v>18</v>
      </c>
      <c r="CY73">
        <v>18</v>
      </c>
      <c r="CZ73">
        <v>18</v>
      </c>
      <c r="DA73">
        <v>18</v>
      </c>
      <c r="DB73">
        <v>18</v>
      </c>
    </row>
    <row r="74" spans="1:106" x14ac:dyDescent="0.25">
      <c r="A74" t="s">
        <v>25</v>
      </c>
      <c r="B74" t="s">
        <v>176</v>
      </c>
      <c r="C74">
        <v>35.191699999999997</v>
      </c>
      <c r="D74">
        <v>108.87009999999999</v>
      </c>
      <c r="E74">
        <v>0</v>
      </c>
      <c r="F74">
        <v>3</v>
      </c>
      <c r="G74">
        <v>5</v>
      </c>
      <c r="H74">
        <v>15</v>
      </c>
      <c r="I74">
        <v>22</v>
      </c>
      <c r="J74">
        <v>35</v>
      </c>
      <c r="K74">
        <v>46</v>
      </c>
      <c r="L74">
        <v>56</v>
      </c>
      <c r="M74">
        <v>63</v>
      </c>
      <c r="N74">
        <v>87</v>
      </c>
      <c r="O74">
        <v>101</v>
      </c>
      <c r="P74">
        <v>116</v>
      </c>
      <c r="Q74">
        <v>128</v>
      </c>
      <c r="R74">
        <v>142</v>
      </c>
      <c r="S74">
        <v>165</v>
      </c>
      <c r="T74">
        <v>173</v>
      </c>
      <c r="U74">
        <v>184</v>
      </c>
      <c r="V74">
        <v>195</v>
      </c>
      <c r="W74">
        <v>208</v>
      </c>
      <c r="X74">
        <v>213</v>
      </c>
      <c r="Y74">
        <v>219</v>
      </c>
      <c r="Z74">
        <v>225</v>
      </c>
      <c r="AA74">
        <v>229</v>
      </c>
      <c r="AB74">
        <v>230</v>
      </c>
      <c r="AC74">
        <v>232</v>
      </c>
      <c r="AD74">
        <v>236</v>
      </c>
      <c r="AE74">
        <v>240</v>
      </c>
      <c r="AF74">
        <v>240</v>
      </c>
      <c r="AG74">
        <v>242</v>
      </c>
      <c r="AH74">
        <v>245</v>
      </c>
      <c r="AI74">
        <v>245</v>
      </c>
      <c r="AJ74">
        <v>245</v>
      </c>
      <c r="AK74">
        <v>245</v>
      </c>
      <c r="AL74">
        <v>245</v>
      </c>
      <c r="AM74">
        <v>245</v>
      </c>
      <c r="AN74">
        <v>245</v>
      </c>
      <c r="AO74">
        <v>245</v>
      </c>
      <c r="AP74">
        <v>245</v>
      </c>
      <c r="AQ74">
        <v>245</v>
      </c>
      <c r="AR74">
        <v>245</v>
      </c>
      <c r="AS74">
        <v>245</v>
      </c>
      <c r="AT74">
        <v>245</v>
      </c>
      <c r="AU74">
        <v>245</v>
      </c>
      <c r="AV74">
        <v>245</v>
      </c>
      <c r="AW74">
        <v>245</v>
      </c>
      <c r="AX74">
        <v>245</v>
      </c>
      <c r="AY74">
        <v>245</v>
      </c>
      <c r="AZ74">
        <v>245</v>
      </c>
      <c r="BA74">
        <v>245</v>
      </c>
      <c r="BB74">
        <v>245</v>
      </c>
      <c r="BC74">
        <v>245</v>
      </c>
      <c r="BD74">
        <v>245</v>
      </c>
      <c r="BE74">
        <v>245</v>
      </c>
      <c r="BF74">
        <v>245</v>
      </c>
      <c r="BG74">
        <v>245</v>
      </c>
      <c r="BH74">
        <v>246</v>
      </c>
      <c r="BI74">
        <v>246</v>
      </c>
      <c r="BJ74">
        <v>246</v>
      </c>
      <c r="BK74">
        <v>247</v>
      </c>
      <c r="BL74">
        <v>248</v>
      </c>
      <c r="BM74">
        <v>248</v>
      </c>
      <c r="BN74">
        <v>248</v>
      </c>
      <c r="BO74">
        <v>249</v>
      </c>
      <c r="BP74">
        <v>250</v>
      </c>
      <c r="BQ74">
        <v>253</v>
      </c>
      <c r="BR74">
        <v>253</v>
      </c>
      <c r="BS74">
        <v>253</v>
      </c>
      <c r="BT74">
        <v>253</v>
      </c>
      <c r="BU74">
        <v>253</v>
      </c>
      <c r="BV74">
        <v>253</v>
      </c>
      <c r="BW74">
        <v>255</v>
      </c>
      <c r="BX74">
        <v>255</v>
      </c>
      <c r="BY74">
        <v>255</v>
      </c>
      <c r="BZ74">
        <v>256</v>
      </c>
      <c r="CA74">
        <v>256</v>
      </c>
      <c r="CB74">
        <v>256</v>
      </c>
      <c r="CC74">
        <v>256</v>
      </c>
      <c r="CD74">
        <v>256</v>
      </c>
      <c r="CE74">
        <v>256</v>
      </c>
      <c r="CF74">
        <v>256</v>
      </c>
      <c r="CG74">
        <v>256</v>
      </c>
      <c r="CH74">
        <v>256</v>
      </c>
      <c r="CI74">
        <v>256</v>
      </c>
      <c r="CJ74">
        <v>256</v>
      </c>
      <c r="CK74">
        <v>256</v>
      </c>
      <c r="CL74">
        <v>256</v>
      </c>
      <c r="CM74">
        <v>256</v>
      </c>
      <c r="CN74">
        <v>256</v>
      </c>
      <c r="CO74">
        <v>256</v>
      </c>
      <c r="CP74">
        <v>256</v>
      </c>
      <c r="CQ74">
        <v>277</v>
      </c>
      <c r="CR74">
        <v>279</v>
      </c>
      <c r="CS74">
        <v>279</v>
      </c>
      <c r="CT74">
        <v>286</v>
      </c>
      <c r="CU74">
        <v>286</v>
      </c>
      <c r="CV74">
        <v>286</v>
      </c>
      <c r="CW74">
        <v>286</v>
      </c>
      <c r="CX74">
        <v>306</v>
      </c>
      <c r="CY74">
        <v>306</v>
      </c>
      <c r="CZ74">
        <v>306</v>
      </c>
      <c r="DA74">
        <v>306</v>
      </c>
      <c r="DB74">
        <v>306</v>
      </c>
    </row>
    <row r="75" spans="1:106" x14ac:dyDescent="0.25">
      <c r="A75" t="s">
        <v>26</v>
      </c>
      <c r="B75" t="s">
        <v>176</v>
      </c>
      <c r="C75">
        <v>36.342700000000001</v>
      </c>
      <c r="D75">
        <v>118.1498</v>
      </c>
      <c r="E75">
        <v>2</v>
      </c>
      <c r="F75">
        <v>6</v>
      </c>
      <c r="G75">
        <v>15</v>
      </c>
      <c r="H75">
        <v>27</v>
      </c>
      <c r="I75">
        <v>46</v>
      </c>
      <c r="J75">
        <v>75</v>
      </c>
      <c r="K75">
        <v>95</v>
      </c>
      <c r="L75">
        <v>130</v>
      </c>
      <c r="M75">
        <v>158</v>
      </c>
      <c r="N75">
        <v>184</v>
      </c>
      <c r="O75">
        <v>206</v>
      </c>
      <c r="P75">
        <v>230</v>
      </c>
      <c r="Q75">
        <v>259</v>
      </c>
      <c r="R75">
        <v>275</v>
      </c>
      <c r="S75">
        <v>307</v>
      </c>
      <c r="T75">
        <v>347</v>
      </c>
      <c r="U75">
        <v>386</v>
      </c>
      <c r="V75">
        <v>416</v>
      </c>
      <c r="W75">
        <v>444</v>
      </c>
      <c r="X75">
        <v>466</v>
      </c>
      <c r="Y75">
        <v>487</v>
      </c>
      <c r="Z75">
        <v>497</v>
      </c>
      <c r="AA75">
        <v>509</v>
      </c>
      <c r="AB75">
        <v>523</v>
      </c>
      <c r="AC75">
        <v>532</v>
      </c>
      <c r="AD75">
        <v>537</v>
      </c>
      <c r="AE75">
        <v>541</v>
      </c>
      <c r="AF75">
        <v>543</v>
      </c>
      <c r="AG75">
        <v>544</v>
      </c>
      <c r="AH75">
        <v>546</v>
      </c>
      <c r="AI75">
        <v>749</v>
      </c>
      <c r="AJ75">
        <v>750</v>
      </c>
      <c r="AK75">
        <v>754</v>
      </c>
      <c r="AL75">
        <v>755</v>
      </c>
      <c r="AM75">
        <v>756</v>
      </c>
      <c r="AN75">
        <v>756</v>
      </c>
      <c r="AO75">
        <v>756</v>
      </c>
      <c r="AP75">
        <v>756</v>
      </c>
      <c r="AQ75">
        <v>756</v>
      </c>
      <c r="AR75">
        <v>758</v>
      </c>
      <c r="AS75">
        <v>758</v>
      </c>
      <c r="AT75">
        <v>758</v>
      </c>
      <c r="AU75">
        <v>758</v>
      </c>
      <c r="AV75">
        <v>758</v>
      </c>
      <c r="AW75">
        <v>758</v>
      </c>
      <c r="AX75">
        <v>758</v>
      </c>
      <c r="AY75">
        <v>758</v>
      </c>
      <c r="AZ75">
        <v>758</v>
      </c>
      <c r="BA75">
        <v>758</v>
      </c>
      <c r="BB75">
        <v>760</v>
      </c>
      <c r="BC75">
        <v>760</v>
      </c>
      <c r="BD75">
        <v>760</v>
      </c>
      <c r="BE75">
        <v>760</v>
      </c>
      <c r="BF75">
        <v>760</v>
      </c>
      <c r="BG75">
        <v>760</v>
      </c>
      <c r="BH75">
        <v>761</v>
      </c>
      <c r="BI75">
        <v>761</v>
      </c>
      <c r="BJ75">
        <v>761</v>
      </c>
      <c r="BK75">
        <v>762</v>
      </c>
      <c r="BL75">
        <v>764</v>
      </c>
      <c r="BM75">
        <v>767</v>
      </c>
      <c r="BN75">
        <v>768</v>
      </c>
      <c r="BO75">
        <v>768</v>
      </c>
      <c r="BP75">
        <v>769</v>
      </c>
      <c r="BQ75">
        <v>771</v>
      </c>
      <c r="BR75">
        <v>772</v>
      </c>
      <c r="BS75">
        <v>772</v>
      </c>
      <c r="BT75">
        <v>772</v>
      </c>
      <c r="BU75">
        <v>773</v>
      </c>
      <c r="BV75">
        <v>774</v>
      </c>
      <c r="BW75">
        <v>774</v>
      </c>
      <c r="BX75">
        <v>775</v>
      </c>
      <c r="BY75">
        <v>778</v>
      </c>
      <c r="BZ75">
        <v>778</v>
      </c>
      <c r="CA75">
        <v>779</v>
      </c>
      <c r="CB75">
        <v>780</v>
      </c>
      <c r="CC75">
        <v>781</v>
      </c>
      <c r="CD75">
        <v>783</v>
      </c>
      <c r="CE75">
        <v>783</v>
      </c>
      <c r="CF75">
        <v>783</v>
      </c>
      <c r="CG75">
        <v>784</v>
      </c>
      <c r="CH75">
        <v>784</v>
      </c>
      <c r="CI75">
        <v>784</v>
      </c>
      <c r="CJ75">
        <v>784</v>
      </c>
      <c r="CK75">
        <v>784</v>
      </c>
      <c r="CL75">
        <v>784</v>
      </c>
      <c r="CM75">
        <v>787</v>
      </c>
      <c r="CN75">
        <v>787</v>
      </c>
      <c r="CO75">
        <v>787</v>
      </c>
      <c r="CP75">
        <v>787</v>
      </c>
      <c r="CQ75">
        <v>787</v>
      </c>
      <c r="CR75">
        <v>787</v>
      </c>
      <c r="CS75">
        <v>787</v>
      </c>
      <c r="CT75">
        <v>787</v>
      </c>
      <c r="CU75">
        <v>787</v>
      </c>
      <c r="CV75">
        <v>787</v>
      </c>
      <c r="CW75">
        <v>787</v>
      </c>
      <c r="CX75">
        <v>787</v>
      </c>
      <c r="CY75">
        <v>787</v>
      </c>
      <c r="CZ75">
        <v>787</v>
      </c>
      <c r="DA75">
        <v>787</v>
      </c>
      <c r="DB75">
        <v>787</v>
      </c>
    </row>
    <row r="76" spans="1:106" x14ac:dyDescent="0.25">
      <c r="A76" t="s">
        <v>27</v>
      </c>
      <c r="B76" t="s">
        <v>176</v>
      </c>
      <c r="C76">
        <v>31.201999999999998</v>
      </c>
      <c r="D76">
        <v>121.4491</v>
      </c>
      <c r="E76">
        <v>9</v>
      </c>
      <c r="F76">
        <v>16</v>
      </c>
      <c r="G76">
        <v>20</v>
      </c>
      <c r="H76">
        <v>33</v>
      </c>
      <c r="I76">
        <v>40</v>
      </c>
      <c r="J76">
        <v>53</v>
      </c>
      <c r="K76">
        <v>66</v>
      </c>
      <c r="L76">
        <v>96</v>
      </c>
      <c r="M76">
        <v>112</v>
      </c>
      <c r="N76">
        <v>135</v>
      </c>
      <c r="O76">
        <v>169</v>
      </c>
      <c r="P76">
        <v>182</v>
      </c>
      <c r="Q76">
        <v>203</v>
      </c>
      <c r="R76">
        <v>219</v>
      </c>
      <c r="S76">
        <v>243</v>
      </c>
      <c r="T76">
        <v>257</v>
      </c>
      <c r="U76">
        <v>277</v>
      </c>
      <c r="V76">
        <v>286</v>
      </c>
      <c r="W76">
        <v>293</v>
      </c>
      <c r="X76">
        <v>299</v>
      </c>
      <c r="Y76">
        <v>303</v>
      </c>
      <c r="Z76">
        <v>311</v>
      </c>
      <c r="AA76">
        <v>315</v>
      </c>
      <c r="AB76">
        <v>318</v>
      </c>
      <c r="AC76">
        <v>326</v>
      </c>
      <c r="AD76">
        <v>328</v>
      </c>
      <c r="AE76">
        <v>333</v>
      </c>
      <c r="AF76">
        <v>333</v>
      </c>
      <c r="AG76">
        <v>333</v>
      </c>
      <c r="AH76">
        <v>334</v>
      </c>
      <c r="AI76">
        <v>334</v>
      </c>
      <c r="AJ76">
        <v>335</v>
      </c>
      <c r="AK76">
        <v>335</v>
      </c>
      <c r="AL76">
        <v>335</v>
      </c>
      <c r="AM76">
        <v>336</v>
      </c>
      <c r="AN76">
        <v>337</v>
      </c>
      <c r="AO76">
        <v>337</v>
      </c>
      <c r="AP76">
        <v>337</v>
      </c>
      <c r="AQ76">
        <v>337</v>
      </c>
      <c r="AR76">
        <v>337</v>
      </c>
      <c r="AS76">
        <v>337</v>
      </c>
      <c r="AT76">
        <v>338</v>
      </c>
      <c r="AU76">
        <v>338</v>
      </c>
      <c r="AV76">
        <v>339</v>
      </c>
      <c r="AW76">
        <v>342</v>
      </c>
      <c r="AX76">
        <v>342</v>
      </c>
      <c r="AY76">
        <v>342</v>
      </c>
      <c r="AZ76">
        <v>342</v>
      </c>
      <c r="BA76">
        <v>344</v>
      </c>
      <c r="BB76">
        <v>344</v>
      </c>
      <c r="BC76">
        <v>344</v>
      </c>
      <c r="BD76">
        <v>346</v>
      </c>
      <c r="BE76">
        <v>353</v>
      </c>
      <c r="BF76">
        <v>353</v>
      </c>
      <c r="BG76">
        <v>355</v>
      </c>
      <c r="BH76">
        <v>358</v>
      </c>
      <c r="BI76">
        <v>361</v>
      </c>
      <c r="BJ76">
        <v>363</v>
      </c>
      <c r="BK76">
        <v>371</v>
      </c>
      <c r="BL76">
        <v>380</v>
      </c>
      <c r="BM76">
        <v>404</v>
      </c>
      <c r="BN76">
        <v>404</v>
      </c>
      <c r="BO76">
        <v>414</v>
      </c>
      <c r="BP76">
        <v>433</v>
      </c>
      <c r="BQ76">
        <v>451</v>
      </c>
      <c r="BR76">
        <v>468</v>
      </c>
      <c r="BS76">
        <v>485</v>
      </c>
      <c r="BT76">
        <v>492</v>
      </c>
      <c r="BU76">
        <v>498</v>
      </c>
      <c r="BV76">
        <v>509</v>
      </c>
      <c r="BW76">
        <v>516</v>
      </c>
      <c r="BX76">
        <v>522</v>
      </c>
      <c r="BY76">
        <v>526</v>
      </c>
      <c r="BZ76">
        <v>529</v>
      </c>
      <c r="CA76">
        <v>531</v>
      </c>
      <c r="CB76">
        <v>536</v>
      </c>
      <c r="CC76">
        <v>538</v>
      </c>
      <c r="CD76">
        <v>543</v>
      </c>
      <c r="CE76">
        <v>552</v>
      </c>
      <c r="CF76">
        <v>555</v>
      </c>
      <c r="CG76">
        <v>555</v>
      </c>
      <c r="CH76">
        <v>607</v>
      </c>
      <c r="CI76">
        <v>618</v>
      </c>
      <c r="CJ76">
        <v>618</v>
      </c>
      <c r="CK76">
        <v>622</v>
      </c>
      <c r="CL76">
        <v>628</v>
      </c>
      <c r="CM76">
        <v>628</v>
      </c>
      <c r="CN76">
        <v>628</v>
      </c>
      <c r="CO76">
        <v>635</v>
      </c>
      <c r="CP76">
        <v>638</v>
      </c>
      <c r="CQ76">
        <v>638</v>
      </c>
      <c r="CR76">
        <v>639</v>
      </c>
      <c r="CS76">
        <v>641</v>
      </c>
      <c r="CT76">
        <v>641</v>
      </c>
      <c r="CU76">
        <v>642</v>
      </c>
      <c r="CV76">
        <v>642</v>
      </c>
      <c r="CW76">
        <v>644</v>
      </c>
      <c r="CX76">
        <v>645</v>
      </c>
      <c r="CY76">
        <v>647</v>
      </c>
      <c r="CZ76">
        <v>652</v>
      </c>
      <c r="DA76">
        <v>652</v>
      </c>
      <c r="DB76">
        <v>652</v>
      </c>
    </row>
    <row r="77" spans="1:106" x14ac:dyDescent="0.25">
      <c r="A77" t="s">
        <v>28</v>
      </c>
      <c r="B77" t="s">
        <v>176</v>
      </c>
      <c r="C77">
        <v>37.5777</v>
      </c>
      <c r="D77">
        <v>112.29219999999999</v>
      </c>
      <c r="E77">
        <v>1</v>
      </c>
      <c r="F77">
        <v>1</v>
      </c>
      <c r="G77">
        <v>1</v>
      </c>
      <c r="H77">
        <v>6</v>
      </c>
      <c r="I77">
        <v>9</v>
      </c>
      <c r="J77">
        <v>13</v>
      </c>
      <c r="K77">
        <v>27</v>
      </c>
      <c r="L77">
        <v>27</v>
      </c>
      <c r="M77">
        <v>35</v>
      </c>
      <c r="N77">
        <v>39</v>
      </c>
      <c r="O77">
        <v>47</v>
      </c>
      <c r="P77">
        <v>66</v>
      </c>
      <c r="Q77">
        <v>74</v>
      </c>
      <c r="R77">
        <v>81</v>
      </c>
      <c r="S77">
        <v>81</v>
      </c>
      <c r="T77">
        <v>96</v>
      </c>
      <c r="U77">
        <v>104</v>
      </c>
      <c r="V77">
        <v>115</v>
      </c>
      <c r="W77">
        <v>119</v>
      </c>
      <c r="X77">
        <v>119</v>
      </c>
      <c r="Y77">
        <v>124</v>
      </c>
      <c r="Z77">
        <v>126</v>
      </c>
      <c r="AA77">
        <v>126</v>
      </c>
      <c r="AB77">
        <v>127</v>
      </c>
      <c r="AC77">
        <v>128</v>
      </c>
      <c r="AD77">
        <v>129</v>
      </c>
      <c r="AE77">
        <v>130</v>
      </c>
      <c r="AF77">
        <v>131</v>
      </c>
      <c r="AG77">
        <v>131</v>
      </c>
      <c r="AH77">
        <v>132</v>
      </c>
      <c r="AI77">
        <v>132</v>
      </c>
      <c r="AJ77">
        <v>132</v>
      </c>
      <c r="AK77">
        <v>132</v>
      </c>
      <c r="AL77">
        <v>133</v>
      </c>
      <c r="AM77">
        <v>133</v>
      </c>
      <c r="AN77">
        <v>133</v>
      </c>
      <c r="AO77">
        <v>133</v>
      </c>
      <c r="AP77">
        <v>133</v>
      </c>
      <c r="AQ77">
        <v>133</v>
      </c>
      <c r="AR77">
        <v>133</v>
      </c>
      <c r="AS77">
        <v>133</v>
      </c>
      <c r="AT77">
        <v>133</v>
      </c>
      <c r="AU77">
        <v>133</v>
      </c>
      <c r="AV77">
        <v>133</v>
      </c>
      <c r="AW77">
        <v>133</v>
      </c>
      <c r="AX77">
        <v>133</v>
      </c>
      <c r="AY77">
        <v>133</v>
      </c>
      <c r="AZ77">
        <v>133</v>
      </c>
      <c r="BA77">
        <v>133</v>
      </c>
      <c r="BB77">
        <v>133</v>
      </c>
      <c r="BC77">
        <v>133</v>
      </c>
      <c r="BD77">
        <v>133</v>
      </c>
      <c r="BE77">
        <v>133</v>
      </c>
      <c r="BF77">
        <v>133</v>
      </c>
      <c r="BG77">
        <v>133</v>
      </c>
      <c r="BH77">
        <v>133</v>
      </c>
      <c r="BI77">
        <v>133</v>
      </c>
      <c r="BJ77">
        <v>133</v>
      </c>
      <c r="BK77">
        <v>133</v>
      </c>
      <c r="BL77">
        <v>133</v>
      </c>
      <c r="BM77">
        <v>133</v>
      </c>
      <c r="BN77">
        <v>134</v>
      </c>
      <c r="BO77">
        <v>134</v>
      </c>
      <c r="BP77">
        <v>134</v>
      </c>
      <c r="BQ77">
        <v>135</v>
      </c>
      <c r="BR77">
        <v>135</v>
      </c>
      <c r="BS77">
        <v>135</v>
      </c>
      <c r="BT77">
        <v>136</v>
      </c>
      <c r="BU77">
        <v>136</v>
      </c>
      <c r="BV77">
        <v>136</v>
      </c>
      <c r="BW77">
        <v>137</v>
      </c>
      <c r="BX77">
        <v>137</v>
      </c>
      <c r="BY77">
        <v>137</v>
      </c>
      <c r="BZ77">
        <v>137</v>
      </c>
      <c r="CA77">
        <v>138</v>
      </c>
      <c r="CB77">
        <v>138</v>
      </c>
      <c r="CC77">
        <v>138</v>
      </c>
      <c r="CD77">
        <v>163</v>
      </c>
      <c r="CE77">
        <v>166</v>
      </c>
      <c r="CF77">
        <v>168</v>
      </c>
      <c r="CG77">
        <v>172</v>
      </c>
      <c r="CH77">
        <v>172</v>
      </c>
      <c r="CI77">
        <v>173</v>
      </c>
      <c r="CJ77">
        <v>173</v>
      </c>
      <c r="CK77">
        <v>186</v>
      </c>
      <c r="CL77">
        <v>194</v>
      </c>
      <c r="CM77">
        <v>197</v>
      </c>
      <c r="CN77">
        <v>197</v>
      </c>
      <c r="CO77">
        <v>197</v>
      </c>
      <c r="CP77">
        <v>197</v>
      </c>
      <c r="CQ77">
        <v>197</v>
      </c>
      <c r="CR77">
        <v>197</v>
      </c>
      <c r="CS77">
        <v>197</v>
      </c>
      <c r="CT77">
        <v>197</v>
      </c>
      <c r="CU77">
        <v>197</v>
      </c>
      <c r="CV77">
        <v>197</v>
      </c>
      <c r="CW77">
        <v>197</v>
      </c>
      <c r="CX77">
        <v>197</v>
      </c>
      <c r="CY77">
        <v>197</v>
      </c>
      <c r="CZ77">
        <v>197</v>
      </c>
      <c r="DA77">
        <v>197</v>
      </c>
      <c r="DB77">
        <v>197</v>
      </c>
    </row>
    <row r="78" spans="1:106" x14ac:dyDescent="0.25">
      <c r="A78" t="s">
        <v>29</v>
      </c>
      <c r="B78" t="s">
        <v>176</v>
      </c>
      <c r="C78">
        <v>30.617100000000001</v>
      </c>
      <c r="D78">
        <v>102.7103</v>
      </c>
      <c r="E78">
        <v>5</v>
      </c>
      <c r="F78">
        <v>8</v>
      </c>
      <c r="G78">
        <v>15</v>
      </c>
      <c r="H78">
        <v>28</v>
      </c>
      <c r="I78">
        <v>44</v>
      </c>
      <c r="J78">
        <v>69</v>
      </c>
      <c r="K78">
        <v>90</v>
      </c>
      <c r="L78">
        <v>108</v>
      </c>
      <c r="M78">
        <v>142</v>
      </c>
      <c r="N78">
        <v>177</v>
      </c>
      <c r="O78">
        <v>207</v>
      </c>
      <c r="P78">
        <v>231</v>
      </c>
      <c r="Q78">
        <v>254</v>
      </c>
      <c r="R78">
        <v>282</v>
      </c>
      <c r="S78">
        <v>301</v>
      </c>
      <c r="T78">
        <v>321</v>
      </c>
      <c r="U78">
        <v>344</v>
      </c>
      <c r="V78">
        <v>364</v>
      </c>
      <c r="W78">
        <v>386</v>
      </c>
      <c r="X78">
        <v>405</v>
      </c>
      <c r="Y78">
        <v>417</v>
      </c>
      <c r="Z78">
        <v>436</v>
      </c>
      <c r="AA78">
        <v>451</v>
      </c>
      <c r="AB78">
        <v>463</v>
      </c>
      <c r="AC78">
        <v>470</v>
      </c>
      <c r="AD78">
        <v>481</v>
      </c>
      <c r="AE78">
        <v>495</v>
      </c>
      <c r="AF78">
        <v>508</v>
      </c>
      <c r="AG78">
        <v>514</v>
      </c>
      <c r="AH78">
        <v>520</v>
      </c>
      <c r="AI78">
        <v>525</v>
      </c>
      <c r="AJ78">
        <v>526</v>
      </c>
      <c r="AK78">
        <v>526</v>
      </c>
      <c r="AL78">
        <v>527</v>
      </c>
      <c r="AM78">
        <v>529</v>
      </c>
      <c r="AN78">
        <v>531</v>
      </c>
      <c r="AO78">
        <v>534</v>
      </c>
      <c r="AP78">
        <v>538</v>
      </c>
      <c r="AQ78">
        <v>538</v>
      </c>
      <c r="AR78">
        <v>538</v>
      </c>
      <c r="AS78">
        <v>538</v>
      </c>
      <c r="AT78">
        <v>538</v>
      </c>
      <c r="AU78">
        <v>538</v>
      </c>
      <c r="AV78">
        <v>539</v>
      </c>
      <c r="AW78">
        <v>539</v>
      </c>
      <c r="AX78">
        <v>539</v>
      </c>
      <c r="AY78">
        <v>539</v>
      </c>
      <c r="AZ78">
        <v>539</v>
      </c>
      <c r="BA78">
        <v>539</v>
      </c>
      <c r="BB78">
        <v>539</v>
      </c>
      <c r="BC78">
        <v>539</v>
      </c>
      <c r="BD78">
        <v>539</v>
      </c>
      <c r="BE78">
        <v>539</v>
      </c>
      <c r="BF78">
        <v>539</v>
      </c>
      <c r="BG78">
        <v>539</v>
      </c>
      <c r="BH78">
        <v>540</v>
      </c>
      <c r="BI78">
        <v>540</v>
      </c>
      <c r="BJ78">
        <v>540</v>
      </c>
      <c r="BK78">
        <v>541</v>
      </c>
      <c r="BL78">
        <v>542</v>
      </c>
      <c r="BM78">
        <v>543</v>
      </c>
      <c r="BN78">
        <v>543</v>
      </c>
      <c r="BO78">
        <v>545</v>
      </c>
      <c r="BP78">
        <v>547</v>
      </c>
      <c r="BQ78">
        <v>547</v>
      </c>
      <c r="BR78">
        <v>548</v>
      </c>
      <c r="BS78">
        <v>548</v>
      </c>
      <c r="BT78">
        <v>550</v>
      </c>
      <c r="BU78">
        <v>550</v>
      </c>
      <c r="BV78">
        <v>550</v>
      </c>
      <c r="BW78">
        <v>552</v>
      </c>
      <c r="BX78">
        <v>554</v>
      </c>
      <c r="BY78">
        <v>555</v>
      </c>
      <c r="BZ78">
        <v>557</v>
      </c>
      <c r="CA78">
        <v>558</v>
      </c>
      <c r="CB78">
        <v>559</v>
      </c>
      <c r="CC78">
        <v>560</v>
      </c>
      <c r="CD78">
        <v>560</v>
      </c>
      <c r="CE78">
        <v>560</v>
      </c>
      <c r="CF78">
        <v>560</v>
      </c>
      <c r="CG78">
        <v>560</v>
      </c>
      <c r="CH78">
        <v>560</v>
      </c>
      <c r="CI78">
        <v>560</v>
      </c>
      <c r="CJ78">
        <v>560</v>
      </c>
      <c r="CK78">
        <v>560</v>
      </c>
      <c r="CL78">
        <v>560</v>
      </c>
      <c r="CM78">
        <v>560</v>
      </c>
      <c r="CN78">
        <v>561</v>
      </c>
      <c r="CO78">
        <v>561</v>
      </c>
      <c r="CP78">
        <v>561</v>
      </c>
      <c r="CQ78">
        <v>561</v>
      </c>
      <c r="CR78">
        <v>561</v>
      </c>
      <c r="CS78">
        <v>561</v>
      </c>
      <c r="CT78">
        <v>561</v>
      </c>
      <c r="CU78">
        <v>561</v>
      </c>
      <c r="CV78">
        <v>561</v>
      </c>
      <c r="CW78">
        <v>561</v>
      </c>
      <c r="CX78">
        <v>561</v>
      </c>
      <c r="CY78">
        <v>561</v>
      </c>
      <c r="CZ78">
        <v>561</v>
      </c>
      <c r="DA78">
        <v>561</v>
      </c>
      <c r="DB78">
        <v>561</v>
      </c>
    </row>
    <row r="79" spans="1:106" x14ac:dyDescent="0.25">
      <c r="A79" t="s">
        <v>30</v>
      </c>
      <c r="B79" t="s">
        <v>176</v>
      </c>
      <c r="C79">
        <v>39.305399999999999</v>
      </c>
      <c r="D79">
        <v>117.32299999999999</v>
      </c>
      <c r="E79">
        <v>4</v>
      </c>
      <c r="F79">
        <v>4</v>
      </c>
      <c r="G79">
        <v>8</v>
      </c>
      <c r="H79">
        <v>10</v>
      </c>
      <c r="I79">
        <v>14</v>
      </c>
      <c r="J79">
        <v>23</v>
      </c>
      <c r="K79">
        <v>24</v>
      </c>
      <c r="L79">
        <v>27</v>
      </c>
      <c r="M79">
        <v>31</v>
      </c>
      <c r="N79">
        <v>32</v>
      </c>
      <c r="O79">
        <v>41</v>
      </c>
      <c r="P79">
        <v>48</v>
      </c>
      <c r="Q79">
        <v>60</v>
      </c>
      <c r="R79">
        <v>67</v>
      </c>
      <c r="S79">
        <v>69</v>
      </c>
      <c r="T79">
        <v>79</v>
      </c>
      <c r="U79">
        <v>81</v>
      </c>
      <c r="V79">
        <v>88</v>
      </c>
      <c r="W79">
        <v>91</v>
      </c>
      <c r="X79">
        <v>95</v>
      </c>
      <c r="Y79">
        <v>106</v>
      </c>
      <c r="Z79">
        <v>112</v>
      </c>
      <c r="AA79">
        <v>119</v>
      </c>
      <c r="AB79">
        <v>120</v>
      </c>
      <c r="AC79">
        <v>122</v>
      </c>
      <c r="AD79">
        <v>124</v>
      </c>
      <c r="AE79">
        <v>125</v>
      </c>
      <c r="AF79">
        <v>128</v>
      </c>
      <c r="AG79">
        <v>130</v>
      </c>
      <c r="AH79">
        <v>131</v>
      </c>
      <c r="AI79">
        <v>132</v>
      </c>
      <c r="AJ79">
        <v>135</v>
      </c>
      <c r="AK79">
        <v>135</v>
      </c>
      <c r="AL79">
        <v>135</v>
      </c>
      <c r="AM79">
        <v>135</v>
      </c>
      <c r="AN79">
        <v>135</v>
      </c>
      <c r="AO79">
        <v>136</v>
      </c>
      <c r="AP79">
        <v>136</v>
      </c>
      <c r="AQ79">
        <v>136</v>
      </c>
      <c r="AR79">
        <v>136</v>
      </c>
      <c r="AS79">
        <v>136</v>
      </c>
      <c r="AT79">
        <v>136</v>
      </c>
      <c r="AU79">
        <v>136</v>
      </c>
      <c r="AV79">
        <v>136</v>
      </c>
      <c r="AW79">
        <v>136</v>
      </c>
      <c r="AX79">
        <v>136</v>
      </c>
      <c r="AY79">
        <v>136</v>
      </c>
      <c r="AZ79">
        <v>136</v>
      </c>
      <c r="BA79">
        <v>136</v>
      </c>
      <c r="BB79">
        <v>136</v>
      </c>
      <c r="BC79">
        <v>136</v>
      </c>
      <c r="BD79">
        <v>136</v>
      </c>
      <c r="BE79">
        <v>136</v>
      </c>
      <c r="BF79">
        <v>136</v>
      </c>
      <c r="BG79">
        <v>136</v>
      </c>
      <c r="BH79">
        <v>136</v>
      </c>
      <c r="BI79">
        <v>136</v>
      </c>
      <c r="BJ79">
        <v>137</v>
      </c>
      <c r="BK79">
        <v>137</v>
      </c>
      <c r="BL79">
        <v>137</v>
      </c>
      <c r="BM79">
        <v>137</v>
      </c>
      <c r="BN79">
        <v>141</v>
      </c>
      <c r="BO79">
        <v>145</v>
      </c>
      <c r="BP79">
        <v>145</v>
      </c>
      <c r="BQ79">
        <v>151</v>
      </c>
      <c r="BR79">
        <v>155</v>
      </c>
      <c r="BS79">
        <v>161</v>
      </c>
      <c r="BT79">
        <v>166</v>
      </c>
      <c r="BU79">
        <v>174</v>
      </c>
      <c r="BV79">
        <v>174</v>
      </c>
      <c r="BW79">
        <v>176</v>
      </c>
      <c r="BX79">
        <v>176</v>
      </c>
      <c r="BY79">
        <v>180</v>
      </c>
      <c r="BZ79">
        <v>180</v>
      </c>
      <c r="CA79">
        <v>180</v>
      </c>
      <c r="CB79">
        <v>180</v>
      </c>
      <c r="CC79">
        <v>180</v>
      </c>
      <c r="CD79">
        <v>180</v>
      </c>
      <c r="CE79">
        <v>182</v>
      </c>
      <c r="CF79">
        <v>183</v>
      </c>
      <c r="CG79">
        <v>183</v>
      </c>
      <c r="CH79">
        <v>183</v>
      </c>
      <c r="CI79">
        <v>184</v>
      </c>
      <c r="CJ79">
        <v>185</v>
      </c>
      <c r="CK79">
        <v>185</v>
      </c>
      <c r="CL79">
        <v>186</v>
      </c>
      <c r="CM79">
        <v>189</v>
      </c>
      <c r="CN79">
        <v>189</v>
      </c>
      <c r="CO79">
        <v>189</v>
      </c>
      <c r="CP79">
        <v>189</v>
      </c>
      <c r="CQ79">
        <v>189</v>
      </c>
      <c r="CR79">
        <v>189</v>
      </c>
      <c r="CS79">
        <v>189</v>
      </c>
      <c r="CT79">
        <v>190</v>
      </c>
      <c r="CU79">
        <v>190</v>
      </c>
      <c r="CV79">
        <v>190</v>
      </c>
      <c r="CW79">
        <v>190</v>
      </c>
      <c r="CX79">
        <v>190</v>
      </c>
      <c r="CY79">
        <v>190</v>
      </c>
      <c r="CZ79">
        <v>190</v>
      </c>
      <c r="DA79">
        <v>190</v>
      </c>
      <c r="DB79">
        <v>190</v>
      </c>
    </row>
    <row r="80" spans="1:106" x14ac:dyDescent="0.25">
      <c r="A80" t="s">
        <v>31</v>
      </c>
      <c r="B80" t="s">
        <v>176</v>
      </c>
      <c r="C80">
        <v>31.692699999999999</v>
      </c>
      <c r="D80">
        <v>88.092399999999998</v>
      </c>
      <c r="E80">
        <v>0</v>
      </c>
      <c r="F80">
        <v>0</v>
      </c>
      <c r="G80">
        <v>0</v>
      </c>
      <c r="H80">
        <v>0</v>
      </c>
      <c r="I80">
        <v>0</v>
      </c>
      <c r="J80">
        <v>0</v>
      </c>
      <c r="K80">
        <v>0</v>
      </c>
      <c r="L80">
        <v>0</v>
      </c>
      <c r="M80">
        <v>1</v>
      </c>
      <c r="N80">
        <v>1</v>
      </c>
      <c r="O80">
        <v>1</v>
      </c>
      <c r="P80">
        <v>1</v>
      </c>
      <c r="Q80">
        <v>1</v>
      </c>
      <c r="R80">
        <v>1</v>
      </c>
      <c r="S80">
        <v>1</v>
      </c>
      <c r="T80">
        <v>1</v>
      </c>
      <c r="U80">
        <v>1</v>
      </c>
      <c r="V80">
        <v>1</v>
      </c>
      <c r="W80">
        <v>1</v>
      </c>
      <c r="X80">
        <v>1</v>
      </c>
      <c r="Y80">
        <v>1</v>
      </c>
      <c r="Z80">
        <v>1</v>
      </c>
      <c r="AA80">
        <v>1</v>
      </c>
      <c r="AB80">
        <v>1</v>
      </c>
      <c r="AC80">
        <v>1</v>
      </c>
      <c r="AD80">
        <v>1</v>
      </c>
      <c r="AE80">
        <v>1</v>
      </c>
      <c r="AF80">
        <v>1</v>
      </c>
      <c r="AG80">
        <v>1</v>
      </c>
      <c r="AH80">
        <v>1</v>
      </c>
      <c r="AI80">
        <v>1</v>
      </c>
      <c r="AJ80">
        <v>1</v>
      </c>
      <c r="AK80">
        <v>1</v>
      </c>
      <c r="AL80">
        <v>1</v>
      </c>
      <c r="AM80">
        <v>1</v>
      </c>
      <c r="AN80">
        <v>1</v>
      </c>
      <c r="AO80">
        <v>1</v>
      </c>
      <c r="AP80">
        <v>1</v>
      </c>
      <c r="AQ80">
        <v>1</v>
      </c>
      <c r="AR80">
        <v>1</v>
      </c>
      <c r="AS80">
        <v>1</v>
      </c>
      <c r="AT80">
        <v>1</v>
      </c>
      <c r="AU80">
        <v>1</v>
      </c>
      <c r="AV80">
        <v>1</v>
      </c>
      <c r="AW80">
        <v>1</v>
      </c>
      <c r="AX80">
        <v>1</v>
      </c>
      <c r="AY80">
        <v>1</v>
      </c>
      <c r="AZ80">
        <v>1</v>
      </c>
      <c r="BA80">
        <v>1</v>
      </c>
      <c r="BB80">
        <v>1</v>
      </c>
      <c r="BC80">
        <v>1</v>
      </c>
      <c r="BD80">
        <v>1</v>
      </c>
      <c r="BE80">
        <v>1</v>
      </c>
      <c r="BF80">
        <v>1</v>
      </c>
      <c r="BG80">
        <v>1</v>
      </c>
      <c r="BH80">
        <v>1</v>
      </c>
      <c r="BI80">
        <v>1</v>
      </c>
      <c r="BJ80">
        <v>1</v>
      </c>
      <c r="BK80">
        <v>1</v>
      </c>
      <c r="BL80">
        <v>1</v>
      </c>
      <c r="BM80">
        <v>1</v>
      </c>
      <c r="BN80">
        <v>1</v>
      </c>
      <c r="BO80">
        <v>1</v>
      </c>
      <c r="BP80">
        <v>1</v>
      </c>
      <c r="BQ80">
        <v>1</v>
      </c>
      <c r="BR80">
        <v>1</v>
      </c>
      <c r="BS80">
        <v>1</v>
      </c>
      <c r="BT80">
        <v>1</v>
      </c>
      <c r="BU80">
        <v>1</v>
      </c>
      <c r="BV80">
        <v>1</v>
      </c>
      <c r="BW80">
        <v>1</v>
      </c>
      <c r="BX80">
        <v>1</v>
      </c>
      <c r="BY80">
        <v>1</v>
      </c>
      <c r="BZ80">
        <v>1</v>
      </c>
      <c r="CA80">
        <v>1</v>
      </c>
      <c r="CB80">
        <v>1</v>
      </c>
      <c r="CC80">
        <v>1</v>
      </c>
      <c r="CD80">
        <v>1</v>
      </c>
      <c r="CE80">
        <v>1</v>
      </c>
      <c r="CF80">
        <v>1</v>
      </c>
      <c r="CG80">
        <v>1</v>
      </c>
      <c r="CH80">
        <v>1</v>
      </c>
      <c r="CI80">
        <v>1</v>
      </c>
      <c r="CJ80">
        <v>1</v>
      </c>
      <c r="CK80">
        <v>1</v>
      </c>
      <c r="CL80">
        <v>1</v>
      </c>
      <c r="CM80">
        <v>1</v>
      </c>
      <c r="CN80">
        <v>1</v>
      </c>
      <c r="CO80">
        <v>1</v>
      </c>
      <c r="CP80">
        <v>1</v>
      </c>
      <c r="CQ80">
        <v>1</v>
      </c>
      <c r="CR80">
        <v>1</v>
      </c>
      <c r="CS80">
        <v>1</v>
      </c>
      <c r="CT80">
        <v>1</v>
      </c>
      <c r="CU80">
        <v>1</v>
      </c>
      <c r="CV80">
        <v>1</v>
      </c>
      <c r="CW80">
        <v>1</v>
      </c>
      <c r="CX80">
        <v>1</v>
      </c>
      <c r="CY80">
        <v>1</v>
      </c>
      <c r="CZ80">
        <v>1</v>
      </c>
      <c r="DA80">
        <v>1</v>
      </c>
      <c r="DB80">
        <v>1</v>
      </c>
    </row>
    <row r="81" spans="1:106" x14ac:dyDescent="0.25">
      <c r="A81" t="s">
        <v>32</v>
      </c>
      <c r="B81" t="s">
        <v>176</v>
      </c>
      <c r="C81">
        <v>41.112900000000003</v>
      </c>
      <c r="D81">
        <v>85.240099999999998</v>
      </c>
      <c r="E81">
        <v>0</v>
      </c>
      <c r="F81">
        <v>2</v>
      </c>
      <c r="G81">
        <v>2</v>
      </c>
      <c r="H81">
        <v>3</v>
      </c>
      <c r="I81">
        <v>4</v>
      </c>
      <c r="J81">
        <v>5</v>
      </c>
      <c r="K81">
        <v>10</v>
      </c>
      <c r="L81">
        <v>13</v>
      </c>
      <c r="M81">
        <v>14</v>
      </c>
      <c r="N81">
        <v>17</v>
      </c>
      <c r="O81">
        <v>18</v>
      </c>
      <c r="P81">
        <v>21</v>
      </c>
      <c r="Q81">
        <v>24</v>
      </c>
      <c r="R81">
        <v>29</v>
      </c>
      <c r="S81">
        <v>32</v>
      </c>
      <c r="T81">
        <v>36</v>
      </c>
      <c r="U81">
        <v>39</v>
      </c>
      <c r="V81">
        <v>42</v>
      </c>
      <c r="W81">
        <v>45</v>
      </c>
      <c r="X81">
        <v>49</v>
      </c>
      <c r="Y81">
        <v>55</v>
      </c>
      <c r="Z81">
        <v>59</v>
      </c>
      <c r="AA81">
        <v>63</v>
      </c>
      <c r="AB81">
        <v>65</v>
      </c>
      <c r="AC81">
        <v>70</v>
      </c>
      <c r="AD81">
        <v>71</v>
      </c>
      <c r="AE81">
        <v>75</v>
      </c>
      <c r="AF81">
        <v>76</v>
      </c>
      <c r="AG81">
        <v>76</v>
      </c>
      <c r="AH81">
        <v>76</v>
      </c>
      <c r="AI81">
        <v>76</v>
      </c>
      <c r="AJ81">
        <v>76</v>
      </c>
      <c r="AK81">
        <v>76</v>
      </c>
      <c r="AL81">
        <v>76</v>
      </c>
      <c r="AM81">
        <v>76</v>
      </c>
      <c r="AN81">
        <v>76</v>
      </c>
      <c r="AO81">
        <v>76</v>
      </c>
      <c r="AP81">
        <v>76</v>
      </c>
      <c r="AQ81">
        <v>76</v>
      </c>
      <c r="AR81">
        <v>76</v>
      </c>
      <c r="AS81">
        <v>76</v>
      </c>
      <c r="AT81">
        <v>76</v>
      </c>
      <c r="AU81">
        <v>76</v>
      </c>
      <c r="AV81">
        <v>76</v>
      </c>
      <c r="AW81">
        <v>76</v>
      </c>
      <c r="AX81">
        <v>76</v>
      </c>
      <c r="AY81">
        <v>76</v>
      </c>
      <c r="AZ81">
        <v>76</v>
      </c>
      <c r="BA81">
        <v>76</v>
      </c>
      <c r="BB81">
        <v>76</v>
      </c>
      <c r="BC81">
        <v>76</v>
      </c>
      <c r="BD81">
        <v>76</v>
      </c>
      <c r="BE81">
        <v>76</v>
      </c>
      <c r="BF81">
        <v>76</v>
      </c>
      <c r="BG81">
        <v>76</v>
      </c>
      <c r="BH81">
        <v>76</v>
      </c>
      <c r="BI81">
        <v>76</v>
      </c>
      <c r="BJ81">
        <v>76</v>
      </c>
      <c r="BK81">
        <v>76</v>
      </c>
      <c r="BL81">
        <v>76</v>
      </c>
      <c r="BM81">
        <v>76</v>
      </c>
      <c r="BN81">
        <v>76</v>
      </c>
      <c r="BO81">
        <v>76</v>
      </c>
      <c r="BP81">
        <v>76</v>
      </c>
      <c r="BQ81">
        <v>76</v>
      </c>
      <c r="BR81">
        <v>76</v>
      </c>
      <c r="BS81">
        <v>76</v>
      </c>
      <c r="BT81">
        <v>76</v>
      </c>
      <c r="BU81">
        <v>76</v>
      </c>
      <c r="BV81">
        <v>76</v>
      </c>
      <c r="BW81">
        <v>76</v>
      </c>
      <c r="BX81">
        <v>76</v>
      </c>
      <c r="BY81">
        <v>76</v>
      </c>
      <c r="BZ81">
        <v>76</v>
      </c>
      <c r="CA81">
        <v>76</v>
      </c>
      <c r="CB81">
        <v>76</v>
      </c>
      <c r="CC81">
        <v>76</v>
      </c>
      <c r="CD81">
        <v>76</v>
      </c>
      <c r="CE81">
        <v>76</v>
      </c>
      <c r="CF81">
        <v>76</v>
      </c>
      <c r="CG81">
        <v>76</v>
      </c>
      <c r="CH81">
        <v>76</v>
      </c>
      <c r="CI81">
        <v>76</v>
      </c>
      <c r="CJ81">
        <v>76</v>
      </c>
      <c r="CK81">
        <v>76</v>
      </c>
      <c r="CL81">
        <v>76</v>
      </c>
      <c r="CM81">
        <v>76</v>
      </c>
      <c r="CN81">
        <v>76</v>
      </c>
      <c r="CO81">
        <v>76</v>
      </c>
      <c r="CP81">
        <v>76</v>
      </c>
      <c r="CQ81">
        <v>76</v>
      </c>
      <c r="CR81">
        <v>76</v>
      </c>
      <c r="CS81">
        <v>76</v>
      </c>
      <c r="CT81">
        <v>76</v>
      </c>
      <c r="CU81">
        <v>76</v>
      </c>
      <c r="CV81">
        <v>76</v>
      </c>
      <c r="CW81">
        <v>76</v>
      </c>
      <c r="CX81">
        <v>76</v>
      </c>
      <c r="CY81">
        <v>76</v>
      </c>
      <c r="CZ81">
        <v>76</v>
      </c>
      <c r="DA81">
        <v>76</v>
      </c>
      <c r="DB81">
        <v>76</v>
      </c>
    </row>
    <row r="82" spans="1:106" x14ac:dyDescent="0.25">
      <c r="A82" t="s">
        <v>33</v>
      </c>
      <c r="B82" t="s">
        <v>176</v>
      </c>
      <c r="C82">
        <v>24.974</v>
      </c>
      <c r="D82">
        <v>101.48700000000001</v>
      </c>
      <c r="E82">
        <v>1</v>
      </c>
      <c r="F82">
        <v>2</v>
      </c>
      <c r="G82">
        <v>5</v>
      </c>
      <c r="H82">
        <v>11</v>
      </c>
      <c r="I82">
        <v>16</v>
      </c>
      <c r="J82">
        <v>26</v>
      </c>
      <c r="K82">
        <v>44</v>
      </c>
      <c r="L82">
        <v>55</v>
      </c>
      <c r="M82">
        <v>70</v>
      </c>
      <c r="N82">
        <v>83</v>
      </c>
      <c r="O82">
        <v>93</v>
      </c>
      <c r="P82">
        <v>105</v>
      </c>
      <c r="Q82">
        <v>117</v>
      </c>
      <c r="R82">
        <v>122</v>
      </c>
      <c r="S82">
        <v>128</v>
      </c>
      <c r="T82">
        <v>133</v>
      </c>
      <c r="U82">
        <v>138</v>
      </c>
      <c r="V82">
        <v>138</v>
      </c>
      <c r="W82">
        <v>141</v>
      </c>
      <c r="X82">
        <v>149</v>
      </c>
      <c r="Y82">
        <v>153</v>
      </c>
      <c r="Z82">
        <v>154</v>
      </c>
      <c r="AA82">
        <v>156</v>
      </c>
      <c r="AB82">
        <v>162</v>
      </c>
      <c r="AC82">
        <v>168</v>
      </c>
      <c r="AD82">
        <v>171</v>
      </c>
      <c r="AE82">
        <v>171</v>
      </c>
      <c r="AF82">
        <v>172</v>
      </c>
      <c r="AG82">
        <v>172</v>
      </c>
      <c r="AH82">
        <v>174</v>
      </c>
      <c r="AI82">
        <v>174</v>
      </c>
      <c r="AJ82">
        <v>174</v>
      </c>
      <c r="AK82">
        <v>174</v>
      </c>
      <c r="AL82">
        <v>174</v>
      </c>
      <c r="AM82">
        <v>174</v>
      </c>
      <c r="AN82">
        <v>174</v>
      </c>
      <c r="AO82">
        <v>174</v>
      </c>
      <c r="AP82">
        <v>174</v>
      </c>
      <c r="AQ82">
        <v>174</v>
      </c>
      <c r="AR82">
        <v>174</v>
      </c>
      <c r="AS82">
        <v>174</v>
      </c>
      <c r="AT82">
        <v>174</v>
      </c>
      <c r="AU82">
        <v>174</v>
      </c>
      <c r="AV82">
        <v>174</v>
      </c>
      <c r="AW82">
        <v>174</v>
      </c>
      <c r="AX82">
        <v>174</v>
      </c>
      <c r="AY82">
        <v>174</v>
      </c>
      <c r="AZ82">
        <v>174</v>
      </c>
      <c r="BA82">
        <v>174</v>
      </c>
      <c r="BB82">
        <v>174</v>
      </c>
      <c r="BC82">
        <v>174</v>
      </c>
      <c r="BD82">
        <v>174</v>
      </c>
      <c r="BE82">
        <v>174</v>
      </c>
      <c r="BF82">
        <v>174</v>
      </c>
      <c r="BG82">
        <v>176</v>
      </c>
      <c r="BH82">
        <v>176</v>
      </c>
      <c r="BI82">
        <v>176</v>
      </c>
      <c r="BJ82">
        <v>176</v>
      </c>
      <c r="BK82">
        <v>176</v>
      </c>
      <c r="BL82">
        <v>176</v>
      </c>
      <c r="BM82">
        <v>176</v>
      </c>
      <c r="BN82">
        <v>176</v>
      </c>
      <c r="BO82">
        <v>176</v>
      </c>
      <c r="BP82">
        <v>176</v>
      </c>
      <c r="BQ82">
        <v>178</v>
      </c>
      <c r="BR82">
        <v>180</v>
      </c>
      <c r="BS82">
        <v>180</v>
      </c>
      <c r="BT82">
        <v>180</v>
      </c>
      <c r="BU82">
        <v>180</v>
      </c>
      <c r="BV82">
        <v>182</v>
      </c>
      <c r="BW82">
        <v>182</v>
      </c>
      <c r="BX82">
        <v>183</v>
      </c>
      <c r="BY82">
        <v>184</v>
      </c>
      <c r="BZ82">
        <v>184</v>
      </c>
      <c r="CA82">
        <v>184</v>
      </c>
      <c r="CB82">
        <v>184</v>
      </c>
      <c r="CC82">
        <v>184</v>
      </c>
      <c r="CD82">
        <v>184</v>
      </c>
      <c r="CE82">
        <v>184</v>
      </c>
      <c r="CF82">
        <v>184</v>
      </c>
      <c r="CG82">
        <v>184</v>
      </c>
      <c r="CH82">
        <v>184</v>
      </c>
      <c r="CI82">
        <v>184</v>
      </c>
      <c r="CJ82">
        <v>184</v>
      </c>
      <c r="CK82">
        <v>184</v>
      </c>
      <c r="CL82">
        <v>184</v>
      </c>
      <c r="CM82">
        <v>184</v>
      </c>
      <c r="CN82">
        <v>184</v>
      </c>
      <c r="CO82">
        <v>184</v>
      </c>
      <c r="CP82">
        <v>184</v>
      </c>
      <c r="CQ82">
        <v>184</v>
      </c>
      <c r="CR82">
        <v>184</v>
      </c>
      <c r="CS82">
        <v>184</v>
      </c>
      <c r="CT82">
        <v>185</v>
      </c>
      <c r="CU82">
        <v>185</v>
      </c>
      <c r="CV82">
        <v>185</v>
      </c>
      <c r="CW82">
        <v>185</v>
      </c>
      <c r="CX82">
        <v>185</v>
      </c>
      <c r="CY82">
        <v>185</v>
      </c>
      <c r="CZ82">
        <v>185</v>
      </c>
      <c r="DA82">
        <v>185</v>
      </c>
      <c r="DB82">
        <v>185</v>
      </c>
    </row>
    <row r="83" spans="1:106" x14ac:dyDescent="0.25">
      <c r="A83" t="s">
        <v>34</v>
      </c>
      <c r="B83" t="s">
        <v>176</v>
      </c>
      <c r="C83">
        <v>29.183199999999999</v>
      </c>
      <c r="D83">
        <v>120.0934</v>
      </c>
      <c r="E83">
        <v>10</v>
      </c>
      <c r="F83">
        <v>27</v>
      </c>
      <c r="G83">
        <v>43</v>
      </c>
      <c r="H83">
        <v>62</v>
      </c>
      <c r="I83">
        <v>104</v>
      </c>
      <c r="J83">
        <v>128</v>
      </c>
      <c r="K83">
        <v>173</v>
      </c>
      <c r="L83">
        <v>296</v>
      </c>
      <c r="M83">
        <v>428</v>
      </c>
      <c r="N83">
        <v>538</v>
      </c>
      <c r="O83">
        <v>599</v>
      </c>
      <c r="P83">
        <v>661</v>
      </c>
      <c r="Q83">
        <v>724</v>
      </c>
      <c r="R83">
        <v>829</v>
      </c>
      <c r="S83">
        <v>895</v>
      </c>
      <c r="T83">
        <v>954</v>
      </c>
      <c r="U83">
        <v>1006</v>
      </c>
      <c r="V83">
        <v>1048</v>
      </c>
      <c r="W83">
        <v>1075</v>
      </c>
      <c r="X83">
        <v>1092</v>
      </c>
      <c r="Y83">
        <v>1117</v>
      </c>
      <c r="Z83">
        <v>1131</v>
      </c>
      <c r="AA83">
        <v>1145</v>
      </c>
      <c r="AB83">
        <v>1155</v>
      </c>
      <c r="AC83">
        <v>1162</v>
      </c>
      <c r="AD83">
        <v>1167</v>
      </c>
      <c r="AE83">
        <v>1171</v>
      </c>
      <c r="AF83">
        <v>1172</v>
      </c>
      <c r="AG83">
        <v>1174</v>
      </c>
      <c r="AH83">
        <v>1175</v>
      </c>
      <c r="AI83">
        <v>1203</v>
      </c>
      <c r="AJ83">
        <v>1205</v>
      </c>
      <c r="AK83">
        <v>1205</v>
      </c>
      <c r="AL83">
        <v>1205</v>
      </c>
      <c r="AM83">
        <v>1205</v>
      </c>
      <c r="AN83">
        <v>1205</v>
      </c>
      <c r="AO83">
        <v>1205</v>
      </c>
      <c r="AP83">
        <v>1205</v>
      </c>
      <c r="AQ83">
        <v>1205</v>
      </c>
      <c r="AR83">
        <v>1205</v>
      </c>
      <c r="AS83">
        <v>1206</v>
      </c>
      <c r="AT83">
        <v>1213</v>
      </c>
      <c r="AU83">
        <v>1213</v>
      </c>
      <c r="AV83">
        <v>1215</v>
      </c>
      <c r="AW83">
        <v>1215</v>
      </c>
      <c r="AX83">
        <v>1215</v>
      </c>
      <c r="AY83">
        <v>1215</v>
      </c>
      <c r="AZ83">
        <v>1215</v>
      </c>
      <c r="BA83">
        <v>1215</v>
      </c>
      <c r="BB83">
        <v>1215</v>
      </c>
      <c r="BC83">
        <v>1215</v>
      </c>
      <c r="BD83">
        <v>1215</v>
      </c>
      <c r="BE83">
        <v>1227</v>
      </c>
      <c r="BF83">
        <v>1231</v>
      </c>
      <c r="BG83">
        <v>1231</v>
      </c>
      <c r="BH83">
        <v>1232</v>
      </c>
      <c r="BI83">
        <v>1232</v>
      </c>
      <c r="BJ83">
        <v>1233</v>
      </c>
      <c r="BK83">
        <v>1234</v>
      </c>
      <c r="BL83">
        <v>1236</v>
      </c>
      <c r="BM83">
        <v>1238</v>
      </c>
      <c r="BN83">
        <v>1238</v>
      </c>
      <c r="BO83">
        <v>1240</v>
      </c>
      <c r="BP83">
        <v>1241</v>
      </c>
      <c r="BQ83">
        <v>1243</v>
      </c>
      <c r="BR83">
        <v>1247</v>
      </c>
      <c r="BS83">
        <v>1251</v>
      </c>
      <c r="BT83">
        <v>1254</v>
      </c>
      <c r="BU83">
        <v>1255</v>
      </c>
      <c r="BV83">
        <v>1257</v>
      </c>
      <c r="BW83">
        <v>1257</v>
      </c>
      <c r="BX83">
        <v>1258</v>
      </c>
      <c r="BY83">
        <v>1260</v>
      </c>
      <c r="BZ83">
        <v>1262</v>
      </c>
      <c r="CA83">
        <v>1263</v>
      </c>
      <c r="CB83">
        <v>1264</v>
      </c>
      <c r="CC83">
        <v>1265</v>
      </c>
      <c r="CD83">
        <v>1266</v>
      </c>
      <c r="CE83">
        <v>1267</v>
      </c>
      <c r="CF83">
        <v>1267</v>
      </c>
      <c r="CG83">
        <v>1267</v>
      </c>
      <c r="CH83">
        <v>1267</v>
      </c>
      <c r="CI83">
        <v>1267</v>
      </c>
      <c r="CJ83">
        <v>1267</v>
      </c>
      <c r="CK83">
        <v>1268</v>
      </c>
      <c r="CL83">
        <v>1268</v>
      </c>
      <c r="CM83">
        <v>1268</v>
      </c>
      <c r="CN83">
        <v>1268</v>
      </c>
      <c r="CO83">
        <v>1268</v>
      </c>
      <c r="CP83">
        <v>1268</v>
      </c>
      <c r="CQ83">
        <v>1268</v>
      </c>
      <c r="CR83">
        <v>1268</v>
      </c>
      <c r="CS83">
        <v>1268</v>
      </c>
      <c r="CT83">
        <v>1268</v>
      </c>
      <c r="CU83">
        <v>1268</v>
      </c>
      <c r="CV83">
        <v>1268</v>
      </c>
      <c r="CW83">
        <v>1268</v>
      </c>
      <c r="CX83">
        <v>1268</v>
      </c>
      <c r="CY83">
        <v>1268</v>
      </c>
      <c r="CZ83">
        <v>1268</v>
      </c>
      <c r="DA83">
        <v>1268</v>
      </c>
      <c r="DB83">
        <v>1268</v>
      </c>
    </row>
    <row r="84" spans="1:106" x14ac:dyDescent="0.25">
      <c r="B84" t="s">
        <v>127</v>
      </c>
      <c r="C84">
        <v>4.5709</v>
      </c>
      <c r="D84">
        <v>-74.297300000000007</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1</v>
      </c>
      <c r="AX84">
        <v>1</v>
      </c>
      <c r="AY84">
        <v>1</v>
      </c>
      <c r="AZ84">
        <v>1</v>
      </c>
      <c r="BA84">
        <v>3</v>
      </c>
      <c r="BB84">
        <v>9</v>
      </c>
      <c r="BC84">
        <v>9</v>
      </c>
      <c r="BD84">
        <v>13</v>
      </c>
      <c r="BE84">
        <v>22</v>
      </c>
      <c r="BF84">
        <v>34</v>
      </c>
      <c r="BG84">
        <v>54</v>
      </c>
      <c r="BH84">
        <v>65</v>
      </c>
      <c r="BI84">
        <v>93</v>
      </c>
      <c r="BJ84">
        <v>102</v>
      </c>
      <c r="BK84">
        <v>128</v>
      </c>
      <c r="BL84">
        <v>196</v>
      </c>
      <c r="BM84">
        <v>231</v>
      </c>
      <c r="BN84">
        <v>277</v>
      </c>
      <c r="BO84">
        <v>378</v>
      </c>
      <c r="BP84">
        <v>470</v>
      </c>
      <c r="BQ84">
        <v>491</v>
      </c>
      <c r="BR84">
        <v>539</v>
      </c>
      <c r="BS84">
        <v>608</v>
      </c>
      <c r="BT84">
        <v>702</v>
      </c>
      <c r="BU84">
        <v>798</v>
      </c>
      <c r="BV84">
        <v>906</v>
      </c>
      <c r="BW84">
        <v>1065</v>
      </c>
      <c r="BX84">
        <v>1161</v>
      </c>
      <c r="BY84">
        <v>1267</v>
      </c>
      <c r="BZ84">
        <v>1406</v>
      </c>
      <c r="CA84">
        <v>1485</v>
      </c>
      <c r="CB84">
        <v>1579</v>
      </c>
      <c r="CC84">
        <v>1780</v>
      </c>
      <c r="CD84">
        <v>2054</v>
      </c>
      <c r="CE84">
        <v>2223</v>
      </c>
      <c r="CF84">
        <v>2473</v>
      </c>
      <c r="CG84">
        <v>2709</v>
      </c>
      <c r="CH84">
        <v>2776</v>
      </c>
      <c r="CI84">
        <v>2852</v>
      </c>
      <c r="CJ84">
        <v>2979</v>
      </c>
      <c r="CK84">
        <v>3105</v>
      </c>
      <c r="CL84">
        <v>3233</v>
      </c>
      <c r="CM84">
        <v>3439</v>
      </c>
      <c r="CN84">
        <v>3439</v>
      </c>
      <c r="CO84">
        <v>3792</v>
      </c>
      <c r="CP84">
        <v>3977</v>
      </c>
      <c r="CQ84">
        <v>4149</v>
      </c>
      <c r="CR84">
        <v>4356</v>
      </c>
      <c r="CS84">
        <v>4561</v>
      </c>
      <c r="CT84">
        <v>4881</v>
      </c>
      <c r="CU84">
        <v>5142</v>
      </c>
      <c r="CV84">
        <v>5379</v>
      </c>
      <c r="CW84">
        <v>5597</v>
      </c>
      <c r="CX84">
        <v>5949</v>
      </c>
      <c r="CY84">
        <v>6207</v>
      </c>
      <c r="CZ84">
        <v>6507</v>
      </c>
      <c r="DA84">
        <v>7006</v>
      </c>
      <c r="DB84">
        <v>7285</v>
      </c>
    </row>
    <row r="85" spans="1:106" x14ac:dyDescent="0.25">
      <c r="B85" t="s">
        <v>491</v>
      </c>
      <c r="C85">
        <v>-4.0382999999999996</v>
      </c>
      <c r="D85">
        <v>21.758700000000001</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1</v>
      </c>
      <c r="BG85">
        <v>1</v>
      </c>
      <c r="BH85">
        <v>1</v>
      </c>
      <c r="BI85">
        <v>1</v>
      </c>
      <c r="BJ85">
        <v>3</v>
      </c>
      <c r="BK85">
        <v>3</v>
      </c>
      <c r="BL85">
        <v>3</v>
      </c>
      <c r="BM85">
        <v>3</v>
      </c>
      <c r="BN85">
        <v>4</v>
      </c>
      <c r="BO85">
        <v>4</v>
      </c>
      <c r="BP85">
        <v>4</v>
      </c>
      <c r="BQ85">
        <v>4</v>
      </c>
      <c r="BR85">
        <v>4</v>
      </c>
      <c r="BS85">
        <v>4</v>
      </c>
      <c r="BT85">
        <v>19</v>
      </c>
      <c r="BU85">
        <v>19</v>
      </c>
      <c r="BV85">
        <v>19</v>
      </c>
      <c r="BW85">
        <v>19</v>
      </c>
      <c r="BX85">
        <v>22</v>
      </c>
      <c r="BY85">
        <v>22</v>
      </c>
      <c r="BZ85">
        <v>22</v>
      </c>
      <c r="CA85">
        <v>45</v>
      </c>
      <c r="CB85">
        <v>45</v>
      </c>
      <c r="CC85">
        <v>45</v>
      </c>
      <c r="CD85">
        <v>45</v>
      </c>
      <c r="CE85">
        <v>60</v>
      </c>
      <c r="CF85">
        <v>60</v>
      </c>
      <c r="CG85">
        <v>60</v>
      </c>
      <c r="CH85">
        <v>60</v>
      </c>
      <c r="CI85">
        <v>60</v>
      </c>
      <c r="CJ85">
        <v>60</v>
      </c>
      <c r="CK85">
        <v>117</v>
      </c>
      <c r="CL85">
        <v>117</v>
      </c>
      <c r="CM85">
        <v>143</v>
      </c>
      <c r="CN85">
        <v>143</v>
      </c>
      <c r="CO85">
        <v>143</v>
      </c>
      <c r="CP85">
        <v>160</v>
      </c>
      <c r="CQ85">
        <v>165</v>
      </c>
      <c r="CR85">
        <v>186</v>
      </c>
      <c r="CS85">
        <v>186</v>
      </c>
      <c r="CT85">
        <v>200</v>
      </c>
      <c r="CU85">
        <v>200</v>
      </c>
      <c r="CV85">
        <v>200</v>
      </c>
      <c r="CW85">
        <v>200</v>
      </c>
      <c r="CX85">
        <v>207</v>
      </c>
      <c r="CY85">
        <v>207</v>
      </c>
      <c r="CZ85">
        <v>220</v>
      </c>
      <c r="DA85">
        <v>229</v>
      </c>
      <c r="DB85">
        <v>229</v>
      </c>
    </row>
    <row r="86" spans="1:106" x14ac:dyDescent="0.25">
      <c r="B86" t="s">
        <v>182</v>
      </c>
      <c r="C86">
        <v>-4.0382999999999996</v>
      </c>
      <c r="D86">
        <v>21.758700000000001</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1</v>
      </c>
      <c r="BC86">
        <v>1</v>
      </c>
      <c r="BD86">
        <v>2</v>
      </c>
      <c r="BE86">
        <v>2</v>
      </c>
      <c r="BF86">
        <v>2</v>
      </c>
      <c r="BG86">
        <v>2</v>
      </c>
      <c r="BH86">
        <v>3</v>
      </c>
      <c r="BI86">
        <v>4</v>
      </c>
      <c r="BJ86">
        <v>14</v>
      </c>
      <c r="BK86">
        <v>18</v>
      </c>
      <c r="BL86">
        <v>23</v>
      </c>
      <c r="BM86">
        <v>30</v>
      </c>
      <c r="BN86">
        <v>36</v>
      </c>
      <c r="BO86">
        <v>45</v>
      </c>
      <c r="BP86">
        <v>48</v>
      </c>
      <c r="BQ86">
        <v>51</v>
      </c>
      <c r="BR86">
        <v>51</v>
      </c>
      <c r="BS86">
        <v>65</v>
      </c>
      <c r="BT86">
        <v>65</v>
      </c>
      <c r="BU86">
        <v>81</v>
      </c>
      <c r="BV86">
        <v>98</v>
      </c>
      <c r="BW86">
        <v>109</v>
      </c>
      <c r="BX86">
        <v>134</v>
      </c>
      <c r="BY86">
        <v>134</v>
      </c>
      <c r="BZ86">
        <v>154</v>
      </c>
      <c r="CA86">
        <v>154</v>
      </c>
      <c r="CB86">
        <v>161</v>
      </c>
      <c r="CC86">
        <v>180</v>
      </c>
      <c r="CD86">
        <v>180</v>
      </c>
      <c r="CE86">
        <v>180</v>
      </c>
      <c r="CF86">
        <v>215</v>
      </c>
      <c r="CG86">
        <v>223</v>
      </c>
      <c r="CH86">
        <v>234</v>
      </c>
      <c r="CI86">
        <v>235</v>
      </c>
      <c r="CJ86">
        <v>241</v>
      </c>
      <c r="CK86">
        <v>254</v>
      </c>
      <c r="CL86">
        <v>267</v>
      </c>
      <c r="CM86">
        <v>287</v>
      </c>
      <c r="CN86">
        <v>307</v>
      </c>
      <c r="CO86">
        <v>327</v>
      </c>
      <c r="CP86">
        <v>332</v>
      </c>
      <c r="CQ86">
        <v>350</v>
      </c>
      <c r="CR86">
        <v>359</v>
      </c>
      <c r="CS86">
        <v>377</v>
      </c>
      <c r="CT86">
        <v>394</v>
      </c>
      <c r="CU86">
        <v>416</v>
      </c>
      <c r="CV86">
        <v>442</v>
      </c>
      <c r="CW86">
        <v>459</v>
      </c>
      <c r="CX86">
        <v>471</v>
      </c>
      <c r="CY86">
        <v>491</v>
      </c>
      <c r="CZ86">
        <v>572</v>
      </c>
      <c r="DA86">
        <v>604</v>
      </c>
      <c r="DB86">
        <v>674</v>
      </c>
    </row>
    <row r="87" spans="1:106" x14ac:dyDescent="0.25">
      <c r="B87" t="s">
        <v>128</v>
      </c>
      <c r="C87">
        <v>9.7489000000000008</v>
      </c>
      <c r="D87">
        <v>-83.753399999999999</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1</v>
      </c>
      <c r="AX87">
        <v>1</v>
      </c>
      <c r="AY87">
        <v>5</v>
      </c>
      <c r="AZ87">
        <v>9</v>
      </c>
      <c r="BA87">
        <v>9</v>
      </c>
      <c r="BB87">
        <v>13</v>
      </c>
      <c r="BC87">
        <v>22</v>
      </c>
      <c r="BD87">
        <v>23</v>
      </c>
      <c r="BE87">
        <v>26</v>
      </c>
      <c r="BF87">
        <v>27</v>
      </c>
      <c r="BG87">
        <v>35</v>
      </c>
      <c r="BH87">
        <v>41</v>
      </c>
      <c r="BI87">
        <v>50</v>
      </c>
      <c r="BJ87">
        <v>69</v>
      </c>
      <c r="BK87">
        <v>89</v>
      </c>
      <c r="BL87">
        <v>117</v>
      </c>
      <c r="BM87">
        <v>134</v>
      </c>
      <c r="BN87">
        <v>158</v>
      </c>
      <c r="BO87">
        <v>177</v>
      </c>
      <c r="BP87">
        <v>201</v>
      </c>
      <c r="BQ87">
        <v>231</v>
      </c>
      <c r="BR87">
        <v>263</v>
      </c>
      <c r="BS87">
        <v>295</v>
      </c>
      <c r="BT87">
        <v>314</v>
      </c>
      <c r="BU87">
        <v>330</v>
      </c>
      <c r="BV87">
        <v>347</v>
      </c>
      <c r="BW87">
        <v>375</v>
      </c>
      <c r="BX87">
        <v>396</v>
      </c>
      <c r="BY87">
        <v>416</v>
      </c>
      <c r="BZ87">
        <v>435</v>
      </c>
      <c r="CA87">
        <v>454</v>
      </c>
      <c r="CB87">
        <v>467</v>
      </c>
      <c r="CC87">
        <v>483</v>
      </c>
      <c r="CD87">
        <v>502</v>
      </c>
      <c r="CE87">
        <v>539</v>
      </c>
      <c r="CF87">
        <v>558</v>
      </c>
      <c r="CG87">
        <v>577</v>
      </c>
      <c r="CH87">
        <v>595</v>
      </c>
      <c r="CI87">
        <v>612</v>
      </c>
      <c r="CJ87">
        <v>618</v>
      </c>
      <c r="CK87">
        <v>626</v>
      </c>
      <c r="CL87">
        <v>642</v>
      </c>
      <c r="CM87">
        <v>649</v>
      </c>
      <c r="CN87">
        <v>655</v>
      </c>
      <c r="CO87">
        <v>660</v>
      </c>
      <c r="CP87">
        <v>662</v>
      </c>
      <c r="CQ87">
        <v>669</v>
      </c>
      <c r="CR87">
        <v>681</v>
      </c>
      <c r="CS87">
        <v>686</v>
      </c>
      <c r="CT87">
        <v>687</v>
      </c>
      <c r="CU87">
        <v>693</v>
      </c>
      <c r="CV87">
        <v>695</v>
      </c>
      <c r="CW87">
        <v>697</v>
      </c>
      <c r="CX87">
        <v>705</v>
      </c>
      <c r="CY87">
        <v>713</v>
      </c>
      <c r="CZ87">
        <v>719</v>
      </c>
      <c r="DA87">
        <v>725</v>
      </c>
      <c r="DB87">
        <v>733</v>
      </c>
    </row>
    <row r="88" spans="1:106" x14ac:dyDescent="0.25">
      <c r="B88" t="s">
        <v>183</v>
      </c>
      <c r="C88">
        <v>7.54</v>
      </c>
      <c r="D88">
        <v>-5.5471000000000004</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1</v>
      </c>
      <c r="BC88">
        <v>1</v>
      </c>
      <c r="BD88">
        <v>1</v>
      </c>
      <c r="BE88">
        <v>1</v>
      </c>
      <c r="BF88">
        <v>1</v>
      </c>
      <c r="BG88">
        <v>1</v>
      </c>
      <c r="BH88">
        <v>5</v>
      </c>
      <c r="BI88">
        <v>6</v>
      </c>
      <c r="BJ88">
        <v>9</v>
      </c>
      <c r="BK88">
        <v>9</v>
      </c>
      <c r="BL88">
        <v>14</v>
      </c>
      <c r="BM88">
        <v>14</v>
      </c>
      <c r="BN88">
        <v>25</v>
      </c>
      <c r="BO88">
        <v>73</v>
      </c>
      <c r="BP88">
        <v>80</v>
      </c>
      <c r="BQ88">
        <v>96</v>
      </c>
      <c r="BR88">
        <v>101</v>
      </c>
      <c r="BS88">
        <v>101</v>
      </c>
      <c r="BT88">
        <v>165</v>
      </c>
      <c r="BU88">
        <v>168</v>
      </c>
      <c r="BV88">
        <v>179</v>
      </c>
      <c r="BW88">
        <v>190</v>
      </c>
      <c r="BX88">
        <v>194</v>
      </c>
      <c r="BY88">
        <v>218</v>
      </c>
      <c r="BZ88">
        <v>245</v>
      </c>
      <c r="CA88">
        <v>261</v>
      </c>
      <c r="CB88">
        <v>323</v>
      </c>
      <c r="CC88">
        <v>349</v>
      </c>
      <c r="CD88">
        <v>384</v>
      </c>
      <c r="CE88">
        <v>444</v>
      </c>
      <c r="CF88">
        <v>444</v>
      </c>
      <c r="CG88">
        <v>533</v>
      </c>
      <c r="CH88">
        <v>574</v>
      </c>
      <c r="CI88">
        <v>626</v>
      </c>
      <c r="CJ88">
        <v>638</v>
      </c>
      <c r="CK88">
        <v>638</v>
      </c>
      <c r="CL88">
        <v>654</v>
      </c>
      <c r="CM88">
        <v>688</v>
      </c>
      <c r="CN88">
        <v>801</v>
      </c>
      <c r="CO88">
        <v>847</v>
      </c>
      <c r="CP88">
        <v>847</v>
      </c>
      <c r="CQ88">
        <v>916</v>
      </c>
      <c r="CR88">
        <v>952</v>
      </c>
      <c r="CS88">
        <v>1004</v>
      </c>
      <c r="CT88">
        <v>1077</v>
      </c>
      <c r="CU88">
        <v>1077</v>
      </c>
      <c r="CV88">
        <v>1150</v>
      </c>
      <c r="CW88">
        <v>1164</v>
      </c>
      <c r="CX88">
        <v>1183</v>
      </c>
      <c r="CY88">
        <v>1238</v>
      </c>
      <c r="CZ88">
        <v>1275</v>
      </c>
      <c r="DA88">
        <v>1333</v>
      </c>
      <c r="DB88">
        <v>1362</v>
      </c>
    </row>
    <row r="89" spans="1:106" x14ac:dyDescent="0.25">
      <c r="B89" t="s">
        <v>74</v>
      </c>
      <c r="C89">
        <v>45.1</v>
      </c>
      <c r="D89">
        <v>15.2</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1</v>
      </c>
      <c r="AN89">
        <v>3</v>
      </c>
      <c r="AO89">
        <v>3</v>
      </c>
      <c r="AP89">
        <v>5</v>
      </c>
      <c r="AQ89">
        <v>6</v>
      </c>
      <c r="AR89">
        <v>7</v>
      </c>
      <c r="AS89">
        <v>7</v>
      </c>
      <c r="AT89">
        <v>9</v>
      </c>
      <c r="AU89">
        <v>10</v>
      </c>
      <c r="AV89">
        <v>10</v>
      </c>
      <c r="AW89">
        <v>11</v>
      </c>
      <c r="AX89">
        <v>12</v>
      </c>
      <c r="AY89">
        <v>12</v>
      </c>
      <c r="AZ89">
        <v>12</v>
      </c>
      <c r="BA89">
        <v>14</v>
      </c>
      <c r="BB89">
        <v>19</v>
      </c>
      <c r="BC89">
        <v>19</v>
      </c>
      <c r="BD89">
        <v>32</v>
      </c>
      <c r="BE89">
        <v>38</v>
      </c>
      <c r="BF89">
        <v>49</v>
      </c>
      <c r="BG89">
        <v>57</v>
      </c>
      <c r="BH89">
        <v>65</v>
      </c>
      <c r="BI89">
        <v>81</v>
      </c>
      <c r="BJ89">
        <v>105</v>
      </c>
      <c r="BK89">
        <v>128</v>
      </c>
      <c r="BL89">
        <v>206</v>
      </c>
      <c r="BM89">
        <v>254</v>
      </c>
      <c r="BN89">
        <v>315</v>
      </c>
      <c r="BO89">
        <v>382</v>
      </c>
      <c r="BP89">
        <v>442</v>
      </c>
      <c r="BQ89">
        <v>495</v>
      </c>
      <c r="BR89">
        <v>586</v>
      </c>
      <c r="BS89">
        <v>657</v>
      </c>
      <c r="BT89">
        <v>713</v>
      </c>
      <c r="BU89">
        <v>790</v>
      </c>
      <c r="BV89">
        <v>867</v>
      </c>
      <c r="BW89">
        <v>963</v>
      </c>
      <c r="BX89">
        <v>1011</v>
      </c>
      <c r="BY89">
        <v>1079</v>
      </c>
      <c r="BZ89">
        <v>1126</v>
      </c>
      <c r="CA89">
        <v>1182</v>
      </c>
      <c r="CB89">
        <v>1222</v>
      </c>
      <c r="CC89">
        <v>1282</v>
      </c>
      <c r="CD89">
        <v>1343</v>
      </c>
      <c r="CE89">
        <v>1407</v>
      </c>
      <c r="CF89">
        <v>1495</v>
      </c>
      <c r="CG89">
        <v>1534</v>
      </c>
      <c r="CH89">
        <v>1600</v>
      </c>
      <c r="CI89">
        <v>1650</v>
      </c>
      <c r="CJ89">
        <v>1704</v>
      </c>
      <c r="CK89">
        <v>1741</v>
      </c>
      <c r="CL89">
        <v>1791</v>
      </c>
      <c r="CM89">
        <v>1814</v>
      </c>
      <c r="CN89">
        <v>1832</v>
      </c>
      <c r="CO89">
        <v>1871</v>
      </c>
      <c r="CP89">
        <v>1881</v>
      </c>
      <c r="CQ89">
        <v>1908</v>
      </c>
      <c r="CR89">
        <v>1950</v>
      </c>
      <c r="CS89">
        <v>1981</v>
      </c>
      <c r="CT89">
        <v>2009</v>
      </c>
      <c r="CU89">
        <v>2016</v>
      </c>
      <c r="CV89">
        <v>2030</v>
      </c>
      <c r="CW89">
        <v>2039</v>
      </c>
      <c r="CX89">
        <v>2047</v>
      </c>
      <c r="CY89">
        <v>2062</v>
      </c>
      <c r="CZ89">
        <v>2076</v>
      </c>
      <c r="DA89">
        <v>2085</v>
      </c>
      <c r="DB89">
        <v>2088</v>
      </c>
    </row>
    <row r="90" spans="1:106" x14ac:dyDescent="0.25">
      <c r="B90" t="s">
        <v>147</v>
      </c>
      <c r="C90">
        <v>0</v>
      </c>
      <c r="D90">
        <v>0</v>
      </c>
      <c r="E90">
        <v>0</v>
      </c>
      <c r="F90">
        <v>0</v>
      </c>
      <c r="G90">
        <v>0</v>
      </c>
      <c r="H90">
        <v>0</v>
      </c>
      <c r="I90">
        <v>0</v>
      </c>
      <c r="J90">
        <v>0</v>
      </c>
      <c r="K90">
        <v>0</v>
      </c>
      <c r="L90">
        <v>0</v>
      </c>
      <c r="M90">
        <v>0</v>
      </c>
      <c r="N90">
        <v>0</v>
      </c>
      <c r="O90">
        <v>0</v>
      </c>
      <c r="P90">
        <v>0</v>
      </c>
      <c r="Q90">
        <v>0</v>
      </c>
      <c r="R90">
        <v>0</v>
      </c>
      <c r="S90">
        <v>0</v>
      </c>
      <c r="T90">
        <v>0</v>
      </c>
      <c r="U90">
        <v>61</v>
      </c>
      <c r="V90">
        <v>61</v>
      </c>
      <c r="W90">
        <v>64</v>
      </c>
      <c r="X90">
        <v>135</v>
      </c>
      <c r="Y90">
        <v>135</v>
      </c>
      <c r="Z90">
        <v>175</v>
      </c>
      <c r="AA90">
        <v>175</v>
      </c>
      <c r="AB90">
        <v>218</v>
      </c>
      <c r="AC90">
        <v>285</v>
      </c>
      <c r="AD90">
        <v>355</v>
      </c>
      <c r="AE90">
        <v>454</v>
      </c>
      <c r="AF90">
        <v>542</v>
      </c>
      <c r="AG90">
        <v>621</v>
      </c>
      <c r="AH90">
        <v>634</v>
      </c>
      <c r="AI90">
        <v>634</v>
      </c>
      <c r="AJ90">
        <v>634</v>
      </c>
      <c r="AK90">
        <v>691</v>
      </c>
      <c r="AL90">
        <v>691</v>
      </c>
      <c r="AM90">
        <v>691</v>
      </c>
      <c r="AN90">
        <v>705</v>
      </c>
      <c r="AO90">
        <v>705</v>
      </c>
      <c r="AP90">
        <v>705</v>
      </c>
      <c r="AQ90">
        <v>705</v>
      </c>
      <c r="AR90">
        <v>705</v>
      </c>
      <c r="AS90">
        <v>705</v>
      </c>
      <c r="AT90">
        <v>706</v>
      </c>
      <c r="AU90">
        <v>706</v>
      </c>
      <c r="AV90">
        <v>706</v>
      </c>
      <c r="AW90">
        <v>706</v>
      </c>
      <c r="AX90">
        <v>706</v>
      </c>
      <c r="AY90">
        <v>706</v>
      </c>
      <c r="AZ90">
        <v>706</v>
      </c>
      <c r="BA90">
        <v>706</v>
      </c>
      <c r="BB90">
        <v>706</v>
      </c>
      <c r="BC90">
        <v>706</v>
      </c>
      <c r="BD90">
        <v>706</v>
      </c>
      <c r="BE90">
        <v>706</v>
      </c>
      <c r="BF90">
        <v>706</v>
      </c>
      <c r="BG90">
        <v>706</v>
      </c>
      <c r="BH90">
        <v>706</v>
      </c>
      <c r="BI90">
        <v>712</v>
      </c>
      <c r="BJ90">
        <v>712</v>
      </c>
      <c r="BK90">
        <v>712</v>
      </c>
      <c r="BL90">
        <v>712</v>
      </c>
      <c r="BM90">
        <v>712</v>
      </c>
      <c r="BN90">
        <v>712</v>
      </c>
      <c r="BO90">
        <v>712</v>
      </c>
      <c r="BP90">
        <v>712</v>
      </c>
      <c r="BQ90">
        <v>712</v>
      </c>
      <c r="BR90">
        <v>712</v>
      </c>
      <c r="BS90">
        <v>712</v>
      </c>
      <c r="BT90">
        <v>712</v>
      </c>
      <c r="BU90">
        <v>712</v>
      </c>
      <c r="BV90">
        <v>712</v>
      </c>
      <c r="BW90">
        <v>712</v>
      </c>
      <c r="BX90">
        <v>712</v>
      </c>
      <c r="BY90">
        <v>712</v>
      </c>
      <c r="BZ90">
        <v>712</v>
      </c>
      <c r="CA90">
        <v>712</v>
      </c>
      <c r="CB90">
        <v>712</v>
      </c>
      <c r="CC90">
        <v>712</v>
      </c>
      <c r="CD90">
        <v>712</v>
      </c>
      <c r="CE90">
        <v>712</v>
      </c>
      <c r="CF90">
        <v>712</v>
      </c>
      <c r="CG90">
        <v>712</v>
      </c>
      <c r="CH90">
        <v>712</v>
      </c>
      <c r="CI90">
        <v>712</v>
      </c>
      <c r="CJ90">
        <v>712</v>
      </c>
      <c r="CK90">
        <v>712</v>
      </c>
      <c r="CL90">
        <v>712</v>
      </c>
      <c r="CM90">
        <v>712</v>
      </c>
      <c r="CN90">
        <v>712</v>
      </c>
      <c r="CO90">
        <v>712</v>
      </c>
      <c r="CP90">
        <v>712</v>
      </c>
      <c r="CQ90">
        <v>712</v>
      </c>
      <c r="CR90">
        <v>712</v>
      </c>
      <c r="CS90">
        <v>712</v>
      </c>
      <c r="CT90">
        <v>712</v>
      </c>
      <c r="CU90">
        <v>712</v>
      </c>
      <c r="CV90">
        <v>712</v>
      </c>
      <c r="CW90">
        <v>712</v>
      </c>
      <c r="CX90">
        <v>712</v>
      </c>
      <c r="CY90">
        <v>712</v>
      </c>
      <c r="CZ90">
        <v>712</v>
      </c>
      <c r="DA90">
        <v>712</v>
      </c>
      <c r="DB90">
        <v>712</v>
      </c>
    </row>
    <row r="91" spans="1:106" x14ac:dyDescent="0.25">
      <c r="B91" t="s">
        <v>194</v>
      </c>
      <c r="C91">
        <v>22</v>
      </c>
      <c r="D91">
        <v>-80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3</v>
      </c>
      <c r="BD91">
        <v>4</v>
      </c>
      <c r="BE91">
        <v>4</v>
      </c>
      <c r="BF91">
        <v>4</v>
      </c>
      <c r="BG91">
        <v>4</v>
      </c>
      <c r="BH91">
        <v>5</v>
      </c>
      <c r="BI91">
        <v>7</v>
      </c>
      <c r="BJ91">
        <v>11</v>
      </c>
      <c r="BK91">
        <v>16</v>
      </c>
      <c r="BL91">
        <v>21</v>
      </c>
      <c r="BM91">
        <v>35</v>
      </c>
      <c r="BN91">
        <v>40</v>
      </c>
      <c r="BO91">
        <v>48</v>
      </c>
      <c r="BP91">
        <v>57</v>
      </c>
      <c r="BQ91">
        <v>67</v>
      </c>
      <c r="BR91">
        <v>80</v>
      </c>
      <c r="BS91">
        <v>119</v>
      </c>
      <c r="BT91">
        <v>139</v>
      </c>
      <c r="BU91">
        <v>170</v>
      </c>
      <c r="BV91">
        <v>186</v>
      </c>
      <c r="BW91">
        <v>212</v>
      </c>
      <c r="BX91">
        <v>233</v>
      </c>
      <c r="BY91">
        <v>269</v>
      </c>
      <c r="BZ91">
        <v>288</v>
      </c>
      <c r="CA91">
        <v>320</v>
      </c>
      <c r="CB91">
        <v>350</v>
      </c>
      <c r="CC91">
        <v>396</v>
      </c>
      <c r="CD91">
        <v>457</v>
      </c>
      <c r="CE91">
        <v>515</v>
      </c>
      <c r="CF91">
        <v>564</v>
      </c>
      <c r="CG91">
        <v>620</v>
      </c>
      <c r="CH91">
        <v>669</v>
      </c>
      <c r="CI91">
        <v>726</v>
      </c>
      <c r="CJ91">
        <v>766</v>
      </c>
      <c r="CK91">
        <v>814</v>
      </c>
      <c r="CL91">
        <v>862</v>
      </c>
      <c r="CM91">
        <v>923</v>
      </c>
      <c r="CN91">
        <v>986</v>
      </c>
      <c r="CO91">
        <v>1035</v>
      </c>
      <c r="CP91">
        <v>1087</v>
      </c>
      <c r="CQ91">
        <v>1137</v>
      </c>
      <c r="CR91">
        <v>1189</v>
      </c>
      <c r="CS91">
        <v>1235</v>
      </c>
      <c r="CT91">
        <v>1285</v>
      </c>
      <c r="CU91">
        <v>1337</v>
      </c>
      <c r="CV91">
        <v>1369</v>
      </c>
      <c r="CW91">
        <v>1389</v>
      </c>
      <c r="CX91">
        <v>1437</v>
      </c>
      <c r="CY91">
        <v>1467</v>
      </c>
      <c r="CZ91">
        <v>1501</v>
      </c>
      <c r="DA91">
        <v>1537</v>
      </c>
      <c r="DB91">
        <v>1611</v>
      </c>
    </row>
    <row r="92" spans="1:106" x14ac:dyDescent="0.25">
      <c r="B92" t="s">
        <v>145</v>
      </c>
      <c r="C92">
        <v>35.126399999999997</v>
      </c>
      <c r="D92">
        <v>33.429900000000004</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2</v>
      </c>
      <c r="BA92">
        <v>3</v>
      </c>
      <c r="BB92">
        <v>6</v>
      </c>
      <c r="BC92">
        <v>6</v>
      </c>
      <c r="BD92">
        <v>14</v>
      </c>
      <c r="BE92">
        <v>26</v>
      </c>
      <c r="BF92">
        <v>26</v>
      </c>
      <c r="BG92">
        <v>33</v>
      </c>
      <c r="BH92">
        <v>46</v>
      </c>
      <c r="BI92">
        <v>49</v>
      </c>
      <c r="BJ92">
        <v>67</v>
      </c>
      <c r="BK92">
        <v>67</v>
      </c>
      <c r="BL92">
        <v>84</v>
      </c>
      <c r="BM92">
        <v>95</v>
      </c>
      <c r="BN92">
        <v>116</v>
      </c>
      <c r="BO92">
        <v>124</v>
      </c>
      <c r="BP92">
        <v>132</v>
      </c>
      <c r="BQ92">
        <v>146</v>
      </c>
      <c r="BR92">
        <v>162</v>
      </c>
      <c r="BS92">
        <v>179</v>
      </c>
      <c r="BT92">
        <v>214</v>
      </c>
      <c r="BU92">
        <v>230</v>
      </c>
      <c r="BV92">
        <v>262</v>
      </c>
      <c r="BW92">
        <v>320</v>
      </c>
      <c r="BX92">
        <v>356</v>
      </c>
      <c r="BY92">
        <v>396</v>
      </c>
      <c r="BZ92">
        <v>426</v>
      </c>
      <c r="CA92">
        <v>446</v>
      </c>
      <c r="CB92">
        <v>465</v>
      </c>
      <c r="CC92">
        <v>494</v>
      </c>
      <c r="CD92">
        <v>526</v>
      </c>
      <c r="CE92">
        <v>564</v>
      </c>
      <c r="CF92">
        <v>595</v>
      </c>
      <c r="CG92">
        <v>616</v>
      </c>
      <c r="CH92">
        <v>633</v>
      </c>
      <c r="CI92">
        <v>662</v>
      </c>
      <c r="CJ92">
        <v>695</v>
      </c>
      <c r="CK92">
        <v>715</v>
      </c>
      <c r="CL92">
        <v>735</v>
      </c>
      <c r="CM92">
        <v>750</v>
      </c>
      <c r="CN92">
        <v>761</v>
      </c>
      <c r="CO92">
        <v>767</v>
      </c>
      <c r="CP92">
        <v>772</v>
      </c>
      <c r="CQ92">
        <v>784</v>
      </c>
      <c r="CR92">
        <v>790</v>
      </c>
      <c r="CS92">
        <v>795</v>
      </c>
      <c r="CT92">
        <v>804</v>
      </c>
      <c r="CU92">
        <v>810</v>
      </c>
      <c r="CV92">
        <v>817</v>
      </c>
      <c r="CW92">
        <v>822</v>
      </c>
      <c r="CX92">
        <v>837</v>
      </c>
      <c r="CY92">
        <v>843</v>
      </c>
      <c r="CZ92">
        <v>850</v>
      </c>
      <c r="DA92">
        <v>857</v>
      </c>
      <c r="DB92">
        <v>864</v>
      </c>
    </row>
    <row r="93" spans="1:106" x14ac:dyDescent="0.25">
      <c r="B93" t="s">
        <v>177</v>
      </c>
      <c r="C93">
        <v>49.817500000000003</v>
      </c>
      <c r="D93">
        <v>15.472999999999999</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3</v>
      </c>
      <c r="AS93">
        <v>3</v>
      </c>
      <c r="AT93">
        <v>5</v>
      </c>
      <c r="AU93">
        <v>8</v>
      </c>
      <c r="AV93">
        <v>12</v>
      </c>
      <c r="AW93">
        <v>18</v>
      </c>
      <c r="AX93">
        <v>19</v>
      </c>
      <c r="AY93">
        <v>31</v>
      </c>
      <c r="AZ93">
        <v>31</v>
      </c>
      <c r="BA93">
        <v>41</v>
      </c>
      <c r="BB93">
        <v>91</v>
      </c>
      <c r="BC93">
        <v>94</v>
      </c>
      <c r="BD93">
        <v>141</v>
      </c>
      <c r="BE93">
        <v>189</v>
      </c>
      <c r="BF93">
        <v>253</v>
      </c>
      <c r="BG93">
        <v>298</v>
      </c>
      <c r="BH93">
        <v>396</v>
      </c>
      <c r="BI93">
        <v>464</v>
      </c>
      <c r="BJ93">
        <v>694</v>
      </c>
      <c r="BK93">
        <v>833</v>
      </c>
      <c r="BL93">
        <v>995</v>
      </c>
      <c r="BM93">
        <v>1120</v>
      </c>
      <c r="BN93">
        <v>1236</v>
      </c>
      <c r="BO93">
        <v>1394</v>
      </c>
      <c r="BP93">
        <v>1654</v>
      </c>
      <c r="BQ93">
        <v>1925</v>
      </c>
      <c r="BR93">
        <v>2279</v>
      </c>
      <c r="BS93">
        <v>2631</v>
      </c>
      <c r="BT93">
        <v>2817</v>
      </c>
      <c r="BU93">
        <v>3001</v>
      </c>
      <c r="BV93">
        <v>3308</v>
      </c>
      <c r="BW93">
        <v>3508</v>
      </c>
      <c r="BX93">
        <v>3858</v>
      </c>
      <c r="BY93">
        <v>4091</v>
      </c>
      <c r="BZ93">
        <v>4472</v>
      </c>
      <c r="CA93">
        <v>4587</v>
      </c>
      <c r="CB93">
        <v>4822</v>
      </c>
      <c r="CC93">
        <v>5017</v>
      </c>
      <c r="CD93">
        <v>5312</v>
      </c>
      <c r="CE93">
        <v>5569</v>
      </c>
      <c r="CF93">
        <v>5732</v>
      </c>
      <c r="CG93">
        <v>5831</v>
      </c>
      <c r="CH93">
        <v>5991</v>
      </c>
      <c r="CI93">
        <v>6059</v>
      </c>
      <c r="CJ93">
        <v>6111</v>
      </c>
      <c r="CK93">
        <v>6216</v>
      </c>
      <c r="CL93">
        <v>6433</v>
      </c>
      <c r="CM93">
        <v>6549</v>
      </c>
      <c r="CN93">
        <v>6606</v>
      </c>
      <c r="CO93">
        <v>6746</v>
      </c>
      <c r="CP93">
        <v>6900</v>
      </c>
      <c r="CQ93">
        <v>7033</v>
      </c>
      <c r="CR93">
        <v>7132</v>
      </c>
      <c r="CS93">
        <v>7187</v>
      </c>
      <c r="CT93">
        <v>7273</v>
      </c>
      <c r="CU93">
        <v>7352</v>
      </c>
      <c r="CV93">
        <v>7404</v>
      </c>
      <c r="CW93">
        <v>7445</v>
      </c>
      <c r="CX93">
        <v>7504</v>
      </c>
      <c r="CY93">
        <v>7579</v>
      </c>
      <c r="CZ93">
        <v>7682</v>
      </c>
      <c r="DA93">
        <v>7737</v>
      </c>
      <c r="DB93">
        <v>7755</v>
      </c>
    </row>
    <row r="94" spans="1:106" x14ac:dyDescent="0.25">
      <c r="A94" t="s">
        <v>118</v>
      </c>
      <c r="B94" t="s">
        <v>85</v>
      </c>
      <c r="C94">
        <v>61.892600000000002</v>
      </c>
      <c r="D94">
        <v>-6.9118000000000004</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1</v>
      </c>
      <c r="AV94">
        <v>1</v>
      </c>
      <c r="AW94">
        <v>1</v>
      </c>
      <c r="AX94">
        <v>1</v>
      </c>
      <c r="AY94">
        <v>2</v>
      </c>
      <c r="AZ94">
        <v>2</v>
      </c>
      <c r="BA94">
        <v>2</v>
      </c>
      <c r="BB94">
        <v>2</v>
      </c>
      <c r="BC94">
        <v>2</v>
      </c>
      <c r="BD94">
        <v>3</v>
      </c>
      <c r="BE94">
        <v>9</v>
      </c>
      <c r="BF94">
        <v>11</v>
      </c>
      <c r="BG94">
        <v>18</v>
      </c>
      <c r="BH94">
        <v>47</v>
      </c>
      <c r="BI94">
        <v>58</v>
      </c>
      <c r="BJ94">
        <v>72</v>
      </c>
      <c r="BK94">
        <v>80</v>
      </c>
      <c r="BL94">
        <v>92</v>
      </c>
      <c r="BM94">
        <v>115</v>
      </c>
      <c r="BN94">
        <v>118</v>
      </c>
      <c r="BO94">
        <v>122</v>
      </c>
      <c r="BP94">
        <v>132</v>
      </c>
      <c r="BQ94">
        <v>140</v>
      </c>
      <c r="BR94">
        <v>144</v>
      </c>
      <c r="BS94">
        <v>155</v>
      </c>
      <c r="BT94">
        <v>159</v>
      </c>
      <c r="BU94">
        <v>168</v>
      </c>
      <c r="BV94">
        <v>169</v>
      </c>
      <c r="BW94">
        <v>173</v>
      </c>
      <c r="BX94">
        <v>177</v>
      </c>
      <c r="BY94">
        <v>179</v>
      </c>
      <c r="BZ94">
        <v>181</v>
      </c>
      <c r="CA94">
        <v>181</v>
      </c>
      <c r="CB94">
        <v>183</v>
      </c>
      <c r="CC94">
        <v>184</v>
      </c>
      <c r="CD94">
        <v>184</v>
      </c>
      <c r="CE94">
        <v>184</v>
      </c>
      <c r="CF94">
        <v>184</v>
      </c>
      <c r="CG94">
        <v>184</v>
      </c>
      <c r="CH94">
        <v>184</v>
      </c>
      <c r="CI94">
        <v>184</v>
      </c>
      <c r="CJ94">
        <v>184</v>
      </c>
      <c r="CK94">
        <v>184</v>
      </c>
      <c r="CL94">
        <v>184</v>
      </c>
      <c r="CM94">
        <v>184</v>
      </c>
      <c r="CN94">
        <v>184</v>
      </c>
      <c r="CO94">
        <v>185</v>
      </c>
      <c r="CP94">
        <v>185</v>
      </c>
      <c r="CQ94">
        <v>185</v>
      </c>
      <c r="CR94">
        <v>185</v>
      </c>
      <c r="CS94">
        <v>187</v>
      </c>
      <c r="CT94">
        <v>187</v>
      </c>
      <c r="CU94">
        <v>187</v>
      </c>
      <c r="CV94">
        <v>187</v>
      </c>
      <c r="CW94">
        <v>187</v>
      </c>
      <c r="CX94">
        <v>187</v>
      </c>
      <c r="CY94">
        <v>187</v>
      </c>
      <c r="CZ94">
        <v>187</v>
      </c>
      <c r="DA94">
        <v>187</v>
      </c>
      <c r="DB94">
        <v>187</v>
      </c>
    </row>
    <row r="95" spans="1:106" x14ac:dyDescent="0.25">
      <c r="A95" t="s">
        <v>662</v>
      </c>
      <c r="B95" t="s">
        <v>85</v>
      </c>
      <c r="C95">
        <v>71.706900000000005</v>
      </c>
      <c r="D95">
        <v>-42.604300000000002</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1</v>
      </c>
      <c r="BH95">
        <v>1</v>
      </c>
      <c r="BI95">
        <v>1</v>
      </c>
      <c r="BJ95">
        <v>2</v>
      </c>
      <c r="BK95">
        <v>2</v>
      </c>
      <c r="BL95">
        <v>2</v>
      </c>
      <c r="BM95">
        <v>4</v>
      </c>
      <c r="BN95">
        <v>4</v>
      </c>
      <c r="BO95">
        <v>5</v>
      </c>
      <c r="BP95">
        <v>6</v>
      </c>
      <c r="BQ95">
        <v>6</v>
      </c>
      <c r="BR95">
        <v>10</v>
      </c>
      <c r="BS95">
        <v>10</v>
      </c>
      <c r="BT95">
        <v>10</v>
      </c>
      <c r="BU95">
        <v>10</v>
      </c>
      <c r="BV95">
        <v>10</v>
      </c>
      <c r="BW95">
        <v>10</v>
      </c>
      <c r="BX95">
        <v>10</v>
      </c>
      <c r="BY95">
        <v>10</v>
      </c>
      <c r="BZ95">
        <v>11</v>
      </c>
      <c r="CA95">
        <v>11</v>
      </c>
      <c r="CB95">
        <v>11</v>
      </c>
      <c r="CC95">
        <v>11</v>
      </c>
      <c r="CD95">
        <v>11</v>
      </c>
      <c r="CE95">
        <v>11</v>
      </c>
      <c r="CF95">
        <v>11</v>
      </c>
      <c r="CG95">
        <v>11</v>
      </c>
      <c r="CH95">
        <v>11</v>
      </c>
      <c r="CI95">
        <v>11</v>
      </c>
      <c r="CJ95">
        <v>11</v>
      </c>
      <c r="CK95">
        <v>11</v>
      </c>
      <c r="CL95">
        <v>11</v>
      </c>
      <c r="CM95">
        <v>11</v>
      </c>
      <c r="CN95">
        <v>11</v>
      </c>
      <c r="CO95">
        <v>11</v>
      </c>
      <c r="CP95">
        <v>11</v>
      </c>
      <c r="CQ95">
        <v>11</v>
      </c>
      <c r="CR95">
        <v>11</v>
      </c>
      <c r="CS95">
        <v>11</v>
      </c>
      <c r="CT95">
        <v>11</v>
      </c>
      <c r="CU95">
        <v>11</v>
      </c>
      <c r="CV95">
        <v>11</v>
      </c>
      <c r="CW95">
        <v>11</v>
      </c>
      <c r="CX95">
        <v>11</v>
      </c>
      <c r="CY95">
        <v>11</v>
      </c>
      <c r="CZ95">
        <v>11</v>
      </c>
      <c r="DA95">
        <v>11</v>
      </c>
      <c r="DB95">
        <v>11</v>
      </c>
    </row>
    <row r="96" spans="1:106" x14ac:dyDescent="0.25">
      <c r="B96" t="s">
        <v>85</v>
      </c>
      <c r="C96">
        <v>56.2639</v>
      </c>
      <c r="D96">
        <v>9.5017999999999994</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1</v>
      </c>
      <c r="AP96">
        <v>1</v>
      </c>
      <c r="AQ96">
        <v>3</v>
      </c>
      <c r="AR96">
        <v>4</v>
      </c>
      <c r="AS96">
        <v>4</v>
      </c>
      <c r="AT96">
        <v>6</v>
      </c>
      <c r="AU96">
        <v>10</v>
      </c>
      <c r="AV96">
        <v>10</v>
      </c>
      <c r="AW96">
        <v>23</v>
      </c>
      <c r="AX96">
        <v>23</v>
      </c>
      <c r="AY96">
        <v>35</v>
      </c>
      <c r="AZ96">
        <v>90</v>
      </c>
      <c r="BA96">
        <v>262</v>
      </c>
      <c r="BB96">
        <v>442</v>
      </c>
      <c r="BC96">
        <v>615</v>
      </c>
      <c r="BD96">
        <v>801</v>
      </c>
      <c r="BE96">
        <v>827</v>
      </c>
      <c r="BF96">
        <v>864</v>
      </c>
      <c r="BG96">
        <v>914</v>
      </c>
      <c r="BH96">
        <v>977</v>
      </c>
      <c r="BI96">
        <v>1057</v>
      </c>
      <c r="BJ96">
        <v>1151</v>
      </c>
      <c r="BK96">
        <v>1255</v>
      </c>
      <c r="BL96">
        <v>1326</v>
      </c>
      <c r="BM96">
        <v>1395</v>
      </c>
      <c r="BN96">
        <v>1450</v>
      </c>
      <c r="BO96">
        <v>1591</v>
      </c>
      <c r="BP96">
        <v>1724</v>
      </c>
      <c r="BQ96">
        <v>1877</v>
      </c>
      <c r="BR96">
        <v>2046</v>
      </c>
      <c r="BS96">
        <v>2201</v>
      </c>
      <c r="BT96">
        <v>2395</v>
      </c>
      <c r="BU96">
        <v>2577</v>
      </c>
      <c r="BV96">
        <v>2860</v>
      </c>
      <c r="BW96">
        <v>3107</v>
      </c>
      <c r="BX96">
        <v>3386</v>
      </c>
      <c r="BY96">
        <v>3757</v>
      </c>
      <c r="BZ96">
        <v>4077</v>
      </c>
      <c r="CA96">
        <v>4369</v>
      </c>
      <c r="CB96">
        <v>4681</v>
      </c>
      <c r="CC96">
        <v>5071</v>
      </c>
      <c r="CD96">
        <v>5402</v>
      </c>
      <c r="CE96">
        <v>5635</v>
      </c>
      <c r="CF96">
        <v>5819</v>
      </c>
      <c r="CG96">
        <v>5996</v>
      </c>
      <c r="CH96">
        <v>6174</v>
      </c>
      <c r="CI96">
        <v>6318</v>
      </c>
      <c r="CJ96">
        <v>6511</v>
      </c>
      <c r="CK96">
        <v>6681</v>
      </c>
      <c r="CL96">
        <v>6879</v>
      </c>
      <c r="CM96">
        <v>7073</v>
      </c>
      <c r="CN96">
        <v>7242</v>
      </c>
      <c r="CO96">
        <v>7384</v>
      </c>
      <c r="CP96">
        <v>7515</v>
      </c>
      <c r="CQ96">
        <v>7695</v>
      </c>
      <c r="CR96">
        <v>7912</v>
      </c>
      <c r="CS96">
        <v>8073</v>
      </c>
      <c r="CT96">
        <v>8210</v>
      </c>
      <c r="CU96">
        <v>8445</v>
      </c>
      <c r="CV96">
        <v>8575</v>
      </c>
      <c r="CW96">
        <v>8698</v>
      </c>
      <c r="CX96">
        <v>8851</v>
      </c>
      <c r="CY96">
        <v>9008</v>
      </c>
      <c r="CZ96">
        <v>9158</v>
      </c>
      <c r="DA96">
        <v>9311</v>
      </c>
      <c r="DB96">
        <v>9407</v>
      </c>
    </row>
    <row r="97" spans="1:106" x14ac:dyDescent="0.25">
      <c r="B97" t="s">
        <v>671</v>
      </c>
      <c r="C97">
        <v>11.825100000000001</v>
      </c>
      <c r="D97">
        <v>42.590299999999999</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1</v>
      </c>
      <c r="BJ97">
        <v>1</v>
      </c>
      <c r="BK97">
        <v>1</v>
      </c>
      <c r="BL97">
        <v>1</v>
      </c>
      <c r="BM97">
        <v>1</v>
      </c>
      <c r="BN97">
        <v>3</v>
      </c>
      <c r="BO97">
        <v>3</v>
      </c>
      <c r="BP97">
        <v>11</v>
      </c>
      <c r="BQ97">
        <v>11</v>
      </c>
      <c r="BR97">
        <v>12</v>
      </c>
      <c r="BS97">
        <v>14</v>
      </c>
      <c r="BT97">
        <v>18</v>
      </c>
      <c r="BU97">
        <v>18</v>
      </c>
      <c r="BV97">
        <v>30</v>
      </c>
      <c r="BW97">
        <v>33</v>
      </c>
      <c r="BX97">
        <v>40</v>
      </c>
      <c r="BY97">
        <v>49</v>
      </c>
      <c r="BZ97">
        <v>50</v>
      </c>
      <c r="CA97">
        <v>59</v>
      </c>
      <c r="CB97">
        <v>90</v>
      </c>
      <c r="CC97">
        <v>90</v>
      </c>
      <c r="CD97">
        <v>135</v>
      </c>
      <c r="CE97">
        <v>135</v>
      </c>
      <c r="CF97">
        <v>150</v>
      </c>
      <c r="CG97">
        <v>187</v>
      </c>
      <c r="CH97">
        <v>214</v>
      </c>
      <c r="CI97">
        <v>298</v>
      </c>
      <c r="CJ97">
        <v>363</v>
      </c>
      <c r="CK97">
        <v>435</v>
      </c>
      <c r="CL97">
        <v>591</v>
      </c>
      <c r="CM97">
        <v>732</v>
      </c>
      <c r="CN97">
        <v>732</v>
      </c>
      <c r="CO97">
        <v>846</v>
      </c>
      <c r="CP97">
        <v>846</v>
      </c>
      <c r="CQ97">
        <v>945</v>
      </c>
      <c r="CR97">
        <v>974</v>
      </c>
      <c r="CS97">
        <v>986</v>
      </c>
      <c r="CT97">
        <v>999</v>
      </c>
      <c r="CU97">
        <v>1008</v>
      </c>
      <c r="CV97">
        <v>1023</v>
      </c>
      <c r="CW97">
        <v>1035</v>
      </c>
      <c r="CX97">
        <v>1072</v>
      </c>
      <c r="CY97">
        <v>1077</v>
      </c>
      <c r="CZ97">
        <v>1089</v>
      </c>
      <c r="DA97">
        <v>1097</v>
      </c>
      <c r="DB97">
        <v>1112</v>
      </c>
    </row>
    <row r="98" spans="1:106" x14ac:dyDescent="0.25">
      <c r="B98" t="s">
        <v>102</v>
      </c>
      <c r="C98">
        <v>18.735700000000001</v>
      </c>
      <c r="D98">
        <v>-70.162700000000001</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1</v>
      </c>
      <c r="AS98">
        <v>1</v>
      </c>
      <c r="AT98">
        <v>1</v>
      </c>
      <c r="AU98">
        <v>1</v>
      </c>
      <c r="AV98">
        <v>1</v>
      </c>
      <c r="AW98">
        <v>2</v>
      </c>
      <c r="AX98">
        <v>2</v>
      </c>
      <c r="AY98">
        <v>5</v>
      </c>
      <c r="AZ98">
        <v>5</v>
      </c>
      <c r="BA98">
        <v>5</v>
      </c>
      <c r="BB98">
        <v>5</v>
      </c>
      <c r="BC98">
        <v>5</v>
      </c>
      <c r="BD98">
        <v>5</v>
      </c>
      <c r="BE98">
        <v>11</v>
      </c>
      <c r="BF98">
        <v>11</v>
      </c>
      <c r="BG98">
        <v>11</v>
      </c>
      <c r="BH98">
        <v>21</v>
      </c>
      <c r="BI98">
        <v>21</v>
      </c>
      <c r="BJ98">
        <v>34</v>
      </c>
      <c r="BK98">
        <v>72</v>
      </c>
      <c r="BL98">
        <v>112</v>
      </c>
      <c r="BM98">
        <v>202</v>
      </c>
      <c r="BN98">
        <v>245</v>
      </c>
      <c r="BO98">
        <v>312</v>
      </c>
      <c r="BP98">
        <v>392</v>
      </c>
      <c r="BQ98">
        <v>488</v>
      </c>
      <c r="BR98">
        <v>581</v>
      </c>
      <c r="BS98">
        <v>719</v>
      </c>
      <c r="BT98">
        <v>859</v>
      </c>
      <c r="BU98">
        <v>901</v>
      </c>
      <c r="BV98">
        <v>1109</v>
      </c>
      <c r="BW98">
        <v>1284</v>
      </c>
      <c r="BX98">
        <v>1380</v>
      </c>
      <c r="BY98">
        <v>1488</v>
      </c>
      <c r="BZ98">
        <v>1488</v>
      </c>
      <c r="CA98">
        <v>1745</v>
      </c>
      <c r="CB98">
        <v>1828</v>
      </c>
      <c r="CC98">
        <v>1956</v>
      </c>
      <c r="CD98">
        <v>2111</v>
      </c>
      <c r="CE98">
        <v>2349</v>
      </c>
      <c r="CF98">
        <v>2620</v>
      </c>
      <c r="CG98">
        <v>2759</v>
      </c>
      <c r="CH98">
        <v>2967</v>
      </c>
      <c r="CI98">
        <v>3167</v>
      </c>
      <c r="CJ98">
        <v>3286</v>
      </c>
      <c r="CK98">
        <v>3614</v>
      </c>
      <c r="CL98">
        <v>3755</v>
      </c>
      <c r="CM98">
        <v>4126</v>
      </c>
      <c r="CN98">
        <v>4335</v>
      </c>
      <c r="CO98">
        <v>4680</v>
      </c>
      <c r="CP98">
        <v>4964</v>
      </c>
      <c r="CQ98">
        <v>5044</v>
      </c>
      <c r="CR98">
        <v>5300</v>
      </c>
      <c r="CS98">
        <v>5543</v>
      </c>
      <c r="CT98">
        <v>5749</v>
      </c>
      <c r="CU98">
        <v>5926</v>
      </c>
      <c r="CV98">
        <v>6135</v>
      </c>
      <c r="CW98">
        <v>6293</v>
      </c>
      <c r="CX98">
        <v>6416</v>
      </c>
      <c r="CY98">
        <v>6652</v>
      </c>
      <c r="CZ98">
        <v>6972</v>
      </c>
      <c r="DA98">
        <v>7288</v>
      </c>
      <c r="DB98">
        <v>7578</v>
      </c>
    </row>
    <row r="99" spans="1:106" x14ac:dyDescent="0.25">
      <c r="B99" t="s">
        <v>99</v>
      </c>
      <c r="C99">
        <v>-1.8311999999999999</v>
      </c>
      <c r="D99">
        <v>-78.183400000000006</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6</v>
      </c>
      <c r="AS99">
        <v>6</v>
      </c>
      <c r="AT99">
        <v>7</v>
      </c>
      <c r="AU99">
        <v>10</v>
      </c>
      <c r="AV99">
        <v>13</v>
      </c>
      <c r="AW99">
        <v>13</v>
      </c>
      <c r="AX99">
        <v>13</v>
      </c>
      <c r="AY99">
        <v>14</v>
      </c>
      <c r="AZ99">
        <v>15</v>
      </c>
      <c r="BA99">
        <v>15</v>
      </c>
      <c r="BB99">
        <v>17</v>
      </c>
      <c r="BC99">
        <v>17</v>
      </c>
      <c r="BD99">
        <v>17</v>
      </c>
      <c r="BE99">
        <v>28</v>
      </c>
      <c r="BF99">
        <v>28</v>
      </c>
      <c r="BG99">
        <v>37</v>
      </c>
      <c r="BH99">
        <v>58</v>
      </c>
      <c r="BI99">
        <v>111</v>
      </c>
      <c r="BJ99">
        <v>199</v>
      </c>
      <c r="BK99">
        <v>367</v>
      </c>
      <c r="BL99">
        <v>506</v>
      </c>
      <c r="BM99">
        <v>789</v>
      </c>
      <c r="BN99">
        <v>981</v>
      </c>
      <c r="BO99">
        <v>1082</v>
      </c>
      <c r="BP99">
        <v>1173</v>
      </c>
      <c r="BQ99">
        <v>1403</v>
      </c>
      <c r="BR99">
        <v>1595</v>
      </c>
      <c r="BS99">
        <v>1823</v>
      </c>
      <c r="BT99">
        <v>1924</v>
      </c>
      <c r="BU99">
        <v>1962</v>
      </c>
      <c r="BV99">
        <v>2240</v>
      </c>
      <c r="BW99">
        <v>2748</v>
      </c>
      <c r="BX99">
        <v>3163</v>
      </c>
      <c r="BY99">
        <v>3368</v>
      </c>
      <c r="BZ99">
        <v>3465</v>
      </c>
      <c r="CA99">
        <v>3646</v>
      </c>
      <c r="CB99">
        <v>3747</v>
      </c>
      <c r="CC99">
        <v>3747</v>
      </c>
      <c r="CD99">
        <v>4450</v>
      </c>
      <c r="CE99">
        <v>4965</v>
      </c>
      <c r="CF99">
        <v>7161</v>
      </c>
      <c r="CG99">
        <v>7257</v>
      </c>
      <c r="CH99">
        <v>7466</v>
      </c>
      <c r="CI99">
        <v>7529</v>
      </c>
      <c r="CJ99">
        <v>7603</v>
      </c>
      <c r="CK99">
        <v>7858</v>
      </c>
      <c r="CL99">
        <v>8225</v>
      </c>
      <c r="CM99">
        <v>8450</v>
      </c>
      <c r="CN99">
        <v>9022</v>
      </c>
      <c r="CO99">
        <v>9468</v>
      </c>
      <c r="CP99">
        <v>10128</v>
      </c>
      <c r="CQ99">
        <v>10398</v>
      </c>
      <c r="CR99">
        <v>10850</v>
      </c>
      <c r="CS99">
        <v>11183</v>
      </c>
      <c r="CT99">
        <v>22719</v>
      </c>
      <c r="CU99">
        <v>22719</v>
      </c>
      <c r="CV99">
        <v>22719</v>
      </c>
      <c r="CW99">
        <v>23240</v>
      </c>
      <c r="CX99">
        <v>24258</v>
      </c>
      <c r="CY99">
        <v>24675</v>
      </c>
      <c r="CZ99">
        <v>24934</v>
      </c>
      <c r="DA99">
        <v>26336</v>
      </c>
      <c r="DB99">
        <v>27464</v>
      </c>
    </row>
    <row r="100" spans="1:106" x14ac:dyDescent="0.25">
      <c r="B100" t="s">
        <v>64</v>
      </c>
      <c r="C100">
        <v>26</v>
      </c>
      <c r="D100">
        <v>30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1</v>
      </c>
      <c r="AC100">
        <v>1</v>
      </c>
      <c r="AD100">
        <v>1</v>
      </c>
      <c r="AE100">
        <v>1</v>
      </c>
      <c r="AF100">
        <v>1</v>
      </c>
      <c r="AG100">
        <v>1</v>
      </c>
      <c r="AH100">
        <v>1</v>
      </c>
      <c r="AI100">
        <v>1</v>
      </c>
      <c r="AJ100">
        <v>1</v>
      </c>
      <c r="AK100">
        <v>1</v>
      </c>
      <c r="AL100">
        <v>1</v>
      </c>
      <c r="AM100">
        <v>1</v>
      </c>
      <c r="AN100">
        <v>1</v>
      </c>
      <c r="AO100">
        <v>1</v>
      </c>
      <c r="AP100">
        <v>1</v>
      </c>
      <c r="AQ100">
        <v>1</v>
      </c>
      <c r="AR100">
        <v>2</v>
      </c>
      <c r="AS100">
        <v>2</v>
      </c>
      <c r="AT100">
        <v>2</v>
      </c>
      <c r="AU100">
        <v>2</v>
      </c>
      <c r="AV100">
        <v>3</v>
      </c>
      <c r="AW100">
        <v>15</v>
      </c>
      <c r="AX100">
        <v>15</v>
      </c>
      <c r="AY100">
        <v>49</v>
      </c>
      <c r="AZ100">
        <v>55</v>
      </c>
      <c r="BA100">
        <v>59</v>
      </c>
      <c r="BB100">
        <v>60</v>
      </c>
      <c r="BC100">
        <v>67</v>
      </c>
      <c r="BD100">
        <v>80</v>
      </c>
      <c r="BE100">
        <v>109</v>
      </c>
      <c r="BF100">
        <v>110</v>
      </c>
      <c r="BG100">
        <v>150</v>
      </c>
      <c r="BH100">
        <v>196</v>
      </c>
      <c r="BI100">
        <v>196</v>
      </c>
      <c r="BJ100">
        <v>256</v>
      </c>
      <c r="BK100">
        <v>285</v>
      </c>
      <c r="BL100">
        <v>294</v>
      </c>
      <c r="BM100">
        <v>327</v>
      </c>
      <c r="BN100">
        <v>366</v>
      </c>
      <c r="BO100">
        <v>402</v>
      </c>
      <c r="BP100">
        <v>456</v>
      </c>
      <c r="BQ100">
        <v>495</v>
      </c>
      <c r="BR100">
        <v>536</v>
      </c>
      <c r="BS100">
        <v>576</v>
      </c>
      <c r="BT100">
        <v>609</v>
      </c>
      <c r="BU100">
        <v>656</v>
      </c>
      <c r="BV100">
        <v>710</v>
      </c>
      <c r="BW100">
        <v>779</v>
      </c>
      <c r="BX100">
        <v>865</v>
      </c>
      <c r="BY100">
        <v>985</v>
      </c>
      <c r="BZ100">
        <v>1070</v>
      </c>
      <c r="CA100">
        <v>1173</v>
      </c>
      <c r="CB100">
        <v>1322</v>
      </c>
      <c r="CC100">
        <v>1450</v>
      </c>
      <c r="CD100">
        <v>1560</v>
      </c>
      <c r="CE100">
        <v>1699</v>
      </c>
      <c r="CF100">
        <v>1794</v>
      </c>
      <c r="CG100">
        <v>1939</v>
      </c>
      <c r="CH100">
        <v>2065</v>
      </c>
      <c r="CI100">
        <v>2190</v>
      </c>
      <c r="CJ100">
        <v>2350</v>
      </c>
      <c r="CK100">
        <v>2505</v>
      </c>
      <c r="CL100">
        <v>2673</v>
      </c>
      <c r="CM100">
        <v>2844</v>
      </c>
      <c r="CN100">
        <v>3032</v>
      </c>
      <c r="CO100">
        <v>3144</v>
      </c>
      <c r="CP100">
        <v>3333</v>
      </c>
      <c r="CQ100">
        <v>3490</v>
      </c>
      <c r="CR100">
        <v>3659</v>
      </c>
      <c r="CS100">
        <v>3891</v>
      </c>
      <c r="CT100">
        <v>4092</v>
      </c>
      <c r="CU100">
        <v>4319</v>
      </c>
      <c r="CV100">
        <v>4534</v>
      </c>
      <c r="CW100">
        <v>4782</v>
      </c>
      <c r="CX100">
        <v>5042</v>
      </c>
      <c r="CY100">
        <v>5268</v>
      </c>
      <c r="CZ100">
        <v>5537</v>
      </c>
      <c r="DA100">
        <v>5895</v>
      </c>
      <c r="DB100">
        <v>6193</v>
      </c>
    </row>
    <row r="101" spans="1:106" x14ac:dyDescent="0.25">
      <c r="B101" t="s">
        <v>736</v>
      </c>
      <c r="C101">
        <v>13.7942</v>
      </c>
      <c r="D101">
        <v>-88.896500000000003</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1</v>
      </c>
      <c r="BK101">
        <v>1</v>
      </c>
      <c r="BL101">
        <v>3</v>
      </c>
      <c r="BM101">
        <v>3</v>
      </c>
      <c r="BN101">
        <v>3</v>
      </c>
      <c r="BO101">
        <v>5</v>
      </c>
      <c r="BP101">
        <v>9</v>
      </c>
      <c r="BQ101">
        <v>13</v>
      </c>
      <c r="BR101">
        <v>13</v>
      </c>
      <c r="BS101">
        <v>19</v>
      </c>
      <c r="BT101">
        <v>24</v>
      </c>
      <c r="BU101">
        <v>30</v>
      </c>
      <c r="BV101">
        <v>32</v>
      </c>
      <c r="BW101">
        <v>32</v>
      </c>
      <c r="BX101">
        <v>41</v>
      </c>
      <c r="BY101">
        <v>46</v>
      </c>
      <c r="BZ101">
        <v>56</v>
      </c>
      <c r="CA101">
        <v>62</v>
      </c>
      <c r="CB101">
        <v>69</v>
      </c>
      <c r="CC101">
        <v>78</v>
      </c>
      <c r="CD101">
        <v>93</v>
      </c>
      <c r="CE101">
        <v>103</v>
      </c>
      <c r="CF101">
        <v>117</v>
      </c>
      <c r="CG101">
        <v>118</v>
      </c>
      <c r="CH101">
        <v>125</v>
      </c>
      <c r="CI101">
        <v>137</v>
      </c>
      <c r="CJ101">
        <v>149</v>
      </c>
      <c r="CK101">
        <v>159</v>
      </c>
      <c r="CL101">
        <v>164</v>
      </c>
      <c r="CM101">
        <v>177</v>
      </c>
      <c r="CN101">
        <v>190</v>
      </c>
      <c r="CO101">
        <v>201</v>
      </c>
      <c r="CP101">
        <v>218</v>
      </c>
      <c r="CQ101">
        <v>225</v>
      </c>
      <c r="CR101">
        <v>237</v>
      </c>
      <c r="CS101">
        <v>250</v>
      </c>
      <c r="CT101">
        <v>274</v>
      </c>
      <c r="CU101">
        <v>274</v>
      </c>
      <c r="CV101">
        <v>298</v>
      </c>
      <c r="CW101">
        <v>323</v>
      </c>
      <c r="CX101">
        <v>345</v>
      </c>
      <c r="CY101">
        <v>377</v>
      </c>
      <c r="CZ101">
        <v>395</v>
      </c>
      <c r="DA101">
        <v>424</v>
      </c>
      <c r="DB101">
        <v>446</v>
      </c>
    </row>
    <row r="102" spans="1:106" x14ac:dyDescent="0.25">
      <c r="B102" t="s">
        <v>492</v>
      </c>
      <c r="C102">
        <v>1.5</v>
      </c>
      <c r="D102">
        <v>10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1</v>
      </c>
      <c r="BG102">
        <v>1</v>
      </c>
      <c r="BH102">
        <v>1</v>
      </c>
      <c r="BI102">
        <v>4</v>
      </c>
      <c r="BJ102">
        <v>6</v>
      </c>
      <c r="BK102">
        <v>6</v>
      </c>
      <c r="BL102">
        <v>6</v>
      </c>
      <c r="BM102">
        <v>6</v>
      </c>
      <c r="BN102">
        <v>9</v>
      </c>
      <c r="BO102">
        <v>9</v>
      </c>
      <c r="BP102">
        <v>9</v>
      </c>
      <c r="BQ102">
        <v>12</v>
      </c>
      <c r="BR102">
        <v>12</v>
      </c>
      <c r="BS102">
        <v>12</v>
      </c>
      <c r="BT102">
        <v>12</v>
      </c>
      <c r="BU102">
        <v>12</v>
      </c>
      <c r="BV102">
        <v>12</v>
      </c>
      <c r="BW102">
        <v>15</v>
      </c>
      <c r="BX102">
        <v>15</v>
      </c>
      <c r="BY102">
        <v>16</v>
      </c>
      <c r="BZ102">
        <v>16</v>
      </c>
      <c r="CA102">
        <v>16</v>
      </c>
      <c r="CB102">
        <v>16</v>
      </c>
      <c r="CC102">
        <v>16</v>
      </c>
      <c r="CD102">
        <v>18</v>
      </c>
      <c r="CE102">
        <v>18</v>
      </c>
      <c r="CF102">
        <v>18</v>
      </c>
      <c r="CG102">
        <v>18</v>
      </c>
      <c r="CH102">
        <v>21</v>
      </c>
      <c r="CI102">
        <v>21</v>
      </c>
      <c r="CJ102">
        <v>41</v>
      </c>
      <c r="CK102">
        <v>51</v>
      </c>
      <c r="CL102">
        <v>51</v>
      </c>
      <c r="CM102">
        <v>79</v>
      </c>
      <c r="CN102">
        <v>79</v>
      </c>
      <c r="CO102">
        <v>79</v>
      </c>
      <c r="CP102">
        <v>79</v>
      </c>
      <c r="CQ102">
        <v>83</v>
      </c>
      <c r="CR102">
        <v>84</v>
      </c>
      <c r="CS102">
        <v>84</v>
      </c>
      <c r="CT102">
        <v>214</v>
      </c>
      <c r="CU102">
        <v>258</v>
      </c>
      <c r="CV102">
        <v>258</v>
      </c>
      <c r="CW102">
        <v>258</v>
      </c>
      <c r="CX102">
        <v>315</v>
      </c>
      <c r="CY102">
        <v>315</v>
      </c>
      <c r="CZ102">
        <v>315</v>
      </c>
      <c r="DA102">
        <v>315</v>
      </c>
      <c r="DB102">
        <v>315</v>
      </c>
    </row>
    <row r="103" spans="1:106" x14ac:dyDescent="0.25">
      <c r="B103" t="s">
        <v>804</v>
      </c>
      <c r="C103">
        <v>15.179399999999999</v>
      </c>
      <c r="D103">
        <v>39.782299999999999</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1</v>
      </c>
      <c r="BM103">
        <v>1</v>
      </c>
      <c r="BN103">
        <v>1</v>
      </c>
      <c r="BO103">
        <v>1</v>
      </c>
      <c r="BP103">
        <v>4</v>
      </c>
      <c r="BQ103">
        <v>6</v>
      </c>
      <c r="BR103">
        <v>6</v>
      </c>
      <c r="BS103">
        <v>6</v>
      </c>
      <c r="BT103">
        <v>12</v>
      </c>
      <c r="BU103">
        <v>12</v>
      </c>
      <c r="BV103">
        <v>15</v>
      </c>
      <c r="BW103">
        <v>15</v>
      </c>
      <c r="BX103">
        <v>22</v>
      </c>
      <c r="BY103">
        <v>22</v>
      </c>
      <c r="BZ103">
        <v>29</v>
      </c>
      <c r="CA103">
        <v>29</v>
      </c>
      <c r="CB103">
        <v>31</v>
      </c>
      <c r="CC103">
        <v>31</v>
      </c>
      <c r="CD103">
        <v>33</v>
      </c>
      <c r="CE103">
        <v>33</v>
      </c>
      <c r="CF103">
        <v>34</v>
      </c>
      <c r="CG103">
        <v>34</v>
      </c>
      <c r="CH103">
        <v>34</v>
      </c>
      <c r="CI103">
        <v>34</v>
      </c>
      <c r="CJ103">
        <v>34</v>
      </c>
      <c r="CK103">
        <v>35</v>
      </c>
      <c r="CL103">
        <v>35</v>
      </c>
      <c r="CM103">
        <v>35</v>
      </c>
      <c r="CN103">
        <v>39</v>
      </c>
      <c r="CO103">
        <v>39</v>
      </c>
      <c r="CP103">
        <v>39</v>
      </c>
      <c r="CQ103">
        <v>39</v>
      </c>
      <c r="CR103">
        <v>39</v>
      </c>
      <c r="CS103">
        <v>39</v>
      </c>
      <c r="CT103">
        <v>39</v>
      </c>
      <c r="CU103">
        <v>39</v>
      </c>
      <c r="CV103">
        <v>39</v>
      </c>
      <c r="CW103">
        <v>39</v>
      </c>
      <c r="CX103">
        <v>39</v>
      </c>
      <c r="CY103">
        <v>39</v>
      </c>
      <c r="CZ103">
        <v>39</v>
      </c>
      <c r="DA103">
        <v>39</v>
      </c>
      <c r="DB103">
        <v>39</v>
      </c>
    </row>
    <row r="104" spans="1:106" x14ac:dyDescent="0.25">
      <c r="B104" t="s">
        <v>86</v>
      </c>
      <c r="C104">
        <v>58.595300000000002</v>
      </c>
      <c r="D104">
        <v>25.0136</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1</v>
      </c>
      <c r="AP104">
        <v>1</v>
      </c>
      <c r="AQ104">
        <v>1</v>
      </c>
      <c r="AR104">
        <v>1</v>
      </c>
      <c r="AS104">
        <v>1</v>
      </c>
      <c r="AT104">
        <v>2</v>
      </c>
      <c r="AU104">
        <v>2</v>
      </c>
      <c r="AV104">
        <v>3</v>
      </c>
      <c r="AW104">
        <v>10</v>
      </c>
      <c r="AX104">
        <v>10</v>
      </c>
      <c r="AY104">
        <v>10</v>
      </c>
      <c r="AZ104">
        <v>10</v>
      </c>
      <c r="BA104">
        <v>12</v>
      </c>
      <c r="BB104">
        <v>16</v>
      </c>
      <c r="BC104">
        <v>16</v>
      </c>
      <c r="BD104">
        <v>79</v>
      </c>
      <c r="BE104">
        <v>115</v>
      </c>
      <c r="BF104">
        <v>171</v>
      </c>
      <c r="BG104">
        <v>205</v>
      </c>
      <c r="BH104">
        <v>225</v>
      </c>
      <c r="BI104">
        <v>258</v>
      </c>
      <c r="BJ104">
        <v>267</v>
      </c>
      <c r="BK104">
        <v>283</v>
      </c>
      <c r="BL104">
        <v>306</v>
      </c>
      <c r="BM104">
        <v>326</v>
      </c>
      <c r="BN104">
        <v>352</v>
      </c>
      <c r="BO104">
        <v>369</v>
      </c>
      <c r="BP104">
        <v>404</v>
      </c>
      <c r="BQ104">
        <v>538</v>
      </c>
      <c r="BR104">
        <v>575</v>
      </c>
      <c r="BS104">
        <v>645</v>
      </c>
      <c r="BT104">
        <v>679</v>
      </c>
      <c r="BU104">
        <v>715</v>
      </c>
      <c r="BV104">
        <v>745</v>
      </c>
      <c r="BW104">
        <v>779</v>
      </c>
      <c r="BX104">
        <v>858</v>
      </c>
      <c r="BY104">
        <v>961</v>
      </c>
      <c r="BZ104">
        <v>1039</v>
      </c>
      <c r="CA104">
        <v>1097</v>
      </c>
      <c r="CB104">
        <v>1108</v>
      </c>
      <c r="CC104">
        <v>1149</v>
      </c>
      <c r="CD104">
        <v>1185</v>
      </c>
      <c r="CE104">
        <v>1207</v>
      </c>
      <c r="CF104">
        <v>1258</v>
      </c>
      <c r="CG104">
        <v>1304</v>
      </c>
      <c r="CH104">
        <v>1309</v>
      </c>
      <c r="CI104">
        <v>1332</v>
      </c>
      <c r="CJ104">
        <v>1373</v>
      </c>
      <c r="CK104">
        <v>1400</v>
      </c>
      <c r="CL104">
        <v>1434</v>
      </c>
      <c r="CM104">
        <v>1459</v>
      </c>
      <c r="CN104">
        <v>1512</v>
      </c>
      <c r="CO104">
        <v>1528</v>
      </c>
      <c r="CP104">
        <v>1535</v>
      </c>
      <c r="CQ104">
        <v>1552</v>
      </c>
      <c r="CR104">
        <v>1559</v>
      </c>
      <c r="CS104">
        <v>1592</v>
      </c>
      <c r="CT104">
        <v>1605</v>
      </c>
      <c r="CU104">
        <v>1635</v>
      </c>
      <c r="CV104">
        <v>1643</v>
      </c>
      <c r="CW104">
        <v>1647</v>
      </c>
      <c r="CX104">
        <v>1660</v>
      </c>
      <c r="CY104">
        <v>1666</v>
      </c>
      <c r="CZ104">
        <v>1689</v>
      </c>
      <c r="DA104">
        <v>1694</v>
      </c>
      <c r="DB104">
        <v>1699</v>
      </c>
    </row>
    <row r="105" spans="1:106" x14ac:dyDescent="0.25">
      <c r="B105" t="s">
        <v>363</v>
      </c>
      <c r="C105">
        <v>-26.522500000000001</v>
      </c>
      <c r="D105">
        <v>31.465900000000001</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1</v>
      </c>
      <c r="BF105">
        <v>1</v>
      </c>
      <c r="BG105">
        <v>1</v>
      </c>
      <c r="BH105">
        <v>1</v>
      </c>
      <c r="BI105">
        <v>1</v>
      </c>
      <c r="BJ105">
        <v>1</v>
      </c>
      <c r="BK105">
        <v>1</v>
      </c>
      <c r="BL105">
        <v>1</v>
      </c>
      <c r="BM105">
        <v>4</v>
      </c>
      <c r="BN105">
        <v>4</v>
      </c>
      <c r="BO105">
        <v>4</v>
      </c>
      <c r="BP105">
        <v>4</v>
      </c>
      <c r="BQ105">
        <v>6</v>
      </c>
      <c r="BR105">
        <v>9</v>
      </c>
      <c r="BS105">
        <v>9</v>
      </c>
      <c r="BT105">
        <v>9</v>
      </c>
      <c r="BU105">
        <v>9</v>
      </c>
      <c r="BV105">
        <v>9</v>
      </c>
      <c r="BW105">
        <v>9</v>
      </c>
      <c r="BX105">
        <v>9</v>
      </c>
      <c r="BY105">
        <v>9</v>
      </c>
      <c r="BZ105">
        <v>9</v>
      </c>
      <c r="CA105">
        <v>9</v>
      </c>
      <c r="CB105">
        <v>10</v>
      </c>
      <c r="CC105">
        <v>10</v>
      </c>
      <c r="CD105">
        <v>12</v>
      </c>
      <c r="CE105">
        <v>12</v>
      </c>
      <c r="CF105">
        <v>12</v>
      </c>
      <c r="CG105">
        <v>12</v>
      </c>
      <c r="CH105">
        <v>14</v>
      </c>
      <c r="CI105">
        <v>15</v>
      </c>
      <c r="CJ105">
        <v>15</v>
      </c>
      <c r="CK105">
        <v>15</v>
      </c>
      <c r="CL105">
        <v>16</v>
      </c>
      <c r="CM105">
        <v>16</v>
      </c>
      <c r="CN105">
        <v>22</v>
      </c>
      <c r="CO105">
        <v>22</v>
      </c>
      <c r="CP105">
        <v>24</v>
      </c>
      <c r="CQ105">
        <v>31</v>
      </c>
      <c r="CR105">
        <v>31</v>
      </c>
      <c r="CS105">
        <v>31</v>
      </c>
      <c r="CT105">
        <v>36</v>
      </c>
      <c r="CU105">
        <v>56</v>
      </c>
      <c r="CV105">
        <v>59</v>
      </c>
      <c r="CW105">
        <v>65</v>
      </c>
      <c r="CX105">
        <v>71</v>
      </c>
      <c r="CY105">
        <v>91</v>
      </c>
      <c r="CZ105">
        <v>100</v>
      </c>
      <c r="DA105">
        <v>106</v>
      </c>
      <c r="DB105">
        <v>108</v>
      </c>
    </row>
    <row r="106" spans="1:106" x14ac:dyDescent="0.25">
      <c r="B106" t="s">
        <v>202</v>
      </c>
      <c r="C106">
        <v>9.1449999999999996</v>
      </c>
      <c r="D106">
        <v>40.489699999999999</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1</v>
      </c>
      <c r="BE106">
        <v>1</v>
      </c>
      <c r="BF106">
        <v>1</v>
      </c>
      <c r="BG106">
        <v>5</v>
      </c>
      <c r="BH106">
        <v>5</v>
      </c>
      <c r="BI106">
        <v>6</v>
      </c>
      <c r="BJ106">
        <v>6</v>
      </c>
      <c r="BK106">
        <v>9</v>
      </c>
      <c r="BL106">
        <v>9</v>
      </c>
      <c r="BM106">
        <v>11</v>
      </c>
      <c r="BN106">
        <v>11</v>
      </c>
      <c r="BO106">
        <v>12</v>
      </c>
      <c r="BP106">
        <v>12</v>
      </c>
      <c r="BQ106">
        <v>12</v>
      </c>
      <c r="BR106">
        <v>16</v>
      </c>
      <c r="BS106">
        <v>16</v>
      </c>
      <c r="BT106">
        <v>21</v>
      </c>
      <c r="BU106">
        <v>23</v>
      </c>
      <c r="BV106">
        <v>26</v>
      </c>
      <c r="BW106">
        <v>29</v>
      </c>
      <c r="BX106">
        <v>29</v>
      </c>
      <c r="BY106">
        <v>35</v>
      </c>
      <c r="BZ106">
        <v>38</v>
      </c>
      <c r="CA106">
        <v>43</v>
      </c>
      <c r="CB106">
        <v>44</v>
      </c>
      <c r="CC106">
        <v>52</v>
      </c>
      <c r="CD106">
        <v>55</v>
      </c>
      <c r="CE106">
        <v>56</v>
      </c>
      <c r="CF106">
        <v>65</v>
      </c>
      <c r="CG106">
        <v>69</v>
      </c>
      <c r="CH106">
        <v>71</v>
      </c>
      <c r="CI106">
        <v>74</v>
      </c>
      <c r="CJ106">
        <v>82</v>
      </c>
      <c r="CK106">
        <v>85</v>
      </c>
      <c r="CL106">
        <v>92</v>
      </c>
      <c r="CM106">
        <v>96</v>
      </c>
      <c r="CN106">
        <v>105</v>
      </c>
      <c r="CO106">
        <v>108</v>
      </c>
      <c r="CP106">
        <v>111</v>
      </c>
      <c r="CQ106">
        <v>114</v>
      </c>
      <c r="CR106">
        <v>116</v>
      </c>
      <c r="CS106">
        <v>116</v>
      </c>
      <c r="CT106">
        <v>117</v>
      </c>
      <c r="CU106">
        <v>122</v>
      </c>
      <c r="CV106">
        <v>123</v>
      </c>
      <c r="CW106">
        <v>124</v>
      </c>
      <c r="CX106">
        <v>126</v>
      </c>
      <c r="CY106">
        <v>130</v>
      </c>
      <c r="CZ106">
        <v>131</v>
      </c>
      <c r="DA106">
        <v>133</v>
      </c>
      <c r="DB106">
        <v>133</v>
      </c>
    </row>
    <row r="107" spans="1:106" x14ac:dyDescent="0.25">
      <c r="B107" t="s">
        <v>737</v>
      </c>
      <c r="C107">
        <v>-17.7134</v>
      </c>
      <c r="D107">
        <v>178.065</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1</v>
      </c>
      <c r="BK107">
        <v>1</v>
      </c>
      <c r="BL107">
        <v>1</v>
      </c>
      <c r="BM107">
        <v>2</v>
      </c>
      <c r="BN107">
        <v>3</v>
      </c>
      <c r="BO107">
        <v>4</v>
      </c>
      <c r="BP107">
        <v>5</v>
      </c>
      <c r="BQ107">
        <v>5</v>
      </c>
      <c r="BR107">
        <v>5</v>
      </c>
      <c r="BS107">
        <v>5</v>
      </c>
      <c r="BT107">
        <v>5</v>
      </c>
      <c r="BU107">
        <v>5</v>
      </c>
      <c r="BV107">
        <v>5</v>
      </c>
      <c r="BW107">
        <v>5</v>
      </c>
      <c r="BX107">
        <v>7</v>
      </c>
      <c r="BY107">
        <v>7</v>
      </c>
      <c r="BZ107">
        <v>12</v>
      </c>
      <c r="CA107">
        <v>12</v>
      </c>
      <c r="CB107">
        <v>14</v>
      </c>
      <c r="CC107">
        <v>15</v>
      </c>
      <c r="CD107">
        <v>15</v>
      </c>
      <c r="CE107">
        <v>15</v>
      </c>
      <c r="CF107">
        <v>16</v>
      </c>
      <c r="CG107">
        <v>16</v>
      </c>
      <c r="CH107">
        <v>16</v>
      </c>
      <c r="CI107">
        <v>16</v>
      </c>
      <c r="CJ107">
        <v>16</v>
      </c>
      <c r="CK107">
        <v>16</v>
      </c>
      <c r="CL107">
        <v>17</v>
      </c>
      <c r="CM107">
        <v>17</v>
      </c>
      <c r="CN107">
        <v>17</v>
      </c>
      <c r="CO107">
        <v>17</v>
      </c>
      <c r="CP107">
        <v>18</v>
      </c>
      <c r="CQ107">
        <v>18</v>
      </c>
      <c r="CR107">
        <v>18</v>
      </c>
      <c r="CS107">
        <v>18</v>
      </c>
      <c r="CT107">
        <v>18</v>
      </c>
      <c r="CU107">
        <v>18</v>
      </c>
      <c r="CV107">
        <v>18</v>
      </c>
      <c r="CW107">
        <v>18</v>
      </c>
      <c r="CX107">
        <v>18</v>
      </c>
      <c r="CY107">
        <v>18</v>
      </c>
      <c r="CZ107">
        <v>18</v>
      </c>
      <c r="DA107">
        <v>18</v>
      </c>
      <c r="DB107">
        <v>18</v>
      </c>
    </row>
    <row r="108" spans="1:106" x14ac:dyDescent="0.25">
      <c r="B108" t="s">
        <v>54</v>
      </c>
      <c r="C108">
        <v>64</v>
      </c>
      <c r="D108">
        <v>26</v>
      </c>
      <c r="E108">
        <v>0</v>
      </c>
      <c r="F108">
        <v>0</v>
      </c>
      <c r="G108">
        <v>0</v>
      </c>
      <c r="H108">
        <v>0</v>
      </c>
      <c r="I108">
        <v>0</v>
      </c>
      <c r="J108">
        <v>0</v>
      </c>
      <c r="K108">
        <v>0</v>
      </c>
      <c r="L108">
        <v>1</v>
      </c>
      <c r="M108">
        <v>1</v>
      </c>
      <c r="N108">
        <v>1</v>
      </c>
      <c r="O108">
        <v>1</v>
      </c>
      <c r="P108">
        <v>1</v>
      </c>
      <c r="Q108">
        <v>1</v>
      </c>
      <c r="R108">
        <v>1</v>
      </c>
      <c r="S108">
        <v>1</v>
      </c>
      <c r="T108">
        <v>1</v>
      </c>
      <c r="U108">
        <v>1</v>
      </c>
      <c r="V108">
        <v>1</v>
      </c>
      <c r="W108">
        <v>1</v>
      </c>
      <c r="X108">
        <v>1</v>
      </c>
      <c r="Y108">
        <v>1</v>
      </c>
      <c r="Z108">
        <v>1</v>
      </c>
      <c r="AA108">
        <v>1</v>
      </c>
      <c r="AB108">
        <v>1</v>
      </c>
      <c r="AC108">
        <v>1</v>
      </c>
      <c r="AD108">
        <v>1</v>
      </c>
      <c r="AE108">
        <v>1</v>
      </c>
      <c r="AF108">
        <v>1</v>
      </c>
      <c r="AG108">
        <v>1</v>
      </c>
      <c r="AH108">
        <v>1</v>
      </c>
      <c r="AI108">
        <v>1</v>
      </c>
      <c r="AJ108">
        <v>1</v>
      </c>
      <c r="AK108">
        <v>1</v>
      </c>
      <c r="AL108">
        <v>1</v>
      </c>
      <c r="AM108">
        <v>1</v>
      </c>
      <c r="AN108">
        <v>2</v>
      </c>
      <c r="AO108">
        <v>2</v>
      </c>
      <c r="AP108">
        <v>2</v>
      </c>
      <c r="AQ108">
        <v>3</v>
      </c>
      <c r="AR108">
        <v>6</v>
      </c>
      <c r="AS108">
        <v>6</v>
      </c>
      <c r="AT108">
        <v>6</v>
      </c>
      <c r="AU108">
        <v>6</v>
      </c>
      <c r="AV108">
        <v>12</v>
      </c>
      <c r="AW108">
        <v>15</v>
      </c>
      <c r="AX108">
        <v>15</v>
      </c>
      <c r="AY108">
        <v>23</v>
      </c>
      <c r="AZ108">
        <v>30</v>
      </c>
      <c r="BA108">
        <v>40</v>
      </c>
      <c r="BB108">
        <v>59</v>
      </c>
      <c r="BC108">
        <v>59</v>
      </c>
      <c r="BD108">
        <v>155</v>
      </c>
      <c r="BE108">
        <v>225</v>
      </c>
      <c r="BF108">
        <v>244</v>
      </c>
      <c r="BG108">
        <v>277</v>
      </c>
      <c r="BH108">
        <v>321</v>
      </c>
      <c r="BI108">
        <v>336</v>
      </c>
      <c r="BJ108">
        <v>400</v>
      </c>
      <c r="BK108">
        <v>450</v>
      </c>
      <c r="BL108">
        <v>523</v>
      </c>
      <c r="BM108">
        <v>626</v>
      </c>
      <c r="BN108">
        <v>700</v>
      </c>
      <c r="BO108">
        <v>792</v>
      </c>
      <c r="BP108">
        <v>880</v>
      </c>
      <c r="BQ108">
        <v>958</v>
      </c>
      <c r="BR108">
        <v>1041</v>
      </c>
      <c r="BS108">
        <v>1167</v>
      </c>
      <c r="BT108">
        <v>1240</v>
      </c>
      <c r="BU108">
        <v>1352</v>
      </c>
      <c r="BV108">
        <v>1418</v>
      </c>
      <c r="BW108">
        <v>1446</v>
      </c>
      <c r="BX108">
        <v>1518</v>
      </c>
      <c r="BY108">
        <v>1615</v>
      </c>
      <c r="BZ108">
        <v>1882</v>
      </c>
      <c r="CA108">
        <v>1927</v>
      </c>
      <c r="CB108">
        <v>2176</v>
      </c>
      <c r="CC108">
        <v>2308</v>
      </c>
      <c r="CD108">
        <v>2487</v>
      </c>
      <c r="CE108">
        <v>2605</v>
      </c>
      <c r="CF108">
        <v>2769</v>
      </c>
      <c r="CG108">
        <v>2905</v>
      </c>
      <c r="CH108">
        <v>2974</v>
      </c>
      <c r="CI108">
        <v>3064</v>
      </c>
      <c r="CJ108">
        <v>3161</v>
      </c>
      <c r="CK108">
        <v>3237</v>
      </c>
      <c r="CL108">
        <v>3369</v>
      </c>
      <c r="CM108">
        <v>3489</v>
      </c>
      <c r="CN108">
        <v>3681</v>
      </c>
      <c r="CO108">
        <v>3783</v>
      </c>
      <c r="CP108">
        <v>3868</v>
      </c>
      <c r="CQ108">
        <v>4014</v>
      </c>
      <c r="CR108">
        <v>4129</v>
      </c>
      <c r="CS108">
        <v>4284</v>
      </c>
      <c r="CT108">
        <v>4395</v>
      </c>
      <c r="CU108">
        <v>4475</v>
      </c>
      <c r="CV108">
        <v>4576</v>
      </c>
      <c r="CW108">
        <v>4695</v>
      </c>
      <c r="CX108">
        <v>4740</v>
      </c>
      <c r="CY108">
        <v>4906</v>
      </c>
      <c r="CZ108">
        <v>4995</v>
      </c>
      <c r="DA108">
        <v>5051</v>
      </c>
      <c r="DB108">
        <v>5176</v>
      </c>
    </row>
    <row r="109" spans="1:106" x14ac:dyDescent="0.25">
      <c r="A109" t="s">
        <v>133</v>
      </c>
      <c r="B109" t="s">
        <v>42</v>
      </c>
      <c r="C109">
        <v>3.9339</v>
      </c>
      <c r="D109">
        <v>-53.125799999999998</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5</v>
      </c>
      <c r="AY109">
        <v>5</v>
      </c>
      <c r="AZ109">
        <v>5</v>
      </c>
      <c r="BA109">
        <v>5</v>
      </c>
      <c r="BB109">
        <v>5</v>
      </c>
      <c r="BC109">
        <v>5</v>
      </c>
      <c r="BD109">
        <v>5</v>
      </c>
      <c r="BE109">
        <v>5</v>
      </c>
      <c r="BF109">
        <v>7</v>
      </c>
      <c r="BG109">
        <v>11</v>
      </c>
      <c r="BH109">
        <v>11</v>
      </c>
      <c r="BI109">
        <v>11</v>
      </c>
      <c r="BJ109">
        <v>11</v>
      </c>
      <c r="BK109">
        <v>15</v>
      </c>
      <c r="BL109">
        <v>18</v>
      </c>
      <c r="BM109">
        <v>18</v>
      </c>
      <c r="BN109">
        <v>20</v>
      </c>
      <c r="BO109">
        <v>23</v>
      </c>
      <c r="BP109">
        <v>28</v>
      </c>
      <c r="BQ109">
        <v>28</v>
      </c>
      <c r="BR109">
        <v>28</v>
      </c>
      <c r="BS109">
        <v>28</v>
      </c>
      <c r="BT109">
        <v>28</v>
      </c>
      <c r="BU109">
        <v>43</v>
      </c>
      <c r="BV109">
        <v>43</v>
      </c>
      <c r="BW109">
        <v>51</v>
      </c>
      <c r="BX109">
        <v>51</v>
      </c>
      <c r="BY109">
        <v>57</v>
      </c>
      <c r="BZ109">
        <v>61</v>
      </c>
      <c r="CA109">
        <v>61</v>
      </c>
      <c r="CB109">
        <v>72</v>
      </c>
      <c r="CC109">
        <v>72</v>
      </c>
      <c r="CD109">
        <v>77</v>
      </c>
      <c r="CE109">
        <v>83</v>
      </c>
      <c r="CF109">
        <v>83</v>
      </c>
      <c r="CG109">
        <v>83</v>
      </c>
      <c r="CH109">
        <v>86</v>
      </c>
      <c r="CI109">
        <v>86</v>
      </c>
      <c r="CJ109">
        <v>86</v>
      </c>
      <c r="CK109">
        <v>86</v>
      </c>
      <c r="CL109">
        <v>86</v>
      </c>
      <c r="CM109">
        <v>96</v>
      </c>
      <c r="CN109">
        <v>96</v>
      </c>
      <c r="CO109">
        <v>96</v>
      </c>
      <c r="CP109">
        <v>97</v>
      </c>
      <c r="CQ109">
        <v>97</v>
      </c>
      <c r="CR109">
        <v>97</v>
      </c>
      <c r="CS109">
        <v>107</v>
      </c>
      <c r="CT109">
        <v>111</v>
      </c>
      <c r="CU109">
        <v>111</v>
      </c>
      <c r="CV109">
        <v>111</v>
      </c>
      <c r="CW109">
        <v>111</v>
      </c>
      <c r="CX109">
        <v>125</v>
      </c>
      <c r="CY109">
        <v>125</v>
      </c>
      <c r="CZ109">
        <v>126</v>
      </c>
      <c r="DA109">
        <v>128</v>
      </c>
      <c r="DB109">
        <v>128</v>
      </c>
    </row>
    <row r="110" spans="1:106" x14ac:dyDescent="0.25">
      <c r="A110" t="s">
        <v>198</v>
      </c>
      <c r="B110" t="s">
        <v>42</v>
      </c>
      <c r="C110">
        <v>-17.6797</v>
      </c>
      <c r="D110">
        <v>149.4068</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3</v>
      </c>
      <c r="BE110">
        <v>3</v>
      </c>
      <c r="BF110">
        <v>3</v>
      </c>
      <c r="BG110">
        <v>3</v>
      </c>
      <c r="BH110">
        <v>3</v>
      </c>
      <c r="BI110">
        <v>3</v>
      </c>
      <c r="BJ110">
        <v>6</v>
      </c>
      <c r="BK110">
        <v>11</v>
      </c>
      <c r="BL110">
        <v>15</v>
      </c>
      <c r="BM110">
        <v>18</v>
      </c>
      <c r="BN110">
        <v>18</v>
      </c>
      <c r="BO110">
        <v>25</v>
      </c>
      <c r="BP110">
        <v>25</v>
      </c>
      <c r="BQ110">
        <v>30</v>
      </c>
      <c r="BR110">
        <v>30</v>
      </c>
      <c r="BS110">
        <v>30</v>
      </c>
      <c r="BT110">
        <v>30</v>
      </c>
      <c r="BU110">
        <v>36</v>
      </c>
      <c r="BV110">
        <v>36</v>
      </c>
      <c r="BW110">
        <v>37</v>
      </c>
      <c r="BX110">
        <v>37</v>
      </c>
      <c r="BY110">
        <v>39</v>
      </c>
      <c r="BZ110">
        <v>40</v>
      </c>
      <c r="CA110">
        <v>41</v>
      </c>
      <c r="CB110">
        <v>42</v>
      </c>
      <c r="CC110">
        <v>47</v>
      </c>
      <c r="CD110">
        <v>51</v>
      </c>
      <c r="CE110">
        <v>51</v>
      </c>
      <c r="CF110">
        <v>51</v>
      </c>
      <c r="CG110">
        <v>51</v>
      </c>
      <c r="CH110">
        <v>53</v>
      </c>
      <c r="CI110">
        <v>55</v>
      </c>
      <c r="CJ110">
        <v>55</v>
      </c>
      <c r="CK110">
        <v>55</v>
      </c>
      <c r="CL110">
        <v>55</v>
      </c>
      <c r="CM110">
        <v>55</v>
      </c>
      <c r="CN110">
        <v>55</v>
      </c>
      <c r="CO110">
        <v>55</v>
      </c>
      <c r="CP110">
        <v>56</v>
      </c>
      <c r="CQ110">
        <v>56</v>
      </c>
      <c r="CR110">
        <v>57</v>
      </c>
      <c r="CS110">
        <v>57</v>
      </c>
      <c r="CT110">
        <v>57</v>
      </c>
      <c r="CU110">
        <v>57</v>
      </c>
      <c r="CV110">
        <v>57</v>
      </c>
      <c r="CW110">
        <v>57</v>
      </c>
      <c r="CX110">
        <v>58</v>
      </c>
      <c r="CY110">
        <v>58</v>
      </c>
      <c r="CZ110">
        <v>58</v>
      </c>
      <c r="DA110">
        <v>58</v>
      </c>
      <c r="DB110">
        <v>58</v>
      </c>
    </row>
    <row r="111" spans="1:106" x14ac:dyDescent="0.25">
      <c r="A111" t="s">
        <v>199</v>
      </c>
      <c r="B111" t="s">
        <v>42</v>
      </c>
      <c r="C111">
        <v>16.25</v>
      </c>
      <c r="D111">
        <v>-61.583300000000001</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1</v>
      </c>
      <c r="BE111">
        <v>1</v>
      </c>
      <c r="BF111">
        <v>3</v>
      </c>
      <c r="BG111">
        <v>6</v>
      </c>
      <c r="BH111">
        <v>18</v>
      </c>
      <c r="BI111">
        <v>27</v>
      </c>
      <c r="BJ111">
        <v>33</v>
      </c>
      <c r="BK111">
        <v>45</v>
      </c>
      <c r="BL111">
        <v>53</v>
      </c>
      <c r="BM111">
        <v>58</v>
      </c>
      <c r="BN111">
        <v>62</v>
      </c>
      <c r="BO111">
        <v>62</v>
      </c>
      <c r="BP111">
        <v>73</v>
      </c>
      <c r="BQ111">
        <v>73</v>
      </c>
      <c r="BR111">
        <v>73</v>
      </c>
      <c r="BS111">
        <v>102</v>
      </c>
      <c r="BT111">
        <v>106</v>
      </c>
      <c r="BU111">
        <v>106</v>
      </c>
      <c r="BV111">
        <v>114</v>
      </c>
      <c r="BW111">
        <v>125</v>
      </c>
      <c r="BX111">
        <v>128</v>
      </c>
      <c r="BY111">
        <v>130</v>
      </c>
      <c r="BZ111">
        <v>134</v>
      </c>
      <c r="CA111">
        <v>135</v>
      </c>
      <c r="CB111">
        <v>135</v>
      </c>
      <c r="CC111">
        <v>139</v>
      </c>
      <c r="CD111">
        <v>141</v>
      </c>
      <c r="CE111">
        <v>141</v>
      </c>
      <c r="CF111">
        <v>143</v>
      </c>
      <c r="CG111">
        <v>143</v>
      </c>
      <c r="CH111">
        <v>143</v>
      </c>
      <c r="CI111">
        <v>143</v>
      </c>
      <c r="CJ111">
        <v>145</v>
      </c>
      <c r="CK111">
        <v>145</v>
      </c>
      <c r="CL111">
        <v>145</v>
      </c>
      <c r="CM111">
        <v>145</v>
      </c>
      <c r="CN111">
        <v>148</v>
      </c>
      <c r="CO111">
        <v>148</v>
      </c>
      <c r="CP111">
        <v>148</v>
      </c>
      <c r="CQ111">
        <v>148</v>
      </c>
      <c r="CR111">
        <v>148</v>
      </c>
      <c r="CS111">
        <v>148</v>
      </c>
      <c r="CT111">
        <v>149</v>
      </c>
      <c r="CU111">
        <v>149</v>
      </c>
      <c r="CV111">
        <v>149</v>
      </c>
      <c r="CW111">
        <v>149</v>
      </c>
      <c r="CX111">
        <v>149</v>
      </c>
      <c r="CY111">
        <v>149</v>
      </c>
      <c r="CZ111">
        <v>151</v>
      </c>
      <c r="DA111">
        <v>152</v>
      </c>
      <c r="DB111">
        <v>152</v>
      </c>
    </row>
    <row r="112" spans="1:106" x14ac:dyDescent="0.25">
      <c r="A112" t="s">
        <v>493</v>
      </c>
      <c r="B112" t="s">
        <v>42</v>
      </c>
      <c r="C112">
        <v>-12.827500000000001</v>
      </c>
      <c r="D112">
        <v>45.166200000000003</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1</v>
      </c>
      <c r="BG112">
        <v>1</v>
      </c>
      <c r="BH112">
        <v>1</v>
      </c>
      <c r="BI112">
        <v>3</v>
      </c>
      <c r="BJ112">
        <v>3</v>
      </c>
      <c r="BK112">
        <v>6</v>
      </c>
      <c r="BL112">
        <v>7</v>
      </c>
      <c r="BM112">
        <v>11</v>
      </c>
      <c r="BN112">
        <v>24</v>
      </c>
      <c r="BO112">
        <v>36</v>
      </c>
      <c r="BP112">
        <v>36</v>
      </c>
      <c r="BQ112">
        <v>36</v>
      </c>
      <c r="BR112">
        <v>50</v>
      </c>
      <c r="BS112">
        <v>63</v>
      </c>
      <c r="BT112">
        <v>63</v>
      </c>
      <c r="BU112">
        <v>82</v>
      </c>
      <c r="BV112">
        <v>94</v>
      </c>
      <c r="BW112">
        <v>94</v>
      </c>
      <c r="BX112">
        <v>116</v>
      </c>
      <c r="BY112">
        <v>128</v>
      </c>
      <c r="BZ112">
        <v>134</v>
      </c>
      <c r="CA112">
        <v>147</v>
      </c>
      <c r="CB112">
        <v>147</v>
      </c>
      <c r="CC112">
        <v>171</v>
      </c>
      <c r="CD112">
        <v>171</v>
      </c>
      <c r="CE112">
        <v>184</v>
      </c>
      <c r="CF112">
        <v>191</v>
      </c>
      <c r="CG112">
        <v>196</v>
      </c>
      <c r="CH112">
        <v>196</v>
      </c>
      <c r="CI112">
        <v>207</v>
      </c>
      <c r="CJ112">
        <v>217</v>
      </c>
      <c r="CK112">
        <v>217</v>
      </c>
      <c r="CL112">
        <v>233</v>
      </c>
      <c r="CM112">
        <v>245</v>
      </c>
      <c r="CN112">
        <v>254</v>
      </c>
      <c r="CO112">
        <v>271</v>
      </c>
      <c r="CP112">
        <v>271</v>
      </c>
      <c r="CQ112">
        <v>311</v>
      </c>
      <c r="CR112">
        <v>326</v>
      </c>
      <c r="CS112">
        <v>326</v>
      </c>
      <c r="CT112">
        <v>354</v>
      </c>
      <c r="CU112">
        <v>380</v>
      </c>
      <c r="CV112">
        <v>401</v>
      </c>
      <c r="CW112">
        <v>401</v>
      </c>
      <c r="CX112">
        <v>460</v>
      </c>
      <c r="CY112">
        <v>460</v>
      </c>
      <c r="CZ112">
        <v>539</v>
      </c>
      <c r="DA112">
        <v>539</v>
      </c>
      <c r="DB112">
        <v>539</v>
      </c>
    </row>
    <row r="113" spans="1:106" x14ac:dyDescent="0.25">
      <c r="A113" t="s">
        <v>733</v>
      </c>
      <c r="B113" t="s">
        <v>42</v>
      </c>
      <c r="C113">
        <v>-20.904299999999999</v>
      </c>
      <c r="D113">
        <v>165.61799999999999</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2</v>
      </c>
      <c r="BK113">
        <v>2</v>
      </c>
      <c r="BL113">
        <v>4</v>
      </c>
      <c r="BM113">
        <v>4</v>
      </c>
      <c r="BN113">
        <v>8</v>
      </c>
      <c r="BO113">
        <v>10</v>
      </c>
      <c r="BP113">
        <v>14</v>
      </c>
      <c r="BQ113">
        <v>14</v>
      </c>
      <c r="BR113">
        <v>15</v>
      </c>
      <c r="BS113">
        <v>15</v>
      </c>
      <c r="BT113">
        <v>15</v>
      </c>
      <c r="BU113">
        <v>15</v>
      </c>
      <c r="BV113">
        <v>16</v>
      </c>
      <c r="BW113">
        <v>16</v>
      </c>
      <c r="BX113">
        <v>18</v>
      </c>
      <c r="BY113">
        <v>18</v>
      </c>
      <c r="BZ113">
        <v>17</v>
      </c>
      <c r="CA113">
        <v>18</v>
      </c>
      <c r="CB113">
        <v>18</v>
      </c>
      <c r="CC113">
        <v>18</v>
      </c>
      <c r="CD113">
        <v>18</v>
      </c>
      <c r="CE113">
        <v>18</v>
      </c>
      <c r="CF113">
        <v>18</v>
      </c>
      <c r="CG113">
        <v>18</v>
      </c>
      <c r="CH113">
        <v>18</v>
      </c>
      <c r="CI113">
        <v>18</v>
      </c>
      <c r="CJ113">
        <v>18</v>
      </c>
      <c r="CK113">
        <v>18</v>
      </c>
      <c r="CL113">
        <v>18</v>
      </c>
      <c r="CM113">
        <v>18</v>
      </c>
      <c r="CN113">
        <v>18</v>
      </c>
      <c r="CO113">
        <v>18</v>
      </c>
      <c r="CP113">
        <v>18</v>
      </c>
      <c r="CQ113">
        <v>18</v>
      </c>
      <c r="CR113">
        <v>18</v>
      </c>
      <c r="CS113">
        <v>18</v>
      </c>
      <c r="CT113">
        <v>18</v>
      </c>
      <c r="CU113">
        <v>18</v>
      </c>
      <c r="CV113">
        <v>18</v>
      </c>
      <c r="CW113">
        <v>18</v>
      </c>
      <c r="CX113">
        <v>18</v>
      </c>
      <c r="CY113">
        <v>18</v>
      </c>
      <c r="CZ113">
        <v>18</v>
      </c>
      <c r="DA113">
        <v>18</v>
      </c>
      <c r="DB113">
        <v>18</v>
      </c>
    </row>
    <row r="114" spans="1:106" x14ac:dyDescent="0.25">
      <c r="A114" t="s">
        <v>185</v>
      </c>
      <c r="B114" t="s">
        <v>42</v>
      </c>
      <c r="C114">
        <v>-21.135100000000001</v>
      </c>
      <c r="D114">
        <v>55.247100000000003</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1</v>
      </c>
      <c r="BC114">
        <v>1</v>
      </c>
      <c r="BD114">
        <v>5</v>
      </c>
      <c r="BE114">
        <v>6</v>
      </c>
      <c r="BF114">
        <v>7</v>
      </c>
      <c r="BG114">
        <v>9</v>
      </c>
      <c r="BH114">
        <v>9</v>
      </c>
      <c r="BI114">
        <v>12</v>
      </c>
      <c r="BJ114">
        <v>14</v>
      </c>
      <c r="BK114">
        <v>28</v>
      </c>
      <c r="BL114">
        <v>45</v>
      </c>
      <c r="BM114">
        <v>64</v>
      </c>
      <c r="BN114">
        <v>71</v>
      </c>
      <c r="BO114">
        <v>94</v>
      </c>
      <c r="BP114">
        <v>111</v>
      </c>
      <c r="BQ114">
        <v>135</v>
      </c>
      <c r="BR114">
        <v>145</v>
      </c>
      <c r="BS114">
        <v>183</v>
      </c>
      <c r="BT114">
        <v>183</v>
      </c>
      <c r="BU114">
        <v>224</v>
      </c>
      <c r="BV114">
        <v>247</v>
      </c>
      <c r="BW114">
        <v>281</v>
      </c>
      <c r="BX114">
        <v>308</v>
      </c>
      <c r="BY114">
        <v>321</v>
      </c>
      <c r="BZ114">
        <v>334</v>
      </c>
      <c r="CA114">
        <v>344</v>
      </c>
      <c r="CB114">
        <v>349</v>
      </c>
      <c r="CC114">
        <v>358</v>
      </c>
      <c r="CD114">
        <v>358</v>
      </c>
      <c r="CE114">
        <v>362</v>
      </c>
      <c r="CF114">
        <v>382</v>
      </c>
      <c r="CG114">
        <v>388</v>
      </c>
      <c r="CH114">
        <v>389</v>
      </c>
      <c r="CI114">
        <v>391</v>
      </c>
      <c r="CJ114">
        <v>391</v>
      </c>
      <c r="CK114">
        <v>391</v>
      </c>
      <c r="CL114">
        <v>394</v>
      </c>
      <c r="CM114">
        <v>402</v>
      </c>
      <c r="CN114">
        <v>407</v>
      </c>
      <c r="CO114">
        <v>408</v>
      </c>
      <c r="CP114">
        <v>408</v>
      </c>
      <c r="CQ114">
        <v>410</v>
      </c>
      <c r="CR114">
        <v>410</v>
      </c>
      <c r="CS114">
        <v>412</v>
      </c>
      <c r="CT114">
        <v>412</v>
      </c>
      <c r="CU114">
        <v>417</v>
      </c>
      <c r="CV114">
        <v>417</v>
      </c>
      <c r="CW114">
        <v>418</v>
      </c>
      <c r="CX114">
        <v>418</v>
      </c>
      <c r="CY114">
        <v>420</v>
      </c>
      <c r="CZ114">
        <v>420</v>
      </c>
      <c r="DA114">
        <v>422</v>
      </c>
      <c r="DB114">
        <v>423</v>
      </c>
    </row>
    <row r="115" spans="1:106" x14ac:dyDescent="0.25">
      <c r="A115" t="s">
        <v>115</v>
      </c>
      <c r="B115" t="s">
        <v>42</v>
      </c>
      <c r="C115">
        <v>17.899999999999999</v>
      </c>
      <c r="D115">
        <v>-62.833300000000001</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3</v>
      </c>
      <c r="AV115">
        <v>3</v>
      </c>
      <c r="AW115">
        <v>3</v>
      </c>
      <c r="AX115">
        <v>3</v>
      </c>
      <c r="AY115">
        <v>3</v>
      </c>
      <c r="AZ115">
        <v>1</v>
      </c>
      <c r="BA115">
        <v>1</v>
      </c>
      <c r="BB115">
        <v>1</v>
      </c>
      <c r="BC115">
        <v>1</v>
      </c>
      <c r="BD115">
        <v>1</v>
      </c>
      <c r="BE115">
        <v>1</v>
      </c>
      <c r="BF115">
        <v>1</v>
      </c>
      <c r="BG115">
        <v>3</v>
      </c>
      <c r="BH115">
        <v>3</v>
      </c>
      <c r="BI115">
        <v>3</v>
      </c>
      <c r="BJ115">
        <v>3</v>
      </c>
      <c r="BK115">
        <v>3</v>
      </c>
      <c r="BL115">
        <v>3</v>
      </c>
      <c r="BM115">
        <v>3</v>
      </c>
      <c r="BN115">
        <v>3</v>
      </c>
      <c r="BO115">
        <v>3</v>
      </c>
      <c r="BP115">
        <v>3</v>
      </c>
      <c r="BQ115">
        <v>3</v>
      </c>
      <c r="BR115">
        <v>5</v>
      </c>
      <c r="BS115">
        <v>5</v>
      </c>
      <c r="BT115">
        <v>5</v>
      </c>
      <c r="BU115">
        <v>6</v>
      </c>
      <c r="BV115">
        <v>6</v>
      </c>
      <c r="BW115">
        <v>6</v>
      </c>
      <c r="BX115">
        <v>6</v>
      </c>
      <c r="BY115">
        <v>6</v>
      </c>
      <c r="BZ115">
        <v>6</v>
      </c>
      <c r="CA115">
        <v>6</v>
      </c>
      <c r="CB115">
        <v>6</v>
      </c>
      <c r="CC115">
        <v>6</v>
      </c>
      <c r="CD115">
        <v>6</v>
      </c>
      <c r="CE115">
        <v>6</v>
      </c>
      <c r="CF115">
        <v>6</v>
      </c>
      <c r="CG115">
        <v>6</v>
      </c>
      <c r="CH115">
        <v>6</v>
      </c>
      <c r="CI115">
        <v>6</v>
      </c>
      <c r="CJ115">
        <v>6</v>
      </c>
      <c r="CK115">
        <v>6</v>
      </c>
      <c r="CL115">
        <v>6</v>
      </c>
      <c r="CM115">
        <v>6</v>
      </c>
      <c r="CN115">
        <v>6</v>
      </c>
      <c r="CO115">
        <v>6</v>
      </c>
      <c r="CP115">
        <v>6</v>
      </c>
      <c r="CQ115">
        <v>6</v>
      </c>
      <c r="CR115">
        <v>6</v>
      </c>
      <c r="CS115">
        <v>6</v>
      </c>
      <c r="CT115">
        <v>6</v>
      </c>
      <c r="CU115">
        <v>6</v>
      </c>
      <c r="CV115">
        <v>6</v>
      </c>
      <c r="CW115">
        <v>6</v>
      </c>
      <c r="CX115">
        <v>6</v>
      </c>
      <c r="CY115">
        <v>6</v>
      </c>
      <c r="CZ115">
        <v>6</v>
      </c>
      <c r="DA115">
        <v>6</v>
      </c>
      <c r="DB115">
        <v>6</v>
      </c>
    </row>
    <row r="116" spans="1:106" x14ac:dyDescent="0.25">
      <c r="A116" t="s">
        <v>179</v>
      </c>
      <c r="B116" t="s">
        <v>42</v>
      </c>
      <c r="C116">
        <v>18.070799999999998</v>
      </c>
      <c r="D116">
        <v>-63.0501</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2</v>
      </c>
      <c r="BA116">
        <v>2</v>
      </c>
      <c r="BB116">
        <v>2</v>
      </c>
      <c r="BC116">
        <v>2</v>
      </c>
      <c r="BD116">
        <v>2</v>
      </c>
      <c r="BE116">
        <v>2</v>
      </c>
      <c r="BF116">
        <v>2</v>
      </c>
      <c r="BG116">
        <v>2</v>
      </c>
      <c r="BH116">
        <v>2</v>
      </c>
      <c r="BI116">
        <v>3</v>
      </c>
      <c r="BJ116">
        <v>4</v>
      </c>
      <c r="BK116">
        <v>4</v>
      </c>
      <c r="BL116">
        <v>4</v>
      </c>
      <c r="BM116">
        <v>5</v>
      </c>
      <c r="BN116">
        <v>8</v>
      </c>
      <c r="BO116">
        <v>8</v>
      </c>
      <c r="BP116">
        <v>11</v>
      </c>
      <c r="BQ116">
        <v>11</v>
      </c>
      <c r="BR116">
        <v>11</v>
      </c>
      <c r="BS116">
        <v>11</v>
      </c>
      <c r="BT116">
        <v>11</v>
      </c>
      <c r="BU116">
        <v>15</v>
      </c>
      <c r="BV116">
        <v>15</v>
      </c>
      <c r="BW116">
        <v>15</v>
      </c>
      <c r="BX116">
        <v>22</v>
      </c>
      <c r="BY116">
        <v>22</v>
      </c>
      <c r="BZ116">
        <v>24</v>
      </c>
      <c r="CA116">
        <v>32</v>
      </c>
      <c r="CB116">
        <v>32</v>
      </c>
      <c r="CC116">
        <v>32</v>
      </c>
      <c r="CD116">
        <v>32</v>
      </c>
      <c r="CE116">
        <v>32</v>
      </c>
      <c r="CF116">
        <v>32</v>
      </c>
      <c r="CG116">
        <v>32</v>
      </c>
      <c r="CH116">
        <v>32</v>
      </c>
      <c r="CI116">
        <v>32</v>
      </c>
      <c r="CJ116">
        <v>32</v>
      </c>
      <c r="CK116">
        <v>35</v>
      </c>
      <c r="CL116">
        <v>35</v>
      </c>
      <c r="CM116">
        <v>35</v>
      </c>
      <c r="CN116">
        <v>37</v>
      </c>
      <c r="CO116">
        <v>37</v>
      </c>
      <c r="CP116">
        <v>37</v>
      </c>
      <c r="CQ116">
        <v>37</v>
      </c>
      <c r="CR116">
        <v>38</v>
      </c>
      <c r="CS116">
        <v>38</v>
      </c>
      <c r="CT116">
        <v>38</v>
      </c>
      <c r="CU116">
        <v>38</v>
      </c>
      <c r="CV116">
        <v>38</v>
      </c>
      <c r="CW116">
        <v>38</v>
      </c>
      <c r="CX116">
        <v>38</v>
      </c>
      <c r="CY116">
        <v>38</v>
      </c>
      <c r="CZ116">
        <v>38</v>
      </c>
      <c r="DA116">
        <v>38</v>
      </c>
      <c r="DB116">
        <v>38</v>
      </c>
    </row>
    <row r="117" spans="1:106" x14ac:dyDescent="0.25">
      <c r="A117" t="s">
        <v>135</v>
      </c>
      <c r="B117" t="s">
        <v>42</v>
      </c>
      <c r="C117">
        <v>14.641500000000001</v>
      </c>
      <c r="D117">
        <v>-61.0242</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2</v>
      </c>
      <c r="AY117">
        <v>2</v>
      </c>
      <c r="AZ117">
        <v>2</v>
      </c>
      <c r="BA117">
        <v>2</v>
      </c>
      <c r="BB117">
        <v>3</v>
      </c>
      <c r="BC117">
        <v>3</v>
      </c>
      <c r="BD117">
        <v>3</v>
      </c>
      <c r="BE117">
        <v>9</v>
      </c>
      <c r="BF117">
        <v>9</v>
      </c>
      <c r="BG117">
        <v>15</v>
      </c>
      <c r="BH117">
        <v>16</v>
      </c>
      <c r="BI117">
        <v>19</v>
      </c>
      <c r="BJ117">
        <v>23</v>
      </c>
      <c r="BK117">
        <v>32</v>
      </c>
      <c r="BL117">
        <v>32</v>
      </c>
      <c r="BM117">
        <v>44</v>
      </c>
      <c r="BN117">
        <v>53</v>
      </c>
      <c r="BO117">
        <v>57</v>
      </c>
      <c r="BP117">
        <v>66</v>
      </c>
      <c r="BQ117">
        <v>66</v>
      </c>
      <c r="BR117">
        <v>81</v>
      </c>
      <c r="BS117">
        <v>93</v>
      </c>
      <c r="BT117">
        <v>93</v>
      </c>
      <c r="BU117">
        <v>93</v>
      </c>
      <c r="BV117">
        <v>128</v>
      </c>
      <c r="BW117">
        <v>135</v>
      </c>
      <c r="BX117">
        <v>138</v>
      </c>
      <c r="BY117">
        <v>143</v>
      </c>
      <c r="BZ117">
        <v>145</v>
      </c>
      <c r="CA117">
        <v>149</v>
      </c>
      <c r="CB117">
        <v>151</v>
      </c>
      <c r="CC117">
        <v>152</v>
      </c>
      <c r="CD117">
        <v>154</v>
      </c>
      <c r="CE117">
        <v>154</v>
      </c>
      <c r="CF117">
        <v>155</v>
      </c>
      <c r="CG117">
        <v>155</v>
      </c>
      <c r="CH117">
        <v>155</v>
      </c>
      <c r="CI117">
        <v>157</v>
      </c>
      <c r="CJ117">
        <v>157</v>
      </c>
      <c r="CK117">
        <v>158</v>
      </c>
      <c r="CL117">
        <v>158</v>
      </c>
      <c r="CM117">
        <v>158</v>
      </c>
      <c r="CN117">
        <v>158</v>
      </c>
      <c r="CO117">
        <v>163</v>
      </c>
      <c r="CP117">
        <v>163</v>
      </c>
      <c r="CQ117">
        <v>163</v>
      </c>
      <c r="CR117">
        <v>164</v>
      </c>
      <c r="CS117">
        <v>164</v>
      </c>
      <c r="CT117">
        <v>170</v>
      </c>
      <c r="CU117">
        <v>175</v>
      </c>
      <c r="CV117">
        <v>175</v>
      </c>
      <c r="CW117">
        <v>175</v>
      </c>
      <c r="CX117">
        <v>175</v>
      </c>
      <c r="CY117">
        <v>175</v>
      </c>
      <c r="CZ117">
        <v>178</v>
      </c>
      <c r="DA117">
        <v>179</v>
      </c>
      <c r="DB117">
        <v>179</v>
      </c>
    </row>
    <row r="118" spans="1:106" x14ac:dyDescent="0.25">
      <c r="B118" t="s">
        <v>42</v>
      </c>
      <c r="C118">
        <v>46.227600000000002</v>
      </c>
      <c r="D118">
        <v>2.2136999999999998</v>
      </c>
      <c r="E118">
        <v>0</v>
      </c>
      <c r="F118">
        <v>0</v>
      </c>
      <c r="G118">
        <v>2</v>
      </c>
      <c r="H118">
        <v>3</v>
      </c>
      <c r="I118">
        <v>3</v>
      </c>
      <c r="J118">
        <v>3</v>
      </c>
      <c r="K118">
        <v>4</v>
      </c>
      <c r="L118">
        <v>5</v>
      </c>
      <c r="M118">
        <v>5</v>
      </c>
      <c r="N118">
        <v>5</v>
      </c>
      <c r="O118">
        <v>6</v>
      </c>
      <c r="P118">
        <v>6</v>
      </c>
      <c r="Q118">
        <v>6</v>
      </c>
      <c r="R118">
        <v>6</v>
      </c>
      <c r="S118">
        <v>6</v>
      </c>
      <c r="T118">
        <v>6</v>
      </c>
      <c r="U118">
        <v>6</v>
      </c>
      <c r="V118">
        <v>11</v>
      </c>
      <c r="W118">
        <v>11</v>
      </c>
      <c r="X118">
        <v>11</v>
      </c>
      <c r="Y118">
        <v>11</v>
      </c>
      <c r="Z118">
        <v>11</v>
      </c>
      <c r="AA118">
        <v>11</v>
      </c>
      <c r="AB118">
        <v>11</v>
      </c>
      <c r="AC118">
        <v>12</v>
      </c>
      <c r="AD118">
        <v>12</v>
      </c>
      <c r="AE118">
        <v>12</v>
      </c>
      <c r="AF118">
        <v>12</v>
      </c>
      <c r="AG118">
        <v>12</v>
      </c>
      <c r="AH118">
        <v>12</v>
      </c>
      <c r="AI118">
        <v>12</v>
      </c>
      <c r="AJ118">
        <v>12</v>
      </c>
      <c r="AK118">
        <v>12</v>
      </c>
      <c r="AL118">
        <v>12</v>
      </c>
      <c r="AM118">
        <v>14</v>
      </c>
      <c r="AN118">
        <v>18</v>
      </c>
      <c r="AO118">
        <v>38</v>
      </c>
      <c r="AP118">
        <v>57</v>
      </c>
      <c r="AQ118">
        <v>100</v>
      </c>
      <c r="AR118">
        <v>130</v>
      </c>
      <c r="AS118">
        <v>191</v>
      </c>
      <c r="AT118">
        <v>204</v>
      </c>
      <c r="AU118">
        <v>285</v>
      </c>
      <c r="AV118">
        <v>377</v>
      </c>
      <c r="AW118">
        <v>653</v>
      </c>
      <c r="AX118">
        <v>949</v>
      </c>
      <c r="AY118">
        <v>1126</v>
      </c>
      <c r="AZ118">
        <v>1209</v>
      </c>
      <c r="BA118">
        <v>1784</v>
      </c>
      <c r="BB118">
        <v>2281</v>
      </c>
      <c r="BC118">
        <v>2281</v>
      </c>
      <c r="BD118">
        <v>3661</v>
      </c>
      <c r="BE118">
        <v>4469</v>
      </c>
      <c r="BF118">
        <v>4499</v>
      </c>
      <c r="BG118">
        <v>6633</v>
      </c>
      <c r="BH118">
        <v>7652</v>
      </c>
      <c r="BI118">
        <v>9043</v>
      </c>
      <c r="BJ118">
        <v>10871</v>
      </c>
      <c r="BK118">
        <v>12612</v>
      </c>
      <c r="BL118">
        <v>14282</v>
      </c>
      <c r="BM118">
        <v>16018</v>
      </c>
      <c r="BN118">
        <v>19856</v>
      </c>
      <c r="BO118">
        <v>22304</v>
      </c>
      <c r="BP118">
        <v>25233</v>
      </c>
      <c r="BQ118">
        <v>29155</v>
      </c>
      <c r="BR118">
        <v>32964</v>
      </c>
      <c r="BS118">
        <v>37575</v>
      </c>
      <c r="BT118">
        <v>40174</v>
      </c>
      <c r="BU118">
        <v>44550</v>
      </c>
      <c r="BV118">
        <v>52128</v>
      </c>
      <c r="BW118">
        <v>56989</v>
      </c>
      <c r="BX118">
        <v>59105</v>
      </c>
      <c r="BY118">
        <v>64338</v>
      </c>
      <c r="BZ118">
        <v>68605</v>
      </c>
      <c r="CA118">
        <v>70478</v>
      </c>
      <c r="CB118">
        <v>74390</v>
      </c>
      <c r="CC118">
        <v>78167</v>
      </c>
      <c r="CD118">
        <v>82048</v>
      </c>
      <c r="CE118">
        <v>86334</v>
      </c>
      <c r="CF118">
        <v>90676</v>
      </c>
      <c r="CG118">
        <v>93790</v>
      </c>
      <c r="CH118">
        <v>120633</v>
      </c>
      <c r="CI118">
        <v>124298</v>
      </c>
      <c r="CJ118">
        <v>129257</v>
      </c>
      <c r="CK118">
        <v>132473</v>
      </c>
      <c r="CL118">
        <v>144944</v>
      </c>
      <c r="CM118">
        <v>146923</v>
      </c>
      <c r="CN118">
        <v>146906</v>
      </c>
      <c r="CO118">
        <v>151808</v>
      </c>
      <c r="CP118">
        <v>154188</v>
      </c>
      <c r="CQ118">
        <v>156921</v>
      </c>
      <c r="CR118">
        <v>154715</v>
      </c>
      <c r="CS118">
        <v>157026</v>
      </c>
      <c r="CT118">
        <v>158636</v>
      </c>
      <c r="CU118">
        <v>160292</v>
      </c>
      <c r="CV118">
        <v>160847</v>
      </c>
      <c r="CW118">
        <v>164589</v>
      </c>
      <c r="CX118">
        <v>167605</v>
      </c>
      <c r="CY118">
        <v>165093</v>
      </c>
      <c r="CZ118">
        <v>165764</v>
      </c>
      <c r="DA118">
        <v>165764</v>
      </c>
      <c r="DB118">
        <v>166976</v>
      </c>
    </row>
    <row r="119" spans="1:106" x14ac:dyDescent="0.25">
      <c r="B119" t="s">
        <v>364</v>
      </c>
      <c r="C119">
        <v>-0.80369999999999997</v>
      </c>
      <c r="D119">
        <v>11.609400000000001</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1</v>
      </c>
      <c r="BF119">
        <v>1</v>
      </c>
      <c r="BG119">
        <v>1</v>
      </c>
      <c r="BH119">
        <v>1</v>
      </c>
      <c r="BI119">
        <v>1</v>
      </c>
      <c r="BJ119">
        <v>1</v>
      </c>
      <c r="BK119">
        <v>3</v>
      </c>
      <c r="BL119">
        <v>4</v>
      </c>
      <c r="BM119">
        <v>5</v>
      </c>
      <c r="BN119">
        <v>5</v>
      </c>
      <c r="BO119">
        <v>6</v>
      </c>
      <c r="BP119">
        <v>6</v>
      </c>
      <c r="BQ119">
        <v>7</v>
      </c>
      <c r="BR119">
        <v>7</v>
      </c>
      <c r="BS119">
        <v>7</v>
      </c>
      <c r="BT119">
        <v>7</v>
      </c>
      <c r="BU119">
        <v>7</v>
      </c>
      <c r="BV119">
        <v>16</v>
      </c>
      <c r="BW119">
        <v>18</v>
      </c>
      <c r="BX119">
        <v>21</v>
      </c>
      <c r="BY119">
        <v>21</v>
      </c>
      <c r="BZ119">
        <v>21</v>
      </c>
      <c r="CA119">
        <v>21</v>
      </c>
      <c r="CB119">
        <v>24</v>
      </c>
      <c r="CC119">
        <v>30</v>
      </c>
      <c r="CD119">
        <v>34</v>
      </c>
      <c r="CE119">
        <v>44</v>
      </c>
      <c r="CF119">
        <v>44</v>
      </c>
      <c r="CG119">
        <v>46</v>
      </c>
      <c r="CH119">
        <v>49</v>
      </c>
      <c r="CI119">
        <v>57</v>
      </c>
      <c r="CJ119">
        <v>57</v>
      </c>
      <c r="CK119">
        <v>80</v>
      </c>
      <c r="CL119">
        <v>80</v>
      </c>
      <c r="CM119">
        <v>108</v>
      </c>
      <c r="CN119">
        <v>108</v>
      </c>
      <c r="CO119">
        <v>109</v>
      </c>
      <c r="CP119">
        <v>120</v>
      </c>
      <c r="CQ119">
        <v>156</v>
      </c>
      <c r="CR119">
        <v>166</v>
      </c>
      <c r="CS119">
        <v>167</v>
      </c>
      <c r="CT119">
        <v>172</v>
      </c>
      <c r="CU119">
        <v>176</v>
      </c>
      <c r="CV119">
        <v>176</v>
      </c>
      <c r="CW119">
        <v>211</v>
      </c>
      <c r="CX119">
        <v>238</v>
      </c>
      <c r="CY119">
        <v>276</v>
      </c>
      <c r="CZ119">
        <v>276</v>
      </c>
      <c r="DA119">
        <v>276</v>
      </c>
      <c r="DB119">
        <v>335</v>
      </c>
    </row>
    <row r="120" spans="1:106" x14ac:dyDescent="0.25">
      <c r="B120" t="s">
        <v>1131</v>
      </c>
      <c r="C120">
        <v>13.443199999999999</v>
      </c>
      <c r="D120">
        <v>-15.3101</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1</v>
      </c>
      <c r="BI120">
        <v>1</v>
      </c>
      <c r="BJ120">
        <v>1</v>
      </c>
      <c r="BK120">
        <v>1</v>
      </c>
      <c r="BL120">
        <v>1</v>
      </c>
      <c r="BM120">
        <v>1</v>
      </c>
      <c r="BN120">
        <v>2</v>
      </c>
      <c r="BO120">
        <v>3</v>
      </c>
      <c r="BP120">
        <v>3</v>
      </c>
      <c r="BQ120">
        <v>3</v>
      </c>
      <c r="BR120">
        <v>3</v>
      </c>
      <c r="BS120">
        <v>3</v>
      </c>
      <c r="BT120">
        <v>4</v>
      </c>
      <c r="BU120">
        <v>4</v>
      </c>
      <c r="BV120">
        <v>4</v>
      </c>
      <c r="BW120">
        <v>4</v>
      </c>
      <c r="BX120">
        <v>4</v>
      </c>
      <c r="BY120">
        <v>4</v>
      </c>
      <c r="BZ120">
        <v>4</v>
      </c>
      <c r="CA120">
        <v>4</v>
      </c>
      <c r="CB120">
        <v>4</v>
      </c>
      <c r="CC120">
        <v>4</v>
      </c>
      <c r="CD120">
        <v>4</v>
      </c>
      <c r="CE120">
        <v>4</v>
      </c>
      <c r="CF120">
        <v>4</v>
      </c>
      <c r="CG120">
        <v>9</v>
      </c>
      <c r="CH120">
        <v>9</v>
      </c>
      <c r="CI120">
        <v>9</v>
      </c>
      <c r="CJ120">
        <v>9</v>
      </c>
      <c r="CK120">
        <v>9</v>
      </c>
      <c r="CL120">
        <v>9</v>
      </c>
      <c r="CM120">
        <v>9</v>
      </c>
      <c r="CN120">
        <v>9</v>
      </c>
      <c r="CO120">
        <v>10</v>
      </c>
      <c r="CP120">
        <v>10</v>
      </c>
      <c r="CQ120">
        <v>10</v>
      </c>
      <c r="CR120">
        <v>10</v>
      </c>
      <c r="CS120">
        <v>10</v>
      </c>
      <c r="CT120">
        <v>10</v>
      </c>
      <c r="CU120">
        <v>10</v>
      </c>
      <c r="CV120">
        <v>10</v>
      </c>
      <c r="CW120">
        <v>10</v>
      </c>
      <c r="CX120">
        <v>10</v>
      </c>
      <c r="CY120">
        <v>10</v>
      </c>
      <c r="CZ120">
        <v>11</v>
      </c>
      <c r="DA120">
        <v>12</v>
      </c>
      <c r="DB120">
        <v>17</v>
      </c>
    </row>
    <row r="121" spans="1:106" x14ac:dyDescent="0.25">
      <c r="B121" t="s">
        <v>80</v>
      </c>
      <c r="C121">
        <v>42.315399999999997</v>
      </c>
      <c r="D121">
        <v>43.356900000000003</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1</v>
      </c>
      <c r="AO121">
        <v>1</v>
      </c>
      <c r="AP121">
        <v>1</v>
      </c>
      <c r="AQ121">
        <v>1</v>
      </c>
      <c r="AR121">
        <v>3</v>
      </c>
      <c r="AS121">
        <v>3</v>
      </c>
      <c r="AT121">
        <v>3</v>
      </c>
      <c r="AU121">
        <v>3</v>
      </c>
      <c r="AV121">
        <v>4</v>
      </c>
      <c r="AW121">
        <v>4</v>
      </c>
      <c r="AX121">
        <v>4</v>
      </c>
      <c r="AY121">
        <v>13</v>
      </c>
      <c r="AZ121">
        <v>15</v>
      </c>
      <c r="BA121">
        <v>15</v>
      </c>
      <c r="BB121">
        <v>24</v>
      </c>
      <c r="BC121">
        <v>24</v>
      </c>
      <c r="BD121">
        <v>25</v>
      </c>
      <c r="BE121">
        <v>30</v>
      </c>
      <c r="BF121">
        <v>33</v>
      </c>
      <c r="BG121">
        <v>33</v>
      </c>
      <c r="BH121">
        <v>34</v>
      </c>
      <c r="BI121">
        <v>38</v>
      </c>
      <c r="BJ121">
        <v>40</v>
      </c>
      <c r="BK121">
        <v>43</v>
      </c>
      <c r="BL121">
        <v>49</v>
      </c>
      <c r="BM121">
        <v>54</v>
      </c>
      <c r="BN121">
        <v>61</v>
      </c>
      <c r="BO121">
        <v>70</v>
      </c>
      <c r="BP121">
        <v>75</v>
      </c>
      <c r="BQ121">
        <v>79</v>
      </c>
      <c r="BR121">
        <v>83</v>
      </c>
      <c r="BS121">
        <v>90</v>
      </c>
      <c r="BT121">
        <v>91</v>
      </c>
      <c r="BU121">
        <v>103</v>
      </c>
      <c r="BV121">
        <v>110</v>
      </c>
      <c r="BW121">
        <v>117</v>
      </c>
      <c r="BX121">
        <v>134</v>
      </c>
      <c r="BY121">
        <v>155</v>
      </c>
      <c r="BZ121">
        <v>162</v>
      </c>
      <c r="CA121">
        <v>174</v>
      </c>
      <c r="CB121">
        <v>188</v>
      </c>
      <c r="CC121">
        <v>196</v>
      </c>
      <c r="CD121">
        <v>211</v>
      </c>
      <c r="CE121">
        <v>218</v>
      </c>
      <c r="CF121">
        <v>234</v>
      </c>
      <c r="CG121">
        <v>242</v>
      </c>
      <c r="CH121">
        <v>257</v>
      </c>
      <c r="CI121">
        <v>272</v>
      </c>
      <c r="CJ121">
        <v>300</v>
      </c>
      <c r="CK121">
        <v>306</v>
      </c>
      <c r="CL121">
        <v>348</v>
      </c>
      <c r="CM121">
        <v>370</v>
      </c>
      <c r="CN121">
        <v>388</v>
      </c>
      <c r="CO121">
        <v>394</v>
      </c>
      <c r="CP121">
        <v>402</v>
      </c>
      <c r="CQ121">
        <v>408</v>
      </c>
      <c r="CR121">
        <v>416</v>
      </c>
      <c r="CS121">
        <v>425</v>
      </c>
      <c r="CT121">
        <v>444</v>
      </c>
      <c r="CU121">
        <v>456</v>
      </c>
      <c r="CV121">
        <v>486</v>
      </c>
      <c r="CW121">
        <v>497</v>
      </c>
      <c r="CX121">
        <v>511</v>
      </c>
      <c r="CY121">
        <v>517</v>
      </c>
      <c r="CZ121">
        <v>539</v>
      </c>
      <c r="DA121">
        <v>566</v>
      </c>
      <c r="DB121">
        <v>582</v>
      </c>
    </row>
    <row r="122" spans="1:106" x14ac:dyDescent="0.25">
      <c r="B122" t="s">
        <v>53</v>
      </c>
      <c r="C122">
        <v>51</v>
      </c>
      <c r="D122">
        <v>9</v>
      </c>
      <c r="E122">
        <v>0</v>
      </c>
      <c r="F122">
        <v>0</v>
      </c>
      <c r="G122">
        <v>0</v>
      </c>
      <c r="H122">
        <v>0</v>
      </c>
      <c r="I122">
        <v>0</v>
      </c>
      <c r="J122">
        <v>1</v>
      </c>
      <c r="K122">
        <v>4</v>
      </c>
      <c r="L122">
        <v>4</v>
      </c>
      <c r="M122">
        <v>4</v>
      </c>
      <c r="N122">
        <v>5</v>
      </c>
      <c r="O122">
        <v>8</v>
      </c>
      <c r="P122">
        <v>10</v>
      </c>
      <c r="Q122">
        <v>12</v>
      </c>
      <c r="R122">
        <v>12</v>
      </c>
      <c r="S122">
        <v>12</v>
      </c>
      <c r="T122">
        <v>12</v>
      </c>
      <c r="U122">
        <v>13</v>
      </c>
      <c r="V122">
        <v>13</v>
      </c>
      <c r="W122">
        <v>14</v>
      </c>
      <c r="X122">
        <v>14</v>
      </c>
      <c r="Y122">
        <v>16</v>
      </c>
      <c r="Z122">
        <v>16</v>
      </c>
      <c r="AA122">
        <v>16</v>
      </c>
      <c r="AB122">
        <v>16</v>
      </c>
      <c r="AC122">
        <v>16</v>
      </c>
      <c r="AD122">
        <v>16</v>
      </c>
      <c r="AE122">
        <v>16</v>
      </c>
      <c r="AF122">
        <v>16</v>
      </c>
      <c r="AG122">
        <v>16</v>
      </c>
      <c r="AH122">
        <v>16</v>
      </c>
      <c r="AI122">
        <v>16</v>
      </c>
      <c r="AJ122">
        <v>16</v>
      </c>
      <c r="AK122">
        <v>16</v>
      </c>
      <c r="AL122">
        <v>16</v>
      </c>
      <c r="AM122">
        <v>17</v>
      </c>
      <c r="AN122">
        <v>27</v>
      </c>
      <c r="AO122">
        <v>46</v>
      </c>
      <c r="AP122">
        <v>48</v>
      </c>
      <c r="AQ122">
        <v>79</v>
      </c>
      <c r="AR122">
        <v>130</v>
      </c>
      <c r="AS122">
        <v>159</v>
      </c>
      <c r="AT122">
        <v>196</v>
      </c>
      <c r="AU122">
        <v>262</v>
      </c>
      <c r="AV122">
        <v>482</v>
      </c>
      <c r="AW122">
        <v>670</v>
      </c>
      <c r="AX122">
        <v>799</v>
      </c>
      <c r="AY122">
        <v>1040</v>
      </c>
      <c r="AZ122">
        <v>1176</v>
      </c>
      <c r="BA122">
        <v>1457</v>
      </c>
      <c r="BB122">
        <v>1908</v>
      </c>
      <c r="BC122">
        <v>2078</v>
      </c>
      <c r="BD122">
        <v>3675</v>
      </c>
      <c r="BE122">
        <v>4585</v>
      </c>
      <c r="BF122">
        <v>5795</v>
      </c>
      <c r="BG122">
        <v>7272</v>
      </c>
      <c r="BH122">
        <v>9257</v>
      </c>
      <c r="BI122">
        <v>12327</v>
      </c>
      <c r="BJ122">
        <v>15320</v>
      </c>
      <c r="BK122">
        <v>19848</v>
      </c>
      <c r="BL122">
        <v>22213</v>
      </c>
      <c r="BM122">
        <v>24873</v>
      </c>
      <c r="BN122">
        <v>29056</v>
      </c>
      <c r="BO122">
        <v>32986</v>
      </c>
      <c r="BP122">
        <v>37323</v>
      </c>
      <c r="BQ122">
        <v>43938</v>
      </c>
      <c r="BR122">
        <v>50871</v>
      </c>
      <c r="BS122">
        <v>57695</v>
      </c>
      <c r="BT122">
        <v>62095</v>
      </c>
      <c r="BU122">
        <v>66885</v>
      </c>
      <c r="BV122">
        <v>71808</v>
      </c>
      <c r="BW122">
        <v>77872</v>
      </c>
      <c r="BX122">
        <v>84794</v>
      </c>
      <c r="BY122">
        <v>91159</v>
      </c>
      <c r="BZ122">
        <v>96092</v>
      </c>
      <c r="CA122">
        <v>100123</v>
      </c>
      <c r="CB122">
        <v>103374</v>
      </c>
      <c r="CC122">
        <v>107663</v>
      </c>
      <c r="CD122">
        <v>113296</v>
      </c>
      <c r="CE122">
        <v>118181</v>
      </c>
      <c r="CF122">
        <v>122171</v>
      </c>
      <c r="CG122">
        <v>124908</v>
      </c>
      <c r="CH122">
        <v>127854</v>
      </c>
      <c r="CI122">
        <v>130072</v>
      </c>
      <c r="CJ122">
        <v>131359</v>
      </c>
      <c r="CK122">
        <v>134753</v>
      </c>
      <c r="CL122">
        <v>137698</v>
      </c>
      <c r="CM122">
        <v>141397</v>
      </c>
      <c r="CN122">
        <v>143342</v>
      </c>
      <c r="CO122">
        <v>145184</v>
      </c>
      <c r="CP122">
        <v>147065</v>
      </c>
      <c r="CQ122">
        <v>148291</v>
      </c>
      <c r="CR122">
        <v>150648</v>
      </c>
      <c r="CS122">
        <v>153129</v>
      </c>
      <c r="CT122">
        <v>154999</v>
      </c>
      <c r="CU122">
        <v>156513</v>
      </c>
      <c r="CV122">
        <v>157770</v>
      </c>
      <c r="CW122">
        <v>158758</v>
      </c>
      <c r="CX122">
        <v>159912</v>
      </c>
      <c r="CY122">
        <v>161539</v>
      </c>
      <c r="CZ122">
        <v>163009</v>
      </c>
      <c r="DA122">
        <v>164077</v>
      </c>
      <c r="DB122">
        <v>164967</v>
      </c>
    </row>
    <row r="123" spans="1:106" x14ac:dyDescent="0.25">
      <c r="B123" t="s">
        <v>357</v>
      </c>
      <c r="C123">
        <v>7.9465000000000003</v>
      </c>
      <c r="D123">
        <v>-1.0232000000000001</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3</v>
      </c>
      <c r="BF123">
        <v>6</v>
      </c>
      <c r="BG123">
        <v>6</v>
      </c>
      <c r="BH123">
        <v>7</v>
      </c>
      <c r="BI123">
        <v>7</v>
      </c>
      <c r="BJ123">
        <v>11</v>
      </c>
      <c r="BK123">
        <v>16</v>
      </c>
      <c r="BL123">
        <v>19</v>
      </c>
      <c r="BM123">
        <v>23</v>
      </c>
      <c r="BN123">
        <v>27</v>
      </c>
      <c r="BO123">
        <v>53</v>
      </c>
      <c r="BP123">
        <v>93</v>
      </c>
      <c r="BQ123">
        <v>132</v>
      </c>
      <c r="BR123">
        <v>137</v>
      </c>
      <c r="BS123">
        <v>141</v>
      </c>
      <c r="BT123">
        <v>152</v>
      </c>
      <c r="BU123">
        <v>152</v>
      </c>
      <c r="BV123">
        <v>161</v>
      </c>
      <c r="BW123">
        <v>195</v>
      </c>
      <c r="BX123">
        <v>204</v>
      </c>
      <c r="BY123">
        <v>205</v>
      </c>
      <c r="BZ123">
        <v>205</v>
      </c>
      <c r="CA123">
        <v>214</v>
      </c>
      <c r="CB123">
        <v>214</v>
      </c>
      <c r="CC123">
        <v>287</v>
      </c>
      <c r="CD123">
        <v>313</v>
      </c>
      <c r="CE123">
        <v>378</v>
      </c>
      <c r="CF123">
        <v>378</v>
      </c>
      <c r="CG123">
        <v>408</v>
      </c>
      <c r="CH123">
        <v>566</v>
      </c>
      <c r="CI123">
        <v>566</v>
      </c>
      <c r="CJ123">
        <v>636</v>
      </c>
      <c r="CK123">
        <v>636</v>
      </c>
      <c r="CL123">
        <v>641</v>
      </c>
      <c r="CM123">
        <v>641</v>
      </c>
      <c r="CN123">
        <v>834</v>
      </c>
      <c r="CO123">
        <v>1042</v>
      </c>
      <c r="CP123">
        <v>1042</v>
      </c>
      <c r="CQ123">
        <v>1042</v>
      </c>
      <c r="CR123">
        <v>1154</v>
      </c>
      <c r="CS123">
        <v>1154</v>
      </c>
      <c r="CT123">
        <v>1279</v>
      </c>
      <c r="CU123">
        <v>1279</v>
      </c>
      <c r="CV123">
        <v>1550</v>
      </c>
      <c r="CW123">
        <v>1550</v>
      </c>
      <c r="CX123">
        <v>1671</v>
      </c>
      <c r="CY123">
        <v>1671</v>
      </c>
      <c r="CZ123">
        <v>2074</v>
      </c>
      <c r="DA123">
        <v>2074</v>
      </c>
      <c r="DB123">
        <v>2169</v>
      </c>
    </row>
    <row r="124" spans="1:106" x14ac:dyDescent="0.25">
      <c r="B124" t="s">
        <v>81</v>
      </c>
      <c r="C124">
        <v>39.074199999999998</v>
      </c>
      <c r="D124">
        <v>21.824300000000001</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1</v>
      </c>
      <c r="AO124">
        <v>3</v>
      </c>
      <c r="AP124">
        <v>4</v>
      </c>
      <c r="AQ124">
        <v>4</v>
      </c>
      <c r="AR124">
        <v>7</v>
      </c>
      <c r="AS124">
        <v>7</v>
      </c>
      <c r="AT124">
        <v>7</v>
      </c>
      <c r="AU124">
        <v>9</v>
      </c>
      <c r="AV124">
        <v>31</v>
      </c>
      <c r="AW124">
        <v>45</v>
      </c>
      <c r="AX124">
        <v>46</v>
      </c>
      <c r="AY124">
        <v>73</v>
      </c>
      <c r="AZ124">
        <v>73</v>
      </c>
      <c r="BA124">
        <v>89</v>
      </c>
      <c r="BB124">
        <v>99</v>
      </c>
      <c r="BC124">
        <v>99</v>
      </c>
      <c r="BD124">
        <v>190</v>
      </c>
      <c r="BE124">
        <v>228</v>
      </c>
      <c r="BF124">
        <v>331</v>
      </c>
      <c r="BG124">
        <v>331</v>
      </c>
      <c r="BH124">
        <v>387</v>
      </c>
      <c r="BI124">
        <v>418</v>
      </c>
      <c r="BJ124">
        <v>418</v>
      </c>
      <c r="BK124">
        <v>495</v>
      </c>
      <c r="BL124">
        <v>530</v>
      </c>
      <c r="BM124">
        <v>624</v>
      </c>
      <c r="BN124">
        <v>695</v>
      </c>
      <c r="BO124">
        <v>743</v>
      </c>
      <c r="BP124">
        <v>821</v>
      </c>
      <c r="BQ124">
        <v>892</v>
      </c>
      <c r="BR124">
        <v>966</v>
      </c>
      <c r="BS124">
        <v>1061</v>
      </c>
      <c r="BT124">
        <v>1156</v>
      </c>
      <c r="BU124">
        <v>1212</v>
      </c>
      <c r="BV124">
        <v>1314</v>
      </c>
      <c r="BW124">
        <v>1415</v>
      </c>
      <c r="BX124">
        <v>1544</v>
      </c>
      <c r="BY124">
        <v>1613</v>
      </c>
      <c r="BZ124">
        <v>1673</v>
      </c>
      <c r="CA124">
        <v>1735</v>
      </c>
      <c r="CB124">
        <v>1755</v>
      </c>
      <c r="CC124">
        <v>1832</v>
      </c>
      <c r="CD124">
        <v>1884</v>
      </c>
      <c r="CE124">
        <v>1955</v>
      </c>
      <c r="CF124">
        <v>2011</v>
      </c>
      <c r="CG124">
        <v>2081</v>
      </c>
      <c r="CH124">
        <v>2114</v>
      </c>
      <c r="CI124">
        <v>2145</v>
      </c>
      <c r="CJ124">
        <v>2170</v>
      </c>
      <c r="CK124">
        <v>2192</v>
      </c>
      <c r="CL124">
        <v>2207</v>
      </c>
      <c r="CM124">
        <v>2224</v>
      </c>
      <c r="CN124">
        <v>2235</v>
      </c>
      <c r="CO124">
        <v>2235</v>
      </c>
      <c r="CP124">
        <v>2245</v>
      </c>
      <c r="CQ124">
        <v>2401</v>
      </c>
      <c r="CR124">
        <v>2408</v>
      </c>
      <c r="CS124">
        <v>2463</v>
      </c>
      <c r="CT124">
        <v>2490</v>
      </c>
      <c r="CU124">
        <v>2506</v>
      </c>
      <c r="CV124">
        <v>2517</v>
      </c>
      <c r="CW124">
        <v>2534</v>
      </c>
      <c r="CX124">
        <v>2566</v>
      </c>
      <c r="CY124">
        <v>2576</v>
      </c>
      <c r="CZ124">
        <v>2591</v>
      </c>
      <c r="DA124">
        <v>2612</v>
      </c>
      <c r="DB124">
        <v>2620</v>
      </c>
    </row>
    <row r="125" spans="1:106" x14ac:dyDescent="0.25">
      <c r="B125" t="s">
        <v>365</v>
      </c>
      <c r="C125">
        <v>15.7835</v>
      </c>
      <c r="D125">
        <v>-90.230800000000002</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1</v>
      </c>
      <c r="BF125">
        <v>1</v>
      </c>
      <c r="BG125">
        <v>2</v>
      </c>
      <c r="BH125">
        <v>6</v>
      </c>
      <c r="BI125">
        <v>6</v>
      </c>
      <c r="BJ125">
        <v>9</v>
      </c>
      <c r="BK125">
        <v>12</v>
      </c>
      <c r="BL125">
        <v>17</v>
      </c>
      <c r="BM125">
        <v>19</v>
      </c>
      <c r="BN125">
        <v>20</v>
      </c>
      <c r="BO125">
        <v>21</v>
      </c>
      <c r="BP125">
        <v>24</v>
      </c>
      <c r="BQ125">
        <v>25</v>
      </c>
      <c r="BR125">
        <v>28</v>
      </c>
      <c r="BS125">
        <v>34</v>
      </c>
      <c r="BT125">
        <v>34</v>
      </c>
      <c r="BU125">
        <v>36</v>
      </c>
      <c r="BV125">
        <v>38</v>
      </c>
      <c r="BW125">
        <v>39</v>
      </c>
      <c r="BX125">
        <v>47</v>
      </c>
      <c r="BY125">
        <v>50</v>
      </c>
      <c r="BZ125">
        <v>61</v>
      </c>
      <c r="CA125">
        <v>61</v>
      </c>
      <c r="CB125">
        <v>70</v>
      </c>
      <c r="CC125">
        <v>77</v>
      </c>
      <c r="CD125">
        <v>87</v>
      </c>
      <c r="CE125">
        <v>95</v>
      </c>
      <c r="CF125">
        <v>126</v>
      </c>
      <c r="CG125">
        <v>137</v>
      </c>
      <c r="CH125">
        <v>155</v>
      </c>
      <c r="CI125">
        <v>156</v>
      </c>
      <c r="CJ125">
        <v>167</v>
      </c>
      <c r="CK125">
        <v>180</v>
      </c>
      <c r="CL125">
        <v>196</v>
      </c>
      <c r="CM125">
        <v>214</v>
      </c>
      <c r="CN125">
        <v>235</v>
      </c>
      <c r="CO125">
        <v>257</v>
      </c>
      <c r="CP125">
        <v>289</v>
      </c>
      <c r="CQ125">
        <v>294</v>
      </c>
      <c r="CR125">
        <v>316</v>
      </c>
      <c r="CS125">
        <v>384</v>
      </c>
      <c r="CT125">
        <v>430</v>
      </c>
      <c r="CU125">
        <v>473</v>
      </c>
      <c r="CV125">
        <v>500</v>
      </c>
      <c r="CW125">
        <v>530</v>
      </c>
      <c r="CX125">
        <v>530</v>
      </c>
      <c r="CY125">
        <v>557</v>
      </c>
      <c r="CZ125">
        <v>599</v>
      </c>
      <c r="DA125">
        <v>644</v>
      </c>
      <c r="DB125">
        <v>688</v>
      </c>
    </row>
    <row r="126" spans="1:106" x14ac:dyDescent="0.25">
      <c r="B126" t="s">
        <v>204</v>
      </c>
      <c r="C126">
        <v>9.9456000000000007</v>
      </c>
      <c r="D126">
        <v>-9.6966000000000001</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1</v>
      </c>
      <c r="BE126">
        <v>1</v>
      </c>
      <c r="BF126">
        <v>1</v>
      </c>
      <c r="BG126">
        <v>1</v>
      </c>
      <c r="BH126">
        <v>1</v>
      </c>
      <c r="BI126">
        <v>1</v>
      </c>
      <c r="BJ126">
        <v>1</v>
      </c>
      <c r="BK126">
        <v>1</v>
      </c>
      <c r="BL126">
        <v>2</v>
      </c>
      <c r="BM126">
        <v>2</v>
      </c>
      <c r="BN126">
        <v>4</v>
      </c>
      <c r="BO126">
        <v>4</v>
      </c>
      <c r="BP126">
        <v>4</v>
      </c>
      <c r="BQ126">
        <v>4</v>
      </c>
      <c r="BR126">
        <v>8</v>
      </c>
      <c r="BS126">
        <v>8</v>
      </c>
      <c r="BT126">
        <v>16</v>
      </c>
      <c r="BU126">
        <v>22</v>
      </c>
      <c r="BV126">
        <v>22</v>
      </c>
      <c r="BW126">
        <v>30</v>
      </c>
      <c r="BX126">
        <v>52</v>
      </c>
      <c r="BY126">
        <v>73</v>
      </c>
      <c r="BZ126">
        <v>111</v>
      </c>
      <c r="CA126">
        <v>121</v>
      </c>
      <c r="CB126">
        <v>128</v>
      </c>
      <c r="CC126">
        <v>144</v>
      </c>
      <c r="CD126">
        <v>164</v>
      </c>
      <c r="CE126">
        <v>194</v>
      </c>
      <c r="CF126">
        <v>212</v>
      </c>
      <c r="CG126">
        <v>250</v>
      </c>
      <c r="CH126">
        <v>250</v>
      </c>
      <c r="CI126">
        <v>319</v>
      </c>
      <c r="CJ126">
        <v>363</v>
      </c>
      <c r="CK126">
        <v>404</v>
      </c>
      <c r="CL126">
        <v>438</v>
      </c>
      <c r="CM126">
        <v>477</v>
      </c>
      <c r="CN126">
        <v>518</v>
      </c>
      <c r="CO126">
        <v>579</v>
      </c>
      <c r="CP126">
        <v>622</v>
      </c>
      <c r="CQ126">
        <v>688</v>
      </c>
      <c r="CR126">
        <v>761</v>
      </c>
      <c r="CS126">
        <v>862</v>
      </c>
      <c r="CT126">
        <v>954</v>
      </c>
      <c r="CU126">
        <v>996</v>
      </c>
      <c r="CV126">
        <v>996</v>
      </c>
      <c r="CW126">
        <v>1163</v>
      </c>
      <c r="CX126">
        <v>1240</v>
      </c>
      <c r="CY126">
        <v>1351</v>
      </c>
      <c r="CZ126">
        <v>1495</v>
      </c>
      <c r="DA126">
        <v>1537</v>
      </c>
      <c r="DB126">
        <v>1586</v>
      </c>
    </row>
    <row r="127" spans="1:106" x14ac:dyDescent="0.25">
      <c r="B127" t="s">
        <v>195</v>
      </c>
      <c r="C127">
        <v>5</v>
      </c>
      <c r="D127">
        <v>-58.75</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1</v>
      </c>
      <c r="BD127">
        <v>1</v>
      </c>
      <c r="BE127">
        <v>1</v>
      </c>
      <c r="BF127">
        <v>4</v>
      </c>
      <c r="BG127">
        <v>4</v>
      </c>
      <c r="BH127">
        <v>7</v>
      </c>
      <c r="BI127">
        <v>7</v>
      </c>
      <c r="BJ127">
        <v>7</v>
      </c>
      <c r="BK127">
        <v>7</v>
      </c>
      <c r="BL127">
        <v>7</v>
      </c>
      <c r="BM127">
        <v>19</v>
      </c>
      <c r="BN127">
        <v>20</v>
      </c>
      <c r="BO127">
        <v>5</v>
      </c>
      <c r="BP127">
        <v>5</v>
      </c>
      <c r="BQ127">
        <v>5</v>
      </c>
      <c r="BR127">
        <v>5</v>
      </c>
      <c r="BS127">
        <v>8</v>
      </c>
      <c r="BT127">
        <v>8</v>
      </c>
      <c r="BU127">
        <v>8</v>
      </c>
      <c r="BV127">
        <v>12</v>
      </c>
      <c r="BW127">
        <v>19</v>
      </c>
      <c r="BX127">
        <v>19</v>
      </c>
      <c r="BY127">
        <v>23</v>
      </c>
      <c r="BZ127">
        <v>23</v>
      </c>
      <c r="CA127">
        <v>24</v>
      </c>
      <c r="CB127">
        <v>31</v>
      </c>
      <c r="CC127">
        <v>33</v>
      </c>
      <c r="CD127">
        <v>37</v>
      </c>
      <c r="CE127">
        <v>37</v>
      </c>
      <c r="CF127">
        <v>37</v>
      </c>
      <c r="CG127">
        <v>45</v>
      </c>
      <c r="CH127">
        <v>45</v>
      </c>
      <c r="CI127">
        <v>45</v>
      </c>
      <c r="CJ127">
        <v>47</v>
      </c>
      <c r="CK127">
        <v>55</v>
      </c>
      <c r="CL127">
        <v>55</v>
      </c>
      <c r="CM127">
        <v>63</v>
      </c>
      <c r="CN127">
        <v>63</v>
      </c>
      <c r="CO127">
        <v>65</v>
      </c>
      <c r="CP127">
        <v>65</v>
      </c>
      <c r="CQ127">
        <v>66</v>
      </c>
      <c r="CR127">
        <v>67</v>
      </c>
      <c r="CS127">
        <v>70</v>
      </c>
      <c r="CT127">
        <v>73</v>
      </c>
      <c r="CU127">
        <v>73</v>
      </c>
      <c r="CV127">
        <v>74</v>
      </c>
      <c r="CW127">
        <v>74</v>
      </c>
      <c r="CX127">
        <v>74</v>
      </c>
      <c r="CY127">
        <v>78</v>
      </c>
      <c r="CZ127">
        <v>82</v>
      </c>
      <c r="DA127">
        <v>82</v>
      </c>
      <c r="DB127">
        <v>82</v>
      </c>
    </row>
    <row r="128" spans="1:106" x14ac:dyDescent="0.25">
      <c r="B128" t="s">
        <v>740</v>
      </c>
      <c r="C128">
        <v>18.9712</v>
      </c>
      <c r="D128">
        <v>-72.285200000000003</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2</v>
      </c>
      <c r="BL128">
        <v>2</v>
      </c>
      <c r="BM128">
        <v>2</v>
      </c>
      <c r="BN128">
        <v>6</v>
      </c>
      <c r="BO128">
        <v>7</v>
      </c>
      <c r="BP128">
        <v>8</v>
      </c>
      <c r="BQ128">
        <v>8</v>
      </c>
      <c r="BR128">
        <v>8</v>
      </c>
      <c r="BS128">
        <v>8</v>
      </c>
      <c r="BT128">
        <v>15</v>
      </c>
      <c r="BU128">
        <v>15</v>
      </c>
      <c r="BV128">
        <v>15</v>
      </c>
      <c r="BW128">
        <v>16</v>
      </c>
      <c r="BX128">
        <v>16</v>
      </c>
      <c r="BY128">
        <v>18</v>
      </c>
      <c r="BZ128">
        <v>20</v>
      </c>
      <c r="CA128">
        <v>21</v>
      </c>
      <c r="CB128">
        <v>24</v>
      </c>
      <c r="CC128">
        <v>25</v>
      </c>
      <c r="CD128">
        <v>27</v>
      </c>
      <c r="CE128">
        <v>30</v>
      </c>
      <c r="CF128">
        <v>31</v>
      </c>
      <c r="CG128">
        <v>33</v>
      </c>
      <c r="CH128">
        <v>33</v>
      </c>
      <c r="CI128">
        <v>40</v>
      </c>
      <c r="CJ128">
        <v>40</v>
      </c>
      <c r="CK128">
        <v>41</v>
      </c>
      <c r="CL128">
        <v>41</v>
      </c>
      <c r="CM128">
        <v>43</v>
      </c>
      <c r="CN128">
        <v>44</v>
      </c>
      <c r="CO128">
        <v>47</v>
      </c>
      <c r="CP128">
        <v>57</v>
      </c>
      <c r="CQ128">
        <v>57</v>
      </c>
      <c r="CR128">
        <v>62</v>
      </c>
      <c r="CS128">
        <v>72</v>
      </c>
      <c r="CT128">
        <v>72</v>
      </c>
      <c r="CU128">
        <v>72</v>
      </c>
      <c r="CV128">
        <v>74</v>
      </c>
      <c r="CW128">
        <v>76</v>
      </c>
      <c r="CX128">
        <v>76</v>
      </c>
      <c r="CY128">
        <v>76</v>
      </c>
      <c r="CZ128">
        <v>81</v>
      </c>
      <c r="DA128">
        <v>85</v>
      </c>
      <c r="DB128">
        <v>85</v>
      </c>
    </row>
    <row r="129" spans="2:106" x14ac:dyDescent="0.25">
      <c r="B129" t="s">
        <v>150</v>
      </c>
      <c r="C129">
        <v>41.902900000000002</v>
      </c>
      <c r="D129">
        <v>12.4534</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1</v>
      </c>
      <c r="AX129">
        <v>1</v>
      </c>
      <c r="AY129">
        <v>1</v>
      </c>
      <c r="AZ129">
        <v>1</v>
      </c>
      <c r="BA129">
        <v>1</v>
      </c>
      <c r="BB129">
        <v>1</v>
      </c>
      <c r="BC129">
        <v>1</v>
      </c>
      <c r="BD129">
        <v>1</v>
      </c>
      <c r="BE129">
        <v>1</v>
      </c>
      <c r="BF129">
        <v>1</v>
      </c>
      <c r="BG129">
        <v>1</v>
      </c>
      <c r="BH129">
        <v>1</v>
      </c>
      <c r="BI129">
        <v>1</v>
      </c>
      <c r="BJ129">
        <v>1</v>
      </c>
      <c r="BK129">
        <v>1</v>
      </c>
      <c r="BL129">
        <v>1</v>
      </c>
      <c r="BM129">
        <v>1</v>
      </c>
      <c r="BN129">
        <v>1</v>
      </c>
      <c r="BO129">
        <v>4</v>
      </c>
      <c r="BP129">
        <v>4</v>
      </c>
      <c r="BQ129">
        <v>4</v>
      </c>
      <c r="BR129">
        <v>4</v>
      </c>
      <c r="BS129">
        <v>6</v>
      </c>
      <c r="BT129">
        <v>6</v>
      </c>
      <c r="BU129">
        <v>6</v>
      </c>
      <c r="BV129">
        <v>6</v>
      </c>
      <c r="BW129">
        <v>6</v>
      </c>
      <c r="BX129">
        <v>7</v>
      </c>
      <c r="BY129">
        <v>7</v>
      </c>
      <c r="BZ129">
        <v>7</v>
      </c>
      <c r="CA129">
        <v>7</v>
      </c>
      <c r="CB129">
        <v>7</v>
      </c>
      <c r="CC129">
        <v>7</v>
      </c>
      <c r="CD129">
        <v>8</v>
      </c>
      <c r="CE129">
        <v>8</v>
      </c>
      <c r="CF129">
        <v>8</v>
      </c>
      <c r="CG129">
        <v>8</v>
      </c>
      <c r="CH129">
        <v>8</v>
      </c>
      <c r="CI129">
        <v>8</v>
      </c>
      <c r="CJ129">
        <v>8</v>
      </c>
      <c r="CK129">
        <v>8</v>
      </c>
      <c r="CL129">
        <v>8</v>
      </c>
      <c r="CM129">
        <v>8</v>
      </c>
      <c r="CN129">
        <v>8</v>
      </c>
      <c r="CO129">
        <v>8</v>
      </c>
      <c r="CP129">
        <v>9</v>
      </c>
      <c r="CQ129">
        <v>9</v>
      </c>
      <c r="CR129">
        <v>9</v>
      </c>
      <c r="CS129">
        <v>9</v>
      </c>
      <c r="CT129">
        <v>9</v>
      </c>
      <c r="CU129">
        <v>9</v>
      </c>
      <c r="CV129">
        <v>9</v>
      </c>
      <c r="CW129">
        <v>9</v>
      </c>
      <c r="CX129">
        <v>10</v>
      </c>
      <c r="CY129">
        <v>10</v>
      </c>
      <c r="CZ129">
        <v>11</v>
      </c>
      <c r="DA129">
        <v>11</v>
      </c>
      <c r="DB129">
        <v>11</v>
      </c>
    </row>
    <row r="130" spans="2:106" x14ac:dyDescent="0.25">
      <c r="B130" t="s">
        <v>180</v>
      </c>
      <c r="C130">
        <v>15.2</v>
      </c>
      <c r="D130">
        <v>-86.241900000000001</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2</v>
      </c>
      <c r="BC130">
        <v>2</v>
      </c>
      <c r="BD130">
        <v>2</v>
      </c>
      <c r="BE130">
        <v>2</v>
      </c>
      <c r="BF130">
        <v>3</v>
      </c>
      <c r="BG130">
        <v>6</v>
      </c>
      <c r="BH130">
        <v>8</v>
      </c>
      <c r="BI130">
        <v>9</v>
      </c>
      <c r="BJ130">
        <v>12</v>
      </c>
      <c r="BK130">
        <v>24</v>
      </c>
      <c r="BL130">
        <v>24</v>
      </c>
      <c r="BM130">
        <v>26</v>
      </c>
      <c r="BN130">
        <v>30</v>
      </c>
      <c r="BO130">
        <v>30</v>
      </c>
      <c r="BP130">
        <v>36</v>
      </c>
      <c r="BQ130">
        <v>52</v>
      </c>
      <c r="BR130">
        <v>68</v>
      </c>
      <c r="BS130">
        <v>95</v>
      </c>
      <c r="BT130">
        <v>110</v>
      </c>
      <c r="BU130">
        <v>139</v>
      </c>
      <c r="BV130">
        <v>141</v>
      </c>
      <c r="BW130">
        <v>172</v>
      </c>
      <c r="BX130">
        <v>219</v>
      </c>
      <c r="BY130">
        <v>222</v>
      </c>
      <c r="BZ130">
        <v>264</v>
      </c>
      <c r="CA130">
        <v>268</v>
      </c>
      <c r="CB130">
        <v>298</v>
      </c>
      <c r="CC130">
        <v>305</v>
      </c>
      <c r="CD130">
        <v>312</v>
      </c>
      <c r="CE130">
        <v>343</v>
      </c>
      <c r="CF130">
        <v>382</v>
      </c>
      <c r="CG130">
        <v>392</v>
      </c>
      <c r="CH130">
        <v>393</v>
      </c>
      <c r="CI130">
        <v>397</v>
      </c>
      <c r="CJ130">
        <v>407</v>
      </c>
      <c r="CK130">
        <v>419</v>
      </c>
      <c r="CL130">
        <v>426</v>
      </c>
      <c r="CM130">
        <v>442</v>
      </c>
      <c r="CN130">
        <v>457</v>
      </c>
      <c r="CO130">
        <v>472</v>
      </c>
      <c r="CP130">
        <v>477</v>
      </c>
      <c r="CQ130">
        <v>494</v>
      </c>
      <c r="CR130">
        <v>510</v>
      </c>
      <c r="CS130">
        <v>519</v>
      </c>
      <c r="CT130">
        <v>591</v>
      </c>
      <c r="CU130">
        <v>627</v>
      </c>
      <c r="CV130">
        <v>627</v>
      </c>
      <c r="CW130">
        <v>661</v>
      </c>
      <c r="CX130">
        <v>702</v>
      </c>
      <c r="CY130">
        <v>738</v>
      </c>
      <c r="CZ130">
        <v>771</v>
      </c>
      <c r="DA130">
        <v>804</v>
      </c>
      <c r="DB130">
        <v>1010</v>
      </c>
    </row>
    <row r="131" spans="2:106" x14ac:dyDescent="0.25">
      <c r="B131" t="s">
        <v>116</v>
      </c>
      <c r="C131">
        <v>47.162500000000001</v>
      </c>
      <c r="D131">
        <v>19.503299999999999</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2</v>
      </c>
      <c r="AV131">
        <v>2</v>
      </c>
      <c r="AW131">
        <v>2</v>
      </c>
      <c r="AX131">
        <v>4</v>
      </c>
      <c r="AY131">
        <v>7</v>
      </c>
      <c r="AZ131">
        <v>9</v>
      </c>
      <c r="BA131">
        <v>9</v>
      </c>
      <c r="BB131">
        <v>13</v>
      </c>
      <c r="BC131">
        <v>13</v>
      </c>
      <c r="BD131">
        <v>19</v>
      </c>
      <c r="BE131">
        <v>30</v>
      </c>
      <c r="BF131">
        <v>32</v>
      </c>
      <c r="BG131">
        <v>39</v>
      </c>
      <c r="BH131">
        <v>50</v>
      </c>
      <c r="BI131">
        <v>58</v>
      </c>
      <c r="BJ131">
        <v>73</v>
      </c>
      <c r="BK131">
        <v>85</v>
      </c>
      <c r="BL131">
        <v>103</v>
      </c>
      <c r="BM131">
        <v>131</v>
      </c>
      <c r="BN131">
        <v>167</v>
      </c>
      <c r="BO131">
        <v>187</v>
      </c>
      <c r="BP131">
        <v>226</v>
      </c>
      <c r="BQ131">
        <v>261</v>
      </c>
      <c r="BR131">
        <v>300</v>
      </c>
      <c r="BS131">
        <v>343</v>
      </c>
      <c r="BT131">
        <v>408</v>
      </c>
      <c r="BU131">
        <v>447</v>
      </c>
      <c r="BV131">
        <v>492</v>
      </c>
      <c r="BW131">
        <v>525</v>
      </c>
      <c r="BX131">
        <v>585</v>
      </c>
      <c r="BY131">
        <v>623</v>
      </c>
      <c r="BZ131">
        <v>678</v>
      </c>
      <c r="CA131">
        <v>733</v>
      </c>
      <c r="CB131">
        <v>744</v>
      </c>
      <c r="CC131">
        <v>817</v>
      </c>
      <c r="CD131">
        <v>895</v>
      </c>
      <c r="CE131">
        <v>980</v>
      </c>
      <c r="CF131">
        <v>1190</v>
      </c>
      <c r="CG131">
        <v>1310</v>
      </c>
      <c r="CH131">
        <v>1410</v>
      </c>
      <c r="CI131">
        <v>1458</v>
      </c>
      <c r="CJ131">
        <v>1512</v>
      </c>
      <c r="CK131">
        <v>1579</v>
      </c>
      <c r="CL131">
        <v>1652</v>
      </c>
      <c r="CM131">
        <v>1763</v>
      </c>
      <c r="CN131">
        <v>1834</v>
      </c>
      <c r="CO131">
        <v>1916</v>
      </c>
      <c r="CP131">
        <v>1984</v>
      </c>
      <c r="CQ131">
        <v>2098</v>
      </c>
      <c r="CR131">
        <v>2168</v>
      </c>
      <c r="CS131">
        <v>2284</v>
      </c>
      <c r="CT131">
        <v>2443</v>
      </c>
      <c r="CU131">
        <v>2443</v>
      </c>
      <c r="CV131">
        <v>2500</v>
      </c>
      <c r="CW131">
        <v>2583</v>
      </c>
      <c r="CX131">
        <v>2649</v>
      </c>
      <c r="CY131">
        <v>2727</v>
      </c>
      <c r="CZ131">
        <v>2775</v>
      </c>
      <c r="DA131">
        <v>2863</v>
      </c>
      <c r="DB131">
        <v>2942</v>
      </c>
    </row>
    <row r="132" spans="2:106" x14ac:dyDescent="0.25">
      <c r="B132" t="s">
        <v>90</v>
      </c>
      <c r="C132">
        <v>64.963099999999997</v>
      </c>
      <c r="D132">
        <v>-19.020800000000001</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1</v>
      </c>
      <c r="AQ132">
        <v>1</v>
      </c>
      <c r="AR132">
        <v>3</v>
      </c>
      <c r="AS132">
        <v>6</v>
      </c>
      <c r="AT132">
        <v>11</v>
      </c>
      <c r="AU132">
        <v>26</v>
      </c>
      <c r="AV132">
        <v>34</v>
      </c>
      <c r="AW132">
        <v>43</v>
      </c>
      <c r="AX132">
        <v>50</v>
      </c>
      <c r="AY132">
        <v>50</v>
      </c>
      <c r="AZ132">
        <v>58</v>
      </c>
      <c r="BA132">
        <v>69</v>
      </c>
      <c r="BB132">
        <v>85</v>
      </c>
      <c r="BC132">
        <v>103</v>
      </c>
      <c r="BD132">
        <v>134</v>
      </c>
      <c r="BE132">
        <v>156</v>
      </c>
      <c r="BF132">
        <v>171</v>
      </c>
      <c r="BG132">
        <v>180</v>
      </c>
      <c r="BH132">
        <v>220</v>
      </c>
      <c r="BI132">
        <v>250</v>
      </c>
      <c r="BJ132">
        <v>330</v>
      </c>
      <c r="BK132">
        <v>409</v>
      </c>
      <c r="BL132">
        <v>473</v>
      </c>
      <c r="BM132">
        <v>568</v>
      </c>
      <c r="BN132">
        <v>588</v>
      </c>
      <c r="BO132">
        <v>648</v>
      </c>
      <c r="BP132">
        <v>737</v>
      </c>
      <c r="BQ132">
        <v>802</v>
      </c>
      <c r="BR132">
        <v>890</v>
      </c>
      <c r="BS132">
        <v>963</v>
      </c>
      <c r="BT132">
        <v>1020</v>
      </c>
      <c r="BU132">
        <v>1086</v>
      </c>
      <c r="BV132">
        <v>1135</v>
      </c>
      <c r="BW132">
        <v>1220</v>
      </c>
      <c r="BX132">
        <v>1319</v>
      </c>
      <c r="BY132">
        <v>1364</v>
      </c>
      <c r="BZ132">
        <v>1417</v>
      </c>
      <c r="CA132">
        <v>1486</v>
      </c>
      <c r="CB132">
        <v>1562</v>
      </c>
      <c r="CC132">
        <v>1586</v>
      </c>
      <c r="CD132">
        <v>1616</v>
      </c>
      <c r="CE132">
        <v>1648</v>
      </c>
      <c r="CF132">
        <v>1675</v>
      </c>
      <c r="CG132">
        <v>1689</v>
      </c>
      <c r="CH132">
        <v>1701</v>
      </c>
      <c r="CI132">
        <v>1711</v>
      </c>
      <c r="CJ132">
        <v>1720</v>
      </c>
      <c r="CK132">
        <v>1727</v>
      </c>
      <c r="CL132">
        <v>1739</v>
      </c>
      <c r="CM132">
        <v>1754</v>
      </c>
      <c r="CN132">
        <v>1760</v>
      </c>
      <c r="CO132">
        <v>1771</v>
      </c>
      <c r="CP132">
        <v>1773</v>
      </c>
      <c r="CQ132">
        <v>1778</v>
      </c>
      <c r="CR132">
        <v>1785</v>
      </c>
      <c r="CS132">
        <v>1789</v>
      </c>
      <c r="CT132">
        <v>1789</v>
      </c>
      <c r="CU132">
        <v>1790</v>
      </c>
      <c r="CV132">
        <v>1792</v>
      </c>
      <c r="CW132">
        <v>1792</v>
      </c>
      <c r="CX132">
        <v>1795</v>
      </c>
      <c r="CY132">
        <v>1797</v>
      </c>
      <c r="CZ132">
        <v>1797</v>
      </c>
      <c r="DA132">
        <v>1798</v>
      </c>
      <c r="DB132">
        <v>1798</v>
      </c>
    </row>
    <row r="133" spans="2:106" x14ac:dyDescent="0.25">
      <c r="B133" t="s">
        <v>57</v>
      </c>
      <c r="C133">
        <v>21</v>
      </c>
      <c r="D133">
        <v>78</v>
      </c>
      <c r="E133">
        <v>0</v>
      </c>
      <c r="F133">
        <v>0</v>
      </c>
      <c r="G133">
        <v>0</v>
      </c>
      <c r="H133">
        <v>0</v>
      </c>
      <c r="I133">
        <v>0</v>
      </c>
      <c r="J133">
        <v>0</v>
      </c>
      <c r="K133">
        <v>0</v>
      </c>
      <c r="L133">
        <v>0</v>
      </c>
      <c r="M133">
        <v>1</v>
      </c>
      <c r="N133">
        <v>1</v>
      </c>
      <c r="O133">
        <v>1</v>
      </c>
      <c r="P133">
        <v>2</v>
      </c>
      <c r="Q133">
        <v>3</v>
      </c>
      <c r="R133">
        <v>3</v>
      </c>
      <c r="S133">
        <v>3</v>
      </c>
      <c r="T133">
        <v>3</v>
      </c>
      <c r="U133">
        <v>3</v>
      </c>
      <c r="V133">
        <v>3</v>
      </c>
      <c r="W133">
        <v>3</v>
      </c>
      <c r="X133">
        <v>3</v>
      </c>
      <c r="Y133">
        <v>3</v>
      </c>
      <c r="Z133">
        <v>3</v>
      </c>
      <c r="AA133">
        <v>3</v>
      </c>
      <c r="AB133">
        <v>3</v>
      </c>
      <c r="AC133">
        <v>3</v>
      </c>
      <c r="AD133">
        <v>3</v>
      </c>
      <c r="AE133">
        <v>3</v>
      </c>
      <c r="AF133">
        <v>3</v>
      </c>
      <c r="AG133">
        <v>3</v>
      </c>
      <c r="AH133">
        <v>3</v>
      </c>
      <c r="AI133">
        <v>3</v>
      </c>
      <c r="AJ133">
        <v>3</v>
      </c>
      <c r="AK133">
        <v>3</v>
      </c>
      <c r="AL133">
        <v>3</v>
      </c>
      <c r="AM133">
        <v>3</v>
      </c>
      <c r="AN133">
        <v>3</v>
      </c>
      <c r="AO133">
        <v>3</v>
      </c>
      <c r="AP133">
        <v>3</v>
      </c>
      <c r="AQ133">
        <v>3</v>
      </c>
      <c r="AR133">
        <v>3</v>
      </c>
      <c r="AS133">
        <v>5</v>
      </c>
      <c r="AT133">
        <v>5</v>
      </c>
      <c r="AU133">
        <v>28</v>
      </c>
      <c r="AV133">
        <v>30</v>
      </c>
      <c r="AW133">
        <v>31</v>
      </c>
      <c r="AX133">
        <v>34</v>
      </c>
      <c r="AY133">
        <v>39</v>
      </c>
      <c r="AZ133">
        <v>43</v>
      </c>
      <c r="BA133">
        <v>56</v>
      </c>
      <c r="BB133">
        <v>62</v>
      </c>
      <c r="BC133">
        <v>73</v>
      </c>
      <c r="BD133">
        <v>82</v>
      </c>
      <c r="BE133">
        <v>102</v>
      </c>
      <c r="BF133">
        <v>113</v>
      </c>
      <c r="BG133">
        <v>119</v>
      </c>
      <c r="BH133">
        <v>142</v>
      </c>
      <c r="BI133">
        <v>156</v>
      </c>
      <c r="BJ133">
        <v>194</v>
      </c>
      <c r="BK133">
        <v>244</v>
      </c>
      <c r="BL133">
        <v>330</v>
      </c>
      <c r="BM133">
        <v>396</v>
      </c>
      <c r="BN133">
        <v>499</v>
      </c>
      <c r="BO133">
        <v>536</v>
      </c>
      <c r="BP133">
        <v>657</v>
      </c>
      <c r="BQ133">
        <v>727</v>
      </c>
      <c r="BR133">
        <v>887</v>
      </c>
      <c r="BS133">
        <v>987</v>
      </c>
      <c r="BT133">
        <v>1024</v>
      </c>
      <c r="BU133">
        <v>1251</v>
      </c>
      <c r="BV133">
        <v>1397</v>
      </c>
      <c r="BW133">
        <v>1998</v>
      </c>
      <c r="BX133">
        <v>2543</v>
      </c>
      <c r="BY133">
        <v>2567</v>
      </c>
      <c r="BZ133">
        <v>3082</v>
      </c>
      <c r="CA133">
        <v>3588</v>
      </c>
      <c r="CB133">
        <v>4778</v>
      </c>
      <c r="CC133">
        <v>5311</v>
      </c>
      <c r="CD133">
        <v>5916</v>
      </c>
      <c r="CE133">
        <v>6725</v>
      </c>
      <c r="CF133">
        <v>7598</v>
      </c>
      <c r="CG133">
        <v>8446</v>
      </c>
      <c r="CH133">
        <v>9205</v>
      </c>
      <c r="CI133">
        <v>10453</v>
      </c>
      <c r="CJ133">
        <v>11487</v>
      </c>
      <c r="CK133">
        <v>12322</v>
      </c>
      <c r="CL133">
        <v>13430</v>
      </c>
      <c r="CM133">
        <v>14352</v>
      </c>
      <c r="CN133">
        <v>15722</v>
      </c>
      <c r="CO133">
        <v>17615</v>
      </c>
      <c r="CP133">
        <v>18539</v>
      </c>
      <c r="CQ133">
        <v>20080</v>
      </c>
      <c r="CR133">
        <v>21370</v>
      </c>
      <c r="CS133">
        <v>23077</v>
      </c>
      <c r="CT133">
        <v>24530</v>
      </c>
      <c r="CU133">
        <v>26283</v>
      </c>
      <c r="CV133">
        <v>27890</v>
      </c>
      <c r="CW133">
        <v>29451</v>
      </c>
      <c r="CX133">
        <v>31324</v>
      </c>
      <c r="CY133">
        <v>33062</v>
      </c>
      <c r="CZ133">
        <v>34863</v>
      </c>
      <c r="DA133">
        <v>37257</v>
      </c>
      <c r="DB133">
        <v>39699</v>
      </c>
    </row>
    <row r="134" spans="2:106" x14ac:dyDescent="0.25">
      <c r="B134" t="s">
        <v>103</v>
      </c>
      <c r="C134">
        <v>-0.7893</v>
      </c>
      <c r="D134">
        <v>113.9213</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2</v>
      </c>
      <c r="AT134">
        <v>2</v>
      </c>
      <c r="AU134">
        <v>2</v>
      </c>
      <c r="AV134">
        <v>2</v>
      </c>
      <c r="AW134">
        <v>4</v>
      </c>
      <c r="AX134">
        <v>4</v>
      </c>
      <c r="AY134">
        <v>6</v>
      </c>
      <c r="AZ134">
        <v>19</v>
      </c>
      <c r="BA134">
        <v>27</v>
      </c>
      <c r="BB134">
        <v>34</v>
      </c>
      <c r="BC134">
        <v>34</v>
      </c>
      <c r="BD134">
        <v>69</v>
      </c>
      <c r="BE134">
        <v>96</v>
      </c>
      <c r="BF134">
        <v>117</v>
      </c>
      <c r="BG134">
        <v>134</v>
      </c>
      <c r="BH134">
        <v>172</v>
      </c>
      <c r="BI134">
        <v>227</v>
      </c>
      <c r="BJ134">
        <v>311</v>
      </c>
      <c r="BK134">
        <v>369</v>
      </c>
      <c r="BL134">
        <v>450</v>
      </c>
      <c r="BM134">
        <v>514</v>
      </c>
      <c r="BN134">
        <v>579</v>
      </c>
      <c r="BO134">
        <v>686</v>
      </c>
      <c r="BP134">
        <v>790</v>
      </c>
      <c r="BQ134">
        <v>893</v>
      </c>
      <c r="BR134">
        <v>1046</v>
      </c>
      <c r="BS134">
        <v>1155</v>
      </c>
      <c r="BT134">
        <v>1285</v>
      </c>
      <c r="BU134">
        <v>1414</v>
      </c>
      <c r="BV134">
        <v>1528</v>
      </c>
      <c r="BW134">
        <v>1677</v>
      </c>
      <c r="BX134">
        <v>1790</v>
      </c>
      <c r="BY134">
        <v>1986</v>
      </c>
      <c r="BZ134">
        <v>2092</v>
      </c>
      <c r="CA134">
        <v>2273</v>
      </c>
      <c r="CB134">
        <v>2491</v>
      </c>
      <c r="CC134">
        <v>2738</v>
      </c>
      <c r="CD134">
        <v>2956</v>
      </c>
      <c r="CE134">
        <v>3293</v>
      </c>
      <c r="CF134">
        <v>3512</v>
      </c>
      <c r="CG134">
        <v>3842</v>
      </c>
      <c r="CH134">
        <v>4241</v>
      </c>
      <c r="CI134">
        <v>4557</v>
      </c>
      <c r="CJ134">
        <v>4839</v>
      </c>
      <c r="CK134">
        <v>5136</v>
      </c>
      <c r="CL134">
        <v>5516</v>
      </c>
      <c r="CM134">
        <v>5923</v>
      </c>
      <c r="CN134">
        <v>6248</v>
      </c>
      <c r="CO134">
        <v>6575</v>
      </c>
      <c r="CP134">
        <v>6760</v>
      </c>
      <c r="CQ134">
        <v>7135</v>
      </c>
      <c r="CR134">
        <v>7418</v>
      </c>
      <c r="CS134">
        <v>7775</v>
      </c>
      <c r="CT134">
        <v>8211</v>
      </c>
      <c r="CU134">
        <v>8607</v>
      </c>
      <c r="CV134">
        <v>8882</v>
      </c>
      <c r="CW134">
        <v>9096</v>
      </c>
      <c r="CX134">
        <v>9511</v>
      </c>
      <c r="CY134">
        <v>9771</v>
      </c>
      <c r="CZ134">
        <v>10118</v>
      </c>
      <c r="DA134">
        <v>10551</v>
      </c>
      <c r="DB134">
        <v>10843</v>
      </c>
    </row>
    <row r="135" spans="2:106" x14ac:dyDescent="0.25">
      <c r="B135" t="s">
        <v>65</v>
      </c>
      <c r="C135">
        <v>32</v>
      </c>
      <c r="D135">
        <v>53</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2</v>
      </c>
      <c r="AH135">
        <v>5</v>
      </c>
      <c r="AI135">
        <v>18</v>
      </c>
      <c r="AJ135">
        <v>28</v>
      </c>
      <c r="AK135">
        <v>43</v>
      </c>
      <c r="AL135">
        <v>61</v>
      </c>
      <c r="AM135">
        <v>95</v>
      </c>
      <c r="AN135">
        <v>139</v>
      </c>
      <c r="AO135">
        <v>245</v>
      </c>
      <c r="AP135">
        <v>388</v>
      </c>
      <c r="AQ135">
        <v>593</v>
      </c>
      <c r="AR135">
        <v>978</v>
      </c>
      <c r="AS135">
        <v>1501</v>
      </c>
      <c r="AT135">
        <v>2336</v>
      </c>
      <c r="AU135">
        <v>2922</v>
      </c>
      <c r="AV135">
        <v>3513</v>
      </c>
      <c r="AW135">
        <v>4747</v>
      </c>
      <c r="AX135">
        <v>5823</v>
      </c>
      <c r="AY135">
        <v>6566</v>
      </c>
      <c r="AZ135">
        <v>7161</v>
      </c>
      <c r="BA135">
        <v>8042</v>
      </c>
      <c r="BB135">
        <v>9000</v>
      </c>
      <c r="BC135">
        <v>10075</v>
      </c>
      <c r="BD135">
        <v>11364</v>
      </c>
      <c r="BE135">
        <v>12729</v>
      </c>
      <c r="BF135">
        <v>13938</v>
      </c>
      <c r="BG135">
        <v>14991</v>
      </c>
      <c r="BH135">
        <v>16169</v>
      </c>
      <c r="BI135">
        <v>17361</v>
      </c>
      <c r="BJ135">
        <v>18407</v>
      </c>
      <c r="BK135">
        <v>19644</v>
      </c>
      <c r="BL135">
        <v>20610</v>
      </c>
      <c r="BM135">
        <v>21638</v>
      </c>
      <c r="BN135">
        <v>23049</v>
      </c>
      <c r="BO135">
        <v>24811</v>
      </c>
      <c r="BP135">
        <v>27017</v>
      </c>
      <c r="BQ135">
        <v>29406</v>
      </c>
      <c r="BR135">
        <v>32332</v>
      </c>
      <c r="BS135">
        <v>35408</v>
      </c>
      <c r="BT135">
        <v>38309</v>
      </c>
      <c r="BU135">
        <v>41495</v>
      </c>
      <c r="BV135">
        <v>44605</v>
      </c>
      <c r="BW135">
        <v>47593</v>
      </c>
      <c r="BX135">
        <v>50468</v>
      </c>
      <c r="BY135">
        <v>53183</v>
      </c>
      <c r="BZ135">
        <v>55743</v>
      </c>
      <c r="CA135">
        <v>58226</v>
      </c>
      <c r="CB135">
        <v>60500</v>
      </c>
      <c r="CC135">
        <v>62589</v>
      </c>
      <c r="CD135">
        <v>64586</v>
      </c>
      <c r="CE135">
        <v>66220</v>
      </c>
      <c r="CF135">
        <v>68192</v>
      </c>
      <c r="CG135">
        <v>70029</v>
      </c>
      <c r="CH135">
        <v>71686</v>
      </c>
      <c r="CI135">
        <v>73303</v>
      </c>
      <c r="CJ135">
        <v>74877</v>
      </c>
      <c r="CK135">
        <v>76389</v>
      </c>
      <c r="CL135">
        <v>77995</v>
      </c>
      <c r="CM135">
        <v>79494</v>
      </c>
      <c r="CN135">
        <v>80868</v>
      </c>
      <c r="CO135">
        <v>82211</v>
      </c>
      <c r="CP135">
        <v>83505</v>
      </c>
      <c r="CQ135">
        <v>84802</v>
      </c>
      <c r="CR135">
        <v>85996</v>
      </c>
      <c r="CS135">
        <v>87026</v>
      </c>
      <c r="CT135">
        <v>88194</v>
      </c>
      <c r="CU135">
        <v>89328</v>
      </c>
      <c r="CV135">
        <v>90481</v>
      </c>
      <c r="CW135">
        <v>91472</v>
      </c>
      <c r="CX135">
        <v>92584</v>
      </c>
      <c r="CY135">
        <v>93657</v>
      </c>
      <c r="CZ135">
        <v>94640</v>
      </c>
      <c r="DA135">
        <v>95646</v>
      </c>
      <c r="DB135">
        <v>96448</v>
      </c>
    </row>
    <row r="136" spans="2:106" x14ac:dyDescent="0.25">
      <c r="B136" t="s">
        <v>68</v>
      </c>
      <c r="C136">
        <v>33</v>
      </c>
      <c r="D136">
        <v>44</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1</v>
      </c>
      <c r="AM136">
        <v>1</v>
      </c>
      <c r="AN136">
        <v>5</v>
      </c>
      <c r="AO136">
        <v>7</v>
      </c>
      <c r="AP136">
        <v>7</v>
      </c>
      <c r="AQ136">
        <v>13</v>
      </c>
      <c r="AR136">
        <v>19</v>
      </c>
      <c r="AS136">
        <v>26</v>
      </c>
      <c r="AT136">
        <v>32</v>
      </c>
      <c r="AU136">
        <v>35</v>
      </c>
      <c r="AV136">
        <v>35</v>
      </c>
      <c r="AW136">
        <v>40</v>
      </c>
      <c r="AX136">
        <v>54</v>
      </c>
      <c r="AY136">
        <v>60</v>
      </c>
      <c r="AZ136">
        <v>60</v>
      </c>
      <c r="BA136">
        <v>71</v>
      </c>
      <c r="BB136">
        <v>71</v>
      </c>
      <c r="BC136">
        <v>71</v>
      </c>
      <c r="BD136">
        <v>101</v>
      </c>
      <c r="BE136">
        <v>110</v>
      </c>
      <c r="BF136">
        <v>116</v>
      </c>
      <c r="BG136">
        <v>124</v>
      </c>
      <c r="BH136">
        <v>154</v>
      </c>
      <c r="BI136">
        <v>164</v>
      </c>
      <c r="BJ136">
        <v>192</v>
      </c>
      <c r="BK136">
        <v>208</v>
      </c>
      <c r="BL136">
        <v>214</v>
      </c>
      <c r="BM136">
        <v>233</v>
      </c>
      <c r="BN136">
        <v>266</v>
      </c>
      <c r="BO136">
        <v>316</v>
      </c>
      <c r="BP136">
        <v>346</v>
      </c>
      <c r="BQ136">
        <v>382</v>
      </c>
      <c r="BR136">
        <v>458</v>
      </c>
      <c r="BS136">
        <v>506</v>
      </c>
      <c r="BT136">
        <v>547</v>
      </c>
      <c r="BU136">
        <v>630</v>
      </c>
      <c r="BV136">
        <v>694</v>
      </c>
      <c r="BW136">
        <v>728</v>
      </c>
      <c r="BX136">
        <v>772</v>
      </c>
      <c r="BY136">
        <v>820</v>
      </c>
      <c r="BZ136">
        <v>878</v>
      </c>
      <c r="CA136">
        <v>961</v>
      </c>
      <c r="CB136">
        <v>1031</v>
      </c>
      <c r="CC136">
        <v>1122</v>
      </c>
      <c r="CD136">
        <v>1202</v>
      </c>
      <c r="CE136">
        <v>1232</v>
      </c>
      <c r="CF136">
        <v>1279</v>
      </c>
      <c r="CG136">
        <v>1318</v>
      </c>
      <c r="CH136">
        <v>1352</v>
      </c>
      <c r="CI136">
        <v>1378</v>
      </c>
      <c r="CJ136">
        <v>1400</v>
      </c>
      <c r="CK136">
        <v>1415</v>
      </c>
      <c r="CL136">
        <v>1434</v>
      </c>
      <c r="CM136">
        <v>1482</v>
      </c>
      <c r="CN136">
        <v>1513</v>
      </c>
      <c r="CO136">
        <v>1539</v>
      </c>
      <c r="CP136">
        <v>1574</v>
      </c>
      <c r="CQ136">
        <v>1602</v>
      </c>
      <c r="CR136">
        <v>1631</v>
      </c>
      <c r="CS136">
        <v>1677</v>
      </c>
      <c r="CT136">
        <v>1708</v>
      </c>
      <c r="CU136">
        <v>1763</v>
      </c>
      <c r="CV136">
        <v>1820</v>
      </c>
      <c r="CW136">
        <v>1847</v>
      </c>
      <c r="CX136">
        <v>1928</v>
      </c>
      <c r="CY136">
        <v>2003</v>
      </c>
      <c r="CZ136">
        <v>2085</v>
      </c>
      <c r="DA136">
        <v>2153</v>
      </c>
      <c r="DB136">
        <v>2219</v>
      </c>
    </row>
    <row r="137" spans="2:106" x14ac:dyDescent="0.25">
      <c r="B137" t="s">
        <v>659</v>
      </c>
      <c r="C137">
        <v>53.142400000000002</v>
      </c>
      <c r="D137">
        <v>-7.6920999999999999</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1</v>
      </c>
      <c r="AR137">
        <v>1</v>
      </c>
      <c r="AS137">
        <v>1</v>
      </c>
      <c r="AT137">
        <v>2</v>
      </c>
      <c r="AU137">
        <v>6</v>
      </c>
      <c r="AV137">
        <v>6</v>
      </c>
      <c r="AW137">
        <v>18</v>
      </c>
      <c r="AX137">
        <v>18</v>
      </c>
      <c r="AY137">
        <v>19</v>
      </c>
      <c r="AZ137">
        <v>21</v>
      </c>
      <c r="BA137">
        <v>34</v>
      </c>
      <c r="BB137">
        <v>43</v>
      </c>
      <c r="BC137">
        <v>43</v>
      </c>
      <c r="BD137">
        <v>90</v>
      </c>
      <c r="BE137">
        <v>129</v>
      </c>
      <c r="BF137">
        <v>129</v>
      </c>
      <c r="BG137">
        <v>169</v>
      </c>
      <c r="BH137">
        <v>223</v>
      </c>
      <c r="BI137">
        <v>292</v>
      </c>
      <c r="BJ137">
        <v>557</v>
      </c>
      <c r="BK137">
        <v>683</v>
      </c>
      <c r="BL137">
        <v>785</v>
      </c>
      <c r="BM137">
        <v>906</v>
      </c>
      <c r="BN137">
        <v>1125</v>
      </c>
      <c r="BO137">
        <v>1329</v>
      </c>
      <c r="BP137">
        <v>1564</v>
      </c>
      <c r="BQ137">
        <v>1819</v>
      </c>
      <c r="BR137">
        <v>2121</v>
      </c>
      <c r="BS137">
        <v>2415</v>
      </c>
      <c r="BT137">
        <v>2615</v>
      </c>
      <c r="BU137">
        <v>2910</v>
      </c>
      <c r="BV137">
        <v>3235</v>
      </c>
      <c r="BW137">
        <v>3447</v>
      </c>
      <c r="BX137">
        <v>3849</v>
      </c>
      <c r="BY137">
        <v>4273</v>
      </c>
      <c r="BZ137">
        <v>4604</v>
      </c>
      <c r="CA137">
        <v>4994</v>
      </c>
      <c r="CB137">
        <v>5364</v>
      </c>
      <c r="CC137">
        <v>5709</v>
      </c>
      <c r="CD137">
        <v>6074</v>
      </c>
      <c r="CE137">
        <v>6574</v>
      </c>
      <c r="CF137">
        <v>8089</v>
      </c>
      <c r="CG137">
        <v>8928</v>
      </c>
      <c r="CH137">
        <v>9655</v>
      </c>
      <c r="CI137">
        <v>10647</v>
      </c>
      <c r="CJ137">
        <v>11479</v>
      </c>
      <c r="CK137">
        <v>12547</v>
      </c>
      <c r="CL137">
        <v>13271</v>
      </c>
      <c r="CM137">
        <v>13980</v>
      </c>
      <c r="CN137">
        <v>14758</v>
      </c>
      <c r="CO137">
        <v>15251</v>
      </c>
      <c r="CP137">
        <v>15652</v>
      </c>
      <c r="CQ137">
        <v>16040</v>
      </c>
      <c r="CR137">
        <v>16671</v>
      </c>
      <c r="CS137">
        <v>17607</v>
      </c>
      <c r="CT137">
        <v>18184</v>
      </c>
      <c r="CU137">
        <v>18561</v>
      </c>
      <c r="CV137">
        <v>19262</v>
      </c>
      <c r="CW137">
        <v>19648</v>
      </c>
      <c r="CX137">
        <v>19877</v>
      </c>
      <c r="CY137">
        <v>20253</v>
      </c>
      <c r="CZ137">
        <v>20612</v>
      </c>
      <c r="DA137">
        <v>20833</v>
      </c>
      <c r="DB137">
        <v>21176</v>
      </c>
    </row>
    <row r="138" spans="2:106" x14ac:dyDescent="0.25">
      <c r="B138" t="s">
        <v>77</v>
      </c>
      <c r="C138">
        <v>31</v>
      </c>
      <c r="D138">
        <v>35</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1</v>
      </c>
      <c r="AJ138">
        <v>1</v>
      </c>
      <c r="AK138">
        <v>1</v>
      </c>
      <c r="AL138">
        <v>1</v>
      </c>
      <c r="AM138">
        <v>1</v>
      </c>
      <c r="AN138">
        <v>2</v>
      </c>
      <c r="AO138">
        <v>3</v>
      </c>
      <c r="AP138">
        <v>4</v>
      </c>
      <c r="AQ138">
        <v>7</v>
      </c>
      <c r="AR138">
        <v>10</v>
      </c>
      <c r="AS138">
        <v>10</v>
      </c>
      <c r="AT138">
        <v>12</v>
      </c>
      <c r="AU138">
        <v>15</v>
      </c>
      <c r="AV138">
        <v>20</v>
      </c>
      <c r="AW138">
        <v>37</v>
      </c>
      <c r="AX138">
        <v>43</v>
      </c>
      <c r="AY138">
        <v>61</v>
      </c>
      <c r="AZ138">
        <v>61</v>
      </c>
      <c r="BA138">
        <v>75</v>
      </c>
      <c r="BB138">
        <v>79</v>
      </c>
      <c r="BC138">
        <v>100</v>
      </c>
      <c r="BD138">
        <v>126</v>
      </c>
      <c r="BE138">
        <v>155</v>
      </c>
      <c r="BF138">
        <v>213</v>
      </c>
      <c r="BG138">
        <v>218</v>
      </c>
      <c r="BH138">
        <v>250</v>
      </c>
      <c r="BI138">
        <v>304</v>
      </c>
      <c r="BJ138">
        <v>427</v>
      </c>
      <c r="BK138">
        <v>529</v>
      </c>
      <c r="BL138">
        <v>712</v>
      </c>
      <c r="BM138">
        <v>883</v>
      </c>
      <c r="BN138">
        <v>1071</v>
      </c>
      <c r="BO138">
        <v>1238</v>
      </c>
      <c r="BP138">
        <v>2369</v>
      </c>
      <c r="BQ138">
        <v>2693</v>
      </c>
      <c r="BR138">
        <v>3035</v>
      </c>
      <c r="BS138">
        <v>3619</v>
      </c>
      <c r="BT138">
        <v>4247</v>
      </c>
      <c r="BU138">
        <v>4695</v>
      </c>
      <c r="BV138">
        <v>5358</v>
      </c>
      <c r="BW138">
        <v>6092</v>
      </c>
      <c r="BX138">
        <v>6857</v>
      </c>
      <c r="BY138">
        <v>7428</v>
      </c>
      <c r="BZ138">
        <v>7851</v>
      </c>
      <c r="CA138">
        <v>8430</v>
      </c>
      <c r="CB138">
        <v>8904</v>
      </c>
      <c r="CC138">
        <v>9248</v>
      </c>
      <c r="CD138">
        <v>9404</v>
      </c>
      <c r="CE138">
        <v>9968</v>
      </c>
      <c r="CF138">
        <v>10408</v>
      </c>
      <c r="CG138">
        <v>10743</v>
      </c>
      <c r="CH138">
        <v>11145</v>
      </c>
      <c r="CI138">
        <v>11586</v>
      </c>
      <c r="CJ138">
        <v>12046</v>
      </c>
      <c r="CK138">
        <v>12501</v>
      </c>
      <c r="CL138">
        <v>12758</v>
      </c>
      <c r="CM138">
        <v>12982</v>
      </c>
      <c r="CN138">
        <v>13265</v>
      </c>
      <c r="CO138">
        <v>13491</v>
      </c>
      <c r="CP138">
        <v>13713</v>
      </c>
      <c r="CQ138">
        <v>13942</v>
      </c>
      <c r="CR138">
        <v>14498</v>
      </c>
      <c r="CS138">
        <v>14803</v>
      </c>
      <c r="CT138">
        <v>15058</v>
      </c>
      <c r="CU138">
        <v>15298</v>
      </c>
      <c r="CV138">
        <v>15443</v>
      </c>
      <c r="CW138">
        <v>15555</v>
      </c>
      <c r="CX138">
        <v>15728</v>
      </c>
      <c r="CY138">
        <v>15834</v>
      </c>
      <c r="CZ138">
        <v>15946</v>
      </c>
      <c r="DA138">
        <v>16101</v>
      </c>
      <c r="DB138">
        <v>16185</v>
      </c>
    </row>
    <row r="139" spans="2:106" x14ac:dyDescent="0.25">
      <c r="B139" t="s">
        <v>58</v>
      </c>
      <c r="C139">
        <v>43</v>
      </c>
      <c r="D139">
        <v>12</v>
      </c>
      <c r="E139">
        <v>0</v>
      </c>
      <c r="F139">
        <v>0</v>
      </c>
      <c r="G139">
        <v>0</v>
      </c>
      <c r="H139">
        <v>0</v>
      </c>
      <c r="I139">
        <v>0</v>
      </c>
      <c r="J139">
        <v>0</v>
      </c>
      <c r="K139">
        <v>0</v>
      </c>
      <c r="L139">
        <v>0</v>
      </c>
      <c r="M139">
        <v>0</v>
      </c>
      <c r="N139">
        <v>2</v>
      </c>
      <c r="O139">
        <v>2</v>
      </c>
      <c r="P139">
        <v>2</v>
      </c>
      <c r="Q139">
        <v>2</v>
      </c>
      <c r="R139">
        <v>2</v>
      </c>
      <c r="S139">
        <v>2</v>
      </c>
      <c r="T139">
        <v>2</v>
      </c>
      <c r="U139">
        <v>3</v>
      </c>
      <c r="V139">
        <v>3</v>
      </c>
      <c r="W139">
        <v>3</v>
      </c>
      <c r="X139">
        <v>3</v>
      </c>
      <c r="Y139">
        <v>3</v>
      </c>
      <c r="Z139">
        <v>3</v>
      </c>
      <c r="AA139">
        <v>3</v>
      </c>
      <c r="AB139">
        <v>3</v>
      </c>
      <c r="AC139">
        <v>3</v>
      </c>
      <c r="AD139">
        <v>3</v>
      </c>
      <c r="AE139">
        <v>3</v>
      </c>
      <c r="AF139">
        <v>3</v>
      </c>
      <c r="AG139">
        <v>3</v>
      </c>
      <c r="AH139">
        <v>3</v>
      </c>
      <c r="AI139">
        <v>20</v>
      </c>
      <c r="AJ139">
        <v>62</v>
      </c>
      <c r="AK139">
        <v>155</v>
      </c>
      <c r="AL139">
        <v>229</v>
      </c>
      <c r="AM139">
        <v>322</v>
      </c>
      <c r="AN139">
        <v>453</v>
      </c>
      <c r="AO139">
        <v>655</v>
      </c>
      <c r="AP139">
        <v>888</v>
      </c>
      <c r="AQ139">
        <v>1128</v>
      </c>
      <c r="AR139">
        <v>1694</v>
      </c>
      <c r="AS139">
        <v>2036</v>
      </c>
      <c r="AT139">
        <v>2502</v>
      </c>
      <c r="AU139">
        <v>3089</v>
      </c>
      <c r="AV139">
        <v>3858</v>
      </c>
      <c r="AW139">
        <v>4636</v>
      </c>
      <c r="AX139">
        <v>5883</v>
      </c>
      <c r="AY139">
        <v>7375</v>
      </c>
      <c r="AZ139">
        <v>9172</v>
      </c>
      <c r="BA139">
        <v>10149</v>
      </c>
      <c r="BB139">
        <v>12462</v>
      </c>
      <c r="BC139">
        <v>12462</v>
      </c>
      <c r="BD139">
        <v>17660</v>
      </c>
      <c r="BE139">
        <v>21157</v>
      </c>
      <c r="BF139">
        <v>24747</v>
      </c>
      <c r="BG139">
        <v>27980</v>
      </c>
      <c r="BH139">
        <v>31506</v>
      </c>
      <c r="BI139">
        <v>35713</v>
      </c>
      <c r="BJ139">
        <v>41035</v>
      </c>
      <c r="BK139">
        <v>47021</v>
      </c>
      <c r="BL139">
        <v>53578</v>
      </c>
      <c r="BM139">
        <v>59138</v>
      </c>
      <c r="BN139">
        <v>63927</v>
      </c>
      <c r="BO139">
        <v>69176</v>
      </c>
      <c r="BP139">
        <v>74386</v>
      </c>
      <c r="BQ139">
        <v>80589</v>
      </c>
      <c r="BR139">
        <v>86498</v>
      </c>
      <c r="BS139">
        <v>92472</v>
      </c>
      <c r="BT139">
        <v>97689</v>
      </c>
      <c r="BU139">
        <v>101739</v>
      </c>
      <c r="BV139">
        <v>105792</v>
      </c>
      <c r="BW139">
        <v>110574</v>
      </c>
      <c r="BX139">
        <v>115242</v>
      </c>
      <c r="BY139">
        <v>119827</v>
      </c>
      <c r="BZ139">
        <v>124632</v>
      </c>
      <c r="CA139">
        <v>128948</v>
      </c>
      <c r="CB139">
        <v>132547</v>
      </c>
      <c r="CC139">
        <v>135586</v>
      </c>
      <c r="CD139">
        <v>139422</v>
      </c>
      <c r="CE139">
        <v>143626</v>
      </c>
      <c r="CF139">
        <v>147577</v>
      </c>
      <c r="CG139">
        <v>152271</v>
      </c>
      <c r="CH139">
        <v>156363</v>
      </c>
      <c r="CI139">
        <v>159516</v>
      </c>
      <c r="CJ139">
        <v>162488</v>
      </c>
      <c r="CK139">
        <v>165155</v>
      </c>
      <c r="CL139">
        <v>168941</v>
      </c>
      <c r="CM139">
        <v>172434</v>
      </c>
      <c r="CN139">
        <v>175925</v>
      </c>
      <c r="CO139">
        <v>178972</v>
      </c>
      <c r="CP139">
        <v>181228</v>
      </c>
      <c r="CQ139">
        <v>183957</v>
      </c>
      <c r="CR139">
        <v>187327</v>
      </c>
      <c r="CS139">
        <v>189973</v>
      </c>
      <c r="CT139">
        <v>192994</v>
      </c>
      <c r="CU139">
        <v>195351</v>
      </c>
      <c r="CV139">
        <v>197675</v>
      </c>
      <c r="CW139">
        <v>199414</v>
      </c>
      <c r="CX139">
        <v>201505</v>
      </c>
      <c r="CY139">
        <v>203591</v>
      </c>
      <c r="CZ139">
        <v>205463</v>
      </c>
      <c r="DA139">
        <v>207428</v>
      </c>
      <c r="DB139">
        <v>209328</v>
      </c>
    </row>
    <row r="140" spans="2:106" x14ac:dyDescent="0.25">
      <c r="B140" t="s">
        <v>184</v>
      </c>
      <c r="C140">
        <v>18.1096</v>
      </c>
      <c r="D140">
        <v>-77.297499999999999</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1</v>
      </c>
      <c r="BC140">
        <v>2</v>
      </c>
      <c r="BD140">
        <v>8</v>
      </c>
      <c r="BE140">
        <v>8</v>
      </c>
      <c r="BF140">
        <v>10</v>
      </c>
      <c r="BG140">
        <v>10</v>
      </c>
      <c r="BH140">
        <v>12</v>
      </c>
      <c r="BI140">
        <v>13</v>
      </c>
      <c r="BJ140">
        <v>15</v>
      </c>
      <c r="BK140">
        <v>16</v>
      </c>
      <c r="BL140">
        <v>16</v>
      </c>
      <c r="BM140">
        <v>19</v>
      </c>
      <c r="BN140">
        <v>19</v>
      </c>
      <c r="BO140">
        <v>21</v>
      </c>
      <c r="BP140">
        <v>26</v>
      </c>
      <c r="BQ140">
        <v>26</v>
      </c>
      <c r="BR140">
        <v>26</v>
      </c>
      <c r="BS140">
        <v>30</v>
      </c>
      <c r="BT140">
        <v>32</v>
      </c>
      <c r="BU140">
        <v>36</v>
      </c>
      <c r="BV140">
        <v>36</v>
      </c>
      <c r="BW140">
        <v>44</v>
      </c>
      <c r="BX140">
        <v>47</v>
      </c>
      <c r="BY140">
        <v>47</v>
      </c>
      <c r="BZ140">
        <v>53</v>
      </c>
      <c r="CA140">
        <v>58</v>
      </c>
      <c r="CB140">
        <v>58</v>
      </c>
      <c r="CC140">
        <v>63</v>
      </c>
      <c r="CD140">
        <v>63</v>
      </c>
      <c r="CE140">
        <v>63</v>
      </c>
      <c r="CF140">
        <v>63</v>
      </c>
      <c r="CG140">
        <v>65</v>
      </c>
      <c r="CH140">
        <v>69</v>
      </c>
      <c r="CI140">
        <v>73</v>
      </c>
      <c r="CJ140">
        <v>73</v>
      </c>
      <c r="CK140">
        <v>125</v>
      </c>
      <c r="CL140">
        <v>143</v>
      </c>
      <c r="CM140">
        <v>143</v>
      </c>
      <c r="CN140">
        <v>163</v>
      </c>
      <c r="CO140">
        <v>173</v>
      </c>
      <c r="CP140">
        <v>223</v>
      </c>
      <c r="CQ140">
        <v>223</v>
      </c>
      <c r="CR140">
        <v>233</v>
      </c>
      <c r="CS140">
        <v>257</v>
      </c>
      <c r="CT140">
        <v>288</v>
      </c>
      <c r="CU140">
        <v>305</v>
      </c>
      <c r="CV140">
        <v>350</v>
      </c>
      <c r="CW140">
        <v>364</v>
      </c>
      <c r="CX140">
        <v>364</v>
      </c>
      <c r="CY140">
        <v>396</v>
      </c>
      <c r="CZ140">
        <v>422</v>
      </c>
      <c r="DA140">
        <v>432</v>
      </c>
      <c r="DB140">
        <v>463</v>
      </c>
    </row>
    <row r="141" spans="2:106" x14ac:dyDescent="0.25">
      <c r="B141" t="s">
        <v>36</v>
      </c>
      <c r="C141">
        <v>36</v>
      </c>
      <c r="D141">
        <v>138</v>
      </c>
      <c r="E141">
        <v>2</v>
      </c>
      <c r="F141">
        <v>2</v>
      </c>
      <c r="G141">
        <v>2</v>
      </c>
      <c r="H141">
        <v>2</v>
      </c>
      <c r="I141">
        <v>4</v>
      </c>
      <c r="J141">
        <v>4</v>
      </c>
      <c r="K141">
        <v>7</v>
      </c>
      <c r="L141">
        <v>7</v>
      </c>
      <c r="M141">
        <v>11</v>
      </c>
      <c r="N141">
        <v>15</v>
      </c>
      <c r="O141">
        <v>20</v>
      </c>
      <c r="P141">
        <v>20</v>
      </c>
      <c r="Q141">
        <v>20</v>
      </c>
      <c r="R141">
        <v>22</v>
      </c>
      <c r="S141">
        <v>22</v>
      </c>
      <c r="T141">
        <v>22</v>
      </c>
      <c r="U141">
        <v>25</v>
      </c>
      <c r="V141">
        <v>25</v>
      </c>
      <c r="W141">
        <v>26</v>
      </c>
      <c r="X141">
        <v>26</v>
      </c>
      <c r="Y141">
        <v>26</v>
      </c>
      <c r="Z141">
        <v>28</v>
      </c>
      <c r="AA141">
        <v>28</v>
      </c>
      <c r="AB141">
        <v>29</v>
      </c>
      <c r="AC141">
        <v>43</v>
      </c>
      <c r="AD141">
        <v>59</v>
      </c>
      <c r="AE141">
        <v>66</v>
      </c>
      <c r="AF141">
        <v>74</v>
      </c>
      <c r="AG141">
        <v>84</v>
      </c>
      <c r="AH141">
        <v>94</v>
      </c>
      <c r="AI141">
        <v>105</v>
      </c>
      <c r="AJ141">
        <v>122</v>
      </c>
      <c r="AK141">
        <v>147</v>
      </c>
      <c r="AL141">
        <v>159</v>
      </c>
      <c r="AM141">
        <v>170</v>
      </c>
      <c r="AN141">
        <v>189</v>
      </c>
      <c r="AO141">
        <v>214</v>
      </c>
      <c r="AP141">
        <v>228</v>
      </c>
      <c r="AQ141">
        <v>241</v>
      </c>
      <c r="AR141">
        <v>256</v>
      </c>
      <c r="AS141">
        <v>274</v>
      </c>
      <c r="AT141">
        <v>293</v>
      </c>
      <c r="AU141">
        <v>331</v>
      </c>
      <c r="AV141">
        <v>360</v>
      </c>
      <c r="AW141">
        <v>420</v>
      </c>
      <c r="AX141">
        <v>461</v>
      </c>
      <c r="AY141">
        <v>502</v>
      </c>
      <c r="AZ141">
        <v>511</v>
      </c>
      <c r="BA141">
        <v>581</v>
      </c>
      <c r="BB141">
        <v>639</v>
      </c>
      <c r="BC141">
        <v>639</v>
      </c>
      <c r="BD141">
        <v>701</v>
      </c>
      <c r="BE141">
        <v>773</v>
      </c>
      <c r="BF141">
        <v>839</v>
      </c>
      <c r="BG141">
        <v>839</v>
      </c>
      <c r="BH141">
        <v>878</v>
      </c>
      <c r="BI141">
        <v>889</v>
      </c>
      <c r="BJ141">
        <v>924</v>
      </c>
      <c r="BK141">
        <v>963</v>
      </c>
      <c r="BL141">
        <v>1007</v>
      </c>
      <c r="BM141">
        <v>1101</v>
      </c>
      <c r="BN141">
        <v>1128</v>
      </c>
      <c r="BO141">
        <v>1193</v>
      </c>
      <c r="BP141">
        <v>1307</v>
      </c>
      <c r="BQ141">
        <v>1387</v>
      </c>
      <c r="BR141">
        <v>1468</v>
      </c>
      <c r="BS141">
        <v>1693</v>
      </c>
      <c r="BT141">
        <v>1866</v>
      </c>
      <c r="BU141">
        <v>1866</v>
      </c>
      <c r="BV141">
        <v>1953</v>
      </c>
      <c r="BW141">
        <v>2178</v>
      </c>
      <c r="BX141">
        <v>2495</v>
      </c>
      <c r="BY141">
        <v>2617</v>
      </c>
      <c r="BZ141">
        <v>3139</v>
      </c>
      <c r="CA141">
        <v>3139</v>
      </c>
      <c r="CB141">
        <v>3654</v>
      </c>
      <c r="CC141">
        <v>3906</v>
      </c>
      <c r="CD141">
        <v>4257</v>
      </c>
      <c r="CE141">
        <v>4667</v>
      </c>
      <c r="CF141">
        <v>5530</v>
      </c>
      <c r="CG141">
        <v>6005</v>
      </c>
      <c r="CH141">
        <v>6748</v>
      </c>
      <c r="CI141">
        <v>7370</v>
      </c>
      <c r="CJ141">
        <v>7645</v>
      </c>
      <c r="CK141">
        <v>8100</v>
      </c>
      <c r="CL141">
        <v>8626</v>
      </c>
      <c r="CM141">
        <v>9787</v>
      </c>
      <c r="CN141">
        <v>10296</v>
      </c>
      <c r="CO141">
        <v>10797</v>
      </c>
      <c r="CP141">
        <v>10797</v>
      </c>
      <c r="CQ141">
        <v>11135</v>
      </c>
      <c r="CR141">
        <v>11512</v>
      </c>
      <c r="CS141">
        <v>12368</v>
      </c>
      <c r="CT141">
        <v>12829</v>
      </c>
      <c r="CU141">
        <v>13231</v>
      </c>
      <c r="CV141">
        <v>13441</v>
      </c>
      <c r="CW141">
        <v>14153</v>
      </c>
      <c r="CX141">
        <v>13736</v>
      </c>
      <c r="CY141">
        <v>13895</v>
      </c>
      <c r="CZ141">
        <v>14088</v>
      </c>
      <c r="DA141">
        <v>14305</v>
      </c>
      <c r="DB141">
        <v>14571</v>
      </c>
    </row>
    <row r="142" spans="2:106" x14ac:dyDescent="0.25">
      <c r="B142" t="s">
        <v>113</v>
      </c>
      <c r="C142">
        <v>31.24</v>
      </c>
      <c r="D142">
        <v>36.51</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1</v>
      </c>
      <c r="AU142">
        <v>1</v>
      </c>
      <c r="AV142">
        <v>1</v>
      </c>
      <c r="AW142">
        <v>1</v>
      </c>
      <c r="AX142">
        <v>1</v>
      </c>
      <c r="AY142">
        <v>1</v>
      </c>
      <c r="AZ142">
        <v>1</v>
      </c>
      <c r="BA142">
        <v>1</v>
      </c>
      <c r="BB142">
        <v>1</v>
      </c>
      <c r="BC142">
        <v>1</v>
      </c>
      <c r="BD142">
        <v>1</v>
      </c>
      <c r="BE142">
        <v>1</v>
      </c>
      <c r="BF142">
        <v>8</v>
      </c>
      <c r="BG142">
        <v>17</v>
      </c>
      <c r="BH142">
        <v>34</v>
      </c>
      <c r="BI142">
        <v>52</v>
      </c>
      <c r="BJ142">
        <v>69</v>
      </c>
      <c r="BK142">
        <v>85</v>
      </c>
      <c r="BL142">
        <v>85</v>
      </c>
      <c r="BM142">
        <v>112</v>
      </c>
      <c r="BN142">
        <v>127</v>
      </c>
      <c r="BO142">
        <v>154</v>
      </c>
      <c r="BP142">
        <v>172</v>
      </c>
      <c r="BQ142">
        <v>212</v>
      </c>
      <c r="BR142">
        <v>235</v>
      </c>
      <c r="BS142">
        <v>246</v>
      </c>
      <c r="BT142">
        <v>259</v>
      </c>
      <c r="BU142">
        <v>268</v>
      </c>
      <c r="BV142">
        <v>274</v>
      </c>
      <c r="BW142">
        <v>278</v>
      </c>
      <c r="BX142">
        <v>299</v>
      </c>
      <c r="BY142">
        <v>310</v>
      </c>
      <c r="BZ142">
        <v>323</v>
      </c>
      <c r="CA142">
        <v>345</v>
      </c>
      <c r="CB142">
        <v>349</v>
      </c>
      <c r="CC142">
        <v>353</v>
      </c>
      <c r="CD142">
        <v>358</v>
      </c>
      <c r="CE142">
        <v>372</v>
      </c>
      <c r="CF142">
        <v>372</v>
      </c>
      <c r="CG142">
        <v>381</v>
      </c>
      <c r="CH142">
        <v>389</v>
      </c>
      <c r="CI142">
        <v>391</v>
      </c>
      <c r="CJ142">
        <v>397</v>
      </c>
      <c r="CK142">
        <v>401</v>
      </c>
      <c r="CL142">
        <v>402</v>
      </c>
      <c r="CM142">
        <v>407</v>
      </c>
      <c r="CN142">
        <v>413</v>
      </c>
      <c r="CO142">
        <v>417</v>
      </c>
      <c r="CP142">
        <v>425</v>
      </c>
      <c r="CQ142">
        <v>428</v>
      </c>
      <c r="CR142">
        <v>435</v>
      </c>
      <c r="CS142">
        <v>437</v>
      </c>
      <c r="CT142">
        <v>441</v>
      </c>
      <c r="CU142">
        <v>444</v>
      </c>
      <c r="CV142">
        <v>447</v>
      </c>
      <c r="CW142">
        <v>449</v>
      </c>
      <c r="CX142">
        <v>449</v>
      </c>
      <c r="CY142">
        <v>451</v>
      </c>
      <c r="CZ142">
        <v>453</v>
      </c>
      <c r="DA142">
        <v>459</v>
      </c>
      <c r="DB142">
        <v>460</v>
      </c>
    </row>
    <row r="143" spans="2:106" x14ac:dyDescent="0.25">
      <c r="B143" t="s">
        <v>197</v>
      </c>
      <c r="C143">
        <v>48.019599999999997</v>
      </c>
      <c r="D143">
        <v>66.923699999999997</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4</v>
      </c>
      <c r="BE143">
        <v>6</v>
      </c>
      <c r="BF143">
        <v>9</v>
      </c>
      <c r="BG143">
        <v>10</v>
      </c>
      <c r="BH143">
        <v>33</v>
      </c>
      <c r="BI143">
        <v>35</v>
      </c>
      <c r="BJ143">
        <v>44</v>
      </c>
      <c r="BK143">
        <v>49</v>
      </c>
      <c r="BL143">
        <v>53</v>
      </c>
      <c r="BM143">
        <v>60</v>
      </c>
      <c r="BN143">
        <v>62</v>
      </c>
      <c r="BO143">
        <v>72</v>
      </c>
      <c r="BP143">
        <v>81</v>
      </c>
      <c r="BQ143">
        <v>111</v>
      </c>
      <c r="BR143">
        <v>150</v>
      </c>
      <c r="BS143">
        <v>228</v>
      </c>
      <c r="BT143">
        <v>284</v>
      </c>
      <c r="BU143">
        <v>302</v>
      </c>
      <c r="BV143">
        <v>343</v>
      </c>
      <c r="BW143">
        <v>380</v>
      </c>
      <c r="BX143">
        <v>435</v>
      </c>
      <c r="BY143">
        <v>464</v>
      </c>
      <c r="BZ143">
        <v>531</v>
      </c>
      <c r="CA143">
        <v>584</v>
      </c>
      <c r="CB143">
        <v>662</v>
      </c>
      <c r="CC143">
        <v>697</v>
      </c>
      <c r="CD143">
        <v>727</v>
      </c>
      <c r="CE143">
        <v>781</v>
      </c>
      <c r="CF143">
        <v>812</v>
      </c>
      <c r="CG143">
        <v>865</v>
      </c>
      <c r="CH143">
        <v>951</v>
      </c>
      <c r="CI143">
        <v>1091</v>
      </c>
      <c r="CJ143">
        <v>1232</v>
      </c>
      <c r="CK143">
        <v>1295</v>
      </c>
      <c r="CL143">
        <v>1402</v>
      </c>
      <c r="CM143">
        <v>1546</v>
      </c>
      <c r="CN143">
        <v>1615</v>
      </c>
      <c r="CO143">
        <v>1676</v>
      </c>
      <c r="CP143">
        <v>1852</v>
      </c>
      <c r="CQ143">
        <v>1995</v>
      </c>
      <c r="CR143">
        <v>2135</v>
      </c>
      <c r="CS143">
        <v>2289</v>
      </c>
      <c r="CT143">
        <v>2482</v>
      </c>
      <c r="CU143">
        <v>2601</v>
      </c>
      <c r="CV143">
        <v>2717</v>
      </c>
      <c r="CW143">
        <v>2835</v>
      </c>
      <c r="CX143">
        <v>3027</v>
      </c>
      <c r="CY143">
        <v>3138</v>
      </c>
      <c r="CZ143">
        <v>3402</v>
      </c>
      <c r="DA143">
        <v>3597</v>
      </c>
      <c r="DB143">
        <v>3857</v>
      </c>
    </row>
    <row r="144" spans="2:106" x14ac:dyDescent="0.25">
      <c r="B144" t="s">
        <v>206</v>
      </c>
      <c r="C144">
        <v>-2.3599999999999999E-2</v>
      </c>
      <c r="D144">
        <v>37.906199999999998</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1</v>
      </c>
      <c r="BE144">
        <v>1</v>
      </c>
      <c r="BF144">
        <v>3</v>
      </c>
      <c r="BG144">
        <v>3</v>
      </c>
      <c r="BH144">
        <v>3</v>
      </c>
      <c r="BI144">
        <v>3</v>
      </c>
      <c r="BJ144">
        <v>7</v>
      </c>
      <c r="BK144">
        <v>7</v>
      </c>
      <c r="BL144">
        <v>7</v>
      </c>
      <c r="BM144">
        <v>15</v>
      </c>
      <c r="BN144">
        <v>16</v>
      </c>
      <c r="BO144">
        <v>25</v>
      </c>
      <c r="BP144">
        <v>28</v>
      </c>
      <c r="BQ144">
        <v>31</v>
      </c>
      <c r="BR144">
        <v>31</v>
      </c>
      <c r="BS144">
        <v>38</v>
      </c>
      <c r="BT144">
        <v>42</v>
      </c>
      <c r="BU144">
        <v>50</v>
      </c>
      <c r="BV144">
        <v>59</v>
      </c>
      <c r="BW144">
        <v>81</v>
      </c>
      <c r="BX144">
        <v>110</v>
      </c>
      <c r="BY144">
        <v>122</v>
      </c>
      <c r="BZ144">
        <v>126</v>
      </c>
      <c r="CA144">
        <v>142</v>
      </c>
      <c r="CB144">
        <v>158</v>
      </c>
      <c r="CC144">
        <v>172</v>
      </c>
      <c r="CD144">
        <v>179</v>
      </c>
      <c r="CE144">
        <v>184</v>
      </c>
      <c r="CF144">
        <v>189</v>
      </c>
      <c r="CG144">
        <v>191</v>
      </c>
      <c r="CH144">
        <v>197</v>
      </c>
      <c r="CI144">
        <v>208</v>
      </c>
      <c r="CJ144">
        <v>216</v>
      </c>
      <c r="CK144">
        <v>225</v>
      </c>
      <c r="CL144">
        <v>234</v>
      </c>
      <c r="CM144">
        <v>246</v>
      </c>
      <c r="CN144">
        <v>262</v>
      </c>
      <c r="CO144">
        <v>270</v>
      </c>
      <c r="CP144">
        <v>281</v>
      </c>
      <c r="CQ144">
        <v>296</v>
      </c>
      <c r="CR144">
        <v>303</v>
      </c>
      <c r="CS144">
        <v>320</v>
      </c>
      <c r="CT144">
        <v>336</v>
      </c>
      <c r="CU144">
        <v>343</v>
      </c>
      <c r="CV144">
        <v>355</v>
      </c>
      <c r="CW144">
        <v>363</v>
      </c>
      <c r="CX144">
        <v>374</v>
      </c>
      <c r="CY144">
        <v>384</v>
      </c>
      <c r="CZ144">
        <v>396</v>
      </c>
      <c r="DA144">
        <v>411</v>
      </c>
      <c r="DB144">
        <v>435</v>
      </c>
    </row>
    <row r="145" spans="2:106" x14ac:dyDescent="0.25">
      <c r="B145" t="s">
        <v>193</v>
      </c>
      <c r="C145">
        <v>36</v>
      </c>
      <c r="D145">
        <v>128</v>
      </c>
      <c r="E145">
        <v>1</v>
      </c>
      <c r="F145">
        <v>1</v>
      </c>
      <c r="G145">
        <v>2</v>
      </c>
      <c r="H145">
        <v>2</v>
      </c>
      <c r="I145">
        <v>3</v>
      </c>
      <c r="J145">
        <v>4</v>
      </c>
      <c r="K145">
        <v>4</v>
      </c>
      <c r="L145">
        <v>4</v>
      </c>
      <c r="M145">
        <v>4</v>
      </c>
      <c r="N145">
        <v>11</v>
      </c>
      <c r="O145">
        <v>12</v>
      </c>
      <c r="P145">
        <v>15</v>
      </c>
      <c r="Q145">
        <v>15</v>
      </c>
      <c r="R145">
        <v>16</v>
      </c>
      <c r="S145">
        <v>19</v>
      </c>
      <c r="T145">
        <v>23</v>
      </c>
      <c r="U145">
        <v>24</v>
      </c>
      <c r="V145">
        <v>24</v>
      </c>
      <c r="W145">
        <v>25</v>
      </c>
      <c r="X145">
        <v>27</v>
      </c>
      <c r="Y145">
        <v>28</v>
      </c>
      <c r="Z145">
        <v>28</v>
      </c>
      <c r="AA145">
        <v>28</v>
      </c>
      <c r="AB145">
        <v>28</v>
      </c>
      <c r="AC145">
        <v>28</v>
      </c>
      <c r="AD145">
        <v>29</v>
      </c>
      <c r="AE145">
        <v>30</v>
      </c>
      <c r="AF145">
        <v>31</v>
      </c>
      <c r="AG145">
        <v>31</v>
      </c>
      <c r="AH145">
        <v>104</v>
      </c>
      <c r="AI145">
        <v>204</v>
      </c>
      <c r="AJ145">
        <v>433</v>
      </c>
      <c r="AK145">
        <v>602</v>
      </c>
      <c r="AL145">
        <v>833</v>
      </c>
      <c r="AM145">
        <v>977</v>
      </c>
      <c r="AN145">
        <v>1261</v>
      </c>
      <c r="AO145">
        <v>1766</v>
      </c>
      <c r="AP145">
        <v>2337</v>
      </c>
      <c r="AQ145">
        <v>3150</v>
      </c>
      <c r="AR145">
        <v>3736</v>
      </c>
      <c r="AS145">
        <v>4335</v>
      </c>
      <c r="AT145">
        <v>5186</v>
      </c>
      <c r="AU145">
        <v>5621</v>
      </c>
      <c r="AV145">
        <v>6088</v>
      </c>
      <c r="AW145">
        <v>6593</v>
      </c>
      <c r="AX145">
        <v>7041</v>
      </c>
      <c r="AY145">
        <v>7314</v>
      </c>
      <c r="AZ145">
        <v>7478</v>
      </c>
      <c r="BA145">
        <v>7513</v>
      </c>
      <c r="BB145">
        <v>7755</v>
      </c>
      <c r="BC145">
        <v>7869</v>
      </c>
      <c r="BD145">
        <v>7979</v>
      </c>
      <c r="BE145">
        <v>8086</v>
      </c>
      <c r="BF145">
        <v>8162</v>
      </c>
      <c r="BG145">
        <v>8236</v>
      </c>
      <c r="BH145">
        <v>8320</v>
      </c>
      <c r="BI145">
        <v>8413</v>
      </c>
      <c r="BJ145">
        <v>8565</v>
      </c>
      <c r="BK145">
        <v>8652</v>
      </c>
      <c r="BL145">
        <v>8799</v>
      </c>
      <c r="BM145">
        <v>8961</v>
      </c>
      <c r="BN145">
        <v>8961</v>
      </c>
      <c r="BO145">
        <v>9037</v>
      </c>
      <c r="BP145">
        <v>9137</v>
      </c>
      <c r="BQ145">
        <v>9241</v>
      </c>
      <c r="BR145">
        <v>9332</v>
      </c>
      <c r="BS145">
        <v>9478</v>
      </c>
      <c r="BT145">
        <v>9583</v>
      </c>
      <c r="BU145">
        <v>9661</v>
      </c>
      <c r="BV145">
        <v>9786</v>
      </c>
      <c r="BW145">
        <v>9887</v>
      </c>
      <c r="BX145">
        <v>9976</v>
      </c>
      <c r="BY145">
        <v>10062</v>
      </c>
      <c r="BZ145">
        <v>10156</v>
      </c>
      <c r="CA145">
        <v>10237</v>
      </c>
      <c r="CB145">
        <v>10284</v>
      </c>
      <c r="CC145">
        <v>10331</v>
      </c>
      <c r="CD145">
        <v>10384</v>
      </c>
      <c r="CE145">
        <v>10423</v>
      </c>
      <c r="CF145">
        <v>10450</v>
      </c>
      <c r="CG145">
        <v>10480</v>
      </c>
      <c r="CH145">
        <v>10512</v>
      </c>
      <c r="CI145">
        <v>10537</v>
      </c>
      <c r="CJ145">
        <v>10564</v>
      </c>
      <c r="CK145">
        <v>10591</v>
      </c>
      <c r="CL145">
        <v>10613</v>
      </c>
      <c r="CM145">
        <v>10635</v>
      </c>
      <c r="CN145">
        <v>10653</v>
      </c>
      <c r="CO145">
        <v>10661</v>
      </c>
      <c r="CP145">
        <v>10674</v>
      </c>
      <c r="CQ145">
        <v>10683</v>
      </c>
      <c r="CR145">
        <v>10694</v>
      </c>
      <c r="CS145">
        <v>10708</v>
      </c>
      <c r="CT145">
        <v>10718</v>
      </c>
      <c r="CU145">
        <v>10728</v>
      </c>
      <c r="CV145">
        <v>10738</v>
      </c>
      <c r="CW145">
        <v>10752</v>
      </c>
      <c r="CX145">
        <v>10761</v>
      </c>
      <c r="CY145">
        <v>10765</v>
      </c>
      <c r="CZ145">
        <v>10774</v>
      </c>
      <c r="DA145">
        <v>10780</v>
      </c>
      <c r="DB145">
        <v>10793</v>
      </c>
    </row>
    <row r="146" spans="2:106" x14ac:dyDescent="0.25">
      <c r="B146" t="s">
        <v>72</v>
      </c>
      <c r="C146">
        <v>29.5</v>
      </c>
      <c r="D146">
        <v>47.75</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1</v>
      </c>
      <c r="AM146">
        <v>11</v>
      </c>
      <c r="AN146">
        <v>26</v>
      </c>
      <c r="AO146">
        <v>43</v>
      </c>
      <c r="AP146">
        <v>45</v>
      </c>
      <c r="AQ146">
        <v>45</v>
      </c>
      <c r="AR146">
        <v>45</v>
      </c>
      <c r="AS146">
        <v>56</v>
      </c>
      <c r="AT146">
        <v>56</v>
      </c>
      <c r="AU146">
        <v>56</v>
      </c>
      <c r="AV146">
        <v>58</v>
      </c>
      <c r="AW146">
        <v>58</v>
      </c>
      <c r="AX146">
        <v>61</v>
      </c>
      <c r="AY146">
        <v>64</v>
      </c>
      <c r="AZ146">
        <v>64</v>
      </c>
      <c r="BA146">
        <v>69</v>
      </c>
      <c r="BB146">
        <v>72</v>
      </c>
      <c r="BC146">
        <v>80</v>
      </c>
      <c r="BD146">
        <v>80</v>
      </c>
      <c r="BE146">
        <v>104</v>
      </c>
      <c r="BF146">
        <v>112</v>
      </c>
      <c r="BG146">
        <v>123</v>
      </c>
      <c r="BH146">
        <v>130</v>
      </c>
      <c r="BI146">
        <v>142</v>
      </c>
      <c r="BJ146">
        <v>148</v>
      </c>
      <c r="BK146">
        <v>159</v>
      </c>
      <c r="BL146">
        <v>176</v>
      </c>
      <c r="BM146">
        <v>188</v>
      </c>
      <c r="BN146">
        <v>189</v>
      </c>
      <c r="BO146">
        <v>191</v>
      </c>
      <c r="BP146">
        <v>195</v>
      </c>
      <c r="BQ146">
        <v>208</v>
      </c>
      <c r="BR146">
        <v>225</v>
      </c>
      <c r="BS146">
        <v>235</v>
      </c>
      <c r="BT146">
        <v>255</v>
      </c>
      <c r="BU146">
        <v>266</v>
      </c>
      <c r="BV146">
        <v>289</v>
      </c>
      <c r="BW146">
        <v>317</v>
      </c>
      <c r="BX146">
        <v>342</v>
      </c>
      <c r="BY146">
        <v>417</v>
      </c>
      <c r="BZ146">
        <v>479</v>
      </c>
      <c r="CA146">
        <v>556</v>
      </c>
      <c r="CB146">
        <v>665</v>
      </c>
      <c r="CC146">
        <v>743</v>
      </c>
      <c r="CD146">
        <v>855</v>
      </c>
      <c r="CE146">
        <v>910</v>
      </c>
      <c r="CF146">
        <v>993</v>
      </c>
      <c r="CG146">
        <v>1154</v>
      </c>
      <c r="CH146">
        <v>1234</v>
      </c>
      <c r="CI146">
        <v>1300</v>
      </c>
      <c r="CJ146">
        <v>1355</v>
      </c>
      <c r="CK146">
        <v>1405</v>
      </c>
      <c r="CL146">
        <v>1524</v>
      </c>
      <c r="CM146">
        <v>1658</v>
      </c>
      <c r="CN146">
        <v>1751</v>
      </c>
      <c r="CO146">
        <v>1915</v>
      </c>
      <c r="CP146">
        <v>1995</v>
      </c>
      <c r="CQ146">
        <v>2080</v>
      </c>
      <c r="CR146">
        <v>2248</v>
      </c>
      <c r="CS146">
        <v>2399</v>
      </c>
      <c r="CT146">
        <v>2614</v>
      </c>
      <c r="CU146">
        <v>2892</v>
      </c>
      <c r="CV146">
        <v>3075</v>
      </c>
      <c r="CW146">
        <v>3288</v>
      </c>
      <c r="CX146">
        <v>3440</v>
      </c>
      <c r="CY146">
        <v>3740</v>
      </c>
      <c r="CZ146">
        <v>4024</v>
      </c>
      <c r="DA146">
        <v>4377</v>
      </c>
      <c r="DB146">
        <v>4619</v>
      </c>
    </row>
    <row r="147" spans="2:106" x14ac:dyDescent="0.25">
      <c r="B147" t="s">
        <v>668</v>
      </c>
      <c r="C147">
        <v>41.2044</v>
      </c>
      <c r="D147">
        <v>74.766099999999994</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3</v>
      </c>
      <c r="BJ147">
        <v>3</v>
      </c>
      <c r="BK147">
        <v>6</v>
      </c>
      <c r="BL147">
        <v>14</v>
      </c>
      <c r="BM147">
        <v>14</v>
      </c>
      <c r="BN147">
        <v>16</v>
      </c>
      <c r="BO147">
        <v>42</v>
      </c>
      <c r="BP147">
        <v>44</v>
      </c>
      <c r="BQ147">
        <v>44</v>
      </c>
      <c r="BR147">
        <v>58</v>
      </c>
      <c r="BS147">
        <v>58</v>
      </c>
      <c r="BT147">
        <v>84</v>
      </c>
      <c r="BU147">
        <v>94</v>
      </c>
      <c r="BV147">
        <v>107</v>
      </c>
      <c r="BW147">
        <v>111</v>
      </c>
      <c r="BX147">
        <v>116</v>
      </c>
      <c r="BY147">
        <v>130</v>
      </c>
      <c r="BZ147">
        <v>144</v>
      </c>
      <c r="CA147">
        <v>147</v>
      </c>
      <c r="CB147">
        <v>216</v>
      </c>
      <c r="CC147">
        <v>228</v>
      </c>
      <c r="CD147">
        <v>270</v>
      </c>
      <c r="CE147">
        <v>280</v>
      </c>
      <c r="CF147">
        <v>298</v>
      </c>
      <c r="CG147">
        <v>339</v>
      </c>
      <c r="CH147">
        <v>377</v>
      </c>
      <c r="CI147">
        <v>419</v>
      </c>
      <c r="CJ147">
        <v>430</v>
      </c>
      <c r="CK147">
        <v>449</v>
      </c>
      <c r="CL147">
        <v>466</v>
      </c>
      <c r="CM147">
        <v>489</v>
      </c>
      <c r="CN147">
        <v>506</v>
      </c>
      <c r="CO147">
        <v>554</v>
      </c>
      <c r="CP147">
        <v>568</v>
      </c>
      <c r="CQ147">
        <v>590</v>
      </c>
      <c r="CR147">
        <v>612</v>
      </c>
      <c r="CS147">
        <v>631</v>
      </c>
      <c r="CT147">
        <v>665</v>
      </c>
      <c r="CU147">
        <v>665</v>
      </c>
      <c r="CV147">
        <v>682</v>
      </c>
      <c r="CW147">
        <v>695</v>
      </c>
      <c r="CX147">
        <v>708</v>
      </c>
      <c r="CY147">
        <v>729</v>
      </c>
      <c r="CZ147">
        <v>746</v>
      </c>
      <c r="DA147">
        <v>756</v>
      </c>
      <c r="DB147">
        <v>769</v>
      </c>
    </row>
    <row r="148" spans="2:106" x14ac:dyDescent="0.25">
      <c r="B148" t="s">
        <v>107</v>
      </c>
      <c r="C148">
        <v>56.879600000000003</v>
      </c>
      <c r="D148">
        <v>24.603200000000001</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1</v>
      </c>
      <c r="AT148">
        <v>1</v>
      </c>
      <c r="AU148">
        <v>1</v>
      </c>
      <c r="AV148">
        <v>1</v>
      </c>
      <c r="AW148">
        <v>1</v>
      </c>
      <c r="AX148">
        <v>1</v>
      </c>
      <c r="AY148">
        <v>2</v>
      </c>
      <c r="AZ148">
        <v>6</v>
      </c>
      <c r="BA148">
        <v>8</v>
      </c>
      <c r="BB148">
        <v>10</v>
      </c>
      <c r="BC148">
        <v>10</v>
      </c>
      <c r="BD148">
        <v>17</v>
      </c>
      <c r="BE148">
        <v>26</v>
      </c>
      <c r="BF148">
        <v>30</v>
      </c>
      <c r="BG148">
        <v>34</v>
      </c>
      <c r="BH148">
        <v>49</v>
      </c>
      <c r="BI148">
        <v>71</v>
      </c>
      <c r="BJ148">
        <v>86</v>
      </c>
      <c r="BK148">
        <v>111</v>
      </c>
      <c r="BL148">
        <v>124</v>
      </c>
      <c r="BM148">
        <v>139</v>
      </c>
      <c r="BN148">
        <v>180</v>
      </c>
      <c r="BO148">
        <v>197</v>
      </c>
      <c r="BP148">
        <v>221</v>
      </c>
      <c r="BQ148">
        <v>244</v>
      </c>
      <c r="BR148">
        <v>280</v>
      </c>
      <c r="BS148">
        <v>305</v>
      </c>
      <c r="BT148">
        <v>347</v>
      </c>
      <c r="BU148">
        <v>376</v>
      </c>
      <c r="BV148">
        <v>398</v>
      </c>
      <c r="BW148">
        <v>446</v>
      </c>
      <c r="BX148">
        <v>458</v>
      </c>
      <c r="BY148">
        <v>493</v>
      </c>
      <c r="BZ148">
        <v>509</v>
      </c>
      <c r="CA148">
        <v>533</v>
      </c>
      <c r="CB148">
        <v>542</v>
      </c>
      <c r="CC148">
        <v>548</v>
      </c>
      <c r="CD148">
        <v>577</v>
      </c>
      <c r="CE148">
        <v>589</v>
      </c>
      <c r="CF148">
        <v>612</v>
      </c>
      <c r="CG148">
        <v>630</v>
      </c>
      <c r="CH148">
        <v>651</v>
      </c>
      <c r="CI148">
        <v>655</v>
      </c>
      <c r="CJ148">
        <v>657</v>
      </c>
      <c r="CK148">
        <v>666</v>
      </c>
      <c r="CL148">
        <v>675</v>
      </c>
      <c r="CM148">
        <v>682</v>
      </c>
      <c r="CN148">
        <v>712</v>
      </c>
      <c r="CO148">
        <v>727</v>
      </c>
      <c r="CP148">
        <v>739</v>
      </c>
      <c r="CQ148">
        <v>748</v>
      </c>
      <c r="CR148">
        <v>761</v>
      </c>
      <c r="CS148">
        <v>778</v>
      </c>
      <c r="CT148">
        <v>784</v>
      </c>
      <c r="CU148">
        <v>804</v>
      </c>
      <c r="CV148">
        <v>812</v>
      </c>
      <c r="CW148">
        <v>818</v>
      </c>
      <c r="CX148">
        <v>836</v>
      </c>
      <c r="CY148">
        <v>849</v>
      </c>
      <c r="CZ148">
        <v>858</v>
      </c>
      <c r="DA148">
        <v>870</v>
      </c>
      <c r="DB148">
        <v>871</v>
      </c>
    </row>
    <row r="149" spans="2:106" x14ac:dyDescent="0.25">
      <c r="B149" t="s">
        <v>67</v>
      </c>
      <c r="C149">
        <v>33.854700000000001</v>
      </c>
      <c r="D149">
        <v>35.862299999999998</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1</v>
      </c>
      <c r="AJ149">
        <v>1</v>
      </c>
      <c r="AK149">
        <v>1</v>
      </c>
      <c r="AL149">
        <v>1</v>
      </c>
      <c r="AM149">
        <v>1</v>
      </c>
      <c r="AN149">
        <v>2</v>
      </c>
      <c r="AO149">
        <v>2</v>
      </c>
      <c r="AP149">
        <v>2</v>
      </c>
      <c r="AQ149">
        <v>4</v>
      </c>
      <c r="AR149">
        <v>10</v>
      </c>
      <c r="AS149">
        <v>13</v>
      </c>
      <c r="AT149">
        <v>13</v>
      </c>
      <c r="AU149">
        <v>13</v>
      </c>
      <c r="AV149">
        <v>16</v>
      </c>
      <c r="AW149">
        <v>22</v>
      </c>
      <c r="AX149">
        <v>22</v>
      </c>
      <c r="AY149">
        <v>32</v>
      </c>
      <c r="AZ149">
        <v>32</v>
      </c>
      <c r="BA149">
        <v>41</v>
      </c>
      <c r="BB149">
        <v>61</v>
      </c>
      <c r="BC149">
        <v>61</v>
      </c>
      <c r="BD149">
        <v>77</v>
      </c>
      <c r="BE149">
        <v>93</v>
      </c>
      <c r="BF149">
        <v>110</v>
      </c>
      <c r="BG149">
        <v>110</v>
      </c>
      <c r="BH149">
        <v>120</v>
      </c>
      <c r="BI149">
        <v>133</v>
      </c>
      <c r="BJ149">
        <v>157</v>
      </c>
      <c r="BK149">
        <v>163</v>
      </c>
      <c r="BL149">
        <v>187</v>
      </c>
      <c r="BM149">
        <v>248</v>
      </c>
      <c r="BN149">
        <v>267</v>
      </c>
      <c r="BO149">
        <v>318</v>
      </c>
      <c r="BP149">
        <v>333</v>
      </c>
      <c r="BQ149">
        <v>368</v>
      </c>
      <c r="BR149">
        <v>391</v>
      </c>
      <c r="BS149">
        <v>412</v>
      </c>
      <c r="BT149">
        <v>438</v>
      </c>
      <c r="BU149">
        <v>446</v>
      </c>
      <c r="BV149">
        <v>470</v>
      </c>
      <c r="BW149">
        <v>479</v>
      </c>
      <c r="BX149">
        <v>494</v>
      </c>
      <c r="BY149">
        <v>508</v>
      </c>
      <c r="BZ149">
        <v>520</v>
      </c>
      <c r="CA149">
        <v>527</v>
      </c>
      <c r="CB149">
        <v>541</v>
      </c>
      <c r="CC149">
        <v>548</v>
      </c>
      <c r="CD149">
        <v>576</v>
      </c>
      <c r="CE149">
        <v>582</v>
      </c>
      <c r="CF149">
        <v>609</v>
      </c>
      <c r="CG149">
        <v>619</v>
      </c>
      <c r="CH149">
        <v>630</v>
      </c>
      <c r="CI149">
        <v>632</v>
      </c>
      <c r="CJ149">
        <v>641</v>
      </c>
      <c r="CK149">
        <v>658</v>
      </c>
      <c r="CL149">
        <v>663</v>
      </c>
      <c r="CM149">
        <v>668</v>
      </c>
      <c r="CN149">
        <v>672</v>
      </c>
      <c r="CO149">
        <v>673</v>
      </c>
      <c r="CP149">
        <v>677</v>
      </c>
      <c r="CQ149">
        <v>677</v>
      </c>
      <c r="CR149">
        <v>682</v>
      </c>
      <c r="CS149">
        <v>688</v>
      </c>
      <c r="CT149">
        <v>696</v>
      </c>
      <c r="CU149">
        <v>704</v>
      </c>
      <c r="CV149">
        <v>707</v>
      </c>
      <c r="CW149">
        <v>710</v>
      </c>
      <c r="CX149">
        <v>717</v>
      </c>
      <c r="CY149">
        <v>721</v>
      </c>
      <c r="CZ149">
        <v>725</v>
      </c>
      <c r="DA149">
        <v>729</v>
      </c>
      <c r="DB149">
        <v>733</v>
      </c>
    </row>
    <row r="150" spans="2:106" x14ac:dyDescent="0.25">
      <c r="B150" t="s">
        <v>663</v>
      </c>
      <c r="C150">
        <v>6.4280999999999997</v>
      </c>
      <c r="D150">
        <v>-9.4295000000000009</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1</v>
      </c>
      <c r="BH150">
        <v>1</v>
      </c>
      <c r="BI150">
        <v>2</v>
      </c>
      <c r="BJ150">
        <v>2</v>
      </c>
      <c r="BK150">
        <v>2</v>
      </c>
      <c r="BL150">
        <v>3</v>
      </c>
      <c r="BM150">
        <v>3</v>
      </c>
      <c r="BN150">
        <v>3</v>
      </c>
      <c r="BO150">
        <v>3</v>
      </c>
      <c r="BP150">
        <v>3</v>
      </c>
      <c r="BQ150">
        <v>3</v>
      </c>
      <c r="BR150">
        <v>3</v>
      </c>
      <c r="BS150">
        <v>3</v>
      </c>
      <c r="BT150">
        <v>3</v>
      </c>
      <c r="BU150">
        <v>3</v>
      </c>
      <c r="BV150">
        <v>3</v>
      </c>
      <c r="BW150">
        <v>6</v>
      </c>
      <c r="BX150">
        <v>6</v>
      </c>
      <c r="BY150">
        <v>7</v>
      </c>
      <c r="BZ150">
        <v>10</v>
      </c>
      <c r="CA150">
        <v>13</v>
      </c>
      <c r="CB150">
        <v>14</v>
      </c>
      <c r="CC150">
        <v>14</v>
      </c>
      <c r="CD150">
        <v>31</v>
      </c>
      <c r="CE150">
        <v>31</v>
      </c>
      <c r="CF150">
        <v>37</v>
      </c>
      <c r="CG150">
        <v>48</v>
      </c>
      <c r="CH150">
        <v>50</v>
      </c>
      <c r="CI150">
        <v>59</v>
      </c>
      <c r="CJ150">
        <v>59</v>
      </c>
      <c r="CK150">
        <v>59</v>
      </c>
      <c r="CL150">
        <v>59</v>
      </c>
      <c r="CM150">
        <v>76</v>
      </c>
      <c r="CN150">
        <v>76</v>
      </c>
      <c r="CO150">
        <v>91</v>
      </c>
      <c r="CP150">
        <v>99</v>
      </c>
      <c r="CQ150">
        <v>101</v>
      </c>
      <c r="CR150">
        <v>101</v>
      </c>
      <c r="CS150">
        <v>101</v>
      </c>
      <c r="CT150">
        <v>117</v>
      </c>
      <c r="CU150">
        <v>120</v>
      </c>
      <c r="CV150">
        <v>124</v>
      </c>
      <c r="CW150">
        <v>124</v>
      </c>
      <c r="CX150">
        <v>141</v>
      </c>
      <c r="CY150">
        <v>141</v>
      </c>
      <c r="CZ150">
        <v>141</v>
      </c>
      <c r="DA150">
        <v>152</v>
      </c>
      <c r="DB150">
        <v>154</v>
      </c>
    </row>
    <row r="151" spans="2:106" x14ac:dyDescent="0.25">
      <c r="B151" t="s">
        <v>119</v>
      </c>
      <c r="C151">
        <v>47.14</v>
      </c>
      <c r="D151">
        <v>9.5500000000000007</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1</v>
      </c>
      <c r="AV151">
        <v>1</v>
      </c>
      <c r="AW151">
        <v>1</v>
      </c>
      <c r="AX151">
        <v>1</v>
      </c>
      <c r="AY151">
        <v>1</v>
      </c>
      <c r="AZ151">
        <v>1</v>
      </c>
      <c r="BA151">
        <v>1</v>
      </c>
      <c r="BB151">
        <v>1</v>
      </c>
      <c r="BC151">
        <v>1</v>
      </c>
      <c r="BD151">
        <v>1</v>
      </c>
      <c r="BE151">
        <v>4</v>
      </c>
      <c r="BF151">
        <v>4</v>
      </c>
      <c r="BG151">
        <v>4</v>
      </c>
      <c r="BH151">
        <v>7</v>
      </c>
      <c r="BI151">
        <v>28</v>
      </c>
      <c r="BJ151">
        <v>28</v>
      </c>
      <c r="BK151">
        <v>28</v>
      </c>
      <c r="BL151">
        <v>37</v>
      </c>
      <c r="BM151">
        <v>37</v>
      </c>
      <c r="BN151">
        <v>51</v>
      </c>
      <c r="BO151">
        <v>51</v>
      </c>
      <c r="BP151">
        <v>51</v>
      </c>
      <c r="BQ151">
        <v>56</v>
      </c>
      <c r="BR151">
        <v>56</v>
      </c>
      <c r="BS151">
        <v>56</v>
      </c>
      <c r="BT151">
        <v>56</v>
      </c>
      <c r="BU151">
        <v>62</v>
      </c>
      <c r="BV151">
        <v>68</v>
      </c>
      <c r="BW151">
        <v>68</v>
      </c>
      <c r="BX151">
        <v>75</v>
      </c>
      <c r="BY151">
        <v>75</v>
      </c>
      <c r="BZ151">
        <v>77</v>
      </c>
      <c r="CA151">
        <v>77</v>
      </c>
      <c r="CB151">
        <v>77</v>
      </c>
      <c r="CC151">
        <v>78</v>
      </c>
      <c r="CD151">
        <v>78</v>
      </c>
      <c r="CE151">
        <v>78</v>
      </c>
      <c r="CF151">
        <v>79</v>
      </c>
      <c r="CG151">
        <v>79</v>
      </c>
      <c r="CH151">
        <v>79</v>
      </c>
      <c r="CI151">
        <v>79</v>
      </c>
      <c r="CJ151">
        <v>79</v>
      </c>
      <c r="CK151">
        <v>79</v>
      </c>
      <c r="CL151">
        <v>79</v>
      </c>
      <c r="CM151">
        <v>79</v>
      </c>
      <c r="CN151">
        <v>79</v>
      </c>
      <c r="CO151">
        <v>81</v>
      </c>
      <c r="CP151">
        <v>81</v>
      </c>
      <c r="CQ151">
        <v>81</v>
      </c>
      <c r="CR151">
        <v>81</v>
      </c>
      <c r="CS151">
        <v>81</v>
      </c>
      <c r="CT151">
        <v>81</v>
      </c>
      <c r="CU151">
        <v>81</v>
      </c>
      <c r="CV151">
        <v>82</v>
      </c>
      <c r="CW151">
        <v>82</v>
      </c>
      <c r="CX151">
        <v>82</v>
      </c>
      <c r="CY151">
        <v>82</v>
      </c>
      <c r="CZ151">
        <v>82</v>
      </c>
      <c r="DA151">
        <v>82</v>
      </c>
      <c r="DB151">
        <v>82</v>
      </c>
    </row>
    <row r="152" spans="2:106" x14ac:dyDescent="0.25">
      <c r="B152" t="s">
        <v>91</v>
      </c>
      <c r="C152">
        <v>55.169400000000003</v>
      </c>
      <c r="D152">
        <v>23.8813</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1</v>
      </c>
      <c r="AQ152">
        <v>1</v>
      </c>
      <c r="AR152">
        <v>1</v>
      </c>
      <c r="AS152">
        <v>1</v>
      </c>
      <c r="AT152">
        <v>1</v>
      </c>
      <c r="AU152">
        <v>1</v>
      </c>
      <c r="AV152">
        <v>1</v>
      </c>
      <c r="AW152">
        <v>1</v>
      </c>
      <c r="AX152">
        <v>1</v>
      </c>
      <c r="AY152">
        <v>1</v>
      </c>
      <c r="AZ152">
        <v>1</v>
      </c>
      <c r="BA152">
        <v>1</v>
      </c>
      <c r="BB152">
        <v>3</v>
      </c>
      <c r="BC152">
        <v>3</v>
      </c>
      <c r="BD152">
        <v>6</v>
      </c>
      <c r="BE152">
        <v>8</v>
      </c>
      <c r="BF152">
        <v>12</v>
      </c>
      <c r="BG152">
        <v>17</v>
      </c>
      <c r="BH152">
        <v>25</v>
      </c>
      <c r="BI152">
        <v>27</v>
      </c>
      <c r="BJ152">
        <v>36</v>
      </c>
      <c r="BK152">
        <v>49</v>
      </c>
      <c r="BL152">
        <v>83</v>
      </c>
      <c r="BM152">
        <v>143</v>
      </c>
      <c r="BN152">
        <v>179</v>
      </c>
      <c r="BO152">
        <v>209</v>
      </c>
      <c r="BP152">
        <v>274</v>
      </c>
      <c r="BQ152">
        <v>299</v>
      </c>
      <c r="BR152">
        <v>358</v>
      </c>
      <c r="BS152">
        <v>394</v>
      </c>
      <c r="BT152">
        <v>460</v>
      </c>
      <c r="BU152">
        <v>491</v>
      </c>
      <c r="BV152">
        <v>537</v>
      </c>
      <c r="BW152">
        <v>581</v>
      </c>
      <c r="BX152">
        <v>649</v>
      </c>
      <c r="BY152">
        <v>696</v>
      </c>
      <c r="BZ152">
        <v>771</v>
      </c>
      <c r="CA152">
        <v>811</v>
      </c>
      <c r="CB152">
        <v>843</v>
      </c>
      <c r="CC152">
        <v>880</v>
      </c>
      <c r="CD152">
        <v>912</v>
      </c>
      <c r="CE152">
        <v>955</v>
      </c>
      <c r="CF152">
        <v>999</v>
      </c>
      <c r="CG152">
        <v>1026</v>
      </c>
      <c r="CH152">
        <v>1053</v>
      </c>
      <c r="CI152">
        <v>1062</v>
      </c>
      <c r="CJ152">
        <v>1070</v>
      </c>
      <c r="CK152">
        <v>1091</v>
      </c>
      <c r="CL152">
        <v>1128</v>
      </c>
      <c r="CM152">
        <v>1149</v>
      </c>
      <c r="CN152">
        <v>1239</v>
      </c>
      <c r="CO152">
        <v>1298</v>
      </c>
      <c r="CP152">
        <v>1326</v>
      </c>
      <c r="CQ152">
        <v>1350</v>
      </c>
      <c r="CR152">
        <v>1370</v>
      </c>
      <c r="CS152">
        <v>1398</v>
      </c>
      <c r="CT152">
        <v>1410</v>
      </c>
      <c r="CU152">
        <v>1426</v>
      </c>
      <c r="CV152">
        <v>1438</v>
      </c>
      <c r="CW152">
        <v>1449</v>
      </c>
      <c r="CX152">
        <v>1344</v>
      </c>
      <c r="CY152">
        <v>1375</v>
      </c>
      <c r="CZ152">
        <v>1385</v>
      </c>
      <c r="DA152">
        <v>1399</v>
      </c>
      <c r="DB152">
        <v>1406</v>
      </c>
    </row>
    <row r="153" spans="2:106" x14ac:dyDescent="0.25">
      <c r="B153" t="s">
        <v>96</v>
      </c>
      <c r="C153">
        <v>49.815300000000001</v>
      </c>
      <c r="D153">
        <v>6.1295999999999999</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1</v>
      </c>
      <c r="AR153">
        <v>1</v>
      </c>
      <c r="AS153">
        <v>1</v>
      </c>
      <c r="AT153">
        <v>1</v>
      </c>
      <c r="AU153">
        <v>1</v>
      </c>
      <c r="AV153">
        <v>1</v>
      </c>
      <c r="AW153">
        <v>2</v>
      </c>
      <c r="AX153">
        <v>2</v>
      </c>
      <c r="AY153">
        <v>3</v>
      </c>
      <c r="AZ153">
        <v>3</v>
      </c>
      <c r="BA153">
        <v>5</v>
      </c>
      <c r="BB153">
        <v>7</v>
      </c>
      <c r="BC153">
        <v>19</v>
      </c>
      <c r="BD153">
        <v>34</v>
      </c>
      <c r="BE153">
        <v>51</v>
      </c>
      <c r="BF153">
        <v>59</v>
      </c>
      <c r="BG153">
        <v>77</v>
      </c>
      <c r="BH153">
        <v>140</v>
      </c>
      <c r="BI153">
        <v>203</v>
      </c>
      <c r="BJ153">
        <v>335</v>
      </c>
      <c r="BK153">
        <v>484</v>
      </c>
      <c r="BL153">
        <v>670</v>
      </c>
      <c r="BM153">
        <v>798</v>
      </c>
      <c r="BN153">
        <v>875</v>
      </c>
      <c r="BO153">
        <v>1099</v>
      </c>
      <c r="BP153">
        <v>1333</v>
      </c>
      <c r="BQ153">
        <v>1453</v>
      </c>
      <c r="BR153">
        <v>1605</v>
      </c>
      <c r="BS153">
        <v>1831</v>
      </c>
      <c r="BT153">
        <v>1950</v>
      </c>
      <c r="BU153">
        <v>1988</v>
      </c>
      <c r="BV153">
        <v>2178</v>
      </c>
      <c r="BW153">
        <v>2319</v>
      </c>
      <c r="BX153">
        <v>2487</v>
      </c>
      <c r="BY153">
        <v>2612</v>
      </c>
      <c r="BZ153">
        <v>2729</v>
      </c>
      <c r="CA153">
        <v>2804</v>
      </c>
      <c r="CB153">
        <v>2843</v>
      </c>
      <c r="CC153">
        <v>2970</v>
      </c>
      <c r="CD153">
        <v>3034</v>
      </c>
      <c r="CE153">
        <v>3115</v>
      </c>
      <c r="CF153">
        <v>3223</v>
      </c>
      <c r="CG153">
        <v>3270</v>
      </c>
      <c r="CH153">
        <v>3281</v>
      </c>
      <c r="CI153">
        <v>3292</v>
      </c>
      <c r="CJ153">
        <v>3307</v>
      </c>
      <c r="CK153">
        <v>3373</v>
      </c>
      <c r="CL153">
        <v>3444</v>
      </c>
      <c r="CM153">
        <v>3480</v>
      </c>
      <c r="CN153">
        <v>3537</v>
      </c>
      <c r="CO153">
        <v>3550</v>
      </c>
      <c r="CP153">
        <v>3558</v>
      </c>
      <c r="CQ153">
        <v>3618</v>
      </c>
      <c r="CR153">
        <v>3654</v>
      </c>
      <c r="CS153">
        <v>3665</v>
      </c>
      <c r="CT153">
        <v>3695</v>
      </c>
      <c r="CU153">
        <v>3711</v>
      </c>
      <c r="CV153">
        <v>3723</v>
      </c>
      <c r="CW153">
        <v>3729</v>
      </c>
      <c r="CX153">
        <v>3741</v>
      </c>
      <c r="CY153">
        <v>3769</v>
      </c>
      <c r="CZ153">
        <v>3784</v>
      </c>
      <c r="DA153">
        <v>3802</v>
      </c>
      <c r="DB153">
        <v>3812</v>
      </c>
    </row>
    <row r="154" spans="2:106" x14ac:dyDescent="0.25">
      <c r="B154" t="s">
        <v>739</v>
      </c>
      <c r="C154">
        <v>-18.7669</v>
      </c>
      <c r="D154">
        <v>46.869100000000003</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3</v>
      </c>
      <c r="BL154">
        <v>3</v>
      </c>
      <c r="BM154">
        <v>3</v>
      </c>
      <c r="BN154">
        <v>12</v>
      </c>
      <c r="BO154">
        <v>17</v>
      </c>
      <c r="BP154">
        <v>19</v>
      </c>
      <c r="BQ154">
        <v>23</v>
      </c>
      <c r="BR154">
        <v>26</v>
      </c>
      <c r="BS154">
        <v>26</v>
      </c>
      <c r="BT154">
        <v>39</v>
      </c>
      <c r="BU154">
        <v>43</v>
      </c>
      <c r="BV154">
        <v>57</v>
      </c>
      <c r="BW154">
        <v>57</v>
      </c>
      <c r="BX154">
        <v>59</v>
      </c>
      <c r="BY154">
        <v>70</v>
      </c>
      <c r="BZ154">
        <v>70</v>
      </c>
      <c r="CA154">
        <v>72</v>
      </c>
      <c r="CB154">
        <v>82</v>
      </c>
      <c r="CC154">
        <v>88</v>
      </c>
      <c r="CD154">
        <v>93</v>
      </c>
      <c r="CE154">
        <v>93</v>
      </c>
      <c r="CF154">
        <v>93</v>
      </c>
      <c r="CG154">
        <v>102</v>
      </c>
      <c r="CH154">
        <v>106</v>
      </c>
      <c r="CI154">
        <v>106</v>
      </c>
      <c r="CJ154">
        <v>108</v>
      </c>
      <c r="CK154">
        <v>110</v>
      </c>
      <c r="CL154">
        <v>111</v>
      </c>
      <c r="CM154">
        <v>117</v>
      </c>
      <c r="CN154">
        <v>120</v>
      </c>
      <c r="CO154">
        <v>121</v>
      </c>
      <c r="CP154">
        <v>121</v>
      </c>
      <c r="CQ154">
        <v>121</v>
      </c>
      <c r="CR154">
        <v>121</v>
      </c>
      <c r="CS154">
        <v>121</v>
      </c>
      <c r="CT154">
        <v>122</v>
      </c>
      <c r="CU154">
        <v>123</v>
      </c>
      <c r="CV154">
        <v>124</v>
      </c>
      <c r="CW154">
        <v>128</v>
      </c>
      <c r="CX154">
        <v>128</v>
      </c>
      <c r="CY154">
        <v>128</v>
      </c>
      <c r="CZ154">
        <v>128</v>
      </c>
      <c r="DA154">
        <v>132</v>
      </c>
      <c r="DB154">
        <v>135</v>
      </c>
    </row>
    <row r="155" spans="2:106" x14ac:dyDescent="0.25">
      <c r="B155" t="s">
        <v>44</v>
      </c>
      <c r="C155">
        <v>2.5</v>
      </c>
      <c r="D155">
        <v>112.5</v>
      </c>
      <c r="E155">
        <v>0</v>
      </c>
      <c r="F155">
        <v>0</v>
      </c>
      <c r="G155">
        <v>0</v>
      </c>
      <c r="H155">
        <v>3</v>
      </c>
      <c r="I155">
        <v>4</v>
      </c>
      <c r="J155">
        <v>4</v>
      </c>
      <c r="K155">
        <v>4</v>
      </c>
      <c r="L155">
        <v>7</v>
      </c>
      <c r="M155">
        <v>8</v>
      </c>
      <c r="N155">
        <v>8</v>
      </c>
      <c r="O155">
        <v>8</v>
      </c>
      <c r="P155">
        <v>8</v>
      </c>
      <c r="Q155">
        <v>8</v>
      </c>
      <c r="R155">
        <v>10</v>
      </c>
      <c r="S155">
        <v>12</v>
      </c>
      <c r="T155">
        <v>12</v>
      </c>
      <c r="U155">
        <v>12</v>
      </c>
      <c r="V155">
        <v>16</v>
      </c>
      <c r="W155">
        <v>16</v>
      </c>
      <c r="X155">
        <v>18</v>
      </c>
      <c r="Y155">
        <v>18</v>
      </c>
      <c r="Z155">
        <v>18</v>
      </c>
      <c r="AA155">
        <v>19</v>
      </c>
      <c r="AB155">
        <v>19</v>
      </c>
      <c r="AC155">
        <v>22</v>
      </c>
      <c r="AD155">
        <v>22</v>
      </c>
      <c r="AE155">
        <v>22</v>
      </c>
      <c r="AF155">
        <v>22</v>
      </c>
      <c r="AG155">
        <v>22</v>
      </c>
      <c r="AH155">
        <v>22</v>
      </c>
      <c r="AI155">
        <v>22</v>
      </c>
      <c r="AJ155">
        <v>22</v>
      </c>
      <c r="AK155">
        <v>22</v>
      </c>
      <c r="AL155">
        <v>22</v>
      </c>
      <c r="AM155">
        <v>22</v>
      </c>
      <c r="AN155">
        <v>22</v>
      </c>
      <c r="AO155">
        <v>23</v>
      </c>
      <c r="AP155">
        <v>23</v>
      </c>
      <c r="AQ155">
        <v>25</v>
      </c>
      <c r="AR155">
        <v>29</v>
      </c>
      <c r="AS155">
        <v>29</v>
      </c>
      <c r="AT155">
        <v>36</v>
      </c>
      <c r="AU155">
        <v>50</v>
      </c>
      <c r="AV155">
        <v>50</v>
      </c>
      <c r="AW155">
        <v>83</v>
      </c>
      <c r="AX155">
        <v>93</v>
      </c>
      <c r="AY155">
        <v>99</v>
      </c>
      <c r="AZ155">
        <v>117</v>
      </c>
      <c r="BA155">
        <v>129</v>
      </c>
      <c r="BB155">
        <v>149</v>
      </c>
      <c r="BC155">
        <v>149</v>
      </c>
      <c r="BD155">
        <v>197</v>
      </c>
      <c r="BE155">
        <v>238</v>
      </c>
      <c r="BF155">
        <v>428</v>
      </c>
      <c r="BG155">
        <v>566</v>
      </c>
      <c r="BH155">
        <v>673</v>
      </c>
      <c r="BI155">
        <v>790</v>
      </c>
      <c r="BJ155">
        <v>900</v>
      </c>
      <c r="BK155">
        <v>1030</v>
      </c>
      <c r="BL155">
        <v>1183</v>
      </c>
      <c r="BM155">
        <v>1306</v>
      </c>
      <c r="BN155">
        <v>1518</v>
      </c>
      <c r="BO155">
        <v>1624</v>
      </c>
      <c r="BP155">
        <v>1796</v>
      </c>
      <c r="BQ155">
        <v>2031</v>
      </c>
      <c r="BR155">
        <v>2161</v>
      </c>
      <c r="BS155">
        <v>2320</v>
      </c>
      <c r="BT155">
        <v>2470</v>
      </c>
      <c r="BU155">
        <v>2626</v>
      </c>
      <c r="BV155">
        <v>2766</v>
      </c>
      <c r="BW155">
        <v>2908</v>
      </c>
      <c r="BX155">
        <v>3116</v>
      </c>
      <c r="BY155">
        <v>3333</v>
      </c>
      <c r="BZ155">
        <v>3483</v>
      </c>
      <c r="CA155">
        <v>3662</v>
      </c>
      <c r="CB155">
        <v>3793</v>
      </c>
      <c r="CC155">
        <v>3963</v>
      </c>
      <c r="CD155">
        <v>4119</v>
      </c>
      <c r="CE155">
        <v>4228</v>
      </c>
      <c r="CF155">
        <v>4346</v>
      </c>
      <c r="CG155">
        <v>4530</v>
      </c>
      <c r="CH155">
        <v>4683</v>
      </c>
      <c r="CI155">
        <v>4817</v>
      </c>
      <c r="CJ155">
        <v>4987</v>
      </c>
      <c r="CK155">
        <v>5072</v>
      </c>
      <c r="CL155">
        <v>5182</v>
      </c>
      <c r="CM155">
        <v>5251</v>
      </c>
      <c r="CN155">
        <v>5305</v>
      </c>
      <c r="CO155">
        <v>5389</v>
      </c>
      <c r="CP155">
        <v>5425</v>
      </c>
      <c r="CQ155">
        <v>5482</v>
      </c>
      <c r="CR155">
        <v>5532</v>
      </c>
      <c r="CS155">
        <v>5603</v>
      </c>
      <c r="CT155">
        <v>5691</v>
      </c>
      <c r="CU155">
        <v>5742</v>
      </c>
      <c r="CV155">
        <v>5780</v>
      </c>
      <c r="CW155">
        <v>5820</v>
      </c>
      <c r="CX155">
        <v>5851</v>
      </c>
      <c r="CY155">
        <v>5945</v>
      </c>
      <c r="CZ155">
        <v>6002</v>
      </c>
      <c r="DA155">
        <v>6071</v>
      </c>
      <c r="DB155">
        <v>6176</v>
      </c>
    </row>
    <row r="156" spans="2:106" x14ac:dyDescent="0.25">
      <c r="B156" t="s">
        <v>137</v>
      </c>
      <c r="C156">
        <v>3.2027999999999999</v>
      </c>
      <c r="D156">
        <v>73.220699999999994</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4</v>
      </c>
      <c r="AZ156">
        <v>4</v>
      </c>
      <c r="BA156">
        <v>6</v>
      </c>
      <c r="BB156">
        <v>8</v>
      </c>
      <c r="BC156">
        <v>8</v>
      </c>
      <c r="BD156">
        <v>9</v>
      </c>
      <c r="BE156">
        <v>10</v>
      </c>
      <c r="BF156">
        <v>13</v>
      </c>
      <c r="BG156">
        <v>13</v>
      </c>
      <c r="BH156">
        <v>13</v>
      </c>
      <c r="BI156">
        <v>13</v>
      </c>
      <c r="BJ156">
        <v>13</v>
      </c>
      <c r="BK156">
        <v>13</v>
      </c>
      <c r="BL156">
        <v>13</v>
      </c>
      <c r="BM156">
        <v>13</v>
      </c>
      <c r="BN156">
        <v>13</v>
      </c>
      <c r="BO156">
        <v>13</v>
      </c>
      <c r="BP156">
        <v>13</v>
      </c>
      <c r="BQ156">
        <v>13</v>
      </c>
      <c r="BR156">
        <v>16</v>
      </c>
      <c r="BS156">
        <v>16</v>
      </c>
      <c r="BT156">
        <v>17</v>
      </c>
      <c r="BU156">
        <v>17</v>
      </c>
      <c r="BV156">
        <v>18</v>
      </c>
      <c r="BW156">
        <v>19</v>
      </c>
      <c r="BX156">
        <v>19</v>
      </c>
      <c r="BY156">
        <v>19</v>
      </c>
      <c r="BZ156">
        <v>19</v>
      </c>
      <c r="CA156">
        <v>19</v>
      </c>
      <c r="CB156">
        <v>19</v>
      </c>
      <c r="CC156">
        <v>19</v>
      </c>
      <c r="CD156">
        <v>19</v>
      </c>
      <c r="CE156">
        <v>19</v>
      </c>
      <c r="CF156">
        <v>19</v>
      </c>
      <c r="CG156">
        <v>19</v>
      </c>
      <c r="CH156">
        <v>20</v>
      </c>
      <c r="CI156">
        <v>20</v>
      </c>
      <c r="CJ156">
        <v>20</v>
      </c>
      <c r="CK156">
        <v>22</v>
      </c>
      <c r="CL156">
        <v>25</v>
      </c>
      <c r="CM156">
        <v>28</v>
      </c>
      <c r="CN156">
        <v>35</v>
      </c>
      <c r="CO156">
        <v>52</v>
      </c>
      <c r="CP156">
        <v>69</v>
      </c>
      <c r="CQ156">
        <v>83</v>
      </c>
      <c r="CR156">
        <v>86</v>
      </c>
      <c r="CS156">
        <v>108</v>
      </c>
      <c r="CT156">
        <v>129</v>
      </c>
      <c r="CU156">
        <v>177</v>
      </c>
      <c r="CV156">
        <v>214</v>
      </c>
      <c r="CW156">
        <v>226</v>
      </c>
      <c r="CX156">
        <v>250</v>
      </c>
      <c r="CY156">
        <v>278</v>
      </c>
      <c r="CZ156">
        <v>468</v>
      </c>
      <c r="DA156">
        <v>491</v>
      </c>
      <c r="DB156">
        <v>519</v>
      </c>
    </row>
    <row r="157" spans="2:106" x14ac:dyDescent="0.25">
      <c r="B157" t="s">
        <v>134</v>
      </c>
      <c r="C157">
        <v>35.9375</v>
      </c>
      <c r="D157">
        <v>14.375400000000001</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3</v>
      </c>
      <c r="AY157">
        <v>3</v>
      </c>
      <c r="AZ157">
        <v>3</v>
      </c>
      <c r="BA157">
        <v>5</v>
      </c>
      <c r="BB157">
        <v>6</v>
      </c>
      <c r="BC157">
        <v>6</v>
      </c>
      <c r="BD157">
        <v>12</v>
      </c>
      <c r="BE157">
        <v>18</v>
      </c>
      <c r="BF157">
        <v>21</v>
      </c>
      <c r="BG157">
        <v>30</v>
      </c>
      <c r="BH157">
        <v>38</v>
      </c>
      <c r="BI157">
        <v>38</v>
      </c>
      <c r="BJ157">
        <v>53</v>
      </c>
      <c r="BK157">
        <v>64</v>
      </c>
      <c r="BL157">
        <v>73</v>
      </c>
      <c r="BM157">
        <v>90</v>
      </c>
      <c r="BN157">
        <v>107</v>
      </c>
      <c r="BO157">
        <v>110</v>
      </c>
      <c r="BP157">
        <v>129</v>
      </c>
      <c r="BQ157">
        <v>134</v>
      </c>
      <c r="BR157">
        <v>139</v>
      </c>
      <c r="BS157">
        <v>149</v>
      </c>
      <c r="BT157">
        <v>151</v>
      </c>
      <c r="BU157">
        <v>156</v>
      </c>
      <c r="BV157">
        <v>169</v>
      </c>
      <c r="BW157">
        <v>188</v>
      </c>
      <c r="BX157">
        <v>196</v>
      </c>
      <c r="BY157">
        <v>202</v>
      </c>
      <c r="BZ157">
        <v>213</v>
      </c>
      <c r="CA157">
        <v>227</v>
      </c>
      <c r="CB157">
        <v>241</v>
      </c>
      <c r="CC157">
        <v>293</v>
      </c>
      <c r="CD157">
        <v>299</v>
      </c>
      <c r="CE157">
        <v>337</v>
      </c>
      <c r="CF157">
        <v>350</v>
      </c>
      <c r="CG157">
        <v>370</v>
      </c>
      <c r="CH157">
        <v>378</v>
      </c>
      <c r="CI157">
        <v>384</v>
      </c>
      <c r="CJ157">
        <v>393</v>
      </c>
      <c r="CK157">
        <v>399</v>
      </c>
      <c r="CL157">
        <v>412</v>
      </c>
      <c r="CM157">
        <v>422</v>
      </c>
      <c r="CN157">
        <v>426</v>
      </c>
      <c r="CO157">
        <v>427</v>
      </c>
      <c r="CP157">
        <v>431</v>
      </c>
      <c r="CQ157">
        <v>443</v>
      </c>
      <c r="CR157">
        <v>444</v>
      </c>
      <c r="CS157">
        <v>445</v>
      </c>
      <c r="CT157">
        <v>447</v>
      </c>
      <c r="CU157">
        <v>448</v>
      </c>
      <c r="CV157">
        <v>448</v>
      </c>
      <c r="CW157">
        <v>450</v>
      </c>
      <c r="CX157">
        <v>458</v>
      </c>
      <c r="CY157">
        <v>463</v>
      </c>
      <c r="CZ157">
        <v>465</v>
      </c>
      <c r="DA157">
        <v>467</v>
      </c>
      <c r="DB157">
        <v>468</v>
      </c>
    </row>
    <row r="158" spans="2:106" x14ac:dyDescent="0.25">
      <c r="B158" t="s">
        <v>366</v>
      </c>
      <c r="C158">
        <v>21.007899999999999</v>
      </c>
      <c r="D158">
        <v>10.940799999999999</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1</v>
      </c>
      <c r="BF158">
        <v>1</v>
      </c>
      <c r="BG158">
        <v>1</v>
      </c>
      <c r="BH158">
        <v>1</v>
      </c>
      <c r="BI158">
        <v>1</v>
      </c>
      <c r="BJ158">
        <v>2</v>
      </c>
      <c r="BK158">
        <v>2</v>
      </c>
      <c r="BL158">
        <v>2</v>
      </c>
      <c r="BM158">
        <v>2</v>
      </c>
      <c r="BN158">
        <v>2</v>
      </c>
      <c r="BO158">
        <v>2</v>
      </c>
      <c r="BP158">
        <v>2</v>
      </c>
      <c r="BQ158">
        <v>3</v>
      </c>
      <c r="BR158">
        <v>3</v>
      </c>
      <c r="BS158">
        <v>5</v>
      </c>
      <c r="BT158">
        <v>5</v>
      </c>
      <c r="BU158">
        <v>5</v>
      </c>
      <c r="BV158">
        <v>6</v>
      </c>
      <c r="BW158">
        <v>6</v>
      </c>
      <c r="BX158">
        <v>6</v>
      </c>
      <c r="BY158">
        <v>6</v>
      </c>
      <c r="BZ158">
        <v>6</v>
      </c>
      <c r="CA158">
        <v>6</v>
      </c>
      <c r="CB158">
        <v>6</v>
      </c>
      <c r="CC158">
        <v>6</v>
      </c>
      <c r="CD158">
        <v>6</v>
      </c>
      <c r="CE158">
        <v>7</v>
      </c>
      <c r="CF158">
        <v>7</v>
      </c>
      <c r="CG158">
        <v>7</v>
      </c>
      <c r="CH158">
        <v>7</v>
      </c>
      <c r="CI158">
        <v>7</v>
      </c>
      <c r="CJ158">
        <v>7</v>
      </c>
      <c r="CK158">
        <v>7</v>
      </c>
      <c r="CL158">
        <v>7</v>
      </c>
      <c r="CM158">
        <v>7</v>
      </c>
      <c r="CN158">
        <v>7</v>
      </c>
      <c r="CO158">
        <v>7</v>
      </c>
      <c r="CP158">
        <v>7</v>
      </c>
      <c r="CQ158">
        <v>7</v>
      </c>
      <c r="CR158">
        <v>7</v>
      </c>
      <c r="CS158">
        <v>7</v>
      </c>
      <c r="CT158">
        <v>7</v>
      </c>
      <c r="CU158">
        <v>7</v>
      </c>
      <c r="CV158">
        <v>7</v>
      </c>
      <c r="CW158">
        <v>7</v>
      </c>
      <c r="CX158">
        <v>7</v>
      </c>
      <c r="CY158">
        <v>8</v>
      </c>
      <c r="CZ158">
        <v>8</v>
      </c>
      <c r="DA158">
        <v>8</v>
      </c>
      <c r="DB158">
        <v>8</v>
      </c>
    </row>
    <row r="159" spans="2:106" x14ac:dyDescent="0.25">
      <c r="B159" t="s">
        <v>669</v>
      </c>
      <c r="C159">
        <v>-20.2</v>
      </c>
      <c r="D159">
        <v>57.5</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3</v>
      </c>
      <c r="BJ159">
        <v>3</v>
      </c>
      <c r="BK159">
        <v>12</v>
      </c>
      <c r="BL159">
        <v>14</v>
      </c>
      <c r="BM159">
        <v>28</v>
      </c>
      <c r="BN159">
        <v>36</v>
      </c>
      <c r="BO159">
        <v>42</v>
      </c>
      <c r="BP159">
        <v>48</v>
      </c>
      <c r="BQ159">
        <v>81</v>
      </c>
      <c r="BR159">
        <v>94</v>
      </c>
      <c r="BS159">
        <v>102</v>
      </c>
      <c r="BT159">
        <v>107</v>
      </c>
      <c r="BU159">
        <v>128</v>
      </c>
      <c r="BV159">
        <v>143</v>
      </c>
      <c r="BW159">
        <v>161</v>
      </c>
      <c r="BX159">
        <v>169</v>
      </c>
      <c r="BY159">
        <v>186</v>
      </c>
      <c r="BZ159">
        <v>196</v>
      </c>
      <c r="CA159">
        <v>227</v>
      </c>
      <c r="CB159">
        <v>244</v>
      </c>
      <c r="CC159">
        <v>268</v>
      </c>
      <c r="CD159">
        <v>273</v>
      </c>
      <c r="CE159">
        <v>314</v>
      </c>
      <c r="CF159">
        <v>318</v>
      </c>
      <c r="CG159">
        <v>319</v>
      </c>
      <c r="CH159">
        <v>324</v>
      </c>
      <c r="CI159">
        <v>324</v>
      </c>
      <c r="CJ159">
        <v>324</v>
      </c>
      <c r="CK159">
        <v>324</v>
      </c>
      <c r="CL159">
        <v>324</v>
      </c>
      <c r="CM159">
        <v>324</v>
      </c>
      <c r="CN159">
        <v>325</v>
      </c>
      <c r="CO159">
        <v>328</v>
      </c>
      <c r="CP159">
        <v>328</v>
      </c>
      <c r="CQ159">
        <v>328</v>
      </c>
      <c r="CR159">
        <v>329</v>
      </c>
      <c r="CS159">
        <v>331</v>
      </c>
      <c r="CT159">
        <v>331</v>
      </c>
      <c r="CU159">
        <v>331</v>
      </c>
      <c r="CV159">
        <v>332</v>
      </c>
      <c r="CW159">
        <v>334</v>
      </c>
      <c r="CX159">
        <v>334</v>
      </c>
      <c r="CY159">
        <v>332</v>
      </c>
      <c r="CZ159">
        <v>332</v>
      </c>
      <c r="DA159">
        <v>332</v>
      </c>
      <c r="DB159">
        <v>332</v>
      </c>
    </row>
    <row r="160" spans="2:106" x14ac:dyDescent="0.25">
      <c r="B160" t="s">
        <v>92</v>
      </c>
      <c r="C160">
        <v>23.634499999999999</v>
      </c>
      <c r="D160">
        <v>-102.5528</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1</v>
      </c>
      <c r="AQ160">
        <v>4</v>
      </c>
      <c r="AR160">
        <v>5</v>
      </c>
      <c r="AS160">
        <v>5</v>
      </c>
      <c r="AT160">
        <v>5</v>
      </c>
      <c r="AU160">
        <v>5</v>
      </c>
      <c r="AV160">
        <v>5</v>
      </c>
      <c r="AW160">
        <v>6</v>
      </c>
      <c r="AX160">
        <v>6</v>
      </c>
      <c r="AY160">
        <v>7</v>
      </c>
      <c r="AZ160">
        <v>7</v>
      </c>
      <c r="BA160">
        <v>7</v>
      </c>
      <c r="BB160">
        <v>8</v>
      </c>
      <c r="BC160">
        <v>12</v>
      </c>
      <c r="BD160">
        <v>26</v>
      </c>
      <c r="BE160">
        <v>41</v>
      </c>
      <c r="BF160">
        <v>53</v>
      </c>
      <c r="BG160">
        <v>82</v>
      </c>
      <c r="BH160">
        <v>93</v>
      </c>
      <c r="BI160">
        <v>118</v>
      </c>
      <c r="BJ160">
        <v>164</v>
      </c>
      <c r="BK160">
        <v>203</v>
      </c>
      <c r="BL160">
        <v>251</v>
      </c>
      <c r="BM160">
        <v>316</v>
      </c>
      <c r="BN160">
        <v>367</v>
      </c>
      <c r="BO160">
        <v>405</v>
      </c>
      <c r="BP160">
        <v>475</v>
      </c>
      <c r="BQ160">
        <v>585</v>
      </c>
      <c r="BR160">
        <v>717</v>
      </c>
      <c r="BS160">
        <v>848</v>
      </c>
      <c r="BT160">
        <v>993</v>
      </c>
      <c r="BU160">
        <v>1094</v>
      </c>
      <c r="BV160">
        <v>1215</v>
      </c>
      <c r="BW160">
        <v>1378</v>
      </c>
      <c r="BX160">
        <v>1510</v>
      </c>
      <c r="BY160">
        <v>1688</v>
      </c>
      <c r="BZ160">
        <v>1890</v>
      </c>
      <c r="CA160">
        <v>2143</v>
      </c>
      <c r="CB160">
        <v>2439</v>
      </c>
      <c r="CC160">
        <v>2785</v>
      </c>
      <c r="CD160">
        <v>3181</v>
      </c>
      <c r="CE160">
        <v>3441</v>
      </c>
      <c r="CF160">
        <v>3844</v>
      </c>
      <c r="CG160">
        <v>4219</v>
      </c>
      <c r="CH160">
        <v>4661</v>
      </c>
      <c r="CI160">
        <v>5014</v>
      </c>
      <c r="CJ160">
        <v>5399</v>
      </c>
      <c r="CK160">
        <v>5847</v>
      </c>
      <c r="CL160">
        <v>6297</v>
      </c>
      <c r="CM160">
        <v>6875</v>
      </c>
      <c r="CN160">
        <v>7497</v>
      </c>
      <c r="CO160">
        <v>8261</v>
      </c>
      <c r="CP160">
        <v>8772</v>
      </c>
      <c r="CQ160">
        <v>9501</v>
      </c>
      <c r="CR160">
        <v>10544</v>
      </c>
      <c r="CS160">
        <v>11633</v>
      </c>
      <c r="CT160">
        <v>12872</v>
      </c>
      <c r="CU160">
        <v>13842</v>
      </c>
      <c r="CV160">
        <v>14677</v>
      </c>
      <c r="CW160">
        <v>15529</v>
      </c>
      <c r="CX160">
        <v>16752</v>
      </c>
      <c r="CY160">
        <v>17799</v>
      </c>
      <c r="CZ160">
        <v>19224</v>
      </c>
      <c r="DA160">
        <v>20739</v>
      </c>
      <c r="DB160">
        <v>22088</v>
      </c>
    </row>
    <row r="161" spans="1:106" x14ac:dyDescent="0.25">
      <c r="B161" t="s">
        <v>139</v>
      </c>
      <c r="C161">
        <v>47.4116</v>
      </c>
      <c r="D161">
        <v>28.369900000000001</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1</v>
      </c>
      <c r="AZ161">
        <v>1</v>
      </c>
      <c r="BA161">
        <v>3</v>
      </c>
      <c r="BB161">
        <v>3</v>
      </c>
      <c r="BC161">
        <v>3</v>
      </c>
      <c r="BD161">
        <v>6</v>
      </c>
      <c r="BE161">
        <v>12</v>
      </c>
      <c r="BF161">
        <v>23</v>
      </c>
      <c r="BG161">
        <v>23</v>
      </c>
      <c r="BH161">
        <v>30</v>
      </c>
      <c r="BI161">
        <v>30</v>
      </c>
      <c r="BJ161">
        <v>49</v>
      </c>
      <c r="BK161">
        <v>66</v>
      </c>
      <c r="BL161">
        <v>80</v>
      </c>
      <c r="BM161">
        <v>94</v>
      </c>
      <c r="BN161">
        <v>109</v>
      </c>
      <c r="BO161">
        <v>125</v>
      </c>
      <c r="BP161">
        <v>149</v>
      </c>
      <c r="BQ161">
        <v>177</v>
      </c>
      <c r="BR161">
        <v>199</v>
      </c>
      <c r="BS161">
        <v>231</v>
      </c>
      <c r="BT161">
        <v>263</v>
      </c>
      <c r="BU161">
        <v>298</v>
      </c>
      <c r="BV161">
        <v>353</v>
      </c>
      <c r="BW161">
        <v>423</v>
      </c>
      <c r="BX161">
        <v>505</v>
      </c>
      <c r="BY161">
        <v>591</v>
      </c>
      <c r="BZ161">
        <v>752</v>
      </c>
      <c r="CA161">
        <v>864</v>
      </c>
      <c r="CB161">
        <v>965</v>
      </c>
      <c r="CC161">
        <v>1056</v>
      </c>
      <c r="CD161">
        <v>1174</v>
      </c>
      <c r="CE161">
        <v>1289</v>
      </c>
      <c r="CF161">
        <v>1438</v>
      </c>
      <c r="CG161">
        <v>1560</v>
      </c>
      <c r="CH161">
        <v>1662</v>
      </c>
      <c r="CI161">
        <v>1712</v>
      </c>
      <c r="CJ161">
        <v>1934</v>
      </c>
      <c r="CK161">
        <v>2049</v>
      </c>
      <c r="CL161">
        <v>2154</v>
      </c>
      <c r="CM161">
        <v>2264</v>
      </c>
      <c r="CN161">
        <v>2378</v>
      </c>
      <c r="CO161">
        <v>2472</v>
      </c>
      <c r="CP161">
        <v>2548</v>
      </c>
      <c r="CQ161">
        <v>2614</v>
      </c>
      <c r="CR161">
        <v>2778</v>
      </c>
      <c r="CS161">
        <v>2926</v>
      </c>
      <c r="CT161">
        <v>3110</v>
      </c>
      <c r="CU161">
        <v>3304</v>
      </c>
      <c r="CV161">
        <v>3408</v>
      </c>
      <c r="CW161">
        <v>3481</v>
      </c>
      <c r="CX161">
        <v>3638</v>
      </c>
      <c r="CY161">
        <v>3771</v>
      </c>
      <c r="CZ161">
        <v>3897</v>
      </c>
      <c r="DA161">
        <v>3980</v>
      </c>
      <c r="DB161">
        <v>4052</v>
      </c>
    </row>
    <row r="162" spans="1:106" x14ac:dyDescent="0.25">
      <c r="B162" t="s">
        <v>97</v>
      </c>
      <c r="C162">
        <v>43.7333</v>
      </c>
      <c r="D162">
        <v>7.4166999999999996</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1</v>
      </c>
      <c r="AR162">
        <v>1</v>
      </c>
      <c r="AS162">
        <v>1</v>
      </c>
      <c r="AT162">
        <v>1</v>
      </c>
      <c r="AU162">
        <v>1</v>
      </c>
      <c r="AV162">
        <v>1</v>
      </c>
      <c r="AW162">
        <v>1</v>
      </c>
      <c r="AX162">
        <v>1</v>
      </c>
      <c r="AY162">
        <v>1</v>
      </c>
      <c r="AZ162">
        <v>1</v>
      </c>
      <c r="BA162">
        <v>1</v>
      </c>
      <c r="BB162">
        <v>1</v>
      </c>
      <c r="BC162">
        <v>2</v>
      </c>
      <c r="BD162">
        <v>2</v>
      </c>
      <c r="BE162">
        <v>2</v>
      </c>
      <c r="BF162">
        <v>2</v>
      </c>
      <c r="BG162">
        <v>7</v>
      </c>
      <c r="BH162">
        <v>7</v>
      </c>
      <c r="BI162">
        <v>7</v>
      </c>
      <c r="BJ162">
        <v>7</v>
      </c>
      <c r="BK162">
        <v>11</v>
      </c>
      <c r="BL162">
        <v>11</v>
      </c>
      <c r="BM162">
        <v>23</v>
      </c>
      <c r="BN162">
        <v>23</v>
      </c>
      <c r="BO162">
        <v>23</v>
      </c>
      <c r="BP162">
        <v>31</v>
      </c>
      <c r="BQ162">
        <v>33</v>
      </c>
      <c r="BR162">
        <v>42</v>
      </c>
      <c r="BS162">
        <v>42</v>
      </c>
      <c r="BT162">
        <v>46</v>
      </c>
      <c r="BU162">
        <v>49</v>
      </c>
      <c r="BV162">
        <v>52</v>
      </c>
      <c r="BW162">
        <v>55</v>
      </c>
      <c r="BX162">
        <v>60</v>
      </c>
      <c r="BY162">
        <v>64</v>
      </c>
      <c r="BZ162">
        <v>66</v>
      </c>
      <c r="CA162">
        <v>73</v>
      </c>
      <c r="CB162">
        <v>77</v>
      </c>
      <c r="CC162">
        <v>79</v>
      </c>
      <c r="CD162">
        <v>81</v>
      </c>
      <c r="CE162">
        <v>84</v>
      </c>
      <c r="CF162">
        <v>90</v>
      </c>
      <c r="CG162">
        <v>92</v>
      </c>
      <c r="CH162">
        <v>93</v>
      </c>
      <c r="CI162">
        <v>93</v>
      </c>
      <c r="CJ162">
        <v>93</v>
      </c>
      <c r="CK162">
        <v>93</v>
      </c>
      <c r="CL162">
        <v>93</v>
      </c>
      <c r="CM162">
        <v>94</v>
      </c>
      <c r="CN162">
        <v>94</v>
      </c>
      <c r="CO162">
        <v>94</v>
      </c>
      <c r="CP162">
        <v>94</v>
      </c>
      <c r="CQ162">
        <v>94</v>
      </c>
      <c r="CR162">
        <v>94</v>
      </c>
      <c r="CS162">
        <v>94</v>
      </c>
      <c r="CT162">
        <v>94</v>
      </c>
      <c r="CU162">
        <v>94</v>
      </c>
      <c r="CV162">
        <v>94</v>
      </c>
      <c r="CW162">
        <v>95</v>
      </c>
      <c r="CX162">
        <v>95</v>
      </c>
      <c r="CY162">
        <v>95</v>
      </c>
      <c r="CZ162">
        <v>95</v>
      </c>
      <c r="DA162">
        <v>95</v>
      </c>
      <c r="DB162">
        <v>95</v>
      </c>
    </row>
    <row r="163" spans="1:106" x14ac:dyDescent="0.25">
      <c r="B163" t="s">
        <v>151</v>
      </c>
      <c r="C163">
        <v>46.862499999999997</v>
      </c>
      <c r="D163">
        <v>103.8467</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1</v>
      </c>
      <c r="BB163">
        <v>1</v>
      </c>
      <c r="BC163">
        <v>1</v>
      </c>
      <c r="BD163">
        <v>1</v>
      </c>
      <c r="BE163">
        <v>1</v>
      </c>
      <c r="BF163">
        <v>1</v>
      </c>
      <c r="BG163">
        <v>1</v>
      </c>
      <c r="BH163">
        <v>5</v>
      </c>
      <c r="BI163">
        <v>6</v>
      </c>
      <c r="BJ163">
        <v>6</v>
      </c>
      <c r="BK163">
        <v>6</v>
      </c>
      <c r="BL163">
        <v>10</v>
      </c>
      <c r="BM163">
        <v>10</v>
      </c>
      <c r="BN163">
        <v>10</v>
      </c>
      <c r="BO163">
        <v>10</v>
      </c>
      <c r="BP163">
        <v>10</v>
      </c>
      <c r="BQ163">
        <v>11</v>
      </c>
      <c r="BR163">
        <v>11</v>
      </c>
      <c r="BS163">
        <v>12</v>
      </c>
      <c r="BT163">
        <v>12</v>
      </c>
      <c r="BU163">
        <v>12</v>
      </c>
      <c r="BV163">
        <v>12</v>
      </c>
      <c r="BW163">
        <v>14</v>
      </c>
      <c r="BX163">
        <v>14</v>
      </c>
      <c r="BY163">
        <v>14</v>
      </c>
      <c r="BZ163">
        <v>14</v>
      </c>
      <c r="CA163">
        <v>14</v>
      </c>
      <c r="CB163">
        <v>15</v>
      </c>
      <c r="CC163">
        <v>15</v>
      </c>
      <c r="CD163">
        <v>16</v>
      </c>
      <c r="CE163">
        <v>16</v>
      </c>
      <c r="CF163">
        <v>16</v>
      </c>
      <c r="CG163">
        <v>16</v>
      </c>
      <c r="CH163">
        <v>16</v>
      </c>
      <c r="CI163">
        <v>17</v>
      </c>
      <c r="CJ163">
        <v>30</v>
      </c>
      <c r="CK163">
        <v>30</v>
      </c>
      <c r="CL163">
        <v>31</v>
      </c>
      <c r="CM163">
        <v>31</v>
      </c>
      <c r="CN163">
        <v>31</v>
      </c>
      <c r="CO163">
        <v>32</v>
      </c>
      <c r="CP163">
        <v>33</v>
      </c>
      <c r="CQ163">
        <v>34</v>
      </c>
      <c r="CR163">
        <v>35</v>
      </c>
      <c r="CS163">
        <v>36</v>
      </c>
      <c r="CT163">
        <v>37</v>
      </c>
      <c r="CU163">
        <v>37</v>
      </c>
      <c r="CV163">
        <v>38</v>
      </c>
      <c r="CW163">
        <v>38</v>
      </c>
      <c r="CX163">
        <v>38</v>
      </c>
      <c r="CY163">
        <v>38</v>
      </c>
      <c r="CZ163">
        <v>38</v>
      </c>
      <c r="DA163">
        <v>38</v>
      </c>
      <c r="DB163">
        <v>39</v>
      </c>
    </row>
    <row r="164" spans="1:106" x14ac:dyDescent="0.25">
      <c r="B164" t="s">
        <v>667</v>
      </c>
      <c r="C164">
        <v>42.5</v>
      </c>
      <c r="D164">
        <v>19.3</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2</v>
      </c>
      <c r="BI164">
        <v>2</v>
      </c>
      <c r="BJ164">
        <v>3</v>
      </c>
      <c r="BK164">
        <v>14</v>
      </c>
      <c r="BL164">
        <v>14</v>
      </c>
      <c r="BM164">
        <v>21</v>
      </c>
      <c r="BN164">
        <v>27</v>
      </c>
      <c r="BO164">
        <v>47</v>
      </c>
      <c r="BP164">
        <v>52</v>
      </c>
      <c r="BQ164">
        <v>69</v>
      </c>
      <c r="BR164">
        <v>82</v>
      </c>
      <c r="BS164">
        <v>84</v>
      </c>
      <c r="BT164">
        <v>85</v>
      </c>
      <c r="BU164">
        <v>91</v>
      </c>
      <c r="BV164">
        <v>109</v>
      </c>
      <c r="BW164">
        <v>123</v>
      </c>
      <c r="BX164">
        <v>144</v>
      </c>
      <c r="BY164">
        <v>174</v>
      </c>
      <c r="BZ164">
        <v>201</v>
      </c>
      <c r="CA164">
        <v>214</v>
      </c>
      <c r="CB164">
        <v>233</v>
      </c>
      <c r="CC164">
        <v>241</v>
      </c>
      <c r="CD164">
        <v>248</v>
      </c>
      <c r="CE164">
        <v>252</v>
      </c>
      <c r="CF164">
        <v>255</v>
      </c>
      <c r="CG164">
        <v>263</v>
      </c>
      <c r="CH164">
        <v>272</v>
      </c>
      <c r="CI164">
        <v>274</v>
      </c>
      <c r="CJ164">
        <v>283</v>
      </c>
      <c r="CK164">
        <v>288</v>
      </c>
      <c r="CL164">
        <v>303</v>
      </c>
      <c r="CM164">
        <v>303</v>
      </c>
      <c r="CN164">
        <v>307</v>
      </c>
      <c r="CO164">
        <v>308</v>
      </c>
      <c r="CP164">
        <v>312</v>
      </c>
      <c r="CQ164">
        <v>313</v>
      </c>
      <c r="CR164">
        <v>315</v>
      </c>
      <c r="CS164">
        <v>316</v>
      </c>
      <c r="CT164">
        <v>319</v>
      </c>
      <c r="CU164">
        <v>320</v>
      </c>
      <c r="CV164">
        <v>321</v>
      </c>
      <c r="CW164">
        <v>321</v>
      </c>
      <c r="CX164">
        <v>321</v>
      </c>
      <c r="CY164">
        <v>322</v>
      </c>
      <c r="CZ164">
        <v>322</v>
      </c>
      <c r="DA164">
        <v>322</v>
      </c>
      <c r="DB164">
        <v>322</v>
      </c>
    </row>
    <row r="165" spans="1:106" x14ac:dyDescent="0.25">
      <c r="B165" t="s">
        <v>108</v>
      </c>
      <c r="C165">
        <v>31.791699999999999</v>
      </c>
      <c r="D165">
        <v>-7.0926</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1</v>
      </c>
      <c r="AT165">
        <v>1</v>
      </c>
      <c r="AU165">
        <v>1</v>
      </c>
      <c r="AV165">
        <v>2</v>
      </c>
      <c r="AW165">
        <v>2</v>
      </c>
      <c r="AX165">
        <v>2</v>
      </c>
      <c r="AY165">
        <v>2</v>
      </c>
      <c r="AZ165">
        <v>2</v>
      </c>
      <c r="BA165">
        <v>3</v>
      </c>
      <c r="BB165">
        <v>5</v>
      </c>
      <c r="BC165">
        <v>6</v>
      </c>
      <c r="BD165">
        <v>7</v>
      </c>
      <c r="BE165">
        <v>17</v>
      </c>
      <c r="BF165">
        <v>28</v>
      </c>
      <c r="BG165">
        <v>29</v>
      </c>
      <c r="BH165">
        <v>38</v>
      </c>
      <c r="BI165">
        <v>49</v>
      </c>
      <c r="BJ165">
        <v>63</v>
      </c>
      <c r="BK165">
        <v>77</v>
      </c>
      <c r="BL165">
        <v>96</v>
      </c>
      <c r="BM165">
        <v>115</v>
      </c>
      <c r="BN165">
        <v>143</v>
      </c>
      <c r="BO165">
        <v>170</v>
      </c>
      <c r="BP165">
        <v>225</v>
      </c>
      <c r="BQ165">
        <v>275</v>
      </c>
      <c r="BR165">
        <v>345</v>
      </c>
      <c r="BS165">
        <v>402</v>
      </c>
      <c r="BT165">
        <v>479</v>
      </c>
      <c r="BU165">
        <v>556</v>
      </c>
      <c r="BV165">
        <v>617</v>
      </c>
      <c r="BW165">
        <v>654</v>
      </c>
      <c r="BX165">
        <v>708</v>
      </c>
      <c r="BY165">
        <v>791</v>
      </c>
      <c r="BZ165">
        <v>919</v>
      </c>
      <c r="CA165">
        <v>1021</v>
      </c>
      <c r="CB165">
        <v>1120</v>
      </c>
      <c r="CC165">
        <v>1184</v>
      </c>
      <c r="CD165">
        <v>1275</v>
      </c>
      <c r="CE165">
        <v>1374</v>
      </c>
      <c r="CF165">
        <v>1448</v>
      </c>
      <c r="CG165">
        <v>1545</v>
      </c>
      <c r="CH165">
        <v>1661</v>
      </c>
      <c r="CI165">
        <v>1763</v>
      </c>
      <c r="CJ165">
        <v>1888</v>
      </c>
      <c r="CK165">
        <v>2024</v>
      </c>
      <c r="CL165">
        <v>2283</v>
      </c>
      <c r="CM165">
        <v>2564</v>
      </c>
      <c r="CN165">
        <v>2685</v>
      </c>
      <c r="CO165">
        <v>2855</v>
      </c>
      <c r="CP165">
        <v>3046</v>
      </c>
      <c r="CQ165">
        <v>3209</v>
      </c>
      <c r="CR165">
        <v>3446</v>
      </c>
      <c r="CS165">
        <v>3568</v>
      </c>
      <c r="CT165">
        <v>3758</v>
      </c>
      <c r="CU165">
        <v>3897</v>
      </c>
      <c r="CV165">
        <v>4065</v>
      </c>
      <c r="CW165">
        <v>4120</v>
      </c>
      <c r="CX165">
        <v>4252</v>
      </c>
      <c r="CY165">
        <v>4321</v>
      </c>
      <c r="CZ165">
        <v>4423</v>
      </c>
      <c r="DA165">
        <v>4569</v>
      </c>
      <c r="DB165">
        <v>4729</v>
      </c>
    </row>
    <row r="166" spans="1:106" x14ac:dyDescent="0.25">
      <c r="B166" t="s">
        <v>358</v>
      </c>
      <c r="C166">
        <v>-22.957599999999999</v>
      </c>
      <c r="D166">
        <v>18.490400000000001</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2</v>
      </c>
      <c r="BF166">
        <v>2</v>
      </c>
      <c r="BG166">
        <v>2</v>
      </c>
      <c r="BH166">
        <v>2</v>
      </c>
      <c r="BI166">
        <v>2</v>
      </c>
      <c r="BJ166">
        <v>3</v>
      </c>
      <c r="BK166">
        <v>3</v>
      </c>
      <c r="BL166">
        <v>3</v>
      </c>
      <c r="BM166">
        <v>3</v>
      </c>
      <c r="BN166">
        <v>4</v>
      </c>
      <c r="BO166">
        <v>7</v>
      </c>
      <c r="BP166">
        <v>7</v>
      </c>
      <c r="BQ166">
        <v>8</v>
      </c>
      <c r="BR166">
        <v>8</v>
      </c>
      <c r="BS166">
        <v>8</v>
      </c>
      <c r="BT166">
        <v>11</v>
      </c>
      <c r="BU166">
        <v>11</v>
      </c>
      <c r="BV166">
        <v>11</v>
      </c>
      <c r="BW166">
        <v>14</v>
      </c>
      <c r="BX166">
        <v>14</v>
      </c>
      <c r="BY166">
        <v>14</v>
      </c>
      <c r="BZ166">
        <v>14</v>
      </c>
      <c r="CA166">
        <v>16</v>
      </c>
      <c r="CB166">
        <v>16</v>
      </c>
      <c r="CC166">
        <v>16</v>
      </c>
      <c r="CD166">
        <v>16</v>
      </c>
      <c r="CE166">
        <v>16</v>
      </c>
      <c r="CF166">
        <v>16</v>
      </c>
      <c r="CG166">
        <v>16</v>
      </c>
      <c r="CH166">
        <v>16</v>
      </c>
      <c r="CI166">
        <v>16</v>
      </c>
      <c r="CJ166">
        <v>16</v>
      </c>
      <c r="CK166">
        <v>16</v>
      </c>
      <c r="CL166">
        <v>16</v>
      </c>
      <c r="CM166">
        <v>16</v>
      </c>
      <c r="CN166">
        <v>16</v>
      </c>
      <c r="CO166">
        <v>16</v>
      </c>
      <c r="CP166">
        <v>16</v>
      </c>
      <c r="CQ166">
        <v>16</v>
      </c>
      <c r="CR166">
        <v>16</v>
      </c>
      <c r="CS166">
        <v>16</v>
      </c>
      <c r="CT166">
        <v>16</v>
      </c>
      <c r="CU166">
        <v>16</v>
      </c>
      <c r="CV166">
        <v>16</v>
      </c>
      <c r="CW166">
        <v>16</v>
      </c>
      <c r="CX166">
        <v>16</v>
      </c>
      <c r="CY166">
        <v>16</v>
      </c>
      <c r="CZ166">
        <v>16</v>
      </c>
      <c r="DA166">
        <v>16</v>
      </c>
      <c r="DB166">
        <v>16</v>
      </c>
    </row>
    <row r="167" spans="1:106" x14ac:dyDescent="0.25">
      <c r="B167" t="s">
        <v>43</v>
      </c>
      <c r="C167">
        <v>28.166699999999999</v>
      </c>
      <c r="D167">
        <v>84.25</v>
      </c>
      <c r="E167">
        <v>0</v>
      </c>
      <c r="F167">
        <v>0</v>
      </c>
      <c r="G167">
        <v>0</v>
      </c>
      <c r="H167">
        <v>1</v>
      </c>
      <c r="I167">
        <v>1</v>
      </c>
      <c r="J167">
        <v>1</v>
      </c>
      <c r="K167">
        <v>1</v>
      </c>
      <c r="L167">
        <v>1</v>
      </c>
      <c r="M167">
        <v>1</v>
      </c>
      <c r="N167">
        <v>1</v>
      </c>
      <c r="O167">
        <v>1</v>
      </c>
      <c r="P167">
        <v>1</v>
      </c>
      <c r="Q167">
        <v>1</v>
      </c>
      <c r="R167">
        <v>1</v>
      </c>
      <c r="S167">
        <v>1</v>
      </c>
      <c r="T167">
        <v>1</v>
      </c>
      <c r="U167">
        <v>1</v>
      </c>
      <c r="V167">
        <v>1</v>
      </c>
      <c r="W167">
        <v>1</v>
      </c>
      <c r="X167">
        <v>1</v>
      </c>
      <c r="Y167">
        <v>1</v>
      </c>
      <c r="Z167">
        <v>1</v>
      </c>
      <c r="AA167">
        <v>1</v>
      </c>
      <c r="AB167">
        <v>1</v>
      </c>
      <c r="AC167">
        <v>1</v>
      </c>
      <c r="AD167">
        <v>1</v>
      </c>
      <c r="AE167">
        <v>1</v>
      </c>
      <c r="AF167">
        <v>1</v>
      </c>
      <c r="AG167">
        <v>1</v>
      </c>
      <c r="AH167">
        <v>1</v>
      </c>
      <c r="AI167">
        <v>1</v>
      </c>
      <c r="AJ167">
        <v>1</v>
      </c>
      <c r="AK167">
        <v>1</v>
      </c>
      <c r="AL167">
        <v>1</v>
      </c>
      <c r="AM167">
        <v>1</v>
      </c>
      <c r="AN167">
        <v>1</v>
      </c>
      <c r="AO167">
        <v>1</v>
      </c>
      <c r="AP167">
        <v>1</v>
      </c>
      <c r="AQ167">
        <v>1</v>
      </c>
      <c r="AR167">
        <v>1</v>
      </c>
      <c r="AS167">
        <v>1</v>
      </c>
      <c r="AT167">
        <v>1</v>
      </c>
      <c r="AU167">
        <v>1</v>
      </c>
      <c r="AV167">
        <v>1</v>
      </c>
      <c r="AW167">
        <v>1</v>
      </c>
      <c r="AX167">
        <v>1</v>
      </c>
      <c r="AY167">
        <v>1</v>
      </c>
      <c r="AZ167">
        <v>1</v>
      </c>
      <c r="BA167">
        <v>1</v>
      </c>
      <c r="BB167">
        <v>1</v>
      </c>
      <c r="BC167">
        <v>1</v>
      </c>
      <c r="BD167">
        <v>1</v>
      </c>
      <c r="BE167">
        <v>1</v>
      </c>
      <c r="BF167">
        <v>1</v>
      </c>
      <c r="BG167">
        <v>1</v>
      </c>
      <c r="BH167">
        <v>1</v>
      </c>
      <c r="BI167">
        <v>1</v>
      </c>
      <c r="BJ167">
        <v>1</v>
      </c>
      <c r="BK167">
        <v>1</v>
      </c>
      <c r="BL167">
        <v>1</v>
      </c>
      <c r="BM167">
        <v>1</v>
      </c>
      <c r="BN167">
        <v>2</v>
      </c>
      <c r="BO167">
        <v>2</v>
      </c>
      <c r="BP167">
        <v>3</v>
      </c>
      <c r="BQ167">
        <v>3</v>
      </c>
      <c r="BR167">
        <v>4</v>
      </c>
      <c r="BS167">
        <v>5</v>
      </c>
      <c r="BT167">
        <v>5</v>
      </c>
      <c r="BU167">
        <v>5</v>
      </c>
      <c r="BV167">
        <v>5</v>
      </c>
      <c r="BW167">
        <v>5</v>
      </c>
      <c r="BX167">
        <v>6</v>
      </c>
      <c r="BY167">
        <v>6</v>
      </c>
      <c r="BZ167">
        <v>9</v>
      </c>
      <c r="CA167">
        <v>9</v>
      </c>
      <c r="CB167">
        <v>9</v>
      </c>
      <c r="CC167">
        <v>9</v>
      </c>
      <c r="CD167">
        <v>9</v>
      </c>
      <c r="CE167">
        <v>9</v>
      </c>
      <c r="CF167">
        <v>9</v>
      </c>
      <c r="CG167">
        <v>9</v>
      </c>
      <c r="CH167">
        <v>12</v>
      </c>
      <c r="CI167">
        <v>14</v>
      </c>
      <c r="CJ167">
        <v>16</v>
      </c>
      <c r="CK167">
        <v>16</v>
      </c>
      <c r="CL167">
        <v>16</v>
      </c>
      <c r="CM167">
        <v>30</v>
      </c>
      <c r="CN167">
        <v>31</v>
      </c>
      <c r="CO167">
        <v>31</v>
      </c>
      <c r="CP167">
        <v>31</v>
      </c>
      <c r="CQ167">
        <v>43</v>
      </c>
      <c r="CR167">
        <v>45</v>
      </c>
      <c r="CS167">
        <v>48</v>
      </c>
      <c r="CT167">
        <v>49</v>
      </c>
      <c r="CU167">
        <v>49</v>
      </c>
      <c r="CV167">
        <v>52</v>
      </c>
      <c r="CW167">
        <v>52</v>
      </c>
      <c r="CX167">
        <v>54</v>
      </c>
      <c r="CY167">
        <v>57</v>
      </c>
      <c r="CZ167">
        <v>57</v>
      </c>
      <c r="DA167">
        <v>59</v>
      </c>
      <c r="DB167">
        <v>59</v>
      </c>
    </row>
    <row r="168" spans="1:106" x14ac:dyDescent="0.25">
      <c r="A168" t="s">
        <v>205</v>
      </c>
      <c r="B168" t="s">
        <v>87</v>
      </c>
      <c r="C168">
        <v>12.518599999999999</v>
      </c>
      <c r="D168">
        <v>-70.035799999999995</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2</v>
      </c>
      <c r="BE168">
        <v>2</v>
      </c>
      <c r="BF168">
        <v>2</v>
      </c>
      <c r="BG168">
        <v>2</v>
      </c>
      <c r="BH168">
        <v>3</v>
      </c>
      <c r="BI168">
        <v>4</v>
      </c>
      <c r="BJ168">
        <v>4</v>
      </c>
      <c r="BK168">
        <v>5</v>
      </c>
      <c r="BL168">
        <v>5</v>
      </c>
      <c r="BM168">
        <v>9</v>
      </c>
      <c r="BN168">
        <v>9</v>
      </c>
      <c r="BO168">
        <v>12</v>
      </c>
      <c r="BP168">
        <v>17</v>
      </c>
      <c r="BQ168">
        <v>28</v>
      </c>
      <c r="BR168">
        <v>33</v>
      </c>
      <c r="BS168">
        <v>46</v>
      </c>
      <c r="BT168">
        <v>50</v>
      </c>
      <c r="BU168">
        <v>50</v>
      </c>
      <c r="BV168">
        <v>55</v>
      </c>
      <c r="BW168">
        <v>55</v>
      </c>
      <c r="BX168">
        <v>60</v>
      </c>
      <c r="BY168">
        <v>62</v>
      </c>
      <c r="BZ168">
        <v>64</v>
      </c>
      <c r="CA168">
        <v>64</v>
      </c>
      <c r="CB168">
        <v>71</v>
      </c>
      <c r="CC168">
        <v>74</v>
      </c>
      <c r="CD168">
        <v>77</v>
      </c>
      <c r="CE168">
        <v>82</v>
      </c>
      <c r="CF168">
        <v>86</v>
      </c>
      <c r="CG168">
        <v>92</v>
      </c>
      <c r="CH168">
        <v>92</v>
      </c>
      <c r="CI168">
        <v>92</v>
      </c>
      <c r="CJ168">
        <v>92</v>
      </c>
      <c r="CK168">
        <v>93</v>
      </c>
      <c r="CL168">
        <v>95</v>
      </c>
      <c r="CM168">
        <v>96</v>
      </c>
      <c r="CN168">
        <v>96</v>
      </c>
      <c r="CO168">
        <v>97</v>
      </c>
      <c r="CP168">
        <v>97</v>
      </c>
      <c r="CQ168">
        <v>97</v>
      </c>
      <c r="CR168">
        <v>100</v>
      </c>
      <c r="CS168">
        <v>100</v>
      </c>
      <c r="CT168">
        <v>100</v>
      </c>
      <c r="CU168">
        <v>100</v>
      </c>
      <c r="CV168">
        <v>100</v>
      </c>
      <c r="CW168">
        <v>100</v>
      </c>
      <c r="CX168">
        <v>100</v>
      </c>
      <c r="CY168">
        <v>100</v>
      </c>
      <c r="CZ168">
        <v>100</v>
      </c>
      <c r="DA168">
        <v>100</v>
      </c>
      <c r="DB168">
        <v>100</v>
      </c>
    </row>
    <row r="169" spans="1:106" x14ac:dyDescent="0.25">
      <c r="A169" t="s">
        <v>362</v>
      </c>
      <c r="B169" t="s">
        <v>87</v>
      </c>
      <c r="C169">
        <v>12.169600000000001</v>
      </c>
      <c r="D169">
        <v>-68.989999999999995</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1</v>
      </c>
      <c r="BF169">
        <v>1</v>
      </c>
      <c r="BG169">
        <v>1</v>
      </c>
      <c r="BH169">
        <v>3</v>
      </c>
      <c r="BI169">
        <v>3</v>
      </c>
      <c r="BJ169">
        <v>3</v>
      </c>
      <c r="BK169">
        <v>3</v>
      </c>
      <c r="BL169">
        <v>3</v>
      </c>
      <c r="BM169">
        <v>3</v>
      </c>
      <c r="BN169">
        <v>4</v>
      </c>
      <c r="BO169">
        <v>6</v>
      </c>
      <c r="BP169">
        <v>6</v>
      </c>
      <c r="BQ169">
        <v>6</v>
      </c>
      <c r="BR169">
        <v>8</v>
      </c>
      <c r="BS169">
        <v>8</v>
      </c>
      <c r="BT169">
        <v>8</v>
      </c>
      <c r="BU169">
        <v>11</v>
      </c>
      <c r="BV169">
        <v>11</v>
      </c>
      <c r="BW169">
        <v>11</v>
      </c>
      <c r="BX169">
        <v>11</v>
      </c>
      <c r="BY169">
        <v>11</v>
      </c>
      <c r="BZ169">
        <v>11</v>
      </c>
      <c r="CA169">
        <v>11</v>
      </c>
      <c r="CB169">
        <v>13</v>
      </c>
      <c r="CC169">
        <v>13</v>
      </c>
      <c r="CD169">
        <v>14</v>
      </c>
      <c r="CE169">
        <v>14</v>
      </c>
      <c r="CF169">
        <v>14</v>
      </c>
      <c r="CG169">
        <v>14</v>
      </c>
      <c r="CH169">
        <v>14</v>
      </c>
      <c r="CI169">
        <v>14</v>
      </c>
      <c r="CJ169">
        <v>14</v>
      </c>
      <c r="CK169">
        <v>14</v>
      </c>
      <c r="CL169">
        <v>14</v>
      </c>
      <c r="CM169">
        <v>14</v>
      </c>
      <c r="CN169">
        <v>14</v>
      </c>
      <c r="CO169">
        <v>14</v>
      </c>
      <c r="CP169">
        <v>14</v>
      </c>
      <c r="CQ169">
        <v>14</v>
      </c>
      <c r="CR169">
        <v>14</v>
      </c>
      <c r="CS169">
        <v>14</v>
      </c>
      <c r="CT169">
        <v>16</v>
      </c>
      <c r="CU169">
        <v>16</v>
      </c>
      <c r="CV169">
        <v>16</v>
      </c>
      <c r="CW169">
        <v>16</v>
      </c>
      <c r="CX169">
        <v>16</v>
      </c>
      <c r="CY169">
        <v>16</v>
      </c>
      <c r="CZ169">
        <v>16</v>
      </c>
      <c r="DA169">
        <v>16</v>
      </c>
      <c r="DB169">
        <v>16</v>
      </c>
    </row>
    <row r="170" spans="1:106" x14ac:dyDescent="0.25">
      <c r="A170" t="s">
        <v>743</v>
      </c>
      <c r="B170" t="s">
        <v>87</v>
      </c>
      <c r="C170">
        <v>18.0425</v>
      </c>
      <c r="D170">
        <v>-63.0548</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1</v>
      </c>
      <c r="BL170">
        <v>1</v>
      </c>
      <c r="BM170">
        <v>1</v>
      </c>
      <c r="BN170">
        <v>2</v>
      </c>
      <c r="BO170">
        <v>2</v>
      </c>
      <c r="BP170">
        <v>3</v>
      </c>
      <c r="BQ170">
        <v>3</v>
      </c>
      <c r="BR170">
        <v>3</v>
      </c>
      <c r="BS170">
        <v>3</v>
      </c>
      <c r="BT170">
        <v>6</v>
      </c>
      <c r="BU170">
        <v>6</v>
      </c>
      <c r="BV170">
        <v>6</v>
      </c>
      <c r="BW170">
        <v>16</v>
      </c>
      <c r="BX170">
        <v>18</v>
      </c>
      <c r="BY170">
        <v>23</v>
      </c>
      <c r="BZ170">
        <v>23</v>
      </c>
      <c r="CA170">
        <v>25</v>
      </c>
      <c r="CB170">
        <v>37</v>
      </c>
      <c r="CC170">
        <v>40</v>
      </c>
      <c r="CD170">
        <v>40</v>
      </c>
      <c r="CE170">
        <v>43</v>
      </c>
      <c r="CF170">
        <v>50</v>
      </c>
      <c r="CG170">
        <v>50</v>
      </c>
      <c r="CH170">
        <v>50</v>
      </c>
      <c r="CI170">
        <v>50</v>
      </c>
      <c r="CJ170">
        <v>52</v>
      </c>
      <c r="CK170">
        <v>53</v>
      </c>
      <c r="CL170">
        <v>57</v>
      </c>
      <c r="CM170">
        <v>57</v>
      </c>
      <c r="CN170">
        <v>64</v>
      </c>
      <c r="CO170">
        <v>67</v>
      </c>
      <c r="CP170">
        <v>67</v>
      </c>
      <c r="CQ170">
        <v>67</v>
      </c>
      <c r="CR170">
        <v>71</v>
      </c>
      <c r="CS170">
        <v>73</v>
      </c>
      <c r="CT170">
        <v>73</v>
      </c>
      <c r="CU170">
        <v>73</v>
      </c>
      <c r="CV170">
        <v>74</v>
      </c>
      <c r="CW170">
        <v>74</v>
      </c>
      <c r="CX170">
        <v>75</v>
      </c>
      <c r="CY170">
        <v>75</v>
      </c>
      <c r="CZ170">
        <v>75</v>
      </c>
      <c r="DA170">
        <v>76</v>
      </c>
      <c r="DB170">
        <v>76</v>
      </c>
    </row>
    <row r="171" spans="1:106" x14ac:dyDescent="0.25">
      <c r="B171" t="s">
        <v>87</v>
      </c>
      <c r="C171">
        <v>52.132599999999996</v>
      </c>
      <c r="D171">
        <v>5.2912999999999997</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1</v>
      </c>
      <c r="AP171">
        <v>1</v>
      </c>
      <c r="AQ171">
        <v>6</v>
      </c>
      <c r="AR171">
        <v>10</v>
      </c>
      <c r="AS171">
        <v>18</v>
      </c>
      <c r="AT171">
        <v>24</v>
      </c>
      <c r="AU171">
        <v>38</v>
      </c>
      <c r="AV171">
        <v>82</v>
      </c>
      <c r="AW171">
        <v>128</v>
      </c>
      <c r="AX171">
        <v>188</v>
      </c>
      <c r="AY171">
        <v>265</v>
      </c>
      <c r="AZ171">
        <v>321</v>
      </c>
      <c r="BA171">
        <v>382</v>
      </c>
      <c r="BB171">
        <v>503</v>
      </c>
      <c r="BC171">
        <v>503</v>
      </c>
      <c r="BD171">
        <v>804</v>
      </c>
      <c r="BE171">
        <v>959</v>
      </c>
      <c r="BF171">
        <v>1135</v>
      </c>
      <c r="BG171">
        <v>1413</v>
      </c>
      <c r="BH171">
        <v>1705</v>
      </c>
      <c r="BI171">
        <v>2051</v>
      </c>
      <c r="BJ171">
        <v>2460</v>
      </c>
      <c r="BK171">
        <v>2994</v>
      </c>
      <c r="BL171">
        <v>3631</v>
      </c>
      <c r="BM171">
        <v>4204</v>
      </c>
      <c r="BN171">
        <v>4749</v>
      </c>
      <c r="BO171">
        <v>5560</v>
      </c>
      <c r="BP171">
        <v>6412</v>
      </c>
      <c r="BQ171">
        <v>7431</v>
      </c>
      <c r="BR171">
        <v>8603</v>
      </c>
      <c r="BS171">
        <v>9762</v>
      </c>
      <c r="BT171">
        <v>10866</v>
      </c>
      <c r="BU171">
        <v>11750</v>
      </c>
      <c r="BV171">
        <v>12595</v>
      </c>
      <c r="BW171">
        <v>13614</v>
      </c>
      <c r="BX171">
        <v>14697</v>
      </c>
      <c r="BY171">
        <v>15723</v>
      </c>
      <c r="BZ171">
        <v>16627</v>
      </c>
      <c r="CA171">
        <v>17851</v>
      </c>
      <c r="CB171">
        <v>18803</v>
      </c>
      <c r="CC171">
        <v>19580</v>
      </c>
      <c r="CD171">
        <v>20549</v>
      </c>
      <c r="CE171">
        <v>21762</v>
      </c>
      <c r="CF171">
        <v>23097</v>
      </c>
      <c r="CG171">
        <v>24413</v>
      </c>
      <c r="CH171">
        <v>25587</v>
      </c>
      <c r="CI171">
        <v>26551</v>
      </c>
      <c r="CJ171">
        <v>27419</v>
      </c>
      <c r="CK171">
        <v>28153</v>
      </c>
      <c r="CL171">
        <v>29214</v>
      </c>
      <c r="CM171">
        <v>30449</v>
      </c>
      <c r="CN171">
        <v>31589</v>
      </c>
      <c r="CO171">
        <v>32655</v>
      </c>
      <c r="CP171">
        <v>33405</v>
      </c>
      <c r="CQ171">
        <v>34134</v>
      </c>
      <c r="CR171">
        <v>34842</v>
      </c>
      <c r="CS171">
        <v>35729</v>
      </c>
      <c r="CT171">
        <v>36535</v>
      </c>
      <c r="CU171">
        <v>37190</v>
      </c>
      <c r="CV171">
        <v>37845</v>
      </c>
      <c r="CW171">
        <v>38245</v>
      </c>
      <c r="CX171">
        <v>38416</v>
      </c>
      <c r="CY171">
        <v>38802</v>
      </c>
      <c r="CZ171">
        <v>39316</v>
      </c>
      <c r="DA171">
        <v>39791</v>
      </c>
      <c r="DB171">
        <v>40236</v>
      </c>
    </row>
    <row r="172" spans="1:106" x14ac:dyDescent="0.25">
      <c r="B172" t="s">
        <v>93</v>
      </c>
      <c r="C172">
        <v>-40.900599999999997</v>
      </c>
      <c r="D172">
        <v>174.886</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1</v>
      </c>
      <c r="AQ172">
        <v>1</v>
      </c>
      <c r="AR172">
        <v>1</v>
      </c>
      <c r="AS172">
        <v>1</v>
      </c>
      <c r="AT172">
        <v>1</v>
      </c>
      <c r="AU172">
        <v>3</v>
      </c>
      <c r="AV172">
        <v>3</v>
      </c>
      <c r="AW172">
        <v>4</v>
      </c>
      <c r="AX172">
        <v>5</v>
      </c>
      <c r="AY172">
        <v>5</v>
      </c>
      <c r="AZ172">
        <v>5</v>
      </c>
      <c r="BA172">
        <v>5</v>
      </c>
      <c r="BB172">
        <v>5</v>
      </c>
      <c r="BC172">
        <v>5</v>
      </c>
      <c r="BD172">
        <v>5</v>
      </c>
      <c r="BE172">
        <v>6</v>
      </c>
      <c r="BF172">
        <v>8</v>
      </c>
      <c r="BG172">
        <v>8</v>
      </c>
      <c r="BH172">
        <v>12</v>
      </c>
      <c r="BI172">
        <v>20</v>
      </c>
      <c r="BJ172">
        <v>28</v>
      </c>
      <c r="BK172">
        <v>39</v>
      </c>
      <c r="BL172">
        <v>52</v>
      </c>
      <c r="BM172">
        <v>102</v>
      </c>
      <c r="BN172">
        <v>102</v>
      </c>
      <c r="BO172">
        <v>155</v>
      </c>
      <c r="BP172">
        <v>205</v>
      </c>
      <c r="BQ172">
        <v>283</v>
      </c>
      <c r="BR172">
        <v>368</v>
      </c>
      <c r="BS172">
        <v>451</v>
      </c>
      <c r="BT172">
        <v>514</v>
      </c>
      <c r="BU172">
        <v>589</v>
      </c>
      <c r="BV172">
        <v>647</v>
      </c>
      <c r="BW172">
        <v>708</v>
      </c>
      <c r="BX172">
        <v>797</v>
      </c>
      <c r="BY172">
        <v>868</v>
      </c>
      <c r="BZ172">
        <v>950</v>
      </c>
      <c r="CA172">
        <v>1039</v>
      </c>
      <c r="CB172">
        <v>1106</v>
      </c>
      <c r="CC172">
        <v>1160</v>
      </c>
      <c r="CD172">
        <v>1210</v>
      </c>
      <c r="CE172">
        <v>1239</v>
      </c>
      <c r="CF172">
        <v>1283</v>
      </c>
      <c r="CG172">
        <v>1312</v>
      </c>
      <c r="CH172">
        <v>1330</v>
      </c>
      <c r="CI172">
        <v>1349</v>
      </c>
      <c r="CJ172">
        <v>1366</v>
      </c>
      <c r="CK172">
        <v>1386</v>
      </c>
      <c r="CL172">
        <v>1401</v>
      </c>
      <c r="CM172">
        <v>1409</v>
      </c>
      <c r="CN172">
        <v>1422</v>
      </c>
      <c r="CO172">
        <v>1431</v>
      </c>
      <c r="CP172">
        <v>1440</v>
      </c>
      <c r="CQ172">
        <v>1445</v>
      </c>
      <c r="CR172">
        <v>1451</v>
      </c>
      <c r="CS172">
        <v>1456</v>
      </c>
      <c r="CT172">
        <v>1461</v>
      </c>
      <c r="CU172">
        <v>1470</v>
      </c>
      <c r="CV172">
        <v>1469</v>
      </c>
      <c r="CW172">
        <v>1472</v>
      </c>
      <c r="CX172">
        <v>1474</v>
      </c>
      <c r="CY172">
        <v>1476</v>
      </c>
      <c r="CZ172">
        <v>1479</v>
      </c>
      <c r="DA172">
        <v>1485</v>
      </c>
      <c r="DB172">
        <v>1487</v>
      </c>
    </row>
    <row r="173" spans="1:106" x14ac:dyDescent="0.25">
      <c r="B173" t="s">
        <v>738</v>
      </c>
      <c r="C173">
        <v>12.865399999999999</v>
      </c>
      <c r="D173">
        <v>-85.2072</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1</v>
      </c>
      <c r="BK173">
        <v>1</v>
      </c>
      <c r="BL173">
        <v>2</v>
      </c>
      <c r="BM173">
        <v>2</v>
      </c>
      <c r="BN173">
        <v>2</v>
      </c>
      <c r="BO173">
        <v>2</v>
      </c>
      <c r="BP173">
        <v>2</v>
      </c>
      <c r="BQ173">
        <v>2</v>
      </c>
      <c r="BR173">
        <v>2</v>
      </c>
      <c r="BS173">
        <v>4</v>
      </c>
      <c r="BT173">
        <v>4</v>
      </c>
      <c r="BU173">
        <v>4</v>
      </c>
      <c r="BV173">
        <v>5</v>
      </c>
      <c r="BW173">
        <v>5</v>
      </c>
      <c r="BX173">
        <v>5</v>
      </c>
      <c r="BY173">
        <v>5</v>
      </c>
      <c r="BZ173">
        <v>5</v>
      </c>
      <c r="CA173">
        <v>6</v>
      </c>
      <c r="CB173">
        <v>6</v>
      </c>
      <c r="CC173">
        <v>6</v>
      </c>
      <c r="CD173">
        <v>6</v>
      </c>
      <c r="CE173">
        <v>7</v>
      </c>
      <c r="CF173">
        <v>7</v>
      </c>
      <c r="CG173">
        <v>8</v>
      </c>
      <c r="CH173">
        <v>9</v>
      </c>
      <c r="CI173">
        <v>9</v>
      </c>
      <c r="CJ173">
        <v>9</v>
      </c>
      <c r="CK173">
        <v>9</v>
      </c>
      <c r="CL173">
        <v>9</v>
      </c>
      <c r="CM173">
        <v>9</v>
      </c>
      <c r="CN173">
        <v>9</v>
      </c>
      <c r="CO173">
        <v>10</v>
      </c>
      <c r="CP173">
        <v>10</v>
      </c>
      <c r="CQ173">
        <v>10</v>
      </c>
      <c r="CR173">
        <v>10</v>
      </c>
      <c r="CS173">
        <v>11</v>
      </c>
      <c r="CT173">
        <v>11</v>
      </c>
      <c r="CU173">
        <v>12</v>
      </c>
      <c r="CV173">
        <v>13</v>
      </c>
      <c r="CW173">
        <v>13</v>
      </c>
      <c r="CX173">
        <v>13</v>
      </c>
      <c r="CY173">
        <v>13</v>
      </c>
      <c r="CZ173">
        <v>14</v>
      </c>
      <c r="DA173">
        <v>14</v>
      </c>
      <c r="DB173">
        <v>14</v>
      </c>
    </row>
    <row r="174" spans="1:106" x14ac:dyDescent="0.25">
      <c r="B174" t="s">
        <v>744</v>
      </c>
      <c r="C174">
        <v>17.607800000000001</v>
      </c>
      <c r="D174">
        <v>8.0816999999999997</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1</v>
      </c>
      <c r="BL174">
        <v>1</v>
      </c>
      <c r="BM174">
        <v>2</v>
      </c>
      <c r="BN174">
        <v>3</v>
      </c>
      <c r="BO174">
        <v>3</v>
      </c>
      <c r="BP174">
        <v>7</v>
      </c>
      <c r="BQ174">
        <v>10</v>
      </c>
      <c r="BR174">
        <v>10</v>
      </c>
      <c r="BS174">
        <v>10</v>
      </c>
      <c r="BT174">
        <v>18</v>
      </c>
      <c r="BU174">
        <v>27</v>
      </c>
      <c r="BV174">
        <v>27</v>
      </c>
      <c r="BW174">
        <v>74</v>
      </c>
      <c r="BX174">
        <v>98</v>
      </c>
      <c r="BY174">
        <v>120</v>
      </c>
      <c r="BZ174">
        <v>144</v>
      </c>
      <c r="CA174">
        <v>184</v>
      </c>
      <c r="CB174">
        <v>253</v>
      </c>
      <c r="CC174">
        <v>278</v>
      </c>
      <c r="CD174">
        <v>342</v>
      </c>
      <c r="CE174">
        <v>410</v>
      </c>
      <c r="CF174">
        <v>438</v>
      </c>
      <c r="CG174">
        <v>491</v>
      </c>
      <c r="CH174">
        <v>529</v>
      </c>
      <c r="CI174">
        <v>529</v>
      </c>
      <c r="CJ174">
        <v>570</v>
      </c>
      <c r="CK174">
        <v>584</v>
      </c>
      <c r="CL174">
        <v>584</v>
      </c>
      <c r="CM174">
        <v>627</v>
      </c>
      <c r="CN174">
        <v>639</v>
      </c>
      <c r="CO174">
        <v>648</v>
      </c>
      <c r="CP174">
        <v>648</v>
      </c>
      <c r="CQ174">
        <v>657</v>
      </c>
      <c r="CR174">
        <v>662</v>
      </c>
      <c r="CS174">
        <v>671</v>
      </c>
      <c r="CT174">
        <v>681</v>
      </c>
      <c r="CU174">
        <v>684</v>
      </c>
      <c r="CV174">
        <v>696</v>
      </c>
      <c r="CW174">
        <v>701</v>
      </c>
      <c r="CX174">
        <v>709</v>
      </c>
      <c r="CY174">
        <v>713</v>
      </c>
      <c r="CZ174">
        <v>719</v>
      </c>
      <c r="DA174">
        <v>728</v>
      </c>
      <c r="DB174">
        <v>736</v>
      </c>
    </row>
    <row r="175" spans="1:106" x14ac:dyDescent="0.25">
      <c r="B175" t="s">
        <v>94</v>
      </c>
      <c r="C175">
        <v>9.0820000000000007</v>
      </c>
      <c r="D175">
        <v>8.6753</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1</v>
      </c>
      <c r="AQ175">
        <v>1</v>
      </c>
      <c r="AR175">
        <v>1</v>
      </c>
      <c r="AS175">
        <v>1</v>
      </c>
      <c r="AT175">
        <v>1</v>
      </c>
      <c r="AU175">
        <v>1</v>
      </c>
      <c r="AV175">
        <v>1</v>
      </c>
      <c r="AW175">
        <v>1</v>
      </c>
      <c r="AX175">
        <v>1</v>
      </c>
      <c r="AY175">
        <v>1</v>
      </c>
      <c r="AZ175">
        <v>2</v>
      </c>
      <c r="BA175">
        <v>2</v>
      </c>
      <c r="BB175">
        <v>2</v>
      </c>
      <c r="BC175">
        <v>2</v>
      </c>
      <c r="BD175">
        <v>2</v>
      </c>
      <c r="BE175">
        <v>2</v>
      </c>
      <c r="BF175">
        <v>2</v>
      </c>
      <c r="BG175">
        <v>2</v>
      </c>
      <c r="BH175">
        <v>3</v>
      </c>
      <c r="BI175">
        <v>8</v>
      </c>
      <c r="BJ175">
        <v>8</v>
      </c>
      <c r="BK175">
        <v>12</v>
      </c>
      <c r="BL175">
        <v>22</v>
      </c>
      <c r="BM175">
        <v>30</v>
      </c>
      <c r="BN175">
        <v>40</v>
      </c>
      <c r="BO175">
        <v>44</v>
      </c>
      <c r="BP175">
        <v>51</v>
      </c>
      <c r="BQ175">
        <v>65</v>
      </c>
      <c r="BR175">
        <v>70</v>
      </c>
      <c r="BS175">
        <v>89</v>
      </c>
      <c r="BT175">
        <v>111</v>
      </c>
      <c r="BU175">
        <v>131</v>
      </c>
      <c r="BV175">
        <v>135</v>
      </c>
      <c r="BW175">
        <v>174</v>
      </c>
      <c r="BX175">
        <v>184</v>
      </c>
      <c r="BY175">
        <v>210</v>
      </c>
      <c r="BZ175">
        <v>214</v>
      </c>
      <c r="CA175">
        <v>232</v>
      </c>
      <c r="CB175">
        <v>238</v>
      </c>
      <c r="CC175">
        <v>254</v>
      </c>
      <c r="CD175">
        <v>276</v>
      </c>
      <c r="CE175">
        <v>288</v>
      </c>
      <c r="CF175">
        <v>305</v>
      </c>
      <c r="CG175">
        <v>318</v>
      </c>
      <c r="CH175">
        <v>323</v>
      </c>
      <c r="CI175">
        <v>343</v>
      </c>
      <c r="CJ175">
        <v>373</v>
      </c>
      <c r="CK175">
        <v>407</v>
      </c>
      <c r="CL175">
        <v>442</v>
      </c>
      <c r="CM175">
        <v>493</v>
      </c>
      <c r="CN175">
        <v>542</v>
      </c>
      <c r="CO175">
        <v>627</v>
      </c>
      <c r="CP175">
        <v>665</v>
      </c>
      <c r="CQ175">
        <v>665</v>
      </c>
      <c r="CR175">
        <v>873</v>
      </c>
      <c r="CS175">
        <v>981</v>
      </c>
      <c r="CT175">
        <v>1095</v>
      </c>
      <c r="CU175">
        <v>1182</v>
      </c>
      <c r="CV175">
        <v>1273</v>
      </c>
      <c r="CW175">
        <v>1337</v>
      </c>
      <c r="CX175">
        <v>1532</v>
      </c>
      <c r="CY175">
        <v>1728</v>
      </c>
      <c r="CZ175">
        <v>1932</v>
      </c>
      <c r="DA175">
        <v>2170</v>
      </c>
      <c r="DB175">
        <v>2388</v>
      </c>
    </row>
    <row r="176" spans="1:106" x14ac:dyDescent="0.25">
      <c r="B176" t="s">
        <v>82</v>
      </c>
      <c r="C176">
        <v>41.608600000000003</v>
      </c>
      <c r="D176">
        <v>21.7453</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1</v>
      </c>
      <c r="AO176">
        <v>1</v>
      </c>
      <c r="AP176">
        <v>1</v>
      </c>
      <c r="AQ176">
        <v>1</v>
      </c>
      <c r="AR176">
        <v>1</v>
      </c>
      <c r="AS176">
        <v>1</v>
      </c>
      <c r="AT176">
        <v>1</v>
      </c>
      <c r="AU176">
        <v>1</v>
      </c>
      <c r="AV176">
        <v>1</v>
      </c>
      <c r="AW176">
        <v>3</v>
      </c>
      <c r="AX176">
        <v>3</v>
      </c>
      <c r="AY176">
        <v>3</v>
      </c>
      <c r="AZ176">
        <v>3</v>
      </c>
      <c r="BA176">
        <v>7</v>
      </c>
      <c r="BB176">
        <v>7</v>
      </c>
      <c r="BC176">
        <v>7</v>
      </c>
      <c r="BD176">
        <v>14</v>
      </c>
      <c r="BE176">
        <v>14</v>
      </c>
      <c r="BF176">
        <v>14</v>
      </c>
      <c r="BG176">
        <v>18</v>
      </c>
      <c r="BH176">
        <v>26</v>
      </c>
      <c r="BI176">
        <v>35</v>
      </c>
      <c r="BJ176">
        <v>48</v>
      </c>
      <c r="BK176">
        <v>67</v>
      </c>
      <c r="BL176">
        <v>85</v>
      </c>
      <c r="BM176">
        <v>115</v>
      </c>
      <c r="BN176">
        <v>136</v>
      </c>
      <c r="BO176">
        <v>148</v>
      </c>
      <c r="BP176">
        <v>177</v>
      </c>
      <c r="BQ176">
        <v>201</v>
      </c>
      <c r="BR176">
        <v>219</v>
      </c>
      <c r="BS176">
        <v>241</v>
      </c>
      <c r="BT176">
        <v>259</v>
      </c>
      <c r="BU176">
        <v>285</v>
      </c>
      <c r="BV176">
        <v>329</v>
      </c>
      <c r="BW176">
        <v>354</v>
      </c>
      <c r="BX176">
        <v>384</v>
      </c>
      <c r="BY176">
        <v>430</v>
      </c>
      <c r="BZ176">
        <v>483</v>
      </c>
      <c r="CA176">
        <v>555</v>
      </c>
      <c r="CB176">
        <v>570</v>
      </c>
      <c r="CC176">
        <v>599</v>
      </c>
      <c r="CD176">
        <v>617</v>
      </c>
      <c r="CE176">
        <v>663</v>
      </c>
      <c r="CF176">
        <v>711</v>
      </c>
      <c r="CG176">
        <v>760</v>
      </c>
      <c r="CH176">
        <v>828</v>
      </c>
      <c r="CI176">
        <v>854</v>
      </c>
      <c r="CJ176">
        <v>908</v>
      </c>
      <c r="CK176">
        <v>974</v>
      </c>
      <c r="CL176">
        <v>1081</v>
      </c>
      <c r="CM176">
        <v>1117</v>
      </c>
      <c r="CN176">
        <v>1170</v>
      </c>
      <c r="CO176">
        <v>1207</v>
      </c>
      <c r="CP176">
        <v>1225</v>
      </c>
      <c r="CQ176">
        <v>1231</v>
      </c>
      <c r="CR176">
        <v>1259</v>
      </c>
      <c r="CS176">
        <v>1300</v>
      </c>
      <c r="CT176">
        <v>1326</v>
      </c>
      <c r="CU176">
        <v>1367</v>
      </c>
      <c r="CV176">
        <v>1386</v>
      </c>
      <c r="CW176">
        <v>1399</v>
      </c>
      <c r="CX176">
        <v>1421</v>
      </c>
      <c r="CY176">
        <v>1442</v>
      </c>
      <c r="CZ176">
        <v>1465</v>
      </c>
      <c r="DA176">
        <v>1494</v>
      </c>
      <c r="DB176">
        <v>1506</v>
      </c>
    </row>
    <row r="177" spans="2:106" x14ac:dyDescent="0.25">
      <c r="B177" t="s">
        <v>83</v>
      </c>
      <c r="C177">
        <v>60.472000000000001</v>
      </c>
      <c r="D177">
        <v>8.4688999999999997</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1</v>
      </c>
      <c r="AO177">
        <v>1</v>
      </c>
      <c r="AP177">
        <v>6</v>
      </c>
      <c r="AQ177">
        <v>15</v>
      </c>
      <c r="AR177">
        <v>19</v>
      </c>
      <c r="AS177">
        <v>25</v>
      </c>
      <c r="AT177">
        <v>32</v>
      </c>
      <c r="AU177">
        <v>56</v>
      </c>
      <c r="AV177">
        <v>87</v>
      </c>
      <c r="AW177">
        <v>108</v>
      </c>
      <c r="AX177">
        <v>147</v>
      </c>
      <c r="AY177">
        <v>176</v>
      </c>
      <c r="AZ177">
        <v>205</v>
      </c>
      <c r="BA177">
        <v>400</v>
      </c>
      <c r="BB177">
        <v>598</v>
      </c>
      <c r="BC177">
        <v>702</v>
      </c>
      <c r="BD177">
        <v>996</v>
      </c>
      <c r="BE177">
        <v>1090</v>
      </c>
      <c r="BF177">
        <v>1221</v>
      </c>
      <c r="BG177">
        <v>1333</v>
      </c>
      <c r="BH177">
        <v>1463</v>
      </c>
      <c r="BI177">
        <v>1550</v>
      </c>
      <c r="BJ177">
        <v>1746</v>
      </c>
      <c r="BK177">
        <v>1914</v>
      </c>
      <c r="BL177">
        <v>2118</v>
      </c>
      <c r="BM177">
        <v>2385</v>
      </c>
      <c r="BN177">
        <v>2621</v>
      </c>
      <c r="BO177">
        <v>2863</v>
      </c>
      <c r="BP177">
        <v>3084</v>
      </c>
      <c r="BQ177">
        <v>3369</v>
      </c>
      <c r="BR177">
        <v>3755</v>
      </c>
      <c r="BS177">
        <v>4015</v>
      </c>
      <c r="BT177">
        <v>4284</v>
      </c>
      <c r="BU177">
        <v>4445</v>
      </c>
      <c r="BV177">
        <v>4641</v>
      </c>
      <c r="BW177">
        <v>4863</v>
      </c>
      <c r="BX177">
        <v>5147</v>
      </c>
      <c r="BY177">
        <v>5370</v>
      </c>
      <c r="BZ177">
        <v>5550</v>
      </c>
      <c r="CA177">
        <v>5687</v>
      </c>
      <c r="CB177">
        <v>5865</v>
      </c>
      <c r="CC177">
        <v>6086</v>
      </c>
      <c r="CD177">
        <v>6086</v>
      </c>
      <c r="CE177">
        <v>6211</v>
      </c>
      <c r="CF177">
        <v>6314</v>
      </c>
      <c r="CG177">
        <v>6409</v>
      </c>
      <c r="CH177">
        <v>6525</v>
      </c>
      <c r="CI177">
        <v>6603</v>
      </c>
      <c r="CJ177">
        <v>6623</v>
      </c>
      <c r="CK177">
        <v>6740</v>
      </c>
      <c r="CL177">
        <v>6896</v>
      </c>
      <c r="CM177">
        <v>6937</v>
      </c>
      <c r="CN177">
        <v>7036</v>
      </c>
      <c r="CO177">
        <v>7078</v>
      </c>
      <c r="CP177">
        <v>7156</v>
      </c>
      <c r="CQ177">
        <v>7191</v>
      </c>
      <c r="CR177">
        <v>7338</v>
      </c>
      <c r="CS177">
        <v>7401</v>
      </c>
      <c r="CT177">
        <v>7463</v>
      </c>
      <c r="CU177">
        <v>7499</v>
      </c>
      <c r="CV177">
        <v>7527</v>
      </c>
      <c r="CW177">
        <v>7599</v>
      </c>
      <c r="CX177">
        <v>7660</v>
      </c>
      <c r="CY177">
        <v>7710</v>
      </c>
      <c r="CZ177">
        <v>7738</v>
      </c>
      <c r="DA177">
        <v>7783</v>
      </c>
      <c r="DB177">
        <v>7809</v>
      </c>
    </row>
    <row r="178" spans="2:106" x14ac:dyDescent="0.25">
      <c r="B178" t="s">
        <v>69</v>
      </c>
      <c r="C178">
        <v>21</v>
      </c>
      <c r="D178">
        <v>57</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2</v>
      </c>
      <c r="AM178">
        <v>2</v>
      </c>
      <c r="AN178">
        <v>4</v>
      </c>
      <c r="AO178">
        <v>4</v>
      </c>
      <c r="AP178">
        <v>4</v>
      </c>
      <c r="AQ178">
        <v>6</v>
      </c>
      <c r="AR178">
        <v>6</v>
      </c>
      <c r="AS178">
        <v>6</v>
      </c>
      <c r="AT178">
        <v>12</v>
      </c>
      <c r="AU178">
        <v>15</v>
      </c>
      <c r="AV178">
        <v>16</v>
      </c>
      <c r="AW178">
        <v>16</v>
      </c>
      <c r="AX178">
        <v>16</v>
      </c>
      <c r="AY178">
        <v>16</v>
      </c>
      <c r="AZ178">
        <v>16</v>
      </c>
      <c r="BA178">
        <v>18</v>
      </c>
      <c r="BB178">
        <v>18</v>
      </c>
      <c r="BC178">
        <v>18</v>
      </c>
      <c r="BD178">
        <v>19</v>
      </c>
      <c r="BE178">
        <v>19</v>
      </c>
      <c r="BF178">
        <v>22</v>
      </c>
      <c r="BG178">
        <v>22</v>
      </c>
      <c r="BH178">
        <v>24</v>
      </c>
      <c r="BI178">
        <v>39</v>
      </c>
      <c r="BJ178">
        <v>48</v>
      </c>
      <c r="BK178">
        <v>48</v>
      </c>
      <c r="BL178">
        <v>52</v>
      </c>
      <c r="BM178">
        <v>55</v>
      </c>
      <c r="BN178">
        <v>66</v>
      </c>
      <c r="BO178">
        <v>84</v>
      </c>
      <c r="BP178">
        <v>99</v>
      </c>
      <c r="BQ178">
        <v>109</v>
      </c>
      <c r="BR178">
        <v>131</v>
      </c>
      <c r="BS178">
        <v>152</v>
      </c>
      <c r="BT178">
        <v>167</v>
      </c>
      <c r="BU178">
        <v>179</v>
      </c>
      <c r="BV178">
        <v>192</v>
      </c>
      <c r="BW178">
        <v>210</v>
      </c>
      <c r="BX178">
        <v>231</v>
      </c>
      <c r="BY178">
        <v>252</v>
      </c>
      <c r="BZ178">
        <v>277</v>
      </c>
      <c r="CA178">
        <v>298</v>
      </c>
      <c r="CB178">
        <v>331</v>
      </c>
      <c r="CC178">
        <v>371</v>
      </c>
      <c r="CD178">
        <v>419</v>
      </c>
      <c r="CE178">
        <v>457</v>
      </c>
      <c r="CF178">
        <v>484</v>
      </c>
      <c r="CG178">
        <v>546</v>
      </c>
      <c r="CH178">
        <v>599</v>
      </c>
      <c r="CI178">
        <v>727</v>
      </c>
      <c r="CJ178">
        <v>813</v>
      </c>
      <c r="CK178">
        <v>910</v>
      </c>
      <c r="CL178">
        <v>1019</v>
      </c>
      <c r="CM178">
        <v>1069</v>
      </c>
      <c r="CN178">
        <v>1180</v>
      </c>
      <c r="CO178">
        <v>1266</v>
      </c>
      <c r="CP178">
        <v>1410</v>
      </c>
      <c r="CQ178">
        <v>1508</v>
      </c>
      <c r="CR178">
        <v>1614</v>
      </c>
      <c r="CS178">
        <v>1716</v>
      </c>
      <c r="CT178">
        <v>1790</v>
      </c>
      <c r="CU178">
        <v>1905</v>
      </c>
      <c r="CV178">
        <v>1998</v>
      </c>
      <c r="CW178">
        <v>2049</v>
      </c>
      <c r="CX178">
        <v>2131</v>
      </c>
      <c r="CY178">
        <v>2274</v>
      </c>
      <c r="CZ178">
        <v>2348</v>
      </c>
      <c r="DA178">
        <v>2447</v>
      </c>
      <c r="DB178">
        <v>2483</v>
      </c>
    </row>
    <row r="179" spans="2:106" x14ac:dyDescent="0.25">
      <c r="B179" t="s">
        <v>78</v>
      </c>
      <c r="C179">
        <v>30.375299999999999</v>
      </c>
      <c r="D179">
        <v>69.345100000000002</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2</v>
      </c>
      <c r="AO179">
        <v>2</v>
      </c>
      <c r="AP179">
        <v>2</v>
      </c>
      <c r="AQ179">
        <v>4</v>
      </c>
      <c r="AR179">
        <v>4</v>
      </c>
      <c r="AS179">
        <v>4</v>
      </c>
      <c r="AT179">
        <v>5</v>
      </c>
      <c r="AU179">
        <v>5</v>
      </c>
      <c r="AV179">
        <v>5</v>
      </c>
      <c r="AW179">
        <v>6</v>
      </c>
      <c r="AX179">
        <v>6</v>
      </c>
      <c r="AY179">
        <v>6</v>
      </c>
      <c r="AZ179">
        <v>6</v>
      </c>
      <c r="BA179">
        <v>16</v>
      </c>
      <c r="BB179">
        <v>19</v>
      </c>
      <c r="BC179">
        <v>20</v>
      </c>
      <c r="BD179">
        <v>28</v>
      </c>
      <c r="BE179">
        <v>31</v>
      </c>
      <c r="BF179">
        <v>53</v>
      </c>
      <c r="BG179">
        <v>136</v>
      </c>
      <c r="BH179">
        <v>236</v>
      </c>
      <c r="BI179">
        <v>299</v>
      </c>
      <c r="BJ179">
        <v>454</v>
      </c>
      <c r="BK179">
        <v>501</v>
      </c>
      <c r="BL179">
        <v>730</v>
      </c>
      <c r="BM179">
        <v>776</v>
      </c>
      <c r="BN179">
        <v>875</v>
      </c>
      <c r="BO179">
        <v>972</v>
      </c>
      <c r="BP179">
        <v>1063</v>
      </c>
      <c r="BQ179">
        <v>1201</v>
      </c>
      <c r="BR179">
        <v>1373</v>
      </c>
      <c r="BS179">
        <v>1495</v>
      </c>
      <c r="BT179">
        <v>1597</v>
      </c>
      <c r="BU179">
        <v>1717</v>
      </c>
      <c r="BV179">
        <v>1938</v>
      </c>
      <c r="BW179">
        <v>2118</v>
      </c>
      <c r="BX179">
        <v>2421</v>
      </c>
      <c r="BY179">
        <v>2686</v>
      </c>
      <c r="BZ179">
        <v>2818</v>
      </c>
      <c r="CA179">
        <v>3157</v>
      </c>
      <c r="CB179">
        <v>3766</v>
      </c>
      <c r="CC179">
        <v>4035</v>
      </c>
      <c r="CD179">
        <v>4263</v>
      </c>
      <c r="CE179">
        <v>4489</v>
      </c>
      <c r="CF179">
        <v>4695</v>
      </c>
      <c r="CG179">
        <v>5011</v>
      </c>
      <c r="CH179">
        <v>5230</v>
      </c>
      <c r="CI179">
        <v>5496</v>
      </c>
      <c r="CJ179">
        <v>5837</v>
      </c>
      <c r="CK179">
        <v>6383</v>
      </c>
      <c r="CL179">
        <v>6919</v>
      </c>
      <c r="CM179">
        <v>7025</v>
      </c>
      <c r="CN179">
        <v>7638</v>
      </c>
      <c r="CO179">
        <v>8348</v>
      </c>
      <c r="CP179">
        <v>8418</v>
      </c>
      <c r="CQ179">
        <v>9565</v>
      </c>
      <c r="CR179">
        <v>10076</v>
      </c>
      <c r="CS179">
        <v>11155</v>
      </c>
      <c r="CT179">
        <v>11940</v>
      </c>
      <c r="CU179">
        <v>12723</v>
      </c>
      <c r="CV179">
        <v>13328</v>
      </c>
      <c r="CW179">
        <v>13915</v>
      </c>
      <c r="CX179">
        <v>14612</v>
      </c>
      <c r="CY179">
        <v>15525</v>
      </c>
      <c r="CZ179">
        <v>16817</v>
      </c>
      <c r="DA179">
        <v>18114</v>
      </c>
      <c r="DB179">
        <v>19103</v>
      </c>
    </row>
    <row r="180" spans="2:106" x14ac:dyDescent="0.25">
      <c r="B180" t="s">
        <v>152</v>
      </c>
      <c r="C180">
        <v>8.5380000000000003</v>
      </c>
      <c r="D180">
        <v>-80.7821</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1</v>
      </c>
      <c r="BB180">
        <v>8</v>
      </c>
      <c r="BC180">
        <v>11</v>
      </c>
      <c r="BD180">
        <v>27</v>
      </c>
      <c r="BE180">
        <v>36</v>
      </c>
      <c r="BF180">
        <v>43</v>
      </c>
      <c r="BG180">
        <v>55</v>
      </c>
      <c r="BH180">
        <v>69</v>
      </c>
      <c r="BI180">
        <v>86</v>
      </c>
      <c r="BJ180">
        <v>109</v>
      </c>
      <c r="BK180">
        <v>137</v>
      </c>
      <c r="BL180">
        <v>200</v>
      </c>
      <c r="BM180">
        <v>313</v>
      </c>
      <c r="BN180">
        <v>345</v>
      </c>
      <c r="BO180">
        <v>345</v>
      </c>
      <c r="BP180">
        <v>443</v>
      </c>
      <c r="BQ180">
        <v>558</v>
      </c>
      <c r="BR180">
        <v>674</v>
      </c>
      <c r="BS180">
        <v>786</v>
      </c>
      <c r="BT180">
        <v>901</v>
      </c>
      <c r="BU180">
        <v>989</v>
      </c>
      <c r="BV180">
        <v>1181</v>
      </c>
      <c r="BW180">
        <v>1181</v>
      </c>
      <c r="BX180">
        <v>1317</v>
      </c>
      <c r="BY180">
        <v>1475</v>
      </c>
      <c r="BZ180">
        <v>1673</v>
      </c>
      <c r="CA180">
        <v>1801</v>
      </c>
      <c r="CB180">
        <v>1988</v>
      </c>
      <c r="CC180">
        <v>2100</v>
      </c>
      <c r="CD180">
        <v>2249</v>
      </c>
      <c r="CE180">
        <v>2528</v>
      </c>
      <c r="CF180">
        <v>2752</v>
      </c>
      <c r="CG180">
        <v>2974</v>
      </c>
      <c r="CH180">
        <v>3234</v>
      </c>
      <c r="CI180">
        <v>3400</v>
      </c>
      <c r="CJ180">
        <v>3472</v>
      </c>
      <c r="CK180">
        <v>3574</v>
      </c>
      <c r="CL180">
        <v>3751</v>
      </c>
      <c r="CM180">
        <v>4016</v>
      </c>
      <c r="CN180">
        <v>4210</v>
      </c>
      <c r="CO180">
        <v>4273</v>
      </c>
      <c r="CP180">
        <v>4467</v>
      </c>
      <c r="CQ180">
        <v>4658</v>
      </c>
      <c r="CR180">
        <v>4821</v>
      </c>
      <c r="CS180">
        <v>5166</v>
      </c>
      <c r="CT180">
        <v>5338</v>
      </c>
      <c r="CU180">
        <v>5538</v>
      </c>
      <c r="CV180">
        <v>5779</v>
      </c>
      <c r="CW180">
        <v>6021</v>
      </c>
      <c r="CX180">
        <v>6021</v>
      </c>
      <c r="CY180">
        <v>6378</v>
      </c>
      <c r="CZ180">
        <v>6532</v>
      </c>
      <c r="DA180">
        <v>6720</v>
      </c>
      <c r="DB180">
        <v>7090</v>
      </c>
    </row>
    <row r="181" spans="2:106" x14ac:dyDescent="0.25">
      <c r="B181" t="s">
        <v>745</v>
      </c>
      <c r="C181">
        <v>-6.3150000000000004</v>
      </c>
      <c r="D181">
        <v>143.9555</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1</v>
      </c>
      <c r="BL181">
        <v>1</v>
      </c>
      <c r="BM181">
        <v>1</v>
      </c>
      <c r="BN181">
        <v>1</v>
      </c>
      <c r="BO181">
        <v>1</v>
      </c>
      <c r="BP181">
        <v>1</v>
      </c>
      <c r="BQ181">
        <v>1</v>
      </c>
      <c r="BR181">
        <v>1</v>
      </c>
      <c r="BS181">
        <v>1</v>
      </c>
      <c r="BT181">
        <v>1</v>
      </c>
      <c r="BU181">
        <v>1</v>
      </c>
      <c r="BV181">
        <v>1</v>
      </c>
      <c r="BW181">
        <v>1</v>
      </c>
      <c r="BX181">
        <v>1</v>
      </c>
      <c r="BY181">
        <v>1</v>
      </c>
      <c r="BZ181">
        <v>1</v>
      </c>
      <c r="CA181">
        <v>1</v>
      </c>
      <c r="CB181">
        <v>2</v>
      </c>
      <c r="CC181">
        <v>2</v>
      </c>
      <c r="CD181">
        <v>2</v>
      </c>
      <c r="CE181">
        <v>2</v>
      </c>
      <c r="CF181">
        <v>2</v>
      </c>
      <c r="CG181">
        <v>2</v>
      </c>
      <c r="CH181">
        <v>2</v>
      </c>
      <c r="CI181">
        <v>2</v>
      </c>
      <c r="CJ181">
        <v>2</v>
      </c>
      <c r="CK181">
        <v>2</v>
      </c>
      <c r="CL181">
        <v>7</v>
      </c>
      <c r="CM181">
        <v>7</v>
      </c>
      <c r="CN181">
        <v>7</v>
      </c>
      <c r="CO181">
        <v>7</v>
      </c>
      <c r="CP181">
        <v>7</v>
      </c>
      <c r="CQ181">
        <v>7</v>
      </c>
      <c r="CR181">
        <v>8</v>
      </c>
      <c r="CS181">
        <v>8</v>
      </c>
      <c r="CT181">
        <v>8</v>
      </c>
      <c r="CU181">
        <v>8</v>
      </c>
      <c r="CV181">
        <v>8</v>
      </c>
      <c r="CW181">
        <v>8</v>
      </c>
      <c r="CX181">
        <v>8</v>
      </c>
      <c r="CY181">
        <v>8</v>
      </c>
      <c r="CZ181">
        <v>8</v>
      </c>
      <c r="DA181">
        <v>8</v>
      </c>
      <c r="DB181">
        <v>8</v>
      </c>
    </row>
    <row r="182" spans="2:106" x14ac:dyDescent="0.25">
      <c r="B182" t="s">
        <v>140</v>
      </c>
      <c r="C182">
        <v>-23.442499999999999</v>
      </c>
      <c r="D182">
        <v>-58.443800000000003</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1</v>
      </c>
      <c r="AZ182">
        <v>1</v>
      </c>
      <c r="BA182">
        <v>1</v>
      </c>
      <c r="BB182">
        <v>5</v>
      </c>
      <c r="BC182">
        <v>5</v>
      </c>
      <c r="BD182">
        <v>6</v>
      </c>
      <c r="BE182">
        <v>6</v>
      </c>
      <c r="BF182">
        <v>6</v>
      </c>
      <c r="BG182">
        <v>8</v>
      </c>
      <c r="BH182">
        <v>9</v>
      </c>
      <c r="BI182">
        <v>11</v>
      </c>
      <c r="BJ182">
        <v>11</v>
      </c>
      <c r="BK182">
        <v>13</v>
      </c>
      <c r="BL182">
        <v>18</v>
      </c>
      <c r="BM182">
        <v>22</v>
      </c>
      <c r="BN182">
        <v>22</v>
      </c>
      <c r="BO182">
        <v>27</v>
      </c>
      <c r="BP182">
        <v>37</v>
      </c>
      <c r="BQ182">
        <v>41</v>
      </c>
      <c r="BR182">
        <v>52</v>
      </c>
      <c r="BS182">
        <v>56</v>
      </c>
      <c r="BT182">
        <v>59</v>
      </c>
      <c r="BU182">
        <v>64</v>
      </c>
      <c r="BV182">
        <v>65</v>
      </c>
      <c r="BW182">
        <v>69</v>
      </c>
      <c r="BX182">
        <v>77</v>
      </c>
      <c r="BY182">
        <v>92</v>
      </c>
      <c r="BZ182">
        <v>96</v>
      </c>
      <c r="CA182">
        <v>104</v>
      </c>
      <c r="CB182">
        <v>113</v>
      </c>
      <c r="CC182">
        <v>115</v>
      </c>
      <c r="CD182">
        <v>119</v>
      </c>
      <c r="CE182">
        <v>124</v>
      </c>
      <c r="CF182">
        <v>129</v>
      </c>
      <c r="CG182">
        <v>133</v>
      </c>
      <c r="CH182">
        <v>134</v>
      </c>
      <c r="CI182">
        <v>147</v>
      </c>
      <c r="CJ182">
        <v>159</v>
      </c>
      <c r="CK182">
        <v>161</v>
      </c>
      <c r="CL182">
        <v>174</v>
      </c>
      <c r="CM182">
        <v>199</v>
      </c>
      <c r="CN182">
        <v>202</v>
      </c>
      <c r="CO182">
        <v>206</v>
      </c>
      <c r="CP182">
        <v>208</v>
      </c>
      <c r="CQ182">
        <v>208</v>
      </c>
      <c r="CR182">
        <v>213</v>
      </c>
      <c r="CS182">
        <v>213</v>
      </c>
      <c r="CT182">
        <v>223</v>
      </c>
      <c r="CU182">
        <v>228</v>
      </c>
      <c r="CV182">
        <v>228</v>
      </c>
      <c r="CW182">
        <v>228</v>
      </c>
      <c r="CX182">
        <v>239</v>
      </c>
      <c r="CY182">
        <v>239</v>
      </c>
      <c r="CZ182">
        <v>266</v>
      </c>
      <c r="DA182">
        <v>333</v>
      </c>
      <c r="DB182">
        <v>370</v>
      </c>
    </row>
    <row r="183" spans="2:106" x14ac:dyDescent="0.25">
      <c r="B183" t="s">
        <v>129</v>
      </c>
      <c r="C183">
        <v>-9.19</v>
      </c>
      <c r="D183">
        <v>-75.015199999999993</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1</v>
      </c>
      <c r="AX183">
        <v>1</v>
      </c>
      <c r="AY183">
        <v>6</v>
      </c>
      <c r="AZ183">
        <v>7</v>
      </c>
      <c r="BA183">
        <v>11</v>
      </c>
      <c r="BB183">
        <v>11</v>
      </c>
      <c r="BC183">
        <v>15</v>
      </c>
      <c r="BD183">
        <v>28</v>
      </c>
      <c r="BE183">
        <v>38</v>
      </c>
      <c r="BF183">
        <v>43</v>
      </c>
      <c r="BG183">
        <v>86</v>
      </c>
      <c r="BH183">
        <v>117</v>
      </c>
      <c r="BI183">
        <v>145</v>
      </c>
      <c r="BJ183">
        <v>234</v>
      </c>
      <c r="BK183">
        <v>234</v>
      </c>
      <c r="BL183">
        <v>318</v>
      </c>
      <c r="BM183">
        <v>363</v>
      </c>
      <c r="BN183">
        <v>395</v>
      </c>
      <c r="BO183">
        <v>416</v>
      </c>
      <c r="BP183">
        <v>480</v>
      </c>
      <c r="BQ183">
        <v>580</v>
      </c>
      <c r="BR183">
        <v>635</v>
      </c>
      <c r="BS183">
        <v>671</v>
      </c>
      <c r="BT183">
        <v>852</v>
      </c>
      <c r="BU183">
        <v>950</v>
      </c>
      <c r="BV183">
        <v>1065</v>
      </c>
      <c r="BW183">
        <v>1323</v>
      </c>
      <c r="BX183">
        <v>1414</v>
      </c>
      <c r="BY183">
        <v>1595</v>
      </c>
      <c r="BZ183">
        <v>1746</v>
      </c>
      <c r="CA183">
        <v>2281</v>
      </c>
      <c r="CB183">
        <v>2561</v>
      </c>
      <c r="CC183">
        <v>2954</v>
      </c>
      <c r="CD183">
        <v>4342</v>
      </c>
      <c r="CE183">
        <v>5256</v>
      </c>
      <c r="CF183">
        <v>5897</v>
      </c>
      <c r="CG183">
        <v>6848</v>
      </c>
      <c r="CH183">
        <v>7519</v>
      </c>
      <c r="CI183">
        <v>9784</v>
      </c>
      <c r="CJ183">
        <v>10303</v>
      </c>
      <c r="CK183">
        <v>11475</v>
      </c>
      <c r="CL183">
        <v>12491</v>
      </c>
      <c r="CM183">
        <v>13489</v>
      </c>
      <c r="CN183">
        <v>14420</v>
      </c>
      <c r="CO183">
        <v>15628</v>
      </c>
      <c r="CP183">
        <v>16325</v>
      </c>
      <c r="CQ183">
        <v>17837</v>
      </c>
      <c r="CR183">
        <v>19250</v>
      </c>
      <c r="CS183">
        <v>20914</v>
      </c>
      <c r="CT183">
        <v>21648</v>
      </c>
      <c r="CU183">
        <v>25331</v>
      </c>
      <c r="CV183">
        <v>27517</v>
      </c>
      <c r="CW183">
        <v>28699</v>
      </c>
      <c r="CX183">
        <v>31190</v>
      </c>
      <c r="CY183">
        <v>33931</v>
      </c>
      <c r="CZ183">
        <v>36976</v>
      </c>
      <c r="DA183">
        <v>40459</v>
      </c>
      <c r="DB183">
        <v>42534</v>
      </c>
    </row>
    <row r="184" spans="2:106" x14ac:dyDescent="0.25">
      <c r="B184" t="s">
        <v>56</v>
      </c>
      <c r="C184">
        <v>13</v>
      </c>
      <c r="D184">
        <v>122</v>
      </c>
      <c r="E184">
        <v>0</v>
      </c>
      <c r="F184">
        <v>0</v>
      </c>
      <c r="G184">
        <v>0</v>
      </c>
      <c r="H184">
        <v>0</v>
      </c>
      <c r="I184">
        <v>0</v>
      </c>
      <c r="J184">
        <v>0</v>
      </c>
      <c r="K184">
        <v>0</v>
      </c>
      <c r="L184">
        <v>0</v>
      </c>
      <c r="M184">
        <v>1</v>
      </c>
      <c r="N184">
        <v>1</v>
      </c>
      <c r="O184">
        <v>1</v>
      </c>
      <c r="P184">
        <v>2</v>
      </c>
      <c r="Q184">
        <v>2</v>
      </c>
      <c r="R184">
        <v>2</v>
      </c>
      <c r="S184">
        <v>2</v>
      </c>
      <c r="T184">
        <v>2</v>
      </c>
      <c r="U184">
        <v>3</v>
      </c>
      <c r="V184">
        <v>3</v>
      </c>
      <c r="W184">
        <v>3</v>
      </c>
      <c r="X184">
        <v>3</v>
      </c>
      <c r="Y184">
        <v>3</v>
      </c>
      <c r="Z184">
        <v>3</v>
      </c>
      <c r="AA184">
        <v>3</v>
      </c>
      <c r="AB184">
        <v>3</v>
      </c>
      <c r="AC184">
        <v>3</v>
      </c>
      <c r="AD184">
        <v>3</v>
      </c>
      <c r="AE184">
        <v>3</v>
      </c>
      <c r="AF184">
        <v>3</v>
      </c>
      <c r="AG184">
        <v>3</v>
      </c>
      <c r="AH184">
        <v>3</v>
      </c>
      <c r="AI184">
        <v>3</v>
      </c>
      <c r="AJ184">
        <v>3</v>
      </c>
      <c r="AK184">
        <v>3</v>
      </c>
      <c r="AL184">
        <v>3</v>
      </c>
      <c r="AM184">
        <v>3</v>
      </c>
      <c r="AN184">
        <v>3</v>
      </c>
      <c r="AO184">
        <v>3</v>
      </c>
      <c r="AP184">
        <v>3</v>
      </c>
      <c r="AQ184">
        <v>3</v>
      </c>
      <c r="AR184">
        <v>3</v>
      </c>
      <c r="AS184">
        <v>3</v>
      </c>
      <c r="AT184">
        <v>3</v>
      </c>
      <c r="AU184">
        <v>3</v>
      </c>
      <c r="AV184">
        <v>3</v>
      </c>
      <c r="AW184">
        <v>5</v>
      </c>
      <c r="AX184">
        <v>6</v>
      </c>
      <c r="AY184">
        <v>10</v>
      </c>
      <c r="AZ184">
        <v>20</v>
      </c>
      <c r="BA184">
        <v>33</v>
      </c>
      <c r="BB184">
        <v>49</v>
      </c>
      <c r="BC184">
        <v>52</v>
      </c>
      <c r="BD184">
        <v>64</v>
      </c>
      <c r="BE184">
        <v>111</v>
      </c>
      <c r="BF184">
        <v>140</v>
      </c>
      <c r="BG184">
        <v>142</v>
      </c>
      <c r="BH184">
        <v>187</v>
      </c>
      <c r="BI184">
        <v>202</v>
      </c>
      <c r="BJ184">
        <v>217</v>
      </c>
      <c r="BK184">
        <v>230</v>
      </c>
      <c r="BL184">
        <v>307</v>
      </c>
      <c r="BM184">
        <v>380</v>
      </c>
      <c r="BN184">
        <v>462</v>
      </c>
      <c r="BO184">
        <v>552</v>
      </c>
      <c r="BP184">
        <v>636</v>
      </c>
      <c r="BQ184">
        <v>707</v>
      </c>
      <c r="BR184">
        <v>803</v>
      </c>
      <c r="BS184">
        <v>1075</v>
      </c>
      <c r="BT184">
        <v>1418</v>
      </c>
      <c r="BU184">
        <v>1546</v>
      </c>
      <c r="BV184">
        <v>2084</v>
      </c>
      <c r="BW184">
        <v>2311</v>
      </c>
      <c r="BX184">
        <v>2633</v>
      </c>
      <c r="BY184">
        <v>3018</v>
      </c>
      <c r="BZ184">
        <v>3094</v>
      </c>
      <c r="CA184">
        <v>3246</v>
      </c>
      <c r="CB184">
        <v>3660</v>
      </c>
      <c r="CC184">
        <v>3764</v>
      </c>
      <c r="CD184">
        <v>3870</v>
      </c>
      <c r="CE184">
        <v>4076</v>
      </c>
      <c r="CF184">
        <v>4195</v>
      </c>
      <c r="CG184">
        <v>4428</v>
      </c>
      <c r="CH184">
        <v>4648</v>
      </c>
      <c r="CI184">
        <v>4932</v>
      </c>
      <c r="CJ184">
        <v>5223</v>
      </c>
      <c r="CK184">
        <v>5453</v>
      </c>
      <c r="CL184">
        <v>5660</v>
      </c>
      <c r="CM184">
        <v>5878</v>
      </c>
      <c r="CN184">
        <v>6087</v>
      </c>
      <c r="CO184">
        <v>6259</v>
      </c>
      <c r="CP184">
        <v>6459</v>
      </c>
      <c r="CQ184">
        <v>6599</v>
      </c>
      <c r="CR184">
        <v>6710</v>
      </c>
      <c r="CS184">
        <v>6981</v>
      </c>
      <c r="CT184">
        <v>7192</v>
      </c>
      <c r="CU184">
        <v>7294</v>
      </c>
      <c r="CV184">
        <v>7579</v>
      </c>
      <c r="CW184">
        <v>7777</v>
      </c>
      <c r="CX184">
        <v>7958</v>
      </c>
      <c r="CY184">
        <v>8212</v>
      </c>
      <c r="CZ184">
        <v>8488</v>
      </c>
      <c r="DA184">
        <v>8772</v>
      </c>
      <c r="DB184">
        <v>8928</v>
      </c>
    </row>
    <row r="185" spans="2:106" x14ac:dyDescent="0.25">
      <c r="B185" t="s">
        <v>120</v>
      </c>
      <c r="C185">
        <v>51.919400000000003</v>
      </c>
      <c r="D185">
        <v>19.145099999999999</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1</v>
      </c>
      <c r="AV185">
        <v>1</v>
      </c>
      <c r="AW185">
        <v>5</v>
      </c>
      <c r="AX185">
        <v>5</v>
      </c>
      <c r="AY185">
        <v>11</v>
      </c>
      <c r="AZ185">
        <v>16</v>
      </c>
      <c r="BA185">
        <v>22</v>
      </c>
      <c r="BB185">
        <v>31</v>
      </c>
      <c r="BC185">
        <v>49</v>
      </c>
      <c r="BD185">
        <v>68</v>
      </c>
      <c r="BE185">
        <v>103</v>
      </c>
      <c r="BF185">
        <v>119</v>
      </c>
      <c r="BG185">
        <v>177</v>
      </c>
      <c r="BH185">
        <v>238</v>
      </c>
      <c r="BI185">
        <v>251</v>
      </c>
      <c r="BJ185">
        <v>355</v>
      </c>
      <c r="BK185">
        <v>425</v>
      </c>
      <c r="BL185">
        <v>536</v>
      </c>
      <c r="BM185">
        <v>634</v>
      </c>
      <c r="BN185">
        <v>749</v>
      </c>
      <c r="BO185">
        <v>901</v>
      </c>
      <c r="BP185">
        <v>1051</v>
      </c>
      <c r="BQ185">
        <v>1221</v>
      </c>
      <c r="BR185">
        <v>1389</v>
      </c>
      <c r="BS185">
        <v>1638</v>
      </c>
      <c r="BT185">
        <v>1862</v>
      </c>
      <c r="BU185">
        <v>2055</v>
      </c>
      <c r="BV185">
        <v>2311</v>
      </c>
      <c r="BW185">
        <v>2554</v>
      </c>
      <c r="BX185">
        <v>2946</v>
      </c>
      <c r="BY185">
        <v>3383</v>
      </c>
      <c r="BZ185">
        <v>3627</v>
      </c>
      <c r="CA185">
        <v>4102</v>
      </c>
      <c r="CB185">
        <v>4413</v>
      </c>
      <c r="CC185">
        <v>4848</v>
      </c>
      <c r="CD185">
        <v>5205</v>
      </c>
      <c r="CE185">
        <v>5575</v>
      </c>
      <c r="CF185">
        <v>5955</v>
      </c>
      <c r="CG185">
        <v>6356</v>
      </c>
      <c r="CH185">
        <v>6674</v>
      </c>
      <c r="CI185">
        <v>6934</v>
      </c>
      <c r="CJ185">
        <v>7202</v>
      </c>
      <c r="CK185">
        <v>7582</v>
      </c>
      <c r="CL185">
        <v>7918</v>
      </c>
      <c r="CM185">
        <v>8379</v>
      </c>
      <c r="CN185">
        <v>8742</v>
      </c>
      <c r="CO185">
        <v>9287</v>
      </c>
      <c r="CP185">
        <v>9593</v>
      </c>
      <c r="CQ185">
        <v>9856</v>
      </c>
      <c r="CR185">
        <v>10169</v>
      </c>
      <c r="CS185">
        <v>10511</v>
      </c>
      <c r="CT185">
        <v>10892</v>
      </c>
      <c r="CU185">
        <v>11273</v>
      </c>
      <c r="CV185">
        <v>11617</v>
      </c>
      <c r="CW185">
        <v>11902</v>
      </c>
      <c r="CX185">
        <v>12218</v>
      </c>
      <c r="CY185">
        <v>12640</v>
      </c>
      <c r="CZ185">
        <v>12877</v>
      </c>
      <c r="DA185">
        <v>13105</v>
      </c>
      <c r="DB185">
        <v>13375</v>
      </c>
    </row>
    <row r="186" spans="2:106" x14ac:dyDescent="0.25">
      <c r="B186" t="s">
        <v>104</v>
      </c>
      <c r="C186">
        <v>39.399900000000002</v>
      </c>
      <c r="D186">
        <v>-8.2245000000000008</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2</v>
      </c>
      <c r="AT186">
        <v>2</v>
      </c>
      <c r="AU186">
        <v>5</v>
      </c>
      <c r="AV186">
        <v>8</v>
      </c>
      <c r="AW186">
        <v>13</v>
      </c>
      <c r="AX186">
        <v>20</v>
      </c>
      <c r="AY186">
        <v>30</v>
      </c>
      <c r="AZ186">
        <v>30</v>
      </c>
      <c r="BA186">
        <v>41</v>
      </c>
      <c r="BB186">
        <v>59</v>
      </c>
      <c r="BC186">
        <v>59</v>
      </c>
      <c r="BD186">
        <v>112</v>
      </c>
      <c r="BE186">
        <v>169</v>
      </c>
      <c r="BF186">
        <v>245</v>
      </c>
      <c r="BG186">
        <v>331</v>
      </c>
      <c r="BH186">
        <v>448</v>
      </c>
      <c r="BI186">
        <v>448</v>
      </c>
      <c r="BJ186">
        <v>785</v>
      </c>
      <c r="BK186">
        <v>1020</v>
      </c>
      <c r="BL186">
        <v>1280</v>
      </c>
      <c r="BM186">
        <v>1600</v>
      </c>
      <c r="BN186">
        <v>2060</v>
      </c>
      <c r="BO186">
        <v>2362</v>
      </c>
      <c r="BP186">
        <v>2995</v>
      </c>
      <c r="BQ186">
        <v>3544</v>
      </c>
      <c r="BR186">
        <v>4268</v>
      </c>
      <c r="BS186">
        <v>5170</v>
      </c>
      <c r="BT186">
        <v>5962</v>
      </c>
      <c r="BU186">
        <v>6408</v>
      </c>
      <c r="BV186">
        <v>7443</v>
      </c>
      <c r="BW186">
        <v>8251</v>
      </c>
      <c r="BX186">
        <v>9034</v>
      </c>
      <c r="BY186">
        <v>9886</v>
      </c>
      <c r="BZ186">
        <v>10524</v>
      </c>
      <c r="CA186">
        <v>11278</v>
      </c>
      <c r="CB186">
        <v>11730</v>
      </c>
      <c r="CC186">
        <v>12442</v>
      </c>
      <c r="CD186">
        <v>13141</v>
      </c>
      <c r="CE186">
        <v>13956</v>
      </c>
      <c r="CF186">
        <v>15472</v>
      </c>
      <c r="CG186">
        <v>15987</v>
      </c>
      <c r="CH186">
        <v>16585</v>
      </c>
      <c r="CI186">
        <v>16934</v>
      </c>
      <c r="CJ186">
        <v>17448</v>
      </c>
      <c r="CK186">
        <v>18091</v>
      </c>
      <c r="CL186">
        <v>18841</v>
      </c>
      <c r="CM186">
        <v>19022</v>
      </c>
      <c r="CN186">
        <v>19685</v>
      </c>
      <c r="CO186">
        <v>20206</v>
      </c>
      <c r="CP186">
        <v>20863</v>
      </c>
      <c r="CQ186">
        <v>21379</v>
      </c>
      <c r="CR186">
        <v>21982</v>
      </c>
      <c r="CS186">
        <v>22353</v>
      </c>
      <c r="CT186">
        <v>22797</v>
      </c>
      <c r="CU186">
        <v>23392</v>
      </c>
      <c r="CV186">
        <v>23864</v>
      </c>
      <c r="CW186">
        <v>24027</v>
      </c>
      <c r="CX186">
        <v>24322</v>
      </c>
      <c r="CY186">
        <v>24505</v>
      </c>
      <c r="CZ186">
        <v>25045</v>
      </c>
      <c r="DA186">
        <v>25351</v>
      </c>
      <c r="DB186">
        <v>25190</v>
      </c>
    </row>
    <row r="187" spans="2:106" x14ac:dyDescent="0.25">
      <c r="B187" t="s">
        <v>98</v>
      </c>
      <c r="C187">
        <v>25.354800000000001</v>
      </c>
      <c r="D187">
        <v>51.183900000000001</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1</v>
      </c>
      <c r="AR187">
        <v>3</v>
      </c>
      <c r="AS187">
        <v>3</v>
      </c>
      <c r="AT187">
        <v>7</v>
      </c>
      <c r="AU187">
        <v>8</v>
      </c>
      <c r="AV187">
        <v>8</v>
      </c>
      <c r="AW187">
        <v>8</v>
      </c>
      <c r="AX187">
        <v>8</v>
      </c>
      <c r="AY187">
        <v>15</v>
      </c>
      <c r="AZ187">
        <v>18</v>
      </c>
      <c r="BA187">
        <v>24</v>
      </c>
      <c r="BB187">
        <v>262</v>
      </c>
      <c r="BC187">
        <v>262</v>
      </c>
      <c r="BD187">
        <v>320</v>
      </c>
      <c r="BE187">
        <v>337</v>
      </c>
      <c r="BF187">
        <v>401</v>
      </c>
      <c r="BG187">
        <v>439</v>
      </c>
      <c r="BH187">
        <v>439</v>
      </c>
      <c r="BI187">
        <v>452</v>
      </c>
      <c r="BJ187">
        <v>460</v>
      </c>
      <c r="BK187">
        <v>470</v>
      </c>
      <c r="BL187">
        <v>481</v>
      </c>
      <c r="BM187">
        <v>494</v>
      </c>
      <c r="BN187">
        <v>501</v>
      </c>
      <c r="BO187">
        <v>526</v>
      </c>
      <c r="BP187">
        <v>537</v>
      </c>
      <c r="BQ187">
        <v>549</v>
      </c>
      <c r="BR187">
        <v>562</v>
      </c>
      <c r="BS187">
        <v>590</v>
      </c>
      <c r="BT187">
        <v>634</v>
      </c>
      <c r="BU187">
        <v>693</v>
      </c>
      <c r="BV187">
        <v>781</v>
      </c>
      <c r="BW187">
        <v>835</v>
      </c>
      <c r="BX187">
        <v>949</v>
      </c>
      <c r="BY187">
        <v>1075</v>
      </c>
      <c r="BZ187">
        <v>1325</v>
      </c>
      <c r="CA187">
        <v>1604</v>
      </c>
      <c r="CB187">
        <v>1832</v>
      </c>
      <c r="CC187">
        <v>2057</v>
      </c>
      <c r="CD187">
        <v>2210</v>
      </c>
      <c r="CE187">
        <v>2376</v>
      </c>
      <c r="CF187">
        <v>2512</v>
      </c>
      <c r="CG187">
        <v>2728</v>
      </c>
      <c r="CH187">
        <v>2979</v>
      </c>
      <c r="CI187">
        <v>3231</v>
      </c>
      <c r="CJ187">
        <v>3428</v>
      </c>
      <c r="CK187">
        <v>3711</v>
      </c>
      <c r="CL187">
        <v>4103</v>
      </c>
      <c r="CM187">
        <v>4663</v>
      </c>
      <c r="CN187">
        <v>5008</v>
      </c>
      <c r="CO187">
        <v>5448</v>
      </c>
      <c r="CP187">
        <v>6015</v>
      </c>
      <c r="CQ187">
        <v>6533</v>
      </c>
      <c r="CR187">
        <v>7141</v>
      </c>
      <c r="CS187">
        <v>7764</v>
      </c>
      <c r="CT187">
        <v>8525</v>
      </c>
      <c r="CU187">
        <v>9358</v>
      </c>
      <c r="CV187">
        <v>10287</v>
      </c>
      <c r="CW187">
        <v>11244</v>
      </c>
      <c r="CX187">
        <v>11921</v>
      </c>
      <c r="CY187">
        <v>12564</v>
      </c>
      <c r="CZ187">
        <v>13409</v>
      </c>
      <c r="DA187">
        <v>14096</v>
      </c>
      <c r="DB187">
        <v>14872</v>
      </c>
    </row>
    <row r="188" spans="2:106" x14ac:dyDescent="0.25">
      <c r="B188" t="s">
        <v>84</v>
      </c>
      <c r="C188">
        <v>45.943199999999997</v>
      </c>
      <c r="D188">
        <v>24.966799999999999</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1</v>
      </c>
      <c r="AO188">
        <v>1</v>
      </c>
      <c r="AP188">
        <v>3</v>
      </c>
      <c r="AQ188">
        <v>3</v>
      </c>
      <c r="AR188">
        <v>3</v>
      </c>
      <c r="AS188">
        <v>3</v>
      </c>
      <c r="AT188">
        <v>3</v>
      </c>
      <c r="AU188">
        <v>4</v>
      </c>
      <c r="AV188">
        <v>6</v>
      </c>
      <c r="AW188">
        <v>9</v>
      </c>
      <c r="AX188">
        <v>9</v>
      </c>
      <c r="AY188">
        <v>15</v>
      </c>
      <c r="AZ188">
        <v>15</v>
      </c>
      <c r="BA188">
        <v>25</v>
      </c>
      <c r="BB188">
        <v>45</v>
      </c>
      <c r="BC188">
        <v>49</v>
      </c>
      <c r="BD188">
        <v>89</v>
      </c>
      <c r="BE188">
        <v>123</v>
      </c>
      <c r="BF188">
        <v>131</v>
      </c>
      <c r="BG188">
        <v>158</v>
      </c>
      <c r="BH188">
        <v>184</v>
      </c>
      <c r="BI188">
        <v>260</v>
      </c>
      <c r="BJ188">
        <v>277</v>
      </c>
      <c r="BK188">
        <v>308</v>
      </c>
      <c r="BL188">
        <v>367</v>
      </c>
      <c r="BM188">
        <v>433</v>
      </c>
      <c r="BN188">
        <v>576</v>
      </c>
      <c r="BO188">
        <v>794</v>
      </c>
      <c r="BP188">
        <v>906</v>
      </c>
      <c r="BQ188">
        <v>1029</v>
      </c>
      <c r="BR188">
        <v>1292</v>
      </c>
      <c r="BS188">
        <v>1452</v>
      </c>
      <c r="BT188">
        <v>1815</v>
      </c>
      <c r="BU188">
        <v>2109</v>
      </c>
      <c r="BV188">
        <v>2245</v>
      </c>
      <c r="BW188">
        <v>2460</v>
      </c>
      <c r="BX188">
        <v>2738</v>
      </c>
      <c r="BY188">
        <v>3183</v>
      </c>
      <c r="BZ188">
        <v>3613</v>
      </c>
      <c r="CA188">
        <v>3864</v>
      </c>
      <c r="CB188">
        <v>4057</v>
      </c>
      <c r="CC188">
        <v>4417</v>
      </c>
      <c r="CD188">
        <v>4761</v>
      </c>
      <c r="CE188">
        <v>5202</v>
      </c>
      <c r="CF188">
        <v>5467</v>
      </c>
      <c r="CG188">
        <v>5990</v>
      </c>
      <c r="CH188">
        <v>6300</v>
      </c>
      <c r="CI188">
        <v>6633</v>
      </c>
      <c r="CJ188">
        <v>6879</v>
      </c>
      <c r="CK188">
        <v>7216</v>
      </c>
      <c r="CL188">
        <v>7707</v>
      </c>
      <c r="CM188">
        <v>8067</v>
      </c>
      <c r="CN188">
        <v>8418</v>
      </c>
      <c r="CO188">
        <v>8746</v>
      </c>
      <c r="CP188">
        <v>8936</v>
      </c>
      <c r="CQ188">
        <v>9242</v>
      </c>
      <c r="CR188">
        <v>9710</v>
      </c>
      <c r="CS188">
        <v>10096</v>
      </c>
      <c r="CT188">
        <v>10417</v>
      </c>
      <c r="CU188">
        <v>10635</v>
      </c>
      <c r="CV188">
        <v>11036</v>
      </c>
      <c r="CW188">
        <v>11339</v>
      </c>
      <c r="CX188">
        <v>11616</v>
      </c>
      <c r="CY188">
        <v>11978</v>
      </c>
      <c r="CZ188">
        <v>12240</v>
      </c>
      <c r="DA188">
        <v>12567</v>
      </c>
      <c r="DB188">
        <v>12732</v>
      </c>
    </row>
    <row r="189" spans="2:106" x14ac:dyDescent="0.25">
      <c r="B189" t="s">
        <v>59</v>
      </c>
      <c r="C189">
        <v>60</v>
      </c>
      <c r="D189">
        <v>90</v>
      </c>
      <c r="E189">
        <v>0</v>
      </c>
      <c r="F189">
        <v>0</v>
      </c>
      <c r="G189">
        <v>0</v>
      </c>
      <c r="H189">
        <v>0</v>
      </c>
      <c r="I189">
        <v>0</v>
      </c>
      <c r="J189">
        <v>0</v>
      </c>
      <c r="K189">
        <v>0</v>
      </c>
      <c r="L189">
        <v>0</v>
      </c>
      <c r="M189">
        <v>0</v>
      </c>
      <c r="N189">
        <v>2</v>
      </c>
      <c r="O189">
        <v>2</v>
      </c>
      <c r="P189">
        <v>2</v>
      </c>
      <c r="Q189">
        <v>2</v>
      </c>
      <c r="R189">
        <v>2</v>
      </c>
      <c r="S189">
        <v>2</v>
      </c>
      <c r="T189">
        <v>2</v>
      </c>
      <c r="U189">
        <v>2</v>
      </c>
      <c r="V189">
        <v>2</v>
      </c>
      <c r="W189">
        <v>2</v>
      </c>
      <c r="X189">
        <v>2</v>
      </c>
      <c r="Y189">
        <v>2</v>
      </c>
      <c r="Z189">
        <v>2</v>
      </c>
      <c r="AA189">
        <v>2</v>
      </c>
      <c r="AB189">
        <v>2</v>
      </c>
      <c r="AC189">
        <v>2</v>
      </c>
      <c r="AD189">
        <v>2</v>
      </c>
      <c r="AE189">
        <v>2</v>
      </c>
      <c r="AF189">
        <v>2</v>
      </c>
      <c r="AG189">
        <v>2</v>
      </c>
      <c r="AH189">
        <v>2</v>
      </c>
      <c r="AI189">
        <v>2</v>
      </c>
      <c r="AJ189">
        <v>2</v>
      </c>
      <c r="AK189">
        <v>2</v>
      </c>
      <c r="AL189">
        <v>2</v>
      </c>
      <c r="AM189">
        <v>2</v>
      </c>
      <c r="AN189">
        <v>2</v>
      </c>
      <c r="AO189">
        <v>2</v>
      </c>
      <c r="AP189">
        <v>2</v>
      </c>
      <c r="AQ189">
        <v>2</v>
      </c>
      <c r="AR189">
        <v>2</v>
      </c>
      <c r="AS189">
        <v>3</v>
      </c>
      <c r="AT189">
        <v>3</v>
      </c>
      <c r="AU189">
        <v>3</v>
      </c>
      <c r="AV189">
        <v>4</v>
      </c>
      <c r="AW189">
        <v>13</v>
      </c>
      <c r="AX189">
        <v>13</v>
      </c>
      <c r="AY189">
        <v>17</v>
      </c>
      <c r="AZ189">
        <v>17</v>
      </c>
      <c r="BA189">
        <v>20</v>
      </c>
      <c r="BB189">
        <v>20</v>
      </c>
      <c r="BC189">
        <v>28</v>
      </c>
      <c r="BD189">
        <v>45</v>
      </c>
      <c r="BE189">
        <v>59</v>
      </c>
      <c r="BF189">
        <v>63</v>
      </c>
      <c r="BG189">
        <v>90</v>
      </c>
      <c r="BH189">
        <v>114</v>
      </c>
      <c r="BI189">
        <v>147</v>
      </c>
      <c r="BJ189">
        <v>199</v>
      </c>
      <c r="BK189">
        <v>253</v>
      </c>
      <c r="BL189">
        <v>306</v>
      </c>
      <c r="BM189">
        <v>367</v>
      </c>
      <c r="BN189">
        <v>438</v>
      </c>
      <c r="BO189">
        <v>495</v>
      </c>
      <c r="BP189">
        <v>658</v>
      </c>
      <c r="BQ189">
        <v>840</v>
      </c>
      <c r="BR189">
        <v>1036</v>
      </c>
      <c r="BS189">
        <v>1264</v>
      </c>
      <c r="BT189">
        <v>1534</v>
      </c>
      <c r="BU189">
        <v>1836</v>
      </c>
      <c r="BV189">
        <v>2337</v>
      </c>
      <c r="BW189">
        <v>2777</v>
      </c>
      <c r="BX189">
        <v>3548</v>
      </c>
      <c r="BY189">
        <v>4149</v>
      </c>
      <c r="BZ189">
        <v>4731</v>
      </c>
      <c r="CA189">
        <v>5389</v>
      </c>
      <c r="CB189">
        <v>6343</v>
      </c>
      <c r="CC189">
        <v>7497</v>
      </c>
      <c r="CD189">
        <v>8672</v>
      </c>
      <c r="CE189">
        <v>10131</v>
      </c>
      <c r="CF189">
        <v>11917</v>
      </c>
      <c r="CG189">
        <v>13584</v>
      </c>
      <c r="CH189">
        <v>15770</v>
      </c>
      <c r="CI189">
        <v>18328</v>
      </c>
      <c r="CJ189">
        <v>21102</v>
      </c>
      <c r="CK189">
        <v>24490</v>
      </c>
      <c r="CL189">
        <v>27938</v>
      </c>
      <c r="CM189">
        <v>32008</v>
      </c>
      <c r="CN189">
        <v>36793</v>
      </c>
      <c r="CO189">
        <v>42853</v>
      </c>
      <c r="CP189">
        <v>47121</v>
      </c>
      <c r="CQ189">
        <v>52763</v>
      </c>
      <c r="CR189">
        <v>57999</v>
      </c>
      <c r="CS189">
        <v>62773</v>
      </c>
      <c r="CT189">
        <v>68622</v>
      </c>
      <c r="CU189">
        <v>74588</v>
      </c>
      <c r="CV189">
        <v>80949</v>
      </c>
      <c r="CW189">
        <v>87147</v>
      </c>
      <c r="CX189">
        <v>93558</v>
      </c>
      <c r="CY189">
        <v>99399</v>
      </c>
      <c r="CZ189">
        <v>106498</v>
      </c>
      <c r="DA189">
        <v>114431</v>
      </c>
      <c r="DB189">
        <v>124054</v>
      </c>
    </row>
    <row r="190" spans="2:106" x14ac:dyDescent="0.25">
      <c r="B190" t="s">
        <v>367</v>
      </c>
      <c r="C190">
        <v>-1.9402999999999999</v>
      </c>
      <c r="D190">
        <v>29.873899999999999</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1</v>
      </c>
      <c r="BF190">
        <v>1</v>
      </c>
      <c r="BG190">
        <v>5</v>
      </c>
      <c r="BH190">
        <v>7</v>
      </c>
      <c r="BI190">
        <v>8</v>
      </c>
      <c r="BJ190">
        <v>8</v>
      </c>
      <c r="BK190">
        <v>17</v>
      </c>
      <c r="BL190">
        <v>17</v>
      </c>
      <c r="BM190">
        <v>19</v>
      </c>
      <c r="BN190">
        <v>36</v>
      </c>
      <c r="BO190">
        <v>40</v>
      </c>
      <c r="BP190">
        <v>41</v>
      </c>
      <c r="BQ190">
        <v>50</v>
      </c>
      <c r="BR190">
        <v>54</v>
      </c>
      <c r="BS190">
        <v>60</v>
      </c>
      <c r="BT190">
        <v>70</v>
      </c>
      <c r="BU190">
        <v>70</v>
      </c>
      <c r="BV190">
        <v>75</v>
      </c>
      <c r="BW190">
        <v>82</v>
      </c>
      <c r="BX190">
        <v>84</v>
      </c>
      <c r="BY190">
        <v>89</v>
      </c>
      <c r="BZ190">
        <v>102</v>
      </c>
      <c r="CA190">
        <v>104</v>
      </c>
      <c r="CB190">
        <v>105</v>
      </c>
      <c r="CC190">
        <v>105</v>
      </c>
      <c r="CD190">
        <v>110</v>
      </c>
      <c r="CE190">
        <v>110</v>
      </c>
      <c r="CF190">
        <v>118</v>
      </c>
      <c r="CG190">
        <v>120</v>
      </c>
      <c r="CH190">
        <v>126</v>
      </c>
      <c r="CI190">
        <v>127</v>
      </c>
      <c r="CJ190">
        <v>134</v>
      </c>
      <c r="CK190">
        <v>136</v>
      </c>
      <c r="CL190">
        <v>138</v>
      </c>
      <c r="CM190">
        <v>143</v>
      </c>
      <c r="CN190">
        <v>144</v>
      </c>
      <c r="CO190">
        <v>147</v>
      </c>
      <c r="CP190">
        <v>147</v>
      </c>
      <c r="CQ190">
        <v>150</v>
      </c>
      <c r="CR190">
        <v>153</v>
      </c>
      <c r="CS190">
        <v>154</v>
      </c>
      <c r="CT190">
        <v>176</v>
      </c>
      <c r="CU190">
        <v>183</v>
      </c>
      <c r="CV190">
        <v>191</v>
      </c>
      <c r="CW190">
        <v>207</v>
      </c>
      <c r="CX190">
        <v>212</v>
      </c>
      <c r="CY190">
        <v>225</v>
      </c>
      <c r="CZ190">
        <v>243</v>
      </c>
      <c r="DA190">
        <v>249</v>
      </c>
      <c r="DB190">
        <v>255</v>
      </c>
    </row>
    <row r="191" spans="2:106" x14ac:dyDescent="0.25">
      <c r="B191" t="s">
        <v>368</v>
      </c>
      <c r="C191">
        <v>13.9094</v>
      </c>
      <c r="D191">
        <v>-60.978900000000003</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1</v>
      </c>
      <c r="BF191">
        <v>2</v>
      </c>
      <c r="BG191">
        <v>2</v>
      </c>
      <c r="BH191">
        <v>2</v>
      </c>
      <c r="BI191">
        <v>2</v>
      </c>
      <c r="BJ191">
        <v>2</v>
      </c>
      <c r="BK191">
        <v>2</v>
      </c>
      <c r="BL191">
        <v>2</v>
      </c>
      <c r="BM191">
        <v>2</v>
      </c>
      <c r="BN191">
        <v>3</v>
      </c>
      <c r="BO191">
        <v>3</v>
      </c>
      <c r="BP191">
        <v>3</v>
      </c>
      <c r="BQ191">
        <v>3</v>
      </c>
      <c r="BR191">
        <v>3</v>
      </c>
      <c r="BS191">
        <v>3</v>
      </c>
      <c r="BT191">
        <v>9</v>
      </c>
      <c r="BU191">
        <v>9</v>
      </c>
      <c r="BV191">
        <v>13</v>
      </c>
      <c r="BW191">
        <v>13</v>
      </c>
      <c r="BX191">
        <v>13</v>
      </c>
      <c r="BY191">
        <v>13</v>
      </c>
      <c r="BZ191">
        <v>14</v>
      </c>
      <c r="CA191">
        <v>14</v>
      </c>
      <c r="CB191">
        <v>14</v>
      </c>
      <c r="CC191">
        <v>14</v>
      </c>
      <c r="CD191">
        <v>14</v>
      </c>
      <c r="CE191">
        <v>14</v>
      </c>
      <c r="CF191">
        <v>15</v>
      </c>
      <c r="CG191">
        <v>15</v>
      </c>
      <c r="CH191">
        <v>15</v>
      </c>
      <c r="CI191">
        <v>15</v>
      </c>
      <c r="CJ191">
        <v>15</v>
      </c>
      <c r="CK191">
        <v>15</v>
      </c>
      <c r="CL191">
        <v>15</v>
      </c>
      <c r="CM191">
        <v>15</v>
      </c>
      <c r="CN191">
        <v>15</v>
      </c>
      <c r="CO191">
        <v>15</v>
      </c>
      <c r="CP191">
        <v>15</v>
      </c>
      <c r="CQ191">
        <v>15</v>
      </c>
      <c r="CR191">
        <v>15</v>
      </c>
      <c r="CS191">
        <v>15</v>
      </c>
      <c r="CT191">
        <v>15</v>
      </c>
      <c r="CU191">
        <v>15</v>
      </c>
      <c r="CV191">
        <v>15</v>
      </c>
      <c r="CW191">
        <v>15</v>
      </c>
      <c r="CX191">
        <v>15</v>
      </c>
      <c r="CY191">
        <v>17</v>
      </c>
      <c r="CZ191">
        <v>17</v>
      </c>
      <c r="DA191">
        <v>17</v>
      </c>
      <c r="DB191">
        <v>17</v>
      </c>
    </row>
    <row r="192" spans="2:106" x14ac:dyDescent="0.25">
      <c r="B192" t="s">
        <v>369</v>
      </c>
      <c r="C192">
        <v>12.984299999999999</v>
      </c>
      <c r="D192">
        <v>-61.287199999999999</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1</v>
      </c>
      <c r="BF192">
        <v>1</v>
      </c>
      <c r="BG192">
        <v>1</v>
      </c>
      <c r="BH192">
        <v>1</v>
      </c>
      <c r="BI192">
        <v>1</v>
      </c>
      <c r="BJ192">
        <v>1</v>
      </c>
      <c r="BK192">
        <v>1</v>
      </c>
      <c r="BL192">
        <v>1</v>
      </c>
      <c r="BM192">
        <v>1</v>
      </c>
      <c r="BN192">
        <v>1</v>
      </c>
      <c r="BO192">
        <v>1</v>
      </c>
      <c r="BP192">
        <v>1</v>
      </c>
      <c r="BQ192">
        <v>1</v>
      </c>
      <c r="BR192">
        <v>1</v>
      </c>
      <c r="BS192">
        <v>1</v>
      </c>
      <c r="BT192">
        <v>1</v>
      </c>
      <c r="BU192">
        <v>1</v>
      </c>
      <c r="BV192">
        <v>1</v>
      </c>
      <c r="BW192">
        <v>1</v>
      </c>
      <c r="BX192">
        <v>2</v>
      </c>
      <c r="BY192">
        <v>3</v>
      </c>
      <c r="BZ192">
        <v>7</v>
      </c>
      <c r="CA192">
        <v>7</v>
      </c>
      <c r="CB192">
        <v>7</v>
      </c>
      <c r="CC192">
        <v>8</v>
      </c>
      <c r="CD192">
        <v>8</v>
      </c>
      <c r="CE192">
        <v>12</v>
      </c>
      <c r="CF192">
        <v>12</v>
      </c>
      <c r="CG192">
        <v>12</v>
      </c>
      <c r="CH192">
        <v>12</v>
      </c>
      <c r="CI192">
        <v>12</v>
      </c>
      <c r="CJ192">
        <v>12</v>
      </c>
      <c r="CK192">
        <v>12</v>
      </c>
      <c r="CL192">
        <v>12</v>
      </c>
      <c r="CM192">
        <v>12</v>
      </c>
      <c r="CN192">
        <v>12</v>
      </c>
      <c r="CO192">
        <v>12</v>
      </c>
      <c r="CP192">
        <v>12</v>
      </c>
      <c r="CQ192">
        <v>12</v>
      </c>
      <c r="CR192">
        <v>13</v>
      </c>
      <c r="CS192">
        <v>13</v>
      </c>
      <c r="CT192">
        <v>14</v>
      </c>
      <c r="CU192">
        <v>14</v>
      </c>
      <c r="CV192">
        <v>14</v>
      </c>
      <c r="CW192">
        <v>15</v>
      </c>
      <c r="CX192">
        <v>15</v>
      </c>
      <c r="CY192">
        <v>16</v>
      </c>
      <c r="CZ192">
        <v>16</v>
      </c>
      <c r="DA192">
        <v>16</v>
      </c>
      <c r="DB192">
        <v>16</v>
      </c>
    </row>
    <row r="193" spans="2:106" x14ac:dyDescent="0.25">
      <c r="B193" t="s">
        <v>88</v>
      </c>
      <c r="C193">
        <v>43.942399999999999</v>
      </c>
      <c r="D193">
        <v>12.457800000000001</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1</v>
      </c>
      <c r="AP193">
        <v>1</v>
      </c>
      <c r="AQ193">
        <v>1</v>
      </c>
      <c r="AR193">
        <v>1</v>
      </c>
      <c r="AS193">
        <v>8</v>
      </c>
      <c r="AT193">
        <v>10</v>
      </c>
      <c r="AU193">
        <v>16</v>
      </c>
      <c r="AV193">
        <v>21</v>
      </c>
      <c r="AW193">
        <v>21</v>
      </c>
      <c r="AX193">
        <v>23</v>
      </c>
      <c r="AY193">
        <v>36</v>
      </c>
      <c r="AZ193">
        <v>36</v>
      </c>
      <c r="BA193">
        <v>51</v>
      </c>
      <c r="BB193">
        <v>62</v>
      </c>
      <c r="BC193">
        <v>69</v>
      </c>
      <c r="BD193">
        <v>80</v>
      </c>
      <c r="BE193">
        <v>80</v>
      </c>
      <c r="BF193">
        <v>101</v>
      </c>
      <c r="BG193">
        <v>109</v>
      </c>
      <c r="BH193">
        <v>109</v>
      </c>
      <c r="BI193">
        <v>119</v>
      </c>
      <c r="BJ193">
        <v>119</v>
      </c>
      <c r="BK193">
        <v>144</v>
      </c>
      <c r="BL193">
        <v>144</v>
      </c>
      <c r="BM193">
        <v>175</v>
      </c>
      <c r="BN193">
        <v>187</v>
      </c>
      <c r="BO193">
        <v>187</v>
      </c>
      <c r="BP193">
        <v>208</v>
      </c>
      <c r="BQ193">
        <v>208</v>
      </c>
      <c r="BR193">
        <v>223</v>
      </c>
      <c r="BS193">
        <v>224</v>
      </c>
      <c r="BT193">
        <v>224</v>
      </c>
      <c r="BU193">
        <v>230</v>
      </c>
      <c r="BV193">
        <v>236</v>
      </c>
      <c r="BW193">
        <v>236</v>
      </c>
      <c r="BX193">
        <v>245</v>
      </c>
      <c r="BY193">
        <v>245</v>
      </c>
      <c r="BZ193">
        <v>259</v>
      </c>
      <c r="CA193">
        <v>266</v>
      </c>
      <c r="CB193">
        <v>266</v>
      </c>
      <c r="CC193">
        <v>279</v>
      </c>
      <c r="CD193">
        <v>279</v>
      </c>
      <c r="CE193">
        <v>333</v>
      </c>
      <c r="CF193">
        <v>344</v>
      </c>
      <c r="CG193">
        <v>356</v>
      </c>
      <c r="CH193">
        <v>356</v>
      </c>
      <c r="CI193">
        <v>356</v>
      </c>
      <c r="CJ193">
        <v>371</v>
      </c>
      <c r="CK193">
        <v>372</v>
      </c>
      <c r="CL193">
        <v>426</v>
      </c>
      <c r="CM193">
        <v>435</v>
      </c>
      <c r="CN193">
        <v>455</v>
      </c>
      <c r="CO193">
        <v>461</v>
      </c>
      <c r="CP193">
        <v>462</v>
      </c>
      <c r="CQ193">
        <v>476</v>
      </c>
      <c r="CR193">
        <v>488</v>
      </c>
      <c r="CS193">
        <v>501</v>
      </c>
      <c r="CT193">
        <v>513</v>
      </c>
      <c r="CU193">
        <v>513</v>
      </c>
      <c r="CV193">
        <v>538</v>
      </c>
      <c r="CW193">
        <v>538</v>
      </c>
      <c r="CX193">
        <v>553</v>
      </c>
      <c r="CY193">
        <v>563</v>
      </c>
      <c r="CZ193">
        <v>569</v>
      </c>
      <c r="DA193">
        <v>580</v>
      </c>
      <c r="DB193">
        <v>580</v>
      </c>
    </row>
    <row r="194" spans="2:106" x14ac:dyDescent="0.25">
      <c r="B194" t="s">
        <v>109</v>
      </c>
      <c r="C194">
        <v>24</v>
      </c>
      <c r="D194">
        <v>45</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1</v>
      </c>
      <c r="AT194">
        <v>1</v>
      </c>
      <c r="AU194">
        <v>1</v>
      </c>
      <c r="AV194">
        <v>5</v>
      </c>
      <c r="AW194">
        <v>5</v>
      </c>
      <c r="AX194">
        <v>5</v>
      </c>
      <c r="AY194">
        <v>11</v>
      </c>
      <c r="AZ194">
        <v>15</v>
      </c>
      <c r="BA194">
        <v>20</v>
      </c>
      <c r="BB194">
        <v>21</v>
      </c>
      <c r="BC194">
        <v>45</v>
      </c>
      <c r="BD194">
        <v>86</v>
      </c>
      <c r="BE194">
        <v>103</v>
      </c>
      <c r="BF194">
        <v>103</v>
      </c>
      <c r="BG194">
        <v>118</v>
      </c>
      <c r="BH194">
        <v>171</v>
      </c>
      <c r="BI194">
        <v>171</v>
      </c>
      <c r="BJ194">
        <v>274</v>
      </c>
      <c r="BK194">
        <v>344</v>
      </c>
      <c r="BL194">
        <v>392</v>
      </c>
      <c r="BM194">
        <v>511</v>
      </c>
      <c r="BN194">
        <v>562</v>
      </c>
      <c r="BO194">
        <v>767</v>
      </c>
      <c r="BP194">
        <v>900</v>
      </c>
      <c r="BQ194">
        <v>1012</v>
      </c>
      <c r="BR194">
        <v>1104</v>
      </c>
      <c r="BS194">
        <v>1203</v>
      </c>
      <c r="BT194">
        <v>1299</v>
      </c>
      <c r="BU194">
        <v>1453</v>
      </c>
      <c r="BV194">
        <v>1563</v>
      </c>
      <c r="BW194">
        <v>1720</v>
      </c>
      <c r="BX194">
        <v>1885</v>
      </c>
      <c r="BY194">
        <v>2039</v>
      </c>
      <c r="BZ194">
        <v>2179</v>
      </c>
      <c r="CA194">
        <v>2402</v>
      </c>
      <c r="CB194">
        <v>2605</v>
      </c>
      <c r="CC194">
        <v>2795</v>
      </c>
      <c r="CD194">
        <v>2932</v>
      </c>
      <c r="CE194">
        <v>3287</v>
      </c>
      <c r="CF194">
        <v>3651</v>
      </c>
      <c r="CG194">
        <v>4033</v>
      </c>
      <c r="CH194">
        <v>4462</v>
      </c>
      <c r="CI194">
        <v>4934</v>
      </c>
      <c r="CJ194">
        <v>5369</v>
      </c>
      <c r="CK194">
        <v>5862</v>
      </c>
      <c r="CL194">
        <v>6380</v>
      </c>
      <c r="CM194">
        <v>7142</v>
      </c>
      <c r="CN194">
        <v>8274</v>
      </c>
      <c r="CO194">
        <v>9362</v>
      </c>
      <c r="CP194">
        <v>10484</v>
      </c>
      <c r="CQ194">
        <v>11631</v>
      </c>
      <c r="CR194">
        <v>12772</v>
      </c>
      <c r="CS194">
        <v>13930</v>
      </c>
      <c r="CT194">
        <v>15102</v>
      </c>
      <c r="CU194">
        <v>16299</v>
      </c>
      <c r="CV194">
        <v>17522</v>
      </c>
      <c r="CW194">
        <v>18811</v>
      </c>
      <c r="CX194">
        <v>20077</v>
      </c>
      <c r="CY194">
        <v>21402</v>
      </c>
      <c r="CZ194">
        <v>22753</v>
      </c>
      <c r="DA194">
        <v>24097</v>
      </c>
      <c r="DB194">
        <v>25459</v>
      </c>
    </row>
    <row r="195" spans="2:106" x14ac:dyDescent="0.25">
      <c r="B195" t="s">
        <v>110</v>
      </c>
      <c r="C195">
        <v>14.497400000000001</v>
      </c>
      <c r="D195">
        <v>-14.452400000000001</v>
      </c>
      <c r="E195">
        <v>0</v>
      </c>
      <c r="F195">
        <v>0</v>
      </c>
      <c r="G195">
        <v>0</v>
      </c>
      <c r="H195">
        <v>0</v>
      </c>
      <c r="I195">
        <v>0</v>
      </c>
      <c r="J195">
        <v>0</v>
      </c>
      <c r="K195">
        <v>0</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1</v>
      </c>
      <c r="AT195">
        <v>2</v>
      </c>
      <c r="AU195">
        <v>4</v>
      </c>
      <c r="AV195">
        <v>4</v>
      </c>
      <c r="AW195">
        <v>4</v>
      </c>
      <c r="AX195">
        <v>4</v>
      </c>
      <c r="AY195">
        <v>4</v>
      </c>
      <c r="AZ195">
        <v>4</v>
      </c>
      <c r="BA195">
        <v>4</v>
      </c>
      <c r="BB195">
        <v>4</v>
      </c>
      <c r="BC195">
        <v>4</v>
      </c>
      <c r="BD195">
        <v>10</v>
      </c>
      <c r="BE195">
        <v>10</v>
      </c>
      <c r="BF195">
        <v>24</v>
      </c>
      <c r="BG195">
        <v>24</v>
      </c>
      <c r="BH195">
        <v>26</v>
      </c>
      <c r="BI195">
        <v>31</v>
      </c>
      <c r="BJ195">
        <v>31</v>
      </c>
      <c r="BK195">
        <v>38</v>
      </c>
      <c r="BL195">
        <v>47</v>
      </c>
      <c r="BM195">
        <v>67</v>
      </c>
      <c r="BN195">
        <v>79</v>
      </c>
      <c r="BO195">
        <v>86</v>
      </c>
      <c r="BP195">
        <v>99</v>
      </c>
      <c r="BQ195">
        <v>105</v>
      </c>
      <c r="BR195">
        <v>119</v>
      </c>
      <c r="BS195">
        <v>130</v>
      </c>
      <c r="BT195">
        <v>142</v>
      </c>
      <c r="BU195">
        <v>162</v>
      </c>
      <c r="BV195">
        <v>175</v>
      </c>
      <c r="BW195">
        <v>190</v>
      </c>
      <c r="BX195">
        <v>195</v>
      </c>
      <c r="BY195">
        <v>207</v>
      </c>
      <c r="BZ195">
        <v>219</v>
      </c>
      <c r="CA195">
        <v>222</v>
      </c>
      <c r="CB195">
        <v>226</v>
      </c>
      <c r="CC195">
        <v>237</v>
      </c>
      <c r="CD195">
        <v>244</v>
      </c>
      <c r="CE195">
        <v>250</v>
      </c>
      <c r="CF195">
        <v>265</v>
      </c>
      <c r="CG195">
        <v>278</v>
      </c>
      <c r="CH195">
        <v>280</v>
      </c>
      <c r="CI195">
        <v>291</v>
      </c>
      <c r="CJ195">
        <v>299</v>
      </c>
      <c r="CK195">
        <v>314</v>
      </c>
      <c r="CL195">
        <v>335</v>
      </c>
      <c r="CM195">
        <v>342</v>
      </c>
      <c r="CN195">
        <v>350</v>
      </c>
      <c r="CO195">
        <v>367</v>
      </c>
      <c r="CP195">
        <v>377</v>
      </c>
      <c r="CQ195">
        <v>412</v>
      </c>
      <c r="CR195">
        <v>442</v>
      </c>
      <c r="CS195">
        <v>479</v>
      </c>
      <c r="CT195">
        <v>545</v>
      </c>
      <c r="CU195">
        <v>614</v>
      </c>
      <c r="CV195">
        <v>671</v>
      </c>
      <c r="CW195">
        <v>736</v>
      </c>
      <c r="CX195">
        <v>823</v>
      </c>
      <c r="CY195">
        <v>882</v>
      </c>
      <c r="CZ195">
        <v>933</v>
      </c>
      <c r="DA195">
        <v>1024</v>
      </c>
      <c r="DB195">
        <v>1115</v>
      </c>
    </row>
    <row r="196" spans="2:106" x14ac:dyDescent="0.25">
      <c r="B196" t="s">
        <v>130</v>
      </c>
      <c r="C196">
        <v>44.016500000000001</v>
      </c>
      <c r="D196">
        <v>21.0059</v>
      </c>
      <c r="E196">
        <v>0</v>
      </c>
      <c r="F196">
        <v>0</v>
      </c>
      <c r="G196">
        <v>0</v>
      </c>
      <c r="H196">
        <v>0</v>
      </c>
      <c r="I196">
        <v>0</v>
      </c>
      <c r="J196">
        <v>0</v>
      </c>
      <c r="K196">
        <v>0</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1</v>
      </c>
      <c r="AX196">
        <v>1</v>
      </c>
      <c r="AY196">
        <v>1</v>
      </c>
      <c r="AZ196">
        <v>1</v>
      </c>
      <c r="BA196">
        <v>5</v>
      </c>
      <c r="BB196">
        <v>12</v>
      </c>
      <c r="BC196">
        <v>19</v>
      </c>
      <c r="BD196">
        <v>35</v>
      </c>
      <c r="BE196">
        <v>46</v>
      </c>
      <c r="BF196">
        <v>48</v>
      </c>
      <c r="BG196">
        <v>55</v>
      </c>
      <c r="BH196">
        <v>65</v>
      </c>
      <c r="BI196">
        <v>83</v>
      </c>
      <c r="BJ196">
        <v>103</v>
      </c>
      <c r="BK196">
        <v>135</v>
      </c>
      <c r="BL196">
        <v>171</v>
      </c>
      <c r="BM196">
        <v>222</v>
      </c>
      <c r="BN196">
        <v>249</v>
      </c>
      <c r="BO196">
        <v>303</v>
      </c>
      <c r="BP196">
        <v>384</v>
      </c>
      <c r="BQ196">
        <v>384</v>
      </c>
      <c r="BR196">
        <v>457</v>
      </c>
      <c r="BS196">
        <v>659</v>
      </c>
      <c r="BT196">
        <v>741</v>
      </c>
      <c r="BU196">
        <v>785</v>
      </c>
      <c r="BV196">
        <v>900</v>
      </c>
      <c r="BW196">
        <v>1060</v>
      </c>
      <c r="BX196">
        <v>1171</v>
      </c>
      <c r="BY196">
        <v>1476</v>
      </c>
      <c r="BZ196">
        <v>1624</v>
      </c>
      <c r="CA196">
        <v>1908</v>
      </c>
      <c r="CB196">
        <v>2200</v>
      </c>
      <c r="CC196">
        <v>2447</v>
      </c>
      <c r="CD196">
        <v>2666</v>
      </c>
      <c r="CE196">
        <v>2867</v>
      </c>
      <c r="CF196">
        <v>3105</v>
      </c>
      <c r="CG196">
        <v>3380</v>
      </c>
      <c r="CH196">
        <v>3630</v>
      </c>
      <c r="CI196">
        <v>4054</v>
      </c>
      <c r="CJ196">
        <v>4465</v>
      </c>
      <c r="CK196">
        <v>4873</v>
      </c>
      <c r="CL196">
        <v>5318</v>
      </c>
      <c r="CM196">
        <v>5690</v>
      </c>
      <c r="CN196">
        <v>5994</v>
      </c>
      <c r="CO196">
        <v>6318</v>
      </c>
      <c r="CP196">
        <v>6630</v>
      </c>
      <c r="CQ196">
        <v>6890</v>
      </c>
      <c r="CR196">
        <v>7144</v>
      </c>
      <c r="CS196">
        <v>7276</v>
      </c>
      <c r="CT196">
        <v>7483</v>
      </c>
      <c r="CU196">
        <v>7779</v>
      </c>
      <c r="CV196">
        <v>8042</v>
      </c>
      <c r="CW196">
        <v>8275</v>
      </c>
      <c r="CX196">
        <v>8497</v>
      </c>
      <c r="CY196">
        <v>8724</v>
      </c>
      <c r="CZ196">
        <v>9009</v>
      </c>
      <c r="DA196">
        <v>9009</v>
      </c>
      <c r="DB196">
        <v>9362</v>
      </c>
    </row>
    <row r="197" spans="2:106" x14ac:dyDescent="0.25">
      <c r="B197" t="s">
        <v>359</v>
      </c>
      <c r="C197">
        <v>-4.6795999999999998</v>
      </c>
      <c r="D197">
        <v>55.491999999999997</v>
      </c>
      <c r="E197">
        <v>0</v>
      </c>
      <c r="F197">
        <v>0</v>
      </c>
      <c r="G197">
        <v>0</v>
      </c>
      <c r="H197">
        <v>0</v>
      </c>
      <c r="I197">
        <v>0</v>
      </c>
      <c r="J197">
        <v>0</v>
      </c>
      <c r="K197">
        <v>0</v>
      </c>
      <c r="L197">
        <v>0</v>
      </c>
      <c r="M197">
        <v>0</v>
      </c>
      <c r="N19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2</v>
      </c>
      <c r="BF197">
        <v>2</v>
      </c>
      <c r="BG197">
        <v>3</v>
      </c>
      <c r="BH197">
        <v>4</v>
      </c>
      <c r="BI197">
        <v>4</v>
      </c>
      <c r="BJ197">
        <v>6</v>
      </c>
      <c r="BK197">
        <v>7</v>
      </c>
      <c r="BL197">
        <v>7</v>
      </c>
      <c r="BM197">
        <v>7</v>
      </c>
      <c r="BN197">
        <v>7</v>
      </c>
      <c r="BO197">
        <v>7</v>
      </c>
      <c r="BP197">
        <v>7</v>
      </c>
      <c r="BQ197">
        <v>7</v>
      </c>
      <c r="BR197">
        <v>7</v>
      </c>
      <c r="BS197">
        <v>8</v>
      </c>
      <c r="BT197">
        <v>8</v>
      </c>
      <c r="BU197">
        <v>8</v>
      </c>
      <c r="BV197">
        <v>10</v>
      </c>
      <c r="BW197">
        <v>10</v>
      </c>
      <c r="BX197">
        <v>10</v>
      </c>
      <c r="BY197">
        <v>10</v>
      </c>
      <c r="BZ197">
        <v>10</v>
      </c>
      <c r="CA197">
        <v>10</v>
      </c>
      <c r="CB197">
        <v>11</v>
      </c>
      <c r="CC197">
        <v>11</v>
      </c>
      <c r="CD197">
        <v>11</v>
      </c>
      <c r="CE197">
        <v>11</v>
      </c>
      <c r="CF197">
        <v>11</v>
      </c>
      <c r="CG197">
        <v>11</v>
      </c>
      <c r="CH197">
        <v>11</v>
      </c>
      <c r="CI197">
        <v>11</v>
      </c>
      <c r="CJ197">
        <v>11</v>
      </c>
      <c r="CK197">
        <v>11</v>
      </c>
      <c r="CL197">
        <v>11</v>
      </c>
      <c r="CM197">
        <v>11</v>
      </c>
      <c r="CN197">
        <v>11</v>
      </c>
      <c r="CO197">
        <v>11</v>
      </c>
      <c r="CP197">
        <v>11</v>
      </c>
      <c r="CQ197">
        <v>11</v>
      </c>
      <c r="CR197">
        <v>11</v>
      </c>
      <c r="CS197">
        <v>11</v>
      </c>
      <c r="CT197">
        <v>11</v>
      </c>
      <c r="CU197">
        <v>11</v>
      </c>
      <c r="CV197">
        <v>11</v>
      </c>
      <c r="CW197">
        <v>11</v>
      </c>
      <c r="CX197">
        <v>11</v>
      </c>
      <c r="CY197">
        <v>11</v>
      </c>
      <c r="CZ197">
        <v>11</v>
      </c>
      <c r="DA197">
        <v>11</v>
      </c>
      <c r="DB197">
        <v>11</v>
      </c>
    </row>
    <row r="198" spans="2:106" x14ac:dyDescent="0.25">
      <c r="B198" t="s">
        <v>40</v>
      </c>
      <c r="C198">
        <v>1.2833000000000001</v>
      </c>
      <c r="D198">
        <v>103.83329999999999</v>
      </c>
      <c r="E198">
        <v>0</v>
      </c>
      <c r="F198">
        <v>1</v>
      </c>
      <c r="G198">
        <v>3</v>
      </c>
      <c r="H198">
        <v>3</v>
      </c>
      <c r="I198">
        <v>4</v>
      </c>
      <c r="J198">
        <v>5</v>
      </c>
      <c r="K198">
        <v>7</v>
      </c>
      <c r="L198">
        <v>7</v>
      </c>
      <c r="M198">
        <v>10</v>
      </c>
      <c r="N198">
        <v>13</v>
      </c>
      <c r="O198">
        <v>16</v>
      </c>
      <c r="P198">
        <v>18</v>
      </c>
      <c r="Q198">
        <v>18</v>
      </c>
      <c r="R198">
        <v>24</v>
      </c>
      <c r="S198">
        <v>28</v>
      </c>
      <c r="T198">
        <v>28</v>
      </c>
      <c r="U198">
        <v>30</v>
      </c>
      <c r="V198">
        <v>33</v>
      </c>
      <c r="W198">
        <v>40</v>
      </c>
      <c r="X198">
        <v>45</v>
      </c>
      <c r="Y198">
        <v>47</v>
      </c>
      <c r="Z198">
        <v>50</v>
      </c>
      <c r="AA198">
        <v>58</v>
      </c>
      <c r="AB198">
        <v>67</v>
      </c>
      <c r="AC198">
        <v>72</v>
      </c>
      <c r="AD198">
        <v>75</v>
      </c>
      <c r="AE198">
        <v>77</v>
      </c>
      <c r="AF198">
        <v>81</v>
      </c>
      <c r="AG198">
        <v>84</v>
      </c>
      <c r="AH198">
        <v>84</v>
      </c>
      <c r="AI198">
        <v>85</v>
      </c>
      <c r="AJ198">
        <v>85</v>
      </c>
      <c r="AK198">
        <v>89</v>
      </c>
      <c r="AL198">
        <v>89</v>
      </c>
      <c r="AM198">
        <v>91</v>
      </c>
      <c r="AN198">
        <v>93</v>
      </c>
      <c r="AO198">
        <v>93</v>
      </c>
      <c r="AP198">
        <v>93</v>
      </c>
      <c r="AQ198">
        <v>102</v>
      </c>
      <c r="AR198">
        <v>106</v>
      </c>
      <c r="AS198">
        <v>108</v>
      </c>
      <c r="AT198">
        <v>110</v>
      </c>
      <c r="AU198">
        <v>110</v>
      </c>
      <c r="AV198">
        <v>117</v>
      </c>
      <c r="AW198">
        <v>130</v>
      </c>
      <c r="AX198">
        <v>138</v>
      </c>
      <c r="AY198">
        <v>150</v>
      </c>
      <c r="AZ198">
        <v>150</v>
      </c>
      <c r="BA198">
        <v>160</v>
      </c>
      <c r="BB198">
        <v>178</v>
      </c>
      <c r="BC198">
        <v>178</v>
      </c>
      <c r="BD198">
        <v>200</v>
      </c>
      <c r="BE198">
        <v>212</v>
      </c>
      <c r="BF198">
        <v>226</v>
      </c>
      <c r="BG198">
        <v>243</v>
      </c>
      <c r="BH198">
        <v>266</v>
      </c>
      <c r="BI198">
        <v>313</v>
      </c>
      <c r="BJ198">
        <v>345</v>
      </c>
      <c r="BK198">
        <v>385</v>
      </c>
      <c r="BL198">
        <v>432</v>
      </c>
      <c r="BM198">
        <v>455</v>
      </c>
      <c r="BN198">
        <v>509</v>
      </c>
      <c r="BO198">
        <v>558</v>
      </c>
      <c r="BP198">
        <v>631</v>
      </c>
      <c r="BQ198">
        <v>683</v>
      </c>
      <c r="BR198">
        <v>732</v>
      </c>
      <c r="BS198">
        <v>802</v>
      </c>
      <c r="BT198">
        <v>844</v>
      </c>
      <c r="BU198">
        <v>879</v>
      </c>
      <c r="BV198">
        <v>926</v>
      </c>
      <c r="BW198">
        <v>1000</v>
      </c>
      <c r="BX198">
        <v>1049</v>
      </c>
      <c r="BY198">
        <v>1114</v>
      </c>
      <c r="BZ198">
        <v>1189</v>
      </c>
      <c r="CA198">
        <v>1309</v>
      </c>
      <c r="CB198">
        <v>1375</v>
      </c>
      <c r="CC198">
        <v>1481</v>
      </c>
      <c r="CD198">
        <v>1623</v>
      </c>
      <c r="CE198">
        <v>1910</v>
      </c>
      <c r="CF198">
        <v>2108</v>
      </c>
      <c r="CG198">
        <v>2299</v>
      </c>
      <c r="CH198">
        <v>2532</v>
      </c>
      <c r="CI198">
        <v>2918</v>
      </c>
      <c r="CJ198">
        <v>3252</v>
      </c>
      <c r="CK198">
        <v>3699</v>
      </c>
      <c r="CL198">
        <v>4427</v>
      </c>
      <c r="CM198">
        <v>5050</v>
      </c>
      <c r="CN198">
        <v>5992</v>
      </c>
      <c r="CO198">
        <v>6588</v>
      </c>
      <c r="CP198">
        <v>8014</v>
      </c>
      <c r="CQ198">
        <v>9125</v>
      </c>
      <c r="CR198">
        <v>10141</v>
      </c>
      <c r="CS198">
        <v>11178</v>
      </c>
      <c r="CT198">
        <v>12075</v>
      </c>
      <c r="CU198">
        <v>12693</v>
      </c>
      <c r="CV198">
        <v>13624</v>
      </c>
      <c r="CW198">
        <v>14423</v>
      </c>
      <c r="CX198">
        <v>14951</v>
      </c>
      <c r="CY198">
        <v>15641</v>
      </c>
      <c r="CZ198">
        <v>16169</v>
      </c>
      <c r="DA198">
        <v>17101</v>
      </c>
      <c r="DB198">
        <v>17548</v>
      </c>
    </row>
    <row r="199" spans="2:106" x14ac:dyDescent="0.25">
      <c r="B199" t="s">
        <v>131</v>
      </c>
      <c r="C199">
        <v>48.668999999999997</v>
      </c>
      <c r="D199">
        <v>19.699000000000002</v>
      </c>
      <c r="E199">
        <v>0</v>
      </c>
      <c r="F199">
        <v>0</v>
      </c>
      <c r="G199">
        <v>0</v>
      </c>
      <c r="H199">
        <v>0</v>
      </c>
      <c r="I199">
        <v>0</v>
      </c>
      <c r="J199">
        <v>0</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1</v>
      </c>
      <c r="AX199">
        <v>1</v>
      </c>
      <c r="AY199">
        <v>3</v>
      </c>
      <c r="AZ199">
        <v>3</v>
      </c>
      <c r="BA199">
        <v>7</v>
      </c>
      <c r="BB199">
        <v>10</v>
      </c>
      <c r="BC199">
        <v>16</v>
      </c>
      <c r="BD199">
        <v>32</v>
      </c>
      <c r="BE199">
        <v>44</v>
      </c>
      <c r="BF199">
        <v>54</v>
      </c>
      <c r="BG199">
        <v>63</v>
      </c>
      <c r="BH199">
        <v>72</v>
      </c>
      <c r="BI199">
        <v>105</v>
      </c>
      <c r="BJ199">
        <v>123</v>
      </c>
      <c r="BK199">
        <v>137</v>
      </c>
      <c r="BL199">
        <v>178</v>
      </c>
      <c r="BM199">
        <v>185</v>
      </c>
      <c r="BN199">
        <v>186</v>
      </c>
      <c r="BO199">
        <v>204</v>
      </c>
      <c r="BP199">
        <v>216</v>
      </c>
      <c r="BQ199">
        <v>226</v>
      </c>
      <c r="BR199">
        <v>269</v>
      </c>
      <c r="BS199">
        <v>292</v>
      </c>
      <c r="BT199">
        <v>314</v>
      </c>
      <c r="BU199">
        <v>336</v>
      </c>
      <c r="BV199">
        <v>363</v>
      </c>
      <c r="BW199">
        <v>400</v>
      </c>
      <c r="BX199">
        <v>426</v>
      </c>
      <c r="BY199">
        <v>450</v>
      </c>
      <c r="BZ199">
        <v>471</v>
      </c>
      <c r="CA199">
        <v>485</v>
      </c>
      <c r="CB199">
        <v>534</v>
      </c>
      <c r="CC199">
        <v>581</v>
      </c>
      <c r="CD199">
        <v>682</v>
      </c>
      <c r="CE199">
        <v>701</v>
      </c>
      <c r="CF199">
        <v>715</v>
      </c>
      <c r="CG199">
        <v>728</v>
      </c>
      <c r="CH199">
        <v>742</v>
      </c>
      <c r="CI199">
        <v>769</v>
      </c>
      <c r="CJ199">
        <v>835</v>
      </c>
      <c r="CK199">
        <v>863</v>
      </c>
      <c r="CL199">
        <v>977</v>
      </c>
      <c r="CM199">
        <v>1049</v>
      </c>
      <c r="CN199">
        <v>1089</v>
      </c>
      <c r="CO199">
        <v>1161</v>
      </c>
      <c r="CP199">
        <v>1173</v>
      </c>
      <c r="CQ199">
        <v>1199</v>
      </c>
      <c r="CR199">
        <v>1244</v>
      </c>
      <c r="CS199">
        <v>1325</v>
      </c>
      <c r="CT199">
        <v>1360</v>
      </c>
      <c r="CU199">
        <v>1373</v>
      </c>
      <c r="CV199">
        <v>1379</v>
      </c>
      <c r="CW199">
        <v>1381</v>
      </c>
      <c r="CX199">
        <v>1384</v>
      </c>
      <c r="CY199">
        <v>1391</v>
      </c>
      <c r="CZ199">
        <v>1396</v>
      </c>
      <c r="DA199">
        <v>1403</v>
      </c>
      <c r="DB199">
        <v>1407</v>
      </c>
    </row>
    <row r="200" spans="2:106" x14ac:dyDescent="0.25">
      <c r="B200" t="s">
        <v>123</v>
      </c>
      <c r="C200">
        <v>46.151200000000003</v>
      </c>
      <c r="D200">
        <v>14.9955</v>
      </c>
      <c r="E200">
        <v>0</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2</v>
      </c>
      <c r="AW200">
        <v>7</v>
      </c>
      <c r="AX200">
        <v>7</v>
      </c>
      <c r="AY200">
        <v>16</v>
      </c>
      <c r="AZ200">
        <v>16</v>
      </c>
      <c r="BA200">
        <v>31</v>
      </c>
      <c r="BB200">
        <v>57</v>
      </c>
      <c r="BC200">
        <v>89</v>
      </c>
      <c r="BD200">
        <v>141</v>
      </c>
      <c r="BE200">
        <v>181</v>
      </c>
      <c r="BF200">
        <v>219</v>
      </c>
      <c r="BG200">
        <v>253</v>
      </c>
      <c r="BH200">
        <v>275</v>
      </c>
      <c r="BI200">
        <v>275</v>
      </c>
      <c r="BJ200">
        <v>286</v>
      </c>
      <c r="BK200">
        <v>341</v>
      </c>
      <c r="BL200">
        <v>383</v>
      </c>
      <c r="BM200">
        <v>414</v>
      </c>
      <c r="BN200">
        <v>442</v>
      </c>
      <c r="BO200">
        <v>480</v>
      </c>
      <c r="BP200">
        <v>528</v>
      </c>
      <c r="BQ200">
        <v>562</v>
      </c>
      <c r="BR200">
        <v>632</v>
      </c>
      <c r="BS200">
        <v>684</v>
      </c>
      <c r="BT200">
        <v>730</v>
      </c>
      <c r="BU200">
        <v>756</v>
      </c>
      <c r="BV200">
        <v>802</v>
      </c>
      <c r="BW200">
        <v>841</v>
      </c>
      <c r="BX200">
        <v>897</v>
      </c>
      <c r="BY200">
        <v>934</v>
      </c>
      <c r="BZ200">
        <v>977</v>
      </c>
      <c r="CA200">
        <v>997</v>
      </c>
      <c r="CB200">
        <v>1021</v>
      </c>
      <c r="CC200">
        <v>1059</v>
      </c>
      <c r="CD200">
        <v>1091</v>
      </c>
      <c r="CE200">
        <v>1124</v>
      </c>
      <c r="CF200">
        <v>1160</v>
      </c>
      <c r="CG200">
        <v>1188</v>
      </c>
      <c r="CH200">
        <v>1205</v>
      </c>
      <c r="CI200">
        <v>1212</v>
      </c>
      <c r="CJ200">
        <v>1220</v>
      </c>
      <c r="CK200">
        <v>1248</v>
      </c>
      <c r="CL200">
        <v>1268</v>
      </c>
      <c r="CM200">
        <v>1304</v>
      </c>
      <c r="CN200">
        <v>1317</v>
      </c>
      <c r="CO200">
        <v>1330</v>
      </c>
      <c r="CP200">
        <v>1335</v>
      </c>
      <c r="CQ200">
        <v>1344</v>
      </c>
      <c r="CR200">
        <v>1353</v>
      </c>
      <c r="CS200">
        <v>1366</v>
      </c>
      <c r="CT200">
        <v>1373</v>
      </c>
      <c r="CU200">
        <v>1388</v>
      </c>
      <c r="CV200">
        <v>1396</v>
      </c>
      <c r="CW200">
        <v>1402</v>
      </c>
      <c r="CX200">
        <v>1408</v>
      </c>
      <c r="CY200">
        <v>1418</v>
      </c>
      <c r="CZ200">
        <v>1429</v>
      </c>
      <c r="DA200">
        <v>1434</v>
      </c>
      <c r="DB200">
        <v>1439</v>
      </c>
    </row>
    <row r="201" spans="2:106" x14ac:dyDescent="0.25">
      <c r="B201" t="s">
        <v>664</v>
      </c>
      <c r="C201">
        <v>5.1520999999999999</v>
      </c>
      <c r="D201">
        <v>46.199599999999997</v>
      </c>
      <c r="E201">
        <v>0</v>
      </c>
      <c r="F201">
        <v>0</v>
      </c>
      <c r="G201">
        <v>0</v>
      </c>
      <c r="H201">
        <v>0</v>
      </c>
      <c r="I201">
        <v>0</v>
      </c>
      <c r="J201">
        <v>0</v>
      </c>
      <c r="K201">
        <v>0</v>
      </c>
      <c r="L201">
        <v>0</v>
      </c>
      <c r="M201">
        <v>0</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1</v>
      </c>
      <c r="BH201">
        <v>1</v>
      </c>
      <c r="BI201">
        <v>1</v>
      </c>
      <c r="BJ201">
        <v>1</v>
      </c>
      <c r="BK201">
        <v>1</v>
      </c>
      <c r="BL201">
        <v>1</v>
      </c>
      <c r="BM201">
        <v>1</v>
      </c>
      <c r="BN201">
        <v>1</v>
      </c>
      <c r="BO201">
        <v>1</v>
      </c>
      <c r="BP201">
        <v>1</v>
      </c>
      <c r="BQ201">
        <v>2</v>
      </c>
      <c r="BR201">
        <v>3</v>
      </c>
      <c r="BS201">
        <v>3</v>
      </c>
      <c r="BT201">
        <v>3</v>
      </c>
      <c r="BU201">
        <v>3</v>
      </c>
      <c r="BV201">
        <v>5</v>
      </c>
      <c r="BW201">
        <v>5</v>
      </c>
      <c r="BX201">
        <v>5</v>
      </c>
      <c r="BY201">
        <v>7</v>
      </c>
      <c r="BZ201">
        <v>7</v>
      </c>
      <c r="CA201">
        <v>7</v>
      </c>
      <c r="CB201">
        <v>7</v>
      </c>
      <c r="CC201">
        <v>8</v>
      </c>
      <c r="CD201">
        <v>12</v>
      </c>
      <c r="CE201">
        <v>12</v>
      </c>
      <c r="CF201">
        <v>21</v>
      </c>
      <c r="CG201">
        <v>21</v>
      </c>
      <c r="CH201">
        <v>25</v>
      </c>
      <c r="CI201">
        <v>60</v>
      </c>
      <c r="CJ201">
        <v>60</v>
      </c>
      <c r="CK201">
        <v>80</v>
      </c>
      <c r="CL201">
        <v>80</v>
      </c>
      <c r="CM201">
        <v>116</v>
      </c>
      <c r="CN201">
        <v>135</v>
      </c>
      <c r="CO201">
        <v>164</v>
      </c>
      <c r="CP201">
        <v>237</v>
      </c>
      <c r="CQ201">
        <v>286</v>
      </c>
      <c r="CR201">
        <v>286</v>
      </c>
      <c r="CS201">
        <v>328</v>
      </c>
      <c r="CT201">
        <v>328</v>
      </c>
      <c r="CU201">
        <v>390</v>
      </c>
      <c r="CV201">
        <v>436</v>
      </c>
      <c r="CW201">
        <v>480</v>
      </c>
      <c r="CX201">
        <v>528</v>
      </c>
      <c r="CY201">
        <v>582</v>
      </c>
      <c r="CZ201">
        <v>601</v>
      </c>
      <c r="DA201">
        <v>601</v>
      </c>
      <c r="DB201">
        <v>671</v>
      </c>
    </row>
    <row r="202" spans="2:106" x14ac:dyDescent="0.25">
      <c r="B202" t="s">
        <v>124</v>
      </c>
      <c r="C202">
        <v>-30.5595</v>
      </c>
      <c r="D202">
        <v>22.9375</v>
      </c>
      <c r="E202">
        <v>0</v>
      </c>
      <c r="F202">
        <v>0</v>
      </c>
      <c r="G202">
        <v>0</v>
      </c>
      <c r="H202">
        <v>0</v>
      </c>
      <c r="I202">
        <v>0</v>
      </c>
      <c r="J202">
        <v>0</v>
      </c>
      <c r="K202">
        <v>0</v>
      </c>
      <c r="L202">
        <v>0</v>
      </c>
      <c r="M202">
        <v>0</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1</v>
      </c>
      <c r="AW202">
        <v>1</v>
      </c>
      <c r="AX202">
        <v>1</v>
      </c>
      <c r="AY202">
        <v>3</v>
      </c>
      <c r="AZ202">
        <v>3</v>
      </c>
      <c r="BA202">
        <v>7</v>
      </c>
      <c r="BB202">
        <v>13</v>
      </c>
      <c r="BC202">
        <v>17</v>
      </c>
      <c r="BD202">
        <v>24</v>
      </c>
      <c r="BE202">
        <v>38</v>
      </c>
      <c r="BF202">
        <v>51</v>
      </c>
      <c r="BG202">
        <v>62</v>
      </c>
      <c r="BH202">
        <v>62</v>
      </c>
      <c r="BI202">
        <v>116</v>
      </c>
      <c r="BJ202">
        <v>150</v>
      </c>
      <c r="BK202">
        <v>202</v>
      </c>
      <c r="BL202">
        <v>240</v>
      </c>
      <c r="BM202">
        <v>274</v>
      </c>
      <c r="BN202">
        <v>402</v>
      </c>
      <c r="BO202">
        <v>554</v>
      </c>
      <c r="BP202">
        <v>709</v>
      </c>
      <c r="BQ202">
        <v>927</v>
      </c>
      <c r="BR202">
        <v>1170</v>
      </c>
      <c r="BS202">
        <v>1187</v>
      </c>
      <c r="BT202">
        <v>1280</v>
      </c>
      <c r="BU202">
        <v>1326</v>
      </c>
      <c r="BV202">
        <v>1353</v>
      </c>
      <c r="BW202">
        <v>1380</v>
      </c>
      <c r="BX202">
        <v>1462</v>
      </c>
      <c r="BY202">
        <v>1505</v>
      </c>
      <c r="BZ202">
        <v>1585</v>
      </c>
      <c r="CA202">
        <v>1655</v>
      </c>
      <c r="CB202">
        <v>1686</v>
      </c>
      <c r="CC202">
        <v>1749</v>
      </c>
      <c r="CD202">
        <v>1845</v>
      </c>
      <c r="CE202">
        <v>1934</v>
      </c>
      <c r="CF202">
        <v>2003</v>
      </c>
      <c r="CG202">
        <v>2028</v>
      </c>
      <c r="CH202">
        <v>2173</v>
      </c>
      <c r="CI202">
        <v>2272</v>
      </c>
      <c r="CJ202">
        <v>2415</v>
      </c>
      <c r="CK202">
        <v>2506</v>
      </c>
      <c r="CL202">
        <v>2605</v>
      </c>
      <c r="CM202">
        <v>2783</v>
      </c>
      <c r="CN202">
        <v>3034</v>
      </c>
      <c r="CO202">
        <v>3158</v>
      </c>
      <c r="CP202">
        <v>3300</v>
      </c>
      <c r="CQ202">
        <v>3465</v>
      </c>
      <c r="CR202">
        <v>3635</v>
      </c>
      <c r="CS202">
        <v>3953</v>
      </c>
      <c r="CT202">
        <v>4220</v>
      </c>
      <c r="CU202">
        <v>4361</v>
      </c>
      <c r="CV202">
        <v>4546</v>
      </c>
      <c r="CW202">
        <v>4793</v>
      </c>
      <c r="CX202">
        <v>4996</v>
      </c>
      <c r="CY202">
        <v>5350</v>
      </c>
      <c r="CZ202">
        <v>5647</v>
      </c>
      <c r="DA202">
        <v>5951</v>
      </c>
      <c r="DB202">
        <v>6336</v>
      </c>
    </row>
    <row r="203" spans="2:106" x14ac:dyDescent="0.25">
      <c r="B203" t="s">
        <v>61</v>
      </c>
      <c r="C203">
        <v>40</v>
      </c>
      <c r="D203">
        <v>-4</v>
      </c>
      <c r="E203">
        <v>0</v>
      </c>
      <c r="F203">
        <v>0</v>
      </c>
      <c r="G203">
        <v>0</v>
      </c>
      <c r="H203">
        <v>0</v>
      </c>
      <c r="I203">
        <v>0</v>
      </c>
      <c r="J203">
        <v>0</v>
      </c>
      <c r="K203">
        <v>0</v>
      </c>
      <c r="L203">
        <v>0</v>
      </c>
      <c r="M203">
        <v>0</v>
      </c>
      <c r="N203">
        <v>0</v>
      </c>
      <c r="O203">
        <v>1</v>
      </c>
      <c r="P203">
        <v>1</v>
      </c>
      <c r="Q203">
        <v>1</v>
      </c>
      <c r="R203">
        <v>1</v>
      </c>
      <c r="S203">
        <v>1</v>
      </c>
      <c r="T203">
        <v>1</v>
      </c>
      <c r="U203">
        <v>1</v>
      </c>
      <c r="V203">
        <v>1</v>
      </c>
      <c r="W203">
        <v>2</v>
      </c>
      <c r="X203">
        <v>2</v>
      </c>
      <c r="Y203">
        <v>2</v>
      </c>
      <c r="Z203">
        <v>2</v>
      </c>
      <c r="AA203">
        <v>2</v>
      </c>
      <c r="AB203">
        <v>2</v>
      </c>
      <c r="AC203">
        <v>2</v>
      </c>
      <c r="AD203">
        <v>2</v>
      </c>
      <c r="AE203">
        <v>2</v>
      </c>
      <c r="AF203">
        <v>2</v>
      </c>
      <c r="AG203">
        <v>2</v>
      </c>
      <c r="AH203">
        <v>2</v>
      </c>
      <c r="AI203">
        <v>2</v>
      </c>
      <c r="AJ203">
        <v>2</v>
      </c>
      <c r="AK203">
        <v>2</v>
      </c>
      <c r="AL203">
        <v>2</v>
      </c>
      <c r="AM203">
        <v>6</v>
      </c>
      <c r="AN203">
        <v>13</v>
      </c>
      <c r="AO203">
        <v>15</v>
      </c>
      <c r="AP203">
        <v>32</v>
      </c>
      <c r="AQ203">
        <v>45</v>
      </c>
      <c r="AR203">
        <v>84</v>
      </c>
      <c r="AS203">
        <v>120</v>
      </c>
      <c r="AT203">
        <v>165</v>
      </c>
      <c r="AU203">
        <v>222</v>
      </c>
      <c r="AV203">
        <v>259</v>
      </c>
      <c r="AW203">
        <v>400</v>
      </c>
      <c r="AX203">
        <v>500</v>
      </c>
      <c r="AY203">
        <v>673</v>
      </c>
      <c r="AZ203">
        <v>1073</v>
      </c>
      <c r="BA203">
        <v>1695</v>
      </c>
      <c r="BB203">
        <v>2277</v>
      </c>
      <c r="BC203">
        <v>2277</v>
      </c>
      <c r="BD203">
        <v>5232</v>
      </c>
      <c r="BE203">
        <v>6391</v>
      </c>
      <c r="BF203">
        <v>7798</v>
      </c>
      <c r="BG203">
        <v>9942</v>
      </c>
      <c r="BH203">
        <v>11748</v>
      </c>
      <c r="BI203">
        <v>13910</v>
      </c>
      <c r="BJ203">
        <v>17963</v>
      </c>
      <c r="BK203">
        <v>20410</v>
      </c>
      <c r="BL203">
        <v>25374</v>
      </c>
      <c r="BM203">
        <v>28768</v>
      </c>
      <c r="BN203">
        <v>35136</v>
      </c>
      <c r="BO203">
        <v>39885</v>
      </c>
      <c r="BP203">
        <v>49515</v>
      </c>
      <c r="BQ203">
        <v>57786</v>
      </c>
      <c r="BR203">
        <v>65719</v>
      </c>
      <c r="BS203">
        <v>73235</v>
      </c>
      <c r="BT203">
        <v>80110</v>
      </c>
      <c r="BU203">
        <v>87956</v>
      </c>
      <c r="BV203">
        <v>95923</v>
      </c>
      <c r="BW203">
        <v>104118</v>
      </c>
      <c r="BX203">
        <v>112065</v>
      </c>
      <c r="BY203">
        <v>119199</v>
      </c>
      <c r="BZ203">
        <v>126168</v>
      </c>
      <c r="CA203">
        <v>131646</v>
      </c>
      <c r="CB203">
        <v>136675</v>
      </c>
      <c r="CC203">
        <v>141942</v>
      </c>
      <c r="CD203">
        <v>148220</v>
      </c>
      <c r="CE203">
        <v>153222</v>
      </c>
      <c r="CF203">
        <v>158273</v>
      </c>
      <c r="CG203">
        <v>163027</v>
      </c>
      <c r="CH203">
        <v>166831</v>
      </c>
      <c r="CI203">
        <v>170099</v>
      </c>
      <c r="CJ203">
        <v>172541</v>
      </c>
      <c r="CK203">
        <v>177644</v>
      </c>
      <c r="CL203">
        <v>184948</v>
      </c>
      <c r="CM203">
        <v>190839</v>
      </c>
      <c r="CN203">
        <v>191726</v>
      </c>
      <c r="CO203">
        <v>198674</v>
      </c>
      <c r="CP203">
        <v>200210</v>
      </c>
      <c r="CQ203">
        <v>204178</v>
      </c>
      <c r="CR203">
        <v>208389</v>
      </c>
      <c r="CS203">
        <v>213024</v>
      </c>
      <c r="CT203">
        <v>202990</v>
      </c>
      <c r="CU203">
        <v>205905</v>
      </c>
      <c r="CV203">
        <v>207634</v>
      </c>
      <c r="CW203">
        <v>209465</v>
      </c>
      <c r="CX203">
        <v>210773</v>
      </c>
      <c r="CY203">
        <v>212917</v>
      </c>
      <c r="CZ203">
        <v>213435</v>
      </c>
      <c r="DA203">
        <v>213435</v>
      </c>
      <c r="DB203">
        <v>216582</v>
      </c>
    </row>
    <row r="204" spans="2:106" x14ac:dyDescent="0.25">
      <c r="B204" t="s">
        <v>52</v>
      </c>
      <c r="C204">
        <v>7</v>
      </c>
      <c r="D204">
        <v>81</v>
      </c>
      <c r="E204">
        <v>0</v>
      </c>
      <c r="F204">
        <v>0</v>
      </c>
      <c r="G204">
        <v>0</v>
      </c>
      <c r="H204">
        <v>0</v>
      </c>
      <c r="I204">
        <v>0</v>
      </c>
      <c r="J204">
        <v>1</v>
      </c>
      <c r="K204">
        <v>1</v>
      </c>
      <c r="L204">
        <v>1</v>
      </c>
      <c r="M204">
        <v>1</v>
      </c>
      <c r="N204">
        <v>1</v>
      </c>
      <c r="O204">
        <v>1</v>
      </c>
      <c r="P204">
        <v>1</v>
      </c>
      <c r="Q204">
        <v>1</v>
      </c>
      <c r="R204">
        <v>1</v>
      </c>
      <c r="S204">
        <v>1</v>
      </c>
      <c r="T204">
        <v>1</v>
      </c>
      <c r="U204">
        <v>1</v>
      </c>
      <c r="V204">
        <v>1</v>
      </c>
      <c r="W204">
        <v>1</v>
      </c>
      <c r="X204">
        <v>1</v>
      </c>
      <c r="Y204">
        <v>1</v>
      </c>
      <c r="Z204">
        <v>1</v>
      </c>
      <c r="AA204">
        <v>1</v>
      </c>
      <c r="AB204">
        <v>1</v>
      </c>
      <c r="AC204">
        <v>1</v>
      </c>
      <c r="AD204">
        <v>1</v>
      </c>
      <c r="AE204">
        <v>1</v>
      </c>
      <c r="AF204">
        <v>1</v>
      </c>
      <c r="AG204">
        <v>1</v>
      </c>
      <c r="AH204">
        <v>1</v>
      </c>
      <c r="AI204">
        <v>1</v>
      </c>
      <c r="AJ204">
        <v>1</v>
      </c>
      <c r="AK204">
        <v>1</v>
      </c>
      <c r="AL204">
        <v>1</v>
      </c>
      <c r="AM204">
        <v>1</v>
      </c>
      <c r="AN204">
        <v>1</v>
      </c>
      <c r="AO204">
        <v>1</v>
      </c>
      <c r="AP204">
        <v>1</v>
      </c>
      <c r="AQ204">
        <v>1</v>
      </c>
      <c r="AR204">
        <v>1</v>
      </c>
      <c r="AS204">
        <v>1</v>
      </c>
      <c r="AT204">
        <v>1</v>
      </c>
      <c r="AU204">
        <v>1</v>
      </c>
      <c r="AV204">
        <v>1</v>
      </c>
      <c r="AW204">
        <v>1</v>
      </c>
      <c r="AX204">
        <v>1</v>
      </c>
      <c r="AY204">
        <v>1</v>
      </c>
      <c r="AZ204">
        <v>1</v>
      </c>
      <c r="BA204">
        <v>1</v>
      </c>
      <c r="BB204">
        <v>2</v>
      </c>
      <c r="BC204">
        <v>2</v>
      </c>
      <c r="BD204">
        <v>6</v>
      </c>
      <c r="BE204">
        <v>10</v>
      </c>
      <c r="BF204">
        <v>18</v>
      </c>
      <c r="BG204">
        <v>28</v>
      </c>
      <c r="BH204">
        <v>44</v>
      </c>
      <c r="BI204">
        <v>51</v>
      </c>
      <c r="BJ204">
        <v>60</v>
      </c>
      <c r="BK204">
        <v>73</v>
      </c>
      <c r="BL204">
        <v>77</v>
      </c>
      <c r="BM204">
        <v>82</v>
      </c>
      <c r="BN204">
        <v>97</v>
      </c>
      <c r="BO204">
        <v>102</v>
      </c>
      <c r="BP204">
        <v>102</v>
      </c>
      <c r="BQ204">
        <v>106</v>
      </c>
      <c r="BR204">
        <v>106</v>
      </c>
      <c r="BS204">
        <v>113</v>
      </c>
      <c r="BT204">
        <v>117</v>
      </c>
      <c r="BU204">
        <v>122</v>
      </c>
      <c r="BV204">
        <v>143</v>
      </c>
      <c r="BW204">
        <v>146</v>
      </c>
      <c r="BX204">
        <v>151</v>
      </c>
      <c r="BY204">
        <v>159</v>
      </c>
      <c r="BZ204">
        <v>166</v>
      </c>
      <c r="CA204">
        <v>176</v>
      </c>
      <c r="CB204">
        <v>178</v>
      </c>
      <c r="CC204">
        <v>185</v>
      </c>
      <c r="CD204">
        <v>189</v>
      </c>
      <c r="CE204">
        <v>190</v>
      </c>
      <c r="CF204">
        <v>190</v>
      </c>
      <c r="CG204">
        <v>198</v>
      </c>
      <c r="CH204">
        <v>210</v>
      </c>
      <c r="CI204">
        <v>217</v>
      </c>
      <c r="CJ204">
        <v>233</v>
      </c>
      <c r="CK204">
        <v>238</v>
      </c>
      <c r="CL204">
        <v>238</v>
      </c>
      <c r="CM204">
        <v>244</v>
      </c>
      <c r="CN204">
        <v>254</v>
      </c>
      <c r="CO204">
        <v>271</v>
      </c>
      <c r="CP204">
        <v>304</v>
      </c>
      <c r="CQ204">
        <v>310</v>
      </c>
      <c r="CR204">
        <v>330</v>
      </c>
      <c r="CS204">
        <v>368</v>
      </c>
      <c r="CT204">
        <v>420</v>
      </c>
      <c r="CU204">
        <v>460</v>
      </c>
      <c r="CV204">
        <v>523</v>
      </c>
      <c r="CW204">
        <v>588</v>
      </c>
      <c r="CX204">
        <v>619</v>
      </c>
      <c r="CY204">
        <v>649</v>
      </c>
      <c r="CZ204">
        <v>663</v>
      </c>
      <c r="DA204">
        <v>690</v>
      </c>
      <c r="DB204">
        <v>705</v>
      </c>
    </row>
    <row r="205" spans="2:106" x14ac:dyDescent="0.25">
      <c r="B205" t="s">
        <v>203</v>
      </c>
      <c r="C205">
        <v>12.8628</v>
      </c>
      <c r="D205">
        <v>30.217600000000001</v>
      </c>
      <c r="E205">
        <v>0</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1</v>
      </c>
      <c r="BE205">
        <v>1</v>
      </c>
      <c r="BF205">
        <v>1</v>
      </c>
      <c r="BG205">
        <v>1</v>
      </c>
      <c r="BH205">
        <v>1</v>
      </c>
      <c r="BI205">
        <v>2</v>
      </c>
      <c r="BJ205">
        <v>2</v>
      </c>
      <c r="BK205">
        <v>2</v>
      </c>
      <c r="BL205">
        <v>2</v>
      </c>
      <c r="BM205">
        <v>2</v>
      </c>
      <c r="BN205">
        <v>2</v>
      </c>
      <c r="BO205">
        <v>3</v>
      </c>
      <c r="BP205">
        <v>3</v>
      </c>
      <c r="BQ205">
        <v>3</v>
      </c>
      <c r="BR205">
        <v>3</v>
      </c>
      <c r="BS205">
        <v>5</v>
      </c>
      <c r="BT205">
        <v>6</v>
      </c>
      <c r="BU205">
        <v>6</v>
      </c>
      <c r="BV205">
        <v>7</v>
      </c>
      <c r="BW205">
        <v>7</v>
      </c>
      <c r="BX205">
        <v>8</v>
      </c>
      <c r="BY205">
        <v>10</v>
      </c>
      <c r="BZ205">
        <v>10</v>
      </c>
      <c r="CA205">
        <v>12</v>
      </c>
      <c r="CB205">
        <v>12</v>
      </c>
      <c r="CC205">
        <v>14</v>
      </c>
      <c r="CD205">
        <v>14</v>
      </c>
      <c r="CE205">
        <v>15</v>
      </c>
      <c r="CF205">
        <v>17</v>
      </c>
      <c r="CG205">
        <v>19</v>
      </c>
      <c r="CH205">
        <v>19</v>
      </c>
      <c r="CI205">
        <v>29</v>
      </c>
      <c r="CJ205">
        <v>32</v>
      </c>
      <c r="CK205">
        <v>32</v>
      </c>
      <c r="CL205">
        <v>32</v>
      </c>
      <c r="CM205">
        <v>33</v>
      </c>
      <c r="CN205">
        <v>66</v>
      </c>
      <c r="CO205">
        <v>66</v>
      </c>
      <c r="CP205">
        <v>107</v>
      </c>
      <c r="CQ205">
        <v>107</v>
      </c>
      <c r="CR205">
        <v>140</v>
      </c>
      <c r="CS205">
        <v>174</v>
      </c>
      <c r="CT205">
        <v>174</v>
      </c>
      <c r="CU205">
        <v>213</v>
      </c>
      <c r="CV205">
        <v>237</v>
      </c>
      <c r="CW205">
        <v>275</v>
      </c>
      <c r="CX205">
        <v>318</v>
      </c>
      <c r="CY205">
        <v>375</v>
      </c>
      <c r="CZ205">
        <v>442</v>
      </c>
      <c r="DA205">
        <v>533</v>
      </c>
      <c r="DB205">
        <v>592</v>
      </c>
    </row>
    <row r="206" spans="2:106" x14ac:dyDescent="0.25">
      <c r="B206" t="s">
        <v>370</v>
      </c>
      <c r="C206">
        <v>3.9192999999999998</v>
      </c>
      <c r="D206">
        <v>-56.027799999999999</v>
      </c>
      <c r="E206">
        <v>0</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1</v>
      </c>
      <c r="BF206">
        <v>1</v>
      </c>
      <c r="BG206">
        <v>1</v>
      </c>
      <c r="BH206">
        <v>1</v>
      </c>
      <c r="BI206">
        <v>1</v>
      </c>
      <c r="BJ206">
        <v>1</v>
      </c>
      <c r="BK206">
        <v>4</v>
      </c>
      <c r="BL206">
        <v>4</v>
      </c>
      <c r="BM206">
        <v>5</v>
      </c>
      <c r="BN206">
        <v>5</v>
      </c>
      <c r="BO206">
        <v>7</v>
      </c>
      <c r="BP206">
        <v>8</v>
      </c>
      <c r="BQ206">
        <v>8</v>
      </c>
      <c r="BR206">
        <v>8</v>
      </c>
      <c r="BS206">
        <v>8</v>
      </c>
      <c r="BT206">
        <v>8</v>
      </c>
      <c r="BU206">
        <v>8</v>
      </c>
      <c r="BV206">
        <v>9</v>
      </c>
      <c r="BW206">
        <v>10</v>
      </c>
      <c r="BX206">
        <v>10</v>
      </c>
      <c r="BY206">
        <v>10</v>
      </c>
      <c r="BZ206">
        <v>10</v>
      </c>
      <c r="CA206">
        <v>10</v>
      </c>
      <c r="CB206">
        <v>10</v>
      </c>
      <c r="CC206">
        <v>10</v>
      </c>
      <c r="CD206">
        <v>10</v>
      </c>
      <c r="CE206">
        <v>10</v>
      </c>
      <c r="CF206">
        <v>10</v>
      </c>
      <c r="CG206">
        <v>10</v>
      </c>
      <c r="CH206">
        <v>10</v>
      </c>
      <c r="CI206">
        <v>10</v>
      </c>
      <c r="CJ206">
        <v>10</v>
      </c>
      <c r="CK206">
        <v>10</v>
      </c>
      <c r="CL206">
        <v>10</v>
      </c>
      <c r="CM206">
        <v>10</v>
      </c>
      <c r="CN206">
        <v>10</v>
      </c>
      <c r="CO206">
        <v>10</v>
      </c>
      <c r="CP206">
        <v>10</v>
      </c>
      <c r="CQ206">
        <v>10</v>
      </c>
      <c r="CR206">
        <v>10</v>
      </c>
      <c r="CS206">
        <v>10</v>
      </c>
      <c r="CT206">
        <v>10</v>
      </c>
      <c r="CU206">
        <v>10</v>
      </c>
      <c r="CV206">
        <v>10</v>
      </c>
      <c r="CW206">
        <v>10</v>
      </c>
      <c r="CX206">
        <v>10</v>
      </c>
      <c r="CY206">
        <v>10</v>
      </c>
      <c r="CZ206">
        <v>10</v>
      </c>
      <c r="DA206">
        <v>10</v>
      </c>
      <c r="DB206">
        <v>10</v>
      </c>
    </row>
    <row r="207" spans="2:106" x14ac:dyDescent="0.25">
      <c r="B207" t="s">
        <v>60</v>
      </c>
      <c r="C207">
        <v>63</v>
      </c>
      <c r="D207">
        <v>16</v>
      </c>
      <c r="E207">
        <v>0</v>
      </c>
      <c r="F207">
        <v>0</v>
      </c>
      <c r="G207">
        <v>0</v>
      </c>
      <c r="H207">
        <v>0</v>
      </c>
      <c r="I207">
        <v>0</v>
      </c>
      <c r="J207">
        <v>0</v>
      </c>
      <c r="K207">
        <v>0</v>
      </c>
      <c r="L207">
        <v>0</v>
      </c>
      <c r="M207">
        <v>0</v>
      </c>
      <c r="N207">
        <v>1</v>
      </c>
      <c r="O207">
        <v>1</v>
      </c>
      <c r="P207">
        <v>1</v>
      </c>
      <c r="Q207">
        <v>1</v>
      </c>
      <c r="R207">
        <v>1</v>
      </c>
      <c r="S207">
        <v>1</v>
      </c>
      <c r="T207">
        <v>1</v>
      </c>
      <c r="U207">
        <v>1</v>
      </c>
      <c r="V207">
        <v>1</v>
      </c>
      <c r="W207">
        <v>1</v>
      </c>
      <c r="X207">
        <v>1</v>
      </c>
      <c r="Y207">
        <v>1</v>
      </c>
      <c r="Z207">
        <v>1</v>
      </c>
      <c r="AA207">
        <v>1</v>
      </c>
      <c r="AB207">
        <v>1</v>
      </c>
      <c r="AC207">
        <v>1</v>
      </c>
      <c r="AD207">
        <v>1</v>
      </c>
      <c r="AE207">
        <v>1</v>
      </c>
      <c r="AF207">
        <v>1</v>
      </c>
      <c r="AG207">
        <v>1</v>
      </c>
      <c r="AH207">
        <v>1</v>
      </c>
      <c r="AI207">
        <v>1</v>
      </c>
      <c r="AJ207">
        <v>1</v>
      </c>
      <c r="AK207">
        <v>1</v>
      </c>
      <c r="AL207">
        <v>1</v>
      </c>
      <c r="AM207">
        <v>1</v>
      </c>
      <c r="AN207">
        <v>2</v>
      </c>
      <c r="AO207">
        <v>7</v>
      </c>
      <c r="AP207">
        <v>7</v>
      </c>
      <c r="AQ207">
        <v>12</v>
      </c>
      <c r="AR207">
        <v>14</v>
      </c>
      <c r="AS207">
        <v>15</v>
      </c>
      <c r="AT207">
        <v>21</v>
      </c>
      <c r="AU207">
        <v>35</v>
      </c>
      <c r="AV207">
        <v>94</v>
      </c>
      <c r="AW207">
        <v>101</v>
      </c>
      <c r="AX207">
        <v>161</v>
      </c>
      <c r="AY207">
        <v>203</v>
      </c>
      <c r="AZ207">
        <v>248</v>
      </c>
      <c r="BA207">
        <v>355</v>
      </c>
      <c r="BB207">
        <v>500</v>
      </c>
      <c r="BC207">
        <v>599</v>
      </c>
      <c r="BD207">
        <v>814</v>
      </c>
      <c r="BE207">
        <v>961</v>
      </c>
      <c r="BF207">
        <v>1022</v>
      </c>
      <c r="BG207">
        <v>1103</v>
      </c>
      <c r="BH207">
        <v>1190</v>
      </c>
      <c r="BI207">
        <v>1279</v>
      </c>
      <c r="BJ207">
        <v>1439</v>
      </c>
      <c r="BK207">
        <v>1639</v>
      </c>
      <c r="BL207">
        <v>1763</v>
      </c>
      <c r="BM207">
        <v>1934</v>
      </c>
      <c r="BN207">
        <v>2046</v>
      </c>
      <c r="BO207">
        <v>2286</v>
      </c>
      <c r="BP207">
        <v>2526</v>
      </c>
      <c r="BQ207">
        <v>2840</v>
      </c>
      <c r="BR207">
        <v>3069</v>
      </c>
      <c r="BS207">
        <v>3447</v>
      </c>
      <c r="BT207">
        <v>3700</v>
      </c>
      <c r="BU207">
        <v>4028</v>
      </c>
      <c r="BV207">
        <v>4435</v>
      </c>
      <c r="BW207">
        <v>4947</v>
      </c>
      <c r="BX207">
        <v>5568</v>
      </c>
      <c r="BY207">
        <v>6131</v>
      </c>
      <c r="BZ207">
        <v>6443</v>
      </c>
      <c r="CA207">
        <v>6830</v>
      </c>
      <c r="CB207">
        <v>7206</v>
      </c>
      <c r="CC207">
        <v>7693</v>
      </c>
      <c r="CD207">
        <v>8419</v>
      </c>
      <c r="CE207">
        <v>9141</v>
      </c>
      <c r="CF207">
        <v>9685</v>
      </c>
      <c r="CG207">
        <v>10151</v>
      </c>
      <c r="CH207">
        <v>10483</v>
      </c>
      <c r="CI207">
        <v>10948</v>
      </c>
      <c r="CJ207">
        <v>11445</v>
      </c>
      <c r="CK207">
        <v>11927</v>
      </c>
      <c r="CL207">
        <v>12540</v>
      </c>
      <c r="CM207">
        <v>13216</v>
      </c>
      <c r="CN207">
        <v>13822</v>
      </c>
      <c r="CO207">
        <v>14385</v>
      </c>
      <c r="CP207">
        <v>14777</v>
      </c>
      <c r="CQ207">
        <v>15322</v>
      </c>
      <c r="CR207">
        <v>16004</v>
      </c>
      <c r="CS207">
        <v>16755</v>
      </c>
      <c r="CT207">
        <v>17567</v>
      </c>
      <c r="CU207">
        <v>18177</v>
      </c>
      <c r="CV207">
        <v>18640</v>
      </c>
      <c r="CW207">
        <v>18926</v>
      </c>
      <c r="CX207">
        <v>19621</v>
      </c>
      <c r="CY207">
        <v>20302</v>
      </c>
      <c r="CZ207">
        <v>21092</v>
      </c>
      <c r="DA207">
        <v>21520</v>
      </c>
      <c r="DB207">
        <v>22082</v>
      </c>
    </row>
    <row r="208" spans="2:106" x14ac:dyDescent="0.25">
      <c r="B208" t="s">
        <v>75</v>
      </c>
      <c r="C208">
        <v>46.818199999999997</v>
      </c>
      <c r="D208">
        <v>8.2274999999999991</v>
      </c>
      <c r="E208">
        <v>0</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v>1</v>
      </c>
      <c r="AO208">
        <v>8</v>
      </c>
      <c r="AP208">
        <v>8</v>
      </c>
      <c r="AQ208">
        <v>18</v>
      </c>
      <c r="AR208">
        <v>27</v>
      </c>
      <c r="AS208">
        <v>42</v>
      </c>
      <c r="AT208">
        <v>56</v>
      </c>
      <c r="AU208">
        <v>90</v>
      </c>
      <c r="AV208">
        <v>114</v>
      </c>
      <c r="AW208">
        <v>214</v>
      </c>
      <c r="AX208">
        <v>268</v>
      </c>
      <c r="AY208">
        <v>337</v>
      </c>
      <c r="AZ208">
        <v>374</v>
      </c>
      <c r="BA208">
        <v>491</v>
      </c>
      <c r="BB208">
        <v>652</v>
      </c>
      <c r="BC208">
        <v>652</v>
      </c>
      <c r="BD208">
        <v>1139</v>
      </c>
      <c r="BE208">
        <v>1359</v>
      </c>
      <c r="BF208">
        <v>2200</v>
      </c>
      <c r="BG208">
        <v>2200</v>
      </c>
      <c r="BH208">
        <v>2700</v>
      </c>
      <c r="BI208">
        <v>3028</v>
      </c>
      <c r="BJ208">
        <v>4075</v>
      </c>
      <c r="BK208">
        <v>5294</v>
      </c>
      <c r="BL208">
        <v>6575</v>
      </c>
      <c r="BM208">
        <v>7474</v>
      </c>
      <c r="BN208">
        <v>8795</v>
      </c>
      <c r="BO208">
        <v>9877</v>
      </c>
      <c r="BP208">
        <v>10897</v>
      </c>
      <c r="BQ208">
        <v>11811</v>
      </c>
      <c r="BR208">
        <v>12928</v>
      </c>
      <c r="BS208">
        <v>14076</v>
      </c>
      <c r="BT208">
        <v>14829</v>
      </c>
      <c r="BU208">
        <v>15922</v>
      </c>
      <c r="BV208">
        <v>16605</v>
      </c>
      <c r="BW208">
        <v>17768</v>
      </c>
      <c r="BX208">
        <v>18827</v>
      </c>
      <c r="BY208">
        <v>19606</v>
      </c>
      <c r="BZ208">
        <v>20505</v>
      </c>
      <c r="CA208">
        <v>21100</v>
      </c>
      <c r="CB208">
        <v>21657</v>
      </c>
      <c r="CC208">
        <v>22253</v>
      </c>
      <c r="CD208">
        <v>23280</v>
      </c>
      <c r="CE208">
        <v>24051</v>
      </c>
      <c r="CF208">
        <v>24551</v>
      </c>
      <c r="CG208">
        <v>25107</v>
      </c>
      <c r="CH208">
        <v>25415</v>
      </c>
      <c r="CI208">
        <v>25688</v>
      </c>
      <c r="CJ208">
        <v>25936</v>
      </c>
      <c r="CK208">
        <v>26336</v>
      </c>
      <c r="CL208">
        <v>26732</v>
      </c>
      <c r="CM208">
        <v>27078</v>
      </c>
      <c r="CN208">
        <v>27404</v>
      </c>
      <c r="CO208">
        <v>27740</v>
      </c>
      <c r="CP208">
        <v>27944</v>
      </c>
      <c r="CQ208">
        <v>28063</v>
      </c>
      <c r="CR208">
        <v>28268</v>
      </c>
      <c r="CS208">
        <v>28496</v>
      </c>
      <c r="CT208">
        <v>28677</v>
      </c>
      <c r="CU208">
        <v>28894</v>
      </c>
      <c r="CV208">
        <v>29061</v>
      </c>
      <c r="CW208">
        <v>29164</v>
      </c>
      <c r="CX208">
        <v>29264</v>
      </c>
      <c r="CY208">
        <v>29407</v>
      </c>
      <c r="CZ208">
        <v>29586</v>
      </c>
      <c r="DA208">
        <v>29705</v>
      </c>
      <c r="DB208">
        <v>29817</v>
      </c>
    </row>
    <row r="209" spans="1:106" x14ac:dyDescent="0.25">
      <c r="B209" t="s">
        <v>2133</v>
      </c>
      <c r="C209">
        <v>23.7</v>
      </c>
      <c r="D209">
        <v>121</v>
      </c>
      <c r="E209">
        <v>1</v>
      </c>
      <c r="F209">
        <v>1</v>
      </c>
      <c r="G209">
        <v>3</v>
      </c>
      <c r="H209">
        <v>3</v>
      </c>
      <c r="I209">
        <v>4</v>
      </c>
      <c r="J209">
        <v>5</v>
      </c>
      <c r="K209">
        <v>8</v>
      </c>
      <c r="L209">
        <v>8</v>
      </c>
      <c r="M209">
        <v>9</v>
      </c>
      <c r="N209">
        <v>10</v>
      </c>
      <c r="O209">
        <v>10</v>
      </c>
      <c r="P209">
        <v>10</v>
      </c>
      <c r="Q209">
        <v>10</v>
      </c>
      <c r="R209">
        <v>11</v>
      </c>
      <c r="S209">
        <v>11</v>
      </c>
      <c r="T209">
        <v>16</v>
      </c>
      <c r="U209">
        <v>16</v>
      </c>
      <c r="V209">
        <v>17</v>
      </c>
      <c r="W209">
        <v>18</v>
      </c>
      <c r="X209">
        <v>18</v>
      </c>
      <c r="Y209">
        <v>18</v>
      </c>
      <c r="Z209">
        <v>18</v>
      </c>
      <c r="AA209">
        <v>18</v>
      </c>
      <c r="AB209">
        <v>18</v>
      </c>
      <c r="AC209">
        <v>18</v>
      </c>
      <c r="AD209">
        <v>20</v>
      </c>
      <c r="AE209">
        <v>22</v>
      </c>
      <c r="AF209">
        <v>22</v>
      </c>
      <c r="AG209">
        <v>23</v>
      </c>
      <c r="AH209">
        <v>24</v>
      </c>
      <c r="AI209">
        <v>26</v>
      </c>
      <c r="AJ209">
        <v>26</v>
      </c>
      <c r="AK209">
        <v>28</v>
      </c>
      <c r="AL209">
        <v>30</v>
      </c>
      <c r="AM209">
        <v>31</v>
      </c>
      <c r="AN209">
        <v>32</v>
      </c>
      <c r="AO209">
        <v>32</v>
      </c>
      <c r="AP209">
        <v>34</v>
      </c>
      <c r="AQ209">
        <v>39</v>
      </c>
      <c r="AR209">
        <v>40</v>
      </c>
      <c r="AS209">
        <v>41</v>
      </c>
      <c r="AT209">
        <v>42</v>
      </c>
      <c r="AU209">
        <v>42</v>
      </c>
      <c r="AV209">
        <v>44</v>
      </c>
      <c r="AW209">
        <v>45</v>
      </c>
      <c r="AX209">
        <v>45</v>
      </c>
      <c r="AY209">
        <v>45</v>
      </c>
      <c r="AZ209">
        <v>45</v>
      </c>
      <c r="BA209">
        <v>47</v>
      </c>
      <c r="BB209">
        <v>48</v>
      </c>
      <c r="BC209">
        <v>49</v>
      </c>
      <c r="BD209">
        <v>50</v>
      </c>
      <c r="BE209">
        <v>53</v>
      </c>
      <c r="BF209">
        <v>59</v>
      </c>
      <c r="BG209">
        <v>67</v>
      </c>
      <c r="BH209">
        <v>77</v>
      </c>
      <c r="BI209">
        <v>100</v>
      </c>
      <c r="BJ209">
        <v>108</v>
      </c>
      <c r="BK209">
        <v>135</v>
      </c>
      <c r="BL209">
        <v>153</v>
      </c>
      <c r="BM209">
        <v>169</v>
      </c>
      <c r="BN209">
        <v>195</v>
      </c>
      <c r="BO209">
        <v>215</v>
      </c>
      <c r="BP209">
        <v>235</v>
      </c>
      <c r="BQ209">
        <v>252</v>
      </c>
      <c r="BR209">
        <v>267</v>
      </c>
      <c r="BS209">
        <v>283</v>
      </c>
      <c r="BT209">
        <v>298</v>
      </c>
      <c r="BU209">
        <v>306</v>
      </c>
      <c r="BV209">
        <v>322</v>
      </c>
      <c r="BW209">
        <v>329</v>
      </c>
      <c r="BX209">
        <v>339</v>
      </c>
      <c r="BY209">
        <v>348</v>
      </c>
      <c r="BZ209">
        <v>355</v>
      </c>
      <c r="CA209">
        <v>363</v>
      </c>
      <c r="CB209">
        <v>373</v>
      </c>
      <c r="CC209">
        <v>376</v>
      </c>
      <c r="CD209">
        <v>379</v>
      </c>
      <c r="CE209">
        <v>380</v>
      </c>
      <c r="CF209">
        <v>382</v>
      </c>
      <c r="CG209">
        <v>385</v>
      </c>
      <c r="CH209">
        <v>388</v>
      </c>
      <c r="CI209">
        <v>393</v>
      </c>
      <c r="CJ209">
        <v>393</v>
      </c>
      <c r="CK209">
        <v>395</v>
      </c>
      <c r="CL209">
        <v>395</v>
      </c>
      <c r="CM209">
        <v>395</v>
      </c>
      <c r="CN209">
        <v>398</v>
      </c>
      <c r="CO209">
        <v>420</v>
      </c>
      <c r="CP209">
        <v>422</v>
      </c>
      <c r="CQ209">
        <v>425</v>
      </c>
      <c r="CR209">
        <v>426</v>
      </c>
      <c r="CS209">
        <v>427</v>
      </c>
      <c r="CT209">
        <v>428</v>
      </c>
      <c r="CU209">
        <v>429</v>
      </c>
      <c r="CV209">
        <v>429</v>
      </c>
      <c r="CW209">
        <v>429</v>
      </c>
      <c r="CX209">
        <v>429</v>
      </c>
      <c r="CY209">
        <v>429</v>
      </c>
      <c r="CZ209">
        <v>429</v>
      </c>
      <c r="DA209">
        <v>429</v>
      </c>
      <c r="DB209">
        <v>432</v>
      </c>
    </row>
    <row r="210" spans="1:106" x14ac:dyDescent="0.25">
      <c r="B210" t="s">
        <v>665</v>
      </c>
      <c r="C210">
        <v>-6.3689999999999998</v>
      </c>
      <c r="D210">
        <v>34.888800000000003</v>
      </c>
      <c r="E210">
        <v>0</v>
      </c>
      <c r="F210">
        <v>0</v>
      </c>
      <c r="G210">
        <v>0</v>
      </c>
      <c r="H210">
        <v>0</v>
      </c>
      <c r="I210">
        <v>0</v>
      </c>
      <c r="J210">
        <v>0</v>
      </c>
      <c r="K210">
        <v>0</v>
      </c>
      <c r="L210">
        <v>0</v>
      </c>
      <c r="M210">
        <v>0</v>
      </c>
      <c r="N210">
        <v>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1</v>
      </c>
      <c r="BH210">
        <v>1</v>
      </c>
      <c r="BI210">
        <v>3</v>
      </c>
      <c r="BJ210">
        <v>6</v>
      </c>
      <c r="BK210">
        <v>6</v>
      </c>
      <c r="BL210">
        <v>6</v>
      </c>
      <c r="BM210">
        <v>12</v>
      </c>
      <c r="BN210">
        <v>12</v>
      </c>
      <c r="BO210">
        <v>12</v>
      </c>
      <c r="BP210">
        <v>12</v>
      </c>
      <c r="BQ210">
        <v>13</v>
      </c>
      <c r="BR210">
        <v>13</v>
      </c>
      <c r="BS210">
        <v>14</v>
      </c>
      <c r="BT210">
        <v>14</v>
      </c>
      <c r="BU210">
        <v>19</v>
      </c>
      <c r="BV210">
        <v>19</v>
      </c>
      <c r="BW210">
        <v>20</v>
      </c>
      <c r="BX210">
        <v>20</v>
      </c>
      <c r="BY210">
        <v>20</v>
      </c>
      <c r="BZ210">
        <v>20</v>
      </c>
      <c r="CA210">
        <v>22</v>
      </c>
      <c r="CB210">
        <v>24</v>
      </c>
      <c r="CC210">
        <v>24</v>
      </c>
      <c r="CD210">
        <v>25</v>
      </c>
      <c r="CE210">
        <v>25</v>
      </c>
      <c r="CF210">
        <v>32</v>
      </c>
      <c r="CG210">
        <v>32</v>
      </c>
      <c r="CH210">
        <v>32</v>
      </c>
      <c r="CI210">
        <v>49</v>
      </c>
      <c r="CJ210">
        <v>53</v>
      </c>
      <c r="CK210">
        <v>88</v>
      </c>
      <c r="CL210">
        <v>94</v>
      </c>
      <c r="CM210">
        <v>147</v>
      </c>
      <c r="CN210">
        <v>147</v>
      </c>
      <c r="CO210">
        <v>170</v>
      </c>
      <c r="CP210">
        <v>254</v>
      </c>
      <c r="CQ210">
        <v>254</v>
      </c>
      <c r="CR210">
        <v>284</v>
      </c>
      <c r="CS210">
        <v>284</v>
      </c>
      <c r="CT210">
        <v>299</v>
      </c>
      <c r="CU210">
        <v>299</v>
      </c>
      <c r="CV210">
        <v>299</v>
      </c>
      <c r="CW210">
        <v>299</v>
      </c>
      <c r="CX210">
        <v>299</v>
      </c>
      <c r="CY210">
        <v>480</v>
      </c>
      <c r="CZ210">
        <v>480</v>
      </c>
      <c r="DA210">
        <v>480</v>
      </c>
      <c r="DB210">
        <v>480</v>
      </c>
    </row>
    <row r="211" spans="1:106" x14ac:dyDescent="0.25">
      <c r="B211" t="s">
        <v>35</v>
      </c>
      <c r="C211">
        <v>15</v>
      </c>
      <c r="D211">
        <v>101</v>
      </c>
      <c r="E211">
        <v>2</v>
      </c>
      <c r="F211">
        <v>3</v>
      </c>
      <c r="G211">
        <v>5</v>
      </c>
      <c r="H211">
        <v>7</v>
      </c>
      <c r="I211">
        <v>8</v>
      </c>
      <c r="J211">
        <v>8</v>
      </c>
      <c r="K211">
        <v>14</v>
      </c>
      <c r="L211">
        <v>14</v>
      </c>
      <c r="M211">
        <v>14</v>
      </c>
      <c r="N211">
        <v>19</v>
      </c>
      <c r="O211">
        <v>19</v>
      </c>
      <c r="P211">
        <v>19</v>
      </c>
      <c r="Q211">
        <v>19</v>
      </c>
      <c r="R211">
        <v>25</v>
      </c>
      <c r="S211">
        <v>25</v>
      </c>
      <c r="T211">
        <v>25</v>
      </c>
      <c r="U211">
        <v>25</v>
      </c>
      <c r="V211">
        <v>32</v>
      </c>
      <c r="W211">
        <v>32</v>
      </c>
      <c r="X211">
        <v>32</v>
      </c>
      <c r="Y211">
        <v>33</v>
      </c>
      <c r="Z211">
        <v>33</v>
      </c>
      <c r="AA211">
        <v>33</v>
      </c>
      <c r="AB211">
        <v>33</v>
      </c>
      <c r="AC211">
        <v>33</v>
      </c>
      <c r="AD211">
        <v>34</v>
      </c>
      <c r="AE211">
        <v>35</v>
      </c>
      <c r="AF211">
        <v>35</v>
      </c>
      <c r="AG211">
        <v>35</v>
      </c>
      <c r="AH211">
        <v>35</v>
      </c>
      <c r="AI211">
        <v>35</v>
      </c>
      <c r="AJ211">
        <v>35</v>
      </c>
      <c r="AK211">
        <v>35</v>
      </c>
      <c r="AL211">
        <v>35</v>
      </c>
      <c r="AM211">
        <v>37</v>
      </c>
      <c r="AN211">
        <v>40</v>
      </c>
      <c r="AO211">
        <v>40</v>
      </c>
      <c r="AP211">
        <v>41</v>
      </c>
      <c r="AQ211">
        <v>42</v>
      </c>
      <c r="AR211">
        <v>42</v>
      </c>
      <c r="AS211">
        <v>43</v>
      </c>
      <c r="AT211">
        <v>43</v>
      </c>
      <c r="AU211">
        <v>43</v>
      </c>
      <c r="AV211">
        <v>47</v>
      </c>
      <c r="AW211">
        <v>48</v>
      </c>
      <c r="AX211">
        <v>50</v>
      </c>
      <c r="AY211">
        <v>50</v>
      </c>
      <c r="AZ211">
        <v>50</v>
      </c>
      <c r="BA211">
        <v>53</v>
      </c>
      <c r="BB211">
        <v>59</v>
      </c>
      <c r="BC211">
        <v>70</v>
      </c>
      <c r="BD211">
        <v>75</v>
      </c>
      <c r="BE211">
        <v>82</v>
      </c>
      <c r="BF211">
        <v>114</v>
      </c>
      <c r="BG211">
        <v>147</v>
      </c>
      <c r="BH211">
        <v>177</v>
      </c>
      <c r="BI211">
        <v>212</v>
      </c>
      <c r="BJ211">
        <v>272</v>
      </c>
      <c r="BK211">
        <v>322</v>
      </c>
      <c r="BL211">
        <v>411</v>
      </c>
      <c r="BM211">
        <v>599</v>
      </c>
      <c r="BN211">
        <v>721</v>
      </c>
      <c r="BO211">
        <v>827</v>
      </c>
      <c r="BP211">
        <v>934</v>
      </c>
      <c r="BQ211">
        <v>1045</v>
      </c>
      <c r="BR211">
        <v>1136</v>
      </c>
      <c r="BS211">
        <v>1245</v>
      </c>
      <c r="BT211">
        <v>1388</v>
      </c>
      <c r="BU211">
        <v>1524</v>
      </c>
      <c r="BV211">
        <v>1651</v>
      </c>
      <c r="BW211">
        <v>1771</v>
      </c>
      <c r="BX211">
        <v>1875</v>
      </c>
      <c r="BY211">
        <v>1978</v>
      </c>
      <c r="BZ211">
        <v>2067</v>
      </c>
      <c r="CA211">
        <v>2169</v>
      </c>
      <c r="CB211">
        <v>2220</v>
      </c>
      <c r="CC211">
        <v>2258</v>
      </c>
      <c r="CD211">
        <v>2369</v>
      </c>
      <c r="CE211">
        <v>2423</v>
      </c>
      <c r="CF211">
        <v>2473</v>
      </c>
      <c r="CG211">
        <v>2518</v>
      </c>
      <c r="CH211">
        <v>2551</v>
      </c>
      <c r="CI211">
        <v>2579</v>
      </c>
      <c r="CJ211">
        <v>2613</v>
      </c>
      <c r="CK211">
        <v>2643</v>
      </c>
      <c r="CL211">
        <v>2672</v>
      </c>
      <c r="CM211">
        <v>2700</v>
      </c>
      <c r="CN211">
        <v>2733</v>
      </c>
      <c r="CO211">
        <v>2765</v>
      </c>
      <c r="CP211">
        <v>2792</v>
      </c>
      <c r="CQ211">
        <v>2811</v>
      </c>
      <c r="CR211">
        <v>2826</v>
      </c>
      <c r="CS211">
        <v>2839</v>
      </c>
      <c r="CT211">
        <v>2907</v>
      </c>
      <c r="CU211">
        <v>2907</v>
      </c>
      <c r="CV211">
        <v>2922</v>
      </c>
      <c r="CW211">
        <v>2931</v>
      </c>
      <c r="CX211">
        <v>2938</v>
      </c>
      <c r="CY211">
        <v>2947</v>
      </c>
      <c r="CZ211">
        <v>2954</v>
      </c>
      <c r="DA211">
        <v>2960</v>
      </c>
      <c r="DB211">
        <v>2966</v>
      </c>
    </row>
    <row r="212" spans="1:106" x14ac:dyDescent="0.25">
      <c r="B212" t="s">
        <v>132</v>
      </c>
      <c r="C212">
        <v>8.6195000000000004</v>
      </c>
      <c r="D212">
        <v>0.82479999999999998</v>
      </c>
      <c r="E212">
        <v>0</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1</v>
      </c>
      <c r="AX212">
        <v>1</v>
      </c>
      <c r="AY212">
        <v>1</v>
      </c>
      <c r="AZ212">
        <v>1</v>
      </c>
      <c r="BA212">
        <v>1</v>
      </c>
      <c r="BB212">
        <v>1</v>
      </c>
      <c r="BC212">
        <v>1</v>
      </c>
      <c r="BD212">
        <v>1</v>
      </c>
      <c r="BE212">
        <v>1</v>
      </c>
      <c r="BF212">
        <v>1</v>
      </c>
      <c r="BG212">
        <v>1</v>
      </c>
      <c r="BH212">
        <v>1</v>
      </c>
      <c r="BI212">
        <v>1</v>
      </c>
      <c r="BJ212">
        <v>1</v>
      </c>
      <c r="BK212">
        <v>9</v>
      </c>
      <c r="BL212">
        <v>16</v>
      </c>
      <c r="BM212">
        <v>16</v>
      </c>
      <c r="BN212">
        <v>18</v>
      </c>
      <c r="BO212">
        <v>20</v>
      </c>
      <c r="BP212">
        <v>23</v>
      </c>
      <c r="BQ212">
        <v>23</v>
      </c>
      <c r="BR212">
        <v>25</v>
      </c>
      <c r="BS212">
        <v>25</v>
      </c>
      <c r="BT212">
        <v>25</v>
      </c>
      <c r="BU212">
        <v>30</v>
      </c>
      <c r="BV212">
        <v>34</v>
      </c>
      <c r="BW212">
        <v>36</v>
      </c>
      <c r="BX212">
        <v>39</v>
      </c>
      <c r="BY212">
        <v>40</v>
      </c>
      <c r="BZ212">
        <v>41</v>
      </c>
      <c r="CA212">
        <v>44</v>
      </c>
      <c r="CB212">
        <v>58</v>
      </c>
      <c r="CC212">
        <v>65</v>
      </c>
      <c r="CD212">
        <v>70</v>
      </c>
      <c r="CE212">
        <v>73</v>
      </c>
      <c r="CF212">
        <v>76</v>
      </c>
      <c r="CG212">
        <v>76</v>
      </c>
      <c r="CH212">
        <v>76</v>
      </c>
      <c r="CI212">
        <v>77</v>
      </c>
      <c r="CJ212">
        <v>77</v>
      </c>
      <c r="CK212">
        <v>81</v>
      </c>
      <c r="CL212">
        <v>81</v>
      </c>
      <c r="CM212">
        <v>83</v>
      </c>
      <c r="CN212">
        <v>84</v>
      </c>
      <c r="CO212">
        <v>84</v>
      </c>
      <c r="CP212">
        <v>84</v>
      </c>
      <c r="CQ212">
        <v>86</v>
      </c>
      <c r="CR212">
        <v>88</v>
      </c>
      <c r="CS212">
        <v>88</v>
      </c>
      <c r="CT212">
        <v>90</v>
      </c>
      <c r="CU212">
        <v>96</v>
      </c>
      <c r="CV212">
        <v>98</v>
      </c>
      <c r="CW212">
        <v>98</v>
      </c>
      <c r="CX212">
        <v>99</v>
      </c>
      <c r="CY212">
        <v>109</v>
      </c>
      <c r="CZ212">
        <v>116</v>
      </c>
      <c r="DA212">
        <v>123</v>
      </c>
      <c r="DB212">
        <v>123</v>
      </c>
    </row>
    <row r="213" spans="1:106" x14ac:dyDescent="0.25">
      <c r="B213" t="s">
        <v>360</v>
      </c>
      <c r="C213">
        <v>10.691800000000001</v>
      </c>
      <c r="D213">
        <v>-61.222499999999997</v>
      </c>
      <c r="E213">
        <v>0</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2</v>
      </c>
      <c r="BF213">
        <v>2</v>
      </c>
      <c r="BG213">
        <v>4</v>
      </c>
      <c r="BH213">
        <v>5</v>
      </c>
      <c r="BI213">
        <v>7</v>
      </c>
      <c r="BJ213">
        <v>9</v>
      </c>
      <c r="BK213">
        <v>9</v>
      </c>
      <c r="BL213">
        <v>49</v>
      </c>
      <c r="BM213">
        <v>50</v>
      </c>
      <c r="BN213">
        <v>51</v>
      </c>
      <c r="BO213">
        <v>57</v>
      </c>
      <c r="BP213">
        <v>60</v>
      </c>
      <c r="BQ213">
        <v>65</v>
      </c>
      <c r="BR213">
        <v>66</v>
      </c>
      <c r="BS213">
        <v>74</v>
      </c>
      <c r="BT213">
        <v>78</v>
      </c>
      <c r="BU213">
        <v>82</v>
      </c>
      <c r="BV213">
        <v>87</v>
      </c>
      <c r="BW213">
        <v>90</v>
      </c>
      <c r="BX213">
        <v>94</v>
      </c>
      <c r="BY213">
        <v>98</v>
      </c>
      <c r="BZ213">
        <v>103</v>
      </c>
      <c r="CA213">
        <v>104</v>
      </c>
      <c r="CB213">
        <v>105</v>
      </c>
      <c r="CC213">
        <v>107</v>
      </c>
      <c r="CD213">
        <v>107</v>
      </c>
      <c r="CE213">
        <v>109</v>
      </c>
      <c r="CF213">
        <v>109</v>
      </c>
      <c r="CG213">
        <v>112</v>
      </c>
      <c r="CH213">
        <v>113</v>
      </c>
      <c r="CI213">
        <v>113</v>
      </c>
      <c r="CJ213">
        <v>113</v>
      </c>
      <c r="CK213">
        <v>114</v>
      </c>
      <c r="CL213">
        <v>114</v>
      </c>
      <c r="CM213">
        <v>114</v>
      </c>
      <c r="CN213">
        <v>114</v>
      </c>
      <c r="CO213">
        <v>114</v>
      </c>
      <c r="CP213">
        <v>114</v>
      </c>
      <c r="CQ213">
        <v>115</v>
      </c>
      <c r="CR213">
        <v>115</v>
      </c>
      <c r="CS213">
        <v>115</v>
      </c>
      <c r="CT213">
        <v>115</v>
      </c>
      <c r="CU213">
        <v>115</v>
      </c>
      <c r="CV213">
        <v>115</v>
      </c>
      <c r="CW213">
        <v>116</v>
      </c>
      <c r="CX213">
        <v>116</v>
      </c>
      <c r="CY213">
        <v>116</v>
      </c>
      <c r="CZ213">
        <v>116</v>
      </c>
      <c r="DA213">
        <v>116</v>
      </c>
      <c r="DB213">
        <v>116</v>
      </c>
    </row>
    <row r="214" spans="1:106" x14ac:dyDescent="0.25">
      <c r="B214" t="s">
        <v>121</v>
      </c>
      <c r="C214">
        <v>34</v>
      </c>
      <c r="D214">
        <v>9</v>
      </c>
      <c r="E214">
        <v>0</v>
      </c>
      <c r="F214">
        <v>0</v>
      </c>
      <c r="G214">
        <v>0</v>
      </c>
      <c r="H214">
        <v>0</v>
      </c>
      <c r="I214">
        <v>0</v>
      </c>
      <c r="J214">
        <v>0</v>
      </c>
      <c r="K214">
        <v>0</v>
      </c>
      <c r="L214">
        <v>0</v>
      </c>
      <c r="M214">
        <v>0</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1</v>
      </c>
      <c r="AV214">
        <v>1</v>
      </c>
      <c r="AW214">
        <v>1</v>
      </c>
      <c r="AX214">
        <v>1</v>
      </c>
      <c r="AY214">
        <v>2</v>
      </c>
      <c r="AZ214">
        <v>2</v>
      </c>
      <c r="BA214">
        <v>5</v>
      </c>
      <c r="BB214">
        <v>7</v>
      </c>
      <c r="BC214">
        <v>7</v>
      </c>
      <c r="BD214">
        <v>16</v>
      </c>
      <c r="BE214">
        <v>18</v>
      </c>
      <c r="BF214">
        <v>18</v>
      </c>
      <c r="BG214">
        <v>20</v>
      </c>
      <c r="BH214">
        <v>24</v>
      </c>
      <c r="BI214">
        <v>29</v>
      </c>
      <c r="BJ214">
        <v>39</v>
      </c>
      <c r="BK214">
        <v>54</v>
      </c>
      <c r="BL214">
        <v>60</v>
      </c>
      <c r="BM214">
        <v>75</v>
      </c>
      <c r="BN214">
        <v>89</v>
      </c>
      <c r="BO214">
        <v>114</v>
      </c>
      <c r="BP214">
        <v>173</v>
      </c>
      <c r="BQ214">
        <v>197</v>
      </c>
      <c r="BR214">
        <v>227</v>
      </c>
      <c r="BS214">
        <v>278</v>
      </c>
      <c r="BT214">
        <v>312</v>
      </c>
      <c r="BU214">
        <v>312</v>
      </c>
      <c r="BV214">
        <v>394</v>
      </c>
      <c r="BW214">
        <v>423</v>
      </c>
      <c r="BX214">
        <v>455</v>
      </c>
      <c r="BY214">
        <v>495</v>
      </c>
      <c r="BZ214">
        <v>553</v>
      </c>
      <c r="CA214">
        <v>574</v>
      </c>
      <c r="CB214">
        <v>596</v>
      </c>
      <c r="CC214">
        <v>623</v>
      </c>
      <c r="CD214">
        <v>628</v>
      </c>
      <c r="CE214">
        <v>643</v>
      </c>
      <c r="CF214">
        <v>671</v>
      </c>
      <c r="CG214">
        <v>685</v>
      </c>
      <c r="CH214">
        <v>707</v>
      </c>
      <c r="CI214">
        <v>726</v>
      </c>
      <c r="CJ214">
        <v>747</v>
      </c>
      <c r="CK214">
        <v>780</v>
      </c>
      <c r="CL214">
        <v>822</v>
      </c>
      <c r="CM214">
        <v>864</v>
      </c>
      <c r="CN214">
        <v>864</v>
      </c>
      <c r="CO214">
        <v>879</v>
      </c>
      <c r="CP214">
        <v>884</v>
      </c>
      <c r="CQ214">
        <v>884</v>
      </c>
      <c r="CR214">
        <v>909</v>
      </c>
      <c r="CS214">
        <v>918</v>
      </c>
      <c r="CT214">
        <v>922</v>
      </c>
      <c r="CU214">
        <v>939</v>
      </c>
      <c r="CV214">
        <v>949</v>
      </c>
      <c r="CW214">
        <v>967</v>
      </c>
      <c r="CX214">
        <v>975</v>
      </c>
      <c r="CY214">
        <v>980</v>
      </c>
      <c r="CZ214">
        <v>994</v>
      </c>
      <c r="DA214">
        <v>998</v>
      </c>
      <c r="DB214">
        <v>1009</v>
      </c>
    </row>
    <row r="215" spans="1:106" x14ac:dyDescent="0.25">
      <c r="B215" t="s">
        <v>186</v>
      </c>
      <c r="C215">
        <v>38.963700000000003</v>
      </c>
      <c r="D215">
        <v>35.243299999999998</v>
      </c>
      <c r="E215">
        <v>0</v>
      </c>
      <c r="F215">
        <v>0</v>
      </c>
      <c r="G215">
        <v>0</v>
      </c>
      <c r="H215">
        <v>0</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1</v>
      </c>
      <c r="BC215">
        <v>1</v>
      </c>
      <c r="BD215">
        <v>5</v>
      </c>
      <c r="BE215">
        <v>5</v>
      </c>
      <c r="BF215">
        <v>6</v>
      </c>
      <c r="BG215">
        <v>18</v>
      </c>
      <c r="BH215">
        <v>47</v>
      </c>
      <c r="BI215">
        <v>98</v>
      </c>
      <c r="BJ215">
        <v>192</v>
      </c>
      <c r="BK215">
        <v>359</v>
      </c>
      <c r="BL215">
        <v>670</v>
      </c>
      <c r="BM215">
        <v>1236</v>
      </c>
      <c r="BN215">
        <v>1529</v>
      </c>
      <c r="BO215">
        <v>1872</v>
      </c>
      <c r="BP215">
        <v>2433</v>
      </c>
      <c r="BQ215">
        <v>3629</v>
      </c>
      <c r="BR215">
        <v>5698</v>
      </c>
      <c r="BS215">
        <v>7402</v>
      </c>
      <c r="BT215">
        <v>9217</v>
      </c>
      <c r="BU215">
        <v>10827</v>
      </c>
      <c r="BV215">
        <v>13531</v>
      </c>
      <c r="BW215">
        <v>15679</v>
      </c>
      <c r="BX215">
        <v>18135</v>
      </c>
      <c r="BY215">
        <v>20921</v>
      </c>
      <c r="BZ215">
        <v>23934</v>
      </c>
      <c r="CA215">
        <v>27069</v>
      </c>
      <c r="CB215">
        <v>30217</v>
      </c>
      <c r="CC215">
        <v>34109</v>
      </c>
      <c r="CD215">
        <v>38226</v>
      </c>
      <c r="CE215">
        <v>42282</v>
      </c>
      <c r="CF215">
        <v>47029</v>
      </c>
      <c r="CG215">
        <v>52167</v>
      </c>
      <c r="CH215">
        <v>56956</v>
      </c>
      <c r="CI215">
        <v>61049</v>
      </c>
      <c r="CJ215">
        <v>65111</v>
      </c>
      <c r="CK215">
        <v>69392</v>
      </c>
      <c r="CL215">
        <v>74193</v>
      </c>
      <c r="CM215">
        <v>78546</v>
      </c>
      <c r="CN215">
        <v>82329</v>
      </c>
      <c r="CO215">
        <v>86306</v>
      </c>
      <c r="CP215">
        <v>90980</v>
      </c>
      <c r="CQ215">
        <v>95591</v>
      </c>
      <c r="CR215">
        <v>98674</v>
      </c>
      <c r="CS215">
        <v>101790</v>
      </c>
      <c r="CT215">
        <v>104912</v>
      </c>
      <c r="CU215">
        <v>107773</v>
      </c>
      <c r="CV215">
        <v>110130</v>
      </c>
      <c r="CW215">
        <v>112261</v>
      </c>
      <c r="CX215">
        <v>114653</v>
      </c>
      <c r="CY215">
        <v>117589</v>
      </c>
      <c r="CZ215">
        <v>120204</v>
      </c>
      <c r="DA215">
        <v>122392</v>
      </c>
      <c r="DB215">
        <v>124375</v>
      </c>
    </row>
    <row r="216" spans="1:106" x14ac:dyDescent="0.25">
      <c r="B216" t="s">
        <v>805</v>
      </c>
      <c r="C216">
        <v>1</v>
      </c>
      <c r="D216">
        <v>32</v>
      </c>
      <c r="E216">
        <v>0</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1</v>
      </c>
      <c r="BM216">
        <v>1</v>
      </c>
      <c r="BN216">
        <v>9</v>
      </c>
      <c r="BO216">
        <v>9</v>
      </c>
      <c r="BP216">
        <v>14</v>
      </c>
      <c r="BQ216">
        <v>14</v>
      </c>
      <c r="BR216">
        <v>23</v>
      </c>
      <c r="BS216">
        <v>30</v>
      </c>
      <c r="BT216">
        <v>33</v>
      </c>
      <c r="BU216">
        <v>33</v>
      </c>
      <c r="BV216">
        <v>44</v>
      </c>
      <c r="BW216">
        <v>44</v>
      </c>
      <c r="BX216">
        <v>45</v>
      </c>
      <c r="BY216">
        <v>48</v>
      </c>
      <c r="BZ216">
        <v>48</v>
      </c>
      <c r="CA216">
        <v>52</v>
      </c>
      <c r="CB216">
        <v>52</v>
      </c>
      <c r="CC216">
        <v>52</v>
      </c>
      <c r="CD216">
        <v>53</v>
      </c>
      <c r="CE216">
        <v>53</v>
      </c>
      <c r="CF216">
        <v>53</v>
      </c>
      <c r="CG216">
        <v>53</v>
      </c>
      <c r="CH216">
        <v>54</v>
      </c>
      <c r="CI216">
        <v>54</v>
      </c>
      <c r="CJ216">
        <v>55</v>
      </c>
      <c r="CK216">
        <v>55</v>
      </c>
      <c r="CL216">
        <v>55</v>
      </c>
      <c r="CM216">
        <v>56</v>
      </c>
      <c r="CN216">
        <v>55</v>
      </c>
      <c r="CO216">
        <v>55</v>
      </c>
      <c r="CP216">
        <v>56</v>
      </c>
      <c r="CQ216">
        <v>61</v>
      </c>
      <c r="CR216">
        <v>63</v>
      </c>
      <c r="CS216">
        <v>74</v>
      </c>
      <c r="CT216">
        <v>75</v>
      </c>
      <c r="CU216">
        <v>75</v>
      </c>
      <c r="CV216">
        <v>79</v>
      </c>
      <c r="CW216">
        <v>79</v>
      </c>
      <c r="CX216">
        <v>79</v>
      </c>
      <c r="CY216">
        <v>81</v>
      </c>
      <c r="CZ216">
        <v>83</v>
      </c>
      <c r="DA216">
        <v>85</v>
      </c>
      <c r="DB216">
        <v>88</v>
      </c>
    </row>
    <row r="217" spans="1:106" x14ac:dyDescent="0.25">
      <c r="B217" t="s">
        <v>114</v>
      </c>
      <c r="C217">
        <v>48.379399999999997</v>
      </c>
      <c r="D217">
        <v>31.165600000000001</v>
      </c>
      <c r="E217">
        <v>0</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1</v>
      </c>
      <c r="AU217">
        <v>1</v>
      </c>
      <c r="AV217">
        <v>1</v>
      </c>
      <c r="AW217">
        <v>1</v>
      </c>
      <c r="AX217">
        <v>1</v>
      </c>
      <c r="AY217">
        <v>1</v>
      </c>
      <c r="AZ217">
        <v>1</v>
      </c>
      <c r="BA217">
        <v>1</v>
      </c>
      <c r="BB217">
        <v>1</v>
      </c>
      <c r="BC217">
        <v>1</v>
      </c>
      <c r="BD217">
        <v>3</v>
      </c>
      <c r="BE217">
        <v>3</v>
      </c>
      <c r="BF217">
        <v>3</v>
      </c>
      <c r="BG217">
        <v>7</v>
      </c>
      <c r="BH217">
        <v>14</v>
      </c>
      <c r="BI217">
        <v>14</v>
      </c>
      <c r="BJ217">
        <v>16</v>
      </c>
      <c r="BK217">
        <v>29</v>
      </c>
      <c r="BL217">
        <v>47</v>
      </c>
      <c r="BM217">
        <v>73</v>
      </c>
      <c r="BN217">
        <v>73</v>
      </c>
      <c r="BO217">
        <v>97</v>
      </c>
      <c r="BP217">
        <v>145</v>
      </c>
      <c r="BQ217">
        <v>196</v>
      </c>
      <c r="BR217">
        <v>310</v>
      </c>
      <c r="BS217">
        <v>356</v>
      </c>
      <c r="BT217">
        <v>475</v>
      </c>
      <c r="BU217">
        <v>548</v>
      </c>
      <c r="BV217">
        <v>645</v>
      </c>
      <c r="BW217">
        <v>794</v>
      </c>
      <c r="BX217">
        <v>897</v>
      </c>
      <c r="BY217">
        <v>1072</v>
      </c>
      <c r="BZ217">
        <v>1225</v>
      </c>
      <c r="CA217">
        <v>1308</v>
      </c>
      <c r="CB217">
        <v>1319</v>
      </c>
      <c r="CC217">
        <v>1462</v>
      </c>
      <c r="CD217">
        <v>1668</v>
      </c>
      <c r="CE217">
        <v>1892</v>
      </c>
      <c r="CF217">
        <v>2203</v>
      </c>
      <c r="CG217">
        <v>2511</v>
      </c>
      <c r="CH217">
        <v>2777</v>
      </c>
      <c r="CI217">
        <v>3102</v>
      </c>
      <c r="CJ217">
        <v>3372</v>
      </c>
      <c r="CK217">
        <v>3764</v>
      </c>
      <c r="CL217">
        <v>4161</v>
      </c>
      <c r="CM217">
        <v>4662</v>
      </c>
      <c r="CN217">
        <v>5106</v>
      </c>
      <c r="CO217">
        <v>5449</v>
      </c>
      <c r="CP217">
        <v>5710</v>
      </c>
      <c r="CQ217">
        <v>6125</v>
      </c>
      <c r="CR217">
        <v>6592</v>
      </c>
      <c r="CS217">
        <v>7170</v>
      </c>
      <c r="CT217">
        <v>7647</v>
      </c>
      <c r="CU217">
        <v>8125</v>
      </c>
      <c r="CV217">
        <v>8617</v>
      </c>
      <c r="CW217">
        <v>9009</v>
      </c>
      <c r="CX217">
        <v>9410</v>
      </c>
      <c r="CY217">
        <v>9866</v>
      </c>
      <c r="CZ217">
        <v>10406</v>
      </c>
      <c r="DA217">
        <v>10861</v>
      </c>
      <c r="DB217">
        <v>11411</v>
      </c>
    </row>
    <row r="218" spans="1:106" x14ac:dyDescent="0.25">
      <c r="B218" t="s">
        <v>55</v>
      </c>
      <c r="C218">
        <v>24</v>
      </c>
      <c r="D218">
        <v>54</v>
      </c>
      <c r="E218">
        <v>0</v>
      </c>
      <c r="F218">
        <v>0</v>
      </c>
      <c r="G218">
        <v>0</v>
      </c>
      <c r="H218">
        <v>0</v>
      </c>
      <c r="I218">
        <v>0</v>
      </c>
      <c r="J218">
        <v>0</v>
      </c>
      <c r="K218">
        <v>0</v>
      </c>
      <c r="L218">
        <v>4</v>
      </c>
      <c r="M218">
        <v>4</v>
      </c>
      <c r="N218">
        <v>4</v>
      </c>
      <c r="O218">
        <v>4</v>
      </c>
      <c r="P218">
        <v>5</v>
      </c>
      <c r="Q218">
        <v>5</v>
      </c>
      <c r="R218">
        <v>5</v>
      </c>
      <c r="S218">
        <v>5</v>
      </c>
      <c r="T218">
        <v>5</v>
      </c>
      <c r="U218">
        <v>5</v>
      </c>
      <c r="V218">
        <v>7</v>
      </c>
      <c r="W218">
        <v>7</v>
      </c>
      <c r="X218">
        <v>8</v>
      </c>
      <c r="Y218">
        <v>8</v>
      </c>
      <c r="Z218">
        <v>8</v>
      </c>
      <c r="AA218">
        <v>8</v>
      </c>
      <c r="AB218">
        <v>8</v>
      </c>
      <c r="AC218">
        <v>8</v>
      </c>
      <c r="AD218">
        <v>9</v>
      </c>
      <c r="AE218">
        <v>9</v>
      </c>
      <c r="AF218">
        <v>9</v>
      </c>
      <c r="AG218">
        <v>9</v>
      </c>
      <c r="AH218">
        <v>9</v>
      </c>
      <c r="AI218">
        <v>9</v>
      </c>
      <c r="AJ218">
        <v>13</v>
      </c>
      <c r="AK218">
        <v>13</v>
      </c>
      <c r="AL218">
        <v>13</v>
      </c>
      <c r="AM218">
        <v>13</v>
      </c>
      <c r="AN218">
        <v>13</v>
      </c>
      <c r="AO218">
        <v>13</v>
      </c>
      <c r="AP218">
        <v>19</v>
      </c>
      <c r="AQ218">
        <v>21</v>
      </c>
      <c r="AR218">
        <v>21</v>
      </c>
      <c r="AS218">
        <v>21</v>
      </c>
      <c r="AT218">
        <v>27</v>
      </c>
      <c r="AU218">
        <v>27</v>
      </c>
      <c r="AV218">
        <v>29</v>
      </c>
      <c r="AW218">
        <v>29</v>
      </c>
      <c r="AX218">
        <v>45</v>
      </c>
      <c r="AY218">
        <v>45</v>
      </c>
      <c r="AZ218">
        <v>45</v>
      </c>
      <c r="BA218">
        <v>74</v>
      </c>
      <c r="BB218">
        <v>74</v>
      </c>
      <c r="BC218">
        <v>85</v>
      </c>
      <c r="BD218">
        <v>85</v>
      </c>
      <c r="BE218">
        <v>85</v>
      </c>
      <c r="BF218">
        <v>98</v>
      </c>
      <c r="BG218">
        <v>98</v>
      </c>
      <c r="BH218">
        <v>98</v>
      </c>
      <c r="BI218">
        <v>113</v>
      </c>
      <c r="BJ218">
        <v>140</v>
      </c>
      <c r="BK218">
        <v>140</v>
      </c>
      <c r="BL218">
        <v>153</v>
      </c>
      <c r="BM218">
        <v>153</v>
      </c>
      <c r="BN218">
        <v>198</v>
      </c>
      <c r="BO218">
        <v>248</v>
      </c>
      <c r="BP218">
        <v>333</v>
      </c>
      <c r="BQ218">
        <v>333</v>
      </c>
      <c r="BR218">
        <v>405</v>
      </c>
      <c r="BS218">
        <v>468</v>
      </c>
      <c r="BT218">
        <v>570</v>
      </c>
      <c r="BU218">
        <v>611</v>
      </c>
      <c r="BV218">
        <v>664</v>
      </c>
      <c r="BW218">
        <v>814</v>
      </c>
      <c r="BX218">
        <v>1024</v>
      </c>
      <c r="BY218">
        <v>1264</v>
      </c>
      <c r="BZ218">
        <v>1505</v>
      </c>
      <c r="CA218">
        <v>1799</v>
      </c>
      <c r="CB218">
        <v>2076</v>
      </c>
      <c r="CC218">
        <v>2359</v>
      </c>
      <c r="CD218">
        <v>2659</v>
      </c>
      <c r="CE218">
        <v>2990</v>
      </c>
      <c r="CF218">
        <v>3360</v>
      </c>
      <c r="CG218">
        <v>3736</v>
      </c>
      <c r="CH218">
        <v>4123</v>
      </c>
      <c r="CI218">
        <v>4521</v>
      </c>
      <c r="CJ218">
        <v>4933</v>
      </c>
      <c r="CK218">
        <v>5365</v>
      </c>
      <c r="CL218">
        <v>5825</v>
      </c>
      <c r="CM218">
        <v>6302</v>
      </c>
      <c r="CN218">
        <v>6302</v>
      </c>
      <c r="CO218">
        <v>6781</v>
      </c>
      <c r="CP218">
        <v>7265</v>
      </c>
      <c r="CQ218">
        <v>7755</v>
      </c>
      <c r="CR218">
        <v>8238</v>
      </c>
      <c r="CS218">
        <v>8756</v>
      </c>
      <c r="CT218">
        <v>9281</v>
      </c>
      <c r="CU218">
        <v>9813</v>
      </c>
      <c r="CV218">
        <v>10349</v>
      </c>
      <c r="CW218">
        <v>10839</v>
      </c>
      <c r="CX218">
        <v>11380</v>
      </c>
      <c r="CY218">
        <v>11929</v>
      </c>
      <c r="CZ218">
        <v>12481</v>
      </c>
      <c r="DA218">
        <v>13038</v>
      </c>
      <c r="DB218">
        <v>13599</v>
      </c>
    </row>
    <row r="219" spans="1:106" x14ac:dyDescent="0.25">
      <c r="A219" t="s">
        <v>734</v>
      </c>
      <c r="B219" t="s">
        <v>609</v>
      </c>
      <c r="C219">
        <v>32.3078</v>
      </c>
      <c r="D219">
        <v>-64.750500000000002</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2</v>
      </c>
      <c r="BK219">
        <v>2</v>
      </c>
      <c r="BL219">
        <v>2</v>
      </c>
      <c r="BM219">
        <v>6</v>
      </c>
      <c r="BN219">
        <v>6</v>
      </c>
      <c r="BO219">
        <v>6</v>
      </c>
      <c r="BP219">
        <v>7</v>
      </c>
      <c r="BQ219">
        <v>15</v>
      </c>
      <c r="BR219">
        <v>17</v>
      </c>
      <c r="BS219">
        <v>17</v>
      </c>
      <c r="BT219">
        <v>22</v>
      </c>
      <c r="BU219">
        <v>27</v>
      </c>
      <c r="BV219">
        <v>32</v>
      </c>
      <c r="BW219">
        <v>32</v>
      </c>
      <c r="BX219">
        <v>35</v>
      </c>
      <c r="BY219">
        <v>35</v>
      </c>
      <c r="BZ219">
        <v>35</v>
      </c>
      <c r="CA219">
        <v>37</v>
      </c>
      <c r="CB219">
        <v>39</v>
      </c>
      <c r="CC219">
        <v>39</v>
      </c>
      <c r="CD219">
        <v>39</v>
      </c>
      <c r="CE219">
        <v>48</v>
      </c>
      <c r="CF219">
        <v>48</v>
      </c>
      <c r="CG219">
        <v>48</v>
      </c>
      <c r="CH219">
        <v>57</v>
      </c>
      <c r="CI219">
        <v>57</v>
      </c>
      <c r="CJ219">
        <v>57</v>
      </c>
      <c r="CK219">
        <v>81</v>
      </c>
      <c r="CL219">
        <v>81</v>
      </c>
      <c r="CM219">
        <v>83</v>
      </c>
      <c r="CN219">
        <v>83</v>
      </c>
      <c r="CO219">
        <v>86</v>
      </c>
      <c r="CP219">
        <v>86</v>
      </c>
      <c r="CQ219">
        <v>86</v>
      </c>
      <c r="CR219">
        <v>99</v>
      </c>
      <c r="CS219">
        <v>99</v>
      </c>
      <c r="CT219">
        <v>99</v>
      </c>
      <c r="CU219">
        <v>109</v>
      </c>
      <c r="CV219">
        <v>109</v>
      </c>
      <c r="CW219">
        <v>110</v>
      </c>
      <c r="CX219">
        <v>110</v>
      </c>
      <c r="CY219">
        <v>111</v>
      </c>
      <c r="CZ219">
        <v>114</v>
      </c>
      <c r="DA219">
        <v>114</v>
      </c>
      <c r="DB219">
        <v>114</v>
      </c>
    </row>
    <row r="220" spans="1:106" x14ac:dyDescent="0.25">
      <c r="A220" t="s">
        <v>731</v>
      </c>
      <c r="B220" t="s">
        <v>609</v>
      </c>
      <c r="C220">
        <v>19.313300000000002</v>
      </c>
      <c r="D220">
        <v>-81.254599999999996</v>
      </c>
      <c r="E220">
        <v>0</v>
      </c>
      <c r="F220">
        <v>0</v>
      </c>
      <c r="G220">
        <v>0</v>
      </c>
      <c r="H220">
        <v>0</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1</v>
      </c>
      <c r="BE220">
        <v>1</v>
      </c>
      <c r="BF220">
        <v>1</v>
      </c>
      <c r="BG220">
        <v>1</v>
      </c>
      <c r="BH220">
        <v>1</v>
      </c>
      <c r="BI220">
        <v>1</v>
      </c>
      <c r="BJ220">
        <v>3</v>
      </c>
      <c r="BK220">
        <v>3</v>
      </c>
      <c r="BL220">
        <v>3</v>
      </c>
      <c r="BM220">
        <v>3</v>
      </c>
      <c r="BN220">
        <v>5</v>
      </c>
      <c r="BO220">
        <v>6</v>
      </c>
      <c r="BP220">
        <v>8</v>
      </c>
      <c r="BQ220">
        <v>8</v>
      </c>
      <c r="BR220">
        <v>8</v>
      </c>
      <c r="BS220">
        <v>8</v>
      </c>
      <c r="BT220">
        <v>8</v>
      </c>
      <c r="BU220">
        <v>12</v>
      </c>
      <c r="BV220">
        <v>14</v>
      </c>
      <c r="BW220">
        <v>22</v>
      </c>
      <c r="BX220">
        <v>28</v>
      </c>
      <c r="BY220">
        <v>28</v>
      </c>
      <c r="BZ220">
        <v>35</v>
      </c>
      <c r="CA220">
        <v>35</v>
      </c>
      <c r="CB220">
        <v>39</v>
      </c>
      <c r="CC220">
        <v>45</v>
      </c>
      <c r="CD220">
        <v>45</v>
      </c>
      <c r="CE220">
        <v>45</v>
      </c>
      <c r="CF220">
        <v>45</v>
      </c>
      <c r="CG220">
        <v>45</v>
      </c>
      <c r="CH220">
        <v>53</v>
      </c>
      <c r="CI220">
        <v>53</v>
      </c>
      <c r="CJ220">
        <v>54</v>
      </c>
      <c r="CK220">
        <v>54</v>
      </c>
      <c r="CL220">
        <v>60</v>
      </c>
      <c r="CM220">
        <v>61</v>
      </c>
      <c r="CN220">
        <v>61</v>
      </c>
      <c r="CO220">
        <v>61</v>
      </c>
      <c r="CP220">
        <v>66</v>
      </c>
      <c r="CQ220">
        <v>66</v>
      </c>
      <c r="CR220">
        <v>66</v>
      </c>
      <c r="CS220">
        <v>66</v>
      </c>
      <c r="CT220">
        <v>70</v>
      </c>
      <c r="CU220">
        <v>70</v>
      </c>
      <c r="CV220">
        <v>70</v>
      </c>
      <c r="CW220">
        <v>70</v>
      </c>
      <c r="CX220">
        <v>70</v>
      </c>
      <c r="CY220">
        <v>73</v>
      </c>
      <c r="CZ220">
        <v>73</v>
      </c>
      <c r="DA220">
        <v>74</v>
      </c>
      <c r="DB220">
        <v>74</v>
      </c>
    </row>
    <row r="221" spans="1:106" x14ac:dyDescent="0.25">
      <c r="A221" t="s">
        <v>729</v>
      </c>
      <c r="B221" t="s">
        <v>609</v>
      </c>
      <c r="C221">
        <v>49.372300000000003</v>
      </c>
      <c r="D221">
        <v>-2.3643999999999998</v>
      </c>
      <c r="E221">
        <v>0</v>
      </c>
      <c r="F221">
        <v>0</v>
      </c>
      <c r="G221">
        <v>0</v>
      </c>
      <c r="H221">
        <v>0</v>
      </c>
      <c r="I221">
        <v>0</v>
      </c>
      <c r="J221">
        <v>0</v>
      </c>
      <c r="K221">
        <v>0</v>
      </c>
      <c r="L221">
        <v>0</v>
      </c>
      <c r="M221">
        <v>0</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1</v>
      </c>
      <c r="BB221">
        <v>2</v>
      </c>
      <c r="BC221">
        <v>2</v>
      </c>
      <c r="BD221">
        <v>2</v>
      </c>
      <c r="BE221">
        <v>2</v>
      </c>
      <c r="BF221">
        <v>3</v>
      </c>
      <c r="BG221">
        <v>6</v>
      </c>
      <c r="BH221">
        <v>6</v>
      </c>
      <c r="BI221">
        <v>6</v>
      </c>
      <c r="BJ221">
        <v>11</v>
      </c>
      <c r="BK221">
        <v>14</v>
      </c>
      <c r="BL221">
        <v>32</v>
      </c>
      <c r="BM221">
        <v>32</v>
      </c>
      <c r="BN221">
        <v>36</v>
      </c>
      <c r="BO221">
        <v>36</v>
      </c>
      <c r="BP221">
        <v>46</v>
      </c>
      <c r="BQ221">
        <v>66</v>
      </c>
      <c r="BR221">
        <v>88</v>
      </c>
      <c r="BS221">
        <v>97</v>
      </c>
      <c r="BT221">
        <v>108</v>
      </c>
      <c r="BU221">
        <v>141</v>
      </c>
      <c r="BV221">
        <v>141</v>
      </c>
      <c r="BW221">
        <v>172</v>
      </c>
      <c r="BX221">
        <v>193</v>
      </c>
      <c r="BY221">
        <v>232</v>
      </c>
      <c r="BZ221">
        <v>262</v>
      </c>
      <c r="CA221">
        <v>309</v>
      </c>
      <c r="CB221">
        <v>323</v>
      </c>
      <c r="CC221">
        <v>335</v>
      </c>
      <c r="CD221">
        <v>351</v>
      </c>
      <c r="CE221">
        <v>361</v>
      </c>
      <c r="CF221">
        <v>398</v>
      </c>
      <c r="CG221">
        <v>407</v>
      </c>
      <c r="CH221">
        <v>431</v>
      </c>
      <c r="CI221">
        <v>436</v>
      </c>
      <c r="CJ221">
        <v>440</v>
      </c>
      <c r="CK221">
        <v>447</v>
      </c>
      <c r="CL221">
        <v>457</v>
      </c>
      <c r="CM221">
        <v>470</v>
      </c>
      <c r="CN221">
        <v>484</v>
      </c>
      <c r="CO221">
        <v>488</v>
      </c>
      <c r="CP221">
        <v>488</v>
      </c>
      <c r="CQ221">
        <v>496</v>
      </c>
      <c r="CR221">
        <v>498</v>
      </c>
      <c r="CS221">
        <v>521</v>
      </c>
      <c r="CT221">
        <v>523</v>
      </c>
      <c r="CU221">
        <v>525</v>
      </c>
      <c r="CV221">
        <v>525</v>
      </c>
      <c r="CW221">
        <v>525</v>
      </c>
      <c r="CX221">
        <v>530</v>
      </c>
      <c r="CY221">
        <v>537</v>
      </c>
      <c r="CZ221">
        <v>537</v>
      </c>
      <c r="DA221">
        <v>538</v>
      </c>
      <c r="DB221">
        <v>543</v>
      </c>
    </row>
    <row r="222" spans="1:106" x14ac:dyDescent="0.25">
      <c r="A222" t="s">
        <v>730</v>
      </c>
      <c r="B222" t="s">
        <v>609</v>
      </c>
      <c r="C222">
        <v>36.140799999999999</v>
      </c>
      <c r="D222">
        <v>-5.3536000000000001</v>
      </c>
      <c r="E222">
        <v>0</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1</v>
      </c>
      <c r="AV222">
        <v>1</v>
      </c>
      <c r="AW222">
        <v>1</v>
      </c>
      <c r="AX222">
        <v>1</v>
      </c>
      <c r="AY222">
        <v>1</v>
      </c>
      <c r="AZ222">
        <v>1</v>
      </c>
      <c r="BA222">
        <v>1</v>
      </c>
      <c r="BB222">
        <v>1</v>
      </c>
      <c r="BC222">
        <v>1</v>
      </c>
      <c r="BD222">
        <v>1</v>
      </c>
      <c r="BE222">
        <v>1</v>
      </c>
      <c r="BF222">
        <v>1</v>
      </c>
      <c r="BG222">
        <v>1</v>
      </c>
      <c r="BH222">
        <v>3</v>
      </c>
      <c r="BI222">
        <v>8</v>
      </c>
      <c r="BJ222">
        <v>10</v>
      </c>
      <c r="BK222">
        <v>10</v>
      </c>
      <c r="BL222">
        <v>10</v>
      </c>
      <c r="BM222">
        <v>15</v>
      </c>
      <c r="BN222">
        <v>15</v>
      </c>
      <c r="BO222">
        <v>15</v>
      </c>
      <c r="BP222">
        <v>26</v>
      </c>
      <c r="BQ222">
        <v>35</v>
      </c>
      <c r="BR222">
        <v>55</v>
      </c>
      <c r="BS222">
        <v>56</v>
      </c>
      <c r="BT222">
        <v>65</v>
      </c>
      <c r="BU222">
        <v>69</v>
      </c>
      <c r="BV222">
        <v>69</v>
      </c>
      <c r="BW222">
        <v>81</v>
      </c>
      <c r="BX222">
        <v>88</v>
      </c>
      <c r="BY222">
        <v>95</v>
      </c>
      <c r="BZ222">
        <v>98</v>
      </c>
      <c r="CA222">
        <v>103</v>
      </c>
      <c r="CB222">
        <v>109</v>
      </c>
      <c r="CC222">
        <v>113</v>
      </c>
      <c r="CD222">
        <v>120</v>
      </c>
      <c r="CE222">
        <v>123</v>
      </c>
      <c r="CF222">
        <v>127</v>
      </c>
      <c r="CG222">
        <v>129</v>
      </c>
      <c r="CH222">
        <v>129</v>
      </c>
      <c r="CI222">
        <v>129</v>
      </c>
      <c r="CJ222">
        <v>129</v>
      </c>
      <c r="CK222">
        <v>131</v>
      </c>
      <c r="CL222">
        <v>131</v>
      </c>
      <c r="CM222">
        <v>132</v>
      </c>
      <c r="CN222">
        <v>132</v>
      </c>
      <c r="CO222">
        <v>132</v>
      </c>
      <c r="CP222">
        <v>132</v>
      </c>
      <c r="CQ222">
        <v>132</v>
      </c>
      <c r="CR222">
        <v>132</v>
      </c>
      <c r="CS222">
        <v>133</v>
      </c>
      <c r="CT222">
        <v>133</v>
      </c>
      <c r="CU222">
        <v>136</v>
      </c>
      <c r="CV222">
        <v>141</v>
      </c>
      <c r="CW222">
        <v>141</v>
      </c>
      <c r="CX222">
        <v>141</v>
      </c>
      <c r="CY222">
        <v>141</v>
      </c>
      <c r="CZ222">
        <v>144</v>
      </c>
      <c r="DA222">
        <v>144</v>
      </c>
      <c r="DB222">
        <v>144</v>
      </c>
    </row>
    <row r="223" spans="1:106" x14ac:dyDescent="0.25">
      <c r="A223" t="s">
        <v>746</v>
      </c>
      <c r="B223" t="s">
        <v>609</v>
      </c>
      <c r="C223">
        <v>54.2361</v>
      </c>
      <c r="D223">
        <v>-4.5480999999999998</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1</v>
      </c>
      <c r="BL223">
        <v>1</v>
      </c>
      <c r="BM223">
        <v>5</v>
      </c>
      <c r="BN223">
        <v>13</v>
      </c>
      <c r="BO223">
        <v>23</v>
      </c>
      <c r="BP223">
        <v>23</v>
      </c>
      <c r="BQ223">
        <v>25</v>
      </c>
      <c r="BR223">
        <v>29</v>
      </c>
      <c r="BS223">
        <v>32</v>
      </c>
      <c r="BT223">
        <v>42</v>
      </c>
      <c r="BU223">
        <v>49</v>
      </c>
      <c r="BV223">
        <v>60</v>
      </c>
      <c r="BW223">
        <v>68</v>
      </c>
      <c r="BX223">
        <v>95</v>
      </c>
      <c r="BY223">
        <v>114</v>
      </c>
      <c r="BZ223">
        <v>126</v>
      </c>
      <c r="CA223">
        <v>127</v>
      </c>
      <c r="CB223">
        <v>139</v>
      </c>
      <c r="CC223">
        <v>150</v>
      </c>
      <c r="CD223">
        <v>158</v>
      </c>
      <c r="CE223">
        <v>190</v>
      </c>
      <c r="CF223">
        <v>201</v>
      </c>
      <c r="CG223">
        <v>226</v>
      </c>
      <c r="CH223">
        <v>228</v>
      </c>
      <c r="CI223">
        <v>242</v>
      </c>
      <c r="CJ223">
        <v>254</v>
      </c>
      <c r="CK223">
        <v>256</v>
      </c>
      <c r="CL223">
        <v>284</v>
      </c>
      <c r="CM223">
        <v>291</v>
      </c>
      <c r="CN223">
        <v>297</v>
      </c>
      <c r="CO223">
        <v>298</v>
      </c>
      <c r="CP223">
        <v>300</v>
      </c>
      <c r="CQ223">
        <v>307</v>
      </c>
      <c r="CR223">
        <v>307</v>
      </c>
      <c r="CS223">
        <v>307</v>
      </c>
      <c r="CT223">
        <v>308</v>
      </c>
      <c r="CU223">
        <v>308</v>
      </c>
      <c r="CV223">
        <v>308</v>
      </c>
      <c r="CW223">
        <v>308</v>
      </c>
      <c r="CX223">
        <v>309</v>
      </c>
      <c r="CY223">
        <v>313</v>
      </c>
      <c r="CZ223">
        <v>315</v>
      </c>
      <c r="DA223">
        <v>316</v>
      </c>
      <c r="DB223">
        <v>320</v>
      </c>
    </row>
    <row r="224" spans="1:106" x14ac:dyDescent="0.25">
      <c r="A224" t="s">
        <v>732</v>
      </c>
      <c r="B224" t="s">
        <v>609</v>
      </c>
      <c r="C224">
        <v>16.7425</v>
      </c>
      <c r="D224">
        <v>-62.187399999999997</v>
      </c>
      <c r="E224">
        <v>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1</v>
      </c>
      <c r="BJ224">
        <v>1</v>
      </c>
      <c r="BK224">
        <v>1</v>
      </c>
      <c r="BL224">
        <v>1</v>
      </c>
      <c r="BM224">
        <v>1</v>
      </c>
      <c r="BN224">
        <v>1</v>
      </c>
      <c r="BO224">
        <v>1</v>
      </c>
      <c r="BP224">
        <v>1</v>
      </c>
      <c r="BQ224">
        <v>5</v>
      </c>
      <c r="BR224">
        <v>5</v>
      </c>
      <c r="BS224">
        <v>5</v>
      </c>
      <c r="BT224">
        <v>5</v>
      </c>
      <c r="BU224">
        <v>5</v>
      </c>
      <c r="BV224">
        <v>5</v>
      </c>
      <c r="BW224">
        <v>5</v>
      </c>
      <c r="BX224">
        <v>5</v>
      </c>
      <c r="BY224">
        <v>6</v>
      </c>
      <c r="BZ224">
        <v>6</v>
      </c>
      <c r="CA224">
        <v>6</v>
      </c>
      <c r="CB224">
        <v>6</v>
      </c>
      <c r="CC224">
        <v>9</v>
      </c>
      <c r="CD224">
        <v>9</v>
      </c>
      <c r="CE224">
        <v>9</v>
      </c>
      <c r="CF224">
        <v>9</v>
      </c>
      <c r="CG224">
        <v>9</v>
      </c>
      <c r="CH224">
        <v>9</v>
      </c>
      <c r="CI224">
        <v>11</v>
      </c>
      <c r="CJ224">
        <v>11</v>
      </c>
      <c r="CK224">
        <v>11</v>
      </c>
      <c r="CL224">
        <v>11</v>
      </c>
      <c r="CM224">
        <v>11</v>
      </c>
      <c r="CN224">
        <v>11</v>
      </c>
      <c r="CO224">
        <v>11</v>
      </c>
      <c r="CP224">
        <v>11</v>
      </c>
      <c r="CQ224">
        <v>11</v>
      </c>
      <c r="CR224">
        <v>11</v>
      </c>
      <c r="CS224">
        <v>11</v>
      </c>
      <c r="CT224">
        <v>11</v>
      </c>
      <c r="CU224">
        <v>11</v>
      </c>
      <c r="CV224">
        <v>11</v>
      </c>
      <c r="CW224">
        <v>11</v>
      </c>
      <c r="CX224">
        <v>11</v>
      </c>
      <c r="CY224">
        <v>11</v>
      </c>
      <c r="CZ224">
        <v>11</v>
      </c>
      <c r="DA224">
        <v>11</v>
      </c>
      <c r="DB224">
        <v>11</v>
      </c>
    </row>
    <row r="225" spans="1:106" x14ac:dyDescent="0.25">
      <c r="B225" t="s">
        <v>609</v>
      </c>
      <c r="C225">
        <v>55.378100000000003</v>
      </c>
      <c r="D225">
        <v>-3.4360000000000004</v>
      </c>
      <c r="E225">
        <v>0</v>
      </c>
      <c r="F225">
        <v>0</v>
      </c>
      <c r="G225">
        <v>0</v>
      </c>
      <c r="H225">
        <v>0</v>
      </c>
      <c r="I225">
        <v>0</v>
      </c>
      <c r="J225">
        <v>0</v>
      </c>
      <c r="K225">
        <v>0</v>
      </c>
      <c r="L225">
        <v>0</v>
      </c>
      <c r="M225">
        <v>0</v>
      </c>
      <c r="N225">
        <v>2</v>
      </c>
      <c r="O225">
        <v>2</v>
      </c>
      <c r="P225">
        <v>2</v>
      </c>
      <c r="Q225">
        <v>2</v>
      </c>
      <c r="R225">
        <v>2</v>
      </c>
      <c r="S225">
        <v>2</v>
      </c>
      <c r="T225">
        <v>2</v>
      </c>
      <c r="U225">
        <v>3</v>
      </c>
      <c r="V225">
        <v>3</v>
      </c>
      <c r="W225">
        <v>3</v>
      </c>
      <c r="X225">
        <v>8</v>
      </c>
      <c r="Y225">
        <v>8</v>
      </c>
      <c r="Z225">
        <v>9</v>
      </c>
      <c r="AA225">
        <v>9</v>
      </c>
      <c r="AB225">
        <v>9</v>
      </c>
      <c r="AC225">
        <v>9</v>
      </c>
      <c r="AD225">
        <v>9</v>
      </c>
      <c r="AE225">
        <v>9</v>
      </c>
      <c r="AF225">
        <v>9</v>
      </c>
      <c r="AG225">
        <v>9</v>
      </c>
      <c r="AH225">
        <v>9</v>
      </c>
      <c r="AI225">
        <v>9</v>
      </c>
      <c r="AJ225">
        <v>9</v>
      </c>
      <c r="AK225">
        <v>9</v>
      </c>
      <c r="AL225">
        <v>13</v>
      </c>
      <c r="AM225">
        <v>13</v>
      </c>
      <c r="AN225">
        <v>13</v>
      </c>
      <c r="AO225">
        <v>15</v>
      </c>
      <c r="AP225">
        <v>20</v>
      </c>
      <c r="AQ225">
        <v>23</v>
      </c>
      <c r="AR225">
        <v>36</v>
      </c>
      <c r="AS225">
        <v>40</v>
      </c>
      <c r="AT225">
        <v>51</v>
      </c>
      <c r="AU225">
        <v>85</v>
      </c>
      <c r="AV225">
        <v>115</v>
      </c>
      <c r="AW225">
        <v>163</v>
      </c>
      <c r="AX225">
        <v>206</v>
      </c>
      <c r="AY225">
        <v>273</v>
      </c>
      <c r="AZ225">
        <v>321</v>
      </c>
      <c r="BA225">
        <v>382</v>
      </c>
      <c r="BB225">
        <v>456</v>
      </c>
      <c r="BC225">
        <v>456</v>
      </c>
      <c r="BD225">
        <v>798</v>
      </c>
      <c r="BE225">
        <v>1140</v>
      </c>
      <c r="BF225">
        <v>1140</v>
      </c>
      <c r="BG225">
        <v>1543</v>
      </c>
      <c r="BH225">
        <v>1950</v>
      </c>
      <c r="BI225">
        <v>2626</v>
      </c>
      <c r="BJ225">
        <v>2689</v>
      </c>
      <c r="BK225">
        <v>3983</v>
      </c>
      <c r="BL225">
        <v>5018</v>
      </c>
      <c r="BM225">
        <v>5683</v>
      </c>
      <c r="BN225">
        <v>6650</v>
      </c>
      <c r="BO225">
        <v>8077</v>
      </c>
      <c r="BP225">
        <v>9529</v>
      </c>
      <c r="BQ225">
        <v>11658</v>
      </c>
      <c r="BR225">
        <v>14543</v>
      </c>
      <c r="BS225">
        <v>17089</v>
      </c>
      <c r="BT225">
        <v>19522</v>
      </c>
      <c r="BU225">
        <v>22141</v>
      </c>
      <c r="BV225">
        <v>25150</v>
      </c>
      <c r="BW225">
        <v>29474</v>
      </c>
      <c r="BX225">
        <v>33718</v>
      </c>
      <c r="BY225">
        <v>38168</v>
      </c>
      <c r="BZ225">
        <v>41903</v>
      </c>
      <c r="CA225">
        <v>47806</v>
      </c>
      <c r="CB225">
        <v>51608</v>
      </c>
      <c r="CC225">
        <v>55242</v>
      </c>
      <c r="CD225">
        <v>60733</v>
      </c>
      <c r="CE225">
        <v>65077</v>
      </c>
      <c r="CF225">
        <v>73758</v>
      </c>
      <c r="CG225">
        <v>78991</v>
      </c>
      <c r="CH225">
        <v>84279</v>
      </c>
      <c r="CI225">
        <v>88621</v>
      </c>
      <c r="CJ225">
        <v>93873</v>
      </c>
      <c r="CK225">
        <v>98476</v>
      </c>
      <c r="CL225">
        <v>103093</v>
      </c>
      <c r="CM225">
        <v>108692</v>
      </c>
      <c r="CN225">
        <v>114217</v>
      </c>
      <c r="CO225">
        <v>120067</v>
      </c>
      <c r="CP225">
        <v>124743</v>
      </c>
      <c r="CQ225">
        <v>129044</v>
      </c>
      <c r="CR225">
        <v>133495</v>
      </c>
      <c r="CS225">
        <v>138078</v>
      </c>
      <c r="CT225">
        <v>143464</v>
      </c>
      <c r="CU225">
        <v>148377</v>
      </c>
      <c r="CV225">
        <v>152840</v>
      </c>
      <c r="CW225">
        <v>157149</v>
      </c>
      <c r="CX225">
        <v>161145</v>
      </c>
      <c r="CY225">
        <v>165221</v>
      </c>
      <c r="CZ225">
        <v>171253</v>
      </c>
      <c r="DA225">
        <v>177454</v>
      </c>
      <c r="DB225">
        <v>182260</v>
      </c>
    </row>
    <row r="226" spans="1:106" x14ac:dyDescent="0.25">
      <c r="B226" t="s">
        <v>356</v>
      </c>
      <c r="C226">
        <v>-32.522799999999997</v>
      </c>
      <c r="D226">
        <v>-55.765799999999999</v>
      </c>
      <c r="E226">
        <v>0</v>
      </c>
      <c r="F226">
        <v>0</v>
      </c>
      <c r="G226">
        <v>0</v>
      </c>
      <c r="H226">
        <v>0</v>
      </c>
      <c r="I226">
        <v>0</v>
      </c>
      <c r="J226">
        <v>0</v>
      </c>
      <c r="K226">
        <v>0</v>
      </c>
      <c r="L226">
        <v>0</v>
      </c>
      <c r="M226">
        <v>0</v>
      </c>
      <c r="N226">
        <v>0</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4</v>
      </c>
      <c r="BF226">
        <v>4</v>
      </c>
      <c r="BG226">
        <v>8</v>
      </c>
      <c r="BH226">
        <v>29</v>
      </c>
      <c r="BI226">
        <v>50</v>
      </c>
      <c r="BJ226">
        <v>79</v>
      </c>
      <c r="BK226">
        <v>94</v>
      </c>
      <c r="BL226">
        <v>110</v>
      </c>
      <c r="BM226">
        <v>158</v>
      </c>
      <c r="BN226">
        <v>162</v>
      </c>
      <c r="BO226">
        <v>162</v>
      </c>
      <c r="BP226">
        <v>189</v>
      </c>
      <c r="BQ226">
        <v>217</v>
      </c>
      <c r="BR226">
        <v>238</v>
      </c>
      <c r="BS226">
        <v>274</v>
      </c>
      <c r="BT226">
        <v>304</v>
      </c>
      <c r="BU226">
        <v>310</v>
      </c>
      <c r="BV226">
        <v>338</v>
      </c>
      <c r="BW226">
        <v>338</v>
      </c>
      <c r="BX226">
        <v>350</v>
      </c>
      <c r="BY226">
        <v>369</v>
      </c>
      <c r="BZ226">
        <v>400</v>
      </c>
      <c r="CA226">
        <v>400</v>
      </c>
      <c r="CB226">
        <v>406</v>
      </c>
      <c r="CC226">
        <v>424</v>
      </c>
      <c r="CD226">
        <v>424</v>
      </c>
      <c r="CE226">
        <v>456</v>
      </c>
      <c r="CF226">
        <v>473</v>
      </c>
      <c r="CG226">
        <v>494</v>
      </c>
      <c r="CH226">
        <v>480</v>
      </c>
      <c r="CI226">
        <v>480</v>
      </c>
      <c r="CJ226">
        <v>483</v>
      </c>
      <c r="CK226">
        <v>492</v>
      </c>
      <c r="CL226">
        <v>502</v>
      </c>
      <c r="CM226">
        <v>502</v>
      </c>
      <c r="CN226">
        <v>508</v>
      </c>
      <c r="CO226">
        <v>517</v>
      </c>
      <c r="CP226">
        <v>535</v>
      </c>
      <c r="CQ226">
        <v>535</v>
      </c>
      <c r="CR226">
        <v>543</v>
      </c>
      <c r="CS226">
        <v>557</v>
      </c>
      <c r="CT226">
        <v>563</v>
      </c>
      <c r="CU226">
        <v>596</v>
      </c>
      <c r="CV226">
        <v>606</v>
      </c>
      <c r="CW226">
        <v>620</v>
      </c>
      <c r="CX226">
        <v>625</v>
      </c>
      <c r="CY226">
        <v>630</v>
      </c>
      <c r="CZ226">
        <v>643</v>
      </c>
      <c r="DA226">
        <v>648</v>
      </c>
      <c r="DB226">
        <v>652</v>
      </c>
    </row>
    <row r="227" spans="1:106" x14ac:dyDescent="0.25">
      <c r="B227" t="s">
        <v>37</v>
      </c>
      <c r="C227">
        <v>37.090200000000003</v>
      </c>
      <c r="D227">
        <v>-95.712900000000005</v>
      </c>
      <c r="E227">
        <v>1</v>
      </c>
      <c r="F227">
        <v>1</v>
      </c>
      <c r="G227">
        <v>2</v>
      </c>
      <c r="H227">
        <v>2</v>
      </c>
      <c r="I227">
        <v>5</v>
      </c>
      <c r="J227">
        <v>5</v>
      </c>
      <c r="K227">
        <v>5</v>
      </c>
      <c r="L227">
        <v>5</v>
      </c>
      <c r="M227">
        <v>5</v>
      </c>
      <c r="N227">
        <v>7</v>
      </c>
      <c r="O227">
        <v>8</v>
      </c>
      <c r="P227">
        <v>8</v>
      </c>
      <c r="Q227">
        <v>11</v>
      </c>
      <c r="R227">
        <v>11</v>
      </c>
      <c r="S227">
        <v>11</v>
      </c>
      <c r="T227">
        <v>11</v>
      </c>
      <c r="U227">
        <v>11</v>
      </c>
      <c r="V227">
        <v>11</v>
      </c>
      <c r="W227">
        <v>11</v>
      </c>
      <c r="X227">
        <v>11</v>
      </c>
      <c r="Y227">
        <v>12</v>
      </c>
      <c r="Z227">
        <v>12</v>
      </c>
      <c r="AA227">
        <v>13</v>
      </c>
      <c r="AB227">
        <v>13</v>
      </c>
      <c r="AC227">
        <v>13</v>
      </c>
      <c r="AD227">
        <v>13</v>
      </c>
      <c r="AE227">
        <v>13</v>
      </c>
      <c r="AF227">
        <v>13</v>
      </c>
      <c r="AG227">
        <v>13</v>
      </c>
      <c r="AH227">
        <v>13</v>
      </c>
      <c r="AI227">
        <v>15</v>
      </c>
      <c r="AJ227">
        <v>15</v>
      </c>
      <c r="AK227">
        <v>15</v>
      </c>
      <c r="AL227">
        <v>51</v>
      </c>
      <c r="AM227">
        <v>51</v>
      </c>
      <c r="AN227">
        <v>57</v>
      </c>
      <c r="AO227">
        <v>58</v>
      </c>
      <c r="AP227">
        <v>60</v>
      </c>
      <c r="AQ227">
        <v>68</v>
      </c>
      <c r="AR227">
        <v>74</v>
      </c>
      <c r="AS227">
        <v>98</v>
      </c>
      <c r="AT227">
        <v>118</v>
      </c>
      <c r="AU227">
        <v>149</v>
      </c>
      <c r="AV227">
        <v>217</v>
      </c>
      <c r="AW227">
        <v>262</v>
      </c>
      <c r="AX227">
        <v>402</v>
      </c>
      <c r="AY227">
        <v>518</v>
      </c>
      <c r="AZ227">
        <v>583</v>
      </c>
      <c r="BA227">
        <v>959</v>
      </c>
      <c r="BB227">
        <v>1281</v>
      </c>
      <c r="BC227">
        <v>1663</v>
      </c>
      <c r="BD227">
        <v>2179</v>
      </c>
      <c r="BE227">
        <v>2727</v>
      </c>
      <c r="BF227">
        <v>3499</v>
      </c>
      <c r="BG227">
        <v>4632</v>
      </c>
      <c r="BH227">
        <v>6421</v>
      </c>
      <c r="BI227">
        <v>7783</v>
      </c>
      <c r="BJ227">
        <v>13747</v>
      </c>
      <c r="BK227">
        <v>19273</v>
      </c>
      <c r="BL227">
        <v>25600</v>
      </c>
      <c r="BM227">
        <v>33276</v>
      </c>
      <c r="BN227">
        <v>43843</v>
      </c>
      <c r="BO227">
        <v>53736</v>
      </c>
      <c r="BP227">
        <v>65778</v>
      </c>
      <c r="BQ227">
        <v>83836</v>
      </c>
      <c r="BR227">
        <v>101657</v>
      </c>
      <c r="BS227">
        <v>121465</v>
      </c>
      <c r="BT227">
        <v>140909</v>
      </c>
      <c r="BU227">
        <v>161831</v>
      </c>
      <c r="BV227">
        <v>188172</v>
      </c>
      <c r="BW227">
        <v>213242</v>
      </c>
      <c r="BX227">
        <v>243622</v>
      </c>
      <c r="BY227">
        <v>275367</v>
      </c>
      <c r="BZ227">
        <v>308650</v>
      </c>
      <c r="CA227">
        <v>336802</v>
      </c>
      <c r="CB227">
        <v>366317</v>
      </c>
      <c r="CC227">
        <v>397121</v>
      </c>
      <c r="CD227">
        <v>428654</v>
      </c>
      <c r="CE227">
        <v>462780</v>
      </c>
      <c r="CF227">
        <v>496535</v>
      </c>
      <c r="CG227">
        <v>526396</v>
      </c>
      <c r="CH227">
        <v>555313</v>
      </c>
      <c r="CI227">
        <v>580619</v>
      </c>
      <c r="CJ227">
        <v>607670</v>
      </c>
      <c r="CK227">
        <v>636350</v>
      </c>
      <c r="CL227">
        <v>667592</v>
      </c>
      <c r="CM227">
        <v>699706</v>
      </c>
      <c r="CN227">
        <v>732197</v>
      </c>
      <c r="CO227">
        <v>758809</v>
      </c>
      <c r="CP227">
        <v>784326</v>
      </c>
      <c r="CQ227">
        <v>811865</v>
      </c>
      <c r="CR227">
        <v>840351</v>
      </c>
      <c r="CS227">
        <v>869170</v>
      </c>
      <c r="CT227">
        <v>905358</v>
      </c>
      <c r="CU227">
        <v>938154</v>
      </c>
      <c r="CV227">
        <v>965785</v>
      </c>
      <c r="CW227">
        <v>988197</v>
      </c>
      <c r="CX227">
        <v>1012582</v>
      </c>
      <c r="CY227">
        <v>1039909</v>
      </c>
      <c r="CZ227">
        <v>1069424</v>
      </c>
      <c r="DA227">
        <v>1103461</v>
      </c>
      <c r="DB227">
        <v>1132539</v>
      </c>
    </row>
    <row r="228" spans="1:106" x14ac:dyDescent="0.25">
      <c r="B228" t="s">
        <v>494</v>
      </c>
      <c r="C228">
        <v>41.377499999999998</v>
      </c>
      <c r="D228">
        <v>64.585300000000004</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1</v>
      </c>
      <c r="BG228">
        <v>6</v>
      </c>
      <c r="BH228">
        <v>10</v>
      </c>
      <c r="BI228">
        <v>15</v>
      </c>
      <c r="BJ228">
        <v>23</v>
      </c>
      <c r="BK228">
        <v>33</v>
      </c>
      <c r="BL228">
        <v>43</v>
      </c>
      <c r="BM228">
        <v>43</v>
      </c>
      <c r="BN228">
        <v>46</v>
      </c>
      <c r="BO228">
        <v>50</v>
      </c>
      <c r="BP228">
        <v>60</v>
      </c>
      <c r="BQ228">
        <v>75</v>
      </c>
      <c r="BR228">
        <v>88</v>
      </c>
      <c r="BS228">
        <v>104</v>
      </c>
      <c r="BT228">
        <v>144</v>
      </c>
      <c r="BU228">
        <v>149</v>
      </c>
      <c r="BV228">
        <v>172</v>
      </c>
      <c r="BW228">
        <v>181</v>
      </c>
      <c r="BX228">
        <v>205</v>
      </c>
      <c r="BY228">
        <v>227</v>
      </c>
      <c r="BZ228">
        <v>266</v>
      </c>
      <c r="CA228">
        <v>342</v>
      </c>
      <c r="CB228">
        <v>457</v>
      </c>
      <c r="CC228">
        <v>520</v>
      </c>
      <c r="CD228">
        <v>545</v>
      </c>
      <c r="CE228">
        <v>582</v>
      </c>
      <c r="CF228">
        <v>624</v>
      </c>
      <c r="CG228">
        <v>767</v>
      </c>
      <c r="CH228">
        <v>865</v>
      </c>
      <c r="CI228">
        <v>998</v>
      </c>
      <c r="CJ228">
        <v>1165</v>
      </c>
      <c r="CK228">
        <v>1302</v>
      </c>
      <c r="CL228">
        <v>1349</v>
      </c>
      <c r="CM228">
        <v>1405</v>
      </c>
      <c r="CN228">
        <v>1490</v>
      </c>
      <c r="CO228">
        <v>1565</v>
      </c>
      <c r="CP228">
        <v>1627</v>
      </c>
      <c r="CQ228">
        <v>1678</v>
      </c>
      <c r="CR228">
        <v>1716</v>
      </c>
      <c r="CS228">
        <v>1758</v>
      </c>
      <c r="CT228">
        <v>1804</v>
      </c>
      <c r="CU228">
        <v>1862</v>
      </c>
      <c r="CV228">
        <v>1869</v>
      </c>
      <c r="CW228">
        <v>1904</v>
      </c>
      <c r="CX228">
        <v>1939</v>
      </c>
      <c r="CY228">
        <v>2002</v>
      </c>
      <c r="CZ228">
        <v>2039</v>
      </c>
      <c r="DA228">
        <v>2086</v>
      </c>
      <c r="DB228">
        <v>2118</v>
      </c>
    </row>
    <row r="229" spans="1:106" x14ac:dyDescent="0.25">
      <c r="B229" t="s">
        <v>361</v>
      </c>
      <c r="C229">
        <v>6.4238</v>
      </c>
      <c r="D229">
        <v>-66.589699999999993</v>
      </c>
      <c r="E229">
        <v>0</v>
      </c>
      <c r="F229">
        <v>0</v>
      </c>
      <c r="G229">
        <v>0</v>
      </c>
      <c r="H229">
        <v>0</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2</v>
      </c>
      <c r="BF229">
        <v>10</v>
      </c>
      <c r="BG229">
        <v>17</v>
      </c>
      <c r="BH229">
        <v>33</v>
      </c>
      <c r="BI229">
        <v>36</v>
      </c>
      <c r="BJ229">
        <v>42</v>
      </c>
      <c r="BK229">
        <v>42</v>
      </c>
      <c r="BL229">
        <v>70</v>
      </c>
      <c r="BM229">
        <v>70</v>
      </c>
      <c r="BN229">
        <v>77</v>
      </c>
      <c r="BO229">
        <v>84</v>
      </c>
      <c r="BP229">
        <v>91</v>
      </c>
      <c r="BQ229">
        <v>107</v>
      </c>
      <c r="BR229">
        <v>107</v>
      </c>
      <c r="BS229">
        <v>119</v>
      </c>
      <c r="BT229">
        <v>119</v>
      </c>
      <c r="BU229">
        <v>135</v>
      </c>
      <c r="BV229">
        <v>135</v>
      </c>
      <c r="BW229">
        <v>143</v>
      </c>
      <c r="BX229">
        <v>146</v>
      </c>
      <c r="BY229">
        <v>153</v>
      </c>
      <c r="BZ229">
        <v>155</v>
      </c>
      <c r="CA229">
        <v>159</v>
      </c>
      <c r="CB229">
        <v>165</v>
      </c>
      <c r="CC229">
        <v>165</v>
      </c>
      <c r="CD229">
        <v>167</v>
      </c>
      <c r="CE229">
        <v>171</v>
      </c>
      <c r="CF229">
        <v>171</v>
      </c>
      <c r="CG229">
        <v>175</v>
      </c>
      <c r="CH229">
        <v>181</v>
      </c>
      <c r="CI229">
        <v>189</v>
      </c>
      <c r="CJ229">
        <v>189</v>
      </c>
      <c r="CK229">
        <v>197</v>
      </c>
      <c r="CL229">
        <v>204</v>
      </c>
      <c r="CM229">
        <v>204</v>
      </c>
      <c r="CN229">
        <v>227</v>
      </c>
      <c r="CO229">
        <v>256</v>
      </c>
      <c r="CP229">
        <v>256</v>
      </c>
      <c r="CQ229">
        <v>285</v>
      </c>
      <c r="CR229">
        <v>288</v>
      </c>
      <c r="CS229">
        <v>311</v>
      </c>
      <c r="CT229">
        <v>318</v>
      </c>
      <c r="CU229">
        <v>323</v>
      </c>
      <c r="CV229">
        <v>325</v>
      </c>
      <c r="CW229">
        <v>329</v>
      </c>
      <c r="CX229">
        <v>329</v>
      </c>
      <c r="CY229">
        <v>331</v>
      </c>
      <c r="CZ229">
        <v>333</v>
      </c>
      <c r="DA229">
        <v>335</v>
      </c>
      <c r="DB229">
        <v>345</v>
      </c>
    </row>
    <row r="230" spans="1:106" x14ac:dyDescent="0.25">
      <c r="B230" t="s">
        <v>41</v>
      </c>
      <c r="C230">
        <v>16</v>
      </c>
      <c r="D230">
        <v>108</v>
      </c>
      <c r="E230">
        <v>0</v>
      </c>
      <c r="F230">
        <v>2</v>
      </c>
      <c r="G230">
        <v>2</v>
      </c>
      <c r="H230">
        <v>2</v>
      </c>
      <c r="I230">
        <v>2</v>
      </c>
      <c r="J230">
        <v>2</v>
      </c>
      <c r="K230">
        <v>2</v>
      </c>
      <c r="L230">
        <v>2</v>
      </c>
      <c r="M230">
        <v>2</v>
      </c>
      <c r="N230">
        <v>2</v>
      </c>
      <c r="O230">
        <v>6</v>
      </c>
      <c r="P230">
        <v>6</v>
      </c>
      <c r="Q230">
        <v>8</v>
      </c>
      <c r="R230">
        <v>8</v>
      </c>
      <c r="S230">
        <v>8</v>
      </c>
      <c r="T230">
        <v>10</v>
      </c>
      <c r="U230">
        <v>10</v>
      </c>
      <c r="V230">
        <v>13</v>
      </c>
      <c r="W230">
        <v>13</v>
      </c>
      <c r="X230">
        <v>14</v>
      </c>
      <c r="Y230">
        <v>15</v>
      </c>
      <c r="Z230">
        <v>15</v>
      </c>
      <c r="AA230">
        <v>16</v>
      </c>
      <c r="AB230">
        <v>16</v>
      </c>
      <c r="AC230">
        <v>16</v>
      </c>
      <c r="AD230">
        <v>16</v>
      </c>
      <c r="AE230">
        <v>16</v>
      </c>
      <c r="AF230">
        <v>16</v>
      </c>
      <c r="AG230">
        <v>16</v>
      </c>
      <c r="AH230">
        <v>16</v>
      </c>
      <c r="AI230">
        <v>16</v>
      </c>
      <c r="AJ230">
        <v>16</v>
      </c>
      <c r="AK230">
        <v>16</v>
      </c>
      <c r="AL230">
        <v>16</v>
      </c>
      <c r="AM230">
        <v>16</v>
      </c>
      <c r="AN230">
        <v>16</v>
      </c>
      <c r="AO230">
        <v>16</v>
      </c>
      <c r="AP230">
        <v>16</v>
      </c>
      <c r="AQ230">
        <v>16</v>
      </c>
      <c r="AR230">
        <v>16</v>
      </c>
      <c r="AS230">
        <v>16</v>
      </c>
      <c r="AT230">
        <v>16</v>
      </c>
      <c r="AU230">
        <v>16</v>
      </c>
      <c r="AV230">
        <v>16</v>
      </c>
      <c r="AW230">
        <v>16</v>
      </c>
      <c r="AX230">
        <v>18</v>
      </c>
      <c r="AY230">
        <v>30</v>
      </c>
      <c r="AZ230">
        <v>30</v>
      </c>
      <c r="BA230">
        <v>31</v>
      </c>
      <c r="BB230">
        <v>38</v>
      </c>
      <c r="BC230">
        <v>39</v>
      </c>
      <c r="BD230">
        <v>47</v>
      </c>
      <c r="BE230">
        <v>53</v>
      </c>
      <c r="BF230">
        <v>56</v>
      </c>
      <c r="BG230">
        <v>61</v>
      </c>
      <c r="BH230">
        <v>66</v>
      </c>
      <c r="BI230">
        <v>75</v>
      </c>
      <c r="BJ230">
        <v>85</v>
      </c>
      <c r="BK230">
        <v>91</v>
      </c>
      <c r="BL230">
        <v>94</v>
      </c>
      <c r="BM230">
        <v>113</v>
      </c>
      <c r="BN230">
        <v>123</v>
      </c>
      <c r="BO230">
        <v>134</v>
      </c>
      <c r="BP230">
        <v>141</v>
      </c>
      <c r="BQ230">
        <v>153</v>
      </c>
      <c r="BR230">
        <v>163</v>
      </c>
      <c r="BS230">
        <v>174</v>
      </c>
      <c r="BT230">
        <v>188</v>
      </c>
      <c r="BU230">
        <v>203</v>
      </c>
      <c r="BV230">
        <v>212</v>
      </c>
      <c r="BW230">
        <v>218</v>
      </c>
      <c r="BX230">
        <v>233</v>
      </c>
      <c r="BY230">
        <v>237</v>
      </c>
      <c r="BZ230">
        <v>240</v>
      </c>
      <c r="CA230">
        <v>241</v>
      </c>
      <c r="CB230">
        <v>245</v>
      </c>
      <c r="CC230">
        <v>249</v>
      </c>
      <c r="CD230">
        <v>251</v>
      </c>
      <c r="CE230">
        <v>255</v>
      </c>
      <c r="CF230">
        <v>257</v>
      </c>
      <c r="CG230">
        <v>258</v>
      </c>
      <c r="CH230">
        <v>262</v>
      </c>
      <c r="CI230">
        <v>265</v>
      </c>
      <c r="CJ230">
        <v>266</v>
      </c>
      <c r="CK230">
        <v>267</v>
      </c>
      <c r="CL230">
        <v>268</v>
      </c>
      <c r="CM230">
        <v>268</v>
      </c>
      <c r="CN230">
        <v>268</v>
      </c>
      <c r="CO230">
        <v>268</v>
      </c>
      <c r="CP230">
        <v>268</v>
      </c>
      <c r="CQ230">
        <v>268</v>
      </c>
      <c r="CR230">
        <v>268</v>
      </c>
      <c r="CS230">
        <v>268</v>
      </c>
      <c r="CT230">
        <v>270</v>
      </c>
      <c r="CU230">
        <v>270</v>
      </c>
      <c r="CV230">
        <v>270</v>
      </c>
      <c r="CW230">
        <v>270</v>
      </c>
      <c r="CX230">
        <v>270</v>
      </c>
      <c r="CY230">
        <v>270</v>
      </c>
      <c r="CZ230">
        <v>270</v>
      </c>
      <c r="DA230">
        <v>270</v>
      </c>
      <c r="DB230">
        <v>270</v>
      </c>
    </row>
    <row r="231" spans="1:106" x14ac:dyDescent="0.25">
      <c r="B231" t="s">
        <v>670</v>
      </c>
      <c r="C231">
        <v>-15.416700000000001</v>
      </c>
      <c r="D231">
        <v>28.283300000000001</v>
      </c>
      <c r="E231">
        <v>0</v>
      </c>
      <c r="F231">
        <v>0</v>
      </c>
      <c r="G231">
        <v>0</v>
      </c>
      <c r="H231">
        <v>0</v>
      </c>
      <c r="I231">
        <v>0</v>
      </c>
      <c r="J231">
        <v>0</v>
      </c>
      <c r="K231">
        <v>0</v>
      </c>
      <c r="L231">
        <v>0</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2</v>
      </c>
      <c r="BJ231">
        <v>2</v>
      </c>
      <c r="BK231">
        <v>2</v>
      </c>
      <c r="BL231">
        <v>2</v>
      </c>
      <c r="BM231">
        <v>3</v>
      </c>
      <c r="BN231">
        <v>3</v>
      </c>
      <c r="BO231">
        <v>3</v>
      </c>
      <c r="BP231">
        <v>12</v>
      </c>
      <c r="BQ231">
        <v>16</v>
      </c>
      <c r="BR231">
        <v>22</v>
      </c>
      <c r="BS231">
        <v>28</v>
      </c>
      <c r="BT231">
        <v>29</v>
      </c>
      <c r="BU231">
        <v>35</v>
      </c>
      <c r="BV231">
        <v>35</v>
      </c>
      <c r="BW231">
        <v>36</v>
      </c>
      <c r="BX231">
        <v>39</v>
      </c>
      <c r="BY231">
        <v>39</v>
      </c>
      <c r="BZ231">
        <v>39</v>
      </c>
      <c r="CA231">
        <v>39</v>
      </c>
      <c r="CB231">
        <v>39</v>
      </c>
      <c r="CC231">
        <v>39</v>
      </c>
      <c r="CD231">
        <v>39</v>
      </c>
      <c r="CE231">
        <v>39</v>
      </c>
      <c r="CF231">
        <v>40</v>
      </c>
      <c r="CG231">
        <v>40</v>
      </c>
      <c r="CH231">
        <v>43</v>
      </c>
      <c r="CI231">
        <v>45</v>
      </c>
      <c r="CJ231">
        <v>45</v>
      </c>
      <c r="CK231">
        <v>48</v>
      </c>
      <c r="CL231">
        <v>48</v>
      </c>
      <c r="CM231">
        <v>52</v>
      </c>
      <c r="CN231">
        <v>57</v>
      </c>
      <c r="CO231">
        <v>61</v>
      </c>
      <c r="CP231">
        <v>65</v>
      </c>
      <c r="CQ231">
        <v>70</v>
      </c>
      <c r="CR231">
        <v>74</v>
      </c>
      <c r="CS231">
        <v>76</v>
      </c>
      <c r="CT231">
        <v>84</v>
      </c>
      <c r="CU231">
        <v>84</v>
      </c>
      <c r="CV231">
        <v>88</v>
      </c>
      <c r="CW231">
        <v>88</v>
      </c>
      <c r="CX231">
        <v>95</v>
      </c>
      <c r="CY231">
        <v>97</v>
      </c>
      <c r="CZ231">
        <v>106</v>
      </c>
      <c r="DA231">
        <v>109</v>
      </c>
      <c r="DB231">
        <v>119</v>
      </c>
    </row>
    <row r="232" spans="1:106" x14ac:dyDescent="0.25">
      <c r="B232" t="s">
        <v>747</v>
      </c>
      <c r="C232">
        <v>-20</v>
      </c>
      <c r="D232">
        <v>30</v>
      </c>
      <c r="E232">
        <v>0</v>
      </c>
      <c r="F232">
        <v>0</v>
      </c>
      <c r="G232">
        <v>0</v>
      </c>
      <c r="H232">
        <v>0</v>
      </c>
      <c r="I232">
        <v>0</v>
      </c>
      <c r="J232">
        <v>0</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1</v>
      </c>
      <c r="BL232">
        <v>3</v>
      </c>
      <c r="BM232">
        <v>3</v>
      </c>
      <c r="BN232">
        <v>3</v>
      </c>
      <c r="BO232">
        <v>3</v>
      </c>
      <c r="BP232">
        <v>3</v>
      </c>
      <c r="BQ232">
        <v>3</v>
      </c>
      <c r="BR232">
        <v>5</v>
      </c>
      <c r="BS232">
        <v>7</v>
      </c>
      <c r="BT232">
        <v>7</v>
      </c>
      <c r="BU232">
        <v>7</v>
      </c>
      <c r="BV232">
        <v>8</v>
      </c>
      <c r="BW232">
        <v>8</v>
      </c>
      <c r="BX232">
        <v>9</v>
      </c>
      <c r="BY232">
        <v>9</v>
      </c>
      <c r="BZ232">
        <v>9</v>
      </c>
      <c r="CA232">
        <v>9</v>
      </c>
      <c r="CB232">
        <v>10</v>
      </c>
      <c r="CC232">
        <v>11</v>
      </c>
      <c r="CD232">
        <v>11</v>
      </c>
      <c r="CE232">
        <v>11</v>
      </c>
      <c r="CF232">
        <v>13</v>
      </c>
      <c r="CG232">
        <v>14</v>
      </c>
      <c r="CH232">
        <v>14</v>
      </c>
      <c r="CI232">
        <v>17</v>
      </c>
      <c r="CJ232">
        <v>17</v>
      </c>
      <c r="CK232">
        <v>23</v>
      </c>
      <c r="CL232">
        <v>23</v>
      </c>
      <c r="CM232">
        <v>24</v>
      </c>
      <c r="CN232">
        <v>25</v>
      </c>
      <c r="CO232">
        <v>25</v>
      </c>
      <c r="CP232">
        <v>25</v>
      </c>
      <c r="CQ232">
        <v>28</v>
      </c>
      <c r="CR232">
        <v>28</v>
      </c>
      <c r="CS232">
        <v>28</v>
      </c>
      <c r="CT232">
        <v>29</v>
      </c>
      <c r="CU232">
        <v>31</v>
      </c>
      <c r="CV232">
        <v>31</v>
      </c>
      <c r="CW232">
        <v>32</v>
      </c>
      <c r="CX232">
        <v>32</v>
      </c>
      <c r="CY232">
        <v>32</v>
      </c>
      <c r="CZ232">
        <v>40</v>
      </c>
      <c r="DA232">
        <v>40</v>
      </c>
      <c r="DB232">
        <v>34</v>
      </c>
    </row>
    <row r="233" spans="1:106" x14ac:dyDescent="0.25">
      <c r="A233" t="s">
        <v>147</v>
      </c>
      <c r="B233" t="s">
        <v>46</v>
      </c>
      <c r="C233">
        <v>0</v>
      </c>
      <c r="D233">
        <v>0</v>
      </c>
      <c r="E233">
        <v>0</v>
      </c>
      <c r="F233">
        <v>0</v>
      </c>
      <c r="G233">
        <v>0</v>
      </c>
      <c r="H233">
        <v>0</v>
      </c>
      <c r="I233">
        <v>0</v>
      </c>
      <c r="J233">
        <v>0</v>
      </c>
      <c r="K233">
        <v>0</v>
      </c>
      <c r="L233">
        <v>0</v>
      </c>
      <c r="M233">
        <v>0</v>
      </c>
      <c r="N233">
        <v>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0</v>
      </c>
      <c r="BJ233">
        <v>0</v>
      </c>
      <c r="BK233">
        <v>0</v>
      </c>
      <c r="BL233">
        <v>0</v>
      </c>
      <c r="BM233">
        <v>0</v>
      </c>
      <c r="BN233">
        <v>0</v>
      </c>
      <c r="BO233">
        <v>0</v>
      </c>
      <c r="BP233">
        <v>0</v>
      </c>
      <c r="BQ233">
        <v>0</v>
      </c>
      <c r="BR233">
        <v>0</v>
      </c>
      <c r="BS233">
        <v>0</v>
      </c>
      <c r="BT233">
        <v>0</v>
      </c>
      <c r="BU233">
        <v>0</v>
      </c>
      <c r="BV233">
        <v>0</v>
      </c>
      <c r="BW233">
        <v>0</v>
      </c>
      <c r="BX233">
        <v>0</v>
      </c>
      <c r="BY233">
        <v>0</v>
      </c>
      <c r="BZ233">
        <v>0</v>
      </c>
      <c r="CA233">
        <v>0</v>
      </c>
      <c r="CB233">
        <v>0</v>
      </c>
      <c r="CC233">
        <v>0</v>
      </c>
      <c r="CD233">
        <v>0</v>
      </c>
      <c r="CE233">
        <v>0</v>
      </c>
      <c r="CF233">
        <v>0</v>
      </c>
      <c r="CG233">
        <v>0</v>
      </c>
      <c r="CH233">
        <v>0</v>
      </c>
      <c r="CI233">
        <v>0</v>
      </c>
      <c r="CJ233">
        <v>0</v>
      </c>
      <c r="CK233">
        <v>0</v>
      </c>
      <c r="CL233">
        <v>0</v>
      </c>
      <c r="CM233">
        <v>0</v>
      </c>
      <c r="CN233">
        <v>0</v>
      </c>
      <c r="CO233">
        <v>0</v>
      </c>
      <c r="CP233">
        <v>0</v>
      </c>
      <c r="CQ233">
        <v>0</v>
      </c>
      <c r="CR233">
        <v>0</v>
      </c>
      <c r="CS233">
        <v>0</v>
      </c>
      <c r="CT233">
        <v>0</v>
      </c>
      <c r="CU233">
        <v>0</v>
      </c>
      <c r="CV233">
        <v>0</v>
      </c>
      <c r="CW233">
        <v>0</v>
      </c>
      <c r="CX233">
        <v>0</v>
      </c>
      <c r="CY233">
        <v>0</v>
      </c>
      <c r="CZ233">
        <v>0</v>
      </c>
      <c r="DA233">
        <v>1</v>
      </c>
      <c r="DB233">
        <v>1</v>
      </c>
    </row>
    <row r="234" spans="1:106" x14ac:dyDescent="0.25">
      <c r="B234" t="s">
        <v>977</v>
      </c>
      <c r="C234">
        <v>15.414999999999999</v>
      </c>
      <c r="D234">
        <v>-61.371000000000002</v>
      </c>
      <c r="E234">
        <v>0</v>
      </c>
      <c r="F234">
        <v>0</v>
      </c>
      <c r="G234">
        <v>0</v>
      </c>
      <c r="H234">
        <v>0</v>
      </c>
      <c r="I234">
        <v>0</v>
      </c>
      <c r="J234">
        <v>0</v>
      </c>
      <c r="K234">
        <v>0</v>
      </c>
      <c r="L234">
        <v>0</v>
      </c>
      <c r="M234">
        <v>0</v>
      </c>
      <c r="N234">
        <v>0</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c r="BL234">
        <v>0</v>
      </c>
      <c r="BM234">
        <v>1</v>
      </c>
      <c r="BN234">
        <v>2</v>
      </c>
      <c r="BO234">
        <v>2</v>
      </c>
      <c r="BP234">
        <v>7</v>
      </c>
      <c r="BQ234">
        <v>11</v>
      </c>
      <c r="BR234">
        <v>11</v>
      </c>
      <c r="BS234">
        <v>11</v>
      </c>
      <c r="BT234">
        <v>11</v>
      </c>
      <c r="BU234">
        <v>11</v>
      </c>
      <c r="BV234">
        <v>12</v>
      </c>
      <c r="BW234">
        <v>12</v>
      </c>
      <c r="BX234">
        <v>12</v>
      </c>
      <c r="BY234">
        <v>12</v>
      </c>
      <c r="BZ234">
        <v>14</v>
      </c>
      <c r="CA234">
        <v>14</v>
      </c>
      <c r="CB234">
        <v>15</v>
      </c>
      <c r="CC234">
        <v>15</v>
      </c>
      <c r="CD234">
        <v>15</v>
      </c>
      <c r="CE234">
        <v>15</v>
      </c>
      <c r="CF234">
        <v>16</v>
      </c>
      <c r="CG234">
        <v>16</v>
      </c>
      <c r="CH234">
        <v>16</v>
      </c>
      <c r="CI234">
        <v>16</v>
      </c>
      <c r="CJ234">
        <v>16</v>
      </c>
      <c r="CK234">
        <v>16</v>
      </c>
      <c r="CL234">
        <v>16</v>
      </c>
      <c r="CM234">
        <v>16</v>
      </c>
      <c r="CN234">
        <v>16</v>
      </c>
      <c r="CO234">
        <v>16</v>
      </c>
      <c r="CP234">
        <v>16</v>
      </c>
      <c r="CQ234">
        <v>16</v>
      </c>
      <c r="CR234">
        <v>16</v>
      </c>
      <c r="CS234">
        <v>16</v>
      </c>
      <c r="CT234">
        <v>16</v>
      </c>
      <c r="CU234">
        <v>16</v>
      </c>
      <c r="CV234">
        <v>16</v>
      </c>
      <c r="CW234">
        <v>16</v>
      </c>
      <c r="CX234">
        <v>16</v>
      </c>
      <c r="CY234">
        <v>16</v>
      </c>
      <c r="CZ234">
        <v>16</v>
      </c>
      <c r="DA234">
        <v>16</v>
      </c>
      <c r="DB234">
        <v>16</v>
      </c>
    </row>
    <row r="235" spans="1:106" x14ac:dyDescent="0.25">
      <c r="B235" t="s">
        <v>978</v>
      </c>
      <c r="C235">
        <v>12.1165</v>
      </c>
      <c r="D235">
        <v>-61.678999999999995</v>
      </c>
      <c r="E235">
        <v>0</v>
      </c>
      <c r="F235">
        <v>0</v>
      </c>
      <c r="G235">
        <v>0</v>
      </c>
      <c r="H235">
        <v>0</v>
      </c>
      <c r="I235">
        <v>0</v>
      </c>
      <c r="J235">
        <v>0</v>
      </c>
      <c r="K235">
        <v>0</v>
      </c>
      <c r="L235">
        <v>0</v>
      </c>
      <c r="M235">
        <v>0</v>
      </c>
      <c r="N235">
        <v>0</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v>0</v>
      </c>
      <c r="BE235">
        <v>0</v>
      </c>
      <c r="BF235">
        <v>0</v>
      </c>
      <c r="BG235">
        <v>0</v>
      </c>
      <c r="BH235">
        <v>0</v>
      </c>
      <c r="BI235">
        <v>0</v>
      </c>
      <c r="BJ235">
        <v>0</v>
      </c>
      <c r="BK235">
        <v>0</v>
      </c>
      <c r="BL235">
        <v>0</v>
      </c>
      <c r="BM235">
        <v>1</v>
      </c>
      <c r="BN235">
        <v>1</v>
      </c>
      <c r="BO235">
        <v>1</v>
      </c>
      <c r="BP235">
        <v>1</v>
      </c>
      <c r="BQ235">
        <v>7</v>
      </c>
      <c r="BR235">
        <v>7</v>
      </c>
      <c r="BS235">
        <v>7</v>
      </c>
      <c r="BT235">
        <v>9</v>
      </c>
      <c r="BU235">
        <v>9</v>
      </c>
      <c r="BV235">
        <v>9</v>
      </c>
      <c r="BW235">
        <v>9</v>
      </c>
      <c r="BX235">
        <v>10</v>
      </c>
      <c r="BY235">
        <v>12</v>
      </c>
      <c r="BZ235">
        <v>12</v>
      </c>
      <c r="CA235">
        <v>12</v>
      </c>
      <c r="CB235">
        <v>12</v>
      </c>
      <c r="CC235">
        <v>12</v>
      </c>
      <c r="CD235">
        <v>12</v>
      </c>
      <c r="CE235">
        <v>12</v>
      </c>
      <c r="CF235">
        <v>14</v>
      </c>
      <c r="CG235">
        <v>14</v>
      </c>
      <c r="CH235">
        <v>14</v>
      </c>
      <c r="CI235">
        <v>14</v>
      </c>
      <c r="CJ235">
        <v>14</v>
      </c>
      <c r="CK235">
        <v>14</v>
      </c>
      <c r="CL235">
        <v>14</v>
      </c>
      <c r="CM235">
        <v>14</v>
      </c>
      <c r="CN235">
        <v>14</v>
      </c>
      <c r="CO235">
        <v>14</v>
      </c>
      <c r="CP235">
        <v>14</v>
      </c>
      <c r="CQ235">
        <v>14</v>
      </c>
      <c r="CR235">
        <v>15</v>
      </c>
      <c r="CS235">
        <v>15</v>
      </c>
      <c r="CT235">
        <v>15</v>
      </c>
      <c r="CU235">
        <v>18</v>
      </c>
      <c r="CV235">
        <v>18</v>
      </c>
      <c r="CW235">
        <v>18</v>
      </c>
      <c r="CX235">
        <v>19</v>
      </c>
      <c r="CY235">
        <v>20</v>
      </c>
      <c r="CZ235">
        <v>20</v>
      </c>
      <c r="DA235">
        <v>20</v>
      </c>
      <c r="DB235">
        <v>21</v>
      </c>
    </row>
    <row r="236" spans="1:106" x14ac:dyDescent="0.25">
      <c r="B236" t="s">
        <v>979</v>
      </c>
      <c r="C236">
        <v>-18.665694999999999</v>
      </c>
      <c r="D236">
        <v>35.529561999999999</v>
      </c>
      <c r="E236">
        <v>0</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c r="BL236">
        <v>0</v>
      </c>
      <c r="BM236">
        <v>1</v>
      </c>
      <c r="BN236">
        <v>1</v>
      </c>
      <c r="BO236">
        <v>3</v>
      </c>
      <c r="BP236">
        <v>5</v>
      </c>
      <c r="BQ236">
        <v>7</v>
      </c>
      <c r="BR236">
        <v>7</v>
      </c>
      <c r="BS236">
        <v>8</v>
      </c>
      <c r="BT236">
        <v>8</v>
      </c>
      <c r="BU236">
        <v>8</v>
      </c>
      <c r="BV236">
        <v>8</v>
      </c>
      <c r="BW236">
        <v>10</v>
      </c>
      <c r="BX236">
        <v>10</v>
      </c>
      <c r="BY236">
        <v>10</v>
      </c>
      <c r="BZ236">
        <v>10</v>
      </c>
      <c r="CA236">
        <v>10</v>
      </c>
      <c r="CB236">
        <v>10</v>
      </c>
      <c r="CC236">
        <v>10</v>
      </c>
      <c r="CD236">
        <v>17</v>
      </c>
      <c r="CE236">
        <v>17</v>
      </c>
      <c r="CF236">
        <v>20</v>
      </c>
      <c r="CG236">
        <v>20</v>
      </c>
      <c r="CH236">
        <v>21</v>
      </c>
      <c r="CI236">
        <v>21</v>
      </c>
      <c r="CJ236">
        <v>28</v>
      </c>
      <c r="CK236">
        <v>29</v>
      </c>
      <c r="CL236">
        <v>31</v>
      </c>
      <c r="CM236">
        <v>34</v>
      </c>
      <c r="CN236">
        <v>35</v>
      </c>
      <c r="CO236">
        <v>39</v>
      </c>
      <c r="CP236">
        <v>39</v>
      </c>
      <c r="CQ236">
        <v>39</v>
      </c>
      <c r="CR236">
        <v>41</v>
      </c>
      <c r="CS236">
        <v>46</v>
      </c>
      <c r="CT236">
        <v>65</v>
      </c>
      <c r="CU236">
        <v>70</v>
      </c>
      <c r="CV236">
        <v>76</v>
      </c>
      <c r="CW236">
        <v>76</v>
      </c>
      <c r="CX236">
        <v>76</v>
      </c>
      <c r="CY236">
        <v>76</v>
      </c>
      <c r="CZ236">
        <v>76</v>
      </c>
      <c r="DA236">
        <v>79</v>
      </c>
      <c r="DB236">
        <v>79</v>
      </c>
    </row>
    <row r="237" spans="1:106" x14ac:dyDescent="0.25">
      <c r="B237" t="s">
        <v>980</v>
      </c>
      <c r="C237">
        <v>34.802075000000002</v>
      </c>
      <c r="D237">
        <v>38.996815000000012</v>
      </c>
      <c r="E237">
        <v>0</v>
      </c>
      <c r="F237">
        <v>0</v>
      </c>
      <c r="G237">
        <v>0</v>
      </c>
      <c r="H237">
        <v>0</v>
      </c>
      <c r="I237">
        <v>0</v>
      </c>
      <c r="J237">
        <v>0</v>
      </c>
      <c r="K237">
        <v>0</v>
      </c>
      <c r="L237">
        <v>0</v>
      </c>
      <c r="M237">
        <v>0</v>
      </c>
      <c r="N237">
        <v>0</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0</v>
      </c>
      <c r="BL237">
        <v>0</v>
      </c>
      <c r="BM237">
        <v>1</v>
      </c>
      <c r="BN237">
        <v>1</v>
      </c>
      <c r="BO237">
        <v>1</v>
      </c>
      <c r="BP237">
        <v>5</v>
      </c>
      <c r="BQ237">
        <v>5</v>
      </c>
      <c r="BR237">
        <v>5</v>
      </c>
      <c r="BS237">
        <v>5</v>
      </c>
      <c r="BT237">
        <v>9</v>
      </c>
      <c r="BU237">
        <v>10</v>
      </c>
      <c r="BV237">
        <v>10</v>
      </c>
      <c r="BW237">
        <v>10</v>
      </c>
      <c r="BX237">
        <v>16</v>
      </c>
      <c r="BY237">
        <v>16</v>
      </c>
      <c r="BZ237">
        <v>16</v>
      </c>
      <c r="CA237">
        <v>19</v>
      </c>
      <c r="CB237">
        <v>19</v>
      </c>
      <c r="CC237">
        <v>19</v>
      </c>
      <c r="CD237">
        <v>19</v>
      </c>
      <c r="CE237">
        <v>19</v>
      </c>
      <c r="CF237">
        <v>19</v>
      </c>
      <c r="CG237">
        <v>25</v>
      </c>
      <c r="CH237">
        <v>25</v>
      </c>
      <c r="CI237">
        <v>25</v>
      </c>
      <c r="CJ237">
        <v>29</v>
      </c>
      <c r="CK237">
        <v>33</v>
      </c>
      <c r="CL237">
        <v>33</v>
      </c>
      <c r="CM237">
        <v>38</v>
      </c>
      <c r="CN237">
        <v>38</v>
      </c>
      <c r="CO237">
        <v>39</v>
      </c>
      <c r="CP237">
        <v>39</v>
      </c>
      <c r="CQ237">
        <v>42</v>
      </c>
      <c r="CR237">
        <v>42</v>
      </c>
      <c r="CS237">
        <v>42</v>
      </c>
      <c r="CT237">
        <v>42</v>
      </c>
      <c r="CU237">
        <v>42</v>
      </c>
      <c r="CV237">
        <v>43</v>
      </c>
      <c r="CW237">
        <v>43</v>
      </c>
      <c r="CX237">
        <v>43</v>
      </c>
      <c r="CY237">
        <v>43</v>
      </c>
      <c r="CZ237">
        <v>43</v>
      </c>
      <c r="DA237">
        <v>44</v>
      </c>
      <c r="DB237">
        <v>44</v>
      </c>
    </row>
    <row r="238" spans="1:106" x14ac:dyDescent="0.25">
      <c r="B238" t="s">
        <v>981</v>
      </c>
      <c r="C238">
        <v>-8.8742169999999998</v>
      </c>
      <c r="D238">
        <v>125.72753899999999</v>
      </c>
      <c r="E238">
        <v>0</v>
      </c>
      <c r="F238">
        <v>0</v>
      </c>
      <c r="G238">
        <v>0</v>
      </c>
      <c r="H238">
        <v>0</v>
      </c>
      <c r="I238">
        <v>0</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c r="BL238">
        <v>0</v>
      </c>
      <c r="BM238">
        <v>1</v>
      </c>
      <c r="BN238">
        <v>1</v>
      </c>
      <c r="BO238">
        <v>1</v>
      </c>
      <c r="BP238">
        <v>1</v>
      </c>
      <c r="BQ238">
        <v>1</v>
      </c>
      <c r="BR238">
        <v>1</v>
      </c>
      <c r="BS238">
        <v>1</v>
      </c>
      <c r="BT238">
        <v>1</v>
      </c>
      <c r="BU238">
        <v>1</v>
      </c>
      <c r="BV238">
        <v>1</v>
      </c>
      <c r="BW238">
        <v>1</v>
      </c>
      <c r="BX238">
        <v>1</v>
      </c>
      <c r="BY238">
        <v>1</v>
      </c>
      <c r="BZ238">
        <v>1</v>
      </c>
      <c r="CA238">
        <v>1</v>
      </c>
      <c r="CB238">
        <v>1</v>
      </c>
      <c r="CC238">
        <v>1</v>
      </c>
      <c r="CD238">
        <v>1</v>
      </c>
      <c r="CE238">
        <v>1</v>
      </c>
      <c r="CF238">
        <v>2</v>
      </c>
      <c r="CG238">
        <v>2</v>
      </c>
      <c r="CH238">
        <v>2</v>
      </c>
      <c r="CI238">
        <v>4</v>
      </c>
      <c r="CJ238">
        <v>6</v>
      </c>
      <c r="CK238">
        <v>8</v>
      </c>
      <c r="CL238">
        <v>18</v>
      </c>
      <c r="CM238">
        <v>18</v>
      </c>
      <c r="CN238">
        <v>18</v>
      </c>
      <c r="CO238">
        <v>19</v>
      </c>
      <c r="CP238">
        <v>22</v>
      </c>
      <c r="CQ238">
        <v>23</v>
      </c>
      <c r="CR238">
        <v>23</v>
      </c>
      <c r="CS238">
        <v>23</v>
      </c>
      <c r="CT238">
        <v>24</v>
      </c>
      <c r="CU238">
        <v>24</v>
      </c>
      <c r="CV238">
        <v>24</v>
      </c>
      <c r="CW238">
        <v>24</v>
      </c>
      <c r="CX238">
        <v>24</v>
      </c>
      <c r="CY238">
        <v>24</v>
      </c>
      <c r="CZ238">
        <v>24</v>
      </c>
      <c r="DA238">
        <v>24</v>
      </c>
      <c r="DB238">
        <v>24</v>
      </c>
    </row>
    <row r="239" spans="1:106" x14ac:dyDescent="0.25">
      <c r="B239" t="s">
        <v>1132</v>
      </c>
      <c r="C239">
        <v>13.193899999999999</v>
      </c>
      <c r="D239">
        <v>-59.543199999999999</v>
      </c>
      <c r="E239">
        <v>0</v>
      </c>
      <c r="F239">
        <v>0</v>
      </c>
      <c r="G239">
        <v>0</v>
      </c>
      <c r="H239">
        <v>0</v>
      </c>
      <c r="I239">
        <v>0</v>
      </c>
      <c r="J239">
        <v>0</v>
      </c>
      <c r="K239">
        <v>0</v>
      </c>
      <c r="L239">
        <v>0</v>
      </c>
      <c r="M239">
        <v>0</v>
      </c>
      <c r="N239">
        <v>0</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0</v>
      </c>
      <c r="BK239">
        <v>0</v>
      </c>
      <c r="BL239">
        <v>0</v>
      </c>
      <c r="BM239">
        <v>0</v>
      </c>
      <c r="BN239">
        <v>1</v>
      </c>
      <c r="BO239">
        <v>1</v>
      </c>
      <c r="BP239">
        <v>2</v>
      </c>
      <c r="BQ239">
        <v>2</v>
      </c>
      <c r="BR239">
        <v>2</v>
      </c>
      <c r="BS239">
        <v>2</v>
      </c>
      <c r="BT239">
        <v>2</v>
      </c>
      <c r="BU239">
        <v>3</v>
      </c>
      <c r="BV239">
        <v>3</v>
      </c>
      <c r="BW239">
        <v>3</v>
      </c>
      <c r="BX239">
        <v>3</v>
      </c>
      <c r="BY239">
        <v>4</v>
      </c>
      <c r="BZ239">
        <v>4</v>
      </c>
      <c r="CA239">
        <v>5</v>
      </c>
      <c r="CB239">
        <v>7</v>
      </c>
      <c r="CC239">
        <v>7</v>
      </c>
      <c r="CD239">
        <v>8</v>
      </c>
      <c r="CE239">
        <v>9</v>
      </c>
      <c r="CF239">
        <v>10</v>
      </c>
      <c r="CG239">
        <v>13</v>
      </c>
      <c r="CH239">
        <v>14</v>
      </c>
      <c r="CI239">
        <v>18</v>
      </c>
      <c r="CJ239">
        <v>18</v>
      </c>
      <c r="CK239">
        <v>18</v>
      </c>
      <c r="CL239">
        <v>18</v>
      </c>
      <c r="CM239">
        <v>18</v>
      </c>
      <c r="CN239">
        <v>18</v>
      </c>
      <c r="CO239">
        <v>18</v>
      </c>
      <c r="CP239">
        <v>18</v>
      </c>
      <c r="CQ239">
        <v>18</v>
      </c>
      <c r="CR239">
        <v>18</v>
      </c>
      <c r="CS239">
        <v>18</v>
      </c>
      <c r="CT239">
        <v>18</v>
      </c>
      <c r="CU239">
        <v>18</v>
      </c>
      <c r="CV239">
        <v>18</v>
      </c>
      <c r="CW239">
        <v>18</v>
      </c>
      <c r="CX239">
        <v>18</v>
      </c>
      <c r="CY239">
        <v>18</v>
      </c>
      <c r="CZ239">
        <v>18</v>
      </c>
      <c r="DA239">
        <v>18</v>
      </c>
      <c r="DB239">
        <v>18</v>
      </c>
    </row>
    <row r="240" spans="1:106" x14ac:dyDescent="0.25">
      <c r="A240" t="s">
        <v>1133</v>
      </c>
      <c r="B240" t="s">
        <v>46</v>
      </c>
      <c r="C240">
        <v>0</v>
      </c>
      <c r="D240">
        <v>0</v>
      </c>
      <c r="E240">
        <v>0</v>
      </c>
      <c r="F240">
        <v>0</v>
      </c>
      <c r="G240">
        <v>0</v>
      </c>
      <c r="H240">
        <v>0</v>
      </c>
      <c r="I240">
        <v>0</v>
      </c>
      <c r="J240">
        <v>0</v>
      </c>
      <c r="K240">
        <v>0</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c r="BJ240">
        <v>0</v>
      </c>
      <c r="BK240">
        <v>0</v>
      </c>
      <c r="BL240">
        <v>0</v>
      </c>
      <c r="BM240">
        <v>0</v>
      </c>
      <c r="BN240">
        <v>0</v>
      </c>
      <c r="BO240">
        <v>0</v>
      </c>
      <c r="BP240">
        <v>0</v>
      </c>
      <c r="BQ240">
        <v>0</v>
      </c>
      <c r="BR240">
        <v>0</v>
      </c>
      <c r="BS240">
        <v>0</v>
      </c>
      <c r="BT240">
        <v>0</v>
      </c>
      <c r="BU240">
        <v>0</v>
      </c>
      <c r="BV240">
        <v>0</v>
      </c>
      <c r="BW240">
        <v>0</v>
      </c>
      <c r="BX240">
        <v>0</v>
      </c>
      <c r="BY240">
        <v>0</v>
      </c>
      <c r="BZ240">
        <v>0</v>
      </c>
      <c r="CA240">
        <v>0</v>
      </c>
      <c r="CB240">
        <v>0</v>
      </c>
      <c r="CC240">
        <v>0</v>
      </c>
      <c r="CD240">
        <v>0</v>
      </c>
      <c r="CE240">
        <v>0</v>
      </c>
      <c r="CF240">
        <v>0</v>
      </c>
      <c r="CG240">
        <v>0</v>
      </c>
      <c r="CH240">
        <v>0</v>
      </c>
      <c r="CI240">
        <v>0</v>
      </c>
      <c r="CJ240">
        <v>0</v>
      </c>
      <c r="CK240">
        <v>0</v>
      </c>
      <c r="CL240">
        <v>0</v>
      </c>
      <c r="CM240">
        <v>0</v>
      </c>
      <c r="CN240">
        <v>0</v>
      </c>
      <c r="CO240">
        <v>0</v>
      </c>
      <c r="CP240">
        <v>0</v>
      </c>
      <c r="CQ240">
        <v>0</v>
      </c>
      <c r="CR240">
        <v>0</v>
      </c>
      <c r="CS240">
        <v>0</v>
      </c>
      <c r="CT240">
        <v>0</v>
      </c>
      <c r="CU240">
        <v>0</v>
      </c>
      <c r="CV240">
        <v>0</v>
      </c>
      <c r="CW240">
        <v>0</v>
      </c>
      <c r="CX240">
        <v>0</v>
      </c>
      <c r="CY240">
        <v>0</v>
      </c>
      <c r="CZ240">
        <v>0</v>
      </c>
      <c r="DA240">
        <v>0</v>
      </c>
      <c r="DB240">
        <v>0</v>
      </c>
    </row>
    <row r="241" spans="1:106" x14ac:dyDescent="0.25">
      <c r="B241" t="s">
        <v>1134</v>
      </c>
      <c r="C241">
        <v>19.856270000000002</v>
      </c>
      <c r="D241">
        <v>102.495496</v>
      </c>
      <c r="E241">
        <v>0</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c r="BM241">
        <v>0</v>
      </c>
      <c r="BN241">
        <v>0</v>
      </c>
      <c r="BO241">
        <v>2</v>
      </c>
      <c r="BP241">
        <v>3</v>
      </c>
      <c r="BQ241">
        <v>6</v>
      </c>
      <c r="BR241">
        <v>6</v>
      </c>
      <c r="BS241">
        <v>8</v>
      </c>
      <c r="BT241">
        <v>8</v>
      </c>
      <c r="BU241">
        <v>8</v>
      </c>
      <c r="BV241">
        <v>9</v>
      </c>
      <c r="BW241">
        <v>10</v>
      </c>
      <c r="BX241">
        <v>10</v>
      </c>
      <c r="BY241">
        <v>10</v>
      </c>
      <c r="BZ241">
        <v>10</v>
      </c>
      <c r="CA241">
        <v>11</v>
      </c>
      <c r="CB241">
        <v>12</v>
      </c>
      <c r="CC241">
        <v>14</v>
      </c>
      <c r="CD241">
        <v>15</v>
      </c>
      <c r="CE241">
        <v>16</v>
      </c>
      <c r="CF241">
        <v>16</v>
      </c>
      <c r="CG241">
        <v>18</v>
      </c>
      <c r="CH241">
        <v>19</v>
      </c>
      <c r="CI241">
        <v>19</v>
      </c>
      <c r="CJ241">
        <v>19</v>
      </c>
      <c r="CK241">
        <v>19</v>
      </c>
      <c r="CL241">
        <v>19</v>
      </c>
      <c r="CM241">
        <v>19</v>
      </c>
      <c r="CN241">
        <v>19</v>
      </c>
      <c r="CO241">
        <v>19</v>
      </c>
      <c r="CP241">
        <v>19</v>
      </c>
      <c r="CQ241">
        <v>19</v>
      </c>
      <c r="CR241">
        <v>19</v>
      </c>
      <c r="CS241">
        <v>19</v>
      </c>
      <c r="CT241">
        <v>19</v>
      </c>
      <c r="CU241">
        <v>19</v>
      </c>
      <c r="CV241">
        <v>19</v>
      </c>
      <c r="CW241">
        <v>19</v>
      </c>
      <c r="CX241">
        <v>19</v>
      </c>
      <c r="CY241">
        <v>19</v>
      </c>
      <c r="CZ241">
        <v>19</v>
      </c>
      <c r="DA241">
        <v>19</v>
      </c>
      <c r="DB241">
        <v>19</v>
      </c>
    </row>
    <row r="242" spans="1:106" x14ac:dyDescent="0.25">
      <c r="B242" t="s">
        <v>1135</v>
      </c>
      <c r="C242">
        <v>26.335100000000001</v>
      </c>
      <c r="D242">
        <v>17.228331000000001</v>
      </c>
      <c r="E242">
        <v>0</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c r="BL242">
        <v>0</v>
      </c>
      <c r="BM242">
        <v>0</v>
      </c>
      <c r="BN242">
        <v>0</v>
      </c>
      <c r="BO242">
        <v>1</v>
      </c>
      <c r="BP242">
        <v>1</v>
      </c>
      <c r="BQ242">
        <v>1</v>
      </c>
      <c r="BR242">
        <v>1</v>
      </c>
      <c r="BS242">
        <v>3</v>
      </c>
      <c r="BT242">
        <v>8</v>
      </c>
      <c r="BU242">
        <v>8</v>
      </c>
      <c r="BV242">
        <v>10</v>
      </c>
      <c r="BW242">
        <v>10</v>
      </c>
      <c r="BX242">
        <v>11</v>
      </c>
      <c r="BY242">
        <v>11</v>
      </c>
      <c r="BZ242">
        <v>18</v>
      </c>
      <c r="CA242">
        <v>18</v>
      </c>
      <c r="CB242">
        <v>19</v>
      </c>
      <c r="CC242">
        <v>20</v>
      </c>
      <c r="CD242">
        <v>21</v>
      </c>
      <c r="CE242">
        <v>24</v>
      </c>
      <c r="CF242">
        <v>24</v>
      </c>
      <c r="CG242">
        <v>24</v>
      </c>
      <c r="CH242">
        <v>25</v>
      </c>
      <c r="CI242">
        <v>26</v>
      </c>
      <c r="CJ242">
        <v>35</v>
      </c>
      <c r="CK242">
        <v>48</v>
      </c>
      <c r="CL242">
        <v>49</v>
      </c>
      <c r="CM242">
        <v>49</v>
      </c>
      <c r="CN242">
        <v>49</v>
      </c>
      <c r="CO242">
        <v>51</v>
      </c>
      <c r="CP242">
        <v>51</v>
      </c>
      <c r="CQ242">
        <v>51</v>
      </c>
      <c r="CR242">
        <v>59</v>
      </c>
      <c r="CS242">
        <v>60</v>
      </c>
      <c r="CT242">
        <v>61</v>
      </c>
      <c r="CU242">
        <v>61</v>
      </c>
      <c r="CV242">
        <v>61</v>
      </c>
      <c r="CW242">
        <v>61</v>
      </c>
      <c r="CX242">
        <v>61</v>
      </c>
      <c r="CY242">
        <v>61</v>
      </c>
      <c r="CZ242">
        <v>61</v>
      </c>
      <c r="DA242">
        <v>63</v>
      </c>
      <c r="DB242">
        <v>63</v>
      </c>
    </row>
    <row r="243" spans="1:106" x14ac:dyDescent="0.25">
      <c r="B243" t="s">
        <v>1229</v>
      </c>
      <c r="C243">
        <v>31.952200000000001</v>
      </c>
      <c r="D243">
        <v>35.233199999999997</v>
      </c>
      <c r="E243">
        <v>0</v>
      </c>
      <c r="F243">
        <v>0</v>
      </c>
      <c r="G243">
        <v>0</v>
      </c>
      <c r="H243">
        <v>0</v>
      </c>
      <c r="I243">
        <v>0</v>
      </c>
      <c r="J243">
        <v>0</v>
      </c>
      <c r="K243">
        <v>0</v>
      </c>
      <c r="L243">
        <v>0</v>
      </c>
      <c r="M243">
        <v>0</v>
      </c>
      <c r="N243">
        <v>0</v>
      </c>
      <c r="O243">
        <v>0</v>
      </c>
      <c r="P243">
        <v>0</v>
      </c>
      <c r="Q243">
        <v>0</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4</v>
      </c>
      <c r="AW243">
        <v>7</v>
      </c>
      <c r="AX243">
        <v>16</v>
      </c>
      <c r="AY243">
        <v>16</v>
      </c>
      <c r="AZ243">
        <v>19</v>
      </c>
      <c r="BA243">
        <v>26</v>
      </c>
      <c r="BB243">
        <v>30</v>
      </c>
      <c r="BC243">
        <v>30</v>
      </c>
      <c r="BD243">
        <v>31</v>
      </c>
      <c r="BE243">
        <v>35</v>
      </c>
      <c r="BF243">
        <v>38</v>
      </c>
      <c r="BG243">
        <v>38</v>
      </c>
      <c r="BH243">
        <v>39</v>
      </c>
      <c r="BI243">
        <v>41</v>
      </c>
      <c r="BJ243">
        <v>44</v>
      </c>
      <c r="BK243">
        <v>47</v>
      </c>
      <c r="BL243">
        <v>48</v>
      </c>
      <c r="BM243">
        <v>52</v>
      </c>
      <c r="BN243">
        <v>59</v>
      </c>
      <c r="BO243">
        <v>59</v>
      </c>
      <c r="BP243">
        <v>59</v>
      </c>
      <c r="BQ243">
        <v>84</v>
      </c>
      <c r="BR243">
        <v>91</v>
      </c>
      <c r="BS243">
        <v>98</v>
      </c>
      <c r="BT243">
        <v>109</v>
      </c>
      <c r="BU243">
        <v>116</v>
      </c>
      <c r="BV243">
        <v>119</v>
      </c>
      <c r="BW243">
        <v>134</v>
      </c>
      <c r="BX243">
        <v>161</v>
      </c>
      <c r="BY243">
        <v>194</v>
      </c>
      <c r="BZ243">
        <v>217</v>
      </c>
      <c r="CA243">
        <v>237</v>
      </c>
      <c r="CB243">
        <v>254</v>
      </c>
      <c r="CC243">
        <v>261</v>
      </c>
      <c r="CD243">
        <v>263</v>
      </c>
      <c r="CE243">
        <v>263</v>
      </c>
      <c r="CF243">
        <v>267</v>
      </c>
      <c r="CG243">
        <v>268</v>
      </c>
      <c r="CH243">
        <v>290</v>
      </c>
      <c r="CI243">
        <v>308</v>
      </c>
      <c r="CJ243">
        <v>308</v>
      </c>
      <c r="CK243">
        <v>374</v>
      </c>
      <c r="CL243">
        <v>374</v>
      </c>
      <c r="CM243">
        <v>402</v>
      </c>
      <c r="CN243">
        <v>418</v>
      </c>
      <c r="CO243">
        <v>437</v>
      </c>
      <c r="CP243">
        <v>449</v>
      </c>
      <c r="CQ243">
        <v>466</v>
      </c>
      <c r="CR243">
        <v>474</v>
      </c>
      <c r="CS243">
        <v>480</v>
      </c>
      <c r="CT243">
        <v>484</v>
      </c>
      <c r="CU243">
        <v>342</v>
      </c>
      <c r="CV243">
        <v>342</v>
      </c>
      <c r="CW243">
        <v>342</v>
      </c>
      <c r="CX243">
        <v>343</v>
      </c>
      <c r="CY243">
        <v>344</v>
      </c>
      <c r="CZ243">
        <v>344</v>
      </c>
      <c r="DA243">
        <v>353</v>
      </c>
      <c r="DB243">
        <v>353</v>
      </c>
    </row>
    <row r="244" spans="1:106" x14ac:dyDescent="0.25">
      <c r="B244" t="s">
        <v>1230</v>
      </c>
      <c r="C244">
        <v>11.803699999999999</v>
      </c>
      <c r="D244">
        <v>-15.180400000000001</v>
      </c>
      <c r="E244">
        <v>0</v>
      </c>
      <c r="F244">
        <v>0</v>
      </c>
      <c r="G244">
        <v>0</v>
      </c>
      <c r="H244">
        <v>0</v>
      </c>
      <c r="I244">
        <v>0</v>
      </c>
      <c r="J244">
        <v>0</v>
      </c>
      <c r="K244">
        <v>0</v>
      </c>
      <c r="L244">
        <v>0</v>
      </c>
      <c r="M244">
        <v>0</v>
      </c>
      <c r="N244">
        <v>0</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c r="BM244">
        <v>0</v>
      </c>
      <c r="BN244">
        <v>0</v>
      </c>
      <c r="BO244">
        <v>0</v>
      </c>
      <c r="BP244">
        <v>2</v>
      </c>
      <c r="BQ244">
        <v>2</v>
      </c>
      <c r="BR244">
        <v>2</v>
      </c>
      <c r="BS244">
        <v>2</v>
      </c>
      <c r="BT244">
        <v>2</v>
      </c>
      <c r="BU244">
        <v>8</v>
      </c>
      <c r="BV244">
        <v>8</v>
      </c>
      <c r="BW244">
        <v>9</v>
      </c>
      <c r="BX244">
        <v>9</v>
      </c>
      <c r="BY244">
        <v>15</v>
      </c>
      <c r="BZ244">
        <v>18</v>
      </c>
      <c r="CA244">
        <v>18</v>
      </c>
      <c r="CB244">
        <v>18</v>
      </c>
      <c r="CC244">
        <v>33</v>
      </c>
      <c r="CD244">
        <v>33</v>
      </c>
      <c r="CE244">
        <v>36</v>
      </c>
      <c r="CF244">
        <v>36</v>
      </c>
      <c r="CG244">
        <v>38</v>
      </c>
      <c r="CH244">
        <v>38</v>
      </c>
      <c r="CI244">
        <v>38</v>
      </c>
      <c r="CJ244">
        <v>38</v>
      </c>
      <c r="CK244">
        <v>43</v>
      </c>
      <c r="CL244">
        <v>43</v>
      </c>
      <c r="CM244">
        <v>43</v>
      </c>
      <c r="CN244">
        <v>46</v>
      </c>
      <c r="CO244">
        <v>50</v>
      </c>
      <c r="CP244">
        <v>50</v>
      </c>
      <c r="CQ244">
        <v>50</v>
      </c>
      <c r="CR244">
        <v>50</v>
      </c>
      <c r="CS244">
        <v>50</v>
      </c>
      <c r="CT244">
        <v>52</v>
      </c>
      <c r="CU244">
        <v>52</v>
      </c>
      <c r="CV244">
        <v>53</v>
      </c>
      <c r="CW244">
        <v>73</v>
      </c>
      <c r="CX244">
        <v>73</v>
      </c>
      <c r="CY244">
        <v>205</v>
      </c>
      <c r="CZ244">
        <v>205</v>
      </c>
      <c r="DA244">
        <v>257</v>
      </c>
      <c r="DB244">
        <v>257</v>
      </c>
    </row>
    <row r="245" spans="1:106" x14ac:dyDescent="0.25">
      <c r="B245" t="s">
        <v>1231</v>
      </c>
      <c r="C245">
        <v>17.570692000000001</v>
      </c>
      <c r="D245">
        <v>-3.996166000000001</v>
      </c>
      <c r="E245">
        <v>0</v>
      </c>
      <c r="F245">
        <v>0</v>
      </c>
      <c r="G245">
        <v>0</v>
      </c>
      <c r="H245">
        <v>0</v>
      </c>
      <c r="I245">
        <v>0</v>
      </c>
      <c r="J245">
        <v>0</v>
      </c>
      <c r="K245">
        <v>0</v>
      </c>
      <c r="L245">
        <v>0</v>
      </c>
      <c r="M245">
        <v>0</v>
      </c>
      <c r="N245">
        <v>0</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c r="BL245">
        <v>0</v>
      </c>
      <c r="BM245">
        <v>0</v>
      </c>
      <c r="BN245">
        <v>0</v>
      </c>
      <c r="BO245">
        <v>0</v>
      </c>
      <c r="BP245">
        <v>2</v>
      </c>
      <c r="BQ245">
        <v>4</v>
      </c>
      <c r="BR245">
        <v>11</v>
      </c>
      <c r="BS245">
        <v>18</v>
      </c>
      <c r="BT245">
        <v>18</v>
      </c>
      <c r="BU245">
        <v>25</v>
      </c>
      <c r="BV245">
        <v>28</v>
      </c>
      <c r="BW245">
        <v>31</v>
      </c>
      <c r="BX245">
        <v>36</v>
      </c>
      <c r="BY245">
        <v>39</v>
      </c>
      <c r="BZ245">
        <v>41</v>
      </c>
      <c r="CA245">
        <v>45</v>
      </c>
      <c r="CB245">
        <v>47</v>
      </c>
      <c r="CC245">
        <v>56</v>
      </c>
      <c r="CD245">
        <v>59</v>
      </c>
      <c r="CE245">
        <v>74</v>
      </c>
      <c r="CF245">
        <v>87</v>
      </c>
      <c r="CG245">
        <v>87</v>
      </c>
      <c r="CH245">
        <v>105</v>
      </c>
      <c r="CI245">
        <v>123</v>
      </c>
      <c r="CJ245">
        <v>144</v>
      </c>
      <c r="CK245">
        <v>148</v>
      </c>
      <c r="CL245">
        <v>171</v>
      </c>
      <c r="CM245">
        <v>171</v>
      </c>
      <c r="CN245">
        <v>216</v>
      </c>
      <c r="CO245">
        <v>224</v>
      </c>
      <c r="CP245">
        <v>246</v>
      </c>
      <c r="CQ245">
        <v>258</v>
      </c>
      <c r="CR245">
        <v>293</v>
      </c>
      <c r="CS245">
        <v>309</v>
      </c>
      <c r="CT245">
        <v>325</v>
      </c>
      <c r="CU245">
        <v>370</v>
      </c>
      <c r="CV245">
        <v>389</v>
      </c>
      <c r="CW245">
        <v>408</v>
      </c>
      <c r="CX245">
        <v>424</v>
      </c>
      <c r="CY245">
        <v>482</v>
      </c>
      <c r="CZ245">
        <v>490</v>
      </c>
      <c r="DA245">
        <v>508</v>
      </c>
      <c r="DB245">
        <v>544</v>
      </c>
    </row>
    <row r="246" spans="1:106" x14ac:dyDescent="0.25">
      <c r="B246" t="s">
        <v>1232</v>
      </c>
      <c r="C246">
        <v>17.357821999999999</v>
      </c>
      <c r="D246">
        <v>-62.782997999999999</v>
      </c>
      <c r="E246">
        <v>0</v>
      </c>
      <c r="F246">
        <v>0</v>
      </c>
      <c r="G246">
        <v>0</v>
      </c>
      <c r="H246">
        <v>0</v>
      </c>
      <c r="I246">
        <v>0</v>
      </c>
      <c r="J246">
        <v>0</v>
      </c>
      <c r="K246">
        <v>0</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c r="BM246">
        <v>0</v>
      </c>
      <c r="BN246">
        <v>0</v>
      </c>
      <c r="BO246">
        <v>0</v>
      </c>
      <c r="BP246">
        <v>2</v>
      </c>
      <c r="BQ246">
        <v>2</v>
      </c>
      <c r="BR246">
        <v>2</v>
      </c>
      <c r="BS246">
        <v>2</v>
      </c>
      <c r="BT246">
        <v>2</v>
      </c>
      <c r="BU246">
        <v>7</v>
      </c>
      <c r="BV246">
        <v>8</v>
      </c>
      <c r="BW246">
        <v>8</v>
      </c>
      <c r="BX246">
        <v>9</v>
      </c>
      <c r="BY246">
        <v>9</v>
      </c>
      <c r="BZ246">
        <v>9</v>
      </c>
      <c r="CA246">
        <v>10</v>
      </c>
      <c r="CB246">
        <v>10</v>
      </c>
      <c r="CC246">
        <v>11</v>
      </c>
      <c r="CD246">
        <v>11</v>
      </c>
      <c r="CE246">
        <v>11</v>
      </c>
      <c r="CF246">
        <v>12</v>
      </c>
      <c r="CG246">
        <v>12</v>
      </c>
      <c r="CH246">
        <v>12</v>
      </c>
      <c r="CI246">
        <v>12</v>
      </c>
      <c r="CJ246">
        <v>14</v>
      </c>
      <c r="CK246">
        <v>14</v>
      </c>
      <c r="CL246">
        <v>14</v>
      </c>
      <c r="CM246">
        <v>14</v>
      </c>
      <c r="CN246">
        <v>14</v>
      </c>
      <c r="CO246">
        <v>14</v>
      </c>
      <c r="CP246">
        <v>15</v>
      </c>
      <c r="CQ246">
        <v>15</v>
      </c>
      <c r="CR246">
        <v>15</v>
      </c>
      <c r="CS246">
        <v>15</v>
      </c>
      <c r="CT246">
        <v>15</v>
      </c>
      <c r="CU246">
        <v>15</v>
      </c>
      <c r="CV246">
        <v>15</v>
      </c>
      <c r="CW246">
        <v>15</v>
      </c>
      <c r="CX246">
        <v>15</v>
      </c>
      <c r="CY246">
        <v>15</v>
      </c>
      <c r="CZ246">
        <v>15</v>
      </c>
      <c r="DA246">
        <v>15</v>
      </c>
      <c r="DB246">
        <v>15</v>
      </c>
    </row>
    <row r="247" spans="1:106" x14ac:dyDescent="0.25">
      <c r="A247" t="s">
        <v>1233</v>
      </c>
      <c r="B247" t="s">
        <v>46</v>
      </c>
      <c r="C247">
        <v>64.825500000000005</v>
      </c>
      <c r="D247">
        <v>-124.84569999999999</v>
      </c>
      <c r="E247">
        <v>0</v>
      </c>
      <c r="F247">
        <v>0</v>
      </c>
      <c r="G247">
        <v>0</v>
      </c>
      <c r="H247">
        <v>0</v>
      </c>
      <c r="I247">
        <v>0</v>
      </c>
      <c r="J247">
        <v>0</v>
      </c>
      <c r="K247">
        <v>0</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c r="BM247">
        <v>0</v>
      </c>
      <c r="BN247">
        <v>0</v>
      </c>
      <c r="BO247">
        <v>0</v>
      </c>
      <c r="BP247">
        <v>0</v>
      </c>
      <c r="BQ247">
        <v>1</v>
      </c>
      <c r="BR247">
        <v>1</v>
      </c>
      <c r="BS247">
        <v>1</v>
      </c>
      <c r="BT247">
        <v>1</v>
      </c>
      <c r="BU247">
        <v>1</v>
      </c>
      <c r="BV247">
        <v>1</v>
      </c>
      <c r="BW247">
        <v>2</v>
      </c>
      <c r="BX247">
        <v>2</v>
      </c>
      <c r="BY247">
        <v>2</v>
      </c>
      <c r="BZ247">
        <v>4</v>
      </c>
      <c r="CA247">
        <v>4</v>
      </c>
      <c r="CB247">
        <v>5</v>
      </c>
      <c r="CC247">
        <v>5</v>
      </c>
      <c r="CD247">
        <v>5</v>
      </c>
      <c r="CE247">
        <v>5</v>
      </c>
      <c r="CF247">
        <v>5</v>
      </c>
      <c r="CG247">
        <v>5</v>
      </c>
      <c r="CH247">
        <v>5</v>
      </c>
      <c r="CI247">
        <v>5</v>
      </c>
      <c r="CJ247">
        <v>5</v>
      </c>
      <c r="CK247">
        <v>5</v>
      </c>
      <c r="CL247">
        <v>5</v>
      </c>
      <c r="CM247">
        <v>5</v>
      </c>
      <c r="CN247">
        <v>5</v>
      </c>
      <c r="CO247">
        <v>5</v>
      </c>
      <c r="CP247">
        <v>5</v>
      </c>
      <c r="CQ247">
        <v>5</v>
      </c>
      <c r="CR247">
        <v>5</v>
      </c>
      <c r="CS247">
        <v>5</v>
      </c>
      <c r="CT247">
        <v>5</v>
      </c>
      <c r="CU247">
        <v>5</v>
      </c>
      <c r="CV247">
        <v>5</v>
      </c>
      <c r="CW247">
        <v>5</v>
      </c>
      <c r="CX247">
        <v>5</v>
      </c>
      <c r="CY247">
        <v>5</v>
      </c>
      <c r="CZ247">
        <v>5</v>
      </c>
      <c r="DA247">
        <v>5</v>
      </c>
      <c r="DB247">
        <v>5</v>
      </c>
    </row>
    <row r="248" spans="1:106" x14ac:dyDescent="0.25">
      <c r="A248" t="s">
        <v>1234</v>
      </c>
      <c r="B248" t="s">
        <v>46</v>
      </c>
      <c r="C248">
        <v>64.282300000000006</v>
      </c>
      <c r="D248">
        <v>-135</v>
      </c>
      <c r="E248">
        <v>0</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3</v>
      </c>
      <c r="BR248">
        <v>3</v>
      </c>
      <c r="BS248">
        <v>4</v>
      </c>
      <c r="BT248">
        <v>4</v>
      </c>
      <c r="BU248">
        <v>4</v>
      </c>
      <c r="BV248">
        <v>5</v>
      </c>
      <c r="BW248">
        <v>5</v>
      </c>
      <c r="BX248">
        <v>6</v>
      </c>
      <c r="BY248">
        <v>6</v>
      </c>
      <c r="BZ248">
        <v>6</v>
      </c>
      <c r="CA248">
        <v>6</v>
      </c>
      <c r="CB248">
        <v>6</v>
      </c>
      <c r="CC248">
        <v>7</v>
      </c>
      <c r="CD248">
        <v>7</v>
      </c>
      <c r="CE248">
        <v>7</v>
      </c>
      <c r="CF248">
        <v>8</v>
      </c>
      <c r="CG248">
        <v>8</v>
      </c>
      <c r="CH248">
        <v>8</v>
      </c>
      <c r="CI248">
        <v>8</v>
      </c>
      <c r="CJ248">
        <v>8</v>
      </c>
      <c r="CK248">
        <v>8</v>
      </c>
      <c r="CL248">
        <v>8</v>
      </c>
      <c r="CM248">
        <v>8</v>
      </c>
      <c r="CN248">
        <v>9</v>
      </c>
      <c r="CO248">
        <v>9</v>
      </c>
      <c r="CP248">
        <v>11</v>
      </c>
      <c r="CQ248">
        <v>11</v>
      </c>
      <c r="CR248">
        <v>11</v>
      </c>
      <c r="CS248">
        <v>11</v>
      </c>
      <c r="CT248">
        <v>11</v>
      </c>
      <c r="CU248">
        <v>11</v>
      </c>
      <c r="CV248">
        <v>11</v>
      </c>
      <c r="CW248">
        <v>11</v>
      </c>
      <c r="CX248">
        <v>11</v>
      </c>
      <c r="CY248">
        <v>11</v>
      </c>
      <c r="CZ248">
        <v>11</v>
      </c>
      <c r="DA248">
        <v>11</v>
      </c>
      <c r="DB248">
        <v>11</v>
      </c>
    </row>
    <row r="249" spans="1:106" x14ac:dyDescent="0.25">
      <c r="B249" t="s">
        <v>1235</v>
      </c>
      <c r="C249">
        <v>42.602635999999997</v>
      </c>
      <c r="D249">
        <v>20.902977</v>
      </c>
      <c r="E249">
        <v>0</v>
      </c>
      <c r="F249">
        <v>0</v>
      </c>
      <c r="G249">
        <v>0</v>
      </c>
      <c r="H249">
        <v>0</v>
      </c>
      <c r="I249">
        <v>0</v>
      </c>
      <c r="J249">
        <v>0</v>
      </c>
      <c r="K249">
        <v>0</v>
      </c>
      <c r="L249">
        <v>0</v>
      </c>
      <c r="M249">
        <v>0</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c r="BM249">
        <v>0</v>
      </c>
      <c r="BN249">
        <v>0</v>
      </c>
      <c r="BO249">
        <v>0</v>
      </c>
      <c r="BP249">
        <v>0</v>
      </c>
      <c r="BQ249">
        <v>71</v>
      </c>
      <c r="BR249">
        <v>86</v>
      </c>
      <c r="BS249">
        <v>91</v>
      </c>
      <c r="BT249">
        <v>94</v>
      </c>
      <c r="BU249">
        <v>94</v>
      </c>
      <c r="BV249">
        <v>112</v>
      </c>
      <c r="BW249">
        <v>125</v>
      </c>
      <c r="BX249">
        <v>125</v>
      </c>
      <c r="BY249">
        <v>126</v>
      </c>
      <c r="BZ249">
        <v>135</v>
      </c>
      <c r="CA249">
        <v>145</v>
      </c>
      <c r="CB249">
        <v>145</v>
      </c>
      <c r="CC249">
        <v>170</v>
      </c>
      <c r="CD249">
        <v>184</v>
      </c>
      <c r="CE249">
        <v>184</v>
      </c>
      <c r="CF249">
        <v>250</v>
      </c>
      <c r="CG249">
        <v>283</v>
      </c>
      <c r="CH249">
        <v>283</v>
      </c>
      <c r="CI249">
        <v>283</v>
      </c>
      <c r="CJ249">
        <v>387</v>
      </c>
      <c r="CK249">
        <v>387</v>
      </c>
      <c r="CL249">
        <v>449</v>
      </c>
      <c r="CM249">
        <v>480</v>
      </c>
      <c r="CN249">
        <v>510</v>
      </c>
      <c r="CO249">
        <v>561</v>
      </c>
      <c r="CP249">
        <v>598</v>
      </c>
      <c r="CQ249">
        <v>604</v>
      </c>
      <c r="CR249">
        <v>630</v>
      </c>
      <c r="CS249">
        <v>669</v>
      </c>
      <c r="CT249">
        <v>703</v>
      </c>
      <c r="CU249">
        <v>731</v>
      </c>
      <c r="CV249">
        <v>763</v>
      </c>
      <c r="CW249">
        <v>780</v>
      </c>
      <c r="CX249">
        <v>790</v>
      </c>
      <c r="CY249">
        <v>799</v>
      </c>
      <c r="CZ249">
        <v>806</v>
      </c>
      <c r="DA249">
        <v>806</v>
      </c>
      <c r="DB249">
        <v>823</v>
      </c>
    </row>
    <row r="250" spans="1:106" x14ac:dyDescent="0.25">
      <c r="B250" t="s">
        <v>1333</v>
      </c>
      <c r="C250">
        <v>21.9162</v>
      </c>
      <c r="D250">
        <v>95.956000000000003</v>
      </c>
      <c r="E250">
        <v>0</v>
      </c>
      <c r="F250">
        <v>0</v>
      </c>
      <c r="G250">
        <v>0</v>
      </c>
      <c r="H250">
        <v>0</v>
      </c>
      <c r="I250">
        <v>0</v>
      </c>
      <c r="J250">
        <v>0</v>
      </c>
      <c r="K250">
        <v>0</v>
      </c>
      <c r="L250">
        <v>0</v>
      </c>
      <c r="M250">
        <v>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c r="BM250">
        <v>0</v>
      </c>
      <c r="BN250">
        <v>0</v>
      </c>
      <c r="BO250">
        <v>0</v>
      </c>
      <c r="BP250">
        <v>0</v>
      </c>
      <c r="BQ250">
        <v>0</v>
      </c>
      <c r="BR250">
        <v>8</v>
      </c>
      <c r="BS250">
        <v>8</v>
      </c>
      <c r="BT250">
        <v>10</v>
      </c>
      <c r="BU250">
        <v>14</v>
      </c>
      <c r="BV250">
        <v>15</v>
      </c>
      <c r="BW250">
        <v>15</v>
      </c>
      <c r="BX250">
        <v>20</v>
      </c>
      <c r="BY250">
        <v>20</v>
      </c>
      <c r="BZ250">
        <v>21</v>
      </c>
      <c r="CA250">
        <v>21</v>
      </c>
      <c r="CB250">
        <v>22</v>
      </c>
      <c r="CC250">
        <v>22</v>
      </c>
      <c r="CD250">
        <v>22</v>
      </c>
      <c r="CE250">
        <v>23</v>
      </c>
      <c r="CF250">
        <v>27</v>
      </c>
      <c r="CG250">
        <v>38</v>
      </c>
      <c r="CH250">
        <v>41</v>
      </c>
      <c r="CI250">
        <v>62</v>
      </c>
      <c r="CJ250">
        <v>63</v>
      </c>
      <c r="CK250">
        <v>74</v>
      </c>
      <c r="CL250">
        <v>85</v>
      </c>
      <c r="CM250">
        <v>88</v>
      </c>
      <c r="CN250">
        <v>98</v>
      </c>
      <c r="CO250">
        <v>111</v>
      </c>
      <c r="CP250">
        <v>119</v>
      </c>
      <c r="CQ250">
        <v>121</v>
      </c>
      <c r="CR250">
        <v>123</v>
      </c>
      <c r="CS250">
        <v>139</v>
      </c>
      <c r="CT250">
        <v>144</v>
      </c>
      <c r="CU250">
        <v>146</v>
      </c>
      <c r="CV250">
        <v>146</v>
      </c>
      <c r="CW250">
        <v>146</v>
      </c>
      <c r="CX250">
        <v>150</v>
      </c>
      <c r="CY250">
        <v>150</v>
      </c>
      <c r="CZ250">
        <v>151</v>
      </c>
      <c r="DA250">
        <v>151</v>
      </c>
      <c r="DB250">
        <v>151</v>
      </c>
    </row>
    <row r="251" spans="1:106" x14ac:dyDescent="0.25">
      <c r="A251" t="s">
        <v>1410</v>
      </c>
      <c r="B251" t="s">
        <v>609</v>
      </c>
      <c r="C251">
        <v>18.220600000000001</v>
      </c>
      <c r="D251">
        <v>-63.068600000000004</v>
      </c>
      <c r="E251">
        <v>0</v>
      </c>
      <c r="F251">
        <v>0</v>
      </c>
      <c r="G251">
        <v>0</v>
      </c>
      <c r="H251">
        <v>0</v>
      </c>
      <c r="I251">
        <v>0</v>
      </c>
      <c r="J251">
        <v>0</v>
      </c>
      <c r="K251">
        <v>0</v>
      </c>
      <c r="L251">
        <v>0</v>
      </c>
      <c r="M251">
        <v>0</v>
      </c>
      <c r="N251">
        <v>0</v>
      </c>
      <c r="O251">
        <v>0</v>
      </c>
      <c r="P251">
        <v>0</v>
      </c>
      <c r="Q251">
        <v>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c r="BM251">
        <v>0</v>
      </c>
      <c r="BN251">
        <v>0</v>
      </c>
      <c r="BO251">
        <v>0</v>
      </c>
      <c r="BP251">
        <v>0</v>
      </c>
      <c r="BQ251">
        <v>0</v>
      </c>
      <c r="BR251">
        <v>0</v>
      </c>
      <c r="BS251">
        <v>2</v>
      </c>
      <c r="BT251">
        <v>2</v>
      </c>
      <c r="BU251">
        <v>2</v>
      </c>
      <c r="BV251">
        <v>2</v>
      </c>
      <c r="BW251">
        <v>2</v>
      </c>
      <c r="BX251">
        <v>3</v>
      </c>
      <c r="BY251">
        <v>3</v>
      </c>
      <c r="BZ251">
        <v>3</v>
      </c>
      <c r="CA251">
        <v>3</v>
      </c>
      <c r="CB251">
        <v>3</v>
      </c>
      <c r="CC251">
        <v>3</v>
      </c>
      <c r="CD251">
        <v>3</v>
      </c>
      <c r="CE251">
        <v>3</v>
      </c>
      <c r="CF251">
        <v>3</v>
      </c>
      <c r="CG251">
        <v>3</v>
      </c>
      <c r="CH251">
        <v>3</v>
      </c>
      <c r="CI251">
        <v>3</v>
      </c>
      <c r="CJ251">
        <v>3</v>
      </c>
      <c r="CK251">
        <v>3</v>
      </c>
      <c r="CL251">
        <v>3</v>
      </c>
      <c r="CM251">
        <v>3</v>
      </c>
      <c r="CN251">
        <v>3</v>
      </c>
      <c r="CO251">
        <v>3</v>
      </c>
      <c r="CP251">
        <v>3</v>
      </c>
      <c r="CQ251">
        <v>3</v>
      </c>
      <c r="CR251">
        <v>3</v>
      </c>
      <c r="CS251">
        <v>3</v>
      </c>
      <c r="CT251">
        <v>3</v>
      </c>
      <c r="CU251">
        <v>3</v>
      </c>
      <c r="CV251">
        <v>3</v>
      </c>
      <c r="CW251">
        <v>3</v>
      </c>
      <c r="CX251">
        <v>3</v>
      </c>
      <c r="CY251">
        <v>3</v>
      </c>
      <c r="CZ251">
        <v>3</v>
      </c>
      <c r="DA251">
        <v>3</v>
      </c>
      <c r="DB251">
        <v>3</v>
      </c>
    </row>
    <row r="252" spans="1:106" x14ac:dyDescent="0.25">
      <c r="A252" t="s">
        <v>1411</v>
      </c>
      <c r="B252" t="s">
        <v>609</v>
      </c>
      <c r="C252">
        <v>18.4207</v>
      </c>
      <c r="D252">
        <v>-64.64</v>
      </c>
      <c r="E252">
        <v>0</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c r="BL252">
        <v>0</v>
      </c>
      <c r="BM252">
        <v>0</v>
      </c>
      <c r="BN252">
        <v>0</v>
      </c>
      <c r="BO252">
        <v>0</v>
      </c>
      <c r="BP252">
        <v>0</v>
      </c>
      <c r="BQ252">
        <v>0</v>
      </c>
      <c r="BR252">
        <v>0</v>
      </c>
      <c r="BS252">
        <v>2</v>
      </c>
      <c r="BT252">
        <v>2</v>
      </c>
      <c r="BU252">
        <v>2</v>
      </c>
      <c r="BV252">
        <v>3</v>
      </c>
      <c r="BW252">
        <v>3</v>
      </c>
      <c r="BX252">
        <v>3</v>
      </c>
      <c r="BY252">
        <v>3</v>
      </c>
      <c r="BZ252">
        <v>3</v>
      </c>
      <c r="CA252">
        <v>3</v>
      </c>
      <c r="CB252">
        <v>3</v>
      </c>
      <c r="CC252">
        <v>3</v>
      </c>
      <c r="CD252">
        <v>3</v>
      </c>
      <c r="CE252">
        <v>3</v>
      </c>
      <c r="CF252">
        <v>3</v>
      </c>
      <c r="CG252">
        <v>3</v>
      </c>
      <c r="CH252">
        <v>3</v>
      </c>
      <c r="CI252">
        <v>3</v>
      </c>
      <c r="CJ252">
        <v>3</v>
      </c>
      <c r="CK252">
        <v>3</v>
      </c>
      <c r="CL252">
        <v>3</v>
      </c>
      <c r="CM252">
        <v>4</v>
      </c>
      <c r="CN252">
        <v>4</v>
      </c>
      <c r="CO252">
        <v>4</v>
      </c>
      <c r="CP252">
        <v>5</v>
      </c>
      <c r="CQ252">
        <v>5</v>
      </c>
      <c r="CR252">
        <v>5</v>
      </c>
      <c r="CS252">
        <v>5</v>
      </c>
      <c r="CT252">
        <v>5</v>
      </c>
      <c r="CU252">
        <v>6</v>
      </c>
      <c r="CV252">
        <v>6</v>
      </c>
      <c r="CW252">
        <v>6</v>
      </c>
      <c r="CX252">
        <v>6</v>
      </c>
      <c r="CY252">
        <v>6</v>
      </c>
      <c r="CZ252">
        <v>6</v>
      </c>
      <c r="DA252">
        <v>6</v>
      </c>
      <c r="DB252">
        <v>6</v>
      </c>
    </row>
    <row r="253" spans="1:106" x14ac:dyDescent="0.25">
      <c r="A253" t="s">
        <v>1412</v>
      </c>
      <c r="B253" t="s">
        <v>609</v>
      </c>
      <c r="C253">
        <v>21.69400000000001</v>
      </c>
      <c r="D253">
        <v>-71.797899999999998</v>
      </c>
      <c r="E253">
        <v>0</v>
      </c>
      <c r="F253">
        <v>0</v>
      </c>
      <c r="G253">
        <v>0</v>
      </c>
      <c r="H253">
        <v>0</v>
      </c>
      <c r="I253">
        <v>0</v>
      </c>
      <c r="J253">
        <v>0</v>
      </c>
      <c r="K253">
        <v>0</v>
      </c>
      <c r="L253">
        <v>0</v>
      </c>
      <c r="M253">
        <v>0</v>
      </c>
      <c r="N253">
        <v>0</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c r="BM253">
        <v>0</v>
      </c>
      <c r="BN253">
        <v>0</v>
      </c>
      <c r="BO253">
        <v>0</v>
      </c>
      <c r="BP253">
        <v>0</v>
      </c>
      <c r="BQ253">
        <v>0</v>
      </c>
      <c r="BR253">
        <v>0</v>
      </c>
      <c r="BS253">
        <v>4</v>
      </c>
      <c r="BT253">
        <v>4</v>
      </c>
      <c r="BU253">
        <v>5</v>
      </c>
      <c r="BV253">
        <v>5</v>
      </c>
      <c r="BW253">
        <v>6</v>
      </c>
      <c r="BX253">
        <v>5</v>
      </c>
      <c r="BY253">
        <v>5</v>
      </c>
      <c r="BZ253">
        <v>5</v>
      </c>
      <c r="CA253">
        <v>5</v>
      </c>
      <c r="CB253">
        <v>8</v>
      </c>
      <c r="CC253">
        <v>8</v>
      </c>
      <c r="CD253">
        <v>8</v>
      </c>
      <c r="CE253">
        <v>8</v>
      </c>
      <c r="CF253">
        <v>8</v>
      </c>
      <c r="CG253">
        <v>8</v>
      </c>
      <c r="CH253">
        <v>9</v>
      </c>
      <c r="CI253">
        <v>10</v>
      </c>
      <c r="CJ253">
        <v>10</v>
      </c>
      <c r="CK253">
        <v>10</v>
      </c>
      <c r="CL253">
        <v>11</v>
      </c>
      <c r="CM253">
        <v>11</v>
      </c>
      <c r="CN253">
        <v>11</v>
      </c>
      <c r="CO253">
        <v>11</v>
      </c>
      <c r="CP253">
        <v>11</v>
      </c>
      <c r="CQ253">
        <v>11</v>
      </c>
      <c r="CR253">
        <v>11</v>
      </c>
      <c r="CS253">
        <v>11</v>
      </c>
      <c r="CT253">
        <v>11</v>
      </c>
      <c r="CU253">
        <v>11</v>
      </c>
      <c r="CV253">
        <v>11</v>
      </c>
      <c r="CW253">
        <v>12</v>
      </c>
      <c r="CX253">
        <v>12</v>
      </c>
      <c r="CY253">
        <v>12</v>
      </c>
      <c r="CZ253">
        <v>12</v>
      </c>
      <c r="DA253">
        <v>12</v>
      </c>
      <c r="DB253">
        <v>12</v>
      </c>
    </row>
    <row r="254" spans="1:106" x14ac:dyDescent="0.25">
      <c r="B254" t="s">
        <v>1413</v>
      </c>
      <c r="C254">
        <v>0</v>
      </c>
      <c r="D254">
        <v>0</v>
      </c>
      <c r="E254">
        <v>0</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c r="BL254">
        <v>0</v>
      </c>
      <c r="BM254">
        <v>0</v>
      </c>
      <c r="BN254">
        <v>0</v>
      </c>
      <c r="BO254">
        <v>0</v>
      </c>
      <c r="BP254">
        <v>0</v>
      </c>
      <c r="BQ254">
        <v>0</v>
      </c>
      <c r="BR254">
        <v>0</v>
      </c>
      <c r="BS254">
        <v>2</v>
      </c>
      <c r="BT254">
        <v>2</v>
      </c>
      <c r="BU254">
        <v>2</v>
      </c>
      <c r="BV254">
        <v>2</v>
      </c>
      <c r="BW254">
        <v>9</v>
      </c>
      <c r="BX254">
        <v>9</v>
      </c>
      <c r="BY254">
        <v>9</v>
      </c>
      <c r="BZ254">
        <v>9</v>
      </c>
      <c r="CA254">
        <v>9</v>
      </c>
      <c r="CB254">
        <v>9</v>
      </c>
      <c r="CC254">
        <v>9</v>
      </c>
      <c r="CD254">
        <v>9</v>
      </c>
      <c r="CE254">
        <v>9</v>
      </c>
      <c r="CF254">
        <v>9</v>
      </c>
      <c r="CG254">
        <v>9</v>
      </c>
      <c r="CH254">
        <v>9</v>
      </c>
      <c r="CI254">
        <v>9</v>
      </c>
      <c r="CJ254">
        <v>9</v>
      </c>
      <c r="CK254">
        <v>9</v>
      </c>
      <c r="CL254">
        <v>9</v>
      </c>
      <c r="CM254">
        <v>9</v>
      </c>
      <c r="CN254">
        <v>9</v>
      </c>
      <c r="CO254">
        <v>9</v>
      </c>
      <c r="CP254">
        <v>9</v>
      </c>
      <c r="CQ254">
        <v>9</v>
      </c>
      <c r="CR254">
        <v>9</v>
      </c>
      <c r="CS254">
        <v>9</v>
      </c>
      <c r="CT254">
        <v>9</v>
      </c>
      <c r="CU254">
        <v>9</v>
      </c>
      <c r="CV254">
        <v>9</v>
      </c>
      <c r="CW254">
        <v>9</v>
      </c>
      <c r="CX254">
        <v>9</v>
      </c>
      <c r="CY254">
        <v>9</v>
      </c>
      <c r="CZ254">
        <v>9</v>
      </c>
      <c r="DA254">
        <v>9</v>
      </c>
      <c r="DB254">
        <v>9</v>
      </c>
    </row>
    <row r="255" spans="1:106" x14ac:dyDescent="0.25">
      <c r="B255" t="s">
        <v>1482</v>
      </c>
      <c r="C255">
        <v>-22.328499999999998</v>
      </c>
      <c r="D255">
        <v>24.684899999999999</v>
      </c>
      <c r="E255">
        <v>0</v>
      </c>
      <c r="F255">
        <v>0</v>
      </c>
      <c r="G255">
        <v>0</v>
      </c>
      <c r="H255">
        <v>0</v>
      </c>
      <c r="I255">
        <v>0</v>
      </c>
      <c r="J255">
        <v>0</v>
      </c>
      <c r="K255">
        <v>0</v>
      </c>
      <c r="L255">
        <v>0</v>
      </c>
      <c r="M255">
        <v>0</v>
      </c>
      <c r="N255">
        <v>0</v>
      </c>
      <c r="O255">
        <v>0</v>
      </c>
      <c r="P255">
        <v>0</v>
      </c>
      <c r="Q255">
        <v>0</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3</v>
      </c>
      <c r="BV255">
        <v>4</v>
      </c>
      <c r="BW255">
        <v>4</v>
      </c>
      <c r="BX255">
        <v>4</v>
      </c>
      <c r="BY255">
        <v>4</v>
      </c>
      <c r="BZ255">
        <v>4</v>
      </c>
      <c r="CA255">
        <v>6</v>
      </c>
      <c r="CB255">
        <v>6</v>
      </c>
      <c r="CC255">
        <v>6</v>
      </c>
      <c r="CD255">
        <v>6</v>
      </c>
      <c r="CE255">
        <v>13</v>
      </c>
      <c r="CF255">
        <v>13</v>
      </c>
      <c r="CG255">
        <v>13</v>
      </c>
      <c r="CH255">
        <v>13</v>
      </c>
      <c r="CI255">
        <v>13</v>
      </c>
      <c r="CJ255">
        <v>13</v>
      </c>
      <c r="CK255">
        <v>13</v>
      </c>
      <c r="CL255">
        <v>15</v>
      </c>
      <c r="CM255">
        <v>15</v>
      </c>
      <c r="CN255">
        <v>15</v>
      </c>
      <c r="CO255">
        <v>20</v>
      </c>
      <c r="CP255">
        <v>20</v>
      </c>
      <c r="CQ255">
        <v>20</v>
      </c>
      <c r="CR255">
        <v>22</v>
      </c>
      <c r="CS255">
        <v>22</v>
      </c>
      <c r="CT255">
        <v>22</v>
      </c>
      <c r="CU255">
        <v>22</v>
      </c>
      <c r="CV255">
        <v>22</v>
      </c>
      <c r="CW255">
        <v>22</v>
      </c>
      <c r="CX255">
        <v>23</v>
      </c>
      <c r="CY255">
        <v>23</v>
      </c>
      <c r="CZ255">
        <v>23</v>
      </c>
      <c r="DA255">
        <v>23</v>
      </c>
      <c r="DB255">
        <v>23</v>
      </c>
    </row>
    <row r="256" spans="1:106" x14ac:dyDescent="0.25">
      <c r="B256" t="s">
        <v>1532</v>
      </c>
      <c r="C256">
        <v>-3.3731</v>
      </c>
      <c r="D256">
        <v>29.918900000000001</v>
      </c>
      <c r="E256">
        <v>0</v>
      </c>
      <c r="F256">
        <v>0</v>
      </c>
      <c r="G256">
        <v>0</v>
      </c>
      <c r="H256">
        <v>0</v>
      </c>
      <c r="I256">
        <v>0</v>
      </c>
      <c r="J256">
        <v>0</v>
      </c>
      <c r="K256">
        <v>0</v>
      </c>
      <c r="L256">
        <v>0</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c r="BL256">
        <v>0</v>
      </c>
      <c r="BM256">
        <v>0</v>
      </c>
      <c r="BN256">
        <v>0</v>
      </c>
      <c r="BO256">
        <v>0</v>
      </c>
      <c r="BP256">
        <v>0</v>
      </c>
      <c r="BQ256">
        <v>0</v>
      </c>
      <c r="BR256">
        <v>0</v>
      </c>
      <c r="BS256">
        <v>0</v>
      </c>
      <c r="BT256">
        <v>0</v>
      </c>
      <c r="BU256">
        <v>0</v>
      </c>
      <c r="BV256">
        <v>2</v>
      </c>
      <c r="BW256">
        <v>2</v>
      </c>
      <c r="BX256">
        <v>3</v>
      </c>
      <c r="BY256">
        <v>3</v>
      </c>
      <c r="BZ256">
        <v>3</v>
      </c>
      <c r="CA256">
        <v>3</v>
      </c>
      <c r="CB256">
        <v>3</v>
      </c>
      <c r="CC256">
        <v>3</v>
      </c>
      <c r="CD256">
        <v>3</v>
      </c>
      <c r="CE256">
        <v>3</v>
      </c>
      <c r="CF256">
        <v>3</v>
      </c>
      <c r="CG256">
        <v>5</v>
      </c>
      <c r="CH256">
        <v>5</v>
      </c>
      <c r="CI256">
        <v>5</v>
      </c>
      <c r="CJ256">
        <v>5</v>
      </c>
      <c r="CK256">
        <v>5</v>
      </c>
      <c r="CL256">
        <v>5</v>
      </c>
      <c r="CM256">
        <v>5</v>
      </c>
      <c r="CN256">
        <v>5</v>
      </c>
      <c r="CO256">
        <v>5</v>
      </c>
      <c r="CP256">
        <v>5</v>
      </c>
      <c r="CQ256">
        <v>5</v>
      </c>
      <c r="CR256">
        <v>11</v>
      </c>
      <c r="CS256">
        <v>11</v>
      </c>
      <c r="CT256">
        <v>11</v>
      </c>
      <c r="CU256">
        <v>11</v>
      </c>
      <c r="CV256">
        <v>11</v>
      </c>
      <c r="CW256">
        <v>11</v>
      </c>
      <c r="CX256">
        <v>11</v>
      </c>
      <c r="CY256">
        <v>11</v>
      </c>
      <c r="CZ256">
        <v>11</v>
      </c>
      <c r="DA256">
        <v>11</v>
      </c>
      <c r="DB256">
        <v>15</v>
      </c>
    </row>
    <row r="257" spans="1:106" x14ac:dyDescent="0.25">
      <c r="B257" t="s">
        <v>1533</v>
      </c>
      <c r="C257">
        <v>8.4605550000000012</v>
      </c>
      <c r="D257">
        <v>-11.779889000000001</v>
      </c>
      <c r="E257">
        <v>0</v>
      </c>
      <c r="F257">
        <v>0</v>
      </c>
      <c r="G257">
        <v>0</v>
      </c>
      <c r="H257">
        <v>0</v>
      </c>
      <c r="I257">
        <v>0</v>
      </c>
      <c r="J257">
        <v>0</v>
      </c>
      <c r="K257">
        <v>0</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1</v>
      </c>
      <c r="BW257">
        <v>2</v>
      </c>
      <c r="BX257">
        <v>2</v>
      </c>
      <c r="BY257">
        <v>2</v>
      </c>
      <c r="BZ257">
        <v>4</v>
      </c>
      <c r="CA257">
        <v>6</v>
      </c>
      <c r="CB257">
        <v>6</v>
      </c>
      <c r="CC257">
        <v>6</v>
      </c>
      <c r="CD257">
        <v>7</v>
      </c>
      <c r="CE257">
        <v>7</v>
      </c>
      <c r="CF257">
        <v>8</v>
      </c>
      <c r="CG257">
        <v>8</v>
      </c>
      <c r="CH257">
        <v>10</v>
      </c>
      <c r="CI257">
        <v>10</v>
      </c>
      <c r="CJ257">
        <v>11</v>
      </c>
      <c r="CK257">
        <v>13</v>
      </c>
      <c r="CL257">
        <v>15</v>
      </c>
      <c r="CM257">
        <v>26</v>
      </c>
      <c r="CN257">
        <v>30</v>
      </c>
      <c r="CO257">
        <v>35</v>
      </c>
      <c r="CP257">
        <v>43</v>
      </c>
      <c r="CQ257">
        <v>50</v>
      </c>
      <c r="CR257">
        <v>61</v>
      </c>
      <c r="CS257">
        <v>64</v>
      </c>
      <c r="CT257">
        <v>82</v>
      </c>
      <c r="CU257">
        <v>82</v>
      </c>
      <c r="CV257">
        <v>93</v>
      </c>
      <c r="CW257">
        <v>93</v>
      </c>
      <c r="CX257">
        <v>104</v>
      </c>
      <c r="CY257">
        <v>104</v>
      </c>
      <c r="CZ257">
        <v>124</v>
      </c>
      <c r="DA257">
        <v>136</v>
      </c>
      <c r="DB257">
        <v>155</v>
      </c>
    </row>
    <row r="258" spans="1:106" x14ac:dyDescent="0.25">
      <c r="A258" t="s">
        <v>2943</v>
      </c>
      <c r="B258" t="s">
        <v>87</v>
      </c>
      <c r="C258">
        <v>12.1784</v>
      </c>
      <c r="D258">
        <v>-68.238500000000002</v>
      </c>
      <c r="E258">
        <v>0</v>
      </c>
      <c r="F258">
        <v>0</v>
      </c>
      <c r="G258">
        <v>0</v>
      </c>
      <c r="H258">
        <v>0</v>
      </c>
      <c r="I258">
        <v>0</v>
      </c>
      <c r="J258">
        <v>0</v>
      </c>
      <c r="K258">
        <v>0</v>
      </c>
      <c r="L258">
        <v>0</v>
      </c>
      <c r="M258">
        <v>0</v>
      </c>
      <c r="N258">
        <v>0</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v>0</v>
      </c>
      <c r="BL258">
        <v>0</v>
      </c>
      <c r="BM258">
        <v>0</v>
      </c>
      <c r="BN258">
        <v>0</v>
      </c>
      <c r="BO258">
        <v>0</v>
      </c>
      <c r="BP258">
        <v>0</v>
      </c>
      <c r="BQ258">
        <v>0</v>
      </c>
      <c r="BR258">
        <v>0</v>
      </c>
      <c r="BS258">
        <v>0</v>
      </c>
      <c r="BT258">
        <v>0</v>
      </c>
      <c r="BU258">
        <v>0</v>
      </c>
      <c r="BV258">
        <v>0</v>
      </c>
      <c r="BW258">
        <v>0</v>
      </c>
      <c r="BX258">
        <v>2</v>
      </c>
      <c r="BY258">
        <v>2</v>
      </c>
      <c r="BZ258">
        <v>2</v>
      </c>
      <c r="CA258">
        <v>2</v>
      </c>
      <c r="CB258">
        <v>2</v>
      </c>
      <c r="CC258">
        <v>2</v>
      </c>
      <c r="CD258">
        <v>2</v>
      </c>
      <c r="CE258">
        <v>2</v>
      </c>
      <c r="CF258">
        <v>2</v>
      </c>
      <c r="CG258">
        <v>2</v>
      </c>
      <c r="CH258">
        <v>3</v>
      </c>
      <c r="CI258">
        <v>3</v>
      </c>
      <c r="CJ258">
        <v>3</v>
      </c>
      <c r="CK258">
        <v>3</v>
      </c>
      <c r="CL258">
        <v>3</v>
      </c>
      <c r="CM258">
        <v>3</v>
      </c>
      <c r="CN258">
        <v>3</v>
      </c>
      <c r="CO258">
        <v>5</v>
      </c>
      <c r="CP258">
        <v>5</v>
      </c>
      <c r="CQ258">
        <v>5</v>
      </c>
      <c r="CR258">
        <v>5</v>
      </c>
      <c r="CS258">
        <v>5</v>
      </c>
      <c r="CT258">
        <v>5</v>
      </c>
      <c r="CU258">
        <v>5</v>
      </c>
      <c r="CV258">
        <v>5</v>
      </c>
      <c r="CW258">
        <v>5</v>
      </c>
      <c r="CX258">
        <v>5</v>
      </c>
      <c r="CY258">
        <v>5</v>
      </c>
      <c r="CZ258">
        <v>5</v>
      </c>
      <c r="DA258">
        <v>6</v>
      </c>
      <c r="DB258">
        <v>6</v>
      </c>
    </row>
    <row r="259" spans="1:106" x14ac:dyDescent="0.25">
      <c r="B259" t="s">
        <v>1633</v>
      </c>
      <c r="C259">
        <v>-13.254307999999998</v>
      </c>
      <c r="D259">
        <v>34.301524999999998</v>
      </c>
      <c r="E259">
        <v>0</v>
      </c>
      <c r="F259">
        <v>0</v>
      </c>
      <c r="G259">
        <v>0</v>
      </c>
      <c r="H259">
        <v>0</v>
      </c>
      <c r="I259">
        <v>0</v>
      </c>
      <c r="J259">
        <v>0</v>
      </c>
      <c r="K259">
        <v>0</v>
      </c>
      <c r="L259">
        <v>0</v>
      </c>
      <c r="M259">
        <v>0</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v>0</v>
      </c>
      <c r="BJ259">
        <v>0</v>
      </c>
      <c r="BK259">
        <v>0</v>
      </c>
      <c r="BL259">
        <v>0</v>
      </c>
      <c r="BM259">
        <v>0</v>
      </c>
      <c r="BN259">
        <v>0</v>
      </c>
      <c r="BO259">
        <v>0</v>
      </c>
      <c r="BP259">
        <v>0</v>
      </c>
      <c r="BQ259">
        <v>0</v>
      </c>
      <c r="BR259">
        <v>0</v>
      </c>
      <c r="BS259">
        <v>0</v>
      </c>
      <c r="BT259">
        <v>0</v>
      </c>
      <c r="BU259">
        <v>0</v>
      </c>
      <c r="BV259">
        <v>0</v>
      </c>
      <c r="BW259">
        <v>0</v>
      </c>
      <c r="BX259">
        <v>3</v>
      </c>
      <c r="BY259">
        <v>3</v>
      </c>
      <c r="BZ259">
        <v>4</v>
      </c>
      <c r="CA259">
        <v>4</v>
      </c>
      <c r="CB259">
        <v>5</v>
      </c>
      <c r="CC259">
        <v>8</v>
      </c>
      <c r="CD259">
        <v>8</v>
      </c>
      <c r="CE259">
        <v>8</v>
      </c>
      <c r="CF259">
        <v>9</v>
      </c>
      <c r="CG259">
        <v>12</v>
      </c>
      <c r="CH259">
        <v>13</v>
      </c>
      <c r="CI259">
        <v>16</v>
      </c>
      <c r="CJ259">
        <v>16</v>
      </c>
      <c r="CK259">
        <v>16</v>
      </c>
      <c r="CL259">
        <v>16</v>
      </c>
      <c r="CM259">
        <v>17</v>
      </c>
      <c r="CN259">
        <v>17</v>
      </c>
      <c r="CO259">
        <v>17</v>
      </c>
      <c r="CP259">
        <v>17</v>
      </c>
      <c r="CQ259">
        <v>18</v>
      </c>
      <c r="CR259">
        <v>23</v>
      </c>
      <c r="CS259">
        <v>33</v>
      </c>
      <c r="CT259">
        <v>33</v>
      </c>
      <c r="CU259">
        <v>33</v>
      </c>
      <c r="CV259">
        <v>34</v>
      </c>
      <c r="CW259">
        <v>36</v>
      </c>
      <c r="CX259">
        <v>36</v>
      </c>
      <c r="CY259">
        <v>36</v>
      </c>
      <c r="CZ259">
        <v>37</v>
      </c>
      <c r="DA259">
        <v>37</v>
      </c>
      <c r="DB259">
        <v>38</v>
      </c>
    </row>
    <row r="260" spans="1:106" x14ac:dyDescent="0.25">
      <c r="A260" t="s">
        <v>2006</v>
      </c>
      <c r="B260" t="s">
        <v>609</v>
      </c>
      <c r="C260">
        <v>-51.796300000000002</v>
      </c>
      <c r="D260">
        <v>-59.523600000000002</v>
      </c>
      <c r="E260">
        <v>0</v>
      </c>
      <c r="F260">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0</v>
      </c>
      <c r="BD260">
        <v>0</v>
      </c>
      <c r="BE260">
        <v>0</v>
      </c>
      <c r="BF260">
        <v>0</v>
      </c>
      <c r="BG260">
        <v>0</v>
      </c>
      <c r="BH260">
        <v>0</v>
      </c>
      <c r="BI260">
        <v>0</v>
      </c>
      <c r="BJ260">
        <v>0</v>
      </c>
      <c r="BK260">
        <v>0</v>
      </c>
      <c r="BL260">
        <v>0</v>
      </c>
      <c r="BM260">
        <v>0</v>
      </c>
      <c r="BN260">
        <v>0</v>
      </c>
      <c r="BO260">
        <v>0</v>
      </c>
      <c r="BP260">
        <v>0</v>
      </c>
      <c r="BQ260">
        <v>0</v>
      </c>
      <c r="BR260">
        <v>0</v>
      </c>
      <c r="BS260">
        <v>0</v>
      </c>
      <c r="BT260">
        <v>0</v>
      </c>
      <c r="BU260">
        <v>0</v>
      </c>
      <c r="BV260">
        <v>0</v>
      </c>
      <c r="BW260">
        <v>0</v>
      </c>
      <c r="BX260">
        <v>0</v>
      </c>
      <c r="BY260">
        <v>0</v>
      </c>
      <c r="BZ260">
        <v>1</v>
      </c>
      <c r="CA260">
        <v>2</v>
      </c>
      <c r="CB260">
        <v>2</v>
      </c>
      <c r="CC260">
        <v>2</v>
      </c>
      <c r="CD260">
        <v>5</v>
      </c>
      <c r="CE260">
        <v>5</v>
      </c>
      <c r="CF260">
        <v>5</v>
      </c>
      <c r="CG260">
        <v>5</v>
      </c>
      <c r="CH260">
        <v>5</v>
      </c>
      <c r="CI260">
        <v>5</v>
      </c>
      <c r="CJ260">
        <v>11</v>
      </c>
      <c r="CK260">
        <v>11</v>
      </c>
      <c r="CL260">
        <v>11</v>
      </c>
      <c r="CM260">
        <v>11</v>
      </c>
      <c r="CN260">
        <v>11</v>
      </c>
      <c r="CO260">
        <v>11</v>
      </c>
      <c r="CP260">
        <v>11</v>
      </c>
      <c r="CQ260">
        <v>11</v>
      </c>
      <c r="CR260">
        <v>11</v>
      </c>
      <c r="CS260">
        <v>12</v>
      </c>
      <c r="CT260">
        <v>13</v>
      </c>
      <c r="CU260">
        <v>13</v>
      </c>
      <c r="CV260">
        <v>13</v>
      </c>
      <c r="CW260">
        <v>13</v>
      </c>
      <c r="CX260">
        <v>13</v>
      </c>
      <c r="CY260">
        <v>13</v>
      </c>
      <c r="CZ260">
        <v>13</v>
      </c>
      <c r="DA260">
        <v>13</v>
      </c>
      <c r="DB260">
        <v>13</v>
      </c>
    </row>
    <row r="261" spans="1:106" x14ac:dyDescent="0.25">
      <c r="A261" t="s">
        <v>1909</v>
      </c>
      <c r="B261" t="s">
        <v>42</v>
      </c>
      <c r="C261">
        <v>46.885199999999998</v>
      </c>
      <c r="D261">
        <v>-56.315899999999999</v>
      </c>
      <c r="E261">
        <v>0</v>
      </c>
      <c r="F261">
        <v>0</v>
      </c>
      <c r="G261">
        <v>0</v>
      </c>
      <c r="H261">
        <v>0</v>
      </c>
      <c r="I261">
        <v>0</v>
      </c>
      <c r="J261">
        <v>0</v>
      </c>
      <c r="K261">
        <v>0</v>
      </c>
      <c r="L261">
        <v>0</v>
      </c>
      <c r="M261">
        <v>0</v>
      </c>
      <c r="N261">
        <v>0</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v>0</v>
      </c>
      <c r="BI261">
        <v>0</v>
      </c>
      <c r="BJ261">
        <v>0</v>
      </c>
      <c r="BK261">
        <v>0</v>
      </c>
      <c r="BL261">
        <v>0</v>
      </c>
      <c r="BM261">
        <v>0</v>
      </c>
      <c r="BN261">
        <v>0</v>
      </c>
      <c r="BO261">
        <v>0</v>
      </c>
      <c r="BP261">
        <v>0</v>
      </c>
      <c r="BQ261">
        <v>0</v>
      </c>
      <c r="BR261">
        <v>0</v>
      </c>
      <c r="BS261">
        <v>0</v>
      </c>
      <c r="BT261">
        <v>0</v>
      </c>
      <c r="BU261">
        <v>0</v>
      </c>
      <c r="BV261">
        <v>0</v>
      </c>
      <c r="BW261">
        <v>0</v>
      </c>
      <c r="BX261">
        <v>0</v>
      </c>
      <c r="BY261">
        <v>0</v>
      </c>
      <c r="BZ261">
        <v>0</v>
      </c>
      <c r="CA261">
        <v>1</v>
      </c>
      <c r="CB261">
        <v>1</v>
      </c>
      <c r="CC261">
        <v>1</v>
      </c>
      <c r="CD261">
        <v>1</v>
      </c>
      <c r="CE261">
        <v>1</v>
      </c>
      <c r="CF261">
        <v>1</v>
      </c>
      <c r="CG261">
        <v>1</v>
      </c>
      <c r="CH261">
        <v>1</v>
      </c>
      <c r="CI261">
        <v>1</v>
      </c>
      <c r="CJ261">
        <v>1</v>
      </c>
      <c r="CK261">
        <v>1</v>
      </c>
      <c r="CL261">
        <v>1</v>
      </c>
      <c r="CM261">
        <v>1</v>
      </c>
      <c r="CN261">
        <v>1</v>
      </c>
      <c r="CO261">
        <v>1</v>
      </c>
      <c r="CP261">
        <v>1</v>
      </c>
      <c r="CQ261">
        <v>1</v>
      </c>
      <c r="CR261">
        <v>1</v>
      </c>
      <c r="CS261">
        <v>1</v>
      </c>
      <c r="CT261">
        <v>1</v>
      </c>
      <c r="CU261">
        <v>1</v>
      </c>
      <c r="CV261">
        <v>1</v>
      </c>
      <c r="CW261">
        <v>1</v>
      </c>
      <c r="CX261">
        <v>1</v>
      </c>
      <c r="CY261">
        <v>1</v>
      </c>
      <c r="CZ261">
        <v>1</v>
      </c>
      <c r="DA261">
        <v>1</v>
      </c>
      <c r="DB261">
        <v>1</v>
      </c>
    </row>
    <row r="262" spans="1:106" x14ac:dyDescent="0.25">
      <c r="B262" t="s">
        <v>1910</v>
      </c>
      <c r="C262">
        <v>6.8770000000000024</v>
      </c>
      <c r="D262">
        <v>31.306999999999999</v>
      </c>
      <c r="E262">
        <v>0</v>
      </c>
      <c r="F262">
        <v>0</v>
      </c>
      <c r="G262">
        <v>0</v>
      </c>
      <c r="H262">
        <v>0</v>
      </c>
      <c r="I262">
        <v>0</v>
      </c>
      <c r="J262">
        <v>0</v>
      </c>
      <c r="K262">
        <v>0</v>
      </c>
      <c r="L262">
        <v>0</v>
      </c>
      <c r="M262">
        <v>0</v>
      </c>
      <c r="N262">
        <v>0</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v>0</v>
      </c>
      <c r="BH262">
        <v>0</v>
      </c>
      <c r="BI262">
        <v>0</v>
      </c>
      <c r="BJ262">
        <v>0</v>
      </c>
      <c r="BK262">
        <v>0</v>
      </c>
      <c r="BL262">
        <v>0</v>
      </c>
      <c r="BM262">
        <v>0</v>
      </c>
      <c r="BN262">
        <v>0</v>
      </c>
      <c r="BO262">
        <v>0</v>
      </c>
      <c r="BP262">
        <v>0</v>
      </c>
      <c r="BQ262">
        <v>0</v>
      </c>
      <c r="BR262">
        <v>0</v>
      </c>
      <c r="BS262">
        <v>0</v>
      </c>
      <c r="BT262">
        <v>0</v>
      </c>
      <c r="BU262">
        <v>0</v>
      </c>
      <c r="BV262">
        <v>0</v>
      </c>
      <c r="BW262">
        <v>0</v>
      </c>
      <c r="BX262">
        <v>0</v>
      </c>
      <c r="BY262">
        <v>0</v>
      </c>
      <c r="BZ262">
        <v>0</v>
      </c>
      <c r="CA262">
        <v>1</v>
      </c>
      <c r="CB262">
        <v>1</v>
      </c>
      <c r="CC262">
        <v>2</v>
      </c>
      <c r="CD262">
        <v>2</v>
      </c>
      <c r="CE262">
        <v>3</v>
      </c>
      <c r="CF262">
        <v>4</v>
      </c>
      <c r="CG262">
        <v>4</v>
      </c>
      <c r="CH262">
        <v>4</v>
      </c>
      <c r="CI262">
        <v>4</v>
      </c>
      <c r="CJ262">
        <v>4</v>
      </c>
      <c r="CK262">
        <v>4</v>
      </c>
      <c r="CL262">
        <v>4</v>
      </c>
      <c r="CM262">
        <v>4</v>
      </c>
      <c r="CN262">
        <v>4</v>
      </c>
      <c r="CO262">
        <v>4</v>
      </c>
      <c r="CP262">
        <v>4</v>
      </c>
      <c r="CQ262">
        <v>4</v>
      </c>
      <c r="CR262">
        <v>4</v>
      </c>
      <c r="CS262">
        <v>5</v>
      </c>
      <c r="CT262">
        <v>5</v>
      </c>
      <c r="CU262">
        <v>5</v>
      </c>
      <c r="CV262">
        <v>6</v>
      </c>
      <c r="CW262">
        <v>6</v>
      </c>
      <c r="CX262">
        <v>34</v>
      </c>
      <c r="CY262">
        <v>34</v>
      </c>
      <c r="CZ262">
        <v>35</v>
      </c>
      <c r="DA262">
        <v>45</v>
      </c>
      <c r="DB262">
        <v>45</v>
      </c>
    </row>
    <row r="263" spans="1:106" x14ac:dyDescent="0.25">
      <c r="B263" t="s">
        <v>1911</v>
      </c>
      <c r="C263">
        <v>24.215499999999999</v>
      </c>
      <c r="D263">
        <v>-12.8858</v>
      </c>
      <c r="E263">
        <v>0</v>
      </c>
      <c r="F263">
        <v>0</v>
      </c>
      <c r="G263">
        <v>0</v>
      </c>
      <c r="H263">
        <v>0</v>
      </c>
      <c r="I263">
        <v>0</v>
      </c>
      <c r="J263">
        <v>0</v>
      </c>
      <c r="K263">
        <v>0</v>
      </c>
      <c r="L263">
        <v>0</v>
      </c>
      <c r="M263">
        <v>0</v>
      </c>
      <c r="N263">
        <v>0</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0</v>
      </c>
      <c r="BH263">
        <v>0</v>
      </c>
      <c r="BI263">
        <v>0</v>
      </c>
      <c r="BJ263">
        <v>0</v>
      </c>
      <c r="BK263">
        <v>0</v>
      </c>
      <c r="BL263">
        <v>0</v>
      </c>
      <c r="BM263">
        <v>0</v>
      </c>
      <c r="BN263">
        <v>0</v>
      </c>
      <c r="BO263">
        <v>0</v>
      </c>
      <c r="BP263">
        <v>0</v>
      </c>
      <c r="BQ263">
        <v>0</v>
      </c>
      <c r="BR263">
        <v>0</v>
      </c>
      <c r="BS263">
        <v>0</v>
      </c>
      <c r="BT263">
        <v>0</v>
      </c>
      <c r="BU263">
        <v>0</v>
      </c>
      <c r="BV263">
        <v>0</v>
      </c>
      <c r="BW263">
        <v>0</v>
      </c>
      <c r="BX263">
        <v>0</v>
      </c>
      <c r="BY263">
        <v>0</v>
      </c>
      <c r="BZ263">
        <v>0</v>
      </c>
      <c r="CA263">
        <v>4</v>
      </c>
      <c r="CB263">
        <v>4</v>
      </c>
      <c r="CC263">
        <v>4</v>
      </c>
      <c r="CD263">
        <v>4</v>
      </c>
      <c r="CE263">
        <v>4</v>
      </c>
      <c r="CF263">
        <v>4</v>
      </c>
      <c r="CG263">
        <v>4</v>
      </c>
      <c r="CH263">
        <v>6</v>
      </c>
      <c r="CI263">
        <v>6</v>
      </c>
      <c r="CJ263">
        <v>6</v>
      </c>
      <c r="CK263">
        <v>6</v>
      </c>
      <c r="CL263">
        <v>6</v>
      </c>
      <c r="CM263">
        <v>6</v>
      </c>
      <c r="CN263">
        <v>6</v>
      </c>
      <c r="CO263">
        <v>6</v>
      </c>
      <c r="CP263">
        <v>6</v>
      </c>
      <c r="CQ263">
        <v>6</v>
      </c>
      <c r="CR263">
        <v>6</v>
      </c>
      <c r="CS263">
        <v>6</v>
      </c>
      <c r="CT263">
        <v>6</v>
      </c>
      <c r="CU263">
        <v>6</v>
      </c>
      <c r="CV263">
        <v>6</v>
      </c>
      <c r="CW263">
        <v>6</v>
      </c>
      <c r="CX263">
        <v>6</v>
      </c>
      <c r="CY263">
        <v>6</v>
      </c>
      <c r="CZ263">
        <v>6</v>
      </c>
      <c r="DA263">
        <v>6</v>
      </c>
      <c r="DB263">
        <v>6</v>
      </c>
    </row>
    <row r="264" spans="1:106" x14ac:dyDescent="0.25">
      <c r="B264" t="s">
        <v>1963</v>
      </c>
      <c r="C264">
        <v>0.18636</v>
      </c>
      <c r="D264">
        <v>6.6130810000000002</v>
      </c>
      <c r="E264">
        <v>0</v>
      </c>
      <c r="F264">
        <v>0</v>
      </c>
      <c r="G264">
        <v>0</v>
      </c>
      <c r="H264">
        <v>0</v>
      </c>
      <c r="I264">
        <v>0</v>
      </c>
      <c r="J264">
        <v>0</v>
      </c>
      <c r="K264">
        <v>0</v>
      </c>
      <c r="L264">
        <v>0</v>
      </c>
      <c r="M264">
        <v>0</v>
      </c>
      <c r="N264">
        <v>0</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c r="BJ264">
        <v>0</v>
      </c>
      <c r="BK264">
        <v>0</v>
      </c>
      <c r="BL264">
        <v>0</v>
      </c>
      <c r="BM264">
        <v>0</v>
      </c>
      <c r="BN264">
        <v>0</v>
      </c>
      <c r="BO264">
        <v>0</v>
      </c>
      <c r="BP264">
        <v>0</v>
      </c>
      <c r="BQ264">
        <v>0</v>
      </c>
      <c r="BR264">
        <v>0</v>
      </c>
      <c r="BS264">
        <v>0</v>
      </c>
      <c r="BT264">
        <v>0</v>
      </c>
      <c r="BU264">
        <v>0</v>
      </c>
      <c r="BV264">
        <v>0</v>
      </c>
      <c r="BW264">
        <v>0</v>
      </c>
      <c r="BX264">
        <v>0</v>
      </c>
      <c r="BY264">
        <v>0</v>
      </c>
      <c r="BZ264">
        <v>0</v>
      </c>
      <c r="CA264">
        <v>0</v>
      </c>
      <c r="CB264">
        <v>4</v>
      </c>
      <c r="CC264">
        <v>4</v>
      </c>
      <c r="CD264">
        <v>4</v>
      </c>
      <c r="CE264">
        <v>4</v>
      </c>
      <c r="CF264">
        <v>4</v>
      </c>
      <c r="CG264">
        <v>4</v>
      </c>
      <c r="CH264">
        <v>4</v>
      </c>
      <c r="CI264">
        <v>4</v>
      </c>
      <c r="CJ264">
        <v>4</v>
      </c>
      <c r="CK264">
        <v>4</v>
      </c>
      <c r="CL264">
        <v>4</v>
      </c>
      <c r="CM264">
        <v>4</v>
      </c>
      <c r="CN264">
        <v>4</v>
      </c>
      <c r="CO264">
        <v>4</v>
      </c>
      <c r="CP264">
        <v>4</v>
      </c>
      <c r="CQ264">
        <v>4</v>
      </c>
      <c r="CR264">
        <v>4</v>
      </c>
      <c r="CS264">
        <v>4</v>
      </c>
      <c r="CT264">
        <v>4</v>
      </c>
      <c r="CU264">
        <v>4</v>
      </c>
      <c r="CV264">
        <v>4</v>
      </c>
      <c r="CW264">
        <v>4</v>
      </c>
      <c r="CX264">
        <v>8</v>
      </c>
      <c r="CY264">
        <v>8</v>
      </c>
      <c r="CZ264">
        <v>14</v>
      </c>
      <c r="DA264">
        <v>16</v>
      </c>
      <c r="DB264">
        <v>16</v>
      </c>
    </row>
    <row r="265" spans="1:106" x14ac:dyDescent="0.25">
      <c r="B265" t="s">
        <v>2202</v>
      </c>
      <c r="C265">
        <v>15.552726999999999</v>
      </c>
      <c r="D265">
        <v>48.516387999999999</v>
      </c>
      <c r="E265">
        <v>0</v>
      </c>
      <c r="F265">
        <v>0</v>
      </c>
      <c r="G265">
        <v>0</v>
      </c>
      <c r="H265">
        <v>0</v>
      </c>
      <c r="I265">
        <v>0</v>
      </c>
      <c r="J265">
        <v>0</v>
      </c>
      <c r="K265">
        <v>0</v>
      </c>
      <c r="L265">
        <v>0</v>
      </c>
      <c r="M265">
        <v>0</v>
      </c>
      <c r="N265">
        <v>0</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0</v>
      </c>
      <c r="BI265">
        <v>0</v>
      </c>
      <c r="BJ265">
        <v>0</v>
      </c>
      <c r="BK265">
        <v>0</v>
      </c>
      <c r="BL265">
        <v>0</v>
      </c>
      <c r="BM265">
        <v>0</v>
      </c>
      <c r="BN265">
        <v>0</v>
      </c>
      <c r="BO265">
        <v>0</v>
      </c>
      <c r="BP265">
        <v>0</v>
      </c>
      <c r="BQ265">
        <v>0</v>
      </c>
      <c r="BR265">
        <v>0</v>
      </c>
      <c r="BS265">
        <v>0</v>
      </c>
      <c r="BT265">
        <v>0</v>
      </c>
      <c r="BU265">
        <v>0</v>
      </c>
      <c r="BV265">
        <v>0</v>
      </c>
      <c r="BW265">
        <v>0</v>
      </c>
      <c r="BX265">
        <v>0</v>
      </c>
      <c r="BY265">
        <v>0</v>
      </c>
      <c r="BZ265">
        <v>0</v>
      </c>
      <c r="CA265">
        <v>0</v>
      </c>
      <c r="CB265">
        <v>0</v>
      </c>
      <c r="CC265">
        <v>0</v>
      </c>
      <c r="CD265">
        <v>0</v>
      </c>
      <c r="CE265">
        <v>0</v>
      </c>
      <c r="CF265">
        <v>1</v>
      </c>
      <c r="CG265">
        <v>1</v>
      </c>
      <c r="CH265">
        <v>1</v>
      </c>
      <c r="CI265">
        <v>1</v>
      </c>
      <c r="CJ265">
        <v>1</v>
      </c>
      <c r="CK265">
        <v>1</v>
      </c>
      <c r="CL265">
        <v>1</v>
      </c>
      <c r="CM265">
        <v>1</v>
      </c>
      <c r="CN265">
        <v>1</v>
      </c>
      <c r="CO265">
        <v>1</v>
      </c>
      <c r="CP265">
        <v>1</v>
      </c>
      <c r="CQ265">
        <v>1</v>
      </c>
      <c r="CR265">
        <v>1</v>
      </c>
      <c r="CS265">
        <v>1</v>
      </c>
      <c r="CT265">
        <v>1</v>
      </c>
      <c r="CU265">
        <v>1</v>
      </c>
      <c r="CV265">
        <v>1</v>
      </c>
      <c r="CW265">
        <v>1</v>
      </c>
      <c r="CX265">
        <v>1</v>
      </c>
      <c r="CY265">
        <v>6</v>
      </c>
      <c r="CZ265">
        <v>6</v>
      </c>
      <c r="DA265">
        <v>7</v>
      </c>
      <c r="DB265">
        <v>10</v>
      </c>
    </row>
    <row r="266" spans="1:106" s="25" customFormat="1" x14ac:dyDescent="0.25">
      <c r="B266" s="25" t="s">
        <v>3737</v>
      </c>
      <c r="C266" s="25">
        <v>-11.6455</v>
      </c>
      <c r="D266" s="25">
        <v>43.333300000000001</v>
      </c>
      <c r="E266" s="25">
        <v>0</v>
      </c>
      <c r="F266" s="25">
        <v>0</v>
      </c>
      <c r="G266" s="25">
        <v>0</v>
      </c>
      <c r="H266" s="25">
        <v>0</v>
      </c>
      <c r="I266" s="25">
        <v>0</v>
      </c>
      <c r="J266" s="25">
        <v>0</v>
      </c>
      <c r="K266" s="25">
        <v>0</v>
      </c>
      <c r="L266" s="25">
        <v>0</v>
      </c>
      <c r="M266" s="25">
        <v>0</v>
      </c>
      <c r="N266" s="25">
        <v>0</v>
      </c>
      <c r="O266" s="25">
        <v>0</v>
      </c>
      <c r="P266" s="25">
        <v>0</v>
      </c>
      <c r="Q266" s="25">
        <v>0</v>
      </c>
      <c r="R266" s="25">
        <v>0</v>
      </c>
      <c r="S266" s="25">
        <v>0</v>
      </c>
      <c r="T266" s="25">
        <v>0</v>
      </c>
      <c r="U266" s="25">
        <v>0</v>
      </c>
      <c r="V266" s="25">
        <v>0</v>
      </c>
      <c r="W266" s="25">
        <v>0</v>
      </c>
      <c r="X266" s="25">
        <v>0</v>
      </c>
      <c r="Y266" s="25">
        <v>0</v>
      </c>
      <c r="Z266" s="25">
        <v>0</v>
      </c>
      <c r="AA266" s="25">
        <v>0</v>
      </c>
      <c r="AB266" s="25">
        <v>0</v>
      </c>
      <c r="AC266" s="25">
        <v>0</v>
      </c>
      <c r="AD266" s="25">
        <v>0</v>
      </c>
      <c r="AE266" s="25">
        <v>0</v>
      </c>
      <c r="AF266" s="25">
        <v>0</v>
      </c>
      <c r="AG266" s="25">
        <v>0</v>
      </c>
      <c r="AH266" s="25">
        <v>0</v>
      </c>
      <c r="AI266" s="25">
        <v>0</v>
      </c>
      <c r="AJ266" s="25">
        <v>0</v>
      </c>
      <c r="AK266" s="25">
        <v>0</v>
      </c>
      <c r="AL266" s="25">
        <v>0</v>
      </c>
      <c r="AM266" s="25">
        <v>0</v>
      </c>
      <c r="AN266" s="25">
        <v>0</v>
      </c>
      <c r="AO266" s="25">
        <v>0</v>
      </c>
      <c r="AP266" s="25">
        <v>0</v>
      </c>
      <c r="AQ266" s="25">
        <v>0</v>
      </c>
      <c r="AR266" s="25">
        <v>0</v>
      </c>
      <c r="AS266" s="25">
        <v>0</v>
      </c>
      <c r="AT266" s="25">
        <v>0</v>
      </c>
      <c r="AU266" s="25">
        <v>0</v>
      </c>
      <c r="AV266" s="25">
        <v>0</v>
      </c>
      <c r="AW266" s="25">
        <v>0</v>
      </c>
      <c r="AX266" s="25">
        <v>0</v>
      </c>
      <c r="AY266" s="25">
        <v>0</v>
      </c>
      <c r="AZ266" s="25">
        <v>0</v>
      </c>
      <c r="BA266" s="25">
        <v>0</v>
      </c>
      <c r="BB266" s="25">
        <v>0</v>
      </c>
      <c r="BC266" s="25">
        <v>0</v>
      </c>
      <c r="BD266" s="25">
        <v>0</v>
      </c>
      <c r="BE266" s="25">
        <v>0</v>
      </c>
      <c r="BF266" s="25">
        <v>0</v>
      </c>
      <c r="BG266" s="25">
        <v>0</v>
      </c>
      <c r="BH266" s="25">
        <v>0</v>
      </c>
      <c r="BI266" s="25">
        <v>0</v>
      </c>
      <c r="BJ266" s="25">
        <v>0</v>
      </c>
      <c r="BK266" s="25">
        <v>0</v>
      </c>
      <c r="BL266" s="25">
        <v>0</v>
      </c>
      <c r="BM266" s="25">
        <v>0</v>
      </c>
      <c r="BN266" s="25">
        <v>0</v>
      </c>
      <c r="BO266" s="25">
        <v>0</v>
      </c>
      <c r="BP266" s="25">
        <v>0</v>
      </c>
      <c r="BQ266" s="25">
        <v>0</v>
      </c>
      <c r="BR266" s="25">
        <v>0</v>
      </c>
      <c r="BS266" s="25">
        <v>0</v>
      </c>
      <c r="BT266" s="25">
        <v>0</v>
      </c>
      <c r="BU266" s="25">
        <v>0</v>
      </c>
      <c r="BV266" s="25">
        <v>0</v>
      </c>
      <c r="BW266" s="25">
        <v>0</v>
      </c>
      <c r="BX266" s="25">
        <v>0</v>
      </c>
      <c r="BY266" s="25">
        <v>0</v>
      </c>
      <c r="BZ266" s="25">
        <v>0</v>
      </c>
      <c r="CA266" s="25">
        <v>0</v>
      </c>
      <c r="CB266" s="25">
        <v>0</v>
      </c>
      <c r="CC266" s="25">
        <v>0</v>
      </c>
      <c r="CD266" s="25">
        <v>0</v>
      </c>
      <c r="CE266" s="25">
        <v>0</v>
      </c>
      <c r="CF266" s="25">
        <v>0</v>
      </c>
      <c r="CG266" s="25">
        <v>0</v>
      </c>
      <c r="CH266" s="25">
        <v>0</v>
      </c>
      <c r="CI266" s="25">
        <v>0</v>
      </c>
      <c r="CJ266" s="25">
        <v>0</v>
      </c>
      <c r="CK266" s="25">
        <v>0</v>
      </c>
      <c r="CL266" s="25">
        <v>0</v>
      </c>
      <c r="CM266" s="25">
        <v>0</v>
      </c>
      <c r="CN266" s="25">
        <v>0</v>
      </c>
      <c r="CO266" s="25">
        <v>0</v>
      </c>
      <c r="CP266" s="25">
        <v>0</v>
      </c>
      <c r="CQ266" s="25">
        <v>0</v>
      </c>
      <c r="CR266" s="25">
        <v>0</v>
      </c>
      <c r="CS266" s="25">
        <v>0</v>
      </c>
      <c r="CT266" s="25">
        <v>0</v>
      </c>
      <c r="CU266" s="25">
        <v>0</v>
      </c>
      <c r="CV266" s="25">
        <v>0</v>
      </c>
      <c r="CW266" s="25">
        <v>0</v>
      </c>
      <c r="CX266" s="25">
        <v>0</v>
      </c>
      <c r="CY266" s="25">
        <v>0</v>
      </c>
      <c r="CZ266" s="25">
        <v>1</v>
      </c>
      <c r="DA266" s="25">
        <v>1</v>
      </c>
      <c r="DB266" s="25">
        <v>3</v>
      </c>
    </row>
    <row r="267" spans="1:106" x14ac:dyDescent="0.25">
      <c r="B267" t="s">
        <v>3738</v>
      </c>
      <c r="C267">
        <v>38.861033999999997</v>
      </c>
      <c r="D267">
        <v>71.276093000000003</v>
      </c>
      <c r="E267">
        <v>0</v>
      </c>
      <c r="F267">
        <v>0</v>
      </c>
      <c r="G267">
        <v>0</v>
      </c>
      <c r="H267">
        <v>0</v>
      </c>
      <c r="I267">
        <v>0</v>
      </c>
      <c r="J267">
        <v>0</v>
      </c>
      <c r="K267">
        <v>0</v>
      </c>
      <c r="L267">
        <v>0</v>
      </c>
      <c r="M267">
        <v>0</v>
      </c>
      <c r="N267">
        <v>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c r="BL267">
        <v>0</v>
      </c>
      <c r="BM267">
        <v>0</v>
      </c>
      <c r="BN267">
        <v>0</v>
      </c>
      <c r="BO267">
        <v>0</v>
      </c>
      <c r="BP267">
        <v>0</v>
      </c>
      <c r="BQ267">
        <v>0</v>
      </c>
      <c r="BR267">
        <v>0</v>
      </c>
      <c r="BS267">
        <v>0</v>
      </c>
      <c r="BT267">
        <v>0</v>
      </c>
      <c r="BU267">
        <v>0</v>
      </c>
      <c r="BV267">
        <v>0</v>
      </c>
      <c r="BW267">
        <v>0</v>
      </c>
      <c r="BX267">
        <v>0</v>
      </c>
      <c r="BY267">
        <v>0</v>
      </c>
      <c r="BZ267">
        <v>0</v>
      </c>
      <c r="CA267">
        <v>0</v>
      </c>
      <c r="CB267">
        <v>0</v>
      </c>
      <c r="CC267">
        <v>0</v>
      </c>
      <c r="CD267">
        <v>0</v>
      </c>
      <c r="CE267">
        <v>0</v>
      </c>
      <c r="CF267">
        <v>0</v>
      </c>
      <c r="CG267">
        <v>0</v>
      </c>
      <c r="CH267">
        <v>0</v>
      </c>
      <c r="CI267">
        <v>0</v>
      </c>
      <c r="CJ267">
        <v>0</v>
      </c>
      <c r="CK267">
        <v>0</v>
      </c>
      <c r="CL267">
        <v>0</v>
      </c>
      <c r="CM267">
        <v>0</v>
      </c>
      <c r="CN267">
        <v>0</v>
      </c>
      <c r="CO267">
        <v>0</v>
      </c>
      <c r="CP267">
        <v>0</v>
      </c>
      <c r="CQ267">
        <v>0</v>
      </c>
      <c r="CR267">
        <v>0</v>
      </c>
      <c r="CS267">
        <v>0</v>
      </c>
      <c r="CT267">
        <v>0</v>
      </c>
      <c r="CU267">
        <v>0</v>
      </c>
      <c r="CV267">
        <v>0</v>
      </c>
      <c r="CW267">
        <v>0</v>
      </c>
      <c r="CX267">
        <v>0</v>
      </c>
      <c r="CY267">
        <v>0</v>
      </c>
      <c r="CZ267">
        <v>15</v>
      </c>
      <c r="DA267">
        <v>15</v>
      </c>
      <c r="DB267">
        <v>76</v>
      </c>
    </row>
    <row r="268" spans="1:106" x14ac:dyDescent="0.25">
      <c r="A268" t="s">
        <v>2944</v>
      </c>
      <c r="B268" t="s">
        <v>37</v>
      </c>
      <c r="C268">
        <v>-14.270999999999999</v>
      </c>
      <c r="D268">
        <v>-170.13200000000001</v>
      </c>
      <c r="E268">
        <v>0</v>
      </c>
      <c r="F268">
        <v>0</v>
      </c>
      <c r="G268">
        <v>0</v>
      </c>
      <c r="H268">
        <v>0</v>
      </c>
      <c r="I268">
        <v>0</v>
      </c>
      <c r="J268">
        <v>0</v>
      </c>
      <c r="K268">
        <v>0</v>
      </c>
      <c r="L268">
        <v>0</v>
      </c>
      <c r="M268">
        <v>0</v>
      </c>
      <c r="N268">
        <v>0</v>
      </c>
      <c r="O268">
        <v>0</v>
      </c>
      <c r="P268">
        <v>0</v>
      </c>
      <c r="Q268">
        <v>0</v>
      </c>
      <c r="R268">
        <v>0</v>
      </c>
      <c r="S268">
        <v>0</v>
      </c>
      <c r="T268">
        <v>0</v>
      </c>
      <c r="U268">
        <v>0</v>
      </c>
      <c r="V268">
        <v>0</v>
      </c>
      <c r="W268">
        <v>0</v>
      </c>
      <c r="X268">
        <v>0</v>
      </c>
      <c r="Y268">
        <v>0</v>
      </c>
      <c r="Z268">
        <v>0</v>
      </c>
      <c r="AA268">
        <v>0</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c r="BJ268">
        <v>0</v>
      </c>
      <c r="BK268">
        <v>0</v>
      </c>
      <c r="BL268">
        <v>0</v>
      </c>
      <c r="BM268">
        <v>0</v>
      </c>
      <c r="BN268">
        <v>0</v>
      </c>
      <c r="BO268">
        <v>0</v>
      </c>
      <c r="BP268">
        <v>0</v>
      </c>
      <c r="BQ268">
        <v>0</v>
      </c>
      <c r="BR268">
        <v>0</v>
      </c>
      <c r="BS268">
        <v>0</v>
      </c>
      <c r="BT268">
        <v>0</v>
      </c>
      <c r="BU268">
        <v>0</v>
      </c>
      <c r="BV268">
        <v>0</v>
      </c>
      <c r="BW268">
        <v>0</v>
      </c>
      <c r="BX268">
        <v>0</v>
      </c>
      <c r="BY268">
        <v>0</v>
      </c>
      <c r="BZ268">
        <v>0</v>
      </c>
      <c r="CA268">
        <v>0</v>
      </c>
      <c r="CB268">
        <v>0</v>
      </c>
      <c r="CC268">
        <v>0</v>
      </c>
      <c r="CD268">
        <v>0</v>
      </c>
      <c r="CE268">
        <v>0</v>
      </c>
      <c r="CF268">
        <v>0</v>
      </c>
      <c r="CG268">
        <v>0</v>
      </c>
      <c r="CH268">
        <v>0</v>
      </c>
      <c r="CI268">
        <v>0</v>
      </c>
      <c r="CJ268">
        <v>0</v>
      </c>
      <c r="CK268">
        <v>0</v>
      </c>
      <c r="CL268">
        <v>0</v>
      </c>
      <c r="CM268">
        <v>0</v>
      </c>
      <c r="CN268">
        <v>0</v>
      </c>
      <c r="CO268">
        <v>0</v>
      </c>
      <c r="CP268">
        <v>0</v>
      </c>
      <c r="CQ268">
        <v>0</v>
      </c>
      <c r="CR268">
        <v>0</v>
      </c>
      <c r="CS268">
        <v>0</v>
      </c>
      <c r="CT268">
        <v>0</v>
      </c>
      <c r="CU268">
        <v>0</v>
      </c>
      <c r="CV268">
        <v>0</v>
      </c>
      <c r="CW268">
        <v>0</v>
      </c>
      <c r="CX268">
        <v>0</v>
      </c>
      <c r="CY268">
        <v>0</v>
      </c>
      <c r="CZ268">
        <v>0</v>
      </c>
      <c r="DA268">
        <v>0</v>
      </c>
      <c r="DB268">
        <v>0</v>
      </c>
    </row>
    <row r="269" spans="1:106" x14ac:dyDescent="0.25">
      <c r="A269" t="s">
        <v>2945</v>
      </c>
      <c r="B269" t="s">
        <v>37</v>
      </c>
      <c r="C269">
        <v>13.4443</v>
      </c>
      <c r="D269">
        <v>144.7937</v>
      </c>
      <c r="E269">
        <v>0</v>
      </c>
      <c r="F269">
        <v>0</v>
      </c>
      <c r="G269">
        <v>0</v>
      </c>
      <c r="H269">
        <v>0</v>
      </c>
      <c r="I269">
        <v>0</v>
      </c>
      <c r="J269">
        <v>0</v>
      </c>
      <c r="K269">
        <v>0</v>
      </c>
      <c r="L269">
        <v>0</v>
      </c>
      <c r="M269">
        <v>0</v>
      </c>
      <c r="N269">
        <v>0</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0</v>
      </c>
      <c r="BD269">
        <v>0</v>
      </c>
      <c r="BE269">
        <v>0</v>
      </c>
      <c r="BF269">
        <v>0</v>
      </c>
      <c r="BG269">
        <v>3</v>
      </c>
      <c r="BH269">
        <v>3</v>
      </c>
      <c r="BI269">
        <v>5</v>
      </c>
      <c r="BJ269">
        <v>12</v>
      </c>
      <c r="BK269">
        <v>14</v>
      </c>
      <c r="BL269">
        <v>15</v>
      </c>
      <c r="BM269">
        <v>27</v>
      </c>
      <c r="BN269">
        <v>29</v>
      </c>
      <c r="BO269">
        <v>32</v>
      </c>
      <c r="BP269">
        <v>37</v>
      </c>
      <c r="BQ269">
        <v>45</v>
      </c>
      <c r="BR269">
        <v>51</v>
      </c>
      <c r="BS269">
        <v>55</v>
      </c>
      <c r="BT269">
        <v>56</v>
      </c>
      <c r="BU269">
        <v>58</v>
      </c>
      <c r="BV269">
        <v>69</v>
      </c>
      <c r="BW269">
        <v>77</v>
      </c>
      <c r="BX269">
        <v>82</v>
      </c>
      <c r="BY269">
        <v>84</v>
      </c>
      <c r="BZ269">
        <v>93</v>
      </c>
      <c r="CA269">
        <v>112</v>
      </c>
      <c r="CB269">
        <v>113</v>
      </c>
      <c r="CC269">
        <v>121</v>
      </c>
      <c r="CD269">
        <v>121</v>
      </c>
      <c r="CE269">
        <v>128</v>
      </c>
      <c r="CF269">
        <v>130</v>
      </c>
      <c r="CG269">
        <v>133</v>
      </c>
      <c r="CH269">
        <v>133</v>
      </c>
      <c r="CI269">
        <v>133</v>
      </c>
      <c r="CJ269">
        <v>133</v>
      </c>
      <c r="CK269">
        <v>135</v>
      </c>
      <c r="CL269">
        <v>135</v>
      </c>
      <c r="CM269">
        <v>136</v>
      </c>
      <c r="CN269">
        <v>136</v>
      </c>
      <c r="CO269">
        <v>136</v>
      </c>
      <c r="CP269">
        <v>136</v>
      </c>
      <c r="CQ269">
        <v>136</v>
      </c>
      <c r="CR269">
        <v>136</v>
      </c>
      <c r="CS269">
        <v>139</v>
      </c>
      <c r="CT269">
        <v>141</v>
      </c>
      <c r="CU269">
        <v>141</v>
      </c>
      <c r="CV269">
        <v>141</v>
      </c>
      <c r="CW269">
        <v>141</v>
      </c>
      <c r="CX269">
        <v>141</v>
      </c>
      <c r="CY269">
        <v>141</v>
      </c>
      <c r="CZ269">
        <v>145</v>
      </c>
      <c r="DA269">
        <v>145</v>
      </c>
      <c r="DB269">
        <v>145</v>
      </c>
    </row>
    <row r="270" spans="1:106" x14ac:dyDescent="0.25">
      <c r="A270" t="s">
        <v>2946</v>
      </c>
      <c r="B270" t="s">
        <v>37</v>
      </c>
      <c r="C270">
        <v>15.097899999999999</v>
      </c>
      <c r="D270">
        <v>145.6739</v>
      </c>
      <c r="E270">
        <v>0</v>
      </c>
      <c r="F270">
        <v>0</v>
      </c>
      <c r="G270">
        <v>0</v>
      </c>
      <c r="H270">
        <v>0</v>
      </c>
      <c r="I270">
        <v>0</v>
      </c>
      <c r="J270">
        <v>0</v>
      </c>
      <c r="K270">
        <v>0</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c r="AY270">
        <v>0</v>
      </c>
      <c r="AZ270">
        <v>0</v>
      </c>
      <c r="BA270">
        <v>0</v>
      </c>
      <c r="BB270">
        <v>0</v>
      </c>
      <c r="BC270">
        <v>0</v>
      </c>
      <c r="BD270">
        <v>0</v>
      </c>
      <c r="BE270">
        <v>0</v>
      </c>
      <c r="BF270">
        <v>0</v>
      </c>
      <c r="BG270">
        <v>0</v>
      </c>
      <c r="BH270">
        <v>0</v>
      </c>
      <c r="BI270">
        <v>0</v>
      </c>
      <c r="BJ270">
        <v>0</v>
      </c>
      <c r="BK270">
        <v>0</v>
      </c>
      <c r="BL270">
        <v>0</v>
      </c>
      <c r="BM270">
        <v>0</v>
      </c>
      <c r="BN270">
        <v>0</v>
      </c>
      <c r="BO270">
        <v>0</v>
      </c>
      <c r="BP270">
        <v>0</v>
      </c>
      <c r="BQ270">
        <v>0</v>
      </c>
      <c r="BR270">
        <v>0</v>
      </c>
      <c r="BS270">
        <v>0</v>
      </c>
      <c r="BT270">
        <v>0</v>
      </c>
      <c r="BU270">
        <v>0</v>
      </c>
      <c r="BV270">
        <v>2</v>
      </c>
      <c r="BW270">
        <v>6</v>
      </c>
      <c r="BX270">
        <v>6</v>
      </c>
      <c r="BY270">
        <v>8</v>
      </c>
      <c r="BZ270">
        <v>8</v>
      </c>
      <c r="CA270">
        <v>8</v>
      </c>
      <c r="CB270">
        <v>8</v>
      </c>
      <c r="CC270">
        <v>8</v>
      </c>
      <c r="CD270">
        <v>11</v>
      </c>
      <c r="CE270">
        <v>11</v>
      </c>
      <c r="CF270">
        <v>11</v>
      </c>
      <c r="CG270">
        <v>11</v>
      </c>
      <c r="CH270">
        <v>11</v>
      </c>
      <c r="CI270">
        <v>11</v>
      </c>
      <c r="CJ270">
        <v>11</v>
      </c>
      <c r="CK270">
        <v>13</v>
      </c>
      <c r="CL270">
        <v>13</v>
      </c>
      <c r="CM270">
        <v>13</v>
      </c>
      <c r="CN270">
        <v>14</v>
      </c>
      <c r="CO270">
        <v>14</v>
      </c>
      <c r="CP270">
        <v>14</v>
      </c>
      <c r="CQ270">
        <v>14</v>
      </c>
      <c r="CR270">
        <v>14</v>
      </c>
      <c r="CS270">
        <v>14</v>
      </c>
      <c r="CT270">
        <v>14</v>
      </c>
      <c r="CU270">
        <v>14</v>
      </c>
      <c r="CV270">
        <v>14</v>
      </c>
      <c r="CW270">
        <v>14</v>
      </c>
      <c r="CX270">
        <v>14</v>
      </c>
      <c r="CY270">
        <v>14</v>
      </c>
      <c r="CZ270">
        <v>14</v>
      </c>
      <c r="DA270">
        <v>14</v>
      </c>
      <c r="DB270">
        <v>14</v>
      </c>
    </row>
    <row r="271" spans="1:106" x14ac:dyDescent="0.25">
      <c r="A271" t="s">
        <v>2947</v>
      </c>
      <c r="B271" t="s">
        <v>37</v>
      </c>
      <c r="C271">
        <v>18.220800000000001</v>
      </c>
      <c r="D271">
        <v>-66.590100000000007</v>
      </c>
      <c r="E271">
        <v>0</v>
      </c>
      <c r="F271">
        <v>0</v>
      </c>
      <c r="G271">
        <v>0</v>
      </c>
      <c r="H271">
        <v>0</v>
      </c>
      <c r="I271">
        <v>0</v>
      </c>
      <c r="J271">
        <v>0</v>
      </c>
      <c r="K271">
        <v>0</v>
      </c>
      <c r="L271">
        <v>0</v>
      </c>
      <c r="M271">
        <v>0</v>
      </c>
      <c r="N271">
        <v>0</v>
      </c>
      <c r="O271">
        <v>0</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5</v>
      </c>
      <c r="BH271">
        <v>5</v>
      </c>
      <c r="BI271">
        <v>5</v>
      </c>
      <c r="BJ271">
        <v>5</v>
      </c>
      <c r="BK271">
        <v>14</v>
      </c>
      <c r="BL271">
        <v>21</v>
      </c>
      <c r="BM271">
        <v>23</v>
      </c>
      <c r="BN271">
        <v>31</v>
      </c>
      <c r="BO271">
        <v>39</v>
      </c>
      <c r="BP271">
        <v>51</v>
      </c>
      <c r="BQ271">
        <v>64</v>
      </c>
      <c r="BR271">
        <v>79</v>
      </c>
      <c r="BS271">
        <v>100</v>
      </c>
      <c r="BT271">
        <v>127</v>
      </c>
      <c r="BU271">
        <v>174</v>
      </c>
      <c r="BV271">
        <v>239</v>
      </c>
      <c r="BW271">
        <v>286</v>
      </c>
      <c r="BX271">
        <v>316</v>
      </c>
      <c r="BY271">
        <v>316</v>
      </c>
      <c r="BZ271">
        <v>452</v>
      </c>
      <c r="CA271">
        <v>475</v>
      </c>
      <c r="CB271">
        <v>513</v>
      </c>
      <c r="CC271">
        <v>573</v>
      </c>
      <c r="CD271">
        <v>620</v>
      </c>
      <c r="CE271">
        <v>683</v>
      </c>
      <c r="CF271">
        <v>725</v>
      </c>
      <c r="CG271">
        <v>788</v>
      </c>
      <c r="CH271">
        <v>897</v>
      </c>
      <c r="CI271">
        <v>903</v>
      </c>
      <c r="CJ271">
        <v>923</v>
      </c>
      <c r="CK271">
        <v>974</v>
      </c>
      <c r="CL271">
        <v>1043</v>
      </c>
      <c r="CM271">
        <v>1068</v>
      </c>
      <c r="CN271">
        <v>1118</v>
      </c>
      <c r="CO271">
        <v>1213</v>
      </c>
      <c r="CP271">
        <v>1252</v>
      </c>
      <c r="CQ271">
        <v>1298</v>
      </c>
      <c r="CR271">
        <v>1252</v>
      </c>
      <c r="CS271">
        <v>1416</v>
      </c>
      <c r="CT271">
        <v>1276</v>
      </c>
      <c r="CU271">
        <v>1307</v>
      </c>
      <c r="CV271">
        <v>1371</v>
      </c>
      <c r="CW271">
        <v>1389</v>
      </c>
      <c r="CX271">
        <v>1400</v>
      </c>
      <c r="CY271">
        <v>1433</v>
      </c>
      <c r="CZ271">
        <v>1539</v>
      </c>
      <c r="DA271">
        <v>1575</v>
      </c>
      <c r="DB271">
        <v>1757</v>
      </c>
    </row>
    <row r="272" spans="1:106" x14ac:dyDescent="0.25">
      <c r="A272" t="s">
        <v>2948</v>
      </c>
      <c r="B272" t="s">
        <v>37</v>
      </c>
      <c r="C272">
        <v>18.335799999999999</v>
      </c>
      <c r="D272">
        <v>-64.896299999999997</v>
      </c>
      <c r="E272">
        <v>0</v>
      </c>
      <c r="F272">
        <v>0</v>
      </c>
      <c r="G272">
        <v>0</v>
      </c>
      <c r="H272">
        <v>0</v>
      </c>
      <c r="I272">
        <v>0</v>
      </c>
      <c r="J272">
        <v>0</v>
      </c>
      <c r="K272">
        <v>0</v>
      </c>
      <c r="L272">
        <v>0</v>
      </c>
      <c r="M272">
        <v>0</v>
      </c>
      <c r="N272">
        <v>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1</v>
      </c>
      <c r="BH272">
        <v>2</v>
      </c>
      <c r="BI272">
        <v>2</v>
      </c>
      <c r="BJ272">
        <v>3</v>
      </c>
      <c r="BK272">
        <v>3</v>
      </c>
      <c r="BL272">
        <v>6</v>
      </c>
      <c r="BM272">
        <v>6</v>
      </c>
      <c r="BN272">
        <v>7</v>
      </c>
      <c r="BO272">
        <v>17</v>
      </c>
      <c r="BP272">
        <v>17</v>
      </c>
      <c r="BQ272">
        <v>17</v>
      </c>
      <c r="BR272">
        <v>19</v>
      </c>
      <c r="BS272">
        <v>22</v>
      </c>
      <c r="BT272">
        <v>23</v>
      </c>
      <c r="BU272">
        <v>30</v>
      </c>
      <c r="BV272">
        <v>30</v>
      </c>
      <c r="BW272">
        <v>30</v>
      </c>
      <c r="BX272">
        <v>30</v>
      </c>
      <c r="BY272">
        <v>37</v>
      </c>
      <c r="BZ272">
        <v>40</v>
      </c>
      <c r="CA272">
        <v>42</v>
      </c>
      <c r="CB272">
        <v>43</v>
      </c>
      <c r="CC272">
        <v>43</v>
      </c>
      <c r="CD272">
        <v>45</v>
      </c>
      <c r="CE272">
        <v>45</v>
      </c>
      <c r="CF272">
        <v>50</v>
      </c>
      <c r="CG272">
        <v>51</v>
      </c>
      <c r="CH272">
        <v>51</v>
      </c>
      <c r="CI272">
        <v>51</v>
      </c>
      <c r="CJ272">
        <v>51</v>
      </c>
      <c r="CK272">
        <v>51</v>
      </c>
      <c r="CL272">
        <v>51</v>
      </c>
      <c r="CM272">
        <v>51</v>
      </c>
      <c r="CN272">
        <v>53</v>
      </c>
      <c r="CO272">
        <v>53</v>
      </c>
      <c r="CP272">
        <v>53</v>
      </c>
      <c r="CQ272">
        <v>53</v>
      </c>
      <c r="CR272">
        <v>54</v>
      </c>
      <c r="CS272">
        <v>54</v>
      </c>
      <c r="CT272">
        <v>54</v>
      </c>
      <c r="CU272">
        <v>55</v>
      </c>
      <c r="CV272">
        <v>57</v>
      </c>
      <c r="CW272">
        <v>57</v>
      </c>
      <c r="CX272">
        <v>57</v>
      </c>
      <c r="CY272">
        <v>57</v>
      </c>
      <c r="CZ272">
        <v>66</v>
      </c>
      <c r="DA272">
        <v>66</v>
      </c>
      <c r="DB272">
        <v>66</v>
      </c>
    </row>
    <row r="273" spans="1:106" x14ac:dyDescent="0.25">
      <c r="A273" t="s">
        <v>2949</v>
      </c>
      <c r="B273" t="s">
        <v>37</v>
      </c>
      <c r="C273">
        <v>2203.24678369</v>
      </c>
      <c r="D273">
        <v>-5809.5781992500024</v>
      </c>
      <c r="E273">
        <v>0</v>
      </c>
      <c r="F273">
        <v>0</v>
      </c>
      <c r="G273">
        <v>0</v>
      </c>
      <c r="H273">
        <v>0</v>
      </c>
      <c r="I273">
        <v>0</v>
      </c>
      <c r="J273">
        <v>0</v>
      </c>
      <c r="K273">
        <v>0</v>
      </c>
      <c r="L273">
        <v>0</v>
      </c>
      <c r="M273">
        <v>0</v>
      </c>
      <c r="N273">
        <v>0</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0</v>
      </c>
      <c r="BD273">
        <v>5</v>
      </c>
      <c r="BE273">
        <v>7</v>
      </c>
      <c r="BF273">
        <v>11</v>
      </c>
      <c r="BG273">
        <v>29</v>
      </c>
      <c r="BH273">
        <v>39</v>
      </c>
      <c r="BI273">
        <v>51</v>
      </c>
      <c r="BJ273">
        <v>78</v>
      </c>
      <c r="BK273">
        <v>106</v>
      </c>
      <c r="BL273">
        <v>131</v>
      </c>
      <c r="BM273">
        <v>157</v>
      </c>
      <c r="BN273">
        <v>196</v>
      </c>
      <c r="BO273">
        <v>242</v>
      </c>
      <c r="BP273">
        <v>381</v>
      </c>
      <c r="BQ273">
        <v>517</v>
      </c>
      <c r="BR273">
        <v>587</v>
      </c>
      <c r="BS273">
        <v>694</v>
      </c>
      <c r="BT273">
        <v>825</v>
      </c>
      <c r="BU273">
        <v>899</v>
      </c>
      <c r="BV273">
        <v>987</v>
      </c>
      <c r="BW273">
        <v>1060</v>
      </c>
      <c r="BX273">
        <v>1233</v>
      </c>
      <c r="BY273">
        <v>1495</v>
      </c>
      <c r="BZ273">
        <v>1614</v>
      </c>
      <c r="CA273">
        <v>1765</v>
      </c>
      <c r="CB273">
        <v>1952</v>
      </c>
      <c r="CC273">
        <v>2169</v>
      </c>
      <c r="CD273">
        <v>2328</v>
      </c>
      <c r="CE273">
        <v>2703</v>
      </c>
      <c r="CF273">
        <v>2947</v>
      </c>
      <c r="CG273">
        <v>3217</v>
      </c>
      <c r="CH273">
        <v>3563</v>
      </c>
      <c r="CI273">
        <v>3734</v>
      </c>
      <c r="CJ273">
        <v>3953</v>
      </c>
      <c r="CK273">
        <v>4075</v>
      </c>
      <c r="CL273">
        <v>4345</v>
      </c>
      <c r="CM273">
        <v>4571</v>
      </c>
      <c r="CN273">
        <v>4712</v>
      </c>
      <c r="CO273">
        <v>4888</v>
      </c>
      <c r="CP273">
        <v>5079</v>
      </c>
      <c r="CQ273">
        <v>5317</v>
      </c>
      <c r="CR273">
        <v>5593</v>
      </c>
      <c r="CS273">
        <v>5832</v>
      </c>
      <c r="CT273">
        <v>6026</v>
      </c>
      <c r="CU273">
        <v>6026</v>
      </c>
      <c r="CV273">
        <v>6421</v>
      </c>
      <c r="CW273">
        <v>6539</v>
      </c>
      <c r="CX273">
        <v>6750</v>
      </c>
      <c r="CY273">
        <v>6912</v>
      </c>
      <c r="CZ273">
        <v>7088</v>
      </c>
      <c r="DA273">
        <v>7294</v>
      </c>
      <c r="DB273">
        <v>7611</v>
      </c>
    </row>
    <row r="274" spans="1:106" x14ac:dyDescent="0.25">
      <c r="A274" t="s">
        <v>2950</v>
      </c>
      <c r="B274" t="s">
        <v>37</v>
      </c>
      <c r="C274">
        <v>1747.5798765500003</v>
      </c>
      <c r="D274">
        <v>-4229.3193343000003</v>
      </c>
      <c r="E274">
        <v>0</v>
      </c>
      <c r="F274">
        <v>0</v>
      </c>
      <c r="G274">
        <v>0</v>
      </c>
      <c r="H274">
        <v>0</v>
      </c>
      <c r="I274">
        <v>0</v>
      </c>
      <c r="J274">
        <v>0</v>
      </c>
      <c r="K274">
        <v>0</v>
      </c>
      <c r="L274">
        <v>0</v>
      </c>
      <c r="M274">
        <v>0</v>
      </c>
      <c r="N274">
        <v>0</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0</v>
      </c>
      <c r="BD274">
        <v>1</v>
      </c>
      <c r="BE274">
        <v>1</v>
      </c>
      <c r="BF274">
        <v>1</v>
      </c>
      <c r="BG274">
        <v>1</v>
      </c>
      <c r="BH274">
        <v>3</v>
      </c>
      <c r="BI274">
        <v>5</v>
      </c>
      <c r="BJ274">
        <v>8</v>
      </c>
      <c r="BK274">
        <v>11</v>
      </c>
      <c r="BL274">
        <v>13</v>
      </c>
      <c r="BM274">
        <v>18</v>
      </c>
      <c r="BN274">
        <v>30</v>
      </c>
      <c r="BO274">
        <v>34</v>
      </c>
      <c r="BP274">
        <v>41</v>
      </c>
      <c r="BQ274">
        <v>56</v>
      </c>
      <c r="BR274">
        <v>58</v>
      </c>
      <c r="BS274">
        <v>85</v>
      </c>
      <c r="BT274">
        <v>102</v>
      </c>
      <c r="BU274">
        <v>114</v>
      </c>
      <c r="BV274">
        <v>119</v>
      </c>
      <c r="BW274">
        <v>132</v>
      </c>
      <c r="BX274">
        <v>143</v>
      </c>
      <c r="BY274">
        <v>157</v>
      </c>
      <c r="BZ274">
        <v>171</v>
      </c>
      <c r="CA274">
        <v>185</v>
      </c>
      <c r="CB274">
        <v>190</v>
      </c>
      <c r="CC274">
        <v>213</v>
      </c>
      <c r="CD274">
        <v>226</v>
      </c>
      <c r="CE274">
        <v>235</v>
      </c>
      <c r="CF274">
        <v>246</v>
      </c>
      <c r="CG274">
        <v>257</v>
      </c>
      <c r="CH274">
        <v>272</v>
      </c>
      <c r="CI274">
        <v>277</v>
      </c>
      <c r="CJ274">
        <v>285</v>
      </c>
      <c r="CK274">
        <v>293</v>
      </c>
      <c r="CL274">
        <v>300</v>
      </c>
      <c r="CM274">
        <v>309</v>
      </c>
      <c r="CN274">
        <v>314</v>
      </c>
      <c r="CO274">
        <v>319</v>
      </c>
      <c r="CP274">
        <v>321</v>
      </c>
      <c r="CQ274">
        <v>329</v>
      </c>
      <c r="CR274">
        <v>335</v>
      </c>
      <c r="CS274">
        <v>337</v>
      </c>
      <c r="CT274">
        <v>339</v>
      </c>
      <c r="CU274">
        <v>339</v>
      </c>
      <c r="CV274">
        <v>340</v>
      </c>
      <c r="CW274">
        <v>345</v>
      </c>
      <c r="CX274">
        <v>351</v>
      </c>
      <c r="CY274">
        <v>355</v>
      </c>
      <c r="CZ274">
        <v>355</v>
      </c>
      <c r="DA274">
        <v>364</v>
      </c>
      <c r="DB274">
        <v>365</v>
      </c>
    </row>
    <row r="275" spans="1:106" x14ac:dyDescent="0.25">
      <c r="A275" t="s">
        <v>2951</v>
      </c>
      <c r="B275" t="s">
        <v>37</v>
      </c>
      <c r="C275">
        <v>505.13855462999999</v>
      </c>
      <c r="D275">
        <v>-1671.9484818999999</v>
      </c>
      <c r="E275">
        <v>0</v>
      </c>
      <c r="F275">
        <v>0</v>
      </c>
      <c r="G275">
        <v>0</v>
      </c>
      <c r="H275">
        <v>0</v>
      </c>
      <c r="I275">
        <v>1</v>
      </c>
      <c r="J275">
        <v>1</v>
      </c>
      <c r="K275">
        <v>1</v>
      </c>
      <c r="L275">
        <v>1</v>
      </c>
      <c r="M275">
        <v>1</v>
      </c>
      <c r="N275">
        <v>1</v>
      </c>
      <c r="O275">
        <v>1</v>
      </c>
      <c r="P275">
        <v>1</v>
      </c>
      <c r="Q275">
        <v>1</v>
      </c>
      <c r="R275">
        <v>1</v>
      </c>
      <c r="S275">
        <v>1</v>
      </c>
      <c r="T275">
        <v>1</v>
      </c>
      <c r="U275">
        <v>1</v>
      </c>
      <c r="V275">
        <v>1</v>
      </c>
      <c r="W275">
        <v>1</v>
      </c>
      <c r="X275">
        <v>1</v>
      </c>
      <c r="Y275">
        <v>1</v>
      </c>
      <c r="Z275">
        <v>1</v>
      </c>
      <c r="AA275">
        <v>1</v>
      </c>
      <c r="AB275">
        <v>1</v>
      </c>
      <c r="AC275">
        <v>1</v>
      </c>
      <c r="AD275">
        <v>1</v>
      </c>
      <c r="AE275">
        <v>1</v>
      </c>
      <c r="AF275">
        <v>1</v>
      </c>
      <c r="AG275">
        <v>1</v>
      </c>
      <c r="AH275">
        <v>1</v>
      </c>
      <c r="AI275">
        <v>1</v>
      </c>
      <c r="AJ275">
        <v>1</v>
      </c>
      <c r="AK275">
        <v>1</v>
      </c>
      <c r="AL275">
        <v>1</v>
      </c>
      <c r="AM275">
        <v>1</v>
      </c>
      <c r="AN275">
        <v>1</v>
      </c>
      <c r="AO275">
        <v>1</v>
      </c>
      <c r="AP275">
        <v>1</v>
      </c>
      <c r="AQ275">
        <v>1</v>
      </c>
      <c r="AR275">
        <v>1</v>
      </c>
      <c r="AS275">
        <v>1</v>
      </c>
      <c r="AT275">
        <v>1</v>
      </c>
      <c r="AU275">
        <v>1</v>
      </c>
      <c r="AV275">
        <v>1</v>
      </c>
      <c r="AW275">
        <v>2</v>
      </c>
      <c r="AX275">
        <v>4</v>
      </c>
      <c r="AY275">
        <v>4</v>
      </c>
      <c r="AZ275">
        <v>4</v>
      </c>
      <c r="BA275">
        <v>6</v>
      </c>
      <c r="BB275">
        <v>9</v>
      </c>
      <c r="BC275">
        <v>9</v>
      </c>
      <c r="BD275">
        <v>9</v>
      </c>
      <c r="BE275">
        <v>12</v>
      </c>
      <c r="BF275">
        <v>12</v>
      </c>
      <c r="BG275">
        <v>18</v>
      </c>
      <c r="BH275">
        <v>20</v>
      </c>
      <c r="BI275">
        <v>27</v>
      </c>
      <c r="BJ275">
        <v>45</v>
      </c>
      <c r="BK275">
        <v>68</v>
      </c>
      <c r="BL275">
        <v>104</v>
      </c>
      <c r="BM275">
        <v>152</v>
      </c>
      <c r="BN275">
        <v>235</v>
      </c>
      <c r="BO275">
        <v>326</v>
      </c>
      <c r="BP275">
        <v>401</v>
      </c>
      <c r="BQ275">
        <v>508</v>
      </c>
      <c r="BR275">
        <v>665</v>
      </c>
      <c r="BS275">
        <v>773</v>
      </c>
      <c r="BT275">
        <v>919</v>
      </c>
      <c r="BU275">
        <v>1157</v>
      </c>
      <c r="BV275">
        <v>1289</v>
      </c>
      <c r="BW275">
        <v>1413</v>
      </c>
      <c r="BX275">
        <v>1596</v>
      </c>
      <c r="BY275">
        <v>1769</v>
      </c>
      <c r="BZ275">
        <v>2019</v>
      </c>
      <c r="CA275">
        <v>2269</v>
      </c>
      <c r="CB275">
        <v>2460</v>
      </c>
      <c r="CC275">
        <v>2575</v>
      </c>
      <c r="CD275">
        <v>2726</v>
      </c>
      <c r="CE275">
        <v>3018</v>
      </c>
      <c r="CF275">
        <v>3112</v>
      </c>
      <c r="CG275">
        <v>3393</v>
      </c>
      <c r="CH275">
        <v>3542</v>
      </c>
      <c r="CI275">
        <v>3705</v>
      </c>
      <c r="CJ275">
        <v>3809</v>
      </c>
      <c r="CK275">
        <v>3964</v>
      </c>
      <c r="CL275">
        <v>4237</v>
      </c>
      <c r="CM275">
        <v>4511</v>
      </c>
      <c r="CN275">
        <v>4724</v>
      </c>
      <c r="CO275">
        <v>4933</v>
      </c>
      <c r="CP275">
        <v>5068</v>
      </c>
      <c r="CQ275">
        <v>5256</v>
      </c>
      <c r="CR275">
        <v>5473</v>
      </c>
      <c r="CS275">
        <v>5772</v>
      </c>
      <c r="CT275">
        <v>6045</v>
      </c>
      <c r="CU275">
        <v>6286</v>
      </c>
      <c r="CV275">
        <v>6534</v>
      </c>
      <c r="CW275">
        <v>6725</v>
      </c>
      <c r="CX275">
        <v>6955</v>
      </c>
      <c r="CY275">
        <v>7209</v>
      </c>
      <c r="CZ275">
        <v>7655</v>
      </c>
      <c r="DA275">
        <v>7969</v>
      </c>
      <c r="DB275">
        <v>8364</v>
      </c>
    </row>
    <row r="276" spans="1:106" x14ac:dyDescent="0.25">
      <c r="A276" t="s">
        <v>2952</v>
      </c>
      <c r="B276" t="s">
        <v>37</v>
      </c>
      <c r="C276">
        <v>2618.39170427</v>
      </c>
      <c r="D276">
        <v>-6932.5483701299991</v>
      </c>
      <c r="E276">
        <v>0</v>
      </c>
      <c r="F276">
        <v>0</v>
      </c>
      <c r="G276">
        <v>0</v>
      </c>
      <c r="H276">
        <v>0</v>
      </c>
      <c r="I276">
        <v>0</v>
      </c>
      <c r="J276">
        <v>0</v>
      </c>
      <c r="K276">
        <v>0</v>
      </c>
      <c r="L276">
        <v>0</v>
      </c>
      <c r="M276">
        <v>0</v>
      </c>
      <c r="N276">
        <v>0</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9</v>
      </c>
      <c r="BE276">
        <v>12</v>
      </c>
      <c r="BF276">
        <v>3</v>
      </c>
      <c r="BG276">
        <v>3</v>
      </c>
      <c r="BH276">
        <v>3</v>
      </c>
      <c r="BI276">
        <v>4</v>
      </c>
      <c r="BJ276">
        <v>62</v>
      </c>
      <c r="BK276">
        <v>100</v>
      </c>
      <c r="BL276">
        <v>122</v>
      </c>
      <c r="BM276">
        <v>165</v>
      </c>
      <c r="BN276">
        <v>192</v>
      </c>
      <c r="BO276">
        <v>219</v>
      </c>
      <c r="BP276">
        <v>280</v>
      </c>
      <c r="BQ276">
        <v>335</v>
      </c>
      <c r="BR276">
        <v>381</v>
      </c>
      <c r="BS276">
        <v>409</v>
      </c>
      <c r="BT276">
        <v>426</v>
      </c>
      <c r="BU276">
        <v>473</v>
      </c>
      <c r="BV276">
        <v>523</v>
      </c>
      <c r="BW276">
        <v>584</v>
      </c>
      <c r="BX276">
        <v>643</v>
      </c>
      <c r="BY276">
        <v>704</v>
      </c>
      <c r="BZ276">
        <v>743</v>
      </c>
      <c r="CA276">
        <v>837</v>
      </c>
      <c r="CB276">
        <v>875</v>
      </c>
      <c r="CC276">
        <v>946</v>
      </c>
      <c r="CD276">
        <v>1000</v>
      </c>
      <c r="CE276">
        <v>1119</v>
      </c>
      <c r="CF276">
        <v>1171</v>
      </c>
      <c r="CG276">
        <v>1228</v>
      </c>
      <c r="CH276">
        <v>1280</v>
      </c>
      <c r="CI276">
        <v>1410</v>
      </c>
      <c r="CJ276">
        <v>1498</v>
      </c>
      <c r="CK276">
        <v>1569</v>
      </c>
      <c r="CL276">
        <v>1620</v>
      </c>
      <c r="CM276">
        <v>1695</v>
      </c>
      <c r="CN276">
        <v>1744</v>
      </c>
      <c r="CO276">
        <v>1781</v>
      </c>
      <c r="CP276">
        <v>1973</v>
      </c>
      <c r="CQ276">
        <v>1990</v>
      </c>
      <c r="CR276">
        <v>2276</v>
      </c>
      <c r="CS276">
        <v>2599</v>
      </c>
      <c r="CT276">
        <v>2810</v>
      </c>
      <c r="CU276">
        <v>2911</v>
      </c>
      <c r="CV276">
        <v>3001</v>
      </c>
      <c r="CW276">
        <v>3069</v>
      </c>
      <c r="CX276">
        <v>3127</v>
      </c>
      <c r="CY276">
        <v>3193</v>
      </c>
      <c r="CZ276">
        <v>3281</v>
      </c>
      <c r="DA276">
        <v>3337</v>
      </c>
      <c r="DB276">
        <v>3372</v>
      </c>
    </row>
    <row r="277" spans="1:106" x14ac:dyDescent="0.25">
      <c r="A277" t="s">
        <v>2953</v>
      </c>
      <c r="B277" t="s">
        <v>37</v>
      </c>
      <c r="C277">
        <v>2194.9497754700001</v>
      </c>
      <c r="D277">
        <v>-7002.2584614999987</v>
      </c>
      <c r="E277">
        <v>0</v>
      </c>
      <c r="F277">
        <v>0</v>
      </c>
      <c r="G277">
        <v>0</v>
      </c>
      <c r="H277">
        <v>0</v>
      </c>
      <c r="I277">
        <v>2</v>
      </c>
      <c r="J277">
        <v>2</v>
      </c>
      <c r="K277">
        <v>2</v>
      </c>
      <c r="L277">
        <v>2</v>
      </c>
      <c r="M277">
        <v>2</v>
      </c>
      <c r="N277">
        <v>3</v>
      </c>
      <c r="O277">
        <v>3</v>
      </c>
      <c r="P277">
        <v>3</v>
      </c>
      <c r="Q277">
        <v>6</v>
      </c>
      <c r="R277">
        <v>6</v>
      </c>
      <c r="S277">
        <v>6</v>
      </c>
      <c r="T277">
        <v>6</v>
      </c>
      <c r="U277">
        <v>6</v>
      </c>
      <c r="V277">
        <v>6</v>
      </c>
      <c r="W277">
        <v>6</v>
      </c>
      <c r="X277">
        <v>6</v>
      </c>
      <c r="Y277">
        <v>7</v>
      </c>
      <c r="Z277">
        <v>7</v>
      </c>
      <c r="AA277">
        <v>8</v>
      </c>
      <c r="AB277">
        <v>8</v>
      </c>
      <c r="AC277">
        <v>8</v>
      </c>
      <c r="AD277">
        <v>8</v>
      </c>
      <c r="AE277">
        <v>8</v>
      </c>
      <c r="AF277">
        <v>8</v>
      </c>
      <c r="AG277">
        <v>8</v>
      </c>
      <c r="AH277">
        <v>8</v>
      </c>
      <c r="AI277">
        <v>10</v>
      </c>
      <c r="AJ277">
        <v>10</v>
      </c>
      <c r="AK277">
        <v>10</v>
      </c>
      <c r="AL277">
        <v>10</v>
      </c>
      <c r="AM277">
        <v>10</v>
      </c>
      <c r="AN277">
        <v>10</v>
      </c>
      <c r="AO277">
        <v>11</v>
      </c>
      <c r="AP277">
        <v>11</v>
      </c>
      <c r="AQ277">
        <v>12</v>
      </c>
      <c r="AR277">
        <v>12</v>
      </c>
      <c r="AS277">
        <v>21</v>
      </c>
      <c r="AT277">
        <v>25</v>
      </c>
      <c r="AU277">
        <v>35</v>
      </c>
      <c r="AV277">
        <v>51</v>
      </c>
      <c r="AW277">
        <v>59</v>
      </c>
      <c r="AX277">
        <v>81</v>
      </c>
      <c r="AY277">
        <v>95</v>
      </c>
      <c r="AZ277">
        <v>101</v>
      </c>
      <c r="BA277">
        <v>144</v>
      </c>
      <c r="BB277">
        <v>178</v>
      </c>
      <c r="BC277">
        <v>221</v>
      </c>
      <c r="BD277">
        <v>281</v>
      </c>
      <c r="BE277">
        <v>372</v>
      </c>
      <c r="BF277">
        <v>373</v>
      </c>
      <c r="BG277">
        <v>557</v>
      </c>
      <c r="BH277">
        <v>700</v>
      </c>
      <c r="BI277">
        <v>828</v>
      </c>
      <c r="BJ277">
        <v>1005</v>
      </c>
      <c r="BK277">
        <v>1243</v>
      </c>
      <c r="BL277">
        <v>1405</v>
      </c>
      <c r="BM277">
        <v>1646</v>
      </c>
      <c r="BN277">
        <v>2108</v>
      </c>
      <c r="BO277">
        <v>2538</v>
      </c>
      <c r="BP277">
        <v>2998</v>
      </c>
      <c r="BQ277">
        <v>3899</v>
      </c>
      <c r="BR277">
        <v>4657</v>
      </c>
      <c r="BS277">
        <v>5095</v>
      </c>
      <c r="BT277">
        <v>5852</v>
      </c>
      <c r="BU277">
        <v>7138</v>
      </c>
      <c r="BV277">
        <v>8210</v>
      </c>
      <c r="BW277">
        <v>9399</v>
      </c>
      <c r="BX277">
        <v>10773</v>
      </c>
      <c r="BY277">
        <v>12004</v>
      </c>
      <c r="BZ277">
        <v>12837</v>
      </c>
      <c r="CA277">
        <v>15034</v>
      </c>
      <c r="CB277">
        <v>16019</v>
      </c>
      <c r="CC277">
        <v>17351</v>
      </c>
      <c r="CD277">
        <v>18897</v>
      </c>
      <c r="CE277">
        <v>19710</v>
      </c>
      <c r="CF277">
        <v>21081</v>
      </c>
      <c r="CG277">
        <v>21706</v>
      </c>
      <c r="CH277">
        <v>22795</v>
      </c>
      <c r="CI277">
        <v>23931</v>
      </c>
      <c r="CJ277">
        <v>25356</v>
      </c>
      <c r="CK277">
        <v>26686</v>
      </c>
      <c r="CL277">
        <v>27677</v>
      </c>
      <c r="CM277">
        <v>29157</v>
      </c>
      <c r="CN277">
        <v>30491</v>
      </c>
      <c r="CO277">
        <v>31431</v>
      </c>
      <c r="CP277">
        <v>33686</v>
      </c>
      <c r="CQ277">
        <v>35465</v>
      </c>
      <c r="CR277">
        <v>37344</v>
      </c>
      <c r="CS277">
        <v>39561</v>
      </c>
      <c r="CT277">
        <v>41355</v>
      </c>
      <c r="CU277">
        <v>42368</v>
      </c>
      <c r="CV277">
        <v>43558</v>
      </c>
      <c r="CW277">
        <v>44966</v>
      </c>
      <c r="CX277">
        <v>46164</v>
      </c>
      <c r="CY277">
        <v>48747</v>
      </c>
      <c r="CZ277">
        <v>50130</v>
      </c>
      <c r="DA277">
        <v>52026</v>
      </c>
      <c r="DB277">
        <v>53347</v>
      </c>
    </row>
    <row r="278" spans="1:106" x14ac:dyDescent="0.25">
      <c r="A278" t="s">
        <v>2954</v>
      </c>
      <c r="B278" t="s">
        <v>37</v>
      </c>
      <c r="C278">
        <v>2491.870365929999</v>
      </c>
      <c r="D278">
        <v>-6751.1193573999981</v>
      </c>
      <c r="E278">
        <v>0</v>
      </c>
      <c r="F278">
        <v>0</v>
      </c>
      <c r="G278">
        <v>0</v>
      </c>
      <c r="H278">
        <v>0</v>
      </c>
      <c r="I278">
        <v>0</v>
      </c>
      <c r="J278">
        <v>0</v>
      </c>
      <c r="K278">
        <v>0</v>
      </c>
      <c r="L278">
        <v>0</v>
      </c>
      <c r="M278">
        <v>0</v>
      </c>
      <c r="N278">
        <v>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v>3</v>
      </c>
      <c r="AX278">
        <v>7</v>
      </c>
      <c r="AY278">
        <v>7</v>
      </c>
      <c r="AZ278">
        <v>7</v>
      </c>
      <c r="BA278">
        <v>14</v>
      </c>
      <c r="BB278">
        <v>30</v>
      </c>
      <c r="BC278">
        <v>45</v>
      </c>
      <c r="BD278">
        <v>76</v>
      </c>
      <c r="BE278">
        <v>101</v>
      </c>
      <c r="BF278">
        <v>99</v>
      </c>
      <c r="BG278">
        <v>132</v>
      </c>
      <c r="BH278">
        <v>167</v>
      </c>
      <c r="BI278">
        <v>218</v>
      </c>
      <c r="BJ278">
        <v>277</v>
      </c>
      <c r="BK278">
        <v>363</v>
      </c>
      <c r="BL278">
        <v>475</v>
      </c>
      <c r="BM278">
        <v>591</v>
      </c>
      <c r="BN278">
        <v>704</v>
      </c>
      <c r="BO278">
        <v>723</v>
      </c>
      <c r="BP278">
        <v>1021</v>
      </c>
      <c r="BQ278">
        <v>1430</v>
      </c>
      <c r="BR278">
        <v>1433</v>
      </c>
      <c r="BS278">
        <v>1740</v>
      </c>
      <c r="BT278">
        <v>2307</v>
      </c>
      <c r="BU278">
        <v>2311</v>
      </c>
      <c r="BV278">
        <v>2966</v>
      </c>
      <c r="BW278">
        <v>2982</v>
      </c>
      <c r="BX278">
        <v>3342</v>
      </c>
      <c r="BY278">
        <v>3742</v>
      </c>
      <c r="BZ278">
        <v>4188</v>
      </c>
      <c r="CA278">
        <v>4950</v>
      </c>
      <c r="CB278">
        <v>5183</v>
      </c>
      <c r="CC278">
        <v>5429</v>
      </c>
      <c r="CD278">
        <v>5655</v>
      </c>
      <c r="CE278">
        <v>5655</v>
      </c>
      <c r="CF278">
        <v>6202</v>
      </c>
      <c r="CG278">
        <v>6513</v>
      </c>
      <c r="CH278">
        <v>7307</v>
      </c>
      <c r="CI278">
        <v>7691</v>
      </c>
      <c r="CJ278">
        <v>7950</v>
      </c>
      <c r="CK278">
        <v>7956</v>
      </c>
      <c r="CL278">
        <v>8286</v>
      </c>
      <c r="CM278">
        <v>8691</v>
      </c>
      <c r="CN278">
        <v>9047</v>
      </c>
      <c r="CO278">
        <v>9730</v>
      </c>
      <c r="CP278">
        <v>9730</v>
      </c>
      <c r="CQ278">
        <v>10473</v>
      </c>
      <c r="CR278">
        <v>10891</v>
      </c>
      <c r="CS278">
        <v>11278</v>
      </c>
      <c r="CT278">
        <v>12256</v>
      </c>
      <c r="CU278">
        <v>12968</v>
      </c>
      <c r="CV278">
        <v>13441</v>
      </c>
      <c r="CW278">
        <v>13879</v>
      </c>
      <c r="CX278">
        <v>14316</v>
      </c>
      <c r="CY278">
        <v>14758</v>
      </c>
      <c r="CZ278">
        <v>15284</v>
      </c>
      <c r="DA278">
        <v>15793</v>
      </c>
      <c r="DB278">
        <v>16225</v>
      </c>
    </row>
    <row r="279" spans="1:106" x14ac:dyDescent="0.25">
      <c r="A279" t="s">
        <v>2955</v>
      </c>
      <c r="B279" t="s">
        <v>37</v>
      </c>
      <c r="C279">
        <v>332.90944112</v>
      </c>
      <c r="D279">
        <v>-581.25463743</v>
      </c>
      <c r="E279">
        <v>0</v>
      </c>
      <c r="F279">
        <v>0</v>
      </c>
      <c r="G279">
        <v>0</v>
      </c>
      <c r="H279">
        <v>0</v>
      </c>
      <c r="I279">
        <v>0</v>
      </c>
      <c r="J279">
        <v>0</v>
      </c>
      <c r="K279">
        <v>0</v>
      </c>
      <c r="L279">
        <v>0</v>
      </c>
      <c r="M279">
        <v>0</v>
      </c>
      <c r="N279">
        <v>0</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1</v>
      </c>
      <c r="BB279">
        <v>3</v>
      </c>
      <c r="BC279">
        <v>5</v>
      </c>
      <c r="BD279">
        <v>11</v>
      </c>
      <c r="BE279">
        <v>23</v>
      </c>
      <c r="BF279">
        <v>24</v>
      </c>
      <c r="BG279">
        <v>41</v>
      </c>
      <c r="BH279">
        <v>68</v>
      </c>
      <c r="BI279">
        <v>96</v>
      </c>
      <c r="BJ279">
        <v>159</v>
      </c>
      <c r="BK279">
        <v>194</v>
      </c>
      <c r="BL279">
        <v>194</v>
      </c>
      <c r="BM279">
        <v>327</v>
      </c>
      <c r="BN279">
        <v>415</v>
      </c>
      <c r="BO279">
        <v>618</v>
      </c>
      <c r="BP279">
        <v>875</v>
      </c>
      <c r="BQ279">
        <v>1012</v>
      </c>
      <c r="BR279">
        <v>1291</v>
      </c>
      <c r="BS279">
        <v>1524</v>
      </c>
      <c r="BT279">
        <v>1993</v>
      </c>
      <c r="BU279">
        <v>2571</v>
      </c>
      <c r="BV279">
        <v>3128</v>
      </c>
      <c r="BW279">
        <v>3557</v>
      </c>
      <c r="BX279">
        <v>3824</v>
      </c>
      <c r="BY279">
        <v>4914</v>
      </c>
      <c r="BZ279">
        <v>5276</v>
      </c>
      <c r="CA279">
        <v>5675</v>
      </c>
      <c r="CB279">
        <v>6906</v>
      </c>
      <c r="CC279">
        <v>7781</v>
      </c>
      <c r="CD279">
        <v>7781</v>
      </c>
      <c r="CE279">
        <v>9784</v>
      </c>
      <c r="CF279">
        <v>10538</v>
      </c>
      <c r="CG279">
        <v>11510</v>
      </c>
      <c r="CH279">
        <v>12035</v>
      </c>
      <c r="CI279">
        <v>13381</v>
      </c>
      <c r="CJ279">
        <v>13989</v>
      </c>
      <c r="CK279">
        <v>14755</v>
      </c>
      <c r="CL279">
        <v>15884</v>
      </c>
      <c r="CM279">
        <v>16809</v>
      </c>
      <c r="CN279">
        <v>17550</v>
      </c>
      <c r="CO279">
        <v>17962</v>
      </c>
      <c r="CP279">
        <v>19815</v>
      </c>
      <c r="CQ279">
        <v>20360</v>
      </c>
      <c r="CR279">
        <v>22469</v>
      </c>
      <c r="CS279">
        <v>23100</v>
      </c>
      <c r="CT279">
        <v>23936</v>
      </c>
      <c r="CU279">
        <v>24583</v>
      </c>
      <c r="CV279">
        <v>25269</v>
      </c>
      <c r="CW279">
        <v>25997</v>
      </c>
      <c r="CX279">
        <v>26312</v>
      </c>
      <c r="CY279">
        <v>26767</v>
      </c>
      <c r="CZ279">
        <v>27700</v>
      </c>
      <c r="DA279">
        <v>28764</v>
      </c>
      <c r="DB279">
        <v>29287</v>
      </c>
    </row>
    <row r="280" spans="1:106" x14ac:dyDescent="0.25">
      <c r="A280" t="s">
        <v>2956</v>
      </c>
      <c r="B280" t="s">
        <v>37</v>
      </c>
      <c r="C280">
        <v>117.32783047000001</v>
      </c>
      <c r="D280">
        <v>-226.59971236999996</v>
      </c>
      <c r="E280">
        <v>0</v>
      </c>
      <c r="F280">
        <v>0</v>
      </c>
      <c r="G280">
        <v>0</v>
      </c>
      <c r="H280">
        <v>0</v>
      </c>
      <c r="I280">
        <v>0</v>
      </c>
      <c r="J280">
        <v>0</v>
      </c>
      <c r="K280">
        <v>0</v>
      </c>
      <c r="L280">
        <v>0</v>
      </c>
      <c r="M280">
        <v>0</v>
      </c>
      <c r="N280">
        <v>0</v>
      </c>
      <c r="O280">
        <v>0</v>
      </c>
      <c r="P280">
        <v>0</v>
      </c>
      <c r="Q280">
        <v>0</v>
      </c>
      <c r="R280">
        <v>0</v>
      </c>
      <c r="S280">
        <v>0</v>
      </c>
      <c r="T280">
        <v>0</v>
      </c>
      <c r="U280">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0</v>
      </c>
      <c r="AW280">
        <v>0</v>
      </c>
      <c r="AX280">
        <v>0</v>
      </c>
      <c r="AY280">
        <v>0</v>
      </c>
      <c r="AZ280">
        <v>0</v>
      </c>
      <c r="BA280">
        <v>0</v>
      </c>
      <c r="BB280">
        <v>1</v>
      </c>
      <c r="BC280">
        <v>1</v>
      </c>
      <c r="BD280">
        <v>4</v>
      </c>
      <c r="BE280">
        <v>6</v>
      </c>
      <c r="BF280">
        <v>6</v>
      </c>
      <c r="BG280">
        <v>8</v>
      </c>
      <c r="BH280">
        <v>16</v>
      </c>
      <c r="BI280">
        <v>19</v>
      </c>
      <c r="BJ280">
        <v>30</v>
      </c>
      <c r="BK280">
        <v>39</v>
      </c>
      <c r="BL280">
        <v>45</v>
      </c>
      <c r="BM280">
        <v>56</v>
      </c>
      <c r="BN280">
        <v>68</v>
      </c>
      <c r="BO280">
        <v>104</v>
      </c>
      <c r="BP280">
        <v>119</v>
      </c>
      <c r="BQ280">
        <v>130</v>
      </c>
      <c r="BR280">
        <v>163</v>
      </c>
      <c r="BS280">
        <v>214</v>
      </c>
      <c r="BT280">
        <v>232</v>
      </c>
      <c r="BU280">
        <v>264</v>
      </c>
      <c r="BV280">
        <v>319</v>
      </c>
      <c r="BW280">
        <v>368</v>
      </c>
      <c r="BX280">
        <v>393</v>
      </c>
      <c r="BY280">
        <v>450</v>
      </c>
      <c r="BZ280">
        <v>593</v>
      </c>
      <c r="CA280">
        <v>673</v>
      </c>
      <c r="CB280">
        <v>783</v>
      </c>
      <c r="CC280">
        <v>928</v>
      </c>
      <c r="CD280">
        <v>1116</v>
      </c>
      <c r="CE280">
        <v>1209</v>
      </c>
      <c r="CF280">
        <v>1326</v>
      </c>
      <c r="CG280">
        <v>1479</v>
      </c>
      <c r="CH280">
        <v>1625</v>
      </c>
      <c r="CI280">
        <v>1758</v>
      </c>
      <c r="CJ280">
        <v>1926</v>
      </c>
      <c r="CK280">
        <v>2014</v>
      </c>
      <c r="CL280">
        <v>2070</v>
      </c>
      <c r="CM280">
        <v>2317</v>
      </c>
      <c r="CN280">
        <v>2538</v>
      </c>
      <c r="CO280">
        <v>2538</v>
      </c>
      <c r="CP280">
        <v>2745</v>
      </c>
      <c r="CQ280">
        <v>2931</v>
      </c>
      <c r="CR280">
        <v>3200</v>
      </c>
      <c r="CS280">
        <v>3308</v>
      </c>
      <c r="CT280">
        <v>3442</v>
      </c>
      <c r="CU280">
        <v>3576</v>
      </c>
      <c r="CV280">
        <v>4034</v>
      </c>
      <c r="CW280">
        <v>4162</v>
      </c>
      <c r="CX280">
        <v>4575</v>
      </c>
      <c r="CY280">
        <v>4655</v>
      </c>
      <c r="CZ280">
        <v>4734</v>
      </c>
      <c r="DA280">
        <v>4918</v>
      </c>
      <c r="DB280">
        <v>5038</v>
      </c>
    </row>
    <row r="281" spans="1:106" x14ac:dyDescent="0.25">
      <c r="A281" t="s">
        <v>2957</v>
      </c>
      <c r="B281" t="s">
        <v>37</v>
      </c>
      <c r="C281">
        <v>38.904177730000001</v>
      </c>
      <c r="D281">
        <v>-77.016559920000006</v>
      </c>
      <c r="E281">
        <v>0</v>
      </c>
      <c r="F281">
        <v>0</v>
      </c>
      <c r="G281">
        <v>0</v>
      </c>
      <c r="H281">
        <v>0</v>
      </c>
      <c r="I281">
        <v>0</v>
      </c>
      <c r="J281">
        <v>0</v>
      </c>
      <c r="K281">
        <v>0</v>
      </c>
      <c r="L281">
        <v>0</v>
      </c>
      <c r="M281">
        <v>0</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0</v>
      </c>
      <c r="BD281">
        <v>0</v>
      </c>
      <c r="BE281">
        <v>0</v>
      </c>
      <c r="BF281">
        <v>0</v>
      </c>
      <c r="BG281">
        <v>22</v>
      </c>
      <c r="BH281">
        <v>22</v>
      </c>
      <c r="BI281">
        <v>31</v>
      </c>
      <c r="BJ281">
        <v>40</v>
      </c>
      <c r="BK281">
        <v>71</v>
      </c>
      <c r="BL281">
        <v>98</v>
      </c>
      <c r="BM281">
        <v>102</v>
      </c>
      <c r="BN281">
        <v>120</v>
      </c>
      <c r="BO281">
        <v>141</v>
      </c>
      <c r="BP281">
        <v>187</v>
      </c>
      <c r="BQ281">
        <v>231</v>
      </c>
      <c r="BR281">
        <v>271</v>
      </c>
      <c r="BS281">
        <v>304</v>
      </c>
      <c r="BT281">
        <v>342</v>
      </c>
      <c r="BU281">
        <v>401</v>
      </c>
      <c r="BV281">
        <v>495</v>
      </c>
      <c r="BW281">
        <v>586</v>
      </c>
      <c r="BX281">
        <v>653</v>
      </c>
      <c r="BY281">
        <v>757</v>
      </c>
      <c r="BZ281">
        <v>902</v>
      </c>
      <c r="CA281">
        <v>1002</v>
      </c>
      <c r="CB281">
        <v>1097</v>
      </c>
      <c r="CC281">
        <v>1211</v>
      </c>
      <c r="CD281">
        <v>1440</v>
      </c>
      <c r="CE281">
        <v>1523</v>
      </c>
      <c r="CF281">
        <v>1660</v>
      </c>
      <c r="CG281">
        <v>1778</v>
      </c>
      <c r="CH281">
        <v>1875</v>
      </c>
      <c r="CI281">
        <v>1955</v>
      </c>
      <c r="CJ281">
        <v>2058</v>
      </c>
      <c r="CK281">
        <v>2197</v>
      </c>
      <c r="CL281">
        <v>2350</v>
      </c>
      <c r="CM281">
        <v>2476</v>
      </c>
      <c r="CN281">
        <v>2666</v>
      </c>
      <c r="CO281">
        <v>2793</v>
      </c>
      <c r="CP281">
        <v>2927</v>
      </c>
      <c r="CQ281">
        <v>3098</v>
      </c>
      <c r="CR281">
        <v>3206</v>
      </c>
      <c r="CS281">
        <v>3361</v>
      </c>
      <c r="CT281">
        <v>3528</v>
      </c>
      <c r="CU281">
        <v>3699</v>
      </c>
      <c r="CV281">
        <v>3841</v>
      </c>
      <c r="CW281">
        <v>3892</v>
      </c>
      <c r="CX281">
        <v>3994</v>
      </c>
      <c r="CY281">
        <v>4106</v>
      </c>
      <c r="CZ281">
        <v>4323</v>
      </c>
      <c r="DA281">
        <v>4658</v>
      </c>
      <c r="DB281">
        <v>4797</v>
      </c>
    </row>
    <row r="282" spans="1:106" x14ac:dyDescent="0.25">
      <c r="A282" t="s">
        <v>2958</v>
      </c>
      <c r="B282" t="s">
        <v>37</v>
      </c>
      <c r="C282">
        <v>1939.0305769000004</v>
      </c>
      <c r="D282">
        <v>-5540.9498419200008</v>
      </c>
      <c r="E282">
        <v>0</v>
      </c>
      <c r="F282">
        <v>0</v>
      </c>
      <c r="G282">
        <v>0</v>
      </c>
      <c r="H282">
        <v>0</v>
      </c>
      <c r="I282">
        <v>0</v>
      </c>
      <c r="J282">
        <v>0</v>
      </c>
      <c r="K282">
        <v>0</v>
      </c>
      <c r="L282">
        <v>0</v>
      </c>
      <c r="M282">
        <v>0</v>
      </c>
      <c r="N282">
        <v>0</v>
      </c>
      <c r="O282">
        <v>0</v>
      </c>
      <c r="P282">
        <v>0</v>
      </c>
      <c r="Q282">
        <v>0</v>
      </c>
      <c r="R282">
        <v>0</v>
      </c>
      <c r="S282">
        <v>0</v>
      </c>
      <c r="T282">
        <v>0</v>
      </c>
      <c r="U282">
        <v>0</v>
      </c>
      <c r="V282">
        <v>0</v>
      </c>
      <c r="W282">
        <v>0</v>
      </c>
      <c r="X282">
        <v>0</v>
      </c>
      <c r="Y282">
        <v>0</v>
      </c>
      <c r="Z282">
        <v>0</v>
      </c>
      <c r="AA282">
        <v>0</v>
      </c>
      <c r="AB282">
        <v>0</v>
      </c>
      <c r="AC282">
        <v>0</v>
      </c>
      <c r="AD282">
        <v>0</v>
      </c>
      <c r="AE282">
        <v>0</v>
      </c>
      <c r="AF282">
        <v>0</v>
      </c>
      <c r="AG282">
        <v>0</v>
      </c>
      <c r="AH282">
        <v>0</v>
      </c>
      <c r="AI282">
        <v>0</v>
      </c>
      <c r="AJ282">
        <v>0</v>
      </c>
      <c r="AK282">
        <v>0</v>
      </c>
      <c r="AL282">
        <v>0</v>
      </c>
      <c r="AM282">
        <v>0</v>
      </c>
      <c r="AN282">
        <v>0</v>
      </c>
      <c r="AO282">
        <v>0</v>
      </c>
      <c r="AP282">
        <v>0</v>
      </c>
      <c r="AQ282">
        <v>0</v>
      </c>
      <c r="AR282">
        <v>0</v>
      </c>
      <c r="AS282">
        <v>1</v>
      </c>
      <c r="AT282">
        <v>2</v>
      </c>
      <c r="AU282">
        <v>2</v>
      </c>
      <c r="AV282">
        <v>3</v>
      </c>
      <c r="AW282">
        <v>3</v>
      </c>
      <c r="AX282">
        <v>7</v>
      </c>
      <c r="AY282">
        <v>10</v>
      </c>
      <c r="AZ282">
        <v>13</v>
      </c>
      <c r="BA282">
        <v>15</v>
      </c>
      <c r="BB282">
        <v>24</v>
      </c>
      <c r="BC282">
        <v>30</v>
      </c>
      <c r="BD282">
        <v>50</v>
      </c>
      <c r="BE282">
        <v>76</v>
      </c>
      <c r="BF282">
        <v>100</v>
      </c>
      <c r="BG282">
        <v>101</v>
      </c>
      <c r="BH282">
        <v>190</v>
      </c>
      <c r="BI282">
        <v>306</v>
      </c>
      <c r="BJ282">
        <v>432</v>
      </c>
      <c r="BK282">
        <v>564</v>
      </c>
      <c r="BL282">
        <v>763</v>
      </c>
      <c r="BM282">
        <v>1004</v>
      </c>
      <c r="BN282">
        <v>1227</v>
      </c>
      <c r="BO282">
        <v>1412</v>
      </c>
      <c r="BP282">
        <v>1682</v>
      </c>
      <c r="BQ282">
        <v>2357</v>
      </c>
      <c r="BR282">
        <v>2900</v>
      </c>
      <c r="BS282">
        <v>3763</v>
      </c>
      <c r="BT282">
        <v>4246</v>
      </c>
      <c r="BU282">
        <v>5473</v>
      </c>
      <c r="BV282">
        <v>6741</v>
      </c>
      <c r="BW282">
        <v>6956</v>
      </c>
      <c r="BX282">
        <v>9008</v>
      </c>
      <c r="BY282">
        <v>10268</v>
      </c>
      <c r="BZ282">
        <v>11537</v>
      </c>
      <c r="CA282">
        <v>12350</v>
      </c>
      <c r="CB282">
        <v>13324</v>
      </c>
      <c r="CC282">
        <v>14545</v>
      </c>
      <c r="CD282">
        <v>15456</v>
      </c>
      <c r="CE282">
        <v>16364</v>
      </c>
      <c r="CF282">
        <v>17531</v>
      </c>
      <c r="CG282">
        <v>18494</v>
      </c>
      <c r="CH282">
        <v>19895</v>
      </c>
      <c r="CI282">
        <v>21019</v>
      </c>
      <c r="CJ282">
        <v>21628</v>
      </c>
      <c r="CK282">
        <v>22511</v>
      </c>
      <c r="CL282">
        <v>23343</v>
      </c>
      <c r="CM282">
        <v>24759</v>
      </c>
      <c r="CN282">
        <v>25492</v>
      </c>
      <c r="CO282">
        <v>26314</v>
      </c>
      <c r="CP282">
        <v>27059</v>
      </c>
      <c r="CQ282">
        <v>27869</v>
      </c>
      <c r="CR282">
        <v>28309</v>
      </c>
      <c r="CS282">
        <v>29648</v>
      </c>
      <c r="CT282">
        <v>30533</v>
      </c>
      <c r="CU282">
        <v>30839</v>
      </c>
      <c r="CV282">
        <v>31532</v>
      </c>
      <c r="CW282">
        <v>32138</v>
      </c>
      <c r="CX282">
        <v>32848</v>
      </c>
      <c r="CY282">
        <v>33193</v>
      </c>
      <c r="CZ282">
        <v>33690</v>
      </c>
      <c r="DA282">
        <v>34728</v>
      </c>
      <c r="DB282">
        <v>35463</v>
      </c>
    </row>
    <row r="283" spans="1:106" x14ac:dyDescent="0.25">
      <c r="A283" t="s">
        <v>80</v>
      </c>
      <c r="B283" t="s">
        <v>37</v>
      </c>
      <c r="C283">
        <v>5216.5566110300015</v>
      </c>
      <c r="D283">
        <v>-13288.811358250005</v>
      </c>
      <c r="E283">
        <v>0</v>
      </c>
      <c r="F283">
        <v>0</v>
      </c>
      <c r="G283">
        <v>0</v>
      </c>
      <c r="H283">
        <v>0</v>
      </c>
      <c r="I283">
        <v>0</v>
      </c>
      <c r="J283">
        <v>0</v>
      </c>
      <c r="K283">
        <v>0</v>
      </c>
      <c r="L283">
        <v>0</v>
      </c>
      <c r="M283">
        <v>0</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c r="AP283">
        <v>0</v>
      </c>
      <c r="AQ283">
        <v>0</v>
      </c>
      <c r="AR283">
        <v>0</v>
      </c>
      <c r="AS283">
        <v>0</v>
      </c>
      <c r="AT283">
        <v>2</v>
      </c>
      <c r="AU283">
        <v>2</v>
      </c>
      <c r="AV283">
        <v>2</v>
      </c>
      <c r="AW283">
        <v>3</v>
      </c>
      <c r="AX283">
        <v>5</v>
      </c>
      <c r="AY283">
        <v>5</v>
      </c>
      <c r="AZ283">
        <v>10</v>
      </c>
      <c r="BA283">
        <v>17</v>
      </c>
      <c r="BB283">
        <v>23</v>
      </c>
      <c r="BC283">
        <v>31</v>
      </c>
      <c r="BD283">
        <v>42</v>
      </c>
      <c r="BE283">
        <v>73</v>
      </c>
      <c r="BF283">
        <v>99</v>
      </c>
      <c r="BG283">
        <v>121</v>
      </c>
      <c r="BH283">
        <v>146</v>
      </c>
      <c r="BI283">
        <v>197</v>
      </c>
      <c r="BJ283">
        <v>287</v>
      </c>
      <c r="BK283">
        <v>485</v>
      </c>
      <c r="BL283">
        <v>555</v>
      </c>
      <c r="BM283">
        <v>621</v>
      </c>
      <c r="BN283">
        <v>772</v>
      </c>
      <c r="BO283">
        <v>1026</v>
      </c>
      <c r="BP283">
        <v>1247</v>
      </c>
      <c r="BQ283">
        <v>1525</v>
      </c>
      <c r="BR283">
        <v>2000</v>
      </c>
      <c r="BS283">
        <v>2366</v>
      </c>
      <c r="BT283">
        <v>2651</v>
      </c>
      <c r="BU283">
        <v>2808</v>
      </c>
      <c r="BV283">
        <v>3929</v>
      </c>
      <c r="BW283">
        <v>4638</v>
      </c>
      <c r="BX283">
        <v>5348</v>
      </c>
      <c r="BY283">
        <v>5831</v>
      </c>
      <c r="BZ283">
        <v>6160</v>
      </c>
      <c r="CA283">
        <v>6647</v>
      </c>
      <c r="CB283">
        <v>7314</v>
      </c>
      <c r="CC283">
        <v>8822</v>
      </c>
      <c r="CD283">
        <v>9901</v>
      </c>
      <c r="CE283">
        <v>10566</v>
      </c>
      <c r="CF283">
        <v>11485</v>
      </c>
      <c r="CG283">
        <v>12159</v>
      </c>
      <c r="CH283">
        <v>12452</v>
      </c>
      <c r="CI283">
        <v>13315</v>
      </c>
      <c r="CJ283">
        <v>14578</v>
      </c>
      <c r="CK283">
        <v>14987</v>
      </c>
      <c r="CL283">
        <v>15669</v>
      </c>
      <c r="CM283">
        <v>17194</v>
      </c>
      <c r="CN283">
        <v>17669</v>
      </c>
      <c r="CO283">
        <v>18301</v>
      </c>
      <c r="CP283">
        <v>19407</v>
      </c>
      <c r="CQ283">
        <v>19881</v>
      </c>
      <c r="CR283">
        <v>21214</v>
      </c>
      <c r="CS283">
        <v>21883</v>
      </c>
      <c r="CT283">
        <v>22491</v>
      </c>
      <c r="CU283">
        <v>23222</v>
      </c>
      <c r="CV283">
        <v>23486</v>
      </c>
      <c r="CW283">
        <v>24302</v>
      </c>
      <c r="CX283">
        <v>24922</v>
      </c>
      <c r="CY283">
        <v>25775</v>
      </c>
      <c r="CZ283">
        <v>26264</v>
      </c>
      <c r="DA283">
        <v>27489</v>
      </c>
      <c r="DB283">
        <v>28331</v>
      </c>
    </row>
    <row r="284" spans="1:106" x14ac:dyDescent="0.25">
      <c r="A284" t="s">
        <v>2959</v>
      </c>
      <c r="B284" t="s">
        <v>37</v>
      </c>
      <c r="C284">
        <v>105.14141503</v>
      </c>
      <c r="D284">
        <v>-786.61618239999996</v>
      </c>
      <c r="E284">
        <v>0</v>
      </c>
      <c r="F284">
        <v>0</v>
      </c>
      <c r="G284">
        <v>0</v>
      </c>
      <c r="H284">
        <v>0</v>
      </c>
      <c r="I284">
        <v>0</v>
      </c>
      <c r="J284">
        <v>0</v>
      </c>
      <c r="K284">
        <v>0</v>
      </c>
      <c r="L284">
        <v>0</v>
      </c>
      <c r="M284">
        <v>0</v>
      </c>
      <c r="N284">
        <v>0</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1</v>
      </c>
      <c r="AY284">
        <v>1</v>
      </c>
      <c r="AZ284">
        <v>1</v>
      </c>
      <c r="BA284">
        <v>3</v>
      </c>
      <c r="BB284">
        <v>2</v>
      </c>
      <c r="BC284">
        <v>2</v>
      </c>
      <c r="BD284">
        <v>2</v>
      </c>
      <c r="BE284">
        <v>4</v>
      </c>
      <c r="BF284">
        <v>6</v>
      </c>
      <c r="BG284">
        <v>8</v>
      </c>
      <c r="BH284">
        <v>10</v>
      </c>
      <c r="BI284">
        <v>15</v>
      </c>
      <c r="BJ284">
        <v>25</v>
      </c>
      <c r="BK284">
        <v>36</v>
      </c>
      <c r="BL284">
        <v>36</v>
      </c>
      <c r="BM284">
        <v>53</v>
      </c>
      <c r="BN284">
        <v>56</v>
      </c>
      <c r="BO284">
        <v>90</v>
      </c>
      <c r="BP284">
        <v>91</v>
      </c>
      <c r="BQ284">
        <v>95</v>
      </c>
      <c r="BR284">
        <v>106</v>
      </c>
      <c r="BS284">
        <v>149</v>
      </c>
      <c r="BT284">
        <v>149</v>
      </c>
      <c r="BU284">
        <v>175</v>
      </c>
      <c r="BV284">
        <v>204</v>
      </c>
      <c r="BW284">
        <v>224</v>
      </c>
      <c r="BX284">
        <v>256</v>
      </c>
      <c r="BY284">
        <v>319</v>
      </c>
      <c r="BZ284">
        <v>351</v>
      </c>
      <c r="CA284">
        <v>371</v>
      </c>
      <c r="CB284">
        <v>387</v>
      </c>
      <c r="CC284">
        <v>410</v>
      </c>
      <c r="CD284">
        <v>410</v>
      </c>
      <c r="CE284">
        <v>442</v>
      </c>
      <c r="CF284">
        <v>442</v>
      </c>
      <c r="CG284">
        <v>465</v>
      </c>
      <c r="CH284">
        <v>499</v>
      </c>
      <c r="CI284">
        <v>504</v>
      </c>
      <c r="CJ284">
        <v>511</v>
      </c>
      <c r="CK284">
        <v>524</v>
      </c>
      <c r="CL284">
        <v>530</v>
      </c>
      <c r="CM284">
        <v>541</v>
      </c>
      <c r="CN284">
        <v>574</v>
      </c>
      <c r="CO284">
        <v>580</v>
      </c>
      <c r="CP284">
        <v>584</v>
      </c>
      <c r="CQ284">
        <v>586</v>
      </c>
      <c r="CR284">
        <v>592</v>
      </c>
      <c r="CS284">
        <v>596</v>
      </c>
      <c r="CT284">
        <v>601</v>
      </c>
      <c r="CU284">
        <v>605</v>
      </c>
      <c r="CV284">
        <v>606</v>
      </c>
      <c r="CW284">
        <v>607</v>
      </c>
      <c r="CX284">
        <v>609</v>
      </c>
      <c r="CY284">
        <v>613</v>
      </c>
      <c r="CZ284">
        <v>618</v>
      </c>
      <c r="DA284">
        <v>619</v>
      </c>
      <c r="DB284">
        <v>620</v>
      </c>
    </row>
    <row r="285" spans="1:106" x14ac:dyDescent="0.25">
      <c r="A285" t="s">
        <v>2960</v>
      </c>
      <c r="B285" t="s">
        <v>37</v>
      </c>
      <c r="C285">
        <v>1947.5896553700004</v>
      </c>
      <c r="D285">
        <v>-5036.245496399999</v>
      </c>
      <c r="E285">
        <v>0</v>
      </c>
      <c r="F285">
        <v>0</v>
      </c>
      <c r="G285">
        <v>0</v>
      </c>
      <c r="H285">
        <v>0</v>
      </c>
      <c r="I285">
        <v>0</v>
      </c>
      <c r="J285">
        <v>0</v>
      </c>
      <c r="K285">
        <v>0</v>
      </c>
      <c r="L285">
        <v>0</v>
      </c>
      <c r="M285">
        <v>0</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0</v>
      </c>
      <c r="BD285">
        <v>1</v>
      </c>
      <c r="BE285">
        <v>2</v>
      </c>
      <c r="BF285">
        <v>4</v>
      </c>
      <c r="BG285">
        <v>4</v>
      </c>
      <c r="BH285">
        <v>8</v>
      </c>
      <c r="BI285">
        <v>9</v>
      </c>
      <c r="BJ285">
        <v>23</v>
      </c>
      <c r="BK285">
        <v>36</v>
      </c>
      <c r="BL285">
        <v>42</v>
      </c>
      <c r="BM285">
        <v>42</v>
      </c>
      <c r="BN285">
        <v>68</v>
      </c>
      <c r="BO285">
        <v>81</v>
      </c>
      <c r="BP285">
        <v>91</v>
      </c>
      <c r="BQ285">
        <v>146</v>
      </c>
      <c r="BR285">
        <v>205</v>
      </c>
      <c r="BS285">
        <v>234</v>
      </c>
      <c r="BT285">
        <v>281</v>
      </c>
      <c r="BU285">
        <v>340</v>
      </c>
      <c r="BV285">
        <v>515</v>
      </c>
      <c r="BW285">
        <v>566</v>
      </c>
      <c r="BX285">
        <v>776</v>
      </c>
      <c r="BY285">
        <v>891</v>
      </c>
      <c r="BZ285">
        <v>1022</v>
      </c>
      <c r="CA285">
        <v>1078</v>
      </c>
      <c r="CB285">
        <v>1101</v>
      </c>
      <c r="CC285">
        <v>1170</v>
      </c>
      <c r="CD285">
        <v>1210</v>
      </c>
      <c r="CE285">
        <v>1232</v>
      </c>
      <c r="CF285">
        <v>1354</v>
      </c>
      <c r="CG285">
        <v>1396</v>
      </c>
      <c r="CH285">
        <v>1407</v>
      </c>
      <c r="CI285">
        <v>1426</v>
      </c>
      <c r="CJ285">
        <v>1464</v>
      </c>
      <c r="CK285">
        <v>1473</v>
      </c>
      <c r="CL285">
        <v>1587</v>
      </c>
      <c r="CM285">
        <v>1609</v>
      </c>
      <c r="CN285">
        <v>1655</v>
      </c>
      <c r="CO285">
        <v>1668</v>
      </c>
      <c r="CP285">
        <v>1672</v>
      </c>
      <c r="CQ285">
        <v>1736</v>
      </c>
      <c r="CR285">
        <v>1766</v>
      </c>
      <c r="CS285">
        <v>1836</v>
      </c>
      <c r="CT285">
        <v>1870</v>
      </c>
      <c r="CU285">
        <v>1887</v>
      </c>
      <c r="CV285">
        <v>1897</v>
      </c>
      <c r="CW285">
        <v>1897</v>
      </c>
      <c r="CX285">
        <v>1952</v>
      </c>
      <c r="CY285">
        <v>1952</v>
      </c>
      <c r="CZ285">
        <v>1984</v>
      </c>
      <c r="DA285">
        <v>2015</v>
      </c>
      <c r="DB285">
        <v>2061</v>
      </c>
    </row>
    <row r="286" spans="1:106" x14ac:dyDescent="0.25">
      <c r="A286" t="s">
        <v>2961</v>
      </c>
      <c r="B286" t="s">
        <v>37</v>
      </c>
      <c r="C286">
        <v>4064.0490055300002</v>
      </c>
      <c r="D286">
        <v>-9096.1896670999995</v>
      </c>
      <c r="E286">
        <v>0</v>
      </c>
      <c r="F286">
        <v>0</v>
      </c>
      <c r="G286">
        <v>1</v>
      </c>
      <c r="H286">
        <v>1</v>
      </c>
      <c r="I286">
        <v>1</v>
      </c>
      <c r="J286">
        <v>1</v>
      </c>
      <c r="K286">
        <v>1</v>
      </c>
      <c r="L286">
        <v>1</v>
      </c>
      <c r="M286">
        <v>1</v>
      </c>
      <c r="N286">
        <v>2</v>
      </c>
      <c r="O286">
        <v>2</v>
      </c>
      <c r="P286">
        <v>2</v>
      </c>
      <c r="Q286">
        <v>2</v>
      </c>
      <c r="R286">
        <v>2</v>
      </c>
      <c r="S286">
        <v>2</v>
      </c>
      <c r="T286">
        <v>2</v>
      </c>
      <c r="U286">
        <v>2</v>
      </c>
      <c r="V286">
        <v>2</v>
      </c>
      <c r="W286">
        <v>2</v>
      </c>
      <c r="X286">
        <v>2</v>
      </c>
      <c r="Y286">
        <v>2</v>
      </c>
      <c r="Z286">
        <v>2</v>
      </c>
      <c r="AA286">
        <v>2</v>
      </c>
      <c r="AB286">
        <v>2</v>
      </c>
      <c r="AC286">
        <v>2</v>
      </c>
      <c r="AD286">
        <v>2</v>
      </c>
      <c r="AE286">
        <v>2</v>
      </c>
      <c r="AF286">
        <v>2</v>
      </c>
      <c r="AG286">
        <v>2</v>
      </c>
      <c r="AH286">
        <v>2</v>
      </c>
      <c r="AI286">
        <v>2</v>
      </c>
      <c r="AJ286">
        <v>2</v>
      </c>
      <c r="AK286">
        <v>2</v>
      </c>
      <c r="AL286">
        <v>2</v>
      </c>
      <c r="AM286">
        <v>2</v>
      </c>
      <c r="AN286">
        <v>2</v>
      </c>
      <c r="AO286">
        <v>2</v>
      </c>
      <c r="AP286">
        <v>2</v>
      </c>
      <c r="AQ286">
        <v>2</v>
      </c>
      <c r="AR286">
        <v>3</v>
      </c>
      <c r="AS286">
        <v>4</v>
      </c>
      <c r="AT286">
        <v>4</v>
      </c>
      <c r="AU286">
        <v>4</v>
      </c>
      <c r="AV286">
        <v>5</v>
      </c>
      <c r="AW286">
        <v>5</v>
      </c>
      <c r="AX286">
        <v>6</v>
      </c>
      <c r="AY286">
        <v>7</v>
      </c>
      <c r="AZ286">
        <v>7</v>
      </c>
      <c r="BA286">
        <v>12</v>
      </c>
      <c r="BB286">
        <v>25</v>
      </c>
      <c r="BC286">
        <v>32</v>
      </c>
      <c r="BD286">
        <v>46</v>
      </c>
      <c r="BE286">
        <v>64</v>
      </c>
      <c r="BF286">
        <v>66</v>
      </c>
      <c r="BG286">
        <v>83</v>
      </c>
      <c r="BH286">
        <v>161</v>
      </c>
      <c r="BI286">
        <v>272</v>
      </c>
      <c r="BJ286">
        <v>422</v>
      </c>
      <c r="BK286">
        <v>585</v>
      </c>
      <c r="BL286">
        <v>753</v>
      </c>
      <c r="BM286">
        <v>1049</v>
      </c>
      <c r="BN286">
        <v>1285</v>
      </c>
      <c r="BO286">
        <v>1537</v>
      </c>
      <c r="BP286">
        <v>1865</v>
      </c>
      <c r="BQ286">
        <v>2538</v>
      </c>
      <c r="BR286">
        <v>3024</v>
      </c>
      <c r="BS286">
        <v>3491</v>
      </c>
      <c r="BT286">
        <v>4596</v>
      </c>
      <c r="BU286">
        <v>5056</v>
      </c>
      <c r="BV286">
        <v>5994</v>
      </c>
      <c r="BW286">
        <v>6980</v>
      </c>
      <c r="BX286">
        <v>7695</v>
      </c>
      <c r="BY286">
        <v>8904</v>
      </c>
      <c r="BZ286">
        <v>10357</v>
      </c>
      <c r="CA286">
        <v>11259</v>
      </c>
      <c r="CB286">
        <v>12262</v>
      </c>
      <c r="CC286">
        <v>13553</v>
      </c>
      <c r="CD286">
        <v>15078</v>
      </c>
      <c r="CE286">
        <v>16422</v>
      </c>
      <c r="CF286">
        <v>17887</v>
      </c>
      <c r="CG286">
        <v>19180</v>
      </c>
      <c r="CH286">
        <v>20852</v>
      </c>
      <c r="CI286">
        <v>22025</v>
      </c>
      <c r="CJ286">
        <v>23248</v>
      </c>
      <c r="CK286">
        <v>24593</v>
      </c>
      <c r="CL286">
        <v>25734</v>
      </c>
      <c r="CM286">
        <v>27578</v>
      </c>
      <c r="CN286">
        <v>29160</v>
      </c>
      <c r="CO286">
        <v>30357</v>
      </c>
      <c r="CP286">
        <v>31513</v>
      </c>
      <c r="CQ286">
        <v>33059</v>
      </c>
      <c r="CR286">
        <v>35107</v>
      </c>
      <c r="CS286">
        <v>36937</v>
      </c>
      <c r="CT286">
        <v>39658</v>
      </c>
      <c r="CU286">
        <v>41777</v>
      </c>
      <c r="CV286">
        <v>43903</v>
      </c>
      <c r="CW286">
        <v>45883</v>
      </c>
      <c r="CX286">
        <v>48102</v>
      </c>
      <c r="CY286">
        <v>50358</v>
      </c>
      <c r="CZ286">
        <v>52918</v>
      </c>
      <c r="DA286">
        <v>56055</v>
      </c>
      <c r="DB286">
        <v>58505</v>
      </c>
    </row>
    <row r="287" spans="1:106" x14ac:dyDescent="0.25">
      <c r="A287" t="s">
        <v>2962</v>
      </c>
      <c r="B287" t="s">
        <v>37</v>
      </c>
      <c r="C287">
        <v>3665.0364912399991</v>
      </c>
      <c r="D287">
        <v>-7932.1082973199955</v>
      </c>
      <c r="E287">
        <v>0</v>
      </c>
      <c r="F287">
        <v>0</v>
      </c>
      <c r="G287">
        <v>0</v>
      </c>
      <c r="H287">
        <v>0</v>
      </c>
      <c r="I287">
        <v>0</v>
      </c>
      <c r="J287">
        <v>0</v>
      </c>
      <c r="K287">
        <v>0</v>
      </c>
      <c r="L287">
        <v>0</v>
      </c>
      <c r="M287">
        <v>0</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1</v>
      </c>
      <c r="AX287">
        <v>1</v>
      </c>
      <c r="AY287">
        <v>2</v>
      </c>
      <c r="AZ287">
        <v>3</v>
      </c>
      <c r="BA287">
        <v>6</v>
      </c>
      <c r="BB287">
        <v>11</v>
      </c>
      <c r="BC287">
        <v>13</v>
      </c>
      <c r="BD287">
        <v>13</v>
      </c>
      <c r="BE287">
        <v>16</v>
      </c>
      <c r="BF287">
        <v>20</v>
      </c>
      <c r="BG287">
        <v>25</v>
      </c>
      <c r="BH287">
        <v>30</v>
      </c>
      <c r="BI287">
        <v>38</v>
      </c>
      <c r="BJ287">
        <v>60</v>
      </c>
      <c r="BK287">
        <v>86</v>
      </c>
      <c r="BL287">
        <v>128</v>
      </c>
      <c r="BM287">
        <v>204</v>
      </c>
      <c r="BN287">
        <v>270</v>
      </c>
      <c r="BO287">
        <v>368</v>
      </c>
      <c r="BP287">
        <v>477</v>
      </c>
      <c r="BQ287">
        <v>645</v>
      </c>
      <c r="BR287">
        <v>979</v>
      </c>
      <c r="BS287">
        <v>1233</v>
      </c>
      <c r="BT287">
        <v>1513</v>
      </c>
      <c r="BU287">
        <v>1786</v>
      </c>
      <c r="BV287">
        <v>2158</v>
      </c>
      <c r="BW287">
        <v>2564</v>
      </c>
      <c r="BX287">
        <v>3038</v>
      </c>
      <c r="BY287">
        <v>3437</v>
      </c>
      <c r="BZ287">
        <v>3953</v>
      </c>
      <c r="CA287">
        <v>4411</v>
      </c>
      <c r="CB287">
        <v>4956</v>
      </c>
      <c r="CC287">
        <v>5510</v>
      </c>
      <c r="CD287">
        <v>5943</v>
      </c>
      <c r="CE287">
        <v>6351</v>
      </c>
      <c r="CF287">
        <v>6907</v>
      </c>
      <c r="CG287">
        <v>7435</v>
      </c>
      <c r="CH287">
        <v>7928</v>
      </c>
      <c r="CI287">
        <v>8359</v>
      </c>
      <c r="CJ287">
        <v>8527</v>
      </c>
      <c r="CK287">
        <v>8960</v>
      </c>
      <c r="CL287">
        <v>9542</v>
      </c>
      <c r="CM287">
        <v>10154</v>
      </c>
      <c r="CN287">
        <v>10641</v>
      </c>
      <c r="CO287">
        <v>11211</v>
      </c>
      <c r="CP287">
        <v>11688</v>
      </c>
      <c r="CQ287">
        <v>12097</v>
      </c>
      <c r="CR287">
        <v>12438</v>
      </c>
      <c r="CS287">
        <v>13039</v>
      </c>
      <c r="CT287">
        <v>13681</v>
      </c>
      <c r="CU287">
        <v>14399</v>
      </c>
      <c r="CV287">
        <v>15012</v>
      </c>
      <c r="CW287">
        <v>15961</v>
      </c>
      <c r="CX287">
        <v>16588</v>
      </c>
      <c r="CY287">
        <v>17182</v>
      </c>
      <c r="CZ287">
        <v>17835</v>
      </c>
      <c r="DA287">
        <v>18630</v>
      </c>
      <c r="DB287">
        <v>19295</v>
      </c>
    </row>
    <row r="288" spans="1:106" x14ac:dyDescent="0.25">
      <c r="A288" t="s">
        <v>2963</v>
      </c>
      <c r="B288" t="s">
        <v>37</v>
      </c>
      <c r="C288">
        <v>4160.9610923300015</v>
      </c>
      <c r="D288">
        <v>-9253.0864229199997</v>
      </c>
      <c r="E288">
        <v>0</v>
      </c>
      <c r="F288">
        <v>0</v>
      </c>
      <c r="G288">
        <v>0</v>
      </c>
      <c r="H288">
        <v>0</v>
      </c>
      <c r="I288">
        <v>0</v>
      </c>
      <c r="J288">
        <v>0</v>
      </c>
      <c r="K288">
        <v>0</v>
      </c>
      <c r="L288">
        <v>0</v>
      </c>
      <c r="M288">
        <v>0</v>
      </c>
      <c r="N288">
        <v>0</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c r="AP288">
        <v>0</v>
      </c>
      <c r="AQ288">
        <v>0</v>
      </c>
      <c r="AR288">
        <v>0</v>
      </c>
      <c r="AS288">
        <v>0</v>
      </c>
      <c r="AT288">
        <v>0</v>
      </c>
      <c r="AU288">
        <v>0</v>
      </c>
      <c r="AV288">
        <v>0</v>
      </c>
      <c r="AW288">
        <v>0</v>
      </c>
      <c r="AX288">
        <v>0</v>
      </c>
      <c r="AY288">
        <v>0</v>
      </c>
      <c r="AZ288">
        <v>3</v>
      </c>
      <c r="BA288">
        <v>8</v>
      </c>
      <c r="BB288">
        <v>13</v>
      </c>
      <c r="BC288">
        <v>14</v>
      </c>
      <c r="BD288">
        <v>17</v>
      </c>
      <c r="BE288">
        <v>17</v>
      </c>
      <c r="BF288">
        <v>18</v>
      </c>
      <c r="BG288">
        <v>23</v>
      </c>
      <c r="BH288">
        <v>23</v>
      </c>
      <c r="BI288">
        <v>38</v>
      </c>
      <c r="BJ288">
        <v>44</v>
      </c>
      <c r="BK288">
        <v>45</v>
      </c>
      <c r="BL288">
        <v>69</v>
      </c>
      <c r="BM288">
        <v>90</v>
      </c>
      <c r="BN288">
        <v>105</v>
      </c>
      <c r="BO288">
        <v>124</v>
      </c>
      <c r="BP288">
        <v>146</v>
      </c>
      <c r="BQ288">
        <v>179</v>
      </c>
      <c r="BR288">
        <v>235</v>
      </c>
      <c r="BS288">
        <v>298</v>
      </c>
      <c r="BT288">
        <v>336</v>
      </c>
      <c r="BU288">
        <v>424</v>
      </c>
      <c r="BV288">
        <v>497</v>
      </c>
      <c r="BW288">
        <v>547</v>
      </c>
      <c r="BX288">
        <v>614</v>
      </c>
      <c r="BY288">
        <v>699</v>
      </c>
      <c r="BZ288">
        <v>787</v>
      </c>
      <c r="CA288">
        <v>869</v>
      </c>
      <c r="CB288">
        <v>946</v>
      </c>
      <c r="CC288">
        <v>1046</v>
      </c>
      <c r="CD288">
        <v>1145</v>
      </c>
      <c r="CE288">
        <v>1270</v>
      </c>
      <c r="CF288">
        <v>1388</v>
      </c>
      <c r="CG288">
        <v>1510</v>
      </c>
      <c r="CH288">
        <v>1587</v>
      </c>
      <c r="CI288">
        <v>1710</v>
      </c>
      <c r="CJ288">
        <v>1899</v>
      </c>
      <c r="CK288">
        <v>1995</v>
      </c>
      <c r="CL288">
        <v>2141</v>
      </c>
      <c r="CM288">
        <v>2332</v>
      </c>
      <c r="CN288">
        <v>2513</v>
      </c>
      <c r="CO288">
        <v>2902</v>
      </c>
      <c r="CP288">
        <v>3159</v>
      </c>
      <c r="CQ288">
        <v>3641</v>
      </c>
      <c r="CR288">
        <v>3748</v>
      </c>
      <c r="CS288">
        <v>3924</v>
      </c>
      <c r="CT288">
        <v>4445</v>
      </c>
      <c r="CU288">
        <v>5092</v>
      </c>
      <c r="CV288">
        <v>5476</v>
      </c>
      <c r="CW288">
        <v>5868</v>
      </c>
      <c r="CX288">
        <v>6376</v>
      </c>
      <c r="CY288">
        <v>6843</v>
      </c>
      <c r="CZ288">
        <v>7145</v>
      </c>
      <c r="DA288">
        <v>7884</v>
      </c>
      <c r="DB288">
        <v>8643</v>
      </c>
    </row>
    <row r="289" spans="1:106" x14ac:dyDescent="0.25">
      <c r="A289" t="s">
        <v>2964</v>
      </c>
      <c r="B289" t="s">
        <v>37</v>
      </c>
      <c r="C289">
        <v>4040.9647841699993</v>
      </c>
      <c r="D289">
        <v>-10298.87791087</v>
      </c>
      <c r="E289">
        <v>0</v>
      </c>
      <c r="F289">
        <v>0</v>
      </c>
      <c r="G289">
        <v>0</v>
      </c>
      <c r="H289">
        <v>0</v>
      </c>
      <c r="I289">
        <v>0</v>
      </c>
      <c r="J289">
        <v>0</v>
      </c>
      <c r="K289">
        <v>0</v>
      </c>
      <c r="L289">
        <v>0</v>
      </c>
      <c r="M289">
        <v>0</v>
      </c>
      <c r="N289">
        <v>0</v>
      </c>
      <c r="O289">
        <v>0</v>
      </c>
      <c r="P289">
        <v>0</v>
      </c>
      <c r="Q289">
        <v>0</v>
      </c>
      <c r="R289">
        <v>0</v>
      </c>
      <c r="S289">
        <v>0</v>
      </c>
      <c r="T289">
        <v>0</v>
      </c>
      <c r="U289">
        <v>0</v>
      </c>
      <c r="V289">
        <v>0</v>
      </c>
      <c r="W289">
        <v>0</v>
      </c>
      <c r="X289">
        <v>0</v>
      </c>
      <c r="Y289">
        <v>0</v>
      </c>
      <c r="Z289">
        <v>0</v>
      </c>
      <c r="AA289">
        <v>0</v>
      </c>
      <c r="AB289">
        <v>0</v>
      </c>
      <c r="AC289">
        <v>0</v>
      </c>
      <c r="AD289">
        <v>0</v>
      </c>
      <c r="AE289">
        <v>0</v>
      </c>
      <c r="AF289">
        <v>0</v>
      </c>
      <c r="AG289">
        <v>0</v>
      </c>
      <c r="AH289">
        <v>0</v>
      </c>
      <c r="AI289">
        <v>0</v>
      </c>
      <c r="AJ289">
        <v>0</v>
      </c>
      <c r="AK289">
        <v>0</v>
      </c>
      <c r="AL289">
        <v>0</v>
      </c>
      <c r="AM289">
        <v>0</v>
      </c>
      <c r="AN289">
        <v>0</v>
      </c>
      <c r="AO289">
        <v>0</v>
      </c>
      <c r="AP289">
        <v>0</v>
      </c>
      <c r="AQ289">
        <v>0</v>
      </c>
      <c r="AR289">
        <v>0</v>
      </c>
      <c r="AS289">
        <v>0</v>
      </c>
      <c r="AT289">
        <v>0</v>
      </c>
      <c r="AU289">
        <v>0</v>
      </c>
      <c r="AV289">
        <v>0</v>
      </c>
      <c r="AW289">
        <v>0</v>
      </c>
      <c r="AX289">
        <v>0</v>
      </c>
      <c r="AY289">
        <v>1</v>
      </c>
      <c r="AZ289">
        <v>1</v>
      </c>
      <c r="BA289">
        <v>1</v>
      </c>
      <c r="BB289">
        <v>1</v>
      </c>
      <c r="BC289">
        <v>4</v>
      </c>
      <c r="BD289">
        <v>6</v>
      </c>
      <c r="BE289">
        <v>8</v>
      </c>
      <c r="BF289">
        <v>8</v>
      </c>
      <c r="BG289">
        <v>11</v>
      </c>
      <c r="BH289">
        <v>18</v>
      </c>
      <c r="BI289">
        <v>22</v>
      </c>
      <c r="BJ289">
        <v>35</v>
      </c>
      <c r="BK289">
        <v>48</v>
      </c>
      <c r="BL289">
        <v>57</v>
      </c>
      <c r="BM289">
        <v>65</v>
      </c>
      <c r="BN289">
        <v>84</v>
      </c>
      <c r="BO289">
        <v>100</v>
      </c>
      <c r="BP289">
        <v>134</v>
      </c>
      <c r="BQ289">
        <v>172</v>
      </c>
      <c r="BR289">
        <v>206</v>
      </c>
      <c r="BS289">
        <v>266</v>
      </c>
      <c r="BT289">
        <v>330</v>
      </c>
      <c r="BU289">
        <v>372</v>
      </c>
      <c r="BV289">
        <v>434</v>
      </c>
      <c r="BW289">
        <v>485</v>
      </c>
      <c r="BX289">
        <v>553</v>
      </c>
      <c r="BY289">
        <v>629</v>
      </c>
      <c r="BZ289">
        <v>698</v>
      </c>
      <c r="CA289">
        <v>751</v>
      </c>
      <c r="CB289">
        <v>849</v>
      </c>
      <c r="CC289">
        <v>912</v>
      </c>
      <c r="CD289">
        <v>1046</v>
      </c>
      <c r="CE289">
        <v>1116</v>
      </c>
      <c r="CF289">
        <v>1117</v>
      </c>
      <c r="CG289">
        <v>1275</v>
      </c>
      <c r="CH289">
        <v>1344</v>
      </c>
      <c r="CI289">
        <v>1390</v>
      </c>
      <c r="CJ289">
        <v>1441</v>
      </c>
      <c r="CK289">
        <v>1504</v>
      </c>
      <c r="CL289">
        <v>1615</v>
      </c>
      <c r="CM289">
        <v>1730</v>
      </c>
      <c r="CN289">
        <v>1821</v>
      </c>
      <c r="CO289">
        <v>1905</v>
      </c>
      <c r="CP289">
        <v>2048</v>
      </c>
      <c r="CQ289">
        <v>2164</v>
      </c>
      <c r="CR289">
        <v>2331</v>
      </c>
      <c r="CS289">
        <v>2721</v>
      </c>
      <c r="CT289">
        <v>2959</v>
      </c>
      <c r="CU289">
        <v>3135</v>
      </c>
      <c r="CV289">
        <v>3277</v>
      </c>
      <c r="CW289">
        <v>3473</v>
      </c>
      <c r="CX289">
        <v>3652</v>
      </c>
      <c r="CY289">
        <v>3839</v>
      </c>
      <c r="CZ289">
        <v>4413</v>
      </c>
      <c r="DA289">
        <v>4634</v>
      </c>
      <c r="DB289">
        <v>4885</v>
      </c>
    </row>
    <row r="290" spans="1:106" x14ac:dyDescent="0.25">
      <c r="A290" t="s">
        <v>2965</v>
      </c>
      <c r="B290" t="s">
        <v>37</v>
      </c>
      <c r="C290">
        <v>4514.6572620000006</v>
      </c>
      <c r="D290">
        <v>-10223.986874159998</v>
      </c>
      <c r="E290">
        <v>0</v>
      </c>
      <c r="F290">
        <v>0</v>
      </c>
      <c r="G290">
        <v>0</v>
      </c>
      <c r="H290">
        <v>0</v>
      </c>
      <c r="I290">
        <v>0</v>
      </c>
      <c r="J290">
        <v>0</v>
      </c>
      <c r="K290">
        <v>0</v>
      </c>
      <c r="L290">
        <v>0</v>
      </c>
      <c r="M290">
        <v>0</v>
      </c>
      <c r="N290">
        <v>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1</v>
      </c>
      <c r="AX290">
        <v>1</v>
      </c>
      <c r="AY290">
        <v>1</v>
      </c>
      <c r="AZ290">
        <v>4</v>
      </c>
      <c r="BA290">
        <v>5</v>
      </c>
      <c r="BB290">
        <v>8</v>
      </c>
      <c r="BC290">
        <v>10</v>
      </c>
      <c r="BD290">
        <v>14</v>
      </c>
      <c r="BE290">
        <v>16</v>
      </c>
      <c r="BF290">
        <v>18</v>
      </c>
      <c r="BG290">
        <v>21</v>
      </c>
      <c r="BH290">
        <v>26</v>
      </c>
      <c r="BI290">
        <v>28</v>
      </c>
      <c r="BJ290">
        <v>50</v>
      </c>
      <c r="BK290">
        <v>64</v>
      </c>
      <c r="BL290">
        <v>87</v>
      </c>
      <c r="BM290">
        <v>103</v>
      </c>
      <c r="BN290">
        <v>123</v>
      </c>
      <c r="BO290">
        <v>162</v>
      </c>
      <c r="BP290">
        <v>197</v>
      </c>
      <c r="BQ290">
        <v>247</v>
      </c>
      <c r="BR290">
        <v>301</v>
      </c>
      <c r="BS290">
        <v>380</v>
      </c>
      <c r="BT290">
        <v>438</v>
      </c>
      <c r="BU290">
        <v>479</v>
      </c>
      <c r="BV290">
        <v>628</v>
      </c>
      <c r="BW290">
        <v>632</v>
      </c>
      <c r="BX290">
        <v>770</v>
      </c>
      <c r="BY290">
        <v>770</v>
      </c>
      <c r="BZ290">
        <v>917</v>
      </c>
      <c r="CA290">
        <v>955</v>
      </c>
      <c r="CB290">
        <v>955</v>
      </c>
      <c r="CC290">
        <v>1149</v>
      </c>
      <c r="CD290">
        <v>1149</v>
      </c>
      <c r="CE290">
        <v>1341</v>
      </c>
      <c r="CF290">
        <v>1693</v>
      </c>
      <c r="CG290">
        <v>1693</v>
      </c>
      <c r="CH290">
        <v>1963</v>
      </c>
      <c r="CI290">
        <v>2018</v>
      </c>
      <c r="CJ290">
        <v>2048</v>
      </c>
      <c r="CK290">
        <v>2210</v>
      </c>
      <c r="CL290">
        <v>2435</v>
      </c>
      <c r="CM290">
        <v>2522</v>
      </c>
      <c r="CN290">
        <v>2707</v>
      </c>
      <c r="CO290">
        <v>2960</v>
      </c>
      <c r="CP290">
        <v>3050</v>
      </c>
      <c r="CQ290">
        <v>3204</v>
      </c>
      <c r="CR290">
        <v>3378</v>
      </c>
      <c r="CS290">
        <v>3479</v>
      </c>
      <c r="CT290">
        <v>3779</v>
      </c>
      <c r="CU290">
        <v>3915</v>
      </c>
      <c r="CV290">
        <v>4085</v>
      </c>
      <c r="CW290">
        <v>4156</v>
      </c>
      <c r="CX290">
        <v>4375</v>
      </c>
      <c r="CY290">
        <v>4537</v>
      </c>
      <c r="CZ290">
        <v>4708</v>
      </c>
      <c r="DA290">
        <v>4882</v>
      </c>
      <c r="DB290">
        <v>4879</v>
      </c>
    </row>
    <row r="291" spans="1:106" x14ac:dyDescent="0.25">
      <c r="A291" t="s">
        <v>2966</v>
      </c>
      <c r="B291" t="s">
        <v>37</v>
      </c>
      <c r="C291">
        <v>1989.9153525399995</v>
      </c>
      <c r="D291">
        <v>-5876.7479459900014</v>
      </c>
      <c r="E291">
        <v>0</v>
      </c>
      <c r="F291">
        <v>0</v>
      </c>
      <c r="G291">
        <v>0</v>
      </c>
      <c r="H291">
        <v>0</v>
      </c>
      <c r="I291">
        <v>0</v>
      </c>
      <c r="J291">
        <v>0</v>
      </c>
      <c r="K291">
        <v>0</v>
      </c>
      <c r="L291">
        <v>0</v>
      </c>
      <c r="M291">
        <v>0</v>
      </c>
      <c r="N291">
        <v>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c r="AY291">
        <v>0</v>
      </c>
      <c r="AZ291">
        <v>0</v>
      </c>
      <c r="BA291">
        <v>0</v>
      </c>
      <c r="BB291">
        <v>5</v>
      </c>
      <c r="BC291">
        <v>19</v>
      </c>
      <c r="BD291">
        <v>29</v>
      </c>
      <c r="BE291">
        <v>77</v>
      </c>
      <c r="BF291">
        <v>87</v>
      </c>
      <c r="BG291">
        <v>115</v>
      </c>
      <c r="BH291">
        <v>196</v>
      </c>
      <c r="BI291">
        <v>257</v>
      </c>
      <c r="BJ291">
        <v>392</v>
      </c>
      <c r="BK291">
        <v>537</v>
      </c>
      <c r="BL291">
        <v>763</v>
      </c>
      <c r="BM291">
        <v>837</v>
      </c>
      <c r="BN291">
        <v>1172</v>
      </c>
      <c r="BO291">
        <v>1388</v>
      </c>
      <c r="BP291">
        <v>1795</v>
      </c>
      <c r="BQ291">
        <v>2304</v>
      </c>
      <c r="BR291">
        <v>2744</v>
      </c>
      <c r="BS291">
        <v>3315</v>
      </c>
      <c r="BT291">
        <v>3540</v>
      </c>
      <c r="BU291">
        <v>4025</v>
      </c>
      <c r="BV291">
        <v>5237</v>
      </c>
      <c r="BW291">
        <v>6424</v>
      </c>
      <c r="BX291">
        <v>9149</v>
      </c>
      <c r="BY291">
        <v>10297</v>
      </c>
      <c r="BZ291">
        <v>12496</v>
      </c>
      <c r="CA291">
        <v>13010</v>
      </c>
      <c r="CB291">
        <v>14867</v>
      </c>
      <c r="CC291">
        <v>16284</v>
      </c>
      <c r="CD291">
        <v>17030</v>
      </c>
      <c r="CE291">
        <v>18283</v>
      </c>
      <c r="CF291">
        <v>19253</v>
      </c>
      <c r="CG291">
        <v>20014</v>
      </c>
      <c r="CH291">
        <v>20595</v>
      </c>
      <c r="CI291">
        <v>21016</v>
      </c>
      <c r="CJ291">
        <v>21518</v>
      </c>
      <c r="CK291">
        <v>21951</v>
      </c>
      <c r="CL291">
        <v>22532</v>
      </c>
      <c r="CM291">
        <v>23118</v>
      </c>
      <c r="CN291">
        <v>23580</v>
      </c>
      <c r="CO291">
        <v>23928</v>
      </c>
      <c r="CP291">
        <v>24523</v>
      </c>
      <c r="CQ291">
        <v>24854</v>
      </c>
      <c r="CR291">
        <v>25258</v>
      </c>
      <c r="CS291">
        <v>25739</v>
      </c>
      <c r="CT291">
        <v>26140</v>
      </c>
      <c r="CU291">
        <v>26512</v>
      </c>
      <c r="CV291">
        <v>26773</v>
      </c>
      <c r="CW291">
        <v>27068</v>
      </c>
      <c r="CX291">
        <v>27286</v>
      </c>
      <c r="CY291">
        <v>27660</v>
      </c>
      <c r="CZ291">
        <v>28001</v>
      </c>
      <c r="DA291">
        <v>28711</v>
      </c>
      <c r="DB291">
        <v>29140</v>
      </c>
    </row>
    <row r="292" spans="1:106" x14ac:dyDescent="0.25">
      <c r="A292" t="s">
        <v>2967</v>
      </c>
      <c r="B292" t="s">
        <v>37</v>
      </c>
      <c r="C292">
        <v>715.00301449999995</v>
      </c>
      <c r="D292">
        <v>-1112.38029805</v>
      </c>
      <c r="E292">
        <v>0</v>
      </c>
      <c r="F292">
        <v>0</v>
      </c>
      <c r="G292">
        <v>0</v>
      </c>
      <c r="H292">
        <v>0</v>
      </c>
      <c r="I292">
        <v>0</v>
      </c>
      <c r="J292">
        <v>0</v>
      </c>
      <c r="K292">
        <v>0</v>
      </c>
      <c r="L292">
        <v>0</v>
      </c>
      <c r="M292">
        <v>0</v>
      </c>
      <c r="N292">
        <v>0</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1</v>
      </c>
      <c r="BD292">
        <v>3</v>
      </c>
      <c r="BE292">
        <v>3</v>
      </c>
      <c r="BF292">
        <v>2</v>
      </c>
      <c r="BG292">
        <v>17</v>
      </c>
      <c r="BH292">
        <v>26</v>
      </c>
      <c r="BI292">
        <v>35</v>
      </c>
      <c r="BJ292">
        <v>52</v>
      </c>
      <c r="BK292">
        <v>56</v>
      </c>
      <c r="BL292">
        <v>70</v>
      </c>
      <c r="BM292">
        <v>89</v>
      </c>
      <c r="BN292">
        <v>107</v>
      </c>
      <c r="BO292">
        <v>118</v>
      </c>
      <c r="BP292">
        <v>142</v>
      </c>
      <c r="BQ292">
        <v>155</v>
      </c>
      <c r="BR292">
        <v>168</v>
      </c>
      <c r="BS292">
        <v>211</v>
      </c>
      <c r="BT292">
        <v>253</v>
      </c>
      <c r="BU292">
        <v>275</v>
      </c>
      <c r="BV292">
        <v>303</v>
      </c>
      <c r="BW292">
        <v>303</v>
      </c>
      <c r="BX292">
        <v>376</v>
      </c>
      <c r="BY292">
        <v>432</v>
      </c>
      <c r="BZ292">
        <v>456</v>
      </c>
      <c r="CA292">
        <v>470</v>
      </c>
      <c r="CB292">
        <v>499</v>
      </c>
      <c r="CC292">
        <v>519</v>
      </c>
      <c r="CD292">
        <v>537</v>
      </c>
      <c r="CE292">
        <v>560</v>
      </c>
      <c r="CF292">
        <v>586</v>
      </c>
      <c r="CG292">
        <v>616</v>
      </c>
      <c r="CH292">
        <v>633</v>
      </c>
      <c r="CI292">
        <v>698</v>
      </c>
      <c r="CJ292">
        <v>735</v>
      </c>
      <c r="CK292">
        <v>770</v>
      </c>
      <c r="CL292">
        <v>796</v>
      </c>
      <c r="CM292">
        <v>827</v>
      </c>
      <c r="CN292">
        <v>847</v>
      </c>
      <c r="CO292">
        <v>867</v>
      </c>
      <c r="CP292">
        <v>875</v>
      </c>
      <c r="CQ292">
        <v>888</v>
      </c>
      <c r="CR292">
        <v>907</v>
      </c>
      <c r="CS292">
        <v>937</v>
      </c>
      <c r="CT292">
        <v>965</v>
      </c>
      <c r="CU292">
        <v>965</v>
      </c>
      <c r="CV292">
        <v>1015</v>
      </c>
      <c r="CW292">
        <v>1023</v>
      </c>
      <c r="CX292">
        <v>1040</v>
      </c>
      <c r="CY292">
        <v>1056</v>
      </c>
      <c r="CZ292">
        <v>1095</v>
      </c>
      <c r="DA292">
        <v>1123</v>
      </c>
      <c r="DB292">
        <v>1153</v>
      </c>
    </row>
    <row r="293" spans="1:106" x14ac:dyDescent="0.25">
      <c r="A293" t="s">
        <v>2968</v>
      </c>
      <c r="B293" t="s">
        <v>37</v>
      </c>
      <c r="C293">
        <v>936.35809657000004</v>
      </c>
      <c r="D293">
        <v>-1840.2112226099998</v>
      </c>
      <c r="E293">
        <v>0</v>
      </c>
      <c r="F293">
        <v>0</v>
      </c>
      <c r="G293">
        <v>0</v>
      </c>
      <c r="H293">
        <v>0</v>
      </c>
      <c r="I293">
        <v>0</v>
      </c>
      <c r="J293">
        <v>0</v>
      </c>
      <c r="K293">
        <v>0</v>
      </c>
      <c r="L293">
        <v>0</v>
      </c>
      <c r="M293">
        <v>0</v>
      </c>
      <c r="N293">
        <v>0</v>
      </c>
      <c r="O293">
        <v>0</v>
      </c>
      <c r="P293">
        <v>0</v>
      </c>
      <c r="Q293">
        <v>0</v>
      </c>
      <c r="R293">
        <v>0</v>
      </c>
      <c r="S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3</v>
      </c>
      <c r="AX293">
        <v>3</v>
      </c>
      <c r="AY293">
        <v>5</v>
      </c>
      <c r="AZ293">
        <v>5</v>
      </c>
      <c r="BA293">
        <v>8</v>
      </c>
      <c r="BB293">
        <v>9</v>
      </c>
      <c r="BC293">
        <v>12</v>
      </c>
      <c r="BD293">
        <v>18</v>
      </c>
      <c r="BE293">
        <v>27</v>
      </c>
      <c r="BF293">
        <v>24</v>
      </c>
      <c r="BG293">
        <v>42</v>
      </c>
      <c r="BH293">
        <v>60</v>
      </c>
      <c r="BI293">
        <v>85</v>
      </c>
      <c r="BJ293">
        <v>107</v>
      </c>
      <c r="BK293">
        <v>149</v>
      </c>
      <c r="BL293">
        <v>193</v>
      </c>
      <c r="BM293">
        <v>244</v>
      </c>
      <c r="BN293">
        <v>290</v>
      </c>
      <c r="BO293">
        <v>349</v>
      </c>
      <c r="BP293">
        <v>425</v>
      </c>
      <c r="BQ293">
        <v>583</v>
      </c>
      <c r="BR293">
        <v>775</v>
      </c>
      <c r="BS293">
        <v>995</v>
      </c>
      <c r="BT293">
        <v>1239</v>
      </c>
      <c r="BU293">
        <v>1413</v>
      </c>
      <c r="BV293">
        <v>1660</v>
      </c>
      <c r="BW293">
        <v>1986</v>
      </c>
      <c r="BX293">
        <v>2331</v>
      </c>
      <c r="BY293">
        <v>2758</v>
      </c>
      <c r="BZ293">
        <v>3125</v>
      </c>
      <c r="CA293">
        <v>3617</v>
      </c>
      <c r="CB293">
        <v>4045</v>
      </c>
      <c r="CC293">
        <v>4371</v>
      </c>
      <c r="CD293">
        <v>5529</v>
      </c>
      <c r="CE293">
        <v>6185</v>
      </c>
      <c r="CF293">
        <v>6968</v>
      </c>
      <c r="CG293">
        <v>7694</v>
      </c>
      <c r="CH293">
        <v>8225</v>
      </c>
      <c r="CI293">
        <v>8936</v>
      </c>
      <c r="CJ293">
        <v>9472</v>
      </c>
      <c r="CK293">
        <v>10032</v>
      </c>
      <c r="CL293">
        <v>10784</v>
      </c>
      <c r="CM293">
        <v>11572</v>
      </c>
      <c r="CN293">
        <v>12326</v>
      </c>
      <c r="CO293">
        <v>12847</v>
      </c>
      <c r="CP293">
        <v>13684</v>
      </c>
      <c r="CQ293">
        <v>14193</v>
      </c>
      <c r="CR293">
        <v>14775</v>
      </c>
      <c r="CS293">
        <v>15737</v>
      </c>
      <c r="CT293">
        <v>16616</v>
      </c>
      <c r="CU293">
        <v>17766</v>
      </c>
      <c r="CV293">
        <v>18581</v>
      </c>
      <c r="CW293">
        <v>19487</v>
      </c>
      <c r="CX293">
        <v>20113</v>
      </c>
      <c r="CY293">
        <v>20849</v>
      </c>
      <c r="CZ293">
        <v>21742</v>
      </c>
      <c r="DA293">
        <v>23472</v>
      </c>
      <c r="DB293">
        <v>24473</v>
      </c>
    </row>
    <row r="294" spans="1:106" x14ac:dyDescent="0.25">
      <c r="A294" t="s">
        <v>2969</v>
      </c>
      <c r="B294" t="s">
        <v>37</v>
      </c>
      <c r="C294">
        <v>630.99414890999992</v>
      </c>
      <c r="D294">
        <v>-1071.2770314100001</v>
      </c>
      <c r="E294">
        <v>0</v>
      </c>
      <c r="F294">
        <v>0</v>
      </c>
      <c r="G294">
        <v>0</v>
      </c>
      <c r="H294">
        <v>0</v>
      </c>
      <c r="I294">
        <v>0</v>
      </c>
      <c r="J294">
        <v>0</v>
      </c>
      <c r="K294">
        <v>0</v>
      </c>
      <c r="L294">
        <v>0</v>
      </c>
      <c r="M294">
        <v>0</v>
      </c>
      <c r="N294">
        <v>0</v>
      </c>
      <c r="O294">
        <v>1</v>
      </c>
      <c r="P294">
        <v>1</v>
      </c>
      <c r="Q294">
        <v>1</v>
      </c>
      <c r="R294">
        <v>1</v>
      </c>
      <c r="S294">
        <v>1</v>
      </c>
      <c r="T294">
        <v>1</v>
      </c>
      <c r="U294">
        <v>1</v>
      </c>
      <c r="V294">
        <v>1</v>
      </c>
      <c r="W294">
        <v>1</v>
      </c>
      <c r="X294">
        <v>1</v>
      </c>
      <c r="Y294">
        <v>1</v>
      </c>
      <c r="Z294">
        <v>1</v>
      </c>
      <c r="AA294">
        <v>1</v>
      </c>
      <c r="AB294">
        <v>1</v>
      </c>
      <c r="AC294">
        <v>1</v>
      </c>
      <c r="AD294">
        <v>1</v>
      </c>
      <c r="AE294">
        <v>1</v>
      </c>
      <c r="AF294">
        <v>1</v>
      </c>
      <c r="AG294">
        <v>1</v>
      </c>
      <c r="AH294">
        <v>1</v>
      </c>
      <c r="AI294">
        <v>1</v>
      </c>
      <c r="AJ294">
        <v>1</v>
      </c>
      <c r="AK294">
        <v>1</v>
      </c>
      <c r="AL294">
        <v>1</v>
      </c>
      <c r="AM294">
        <v>1</v>
      </c>
      <c r="AN294">
        <v>1</v>
      </c>
      <c r="AO294">
        <v>1</v>
      </c>
      <c r="AP294">
        <v>1</v>
      </c>
      <c r="AQ294">
        <v>1</v>
      </c>
      <c r="AR294">
        <v>1</v>
      </c>
      <c r="AS294">
        <v>1</v>
      </c>
      <c r="AT294">
        <v>2</v>
      </c>
      <c r="AU294">
        <v>2</v>
      </c>
      <c r="AV294">
        <v>2</v>
      </c>
      <c r="AW294">
        <v>6</v>
      </c>
      <c r="AX294">
        <v>6</v>
      </c>
      <c r="AY294">
        <v>22</v>
      </c>
      <c r="AZ294">
        <v>22</v>
      </c>
      <c r="BA294">
        <v>41</v>
      </c>
      <c r="BB294">
        <v>92</v>
      </c>
      <c r="BC294">
        <v>107</v>
      </c>
      <c r="BD294">
        <v>123</v>
      </c>
      <c r="BE294">
        <v>138</v>
      </c>
      <c r="BF294">
        <v>138</v>
      </c>
      <c r="BG294">
        <v>187</v>
      </c>
      <c r="BH294">
        <v>217</v>
      </c>
      <c r="BI294">
        <v>252</v>
      </c>
      <c r="BJ294">
        <v>328</v>
      </c>
      <c r="BK294">
        <v>413</v>
      </c>
      <c r="BL294">
        <v>523</v>
      </c>
      <c r="BM294">
        <v>640</v>
      </c>
      <c r="BN294">
        <v>777</v>
      </c>
      <c r="BO294">
        <v>1159</v>
      </c>
      <c r="BP294">
        <v>1838</v>
      </c>
      <c r="BQ294">
        <v>2417</v>
      </c>
      <c r="BR294">
        <v>3240</v>
      </c>
      <c r="BS294">
        <v>4257</v>
      </c>
      <c r="BT294">
        <v>4955</v>
      </c>
      <c r="BU294">
        <v>5752</v>
      </c>
      <c r="BV294">
        <v>6620</v>
      </c>
      <c r="BW294">
        <v>7738</v>
      </c>
      <c r="BX294">
        <v>8966</v>
      </c>
      <c r="BY294">
        <v>10402</v>
      </c>
      <c r="BZ294">
        <v>11736</v>
      </c>
      <c r="CA294">
        <v>12500</v>
      </c>
      <c r="CB294">
        <v>13837</v>
      </c>
      <c r="CC294">
        <v>15202</v>
      </c>
      <c r="CD294">
        <v>16790</v>
      </c>
      <c r="CE294">
        <v>18941</v>
      </c>
      <c r="CF294">
        <v>20974</v>
      </c>
      <c r="CG294">
        <v>22860</v>
      </c>
      <c r="CH294">
        <v>25475</v>
      </c>
      <c r="CI294">
        <v>26867</v>
      </c>
      <c r="CJ294">
        <v>28164</v>
      </c>
      <c r="CK294">
        <v>29918</v>
      </c>
      <c r="CL294">
        <v>32181</v>
      </c>
      <c r="CM294">
        <v>34402</v>
      </c>
      <c r="CN294">
        <v>36372</v>
      </c>
      <c r="CO294">
        <v>38077</v>
      </c>
      <c r="CP294">
        <v>38077</v>
      </c>
      <c r="CQ294">
        <v>41199</v>
      </c>
      <c r="CR294">
        <v>42944</v>
      </c>
      <c r="CS294">
        <v>46023</v>
      </c>
      <c r="CT294">
        <v>50969</v>
      </c>
      <c r="CU294">
        <v>53348</v>
      </c>
      <c r="CV294">
        <v>54938</v>
      </c>
      <c r="CW294">
        <v>56462</v>
      </c>
      <c r="CX294">
        <v>58302</v>
      </c>
      <c r="CY294">
        <v>60265</v>
      </c>
      <c r="CZ294">
        <v>62205</v>
      </c>
      <c r="DA294">
        <v>64311</v>
      </c>
      <c r="DB294">
        <v>66263</v>
      </c>
    </row>
    <row r="295" spans="1:106" x14ac:dyDescent="0.25">
      <c r="A295" t="s">
        <v>2970</v>
      </c>
      <c r="B295" t="s">
        <v>37</v>
      </c>
      <c r="C295">
        <v>3655.6204674499986</v>
      </c>
      <c r="D295">
        <v>-7070.0807294400029</v>
      </c>
      <c r="E295">
        <v>0</v>
      </c>
      <c r="F295">
        <v>0</v>
      </c>
      <c r="G295">
        <v>0</v>
      </c>
      <c r="H295">
        <v>0</v>
      </c>
      <c r="I295">
        <v>0</v>
      </c>
      <c r="J295">
        <v>0</v>
      </c>
      <c r="K295">
        <v>0</v>
      </c>
      <c r="L295">
        <v>0</v>
      </c>
      <c r="M295">
        <v>0</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2</v>
      </c>
      <c r="BC295">
        <v>2</v>
      </c>
      <c r="BD295">
        <v>16</v>
      </c>
      <c r="BE295">
        <v>25</v>
      </c>
      <c r="BF295">
        <v>32</v>
      </c>
      <c r="BG295">
        <v>54</v>
      </c>
      <c r="BH295">
        <v>63</v>
      </c>
      <c r="BI295">
        <v>119</v>
      </c>
      <c r="BJ295">
        <v>259</v>
      </c>
      <c r="BK295">
        <v>402</v>
      </c>
      <c r="BL295">
        <v>540</v>
      </c>
      <c r="BM295">
        <v>1035</v>
      </c>
      <c r="BN295">
        <v>1329</v>
      </c>
      <c r="BO295">
        <v>1793</v>
      </c>
      <c r="BP295">
        <v>2296</v>
      </c>
      <c r="BQ295">
        <v>2845</v>
      </c>
      <c r="BR295">
        <v>3634</v>
      </c>
      <c r="BS295">
        <v>4650</v>
      </c>
      <c r="BT295">
        <v>5488</v>
      </c>
      <c r="BU295">
        <v>6498</v>
      </c>
      <c r="BV295">
        <v>7615</v>
      </c>
      <c r="BW295">
        <v>9315</v>
      </c>
      <c r="BX295">
        <v>10791</v>
      </c>
      <c r="BY295">
        <v>12744</v>
      </c>
      <c r="BZ295">
        <v>14225</v>
      </c>
      <c r="CA295">
        <v>15718</v>
      </c>
      <c r="CB295">
        <v>17221</v>
      </c>
      <c r="CC295">
        <v>18970</v>
      </c>
      <c r="CD295">
        <v>20346</v>
      </c>
      <c r="CE295">
        <v>21504</v>
      </c>
      <c r="CF295">
        <v>22434</v>
      </c>
      <c r="CG295">
        <v>23605</v>
      </c>
      <c r="CH295">
        <v>24244</v>
      </c>
      <c r="CI295">
        <v>25635</v>
      </c>
      <c r="CJ295">
        <v>27001</v>
      </c>
      <c r="CK295">
        <v>28059</v>
      </c>
      <c r="CL295">
        <v>28809</v>
      </c>
      <c r="CM295">
        <v>30023</v>
      </c>
      <c r="CN295">
        <v>30791</v>
      </c>
      <c r="CO295">
        <v>31424</v>
      </c>
      <c r="CP295">
        <v>32000</v>
      </c>
      <c r="CQ295">
        <v>32667</v>
      </c>
      <c r="CR295">
        <v>33966</v>
      </c>
      <c r="CS295">
        <v>35296</v>
      </c>
      <c r="CT295">
        <v>36666</v>
      </c>
      <c r="CU295">
        <v>37074</v>
      </c>
      <c r="CV295">
        <v>37778</v>
      </c>
      <c r="CW295">
        <v>38210</v>
      </c>
      <c r="CX295">
        <v>39262</v>
      </c>
      <c r="CY295">
        <v>40399</v>
      </c>
      <c r="CZ295">
        <v>41379</v>
      </c>
      <c r="DA295">
        <v>42356</v>
      </c>
      <c r="DB295">
        <v>43207</v>
      </c>
    </row>
    <row r="296" spans="1:106" x14ac:dyDescent="0.25">
      <c r="A296" t="s">
        <v>2971</v>
      </c>
      <c r="B296" t="s">
        <v>37</v>
      </c>
      <c r="C296">
        <v>3963.0251292199996</v>
      </c>
      <c r="D296">
        <v>-8215.4929133399983</v>
      </c>
      <c r="E296">
        <v>0</v>
      </c>
      <c r="F296">
        <v>0</v>
      </c>
      <c r="G296">
        <v>0</v>
      </c>
      <c r="H296">
        <v>0</v>
      </c>
      <c r="I296">
        <v>0</v>
      </c>
      <c r="J296">
        <v>0</v>
      </c>
      <c r="K296">
        <v>0</v>
      </c>
      <c r="L296">
        <v>0</v>
      </c>
      <c r="M296">
        <v>0</v>
      </c>
      <c r="N296">
        <v>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0</v>
      </c>
      <c r="AW296">
        <v>1</v>
      </c>
      <c r="AX296">
        <v>1</v>
      </c>
      <c r="AY296">
        <v>1</v>
      </c>
      <c r="AZ296">
        <v>2</v>
      </c>
      <c r="BA296">
        <v>2</v>
      </c>
      <c r="BB296">
        <v>5</v>
      </c>
      <c r="BC296">
        <v>9</v>
      </c>
      <c r="BD296">
        <v>14</v>
      </c>
      <c r="BE296">
        <v>21</v>
      </c>
      <c r="BF296">
        <v>21</v>
      </c>
      <c r="BG296">
        <v>53</v>
      </c>
      <c r="BH296">
        <v>59</v>
      </c>
      <c r="BI296">
        <v>77</v>
      </c>
      <c r="BJ296">
        <v>89</v>
      </c>
      <c r="BK296">
        <v>113</v>
      </c>
      <c r="BL296">
        <v>134</v>
      </c>
      <c r="BM296">
        <v>167</v>
      </c>
      <c r="BN296">
        <v>234</v>
      </c>
      <c r="BO296">
        <v>261</v>
      </c>
      <c r="BP296">
        <v>286</v>
      </c>
      <c r="BQ296">
        <v>344</v>
      </c>
      <c r="BR296">
        <v>396</v>
      </c>
      <c r="BS296">
        <v>441</v>
      </c>
      <c r="BT296">
        <v>503</v>
      </c>
      <c r="BU296">
        <v>576</v>
      </c>
      <c r="BV296">
        <v>629</v>
      </c>
      <c r="BW296">
        <v>689</v>
      </c>
      <c r="BX296">
        <v>742</v>
      </c>
      <c r="BY296">
        <v>788</v>
      </c>
      <c r="BZ296">
        <v>865</v>
      </c>
      <c r="CA296">
        <v>935</v>
      </c>
      <c r="CB296">
        <v>986</v>
      </c>
      <c r="CC296">
        <v>1069</v>
      </c>
      <c r="CD296">
        <v>1154</v>
      </c>
      <c r="CE296">
        <v>1240</v>
      </c>
      <c r="CF296">
        <v>1336</v>
      </c>
      <c r="CG296">
        <v>1427</v>
      </c>
      <c r="CH296">
        <v>1621</v>
      </c>
      <c r="CI296">
        <v>1621</v>
      </c>
      <c r="CJ296">
        <v>1695</v>
      </c>
      <c r="CK296">
        <v>1809</v>
      </c>
      <c r="CL296">
        <v>1809</v>
      </c>
      <c r="CM296">
        <v>2070</v>
      </c>
      <c r="CN296">
        <v>2209</v>
      </c>
      <c r="CO296">
        <v>2356</v>
      </c>
      <c r="CP296">
        <v>2470</v>
      </c>
      <c r="CQ296">
        <v>2567</v>
      </c>
      <c r="CR296">
        <v>2722</v>
      </c>
      <c r="CS296">
        <v>2942</v>
      </c>
      <c r="CT296">
        <v>3185</v>
      </c>
      <c r="CU296">
        <v>3446</v>
      </c>
      <c r="CV296">
        <v>3602</v>
      </c>
      <c r="CW296">
        <v>3811</v>
      </c>
      <c r="CX296">
        <v>4181</v>
      </c>
      <c r="CY296">
        <v>4644</v>
      </c>
      <c r="CZ296">
        <v>5136</v>
      </c>
      <c r="DA296">
        <v>5730</v>
      </c>
      <c r="DB296">
        <v>6232</v>
      </c>
    </row>
    <row r="297" spans="1:106" x14ac:dyDescent="0.25">
      <c r="A297" t="s">
        <v>2972</v>
      </c>
      <c r="B297" t="s">
        <v>37</v>
      </c>
      <c r="C297">
        <v>2689.00357846</v>
      </c>
      <c r="D297">
        <v>-7350.9495156400008</v>
      </c>
      <c r="E297">
        <v>0</v>
      </c>
      <c r="F297">
        <v>0</v>
      </c>
      <c r="G297">
        <v>0</v>
      </c>
      <c r="H297">
        <v>0</v>
      </c>
      <c r="I297">
        <v>0</v>
      </c>
      <c r="J297">
        <v>0</v>
      </c>
      <c r="K297">
        <v>0</v>
      </c>
      <c r="L297">
        <v>0</v>
      </c>
      <c r="M297">
        <v>0</v>
      </c>
      <c r="N297">
        <v>0</v>
      </c>
      <c r="O297">
        <v>0</v>
      </c>
      <c r="P297">
        <v>0</v>
      </c>
      <c r="Q297">
        <v>0</v>
      </c>
      <c r="R297">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v>0</v>
      </c>
      <c r="AX297">
        <v>0</v>
      </c>
      <c r="AY297">
        <v>0</v>
      </c>
      <c r="AZ297">
        <v>0</v>
      </c>
      <c r="BA297">
        <v>0</v>
      </c>
      <c r="BB297">
        <v>0</v>
      </c>
      <c r="BC297">
        <v>1</v>
      </c>
      <c r="BD297">
        <v>6</v>
      </c>
      <c r="BE297">
        <v>6</v>
      </c>
      <c r="BF297">
        <v>6</v>
      </c>
      <c r="BG297">
        <v>12</v>
      </c>
      <c r="BH297">
        <v>21</v>
      </c>
      <c r="BI297">
        <v>34</v>
      </c>
      <c r="BJ297">
        <v>50</v>
      </c>
      <c r="BK297">
        <v>80</v>
      </c>
      <c r="BL297">
        <v>140</v>
      </c>
      <c r="BM297">
        <v>207</v>
      </c>
      <c r="BN297">
        <v>249</v>
      </c>
      <c r="BO297">
        <v>320</v>
      </c>
      <c r="BP297">
        <v>377</v>
      </c>
      <c r="BQ297">
        <v>485</v>
      </c>
      <c r="BR297">
        <v>579</v>
      </c>
      <c r="BS297">
        <v>663</v>
      </c>
      <c r="BT297">
        <v>759</v>
      </c>
      <c r="BU297">
        <v>847</v>
      </c>
      <c r="BV297">
        <v>937</v>
      </c>
      <c r="BW297">
        <v>1073</v>
      </c>
      <c r="BX297">
        <v>1177</v>
      </c>
      <c r="BY297">
        <v>1358</v>
      </c>
      <c r="BZ297">
        <v>1455</v>
      </c>
      <c r="CA297">
        <v>1638</v>
      </c>
      <c r="CB297">
        <v>1738</v>
      </c>
      <c r="CC297">
        <v>1915</v>
      </c>
      <c r="CD297">
        <v>2003</v>
      </c>
      <c r="CE297">
        <v>2260</v>
      </c>
      <c r="CF297">
        <v>2469</v>
      </c>
      <c r="CG297">
        <v>2642</v>
      </c>
      <c r="CH297">
        <v>2781</v>
      </c>
      <c r="CI297">
        <v>2942</v>
      </c>
      <c r="CJ297">
        <v>3087</v>
      </c>
      <c r="CK297">
        <v>3360</v>
      </c>
      <c r="CL297">
        <v>3624</v>
      </c>
      <c r="CM297">
        <v>3793</v>
      </c>
      <c r="CN297">
        <v>3974</v>
      </c>
      <c r="CO297">
        <v>4274</v>
      </c>
      <c r="CP297">
        <v>4512</v>
      </c>
      <c r="CQ297">
        <v>4716</v>
      </c>
      <c r="CR297">
        <v>4894</v>
      </c>
      <c r="CS297">
        <v>5153</v>
      </c>
      <c r="CT297">
        <v>5434</v>
      </c>
      <c r="CU297">
        <v>5718</v>
      </c>
      <c r="CV297">
        <v>5911</v>
      </c>
      <c r="CW297">
        <v>6094</v>
      </c>
      <c r="CX297">
        <v>6342</v>
      </c>
      <c r="CY297">
        <v>6569</v>
      </c>
      <c r="CZ297">
        <v>6815</v>
      </c>
      <c r="DA297">
        <v>7212</v>
      </c>
      <c r="DB297">
        <v>7441</v>
      </c>
    </row>
    <row r="298" spans="1:106" x14ac:dyDescent="0.25">
      <c r="A298" t="s">
        <v>2973</v>
      </c>
      <c r="B298" t="s">
        <v>37</v>
      </c>
      <c r="C298">
        <v>4460.9847262700005</v>
      </c>
      <c r="D298">
        <v>-10729.940478620003</v>
      </c>
      <c r="E298">
        <v>0</v>
      </c>
      <c r="F298">
        <v>0</v>
      </c>
      <c r="G298">
        <v>0</v>
      </c>
      <c r="H298">
        <v>0</v>
      </c>
      <c r="I298">
        <v>0</v>
      </c>
      <c r="J298">
        <v>0</v>
      </c>
      <c r="K298">
        <v>0</v>
      </c>
      <c r="L298">
        <v>0</v>
      </c>
      <c r="M298">
        <v>0</v>
      </c>
      <c r="N298">
        <v>0</v>
      </c>
      <c r="O298">
        <v>0</v>
      </c>
      <c r="P298">
        <v>0</v>
      </c>
      <c r="Q298">
        <v>0</v>
      </c>
      <c r="R298">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c r="AP298">
        <v>0</v>
      </c>
      <c r="AQ298">
        <v>0</v>
      </c>
      <c r="AR298">
        <v>0</v>
      </c>
      <c r="AS298">
        <v>0</v>
      </c>
      <c r="AT298">
        <v>0</v>
      </c>
      <c r="AU298">
        <v>0</v>
      </c>
      <c r="AV298">
        <v>0</v>
      </c>
      <c r="AW298">
        <v>0</v>
      </c>
      <c r="AX298">
        <v>0</v>
      </c>
      <c r="AY298">
        <v>1</v>
      </c>
      <c r="AZ298">
        <v>1</v>
      </c>
      <c r="BA298">
        <v>1</v>
      </c>
      <c r="BB298">
        <v>1</v>
      </c>
      <c r="BC298">
        <v>2</v>
      </c>
      <c r="BD298">
        <v>4</v>
      </c>
      <c r="BE298">
        <v>4</v>
      </c>
      <c r="BF298">
        <v>5</v>
      </c>
      <c r="BG298">
        <v>6</v>
      </c>
      <c r="BH298">
        <v>12</v>
      </c>
      <c r="BI298">
        <v>18</v>
      </c>
      <c r="BJ298">
        <v>39</v>
      </c>
      <c r="BK298">
        <v>73</v>
      </c>
      <c r="BL298">
        <v>81</v>
      </c>
      <c r="BM298">
        <v>100</v>
      </c>
      <c r="BN298">
        <v>187</v>
      </c>
      <c r="BO298">
        <v>257</v>
      </c>
      <c r="BP298">
        <v>354</v>
      </c>
      <c r="BQ298">
        <v>520</v>
      </c>
      <c r="BR298">
        <v>666</v>
      </c>
      <c r="BS298">
        <v>836</v>
      </c>
      <c r="BT298">
        <v>915</v>
      </c>
      <c r="BU298">
        <v>1051</v>
      </c>
      <c r="BV298">
        <v>1357</v>
      </c>
      <c r="BW298">
        <v>1613</v>
      </c>
      <c r="BX298">
        <v>1857</v>
      </c>
      <c r="BY298">
        <v>1864</v>
      </c>
      <c r="BZ298">
        <v>2310</v>
      </c>
      <c r="CA298">
        <v>2347</v>
      </c>
      <c r="CB298">
        <v>2736</v>
      </c>
      <c r="CC298">
        <v>3130</v>
      </c>
      <c r="CD298">
        <v>3209</v>
      </c>
      <c r="CE298">
        <v>3432</v>
      </c>
      <c r="CF298">
        <v>3897</v>
      </c>
      <c r="CG298">
        <v>4108</v>
      </c>
      <c r="CH298">
        <v>4269</v>
      </c>
      <c r="CI298">
        <v>4515</v>
      </c>
      <c r="CJ298">
        <v>4746</v>
      </c>
      <c r="CK298">
        <v>4791</v>
      </c>
      <c r="CL298">
        <v>5174</v>
      </c>
      <c r="CM298">
        <v>5371</v>
      </c>
      <c r="CN298">
        <v>5579</v>
      </c>
      <c r="CO298">
        <v>5743</v>
      </c>
      <c r="CP298">
        <v>5890</v>
      </c>
      <c r="CQ298">
        <v>6066</v>
      </c>
      <c r="CR298">
        <v>6277</v>
      </c>
      <c r="CS298">
        <v>6506</v>
      </c>
      <c r="CT298">
        <v>6788</v>
      </c>
      <c r="CU298">
        <v>6935</v>
      </c>
      <c r="CV298">
        <v>7120</v>
      </c>
      <c r="CW298">
        <v>7305</v>
      </c>
      <c r="CX298">
        <v>7450</v>
      </c>
      <c r="CY298">
        <v>7660</v>
      </c>
      <c r="CZ298">
        <v>7818</v>
      </c>
      <c r="DA298">
        <v>8067</v>
      </c>
      <c r="DB298">
        <v>8356</v>
      </c>
    </row>
    <row r="299" spans="1:106" x14ac:dyDescent="0.25">
      <c r="A299" t="s">
        <v>2974</v>
      </c>
      <c r="B299" t="s">
        <v>37</v>
      </c>
      <c r="C299">
        <v>2630.5827033899996</v>
      </c>
      <c r="D299">
        <v>-6143.222113400001</v>
      </c>
      <c r="E299">
        <v>0</v>
      </c>
      <c r="F299">
        <v>0</v>
      </c>
      <c r="G299">
        <v>0</v>
      </c>
      <c r="H299">
        <v>0</v>
      </c>
      <c r="I299">
        <v>0</v>
      </c>
      <c r="J299">
        <v>0</v>
      </c>
      <c r="K299">
        <v>0</v>
      </c>
      <c r="L299">
        <v>0</v>
      </c>
      <c r="M299">
        <v>0</v>
      </c>
      <c r="N299">
        <v>0</v>
      </c>
      <c r="O299">
        <v>0</v>
      </c>
      <c r="P299">
        <v>0</v>
      </c>
      <c r="Q299">
        <v>0</v>
      </c>
      <c r="R299">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1</v>
      </c>
      <c r="BE299">
        <v>5</v>
      </c>
      <c r="BF299">
        <v>6</v>
      </c>
      <c r="BG299">
        <v>6</v>
      </c>
      <c r="BH299">
        <v>8</v>
      </c>
      <c r="BI299">
        <v>10</v>
      </c>
      <c r="BJ299">
        <v>11</v>
      </c>
      <c r="BK299">
        <v>20</v>
      </c>
      <c r="BL299">
        <v>27</v>
      </c>
      <c r="BM299">
        <v>34</v>
      </c>
      <c r="BN299">
        <v>34</v>
      </c>
      <c r="BO299">
        <v>51</v>
      </c>
      <c r="BP299">
        <v>65</v>
      </c>
      <c r="BQ299">
        <v>90</v>
      </c>
      <c r="BR299">
        <v>109</v>
      </c>
      <c r="BS299">
        <v>129</v>
      </c>
      <c r="BT299">
        <v>154</v>
      </c>
      <c r="BU299">
        <v>171</v>
      </c>
      <c r="BV299">
        <v>198</v>
      </c>
      <c r="BW299">
        <v>208</v>
      </c>
      <c r="BX299">
        <v>241</v>
      </c>
      <c r="BY299">
        <v>243</v>
      </c>
      <c r="BZ299">
        <v>265</v>
      </c>
      <c r="CA299">
        <v>286</v>
      </c>
      <c r="CB299">
        <v>299</v>
      </c>
      <c r="CC299">
        <v>319</v>
      </c>
      <c r="CD299">
        <v>332</v>
      </c>
      <c r="CE299">
        <v>354</v>
      </c>
      <c r="CF299">
        <v>365</v>
      </c>
      <c r="CG299">
        <v>377</v>
      </c>
      <c r="CH299">
        <v>387</v>
      </c>
      <c r="CI299">
        <v>394</v>
      </c>
      <c r="CJ299">
        <v>399</v>
      </c>
      <c r="CK299">
        <v>404</v>
      </c>
      <c r="CL299">
        <v>415</v>
      </c>
      <c r="CM299">
        <v>422</v>
      </c>
      <c r="CN299">
        <v>426</v>
      </c>
      <c r="CO299">
        <v>433</v>
      </c>
      <c r="CP299">
        <v>433</v>
      </c>
      <c r="CQ299">
        <v>437</v>
      </c>
      <c r="CR299">
        <v>439</v>
      </c>
      <c r="CS299">
        <v>442</v>
      </c>
      <c r="CT299">
        <v>444</v>
      </c>
      <c r="CU299">
        <v>445</v>
      </c>
      <c r="CV299">
        <v>448</v>
      </c>
      <c r="CW299">
        <v>449</v>
      </c>
      <c r="CX299">
        <v>451</v>
      </c>
      <c r="CY299">
        <v>451</v>
      </c>
      <c r="CZ299">
        <v>453</v>
      </c>
      <c r="DA299">
        <v>453</v>
      </c>
      <c r="DB299">
        <v>455</v>
      </c>
    </row>
    <row r="300" spans="1:106" x14ac:dyDescent="0.25">
      <c r="A300" t="s">
        <v>2975</v>
      </c>
      <c r="B300" t="s">
        <v>37</v>
      </c>
      <c r="C300">
        <v>3842.9269300899973</v>
      </c>
      <c r="D300">
        <v>-9210.6281368199998</v>
      </c>
      <c r="E300">
        <v>0</v>
      </c>
      <c r="F300">
        <v>0</v>
      </c>
      <c r="G300">
        <v>0</v>
      </c>
      <c r="H300">
        <v>0</v>
      </c>
      <c r="I300">
        <v>0</v>
      </c>
      <c r="J300">
        <v>0</v>
      </c>
      <c r="K300">
        <v>0</v>
      </c>
      <c r="L300">
        <v>0</v>
      </c>
      <c r="M300">
        <v>0</v>
      </c>
      <c r="N300">
        <v>0</v>
      </c>
      <c r="O300">
        <v>0</v>
      </c>
      <c r="P300">
        <v>0</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1</v>
      </c>
      <c r="AX300">
        <v>1</v>
      </c>
      <c r="AY300">
        <v>1</v>
      </c>
      <c r="AZ300">
        <v>3</v>
      </c>
      <c r="BA300">
        <v>3</v>
      </c>
      <c r="BB300">
        <v>5</v>
      </c>
      <c r="BC300">
        <v>10</v>
      </c>
      <c r="BD300">
        <v>14</v>
      </c>
      <c r="BE300">
        <v>18</v>
      </c>
      <c r="BF300">
        <v>17</v>
      </c>
      <c r="BG300">
        <v>18</v>
      </c>
      <c r="BH300">
        <v>23</v>
      </c>
      <c r="BI300">
        <v>24</v>
      </c>
      <c r="BJ300">
        <v>29</v>
      </c>
      <c r="BK300">
        <v>37</v>
      </c>
      <c r="BL300">
        <v>38</v>
      </c>
      <c r="BM300">
        <v>51</v>
      </c>
      <c r="BN300">
        <v>51</v>
      </c>
      <c r="BO300">
        <v>66</v>
      </c>
      <c r="BP300">
        <v>71</v>
      </c>
      <c r="BQ300">
        <v>74</v>
      </c>
      <c r="BR300">
        <v>82</v>
      </c>
      <c r="BS300">
        <v>96</v>
      </c>
      <c r="BT300">
        <v>108</v>
      </c>
      <c r="BU300">
        <v>145</v>
      </c>
      <c r="BV300">
        <v>172</v>
      </c>
      <c r="BW300">
        <v>210</v>
      </c>
      <c r="BX300">
        <v>246</v>
      </c>
      <c r="BY300">
        <v>279</v>
      </c>
      <c r="BZ300">
        <v>321</v>
      </c>
      <c r="CA300">
        <v>364</v>
      </c>
      <c r="CB300">
        <v>417</v>
      </c>
      <c r="CC300">
        <v>447</v>
      </c>
      <c r="CD300">
        <v>519</v>
      </c>
      <c r="CE300">
        <v>568</v>
      </c>
      <c r="CF300">
        <v>635</v>
      </c>
      <c r="CG300">
        <v>699</v>
      </c>
      <c r="CH300">
        <v>791</v>
      </c>
      <c r="CI300">
        <v>814</v>
      </c>
      <c r="CJ300">
        <v>897</v>
      </c>
      <c r="CK300">
        <v>901</v>
      </c>
      <c r="CL300">
        <v>952</v>
      </c>
      <c r="CM300">
        <v>1066</v>
      </c>
      <c r="CN300">
        <v>1249</v>
      </c>
      <c r="CO300">
        <v>1474</v>
      </c>
      <c r="CP300">
        <v>1648</v>
      </c>
      <c r="CQ300">
        <v>1685</v>
      </c>
      <c r="CR300">
        <v>1813</v>
      </c>
      <c r="CS300">
        <v>2202</v>
      </c>
      <c r="CT300">
        <v>2424</v>
      </c>
      <c r="CU300">
        <v>2719</v>
      </c>
      <c r="CV300">
        <v>3030</v>
      </c>
      <c r="CW300">
        <v>3358</v>
      </c>
      <c r="CX300">
        <v>3517</v>
      </c>
      <c r="CY300">
        <v>3851</v>
      </c>
      <c r="CZ300">
        <v>4281</v>
      </c>
      <c r="DA300">
        <v>5008</v>
      </c>
      <c r="DB300">
        <v>5317</v>
      </c>
    </row>
    <row r="301" spans="1:106" x14ac:dyDescent="0.25">
      <c r="A301" t="s">
        <v>2976</v>
      </c>
      <c r="B301" t="s">
        <v>37</v>
      </c>
      <c r="C301">
        <v>667.35194466000007</v>
      </c>
      <c r="D301">
        <v>-1998.5878900999996</v>
      </c>
      <c r="E301">
        <v>0</v>
      </c>
      <c r="F301">
        <v>0</v>
      </c>
      <c r="G301">
        <v>0</v>
      </c>
      <c r="H301">
        <v>0</v>
      </c>
      <c r="I301">
        <v>0</v>
      </c>
      <c r="J301">
        <v>0</v>
      </c>
      <c r="K301">
        <v>0</v>
      </c>
      <c r="L301">
        <v>0</v>
      </c>
      <c r="M301">
        <v>0</v>
      </c>
      <c r="N301">
        <v>0</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1</v>
      </c>
      <c r="AW301">
        <v>2</v>
      </c>
      <c r="AX301">
        <v>2</v>
      </c>
      <c r="AY301">
        <v>4</v>
      </c>
      <c r="AZ301">
        <v>4</v>
      </c>
      <c r="BA301">
        <v>4</v>
      </c>
      <c r="BB301">
        <v>7</v>
      </c>
      <c r="BC301">
        <v>10</v>
      </c>
      <c r="BD301">
        <v>18</v>
      </c>
      <c r="BE301">
        <v>20</v>
      </c>
      <c r="BF301">
        <v>20</v>
      </c>
      <c r="BG301">
        <v>45</v>
      </c>
      <c r="BH301">
        <v>55</v>
      </c>
      <c r="BI301">
        <v>55</v>
      </c>
      <c r="BJ301">
        <v>95</v>
      </c>
      <c r="BK301">
        <v>161</v>
      </c>
      <c r="BL301">
        <v>161</v>
      </c>
      <c r="BM301">
        <v>190</v>
      </c>
      <c r="BN301">
        <v>245</v>
      </c>
      <c r="BO301">
        <v>278</v>
      </c>
      <c r="BP301">
        <v>323</v>
      </c>
      <c r="BQ301">
        <v>420</v>
      </c>
      <c r="BR301">
        <v>536</v>
      </c>
      <c r="BS301">
        <v>626</v>
      </c>
      <c r="BT301">
        <v>920</v>
      </c>
      <c r="BU301">
        <v>1012</v>
      </c>
      <c r="BV301">
        <v>1114</v>
      </c>
      <c r="BW301">
        <v>1279</v>
      </c>
      <c r="BX301">
        <v>1463</v>
      </c>
      <c r="BY301">
        <v>1514</v>
      </c>
      <c r="BZ301">
        <v>1742</v>
      </c>
      <c r="CA301">
        <v>1855</v>
      </c>
      <c r="CB301">
        <v>1953</v>
      </c>
      <c r="CC301">
        <v>2124</v>
      </c>
      <c r="CD301">
        <v>2259</v>
      </c>
      <c r="CE301">
        <v>2456</v>
      </c>
      <c r="CF301">
        <v>2722</v>
      </c>
      <c r="CG301">
        <v>2702</v>
      </c>
      <c r="CH301">
        <v>2836</v>
      </c>
      <c r="CI301">
        <v>2990</v>
      </c>
      <c r="CJ301">
        <v>3134</v>
      </c>
      <c r="CK301">
        <v>3211</v>
      </c>
      <c r="CL301">
        <v>3214</v>
      </c>
      <c r="CM301">
        <v>3524</v>
      </c>
      <c r="CN301">
        <v>3626</v>
      </c>
      <c r="CO301">
        <v>3728</v>
      </c>
      <c r="CP301">
        <v>3830</v>
      </c>
      <c r="CQ301">
        <v>3937</v>
      </c>
      <c r="CR301">
        <v>4081</v>
      </c>
      <c r="CS301">
        <v>4208</v>
      </c>
      <c r="CT301">
        <v>4398</v>
      </c>
      <c r="CU301">
        <v>4539</v>
      </c>
      <c r="CV301">
        <v>4734</v>
      </c>
      <c r="CW301">
        <v>4700</v>
      </c>
      <c r="CX301">
        <v>4821</v>
      </c>
      <c r="CY301">
        <v>4934</v>
      </c>
      <c r="CZ301">
        <v>5053</v>
      </c>
      <c r="DA301">
        <v>5248</v>
      </c>
      <c r="DB301">
        <v>5389</v>
      </c>
    </row>
    <row r="302" spans="1:106" x14ac:dyDescent="0.25">
      <c r="A302" t="s">
        <v>2977</v>
      </c>
      <c r="B302" t="s">
        <v>37</v>
      </c>
      <c r="C302">
        <v>434.78972876</v>
      </c>
      <c r="D302">
        <v>-715.77656705000004</v>
      </c>
      <c r="E302">
        <v>0</v>
      </c>
      <c r="F302">
        <v>0</v>
      </c>
      <c r="G302">
        <v>0</v>
      </c>
      <c r="H302">
        <v>0</v>
      </c>
      <c r="I302">
        <v>0</v>
      </c>
      <c r="J302">
        <v>0</v>
      </c>
      <c r="K302">
        <v>0</v>
      </c>
      <c r="L302">
        <v>0</v>
      </c>
      <c r="M302">
        <v>0</v>
      </c>
      <c r="N302">
        <v>0</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c r="AP302">
        <v>0</v>
      </c>
      <c r="AQ302">
        <v>0</v>
      </c>
      <c r="AR302">
        <v>0</v>
      </c>
      <c r="AS302">
        <v>1</v>
      </c>
      <c r="AT302">
        <v>2</v>
      </c>
      <c r="AU302">
        <v>2</v>
      </c>
      <c r="AV302">
        <v>2</v>
      </c>
      <c r="AW302">
        <v>2</v>
      </c>
      <c r="AX302">
        <v>2</v>
      </c>
      <c r="AY302">
        <v>4</v>
      </c>
      <c r="AZ302">
        <v>4</v>
      </c>
      <c r="BA302">
        <v>4</v>
      </c>
      <c r="BB302">
        <v>5</v>
      </c>
      <c r="BC302">
        <v>6</v>
      </c>
      <c r="BD302">
        <v>6</v>
      </c>
      <c r="BE302">
        <v>7</v>
      </c>
      <c r="BF302">
        <v>7</v>
      </c>
      <c r="BG302">
        <v>17</v>
      </c>
      <c r="BH302">
        <v>26</v>
      </c>
      <c r="BI302">
        <v>37</v>
      </c>
      <c r="BJ302">
        <v>42</v>
      </c>
      <c r="BK302">
        <v>53</v>
      </c>
      <c r="BL302">
        <v>61</v>
      </c>
      <c r="BM302">
        <v>73</v>
      </c>
      <c r="BN302">
        <v>101</v>
      </c>
      <c r="BO302">
        <v>101</v>
      </c>
      <c r="BP302">
        <v>108</v>
      </c>
      <c r="BQ302">
        <v>137</v>
      </c>
      <c r="BR302">
        <v>158</v>
      </c>
      <c r="BS302">
        <v>187</v>
      </c>
      <c r="BT302">
        <v>214</v>
      </c>
      <c r="BU302">
        <v>314</v>
      </c>
      <c r="BV302">
        <v>357</v>
      </c>
      <c r="BW302">
        <v>367</v>
      </c>
      <c r="BX302">
        <v>479</v>
      </c>
      <c r="BY302">
        <v>479</v>
      </c>
      <c r="BZ302">
        <v>540</v>
      </c>
      <c r="CA302">
        <v>621</v>
      </c>
      <c r="CB302">
        <v>715</v>
      </c>
      <c r="CC302">
        <v>715</v>
      </c>
      <c r="CD302">
        <v>747</v>
      </c>
      <c r="CE302">
        <v>819</v>
      </c>
      <c r="CF302">
        <v>819</v>
      </c>
      <c r="CG302">
        <v>885</v>
      </c>
      <c r="CH302">
        <v>929</v>
      </c>
      <c r="CI302">
        <v>985</v>
      </c>
      <c r="CJ302">
        <v>922</v>
      </c>
      <c r="CK302">
        <v>1139</v>
      </c>
      <c r="CL302">
        <v>1139</v>
      </c>
      <c r="CM302">
        <v>1287</v>
      </c>
      <c r="CN302">
        <v>1342</v>
      </c>
      <c r="CO302">
        <v>1390</v>
      </c>
      <c r="CP302">
        <v>1447</v>
      </c>
      <c r="CQ302">
        <v>1490</v>
      </c>
      <c r="CR302">
        <v>1588</v>
      </c>
      <c r="CS302">
        <v>1670</v>
      </c>
      <c r="CT302">
        <v>1720</v>
      </c>
      <c r="CU302">
        <v>1797</v>
      </c>
      <c r="CV302">
        <v>1864</v>
      </c>
      <c r="CW302">
        <v>1938</v>
      </c>
      <c r="CX302">
        <v>2010</v>
      </c>
      <c r="CY302">
        <v>2058</v>
      </c>
      <c r="CZ302">
        <v>2146</v>
      </c>
      <c r="DA302">
        <v>2310</v>
      </c>
      <c r="DB302">
        <v>2429</v>
      </c>
    </row>
    <row r="303" spans="1:106" x14ac:dyDescent="0.25">
      <c r="A303" t="s">
        <v>2978</v>
      </c>
      <c r="B303" t="s">
        <v>37</v>
      </c>
      <c r="C303">
        <v>846.01525913000012</v>
      </c>
      <c r="D303">
        <v>-1567.0714440100001</v>
      </c>
      <c r="E303">
        <v>0</v>
      </c>
      <c r="F303">
        <v>0</v>
      </c>
      <c r="G303">
        <v>0</v>
      </c>
      <c r="H303">
        <v>0</v>
      </c>
      <c r="I303">
        <v>0</v>
      </c>
      <c r="J303">
        <v>0</v>
      </c>
      <c r="K303">
        <v>0</v>
      </c>
      <c r="L303">
        <v>0</v>
      </c>
      <c r="M303">
        <v>0</v>
      </c>
      <c r="N303">
        <v>0</v>
      </c>
      <c r="O303">
        <v>0</v>
      </c>
      <c r="P303">
        <v>0</v>
      </c>
      <c r="Q303">
        <v>0</v>
      </c>
      <c r="R303">
        <v>0</v>
      </c>
      <c r="S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c r="AP303">
        <v>0</v>
      </c>
      <c r="AQ303">
        <v>0</v>
      </c>
      <c r="AR303">
        <v>0</v>
      </c>
      <c r="AS303">
        <v>0</v>
      </c>
      <c r="AT303">
        <v>0</v>
      </c>
      <c r="AU303">
        <v>0</v>
      </c>
      <c r="AV303">
        <v>2</v>
      </c>
      <c r="AW303">
        <v>2</v>
      </c>
      <c r="AX303">
        <v>4</v>
      </c>
      <c r="AY303">
        <v>5</v>
      </c>
      <c r="AZ303">
        <v>5</v>
      </c>
      <c r="BA303">
        <v>15</v>
      </c>
      <c r="BB303">
        <v>23</v>
      </c>
      <c r="BC303">
        <v>29</v>
      </c>
      <c r="BD303">
        <v>49</v>
      </c>
      <c r="BE303">
        <v>69</v>
      </c>
      <c r="BF303">
        <v>72</v>
      </c>
      <c r="BG303">
        <v>176</v>
      </c>
      <c r="BH303">
        <v>250</v>
      </c>
      <c r="BI303">
        <v>397</v>
      </c>
      <c r="BJ303">
        <v>741</v>
      </c>
      <c r="BK303">
        <v>890</v>
      </c>
      <c r="BL303">
        <v>1327</v>
      </c>
      <c r="BM303">
        <v>1914</v>
      </c>
      <c r="BN303">
        <v>2844</v>
      </c>
      <c r="BO303">
        <v>3675</v>
      </c>
      <c r="BP303">
        <v>4402</v>
      </c>
      <c r="BQ303">
        <v>6876</v>
      </c>
      <c r="BR303">
        <v>8825</v>
      </c>
      <c r="BS303">
        <v>11124</v>
      </c>
      <c r="BT303">
        <v>13386</v>
      </c>
      <c r="BU303">
        <v>16636</v>
      </c>
      <c r="BV303">
        <v>18696</v>
      </c>
      <c r="BW303">
        <v>22255</v>
      </c>
      <c r="BX303">
        <v>25590</v>
      </c>
      <c r="BY303">
        <v>29895</v>
      </c>
      <c r="BZ303">
        <v>34124</v>
      </c>
      <c r="CA303">
        <v>37505</v>
      </c>
      <c r="CB303">
        <v>41090</v>
      </c>
      <c r="CC303">
        <v>44416</v>
      </c>
      <c r="CD303">
        <v>47437</v>
      </c>
      <c r="CE303">
        <v>51027</v>
      </c>
      <c r="CF303">
        <v>54588</v>
      </c>
      <c r="CG303">
        <v>58151</v>
      </c>
      <c r="CH303">
        <v>61850</v>
      </c>
      <c r="CI303">
        <v>64584</v>
      </c>
      <c r="CJ303">
        <v>68824</v>
      </c>
      <c r="CK303">
        <v>71030</v>
      </c>
      <c r="CL303">
        <v>75317</v>
      </c>
      <c r="CM303">
        <v>78467</v>
      </c>
      <c r="CN303">
        <v>81420</v>
      </c>
      <c r="CO303">
        <v>85301</v>
      </c>
      <c r="CP303">
        <v>88722</v>
      </c>
      <c r="CQ303">
        <v>92387</v>
      </c>
      <c r="CR303">
        <v>95914</v>
      </c>
      <c r="CS303">
        <v>100025</v>
      </c>
      <c r="CT303">
        <v>102196</v>
      </c>
      <c r="CU303">
        <v>105498</v>
      </c>
      <c r="CV303">
        <v>109038</v>
      </c>
      <c r="CW303">
        <v>111188</v>
      </c>
      <c r="CX303">
        <v>113856</v>
      </c>
      <c r="CY303">
        <v>116365</v>
      </c>
      <c r="CZ303">
        <v>118652</v>
      </c>
      <c r="DA303">
        <v>121190</v>
      </c>
      <c r="DB303">
        <v>123717</v>
      </c>
    </row>
    <row r="304" spans="1:106" x14ac:dyDescent="0.25">
      <c r="A304" t="s">
        <v>2979</v>
      </c>
      <c r="B304" t="s">
        <v>37</v>
      </c>
      <c r="C304">
        <v>1140.1288462999999</v>
      </c>
      <c r="D304">
        <v>-3494.2745445</v>
      </c>
      <c r="E304">
        <v>0</v>
      </c>
      <c r="F304">
        <v>0</v>
      </c>
      <c r="G304">
        <v>0</v>
      </c>
      <c r="H304">
        <v>0</v>
      </c>
      <c r="I304">
        <v>0</v>
      </c>
      <c r="J304">
        <v>0</v>
      </c>
      <c r="K304">
        <v>0</v>
      </c>
      <c r="L304">
        <v>0</v>
      </c>
      <c r="M304">
        <v>0</v>
      </c>
      <c r="N304">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v>0</v>
      </c>
      <c r="AZ304">
        <v>0</v>
      </c>
      <c r="BA304">
        <v>0</v>
      </c>
      <c r="BB304">
        <v>3</v>
      </c>
      <c r="BC304">
        <v>5</v>
      </c>
      <c r="BD304">
        <v>10</v>
      </c>
      <c r="BE304">
        <v>13</v>
      </c>
      <c r="BF304">
        <v>13</v>
      </c>
      <c r="BG304">
        <v>21</v>
      </c>
      <c r="BH304">
        <v>23</v>
      </c>
      <c r="BI304">
        <v>28</v>
      </c>
      <c r="BJ304">
        <v>35</v>
      </c>
      <c r="BK304">
        <v>42</v>
      </c>
      <c r="BL304">
        <v>55</v>
      </c>
      <c r="BM304">
        <v>57</v>
      </c>
      <c r="BN304">
        <v>83</v>
      </c>
      <c r="BO304">
        <v>100</v>
      </c>
      <c r="BP304">
        <v>113</v>
      </c>
      <c r="BQ304">
        <v>113</v>
      </c>
      <c r="BR304">
        <v>136</v>
      </c>
      <c r="BS304">
        <v>208</v>
      </c>
      <c r="BT304">
        <v>237</v>
      </c>
      <c r="BU304">
        <v>237</v>
      </c>
      <c r="BV304">
        <v>315</v>
      </c>
      <c r="BW304">
        <v>327</v>
      </c>
      <c r="BX304">
        <v>373</v>
      </c>
      <c r="BY304">
        <v>490</v>
      </c>
      <c r="BZ304">
        <v>506</v>
      </c>
      <c r="CA304">
        <v>624</v>
      </c>
      <c r="CB304">
        <v>686</v>
      </c>
      <c r="CC304">
        <v>794</v>
      </c>
      <c r="CD304">
        <v>821</v>
      </c>
      <c r="CE304">
        <v>865</v>
      </c>
      <c r="CF304">
        <v>1081</v>
      </c>
      <c r="CG304">
        <v>1091</v>
      </c>
      <c r="CH304">
        <v>1245</v>
      </c>
      <c r="CI304">
        <v>1262</v>
      </c>
      <c r="CJ304">
        <v>1345</v>
      </c>
      <c r="CK304">
        <v>1484</v>
      </c>
      <c r="CL304">
        <v>1484</v>
      </c>
      <c r="CM304">
        <v>1597</v>
      </c>
      <c r="CN304">
        <v>1798</v>
      </c>
      <c r="CO304">
        <v>1845</v>
      </c>
      <c r="CP304">
        <v>1971</v>
      </c>
      <c r="CQ304">
        <v>1971</v>
      </c>
      <c r="CR304">
        <v>2210</v>
      </c>
      <c r="CS304">
        <v>2379</v>
      </c>
      <c r="CT304">
        <v>2521</v>
      </c>
      <c r="CU304">
        <v>2660</v>
      </c>
      <c r="CV304">
        <v>2726</v>
      </c>
      <c r="CW304">
        <v>2825</v>
      </c>
      <c r="CX304">
        <v>2974</v>
      </c>
      <c r="CY304">
        <v>3213</v>
      </c>
      <c r="CZ304">
        <v>3411</v>
      </c>
      <c r="DA304">
        <v>3513</v>
      </c>
      <c r="DB304">
        <v>3732</v>
      </c>
    </row>
    <row r="305" spans="1:106" x14ac:dyDescent="0.25">
      <c r="A305" t="s">
        <v>2980</v>
      </c>
      <c r="B305" t="s">
        <v>37</v>
      </c>
      <c r="C305">
        <v>2637.7373826599996</v>
      </c>
      <c r="D305">
        <v>-4679.3993650800003</v>
      </c>
      <c r="E305">
        <v>0</v>
      </c>
      <c r="F305">
        <v>0</v>
      </c>
      <c r="G305">
        <v>0</v>
      </c>
      <c r="H305">
        <v>0</v>
      </c>
      <c r="I305">
        <v>0</v>
      </c>
      <c r="J305">
        <v>0</v>
      </c>
      <c r="K305">
        <v>0</v>
      </c>
      <c r="L305">
        <v>0</v>
      </c>
      <c r="M305">
        <v>0</v>
      </c>
      <c r="N305">
        <v>0</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c r="AP305">
        <v>0</v>
      </c>
      <c r="AQ305">
        <v>0</v>
      </c>
      <c r="AR305">
        <v>0</v>
      </c>
      <c r="AS305">
        <v>1</v>
      </c>
      <c r="AT305">
        <v>2</v>
      </c>
      <c r="AU305">
        <v>11</v>
      </c>
      <c r="AV305">
        <v>23</v>
      </c>
      <c r="AW305">
        <v>31</v>
      </c>
      <c r="AX305">
        <v>76</v>
      </c>
      <c r="AY305">
        <v>106</v>
      </c>
      <c r="AZ305">
        <v>142</v>
      </c>
      <c r="BA305">
        <v>150</v>
      </c>
      <c r="BB305">
        <v>220</v>
      </c>
      <c r="BC305">
        <v>327</v>
      </c>
      <c r="BD305">
        <v>421</v>
      </c>
      <c r="BE305">
        <v>613</v>
      </c>
      <c r="BF305">
        <v>615</v>
      </c>
      <c r="BG305">
        <v>967</v>
      </c>
      <c r="BH305">
        <v>1578</v>
      </c>
      <c r="BI305">
        <v>3038</v>
      </c>
      <c r="BJ305">
        <v>5704</v>
      </c>
      <c r="BK305">
        <v>8403</v>
      </c>
      <c r="BL305">
        <v>11727</v>
      </c>
      <c r="BM305">
        <v>15800</v>
      </c>
      <c r="BN305">
        <v>20884</v>
      </c>
      <c r="BO305">
        <v>25681</v>
      </c>
      <c r="BP305">
        <v>30841</v>
      </c>
      <c r="BQ305">
        <v>37877</v>
      </c>
      <c r="BR305">
        <v>44876</v>
      </c>
      <c r="BS305">
        <v>52410</v>
      </c>
      <c r="BT305">
        <v>59648</v>
      </c>
      <c r="BU305">
        <v>66663</v>
      </c>
      <c r="BV305">
        <v>75833</v>
      </c>
      <c r="BW305">
        <v>83948</v>
      </c>
      <c r="BX305">
        <v>92506</v>
      </c>
      <c r="BY305">
        <v>102987</v>
      </c>
      <c r="BZ305">
        <v>113833</v>
      </c>
      <c r="CA305">
        <v>123160</v>
      </c>
      <c r="CB305">
        <v>131815</v>
      </c>
      <c r="CC305">
        <v>139875</v>
      </c>
      <c r="CD305">
        <v>151061</v>
      </c>
      <c r="CE305">
        <v>161779</v>
      </c>
      <c r="CF305">
        <v>172348</v>
      </c>
      <c r="CG305">
        <v>181026</v>
      </c>
      <c r="CH305">
        <v>189033</v>
      </c>
      <c r="CI305">
        <v>195749</v>
      </c>
      <c r="CJ305">
        <v>203020</v>
      </c>
      <c r="CK305">
        <v>214454</v>
      </c>
      <c r="CL305">
        <v>223691</v>
      </c>
      <c r="CM305">
        <v>230597</v>
      </c>
      <c r="CN305">
        <v>237474</v>
      </c>
      <c r="CO305">
        <v>243382</v>
      </c>
      <c r="CP305">
        <v>248416</v>
      </c>
      <c r="CQ305">
        <v>253519</v>
      </c>
      <c r="CR305">
        <v>258222</v>
      </c>
      <c r="CS305">
        <v>263460</v>
      </c>
      <c r="CT305">
        <v>271590</v>
      </c>
      <c r="CU305">
        <v>282143</v>
      </c>
      <c r="CV305">
        <v>288045</v>
      </c>
      <c r="CW305">
        <v>291996</v>
      </c>
      <c r="CX305">
        <v>295106</v>
      </c>
      <c r="CY305">
        <v>299691</v>
      </c>
      <c r="CZ305">
        <v>304372</v>
      </c>
      <c r="DA305">
        <v>308314</v>
      </c>
      <c r="DB305">
        <v>312977</v>
      </c>
    </row>
    <row r="306" spans="1:106" x14ac:dyDescent="0.25">
      <c r="A306" t="s">
        <v>2981</v>
      </c>
      <c r="B306" t="s">
        <v>37</v>
      </c>
      <c r="C306">
        <v>3562.4209710000009</v>
      </c>
      <c r="D306">
        <v>-7950.1098739600029</v>
      </c>
      <c r="E306">
        <v>0</v>
      </c>
      <c r="F306">
        <v>0</v>
      </c>
      <c r="G306">
        <v>0</v>
      </c>
      <c r="H306">
        <v>0</v>
      </c>
      <c r="I306">
        <v>0</v>
      </c>
      <c r="J306">
        <v>0</v>
      </c>
      <c r="K306">
        <v>0</v>
      </c>
      <c r="L306">
        <v>0</v>
      </c>
      <c r="M306">
        <v>0</v>
      </c>
      <c r="N306">
        <v>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c r="AP306">
        <v>0</v>
      </c>
      <c r="AQ306">
        <v>0</v>
      </c>
      <c r="AR306">
        <v>0</v>
      </c>
      <c r="AS306">
        <v>0</v>
      </c>
      <c r="AT306">
        <v>1</v>
      </c>
      <c r="AU306">
        <v>1</v>
      </c>
      <c r="AV306">
        <v>1</v>
      </c>
      <c r="AW306">
        <v>2</v>
      </c>
      <c r="AX306">
        <v>2</v>
      </c>
      <c r="AY306">
        <v>2</v>
      </c>
      <c r="AZ306">
        <v>2</v>
      </c>
      <c r="BA306">
        <v>7</v>
      </c>
      <c r="BB306">
        <v>7</v>
      </c>
      <c r="BC306">
        <v>15</v>
      </c>
      <c r="BD306">
        <v>17</v>
      </c>
      <c r="BE306">
        <v>25</v>
      </c>
      <c r="BF306">
        <v>32</v>
      </c>
      <c r="BG306">
        <v>39</v>
      </c>
      <c r="BH306">
        <v>64</v>
      </c>
      <c r="BI306">
        <v>92</v>
      </c>
      <c r="BJ306">
        <v>136</v>
      </c>
      <c r="BK306">
        <v>189</v>
      </c>
      <c r="BL306">
        <v>256</v>
      </c>
      <c r="BM306">
        <v>305</v>
      </c>
      <c r="BN306">
        <v>353</v>
      </c>
      <c r="BO306">
        <v>495</v>
      </c>
      <c r="BP306">
        <v>590</v>
      </c>
      <c r="BQ306">
        <v>738</v>
      </c>
      <c r="BR306">
        <v>887</v>
      </c>
      <c r="BS306">
        <v>1020</v>
      </c>
      <c r="BT306">
        <v>1191</v>
      </c>
      <c r="BU306">
        <v>1313</v>
      </c>
      <c r="BV306">
        <v>1535</v>
      </c>
      <c r="BW306">
        <v>1675</v>
      </c>
      <c r="BX306">
        <v>1977</v>
      </c>
      <c r="BY306">
        <v>2251</v>
      </c>
      <c r="BZ306">
        <v>2486</v>
      </c>
      <c r="CA306">
        <v>2649</v>
      </c>
      <c r="CB306">
        <v>2962</v>
      </c>
      <c r="CC306">
        <v>3299</v>
      </c>
      <c r="CD306">
        <v>3499</v>
      </c>
      <c r="CE306">
        <v>3736</v>
      </c>
      <c r="CF306">
        <v>3965</v>
      </c>
      <c r="CG306">
        <v>4354</v>
      </c>
      <c r="CH306">
        <v>4570</v>
      </c>
      <c r="CI306">
        <v>4886</v>
      </c>
      <c r="CJ306">
        <v>5113</v>
      </c>
      <c r="CK306">
        <v>5340</v>
      </c>
      <c r="CL306">
        <v>5639</v>
      </c>
      <c r="CM306">
        <v>6045</v>
      </c>
      <c r="CN306">
        <v>6328</v>
      </c>
      <c r="CO306">
        <v>6601</v>
      </c>
      <c r="CP306">
        <v>6895</v>
      </c>
      <c r="CQ306">
        <v>7134</v>
      </c>
      <c r="CR306">
        <v>7495</v>
      </c>
      <c r="CS306">
        <v>7820</v>
      </c>
      <c r="CT306">
        <v>8290</v>
      </c>
      <c r="CU306">
        <v>8768</v>
      </c>
      <c r="CV306">
        <v>8997</v>
      </c>
      <c r="CW306">
        <v>9428</v>
      </c>
      <c r="CX306">
        <v>9755</v>
      </c>
      <c r="CY306">
        <v>10180</v>
      </c>
      <c r="CZ306">
        <v>10754</v>
      </c>
      <c r="DA306">
        <v>11070</v>
      </c>
      <c r="DB306">
        <v>11588</v>
      </c>
    </row>
    <row r="307" spans="1:106" x14ac:dyDescent="0.25">
      <c r="A307" t="s">
        <v>2982</v>
      </c>
      <c r="B307" t="s">
        <v>37</v>
      </c>
      <c r="C307">
        <v>2511.8558565800004</v>
      </c>
      <c r="D307">
        <v>-5313.2178520900006</v>
      </c>
      <c r="E307">
        <v>0</v>
      </c>
      <c r="F307">
        <v>0</v>
      </c>
      <c r="G307">
        <v>0</v>
      </c>
      <c r="H307">
        <v>0</v>
      </c>
      <c r="I307">
        <v>0</v>
      </c>
      <c r="J307">
        <v>0</v>
      </c>
      <c r="K307">
        <v>0</v>
      </c>
      <c r="L307">
        <v>0</v>
      </c>
      <c r="M307">
        <v>0</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c r="AP307">
        <v>0</v>
      </c>
      <c r="AQ307">
        <v>0</v>
      </c>
      <c r="AR307">
        <v>0</v>
      </c>
      <c r="AS307">
        <v>0</v>
      </c>
      <c r="AT307">
        <v>0</v>
      </c>
      <c r="AU307">
        <v>0</v>
      </c>
      <c r="AV307">
        <v>0</v>
      </c>
      <c r="AW307">
        <v>0</v>
      </c>
      <c r="AX307">
        <v>0</v>
      </c>
      <c r="AY307">
        <v>0</v>
      </c>
      <c r="AZ307">
        <v>0</v>
      </c>
      <c r="BA307">
        <v>0</v>
      </c>
      <c r="BB307">
        <v>0</v>
      </c>
      <c r="BC307">
        <v>1</v>
      </c>
      <c r="BD307">
        <v>1</v>
      </c>
      <c r="BE307">
        <v>1</v>
      </c>
      <c r="BF307">
        <v>1</v>
      </c>
      <c r="BG307">
        <v>1</v>
      </c>
      <c r="BH307">
        <v>3</v>
      </c>
      <c r="BI307">
        <v>6</v>
      </c>
      <c r="BJ307">
        <v>19</v>
      </c>
      <c r="BK307">
        <v>26</v>
      </c>
      <c r="BL307">
        <v>28</v>
      </c>
      <c r="BM307">
        <v>28</v>
      </c>
      <c r="BN307">
        <v>30</v>
      </c>
      <c r="BO307">
        <v>36</v>
      </c>
      <c r="BP307">
        <v>45</v>
      </c>
      <c r="BQ307">
        <v>51</v>
      </c>
      <c r="BR307">
        <v>68</v>
      </c>
      <c r="BS307">
        <v>94</v>
      </c>
      <c r="BT307">
        <v>98</v>
      </c>
      <c r="BU307">
        <v>109</v>
      </c>
      <c r="BV307">
        <v>122</v>
      </c>
      <c r="BW307">
        <v>142</v>
      </c>
      <c r="BX307">
        <v>159</v>
      </c>
      <c r="BY307">
        <v>173</v>
      </c>
      <c r="BZ307">
        <v>186</v>
      </c>
      <c r="CA307">
        <v>207</v>
      </c>
      <c r="CB307">
        <v>225</v>
      </c>
      <c r="CC307">
        <v>237</v>
      </c>
      <c r="CD307">
        <v>251</v>
      </c>
      <c r="CE307">
        <v>269</v>
      </c>
      <c r="CF307">
        <v>278</v>
      </c>
      <c r="CG307">
        <v>293</v>
      </c>
      <c r="CH307">
        <v>308</v>
      </c>
      <c r="CI307">
        <v>331</v>
      </c>
      <c r="CJ307">
        <v>341</v>
      </c>
      <c r="CK307">
        <v>365</v>
      </c>
      <c r="CL307">
        <v>393</v>
      </c>
      <c r="CM307">
        <v>393</v>
      </c>
      <c r="CN307">
        <v>528</v>
      </c>
      <c r="CO307">
        <v>585</v>
      </c>
      <c r="CP307">
        <v>627</v>
      </c>
      <c r="CQ307">
        <v>644</v>
      </c>
      <c r="CR307">
        <v>679</v>
      </c>
      <c r="CS307">
        <v>709</v>
      </c>
      <c r="CT307">
        <v>748</v>
      </c>
      <c r="CU307">
        <v>803</v>
      </c>
      <c r="CV307">
        <v>867</v>
      </c>
      <c r="CW307">
        <v>942</v>
      </c>
      <c r="CX307">
        <v>991</v>
      </c>
      <c r="CY307">
        <v>1033</v>
      </c>
      <c r="CZ307">
        <v>1067</v>
      </c>
      <c r="DA307">
        <v>1107</v>
      </c>
      <c r="DB307">
        <v>1153</v>
      </c>
    </row>
    <row r="308" spans="1:106" x14ac:dyDescent="0.25">
      <c r="A308" t="s">
        <v>2983</v>
      </c>
      <c r="B308" t="s">
        <v>37</v>
      </c>
      <c r="C308">
        <v>3547.3389435400018</v>
      </c>
      <c r="D308">
        <v>-7289.5159045800001</v>
      </c>
      <c r="E308">
        <v>0</v>
      </c>
      <c r="F308">
        <v>0</v>
      </c>
      <c r="G308">
        <v>0</v>
      </c>
      <c r="H308">
        <v>0</v>
      </c>
      <c r="I308">
        <v>0</v>
      </c>
      <c r="J308">
        <v>0</v>
      </c>
      <c r="K308">
        <v>0</v>
      </c>
      <c r="L308">
        <v>0</v>
      </c>
      <c r="M308">
        <v>0</v>
      </c>
      <c r="N308">
        <v>0</v>
      </c>
      <c r="O308">
        <v>0</v>
      </c>
      <c r="P308">
        <v>0</v>
      </c>
      <c r="Q308">
        <v>0</v>
      </c>
      <c r="R308">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0</v>
      </c>
      <c r="AX308">
        <v>0</v>
      </c>
      <c r="AY308">
        <v>0</v>
      </c>
      <c r="AZ308">
        <v>0</v>
      </c>
      <c r="BA308">
        <v>3</v>
      </c>
      <c r="BB308">
        <v>4</v>
      </c>
      <c r="BC308">
        <v>5</v>
      </c>
      <c r="BD308">
        <v>12</v>
      </c>
      <c r="BE308">
        <v>26</v>
      </c>
      <c r="BF308">
        <v>30</v>
      </c>
      <c r="BG308">
        <v>50</v>
      </c>
      <c r="BH308">
        <v>67</v>
      </c>
      <c r="BI308">
        <v>89</v>
      </c>
      <c r="BJ308">
        <v>119</v>
      </c>
      <c r="BK308">
        <v>173</v>
      </c>
      <c r="BL308">
        <v>247</v>
      </c>
      <c r="BM308">
        <v>356</v>
      </c>
      <c r="BN308">
        <v>443</v>
      </c>
      <c r="BO308">
        <v>567</v>
      </c>
      <c r="BP308">
        <v>704</v>
      </c>
      <c r="BQ308">
        <v>868</v>
      </c>
      <c r="BR308">
        <v>1137</v>
      </c>
      <c r="BS308">
        <v>1406</v>
      </c>
      <c r="BT308">
        <v>1653</v>
      </c>
      <c r="BU308">
        <v>1933</v>
      </c>
      <c r="BV308">
        <v>2199</v>
      </c>
      <c r="BW308">
        <v>2547</v>
      </c>
      <c r="BX308">
        <v>2901</v>
      </c>
      <c r="BY308">
        <v>3312</v>
      </c>
      <c r="BZ308">
        <v>3739</v>
      </c>
      <c r="CA308">
        <v>4043</v>
      </c>
      <c r="CB308">
        <v>4453</v>
      </c>
      <c r="CC308">
        <v>4782</v>
      </c>
      <c r="CD308">
        <v>5148</v>
      </c>
      <c r="CE308">
        <v>5512</v>
      </c>
      <c r="CF308">
        <v>5878</v>
      </c>
      <c r="CG308">
        <v>6250</v>
      </c>
      <c r="CH308">
        <v>6604</v>
      </c>
      <c r="CI308">
        <v>6975</v>
      </c>
      <c r="CJ308">
        <v>7285</v>
      </c>
      <c r="CK308">
        <v>7794</v>
      </c>
      <c r="CL308">
        <v>8414</v>
      </c>
      <c r="CM308">
        <v>9107</v>
      </c>
      <c r="CN308">
        <v>10222</v>
      </c>
      <c r="CO308">
        <v>11602</v>
      </c>
      <c r="CP308">
        <v>12919</v>
      </c>
      <c r="CQ308">
        <v>13725</v>
      </c>
      <c r="CR308">
        <v>14117</v>
      </c>
      <c r="CS308">
        <v>14694</v>
      </c>
      <c r="CT308">
        <v>15169</v>
      </c>
      <c r="CU308">
        <v>15587</v>
      </c>
      <c r="CV308">
        <v>15972</v>
      </c>
      <c r="CW308">
        <v>16325</v>
      </c>
      <c r="CX308">
        <v>16769</v>
      </c>
      <c r="CY308">
        <v>17303</v>
      </c>
      <c r="CZ308">
        <v>18027</v>
      </c>
      <c r="DA308">
        <v>18743</v>
      </c>
      <c r="DB308">
        <v>19335</v>
      </c>
    </row>
    <row r="309" spans="1:106" x14ac:dyDescent="0.25">
      <c r="A309" t="s">
        <v>2984</v>
      </c>
      <c r="B309" t="s">
        <v>37</v>
      </c>
      <c r="C309">
        <v>2733.6474108000002</v>
      </c>
      <c r="D309">
        <v>-7488.3577667199997</v>
      </c>
      <c r="E309">
        <v>0</v>
      </c>
      <c r="F309">
        <v>0</v>
      </c>
      <c r="G309">
        <v>0</v>
      </c>
      <c r="H309">
        <v>0</v>
      </c>
      <c r="I309">
        <v>0</v>
      </c>
      <c r="J309">
        <v>0</v>
      </c>
      <c r="K309">
        <v>0</v>
      </c>
      <c r="L309">
        <v>0</v>
      </c>
      <c r="M309">
        <v>0</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c r="AP309">
        <v>0</v>
      </c>
      <c r="AQ309">
        <v>0</v>
      </c>
      <c r="AR309">
        <v>0</v>
      </c>
      <c r="AS309">
        <v>0</v>
      </c>
      <c r="AT309">
        <v>0</v>
      </c>
      <c r="AU309">
        <v>0</v>
      </c>
      <c r="AV309">
        <v>0</v>
      </c>
      <c r="AW309">
        <v>0</v>
      </c>
      <c r="AX309">
        <v>1</v>
      </c>
      <c r="AY309">
        <v>1</v>
      </c>
      <c r="AZ309">
        <v>1</v>
      </c>
      <c r="BA309">
        <v>2</v>
      </c>
      <c r="BB309">
        <v>2</v>
      </c>
      <c r="BC309">
        <v>3</v>
      </c>
      <c r="BD309">
        <v>3</v>
      </c>
      <c r="BE309">
        <v>4</v>
      </c>
      <c r="BF309">
        <v>4</v>
      </c>
      <c r="BG309">
        <v>10</v>
      </c>
      <c r="BH309">
        <v>17</v>
      </c>
      <c r="BI309">
        <v>17</v>
      </c>
      <c r="BJ309">
        <v>44</v>
      </c>
      <c r="BK309">
        <v>49</v>
      </c>
      <c r="BL309">
        <v>53</v>
      </c>
      <c r="BM309">
        <v>67</v>
      </c>
      <c r="BN309">
        <v>81</v>
      </c>
      <c r="BO309">
        <v>106</v>
      </c>
      <c r="BP309">
        <v>164</v>
      </c>
      <c r="BQ309">
        <v>248</v>
      </c>
      <c r="BR309">
        <v>322</v>
      </c>
      <c r="BS309">
        <v>377</v>
      </c>
      <c r="BT309">
        <v>429</v>
      </c>
      <c r="BU309">
        <v>481</v>
      </c>
      <c r="BV309">
        <v>568</v>
      </c>
      <c r="BW309">
        <v>721</v>
      </c>
      <c r="BX309">
        <v>881</v>
      </c>
      <c r="BY309">
        <v>990</v>
      </c>
      <c r="BZ309">
        <v>1161</v>
      </c>
      <c r="CA309">
        <v>1254</v>
      </c>
      <c r="CB309">
        <v>1329</v>
      </c>
      <c r="CC309">
        <v>1474</v>
      </c>
      <c r="CD309">
        <v>1526</v>
      </c>
      <c r="CE309">
        <v>1686</v>
      </c>
      <c r="CF309">
        <v>1794</v>
      </c>
      <c r="CG309">
        <v>1868</v>
      </c>
      <c r="CH309">
        <v>1970</v>
      </c>
      <c r="CI309">
        <v>2069</v>
      </c>
      <c r="CJ309">
        <v>2184</v>
      </c>
      <c r="CK309">
        <v>2263</v>
      </c>
      <c r="CL309">
        <v>2357</v>
      </c>
      <c r="CM309">
        <v>2465</v>
      </c>
      <c r="CN309">
        <v>2465</v>
      </c>
      <c r="CO309">
        <v>2567</v>
      </c>
      <c r="CP309">
        <v>2680</v>
      </c>
      <c r="CQ309">
        <v>2807</v>
      </c>
      <c r="CR309">
        <v>2894</v>
      </c>
      <c r="CS309">
        <v>3017</v>
      </c>
      <c r="CT309">
        <v>3121</v>
      </c>
      <c r="CU309">
        <v>3194</v>
      </c>
      <c r="CV309">
        <v>3254</v>
      </c>
      <c r="CW309">
        <v>3281</v>
      </c>
      <c r="CX309">
        <v>3410</v>
      </c>
      <c r="CY309">
        <v>3473</v>
      </c>
      <c r="CZ309">
        <v>3618</v>
      </c>
      <c r="DA309">
        <v>3748</v>
      </c>
      <c r="DB309">
        <v>3851</v>
      </c>
    </row>
    <row r="310" spans="1:106" x14ac:dyDescent="0.25">
      <c r="A310" t="s">
        <v>2985</v>
      </c>
      <c r="B310" t="s">
        <v>37</v>
      </c>
      <c r="C310">
        <v>1601.7264242899996</v>
      </c>
      <c r="D310">
        <v>-4373.1691055000001</v>
      </c>
      <c r="E310">
        <v>0</v>
      </c>
      <c r="F310">
        <v>0</v>
      </c>
      <c r="G310">
        <v>0</v>
      </c>
      <c r="H310">
        <v>0</v>
      </c>
      <c r="I310">
        <v>0</v>
      </c>
      <c r="J310">
        <v>0</v>
      </c>
      <c r="K310">
        <v>0</v>
      </c>
      <c r="L310">
        <v>0</v>
      </c>
      <c r="M310">
        <v>0</v>
      </c>
      <c r="N310">
        <v>0</v>
      </c>
      <c r="O310">
        <v>0</v>
      </c>
      <c r="P310">
        <v>0</v>
      </c>
      <c r="Q310">
        <v>0</v>
      </c>
      <c r="R310">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c r="AP310">
        <v>0</v>
      </c>
      <c r="AQ310">
        <v>1</v>
      </c>
      <c r="AR310">
        <v>1</v>
      </c>
      <c r="AS310">
        <v>3</v>
      </c>
      <c r="AT310">
        <v>3</v>
      </c>
      <c r="AU310">
        <v>3</v>
      </c>
      <c r="AV310">
        <v>3</v>
      </c>
      <c r="AW310">
        <v>3</v>
      </c>
      <c r="AX310">
        <v>6</v>
      </c>
      <c r="AY310">
        <v>14</v>
      </c>
      <c r="AZ310">
        <v>14</v>
      </c>
      <c r="BA310">
        <v>14</v>
      </c>
      <c r="BB310">
        <v>19</v>
      </c>
      <c r="BC310">
        <v>24</v>
      </c>
      <c r="BD310">
        <v>30</v>
      </c>
      <c r="BE310">
        <v>36</v>
      </c>
      <c r="BF310">
        <v>36</v>
      </c>
      <c r="BG310">
        <v>39</v>
      </c>
      <c r="BH310">
        <v>66</v>
      </c>
      <c r="BI310">
        <v>75</v>
      </c>
      <c r="BJ310">
        <v>88</v>
      </c>
      <c r="BK310">
        <v>114</v>
      </c>
      <c r="BL310">
        <v>137</v>
      </c>
      <c r="BM310">
        <v>161</v>
      </c>
      <c r="BN310">
        <v>191</v>
      </c>
      <c r="BO310">
        <v>210</v>
      </c>
      <c r="BP310">
        <v>266</v>
      </c>
      <c r="BQ310">
        <v>316</v>
      </c>
      <c r="BR310">
        <v>416</v>
      </c>
      <c r="BS310">
        <v>479</v>
      </c>
      <c r="BT310">
        <v>548</v>
      </c>
      <c r="BU310">
        <v>606</v>
      </c>
      <c r="BV310">
        <v>690</v>
      </c>
      <c r="BW310">
        <v>736</v>
      </c>
      <c r="BX310">
        <v>826</v>
      </c>
      <c r="BY310">
        <v>899</v>
      </c>
      <c r="BZ310">
        <v>899</v>
      </c>
      <c r="CA310">
        <v>1068</v>
      </c>
      <c r="CB310">
        <v>1068</v>
      </c>
      <c r="CC310">
        <v>1132</v>
      </c>
      <c r="CD310">
        <v>1181</v>
      </c>
      <c r="CE310">
        <v>1321</v>
      </c>
      <c r="CF310">
        <v>1322</v>
      </c>
      <c r="CG310">
        <v>1371</v>
      </c>
      <c r="CH310">
        <v>1527</v>
      </c>
      <c r="CI310">
        <v>1584</v>
      </c>
      <c r="CJ310">
        <v>1633</v>
      </c>
      <c r="CK310">
        <v>1663</v>
      </c>
      <c r="CL310">
        <v>1736</v>
      </c>
      <c r="CM310">
        <v>1785</v>
      </c>
      <c r="CN310">
        <v>1844</v>
      </c>
      <c r="CO310">
        <v>1910</v>
      </c>
      <c r="CP310">
        <v>1957</v>
      </c>
      <c r="CQ310">
        <v>2004</v>
      </c>
      <c r="CR310">
        <v>2059</v>
      </c>
      <c r="CS310">
        <v>2127</v>
      </c>
      <c r="CT310">
        <v>2177</v>
      </c>
      <c r="CU310">
        <v>2253</v>
      </c>
      <c r="CV310">
        <v>2311</v>
      </c>
      <c r="CW310">
        <v>2354</v>
      </c>
      <c r="CX310">
        <v>2385</v>
      </c>
      <c r="CY310">
        <v>2446</v>
      </c>
      <c r="CZ310">
        <v>2510</v>
      </c>
      <c r="DA310">
        <v>2579</v>
      </c>
      <c r="DB310">
        <v>2635</v>
      </c>
    </row>
    <row r="311" spans="1:106" x14ac:dyDescent="0.25">
      <c r="A311" t="s">
        <v>2986</v>
      </c>
      <c r="B311" t="s">
        <v>37</v>
      </c>
      <c r="C311">
        <v>2734.8112497699994</v>
      </c>
      <c r="D311">
        <v>-5200.2262951800003</v>
      </c>
      <c r="E311">
        <v>0</v>
      </c>
      <c r="F311">
        <v>0</v>
      </c>
      <c r="G311">
        <v>0</v>
      </c>
      <c r="H311">
        <v>0</v>
      </c>
      <c r="I311">
        <v>0</v>
      </c>
      <c r="J311">
        <v>0</v>
      </c>
      <c r="K311">
        <v>0</v>
      </c>
      <c r="L311">
        <v>0</v>
      </c>
      <c r="M311">
        <v>0</v>
      </c>
      <c r="N311">
        <v>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2</v>
      </c>
      <c r="AX311">
        <v>2</v>
      </c>
      <c r="AY311">
        <v>6</v>
      </c>
      <c r="AZ311">
        <v>7</v>
      </c>
      <c r="BA311">
        <v>12</v>
      </c>
      <c r="BB311">
        <v>16</v>
      </c>
      <c r="BC311">
        <v>22</v>
      </c>
      <c r="BD311">
        <v>41</v>
      </c>
      <c r="BE311">
        <v>47</v>
      </c>
      <c r="BF311">
        <v>47</v>
      </c>
      <c r="BG311">
        <v>79</v>
      </c>
      <c r="BH311">
        <v>112</v>
      </c>
      <c r="BI311">
        <v>155</v>
      </c>
      <c r="BJ311">
        <v>206</v>
      </c>
      <c r="BK311">
        <v>311</v>
      </c>
      <c r="BL311">
        <v>399</v>
      </c>
      <c r="BM311">
        <v>509</v>
      </c>
      <c r="BN311">
        <v>698</v>
      </c>
      <c r="BO311">
        <v>946</v>
      </c>
      <c r="BP311">
        <v>1260</v>
      </c>
      <c r="BQ311">
        <v>1795</v>
      </c>
      <c r="BR311">
        <v>2345</v>
      </c>
      <c r="BS311">
        <v>2845</v>
      </c>
      <c r="BT311">
        <v>3432</v>
      </c>
      <c r="BU311">
        <v>4155</v>
      </c>
      <c r="BV311">
        <v>4963</v>
      </c>
      <c r="BW311">
        <v>6009</v>
      </c>
      <c r="BX311">
        <v>7268</v>
      </c>
      <c r="BY311">
        <v>8570</v>
      </c>
      <c r="BZ311">
        <v>10444</v>
      </c>
      <c r="CA311">
        <v>11589</v>
      </c>
      <c r="CB311">
        <v>13127</v>
      </c>
      <c r="CC311">
        <v>14853</v>
      </c>
      <c r="CD311">
        <v>16631</v>
      </c>
      <c r="CE311">
        <v>18300</v>
      </c>
      <c r="CF311">
        <v>20051</v>
      </c>
      <c r="CG311">
        <v>21719</v>
      </c>
      <c r="CH311">
        <v>22938</v>
      </c>
      <c r="CI311">
        <v>24292</v>
      </c>
      <c r="CJ311">
        <v>25465</v>
      </c>
      <c r="CK311">
        <v>26753</v>
      </c>
      <c r="CL311">
        <v>28258</v>
      </c>
      <c r="CM311">
        <v>29888</v>
      </c>
      <c r="CN311">
        <v>31652</v>
      </c>
      <c r="CO311">
        <v>32902</v>
      </c>
      <c r="CP311">
        <v>33914</v>
      </c>
      <c r="CQ311">
        <v>35249</v>
      </c>
      <c r="CR311">
        <v>36082</v>
      </c>
      <c r="CS311">
        <v>38379</v>
      </c>
      <c r="CT311">
        <v>40208</v>
      </c>
      <c r="CU311">
        <v>41153</v>
      </c>
      <c r="CV311">
        <v>42616</v>
      </c>
      <c r="CW311">
        <v>43558</v>
      </c>
      <c r="CX311">
        <v>45137</v>
      </c>
      <c r="CY311">
        <v>46327</v>
      </c>
      <c r="CZ311">
        <v>47971</v>
      </c>
      <c r="DA311">
        <v>49579</v>
      </c>
      <c r="DB311">
        <v>50494</v>
      </c>
    </row>
    <row r="312" spans="1:106" x14ac:dyDescent="0.25">
      <c r="A312" t="s">
        <v>2987</v>
      </c>
      <c r="B312" t="s">
        <v>37</v>
      </c>
      <c r="C312">
        <v>208.27571053</v>
      </c>
      <c r="D312">
        <v>-357.32052549000002</v>
      </c>
      <c r="E312">
        <v>0</v>
      </c>
      <c r="F312">
        <v>0</v>
      </c>
      <c r="G312">
        <v>0</v>
      </c>
      <c r="H312">
        <v>0</v>
      </c>
      <c r="I312">
        <v>0</v>
      </c>
      <c r="J312">
        <v>0</v>
      </c>
      <c r="K312">
        <v>0</v>
      </c>
      <c r="L312">
        <v>0</v>
      </c>
      <c r="M312">
        <v>0</v>
      </c>
      <c r="N312">
        <v>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c r="AP312">
        <v>0</v>
      </c>
      <c r="AQ312">
        <v>0</v>
      </c>
      <c r="AR312">
        <v>1</v>
      </c>
      <c r="AS312">
        <v>2</v>
      </c>
      <c r="AT312">
        <v>2</v>
      </c>
      <c r="AU312">
        <v>2</v>
      </c>
      <c r="AV312">
        <v>2</v>
      </c>
      <c r="AW312">
        <v>2</v>
      </c>
      <c r="AX312">
        <v>3</v>
      </c>
      <c r="AY312">
        <v>3</v>
      </c>
      <c r="AZ312">
        <v>3</v>
      </c>
      <c r="BA312">
        <v>3</v>
      </c>
      <c r="BB312">
        <v>5</v>
      </c>
      <c r="BC312">
        <v>3</v>
      </c>
      <c r="BD312">
        <v>12</v>
      </c>
      <c r="BE312">
        <v>20</v>
      </c>
      <c r="BF312">
        <v>20</v>
      </c>
      <c r="BG312">
        <v>21</v>
      </c>
      <c r="BH312">
        <v>23</v>
      </c>
      <c r="BI312">
        <v>33</v>
      </c>
      <c r="BJ312">
        <v>44</v>
      </c>
      <c r="BK312">
        <v>54</v>
      </c>
      <c r="BL312">
        <v>66</v>
      </c>
      <c r="BM312">
        <v>83</v>
      </c>
      <c r="BN312">
        <v>106</v>
      </c>
      <c r="BO312">
        <v>124</v>
      </c>
      <c r="BP312">
        <v>132</v>
      </c>
      <c r="BQ312">
        <v>165</v>
      </c>
      <c r="BR312">
        <v>203</v>
      </c>
      <c r="BS312">
        <v>239</v>
      </c>
      <c r="BT312">
        <v>294</v>
      </c>
      <c r="BU312">
        <v>408</v>
      </c>
      <c r="BV312">
        <v>488</v>
      </c>
      <c r="BW312">
        <v>566</v>
      </c>
      <c r="BX312">
        <v>645</v>
      </c>
      <c r="BY312">
        <v>711</v>
      </c>
      <c r="BZ312">
        <v>806</v>
      </c>
      <c r="CA312">
        <v>922</v>
      </c>
      <c r="CB312">
        <v>1082</v>
      </c>
      <c r="CC312">
        <v>1229</v>
      </c>
      <c r="CD312">
        <v>1450</v>
      </c>
      <c r="CE312">
        <v>1727</v>
      </c>
      <c r="CF312">
        <v>1727</v>
      </c>
      <c r="CG312">
        <v>2349</v>
      </c>
      <c r="CH312">
        <v>2665</v>
      </c>
      <c r="CI312">
        <v>2665</v>
      </c>
      <c r="CJ312">
        <v>3251</v>
      </c>
      <c r="CK312">
        <v>3251</v>
      </c>
      <c r="CL312">
        <v>3529</v>
      </c>
      <c r="CM312">
        <v>4177</v>
      </c>
      <c r="CN312">
        <v>4491</v>
      </c>
      <c r="CO312">
        <v>4706</v>
      </c>
      <c r="CP312">
        <v>5090</v>
      </c>
      <c r="CQ312">
        <v>5500</v>
      </c>
      <c r="CR312">
        <v>5841</v>
      </c>
      <c r="CS312">
        <v>6256</v>
      </c>
      <c r="CT312">
        <v>6699</v>
      </c>
      <c r="CU312">
        <v>7129</v>
      </c>
      <c r="CV312">
        <v>7439</v>
      </c>
      <c r="CW312">
        <v>7708</v>
      </c>
      <c r="CX312">
        <v>7927</v>
      </c>
      <c r="CY312">
        <v>8247</v>
      </c>
      <c r="CZ312">
        <v>8621</v>
      </c>
      <c r="DA312">
        <v>8962</v>
      </c>
      <c r="DB312">
        <v>9289</v>
      </c>
    </row>
    <row r="313" spans="1:106" x14ac:dyDescent="0.25">
      <c r="A313" t="s">
        <v>2988</v>
      </c>
      <c r="B313" t="s">
        <v>37</v>
      </c>
      <c r="C313">
        <v>1562.0437180300005</v>
      </c>
      <c r="D313">
        <v>-3725.2363858399995</v>
      </c>
      <c r="E313">
        <v>0</v>
      </c>
      <c r="F313">
        <v>0</v>
      </c>
      <c r="G313">
        <v>0</v>
      </c>
      <c r="H313">
        <v>0</v>
      </c>
      <c r="I313">
        <v>0</v>
      </c>
      <c r="J313">
        <v>0</v>
      </c>
      <c r="K313">
        <v>0</v>
      </c>
      <c r="L313">
        <v>0</v>
      </c>
      <c r="M313">
        <v>0</v>
      </c>
      <c r="N313">
        <v>0</v>
      </c>
      <c r="O313">
        <v>0</v>
      </c>
      <c r="P313">
        <v>0</v>
      </c>
      <c r="Q313">
        <v>0</v>
      </c>
      <c r="R313">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2</v>
      </c>
      <c r="AY313">
        <v>2</v>
      </c>
      <c r="AZ313">
        <v>3</v>
      </c>
      <c r="BA313">
        <v>7</v>
      </c>
      <c r="BB313">
        <v>10</v>
      </c>
      <c r="BC313">
        <v>7</v>
      </c>
      <c r="BD313">
        <v>8</v>
      </c>
      <c r="BE313">
        <v>19</v>
      </c>
      <c r="BF313">
        <v>19</v>
      </c>
      <c r="BG313">
        <v>30</v>
      </c>
      <c r="BH313">
        <v>47</v>
      </c>
      <c r="BI313">
        <v>60</v>
      </c>
      <c r="BJ313">
        <v>80</v>
      </c>
      <c r="BK313">
        <v>126</v>
      </c>
      <c r="BL313">
        <v>174</v>
      </c>
      <c r="BM313">
        <v>196</v>
      </c>
      <c r="BN313">
        <v>298</v>
      </c>
      <c r="BO313">
        <v>342</v>
      </c>
      <c r="BP313">
        <v>424</v>
      </c>
      <c r="BQ313">
        <v>424</v>
      </c>
      <c r="BR313">
        <v>542</v>
      </c>
      <c r="BS313">
        <v>660</v>
      </c>
      <c r="BT313">
        <v>774</v>
      </c>
      <c r="BU313">
        <v>925</v>
      </c>
      <c r="BV313">
        <v>1083</v>
      </c>
      <c r="BW313">
        <v>1293</v>
      </c>
      <c r="BX313">
        <v>1554</v>
      </c>
      <c r="BY313">
        <v>1700</v>
      </c>
      <c r="BZ313">
        <v>1917</v>
      </c>
      <c r="CA313">
        <v>2049</v>
      </c>
      <c r="CB313">
        <v>2232</v>
      </c>
      <c r="CC313">
        <v>2417</v>
      </c>
      <c r="CD313">
        <v>2417</v>
      </c>
      <c r="CE313">
        <v>2793</v>
      </c>
      <c r="CF313">
        <v>3067</v>
      </c>
      <c r="CG313">
        <v>3211</v>
      </c>
      <c r="CH313">
        <v>3320</v>
      </c>
      <c r="CI313">
        <v>3391</v>
      </c>
      <c r="CJ313">
        <v>3553</v>
      </c>
      <c r="CK313">
        <v>3656</v>
      </c>
      <c r="CL313">
        <v>3931</v>
      </c>
      <c r="CM313">
        <v>4099</v>
      </c>
      <c r="CN313">
        <v>4248</v>
      </c>
      <c r="CO313">
        <v>4377</v>
      </c>
      <c r="CP313">
        <v>4446</v>
      </c>
      <c r="CQ313">
        <v>4439</v>
      </c>
      <c r="CR313">
        <v>4761</v>
      </c>
      <c r="CS313">
        <v>4917</v>
      </c>
      <c r="CT313">
        <v>5070</v>
      </c>
      <c r="CU313">
        <v>5253</v>
      </c>
      <c r="CV313">
        <v>5498</v>
      </c>
      <c r="CW313">
        <v>5613</v>
      </c>
      <c r="CX313">
        <v>5735</v>
      </c>
      <c r="CY313">
        <v>5882</v>
      </c>
      <c r="CZ313">
        <v>6095</v>
      </c>
      <c r="DA313">
        <v>6258</v>
      </c>
      <c r="DB313">
        <v>6489</v>
      </c>
    </row>
    <row r="314" spans="1:106" x14ac:dyDescent="0.25">
      <c r="A314" t="s">
        <v>2989</v>
      </c>
      <c r="B314" t="s">
        <v>37</v>
      </c>
      <c r="C314">
        <v>2921.9978651999995</v>
      </c>
      <c r="D314">
        <v>-6554.5019881099997</v>
      </c>
      <c r="E314">
        <v>0</v>
      </c>
      <c r="F314">
        <v>0</v>
      </c>
      <c r="G314">
        <v>0</v>
      </c>
      <c r="H314">
        <v>0</v>
      </c>
      <c r="I314">
        <v>0</v>
      </c>
      <c r="J314">
        <v>0</v>
      </c>
      <c r="K314">
        <v>0</v>
      </c>
      <c r="L314">
        <v>0</v>
      </c>
      <c r="M314">
        <v>0</v>
      </c>
      <c r="N314">
        <v>0</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v>0</v>
      </c>
      <c r="AZ314">
        <v>0</v>
      </c>
      <c r="BA314">
        <v>0</v>
      </c>
      <c r="BB314">
        <v>8</v>
      </c>
      <c r="BC314">
        <v>7</v>
      </c>
      <c r="BD314">
        <v>8</v>
      </c>
      <c r="BE314">
        <v>8</v>
      </c>
      <c r="BF314">
        <v>8</v>
      </c>
      <c r="BG314">
        <v>10</v>
      </c>
      <c r="BH314">
        <v>11</v>
      </c>
      <c r="BI314">
        <v>11</v>
      </c>
      <c r="BJ314">
        <v>14</v>
      </c>
      <c r="BK314">
        <v>14</v>
      </c>
      <c r="BL314">
        <v>14</v>
      </c>
      <c r="BM314">
        <v>21</v>
      </c>
      <c r="BN314">
        <v>28</v>
      </c>
      <c r="BO314">
        <v>30</v>
      </c>
      <c r="BP314">
        <v>41</v>
      </c>
      <c r="BQ314">
        <v>46</v>
      </c>
      <c r="BR314">
        <v>58</v>
      </c>
      <c r="BS314">
        <v>68</v>
      </c>
      <c r="BT314">
        <v>90</v>
      </c>
      <c r="BU314">
        <v>101</v>
      </c>
      <c r="BV314">
        <v>108</v>
      </c>
      <c r="BW314">
        <v>129</v>
      </c>
      <c r="BX314">
        <v>165</v>
      </c>
      <c r="BY314">
        <v>187</v>
      </c>
      <c r="BZ314">
        <v>212</v>
      </c>
      <c r="CA314">
        <v>240</v>
      </c>
      <c r="CB314">
        <v>288</v>
      </c>
      <c r="CC314">
        <v>320</v>
      </c>
      <c r="CD314">
        <v>393</v>
      </c>
      <c r="CE314">
        <v>447</v>
      </c>
      <c r="CF314">
        <v>536</v>
      </c>
      <c r="CG314">
        <v>626</v>
      </c>
      <c r="CH314">
        <v>730</v>
      </c>
      <c r="CI314">
        <v>868</v>
      </c>
      <c r="CJ314">
        <v>988</v>
      </c>
      <c r="CK314">
        <v>1168</v>
      </c>
      <c r="CL314">
        <v>1311</v>
      </c>
      <c r="CM314">
        <v>1411</v>
      </c>
      <c r="CN314">
        <v>1542</v>
      </c>
      <c r="CO314">
        <v>1635</v>
      </c>
      <c r="CP314">
        <v>1685</v>
      </c>
      <c r="CQ314">
        <v>1755</v>
      </c>
      <c r="CR314">
        <v>1858</v>
      </c>
      <c r="CS314">
        <v>1956</v>
      </c>
      <c r="CT314">
        <v>2040</v>
      </c>
      <c r="CU314">
        <v>2147</v>
      </c>
      <c r="CV314">
        <v>2212</v>
      </c>
      <c r="CW314">
        <v>2244</v>
      </c>
      <c r="CX314">
        <v>2313</v>
      </c>
      <c r="CY314">
        <v>2373</v>
      </c>
      <c r="CZ314">
        <v>2449</v>
      </c>
      <c r="DA314">
        <v>2525</v>
      </c>
      <c r="DB314">
        <v>2588</v>
      </c>
    </row>
    <row r="315" spans="1:106" x14ac:dyDescent="0.25">
      <c r="A315" t="s">
        <v>2990</v>
      </c>
      <c r="B315" t="s">
        <v>37</v>
      </c>
      <c r="C315">
        <v>3409.0847101599993</v>
      </c>
      <c r="D315">
        <v>-8180.3286839199982</v>
      </c>
      <c r="E315">
        <v>0</v>
      </c>
      <c r="F315">
        <v>0</v>
      </c>
      <c r="G315">
        <v>0</v>
      </c>
      <c r="H315">
        <v>0</v>
      </c>
      <c r="I315">
        <v>0</v>
      </c>
      <c r="J315">
        <v>0</v>
      </c>
      <c r="K315">
        <v>0</v>
      </c>
      <c r="L315">
        <v>0</v>
      </c>
      <c r="M315">
        <v>0</v>
      </c>
      <c r="N315">
        <v>0</v>
      </c>
      <c r="O315">
        <v>0</v>
      </c>
      <c r="P315">
        <v>0</v>
      </c>
      <c r="Q315">
        <v>0</v>
      </c>
      <c r="R31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1</v>
      </c>
      <c r="AW315">
        <v>1</v>
      </c>
      <c r="AX315">
        <v>1</v>
      </c>
      <c r="AY315">
        <v>3</v>
      </c>
      <c r="AZ315">
        <v>3</v>
      </c>
      <c r="BA315">
        <v>3</v>
      </c>
      <c r="BB315">
        <v>9</v>
      </c>
      <c r="BC315">
        <v>18</v>
      </c>
      <c r="BD315">
        <v>26</v>
      </c>
      <c r="BE315">
        <v>32</v>
      </c>
      <c r="BF315">
        <v>32</v>
      </c>
      <c r="BG315">
        <v>52</v>
      </c>
      <c r="BH315">
        <v>74</v>
      </c>
      <c r="BI315">
        <v>100</v>
      </c>
      <c r="BJ315">
        <v>154</v>
      </c>
      <c r="BK315">
        <v>223</v>
      </c>
      <c r="BL315">
        <v>304</v>
      </c>
      <c r="BM315">
        <v>393</v>
      </c>
      <c r="BN315">
        <v>614</v>
      </c>
      <c r="BO315">
        <v>772</v>
      </c>
      <c r="BP315">
        <v>916</v>
      </c>
      <c r="BQ315">
        <v>1097</v>
      </c>
      <c r="BR315">
        <v>1318</v>
      </c>
      <c r="BS315">
        <v>1511</v>
      </c>
      <c r="BT315">
        <v>1720</v>
      </c>
      <c r="BU315">
        <v>1917</v>
      </c>
      <c r="BV315">
        <v>2391</v>
      </c>
      <c r="BW315">
        <v>2933</v>
      </c>
      <c r="BX315">
        <v>3013</v>
      </c>
      <c r="BY315">
        <v>3067</v>
      </c>
      <c r="BZ315">
        <v>3322</v>
      </c>
      <c r="CA315">
        <v>3633</v>
      </c>
      <c r="CB315">
        <v>3802</v>
      </c>
      <c r="CC315">
        <v>4139</v>
      </c>
      <c r="CD315">
        <v>4363</v>
      </c>
      <c r="CE315">
        <v>4634</v>
      </c>
      <c r="CF315">
        <v>4891</v>
      </c>
      <c r="CG315">
        <v>5132</v>
      </c>
      <c r="CH315">
        <v>5508</v>
      </c>
      <c r="CI315">
        <v>5610</v>
      </c>
      <c r="CJ315">
        <v>5827</v>
      </c>
      <c r="CK315">
        <v>5827</v>
      </c>
      <c r="CL315">
        <v>6166</v>
      </c>
      <c r="CM315">
        <v>6263</v>
      </c>
      <c r="CN315">
        <v>6589</v>
      </c>
      <c r="CO315">
        <v>7070</v>
      </c>
      <c r="CP315">
        <v>7238</v>
      </c>
      <c r="CQ315">
        <v>7394</v>
      </c>
      <c r="CR315">
        <v>7394</v>
      </c>
      <c r="CS315">
        <v>8266</v>
      </c>
      <c r="CT315">
        <v>8728</v>
      </c>
      <c r="CU315">
        <v>9189</v>
      </c>
      <c r="CV315">
        <v>9667</v>
      </c>
      <c r="CW315">
        <v>9918</v>
      </c>
      <c r="CX315">
        <v>10052</v>
      </c>
      <c r="CY315">
        <v>10366</v>
      </c>
      <c r="CZ315">
        <v>10735</v>
      </c>
      <c r="DA315">
        <v>11891</v>
      </c>
      <c r="DB315">
        <v>12661</v>
      </c>
    </row>
    <row r="316" spans="1:106" x14ac:dyDescent="0.25">
      <c r="A316" t="s">
        <v>2991</v>
      </c>
      <c r="B316" t="s">
        <v>37</v>
      </c>
      <c r="C316">
        <v>8041.8034343399986</v>
      </c>
      <c r="D316">
        <v>-25057.879425249983</v>
      </c>
      <c r="E316">
        <v>0</v>
      </c>
      <c r="F316">
        <v>0</v>
      </c>
      <c r="G316">
        <v>0</v>
      </c>
      <c r="H316">
        <v>0</v>
      </c>
      <c r="I316">
        <v>0</v>
      </c>
      <c r="J316">
        <v>0</v>
      </c>
      <c r="K316">
        <v>0</v>
      </c>
      <c r="L316">
        <v>0</v>
      </c>
      <c r="M316">
        <v>0</v>
      </c>
      <c r="N316">
        <v>0</v>
      </c>
      <c r="O316">
        <v>0</v>
      </c>
      <c r="P316">
        <v>0</v>
      </c>
      <c r="Q316">
        <v>0</v>
      </c>
      <c r="R316">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3</v>
      </c>
      <c r="AW316">
        <v>4</v>
      </c>
      <c r="AX316">
        <v>8</v>
      </c>
      <c r="AY316">
        <v>11</v>
      </c>
      <c r="AZ316">
        <v>13</v>
      </c>
      <c r="BA316">
        <v>16</v>
      </c>
      <c r="BB316">
        <v>21</v>
      </c>
      <c r="BC316">
        <v>27</v>
      </c>
      <c r="BD316">
        <v>44</v>
      </c>
      <c r="BE316">
        <v>60</v>
      </c>
      <c r="BF316">
        <v>63</v>
      </c>
      <c r="BG316">
        <v>85</v>
      </c>
      <c r="BH316">
        <v>110</v>
      </c>
      <c r="BI316">
        <v>196</v>
      </c>
      <c r="BJ316">
        <v>306</v>
      </c>
      <c r="BK316">
        <v>429</v>
      </c>
      <c r="BL316">
        <v>582</v>
      </c>
      <c r="BM316">
        <v>643</v>
      </c>
      <c r="BN316">
        <v>758</v>
      </c>
      <c r="BO316">
        <v>955</v>
      </c>
      <c r="BP316">
        <v>1229</v>
      </c>
      <c r="BQ316">
        <v>1563</v>
      </c>
      <c r="BR316">
        <v>1937</v>
      </c>
      <c r="BS316">
        <v>2455</v>
      </c>
      <c r="BT316">
        <v>2792</v>
      </c>
      <c r="BU316">
        <v>3147</v>
      </c>
      <c r="BV316">
        <v>3809</v>
      </c>
      <c r="BW316">
        <v>4355</v>
      </c>
      <c r="BX316">
        <v>5069</v>
      </c>
      <c r="BY316">
        <v>5734</v>
      </c>
      <c r="BZ316">
        <v>6567</v>
      </c>
      <c r="CA316">
        <v>7209</v>
      </c>
      <c r="CB316">
        <v>8043</v>
      </c>
      <c r="CC316">
        <v>8925</v>
      </c>
      <c r="CD316">
        <v>9777</v>
      </c>
      <c r="CE316">
        <v>11208</v>
      </c>
      <c r="CF316">
        <v>12105</v>
      </c>
      <c r="CG316">
        <v>13023</v>
      </c>
      <c r="CH316">
        <v>13677</v>
      </c>
      <c r="CI316">
        <v>14275</v>
      </c>
      <c r="CJ316">
        <v>15006</v>
      </c>
      <c r="CK316">
        <v>15907</v>
      </c>
      <c r="CL316">
        <v>16876</v>
      </c>
      <c r="CM316">
        <v>17849</v>
      </c>
      <c r="CN316">
        <v>18704</v>
      </c>
      <c r="CO316">
        <v>19260</v>
      </c>
      <c r="CP316">
        <v>19751</v>
      </c>
      <c r="CQ316">
        <v>20574</v>
      </c>
      <c r="CR316">
        <v>21321</v>
      </c>
      <c r="CS316">
        <v>22650</v>
      </c>
      <c r="CT316">
        <v>23642</v>
      </c>
      <c r="CU316">
        <v>24153</v>
      </c>
      <c r="CV316">
        <v>24967</v>
      </c>
      <c r="CW316">
        <v>25321</v>
      </c>
      <c r="CX316">
        <v>26357</v>
      </c>
      <c r="CY316">
        <v>27257</v>
      </c>
      <c r="CZ316">
        <v>28727</v>
      </c>
      <c r="DA316">
        <v>29692</v>
      </c>
      <c r="DB316">
        <v>30917</v>
      </c>
    </row>
    <row r="317" spans="1:106" x14ac:dyDescent="0.25">
      <c r="A317" t="s">
        <v>2992</v>
      </c>
      <c r="B317" t="s">
        <v>37</v>
      </c>
      <c r="C317">
        <v>1388.55098628</v>
      </c>
      <c r="D317">
        <v>-3904.519943400001</v>
      </c>
      <c r="E317">
        <v>0</v>
      </c>
      <c r="F317">
        <v>0</v>
      </c>
      <c r="G317">
        <v>0</v>
      </c>
      <c r="H317">
        <v>0</v>
      </c>
      <c r="I317">
        <v>0</v>
      </c>
      <c r="J317">
        <v>0</v>
      </c>
      <c r="K317">
        <v>0</v>
      </c>
      <c r="L317">
        <v>0</v>
      </c>
      <c r="M317">
        <v>0</v>
      </c>
      <c r="N317">
        <v>0</v>
      </c>
      <c r="O317">
        <v>0</v>
      </c>
      <c r="P317">
        <v>0</v>
      </c>
      <c r="Q317">
        <v>0</v>
      </c>
      <c r="R317">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1</v>
      </c>
      <c r="AY317">
        <v>1</v>
      </c>
      <c r="AZ317">
        <v>1</v>
      </c>
      <c r="BA317">
        <v>2</v>
      </c>
      <c r="BB317">
        <v>3</v>
      </c>
      <c r="BC317">
        <v>3</v>
      </c>
      <c r="BD317">
        <v>9</v>
      </c>
      <c r="BE317">
        <v>10</v>
      </c>
      <c r="BF317">
        <v>18</v>
      </c>
      <c r="BG317">
        <v>28</v>
      </c>
      <c r="BH317">
        <v>39</v>
      </c>
      <c r="BI317">
        <v>47</v>
      </c>
      <c r="BJ317">
        <v>62</v>
      </c>
      <c r="BK317">
        <v>95</v>
      </c>
      <c r="BL317">
        <v>118</v>
      </c>
      <c r="BM317">
        <v>162</v>
      </c>
      <c r="BN317">
        <v>257</v>
      </c>
      <c r="BO317">
        <v>298</v>
      </c>
      <c r="BP317">
        <v>340</v>
      </c>
      <c r="BQ317">
        <v>396</v>
      </c>
      <c r="BR317">
        <v>472</v>
      </c>
      <c r="BS317">
        <v>602</v>
      </c>
      <c r="BT317">
        <v>720</v>
      </c>
      <c r="BU317">
        <v>798</v>
      </c>
      <c r="BV317">
        <v>888</v>
      </c>
      <c r="BW317">
        <v>888</v>
      </c>
      <c r="BX317">
        <v>1086</v>
      </c>
      <c r="BY317">
        <v>1248</v>
      </c>
      <c r="BZ317">
        <v>1428</v>
      </c>
      <c r="CA317">
        <v>1601</v>
      </c>
      <c r="CB317">
        <v>1678</v>
      </c>
      <c r="CC317">
        <v>1739</v>
      </c>
      <c r="CD317">
        <v>1848</v>
      </c>
      <c r="CE317">
        <v>1856</v>
      </c>
      <c r="CF317">
        <v>2103</v>
      </c>
      <c r="CG317">
        <v>2207</v>
      </c>
      <c r="CH317">
        <v>2303</v>
      </c>
      <c r="CI317">
        <v>2363</v>
      </c>
      <c r="CJ317">
        <v>2417</v>
      </c>
      <c r="CK317">
        <v>2548</v>
      </c>
      <c r="CL317">
        <v>2683</v>
      </c>
      <c r="CM317">
        <v>2793</v>
      </c>
      <c r="CN317">
        <v>2917</v>
      </c>
      <c r="CO317">
        <v>3069</v>
      </c>
      <c r="CP317">
        <v>3213</v>
      </c>
      <c r="CQ317">
        <v>3297</v>
      </c>
      <c r="CR317">
        <v>3445</v>
      </c>
      <c r="CS317">
        <v>3612</v>
      </c>
      <c r="CT317">
        <v>3782</v>
      </c>
      <c r="CU317">
        <v>3948</v>
      </c>
      <c r="CV317">
        <v>4123</v>
      </c>
      <c r="CW317">
        <v>4236</v>
      </c>
      <c r="CX317">
        <v>4345</v>
      </c>
      <c r="CY317">
        <v>4497</v>
      </c>
      <c r="CZ317">
        <v>4672</v>
      </c>
      <c r="DA317">
        <v>4828</v>
      </c>
      <c r="DB317">
        <v>4985</v>
      </c>
    </row>
    <row r="318" spans="1:106" x14ac:dyDescent="0.25">
      <c r="A318" t="s">
        <v>2993</v>
      </c>
      <c r="B318" t="s">
        <v>37</v>
      </c>
      <c r="C318">
        <v>618.23294118000013</v>
      </c>
      <c r="D318">
        <v>-1017.58132988</v>
      </c>
      <c r="E318">
        <v>0</v>
      </c>
      <c r="F318">
        <v>0</v>
      </c>
      <c r="G318">
        <v>0</v>
      </c>
      <c r="H318">
        <v>0</v>
      </c>
      <c r="I318">
        <v>0</v>
      </c>
      <c r="J318">
        <v>0</v>
      </c>
      <c r="K318">
        <v>0</v>
      </c>
      <c r="L318">
        <v>0</v>
      </c>
      <c r="M318">
        <v>0</v>
      </c>
      <c r="N318">
        <v>0</v>
      </c>
      <c r="O318">
        <v>0</v>
      </c>
      <c r="P318">
        <v>0</v>
      </c>
      <c r="Q318">
        <v>0</v>
      </c>
      <c r="R318">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c r="AP318">
        <v>0</v>
      </c>
      <c r="AQ318">
        <v>0</v>
      </c>
      <c r="AR318">
        <v>0</v>
      </c>
      <c r="AS318">
        <v>0</v>
      </c>
      <c r="AT318">
        <v>0</v>
      </c>
      <c r="AU318">
        <v>0</v>
      </c>
      <c r="AV318">
        <v>0</v>
      </c>
      <c r="AW318">
        <v>0</v>
      </c>
      <c r="AX318">
        <v>0</v>
      </c>
      <c r="AY318">
        <v>1</v>
      </c>
      <c r="AZ318">
        <v>1</v>
      </c>
      <c r="BA318">
        <v>1</v>
      </c>
      <c r="BB318">
        <v>1</v>
      </c>
      <c r="BC318">
        <v>2</v>
      </c>
      <c r="BD318">
        <v>2</v>
      </c>
      <c r="BE318">
        <v>5</v>
      </c>
      <c r="BF318">
        <v>5</v>
      </c>
      <c r="BG318">
        <v>12</v>
      </c>
      <c r="BH318">
        <v>12</v>
      </c>
      <c r="BI318">
        <v>13</v>
      </c>
      <c r="BJ318">
        <v>22</v>
      </c>
      <c r="BK318">
        <v>29</v>
      </c>
      <c r="BL318">
        <v>49</v>
      </c>
      <c r="BM318">
        <v>52</v>
      </c>
      <c r="BN318">
        <v>75</v>
      </c>
      <c r="BO318">
        <v>95</v>
      </c>
      <c r="BP318">
        <v>125</v>
      </c>
      <c r="BQ318">
        <v>158</v>
      </c>
      <c r="BR318">
        <v>184</v>
      </c>
      <c r="BS318">
        <v>211</v>
      </c>
      <c r="BT318">
        <v>235</v>
      </c>
      <c r="BU318">
        <v>256</v>
      </c>
      <c r="BV318">
        <v>293</v>
      </c>
      <c r="BW318">
        <v>321</v>
      </c>
      <c r="BX318">
        <v>338</v>
      </c>
      <c r="BY318">
        <v>389</v>
      </c>
      <c r="BZ318">
        <v>461</v>
      </c>
      <c r="CA318">
        <v>512</v>
      </c>
      <c r="CB318">
        <v>543</v>
      </c>
      <c r="CC318">
        <v>575</v>
      </c>
      <c r="CD318">
        <v>605</v>
      </c>
      <c r="CE318">
        <v>628</v>
      </c>
      <c r="CF318">
        <v>679</v>
      </c>
      <c r="CG318">
        <v>711</v>
      </c>
      <c r="CH318">
        <v>727</v>
      </c>
      <c r="CI318">
        <v>748</v>
      </c>
      <c r="CJ318">
        <v>752</v>
      </c>
      <c r="CK318">
        <v>759</v>
      </c>
      <c r="CL318">
        <v>774</v>
      </c>
      <c r="CM318">
        <v>779</v>
      </c>
      <c r="CN318">
        <v>803</v>
      </c>
      <c r="CO318">
        <v>813</v>
      </c>
      <c r="CP318">
        <v>816</v>
      </c>
      <c r="CQ318">
        <v>818</v>
      </c>
      <c r="CR318">
        <v>823</v>
      </c>
      <c r="CS318">
        <v>825</v>
      </c>
      <c r="CT318">
        <v>827</v>
      </c>
      <c r="CU318">
        <v>843</v>
      </c>
      <c r="CV318">
        <v>851</v>
      </c>
      <c r="CW318">
        <v>855</v>
      </c>
      <c r="CX318">
        <v>862</v>
      </c>
      <c r="CY318">
        <v>862</v>
      </c>
      <c r="CZ318">
        <v>866</v>
      </c>
      <c r="DA318">
        <v>879</v>
      </c>
      <c r="DB318">
        <v>886</v>
      </c>
    </row>
    <row r="319" spans="1:106" x14ac:dyDescent="0.25">
      <c r="A319" t="s">
        <v>2994</v>
      </c>
      <c r="B319" t="s">
        <v>37</v>
      </c>
      <c r="C319">
        <v>4996.2979932599992</v>
      </c>
      <c r="D319">
        <v>-10442.323660759994</v>
      </c>
      <c r="E319">
        <v>0</v>
      </c>
      <c r="F319">
        <v>0</v>
      </c>
      <c r="G319">
        <v>0</v>
      </c>
      <c r="H319">
        <v>0</v>
      </c>
      <c r="I319">
        <v>0</v>
      </c>
      <c r="J319">
        <v>0</v>
      </c>
      <c r="K319">
        <v>0</v>
      </c>
      <c r="L319">
        <v>0</v>
      </c>
      <c r="M319">
        <v>0</v>
      </c>
      <c r="N319">
        <v>0</v>
      </c>
      <c r="O319">
        <v>0</v>
      </c>
      <c r="P319">
        <v>0</v>
      </c>
      <c r="Q319">
        <v>0</v>
      </c>
      <c r="R319">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v>2</v>
      </c>
      <c r="AZ319">
        <v>2</v>
      </c>
      <c r="BA319">
        <v>8</v>
      </c>
      <c r="BB319">
        <v>9</v>
      </c>
      <c r="BC319">
        <v>12</v>
      </c>
      <c r="BD319">
        <v>27</v>
      </c>
      <c r="BE319">
        <v>37</v>
      </c>
      <c r="BF319">
        <v>37</v>
      </c>
      <c r="BG319">
        <v>49</v>
      </c>
      <c r="BH319">
        <v>67</v>
      </c>
      <c r="BI319">
        <v>79</v>
      </c>
      <c r="BJ319">
        <v>103</v>
      </c>
      <c r="BK319">
        <v>123</v>
      </c>
      <c r="BL319">
        <v>157</v>
      </c>
      <c r="BM319">
        <v>220</v>
      </c>
      <c r="BN319">
        <v>254</v>
      </c>
      <c r="BO319">
        <v>293</v>
      </c>
      <c r="BP319">
        <v>396</v>
      </c>
      <c r="BQ319">
        <v>466</v>
      </c>
      <c r="BR319">
        <v>607</v>
      </c>
      <c r="BS319">
        <v>740</v>
      </c>
      <c r="BT319">
        <v>890</v>
      </c>
      <c r="BU319">
        <v>1020</v>
      </c>
      <c r="BV319">
        <v>1249</v>
      </c>
      <c r="BW319">
        <v>1483</v>
      </c>
      <c r="BX319">
        <v>1706</v>
      </c>
      <c r="BY319">
        <v>2012</v>
      </c>
      <c r="BZ319">
        <v>2407</v>
      </c>
      <c r="CA319">
        <v>2640</v>
      </c>
      <c r="CB319">
        <v>2878</v>
      </c>
      <c r="CC319">
        <v>3335</v>
      </c>
      <c r="CD319">
        <v>3645</v>
      </c>
      <c r="CE319">
        <v>4042</v>
      </c>
      <c r="CF319">
        <v>4509</v>
      </c>
      <c r="CG319">
        <v>5077</v>
      </c>
      <c r="CH319">
        <v>5274</v>
      </c>
      <c r="CI319">
        <v>5747</v>
      </c>
      <c r="CJ319">
        <v>6182</v>
      </c>
      <c r="CK319">
        <v>6500</v>
      </c>
      <c r="CL319">
        <v>6889</v>
      </c>
      <c r="CM319">
        <v>7491</v>
      </c>
      <c r="CN319">
        <v>8053</v>
      </c>
      <c r="CO319">
        <v>8542</v>
      </c>
      <c r="CP319">
        <v>8990</v>
      </c>
      <c r="CQ319">
        <v>9630</v>
      </c>
      <c r="CR319">
        <v>10266</v>
      </c>
      <c r="CS319">
        <v>10998</v>
      </c>
      <c r="CT319">
        <v>11594</v>
      </c>
      <c r="CU319">
        <v>12366</v>
      </c>
      <c r="CV319">
        <v>12970</v>
      </c>
      <c r="CW319">
        <v>13538</v>
      </c>
      <c r="CX319">
        <v>14339</v>
      </c>
      <c r="CY319">
        <v>14962</v>
      </c>
      <c r="CZ319">
        <v>15847</v>
      </c>
      <c r="DA319">
        <v>16902</v>
      </c>
      <c r="DB319">
        <v>17738</v>
      </c>
    </row>
    <row r="320" spans="1:106" x14ac:dyDescent="0.25">
      <c r="A320" t="s">
        <v>2995</v>
      </c>
      <c r="B320" t="s">
        <v>37</v>
      </c>
      <c r="C320">
        <v>1842.1176703799999</v>
      </c>
      <c r="D320">
        <v>-4708.0495962000014</v>
      </c>
      <c r="E320">
        <v>1</v>
      </c>
      <c r="F320">
        <v>1</v>
      </c>
      <c r="G320">
        <v>1</v>
      </c>
      <c r="H320">
        <v>1</v>
      </c>
      <c r="I320">
        <v>1</v>
      </c>
      <c r="J320">
        <v>1</v>
      </c>
      <c r="K320">
        <v>1</v>
      </c>
      <c r="L320">
        <v>1</v>
      </c>
      <c r="M320">
        <v>1</v>
      </c>
      <c r="N320">
        <v>1</v>
      </c>
      <c r="O320">
        <v>1</v>
      </c>
      <c r="P320">
        <v>1</v>
      </c>
      <c r="Q320">
        <v>1</v>
      </c>
      <c r="R320">
        <v>1</v>
      </c>
      <c r="S320">
        <v>1</v>
      </c>
      <c r="T320">
        <v>1</v>
      </c>
      <c r="U320">
        <v>1</v>
      </c>
      <c r="V320">
        <v>1</v>
      </c>
      <c r="W320">
        <v>1</v>
      </c>
      <c r="X320">
        <v>1</v>
      </c>
      <c r="Y320">
        <v>1</v>
      </c>
      <c r="Z320">
        <v>1</v>
      </c>
      <c r="AA320">
        <v>1</v>
      </c>
      <c r="AB320">
        <v>1</v>
      </c>
      <c r="AC320">
        <v>1</v>
      </c>
      <c r="AD320">
        <v>1</v>
      </c>
      <c r="AE320">
        <v>1</v>
      </c>
      <c r="AF320">
        <v>1</v>
      </c>
      <c r="AG320">
        <v>1</v>
      </c>
      <c r="AH320">
        <v>1</v>
      </c>
      <c r="AI320">
        <v>1</v>
      </c>
      <c r="AJ320">
        <v>1</v>
      </c>
      <c r="AK320">
        <v>1</v>
      </c>
      <c r="AL320">
        <v>1</v>
      </c>
      <c r="AM320">
        <v>1</v>
      </c>
      <c r="AN320">
        <v>1</v>
      </c>
      <c r="AO320">
        <v>1</v>
      </c>
      <c r="AP320">
        <v>1</v>
      </c>
      <c r="AQ320">
        <v>7</v>
      </c>
      <c r="AR320">
        <v>11</v>
      </c>
      <c r="AS320">
        <v>18</v>
      </c>
      <c r="AT320">
        <v>27</v>
      </c>
      <c r="AU320">
        <v>39</v>
      </c>
      <c r="AV320">
        <v>70</v>
      </c>
      <c r="AW320">
        <v>78</v>
      </c>
      <c r="AX320">
        <v>102</v>
      </c>
      <c r="AY320">
        <v>122</v>
      </c>
      <c r="AZ320">
        <v>122</v>
      </c>
      <c r="BA320">
        <v>167</v>
      </c>
      <c r="BB320">
        <v>282</v>
      </c>
      <c r="BC320">
        <v>442</v>
      </c>
      <c r="BD320">
        <v>568</v>
      </c>
      <c r="BE320">
        <v>642</v>
      </c>
      <c r="BF320">
        <v>603</v>
      </c>
      <c r="BG320">
        <v>779</v>
      </c>
      <c r="BH320">
        <v>955</v>
      </c>
      <c r="BI320">
        <v>1022</v>
      </c>
      <c r="BJ320">
        <v>1374</v>
      </c>
      <c r="BK320">
        <v>1524</v>
      </c>
      <c r="BL320">
        <v>1793</v>
      </c>
      <c r="BM320">
        <v>1997</v>
      </c>
      <c r="BN320">
        <v>2221</v>
      </c>
      <c r="BO320">
        <v>2328</v>
      </c>
      <c r="BP320">
        <v>2591</v>
      </c>
      <c r="BQ320">
        <v>3207</v>
      </c>
      <c r="BR320">
        <v>3477</v>
      </c>
      <c r="BS320">
        <v>4030</v>
      </c>
      <c r="BT320">
        <v>4465</v>
      </c>
      <c r="BU320">
        <v>4923</v>
      </c>
      <c r="BV320">
        <v>5432</v>
      </c>
      <c r="BW320">
        <v>5608</v>
      </c>
      <c r="BX320">
        <v>6389</v>
      </c>
      <c r="BY320">
        <v>6846</v>
      </c>
      <c r="BZ320">
        <v>7247</v>
      </c>
      <c r="CA320">
        <v>7825</v>
      </c>
      <c r="CB320">
        <v>8311</v>
      </c>
      <c r="CC320">
        <v>8692</v>
      </c>
      <c r="CD320">
        <v>9276</v>
      </c>
      <c r="CE320">
        <v>9639</v>
      </c>
      <c r="CF320">
        <v>10119</v>
      </c>
      <c r="CG320">
        <v>10434</v>
      </c>
      <c r="CH320">
        <v>10609</v>
      </c>
      <c r="CI320">
        <v>10635</v>
      </c>
      <c r="CJ320">
        <v>10799</v>
      </c>
      <c r="CK320">
        <v>10942</v>
      </c>
      <c r="CL320">
        <v>11057</v>
      </c>
      <c r="CM320">
        <v>11517</v>
      </c>
      <c r="CN320">
        <v>11776</v>
      </c>
      <c r="CO320">
        <v>11978</v>
      </c>
      <c r="CP320">
        <v>12114</v>
      </c>
      <c r="CQ320">
        <v>12392</v>
      </c>
      <c r="CR320">
        <v>12596</v>
      </c>
      <c r="CS320">
        <v>12753</v>
      </c>
      <c r="CT320">
        <v>12977</v>
      </c>
      <c r="CU320">
        <v>13319</v>
      </c>
      <c r="CV320">
        <v>13521</v>
      </c>
      <c r="CW320">
        <v>13686</v>
      </c>
      <c r="CX320">
        <v>13842</v>
      </c>
      <c r="CY320">
        <v>14070</v>
      </c>
      <c r="CZ320">
        <v>14327</v>
      </c>
      <c r="DA320">
        <v>14637</v>
      </c>
      <c r="DB320">
        <v>15003</v>
      </c>
    </row>
    <row r="321" spans="1:106" x14ac:dyDescent="0.25">
      <c r="A321" t="s">
        <v>2996</v>
      </c>
      <c r="B321" t="s">
        <v>37</v>
      </c>
      <c r="C321">
        <v>2134.78395387</v>
      </c>
      <c r="D321">
        <v>-4433.9599982299987</v>
      </c>
      <c r="E321">
        <v>0</v>
      </c>
      <c r="F321">
        <v>0</v>
      </c>
      <c r="G321">
        <v>0</v>
      </c>
      <c r="H321">
        <v>0</v>
      </c>
      <c r="I321">
        <v>0</v>
      </c>
      <c r="J321">
        <v>0</v>
      </c>
      <c r="K321">
        <v>0</v>
      </c>
      <c r="L321">
        <v>0</v>
      </c>
      <c r="M321">
        <v>0</v>
      </c>
      <c r="N321">
        <v>0</v>
      </c>
      <c r="O321">
        <v>0</v>
      </c>
      <c r="P321">
        <v>0</v>
      </c>
      <c r="Q321">
        <v>0</v>
      </c>
      <c r="R321">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c r="AY321">
        <v>0</v>
      </c>
      <c r="AZ321">
        <v>0</v>
      </c>
      <c r="BA321">
        <v>0</v>
      </c>
      <c r="BB321">
        <v>0</v>
      </c>
      <c r="BC321">
        <v>0</v>
      </c>
      <c r="BD321">
        <v>0</v>
      </c>
      <c r="BE321">
        <v>0</v>
      </c>
      <c r="BF321">
        <v>0</v>
      </c>
      <c r="BG321">
        <v>0</v>
      </c>
      <c r="BH321">
        <v>0</v>
      </c>
      <c r="BI321">
        <v>1</v>
      </c>
      <c r="BJ321">
        <v>2</v>
      </c>
      <c r="BK321">
        <v>8</v>
      </c>
      <c r="BL321">
        <v>12</v>
      </c>
      <c r="BM321">
        <v>16</v>
      </c>
      <c r="BN321">
        <v>16</v>
      </c>
      <c r="BO321">
        <v>22</v>
      </c>
      <c r="BP321">
        <v>39</v>
      </c>
      <c r="BQ321">
        <v>52</v>
      </c>
      <c r="BR321">
        <v>76</v>
      </c>
      <c r="BS321">
        <v>96</v>
      </c>
      <c r="BT321">
        <v>113</v>
      </c>
      <c r="BU321">
        <v>145</v>
      </c>
      <c r="BV321">
        <v>162</v>
      </c>
      <c r="BW321">
        <v>191</v>
      </c>
      <c r="BX321">
        <v>216</v>
      </c>
      <c r="BY321">
        <v>237</v>
      </c>
      <c r="BZ321">
        <v>282</v>
      </c>
      <c r="CA321">
        <v>324</v>
      </c>
      <c r="CB321">
        <v>345</v>
      </c>
      <c r="CC321">
        <v>412</v>
      </c>
      <c r="CD321">
        <v>483</v>
      </c>
      <c r="CE321">
        <v>514</v>
      </c>
      <c r="CF321">
        <v>574</v>
      </c>
      <c r="CG321">
        <v>577</v>
      </c>
      <c r="CH321">
        <v>593</v>
      </c>
      <c r="CI321">
        <v>611</v>
      </c>
      <c r="CJ321">
        <v>640</v>
      </c>
      <c r="CK321">
        <v>702</v>
      </c>
      <c r="CL321">
        <v>728</v>
      </c>
      <c r="CM321">
        <v>775</v>
      </c>
      <c r="CN321">
        <v>785</v>
      </c>
      <c r="CO321">
        <v>890</v>
      </c>
      <c r="CP321">
        <v>902</v>
      </c>
      <c r="CQ321">
        <v>908</v>
      </c>
      <c r="CR321">
        <v>939</v>
      </c>
      <c r="CS321">
        <v>981</v>
      </c>
      <c r="CT321">
        <v>1010</v>
      </c>
      <c r="CU321">
        <v>1010</v>
      </c>
      <c r="CV321">
        <v>1055</v>
      </c>
      <c r="CW321">
        <v>1063</v>
      </c>
      <c r="CX321">
        <v>1095</v>
      </c>
      <c r="CY321">
        <v>1110</v>
      </c>
      <c r="CZ321">
        <v>1125</v>
      </c>
      <c r="DA321">
        <v>1152</v>
      </c>
      <c r="DB321">
        <v>1185</v>
      </c>
    </row>
    <row r="322" spans="1:106" x14ac:dyDescent="0.25">
      <c r="A322" t="s">
        <v>2997</v>
      </c>
      <c r="B322" t="s">
        <v>37</v>
      </c>
      <c r="C322">
        <v>3196.4503316300011</v>
      </c>
      <c r="D322">
        <v>-6465.4545586299992</v>
      </c>
      <c r="E322">
        <v>0</v>
      </c>
      <c r="F322">
        <v>0</v>
      </c>
      <c r="G322">
        <v>0</v>
      </c>
      <c r="H322">
        <v>0</v>
      </c>
      <c r="I322">
        <v>0</v>
      </c>
      <c r="J322">
        <v>0</v>
      </c>
      <c r="K322">
        <v>0</v>
      </c>
      <c r="L322">
        <v>0</v>
      </c>
      <c r="M322">
        <v>0</v>
      </c>
      <c r="N322">
        <v>0</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v>3</v>
      </c>
      <c r="BB322">
        <v>4</v>
      </c>
      <c r="BC322">
        <v>8</v>
      </c>
      <c r="BD322">
        <v>19</v>
      </c>
      <c r="BE322">
        <v>27</v>
      </c>
      <c r="BF322">
        <v>28</v>
      </c>
      <c r="BG322">
        <v>48</v>
      </c>
      <c r="BH322">
        <v>73</v>
      </c>
      <c r="BI322">
        <v>111</v>
      </c>
      <c r="BJ322">
        <v>159</v>
      </c>
      <c r="BK322">
        <v>219</v>
      </c>
      <c r="BL322">
        <v>282</v>
      </c>
      <c r="BM322">
        <v>381</v>
      </c>
      <c r="BN322">
        <v>425</v>
      </c>
      <c r="BO322">
        <v>481</v>
      </c>
      <c r="BP322">
        <v>621</v>
      </c>
      <c r="BQ322">
        <v>728</v>
      </c>
      <c r="BR322">
        <v>926</v>
      </c>
      <c r="BS322">
        <v>1055</v>
      </c>
      <c r="BT322">
        <v>1164</v>
      </c>
      <c r="BU322">
        <v>1230</v>
      </c>
      <c r="BV322">
        <v>1412</v>
      </c>
      <c r="BW322">
        <v>1556</v>
      </c>
      <c r="BX322">
        <v>1748</v>
      </c>
      <c r="BY322">
        <v>2012</v>
      </c>
      <c r="BZ322">
        <v>2030</v>
      </c>
      <c r="CA322">
        <v>2320</v>
      </c>
      <c r="CB322">
        <v>2449</v>
      </c>
      <c r="CC322">
        <v>2578</v>
      </c>
      <c r="CD322">
        <v>2710</v>
      </c>
      <c r="CE322">
        <v>2886</v>
      </c>
      <c r="CF322">
        <v>3068</v>
      </c>
      <c r="CG322">
        <v>3213</v>
      </c>
      <c r="CH322">
        <v>3341</v>
      </c>
      <c r="CI322">
        <v>3428</v>
      </c>
      <c r="CJ322">
        <v>3555</v>
      </c>
      <c r="CK322">
        <v>3721</v>
      </c>
      <c r="CL322">
        <v>3875</v>
      </c>
      <c r="CM322">
        <v>4053</v>
      </c>
      <c r="CN322">
        <v>4199</v>
      </c>
      <c r="CO322">
        <v>4346</v>
      </c>
      <c r="CP322">
        <v>4499</v>
      </c>
      <c r="CQ322">
        <v>4625</v>
      </c>
      <c r="CR322">
        <v>4845</v>
      </c>
      <c r="CS322">
        <v>5052</v>
      </c>
      <c r="CT322">
        <v>5356</v>
      </c>
      <c r="CU322">
        <v>5687</v>
      </c>
      <c r="CV322">
        <v>5912</v>
      </c>
      <c r="CW322">
        <v>6081</v>
      </c>
      <c r="CX322">
        <v>6289</v>
      </c>
      <c r="CY322">
        <v>6520</v>
      </c>
      <c r="CZ322">
        <v>6854</v>
      </c>
      <c r="DA322">
        <v>7314</v>
      </c>
      <c r="DB322">
        <v>7660</v>
      </c>
    </row>
    <row r="323" spans="1:106" x14ac:dyDescent="0.25">
      <c r="A323" t="s">
        <v>2998</v>
      </c>
      <c r="B323" t="s">
        <v>37</v>
      </c>
      <c r="C323">
        <v>990.99836662000007</v>
      </c>
      <c r="D323">
        <v>-2464.5245706999999</v>
      </c>
      <c r="E323">
        <v>0</v>
      </c>
      <c r="F323">
        <v>0</v>
      </c>
      <c r="G323">
        <v>0</v>
      </c>
      <c r="H323">
        <v>0</v>
      </c>
      <c r="I323">
        <v>0</v>
      </c>
      <c r="J323">
        <v>0</v>
      </c>
      <c r="K323">
        <v>0</v>
      </c>
      <c r="L323">
        <v>0</v>
      </c>
      <c r="M323">
        <v>0</v>
      </c>
      <c r="N323">
        <v>0</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0</v>
      </c>
      <c r="AZ323">
        <v>0</v>
      </c>
      <c r="BA323">
        <v>0</v>
      </c>
      <c r="BB323">
        <v>0</v>
      </c>
      <c r="BC323">
        <v>1</v>
      </c>
      <c r="BD323">
        <v>1</v>
      </c>
      <c r="BE323">
        <v>2</v>
      </c>
      <c r="BF323">
        <v>2</v>
      </c>
      <c r="BG323">
        <v>2</v>
      </c>
      <c r="BH323">
        <v>11</v>
      </c>
      <c r="BI323">
        <v>16</v>
      </c>
      <c r="BJ323">
        <v>18</v>
      </c>
      <c r="BK323">
        <v>21</v>
      </c>
      <c r="BL323">
        <v>23</v>
      </c>
      <c r="BM323">
        <v>26</v>
      </c>
      <c r="BN323">
        <v>26</v>
      </c>
      <c r="BO323">
        <v>29</v>
      </c>
      <c r="BP323">
        <v>44</v>
      </c>
      <c r="BQ323">
        <v>53</v>
      </c>
      <c r="BR323">
        <v>70</v>
      </c>
      <c r="BS323">
        <v>82</v>
      </c>
      <c r="BT323">
        <v>86</v>
      </c>
      <c r="BU323">
        <v>94</v>
      </c>
      <c r="BV323">
        <v>109</v>
      </c>
      <c r="BW323">
        <v>130</v>
      </c>
      <c r="BX323">
        <v>150</v>
      </c>
      <c r="BY323">
        <v>162</v>
      </c>
      <c r="BZ323">
        <v>187</v>
      </c>
      <c r="CA323">
        <v>197</v>
      </c>
      <c r="CB323">
        <v>210</v>
      </c>
      <c r="CC323">
        <v>216</v>
      </c>
      <c r="CD323">
        <v>221</v>
      </c>
      <c r="CE323">
        <v>230</v>
      </c>
      <c r="CF323">
        <v>239</v>
      </c>
      <c r="CG323">
        <v>261</v>
      </c>
      <c r="CH323">
        <v>270</v>
      </c>
      <c r="CI323">
        <v>275</v>
      </c>
      <c r="CJ323">
        <v>282</v>
      </c>
      <c r="CK323">
        <v>287</v>
      </c>
      <c r="CL323">
        <v>296</v>
      </c>
      <c r="CM323">
        <v>305</v>
      </c>
      <c r="CN323">
        <v>309</v>
      </c>
      <c r="CO323">
        <v>313</v>
      </c>
      <c r="CP323">
        <v>317</v>
      </c>
      <c r="CQ323">
        <v>443</v>
      </c>
      <c r="CR323">
        <v>447</v>
      </c>
      <c r="CS323">
        <v>453</v>
      </c>
      <c r="CT323">
        <v>473</v>
      </c>
      <c r="CU323">
        <v>491</v>
      </c>
      <c r="CV323">
        <v>502</v>
      </c>
      <c r="CW323">
        <v>520</v>
      </c>
      <c r="CX323">
        <v>536</v>
      </c>
      <c r="CY323">
        <v>545</v>
      </c>
      <c r="CZ323">
        <v>559</v>
      </c>
      <c r="DA323">
        <v>566</v>
      </c>
      <c r="DB323">
        <v>579</v>
      </c>
    </row>
    <row r="324" spans="1:106" x14ac:dyDescent="0.25">
      <c r="A324" t="s">
        <v>147</v>
      </c>
      <c r="B324" t="s">
        <v>37</v>
      </c>
      <c r="C324">
        <v>0</v>
      </c>
      <c r="D324">
        <v>0</v>
      </c>
      <c r="E324">
        <v>0</v>
      </c>
      <c r="F324">
        <v>0</v>
      </c>
      <c r="G324">
        <v>0</v>
      </c>
      <c r="H324">
        <v>0</v>
      </c>
      <c r="I324">
        <v>0</v>
      </c>
      <c r="J324">
        <v>0</v>
      </c>
      <c r="K324">
        <v>0</v>
      </c>
      <c r="L324">
        <v>0</v>
      </c>
      <c r="M324">
        <v>0</v>
      </c>
      <c r="N324">
        <v>0</v>
      </c>
      <c r="O324">
        <v>0</v>
      </c>
      <c r="P324">
        <v>0</v>
      </c>
      <c r="Q324">
        <v>0</v>
      </c>
      <c r="R324">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47</v>
      </c>
      <c r="BI324">
        <v>47</v>
      </c>
      <c r="BJ324">
        <v>47</v>
      </c>
      <c r="BK324">
        <v>49</v>
      </c>
      <c r="BL324">
        <v>49</v>
      </c>
      <c r="BM324">
        <v>49</v>
      </c>
      <c r="BN324">
        <v>49</v>
      </c>
      <c r="BO324">
        <v>49</v>
      </c>
      <c r="BP324">
        <v>49</v>
      </c>
      <c r="BQ324">
        <v>49</v>
      </c>
      <c r="BR324">
        <v>49</v>
      </c>
      <c r="BS324">
        <v>49</v>
      </c>
      <c r="BT324">
        <v>49</v>
      </c>
      <c r="BU324">
        <v>49</v>
      </c>
      <c r="BV324">
        <v>49</v>
      </c>
      <c r="BW324">
        <v>49</v>
      </c>
      <c r="BX324">
        <v>49</v>
      </c>
      <c r="BY324">
        <v>49</v>
      </c>
      <c r="BZ324">
        <v>49</v>
      </c>
      <c r="CA324">
        <v>49</v>
      </c>
      <c r="CB324">
        <v>49</v>
      </c>
      <c r="CC324">
        <v>49</v>
      </c>
      <c r="CD324">
        <v>49</v>
      </c>
      <c r="CE324">
        <v>49</v>
      </c>
      <c r="CF324">
        <v>49</v>
      </c>
      <c r="CG324">
        <v>49</v>
      </c>
      <c r="CH324">
        <v>49</v>
      </c>
      <c r="CI324">
        <v>49</v>
      </c>
      <c r="CJ324">
        <v>49</v>
      </c>
      <c r="CK324">
        <v>49</v>
      </c>
      <c r="CL324">
        <v>49</v>
      </c>
      <c r="CM324">
        <v>49</v>
      </c>
      <c r="CN324">
        <v>49</v>
      </c>
      <c r="CO324">
        <v>49</v>
      </c>
      <c r="CP324">
        <v>49</v>
      </c>
      <c r="CQ324">
        <v>49</v>
      </c>
      <c r="CR324">
        <v>49</v>
      </c>
      <c r="CS324">
        <v>49</v>
      </c>
      <c r="CT324">
        <v>49</v>
      </c>
      <c r="CU324">
        <v>49</v>
      </c>
      <c r="CV324">
        <v>49</v>
      </c>
      <c r="CW324">
        <v>49</v>
      </c>
      <c r="CX324">
        <v>49</v>
      </c>
      <c r="CY324">
        <v>49</v>
      </c>
      <c r="CZ324">
        <v>49</v>
      </c>
      <c r="DA324">
        <v>49</v>
      </c>
      <c r="DB324">
        <v>49</v>
      </c>
    </row>
    <row r="325" spans="1:106" x14ac:dyDescent="0.25">
      <c r="A325" t="s">
        <v>148</v>
      </c>
      <c r="B325" t="s">
        <v>37</v>
      </c>
      <c r="C325">
        <v>0</v>
      </c>
      <c r="D325">
        <v>0</v>
      </c>
      <c r="E325">
        <v>0</v>
      </c>
      <c r="F325">
        <v>0</v>
      </c>
      <c r="G325">
        <v>0</v>
      </c>
      <c r="H325">
        <v>0</v>
      </c>
      <c r="I325">
        <v>0</v>
      </c>
      <c r="J325">
        <v>0</v>
      </c>
      <c r="K325">
        <v>0</v>
      </c>
      <c r="L325">
        <v>0</v>
      </c>
      <c r="M325">
        <v>0</v>
      </c>
      <c r="N325">
        <v>0</v>
      </c>
      <c r="O325">
        <v>0</v>
      </c>
      <c r="P325">
        <v>0</v>
      </c>
      <c r="Q325">
        <v>0</v>
      </c>
      <c r="R3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0</v>
      </c>
      <c r="BD325">
        <v>0</v>
      </c>
      <c r="BE325">
        <v>0</v>
      </c>
      <c r="BF325">
        <v>0</v>
      </c>
      <c r="BG325">
        <v>20</v>
      </c>
      <c r="BH325">
        <v>21</v>
      </c>
      <c r="BI325">
        <v>21</v>
      </c>
      <c r="BJ325">
        <v>22</v>
      </c>
      <c r="BK325">
        <v>23</v>
      </c>
      <c r="BL325">
        <v>23</v>
      </c>
      <c r="BM325">
        <v>30</v>
      </c>
      <c r="BN325">
        <v>28</v>
      </c>
      <c r="BO325">
        <v>28</v>
      </c>
      <c r="BP325">
        <v>28</v>
      </c>
      <c r="BQ325">
        <v>28</v>
      </c>
      <c r="BR325">
        <v>28</v>
      </c>
      <c r="BS325">
        <v>103</v>
      </c>
      <c r="BT325">
        <v>103</v>
      </c>
      <c r="BU325">
        <v>103</v>
      </c>
      <c r="BV325">
        <v>103</v>
      </c>
      <c r="BW325">
        <v>103</v>
      </c>
      <c r="BX325">
        <v>103</v>
      </c>
      <c r="BY325">
        <v>103</v>
      </c>
      <c r="BZ325">
        <v>103</v>
      </c>
      <c r="CA325">
        <v>103</v>
      </c>
      <c r="CB325">
        <v>103</v>
      </c>
      <c r="CC325">
        <v>103</v>
      </c>
      <c r="CD325">
        <v>103</v>
      </c>
      <c r="CE325">
        <v>103</v>
      </c>
      <c r="CF325">
        <v>103</v>
      </c>
      <c r="CG325">
        <v>103</v>
      </c>
      <c r="CH325">
        <v>103</v>
      </c>
      <c r="CI325">
        <v>103</v>
      </c>
      <c r="CJ325">
        <v>103</v>
      </c>
      <c r="CK325">
        <v>103</v>
      </c>
      <c r="CL325">
        <v>103</v>
      </c>
      <c r="CM325">
        <v>103</v>
      </c>
      <c r="CN325">
        <v>103</v>
      </c>
      <c r="CO325">
        <v>103</v>
      </c>
      <c r="CP325">
        <v>103</v>
      </c>
      <c r="CQ325">
        <v>103</v>
      </c>
      <c r="CR325">
        <v>103</v>
      </c>
      <c r="CS325">
        <v>103</v>
      </c>
      <c r="CT325">
        <v>103</v>
      </c>
      <c r="CU325">
        <v>103</v>
      </c>
      <c r="CV325">
        <v>103</v>
      </c>
      <c r="CW325">
        <v>103</v>
      </c>
      <c r="CX325">
        <v>103</v>
      </c>
      <c r="CY325">
        <v>103</v>
      </c>
      <c r="CZ325">
        <v>103</v>
      </c>
      <c r="DA325">
        <v>103</v>
      </c>
      <c r="DB325">
        <v>103</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390"/>
  <sheetViews>
    <sheetView topLeftCell="C184" workbookViewId="0">
      <selection activeCell="C184" sqref="C184"/>
    </sheetView>
  </sheetViews>
  <sheetFormatPr defaultRowHeight="15" x14ac:dyDescent="0.25"/>
  <cols>
    <col min="2" max="2" width="25" bestFit="1" customWidth="1"/>
    <col min="3" max="3" width="32.7109375" bestFit="1" customWidth="1"/>
    <col min="4" max="4" width="226.28515625" bestFit="1" customWidth="1"/>
    <col min="5" max="5" width="42.42578125" customWidth="1"/>
    <col min="6" max="6" width="15.85546875" customWidth="1"/>
  </cols>
  <sheetData>
    <row r="1" spans="1:7" x14ac:dyDescent="0.25">
      <c r="A1" t="s">
        <v>531</v>
      </c>
      <c r="B1" t="s">
        <v>532</v>
      </c>
      <c r="C1" t="s">
        <v>533</v>
      </c>
      <c r="D1" t="s">
        <v>534</v>
      </c>
      <c r="E1" t="s">
        <v>535</v>
      </c>
      <c r="F1" t="s">
        <v>508</v>
      </c>
    </row>
    <row r="2" spans="1:7" x14ac:dyDescent="0.25">
      <c r="A2" s="30" t="s">
        <v>412</v>
      </c>
      <c r="B2" t="s">
        <v>213</v>
      </c>
      <c r="C2" t="s">
        <v>509</v>
      </c>
      <c r="D2" s="30" t="s">
        <v>510</v>
      </c>
      <c r="E2" s="30" t="s">
        <v>510</v>
      </c>
      <c r="F2" t="s">
        <v>3020</v>
      </c>
      <c r="G2" t="s">
        <v>3021</v>
      </c>
    </row>
    <row r="3" spans="1:7" x14ac:dyDescent="0.25">
      <c r="A3" s="30" t="s">
        <v>412</v>
      </c>
      <c r="B3" t="s">
        <v>1713</v>
      </c>
      <c r="C3" t="s">
        <v>1714</v>
      </c>
      <c r="D3" s="30" t="s">
        <v>1715</v>
      </c>
      <c r="E3" s="30" t="s">
        <v>1715</v>
      </c>
    </row>
    <row r="4" spans="1:7" x14ac:dyDescent="0.25">
      <c r="A4" s="30" t="s">
        <v>412</v>
      </c>
      <c r="B4" t="s">
        <v>1716</v>
      </c>
      <c r="C4" t="s">
        <v>1717</v>
      </c>
      <c r="D4" s="30" t="s">
        <v>1718</v>
      </c>
      <c r="E4" s="30" t="s">
        <v>1718</v>
      </c>
    </row>
    <row r="5" spans="1:7" x14ac:dyDescent="0.25">
      <c r="A5" s="30" t="s">
        <v>412</v>
      </c>
      <c r="B5" t="s">
        <v>1719</v>
      </c>
      <c r="C5" t="s">
        <v>1720</v>
      </c>
      <c r="D5" s="30" t="s">
        <v>2516</v>
      </c>
      <c r="E5" s="30" t="s">
        <v>2516</v>
      </c>
      <c r="F5" t="s">
        <v>3022</v>
      </c>
      <c r="G5" t="s">
        <v>3023</v>
      </c>
    </row>
    <row r="6" spans="1:7" x14ac:dyDescent="0.25">
      <c r="A6" s="30" t="s">
        <v>412</v>
      </c>
      <c r="B6" t="s">
        <v>1721</v>
      </c>
      <c r="C6" t="s">
        <v>1722</v>
      </c>
      <c r="D6" s="30" t="s">
        <v>1723</v>
      </c>
      <c r="E6" s="30" t="s">
        <v>1723</v>
      </c>
    </row>
    <row r="7" spans="1:7" x14ac:dyDescent="0.25">
      <c r="A7" s="30" t="s">
        <v>412</v>
      </c>
      <c r="B7" t="s">
        <v>1724</v>
      </c>
      <c r="C7" t="s">
        <v>1725</v>
      </c>
      <c r="D7" s="30" t="s">
        <v>1726</v>
      </c>
      <c r="E7" s="30" t="s">
        <v>1726</v>
      </c>
    </row>
    <row r="8" spans="1:7" x14ac:dyDescent="0.25">
      <c r="A8" s="30" t="s">
        <v>412</v>
      </c>
      <c r="B8" t="s">
        <v>610</v>
      </c>
      <c r="C8" t="s">
        <v>611</v>
      </c>
      <c r="D8" s="30" t="s">
        <v>3024</v>
      </c>
      <c r="E8" s="30" t="s">
        <v>3024</v>
      </c>
      <c r="F8" t="s">
        <v>3025</v>
      </c>
      <c r="G8" t="s">
        <v>3026</v>
      </c>
    </row>
    <row r="9" spans="1:7" x14ac:dyDescent="0.25">
      <c r="A9" s="30" t="s">
        <v>412</v>
      </c>
      <c r="B9" t="s">
        <v>612</v>
      </c>
      <c r="C9" t="s">
        <v>613</v>
      </c>
      <c r="D9" s="30" t="s">
        <v>3027</v>
      </c>
      <c r="E9" s="30" t="s">
        <v>3027</v>
      </c>
      <c r="F9" t="s">
        <v>3028</v>
      </c>
      <c r="G9" t="s">
        <v>3029</v>
      </c>
    </row>
    <row r="10" spans="1:7" x14ac:dyDescent="0.25">
      <c r="A10" s="30" t="s">
        <v>412</v>
      </c>
      <c r="B10" t="s">
        <v>1727</v>
      </c>
      <c r="C10" t="s">
        <v>1728</v>
      </c>
      <c r="D10" s="30" t="s">
        <v>2517</v>
      </c>
      <c r="E10" s="30" t="s">
        <v>2517</v>
      </c>
    </row>
    <row r="11" spans="1:7" x14ac:dyDescent="0.25">
      <c r="A11" s="30" t="s">
        <v>412</v>
      </c>
      <c r="B11" t="s">
        <v>614</v>
      </c>
      <c r="C11" t="s">
        <v>615</v>
      </c>
      <c r="D11" s="30" t="s">
        <v>3030</v>
      </c>
      <c r="E11" s="30" t="s">
        <v>3030</v>
      </c>
      <c r="F11" t="s">
        <v>3031</v>
      </c>
      <c r="G11" t="s">
        <v>3032</v>
      </c>
    </row>
    <row r="12" spans="1:7" x14ac:dyDescent="0.25">
      <c r="A12" s="30" t="s">
        <v>412</v>
      </c>
      <c r="B12" t="s">
        <v>616</v>
      </c>
      <c r="C12" t="s">
        <v>617</v>
      </c>
      <c r="D12" s="30" t="s">
        <v>3033</v>
      </c>
      <c r="E12" s="30" t="s">
        <v>3033</v>
      </c>
      <c r="F12" t="s">
        <v>3031</v>
      </c>
      <c r="G12" t="s">
        <v>3032</v>
      </c>
    </row>
    <row r="13" spans="1:7" x14ac:dyDescent="0.25">
      <c r="A13" s="30" t="s">
        <v>412</v>
      </c>
      <c r="B13" t="s">
        <v>618</v>
      </c>
      <c r="C13" t="s">
        <v>619</v>
      </c>
      <c r="D13" s="30" t="s">
        <v>2518</v>
      </c>
      <c r="E13" s="30" t="s">
        <v>2518</v>
      </c>
      <c r="F13" t="s">
        <v>3034</v>
      </c>
      <c r="G13" t="s">
        <v>3035</v>
      </c>
    </row>
    <row r="14" spans="1:7" x14ac:dyDescent="0.25">
      <c r="A14" s="30" t="s">
        <v>412</v>
      </c>
      <c r="B14" t="s">
        <v>620</v>
      </c>
      <c r="C14" t="s">
        <v>621</v>
      </c>
      <c r="D14" s="30" t="s">
        <v>2519</v>
      </c>
      <c r="E14" s="30" t="s">
        <v>2519</v>
      </c>
      <c r="F14" t="s">
        <v>3036</v>
      </c>
      <c r="G14" t="s">
        <v>3037</v>
      </c>
    </row>
    <row r="15" spans="1:7" x14ac:dyDescent="0.25">
      <c r="A15" s="30" t="s">
        <v>412</v>
      </c>
      <c r="B15" t="s">
        <v>2520</v>
      </c>
      <c r="C15" t="s">
        <v>2521</v>
      </c>
      <c r="D15" s="30" t="s">
        <v>2522</v>
      </c>
      <c r="E15" s="30" t="s">
        <v>2522</v>
      </c>
      <c r="F15" t="s">
        <v>3038</v>
      </c>
      <c r="G15" t="s">
        <v>3039</v>
      </c>
    </row>
    <row r="16" spans="1:7" x14ac:dyDescent="0.25">
      <c r="A16" s="30" t="s">
        <v>412</v>
      </c>
      <c r="B16" t="s">
        <v>622</v>
      </c>
      <c r="C16" t="s">
        <v>623</v>
      </c>
      <c r="D16" s="30" t="s">
        <v>2523</v>
      </c>
      <c r="E16" s="30" t="s">
        <v>2523</v>
      </c>
      <c r="F16" t="s">
        <v>3031</v>
      </c>
      <c r="G16" t="s">
        <v>3032</v>
      </c>
    </row>
    <row r="17" spans="1:7" x14ac:dyDescent="0.25">
      <c r="A17" s="30" t="s">
        <v>412</v>
      </c>
      <c r="B17" t="s">
        <v>1246</v>
      </c>
      <c r="C17" t="s">
        <v>1247</v>
      </c>
      <c r="D17" s="30" t="s">
        <v>2524</v>
      </c>
      <c r="E17" s="30" t="s">
        <v>2524</v>
      </c>
      <c r="F17" t="s">
        <v>3040</v>
      </c>
      <c r="G17" t="s">
        <v>3041</v>
      </c>
    </row>
    <row r="18" spans="1:7" x14ac:dyDescent="0.25">
      <c r="A18" s="30" t="s">
        <v>412</v>
      </c>
      <c r="B18" t="s">
        <v>373</v>
      </c>
      <c r="C18" t="s">
        <v>413</v>
      </c>
      <c r="D18" s="30" t="s">
        <v>414</v>
      </c>
      <c r="E18" s="30" t="s">
        <v>414</v>
      </c>
      <c r="F18" t="s">
        <v>3042</v>
      </c>
      <c r="G18" t="s">
        <v>3043</v>
      </c>
    </row>
    <row r="19" spans="1:7" x14ac:dyDescent="0.25">
      <c r="A19" s="30" t="s">
        <v>412</v>
      </c>
      <c r="B19" t="s">
        <v>624</v>
      </c>
      <c r="C19" t="s">
        <v>625</v>
      </c>
      <c r="D19" s="30" t="s">
        <v>2525</v>
      </c>
      <c r="E19" s="30" t="s">
        <v>2525</v>
      </c>
      <c r="F19" t="s">
        <v>3044</v>
      </c>
      <c r="G19" t="s">
        <v>3045</v>
      </c>
    </row>
    <row r="20" spans="1:7" x14ac:dyDescent="0.25">
      <c r="A20" s="30" t="s">
        <v>412</v>
      </c>
      <c r="B20" t="s">
        <v>374</v>
      </c>
      <c r="C20" t="s">
        <v>415</v>
      </c>
      <c r="D20" s="30" t="s">
        <v>2526</v>
      </c>
      <c r="E20" s="30" t="s">
        <v>2526</v>
      </c>
      <c r="F20" t="s">
        <v>3044</v>
      </c>
      <c r="G20" t="s">
        <v>3045</v>
      </c>
    </row>
    <row r="21" spans="1:7" x14ac:dyDescent="0.25">
      <c r="A21" s="30" t="s">
        <v>412</v>
      </c>
      <c r="B21" t="s">
        <v>1076</v>
      </c>
      <c r="C21" t="s">
        <v>1077</v>
      </c>
      <c r="D21" s="30" t="s">
        <v>2527</v>
      </c>
      <c r="E21" s="30" t="s">
        <v>2527</v>
      </c>
      <c r="F21" t="s">
        <v>3044</v>
      </c>
      <c r="G21" t="s">
        <v>3045</v>
      </c>
    </row>
    <row r="22" spans="1:7" x14ac:dyDescent="0.25">
      <c r="A22" s="30" t="s">
        <v>412</v>
      </c>
      <c r="B22" t="s">
        <v>375</v>
      </c>
      <c r="C22" t="s">
        <v>416</v>
      </c>
      <c r="D22" s="30" t="s">
        <v>2528</v>
      </c>
      <c r="E22" s="30" t="s">
        <v>2528</v>
      </c>
      <c r="F22" t="s">
        <v>3046</v>
      </c>
      <c r="G22" t="s">
        <v>3047</v>
      </c>
    </row>
    <row r="23" spans="1:7" x14ac:dyDescent="0.25">
      <c r="A23" s="30" t="s">
        <v>412</v>
      </c>
      <c r="B23" t="s">
        <v>376</v>
      </c>
      <c r="C23" t="s">
        <v>417</v>
      </c>
      <c r="D23" s="30" t="s">
        <v>2529</v>
      </c>
      <c r="E23" s="30" t="s">
        <v>2529</v>
      </c>
      <c r="F23" t="s">
        <v>3048</v>
      </c>
      <c r="G23" t="s">
        <v>3049</v>
      </c>
    </row>
    <row r="24" spans="1:7" x14ac:dyDescent="0.25">
      <c r="A24" s="30" t="s">
        <v>412</v>
      </c>
      <c r="B24" t="s">
        <v>2140</v>
      </c>
      <c r="C24" t="s">
        <v>2141</v>
      </c>
      <c r="D24" s="30" t="s">
        <v>2530</v>
      </c>
      <c r="E24" s="30" t="s">
        <v>2530</v>
      </c>
      <c r="F24" t="s">
        <v>3050</v>
      </c>
      <c r="G24" t="s">
        <v>3051</v>
      </c>
    </row>
    <row r="25" spans="1:7" x14ac:dyDescent="0.25">
      <c r="A25" s="30" t="s">
        <v>412</v>
      </c>
      <c r="B25" t="s">
        <v>2531</v>
      </c>
      <c r="C25" t="s">
        <v>2532</v>
      </c>
      <c r="D25" s="30" t="s">
        <v>2533</v>
      </c>
      <c r="E25" s="30" t="s">
        <v>2533</v>
      </c>
      <c r="F25" t="s">
        <v>3022</v>
      </c>
      <c r="G25" t="s">
        <v>3023</v>
      </c>
    </row>
    <row r="26" spans="1:7" x14ac:dyDescent="0.25">
      <c r="A26" s="30" t="s">
        <v>412</v>
      </c>
      <c r="B26" t="s">
        <v>377</v>
      </c>
      <c r="C26" t="s">
        <v>418</v>
      </c>
      <c r="D26" s="30" t="s">
        <v>419</v>
      </c>
      <c r="E26" s="30" t="s">
        <v>419</v>
      </c>
      <c r="F26" t="s">
        <v>3052</v>
      </c>
      <c r="G26" t="s">
        <v>3053</v>
      </c>
    </row>
    <row r="27" spans="1:7" x14ac:dyDescent="0.25">
      <c r="A27" s="30" t="s">
        <v>412</v>
      </c>
      <c r="B27" t="s">
        <v>626</v>
      </c>
      <c r="C27" t="s">
        <v>627</v>
      </c>
      <c r="D27" s="30" t="s">
        <v>2534</v>
      </c>
      <c r="E27" s="30" t="s">
        <v>2534</v>
      </c>
      <c r="F27" t="s">
        <v>3040</v>
      </c>
      <c r="G27" t="s">
        <v>3041</v>
      </c>
    </row>
    <row r="28" spans="1:7" x14ac:dyDescent="0.25">
      <c r="A28" s="30" t="s">
        <v>412</v>
      </c>
      <c r="B28" t="s">
        <v>378</v>
      </c>
      <c r="C28" t="s">
        <v>420</v>
      </c>
      <c r="D28" s="30" t="s">
        <v>2535</v>
      </c>
      <c r="E28" s="30" t="s">
        <v>2535</v>
      </c>
      <c r="F28" t="s">
        <v>3040</v>
      </c>
      <c r="G28" t="s">
        <v>3041</v>
      </c>
    </row>
    <row r="29" spans="1:7" x14ac:dyDescent="0.25">
      <c r="A29" s="30" t="s">
        <v>412</v>
      </c>
      <c r="B29" t="s">
        <v>1078</v>
      </c>
      <c r="C29" t="s">
        <v>1079</v>
      </c>
      <c r="D29" s="30" t="s">
        <v>2536</v>
      </c>
      <c r="E29" s="30" t="s">
        <v>2536</v>
      </c>
      <c r="F29" t="s">
        <v>3054</v>
      </c>
      <c r="G29" t="s">
        <v>3055</v>
      </c>
    </row>
    <row r="30" spans="1:7" x14ac:dyDescent="0.25">
      <c r="A30" s="30" t="s">
        <v>412</v>
      </c>
      <c r="B30" t="s">
        <v>379</v>
      </c>
      <c r="C30" t="s">
        <v>421</v>
      </c>
      <c r="D30" s="30" t="s">
        <v>2537</v>
      </c>
      <c r="E30" s="30" t="s">
        <v>2537</v>
      </c>
      <c r="F30" t="s">
        <v>3040</v>
      </c>
      <c r="G30" t="s">
        <v>3041</v>
      </c>
    </row>
    <row r="31" spans="1:7" x14ac:dyDescent="0.25">
      <c r="A31" s="30" t="s">
        <v>412</v>
      </c>
      <c r="B31" t="s">
        <v>380</v>
      </c>
      <c r="C31" t="s">
        <v>422</v>
      </c>
      <c r="D31" s="30" t="s">
        <v>2538</v>
      </c>
      <c r="E31" s="30" t="s">
        <v>2538</v>
      </c>
      <c r="F31" t="s">
        <v>3056</v>
      </c>
      <c r="G31" t="s">
        <v>3057</v>
      </c>
    </row>
    <row r="32" spans="1:7" x14ac:dyDescent="0.25">
      <c r="A32" s="30" t="s">
        <v>412</v>
      </c>
      <c r="B32" t="s">
        <v>2142</v>
      </c>
      <c r="C32" t="s">
        <v>2143</v>
      </c>
      <c r="D32" s="30" t="s">
        <v>2539</v>
      </c>
      <c r="E32" s="30" t="s">
        <v>2539</v>
      </c>
      <c r="F32" t="s">
        <v>3058</v>
      </c>
      <c r="G32" t="s">
        <v>3059</v>
      </c>
    </row>
    <row r="33" spans="1:7" x14ac:dyDescent="0.25">
      <c r="A33" s="30" t="s">
        <v>412</v>
      </c>
      <c r="B33" t="s">
        <v>2540</v>
      </c>
      <c r="C33" t="s">
        <v>2541</v>
      </c>
      <c r="D33" s="30" t="s">
        <v>2542</v>
      </c>
      <c r="E33" s="30" t="s">
        <v>2542</v>
      </c>
      <c r="F33" t="s">
        <v>3040</v>
      </c>
      <c r="G33" t="s">
        <v>3041</v>
      </c>
    </row>
    <row r="34" spans="1:7" x14ac:dyDescent="0.25">
      <c r="A34" s="30" t="s">
        <v>412</v>
      </c>
      <c r="B34" t="s">
        <v>1080</v>
      </c>
      <c r="C34" t="s">
        <v>1081</v>
      </c>
      <c r="D34" s="30" t="s">
        <v>2543</v>
      </c>
      <c r="E34" s="30" t="s">
        <v>2543</v>
      </c>
      <c r="F34" t="s">
        <v>3040</v>
      </c>
      <c r="G34" t="s">
        <v>3041</v>
      </c>
    </row>
    <row r="35" spans="1:7" x14ac:dyDescent="0.25">
      <c r="A35" s="30" t="s">
        <v>412</v>
      </c>
      <c r="B35" t="s">
        <v>863</v>
      </c>
      <c r="C35" t="s">
        <v>864</v>
      </c>
      <c r="D35" s="30" t="s">
        <v>2544</v>
      </c>
      <c r="E35" s="30" t="s">
        <v>2544</v>
      </c>
      <c r="F35" t="s">
        <v>3040</v>
      </c>
      <c r="G35" t="s">
        <v>3041</v>
      </c>
    </row>
    <row r="36" spans="1:7" x14ac:dyDescent="0.25">
      <c r="A36" s="30" t="s">
        <v>412</v>
      </c>
      <c r="B36" t="s">
        <v>2545</v>
      </c>
      <c r="C36" t="s">
        <v>2546</v>
      </c>
      <c r="D36" s="30" t="s">
        <v>2547</v>
      </c>
      <c r="E36" s="30" t="s">
        <v>2547</v>
      </c>
      <c r="F36" t="s">
        <v>3054</v>
      </c>
      <c r="G36" t="s">
        <v>3055</v>
      </c>
    </row>
    <row r="37" spans="1:7" x14ac:dyDescent="0.25">
      <c r="A37" s="30" t="s">
        <v>412</v>
      </c>
      <c r="B37" t="s">
        <v>1082</v>
      </c>
      <c r="C37" t="s">
        <v>1083</v>
      </c>
      <c r="D37" s="30" t="s">
        <v>2548</v>
      </c>
      <c r="E37" s="30" t="s">
        <v>2548</v>
      </c>
      <c r="F37" t="s">
        <v>3040</v>
      </c>
      <c r="G37" t="s">
        <v>3041</v>
      </c>
    </row>
    <row r="38" spans="1:7" x14ac:dyDescent="0.25">
      <c r="A38" s="30" t="s">
        <v>412</v>
      </c>
      <c r="B38" t="s">
        <v>865</v>
      </c>
      <c r="C38" t="s">
        <v>866</v>
      </c>
      <c r="D38" s="30" t="s">
        <v>2549</v>
      </c>
      <c r="E38" s="30" t="s">
        <v>2549</v>
      </c>
      <c r="F38" t="s">
        <v>3040</v>
      </c>
      <c r="G38" t="s">
        <v>3041</v>
      </c>
    </row>
    <row r="39" spans="1:7" x14ac:dyDescent="0.25">
      <c r="A39" s="30" t="s">
        <v>412</v>
      </c>
      <c r="B39" t="s">
        <v>381</v>
      </c>
      <c r="C39" t="s">
        <v>423</v>
      </c>
      <c r="D39" s="30" t="s">
        <v>2550</v>
      </c>
      <c r="E39" s="30" t="s">
        <v>2550</v>
      </c>
      <c r="F39" t="s">
        <v>3040</v>
      </c>
      <c r="G39" t="s">
        <v>3041</v>
      </c>
    </row>
    <row r="40" spans="1:7" x14ac:dyDescent="0.25">
      <c r="A40" s="30" t="s">
        <v>412</v>
      </c>
      <c r="B40" t="s">
        <v>1084</v>
      </c>
      <c r="C40" t="s">
        <v>1085</v>
      </c>
      <c r="D40" s="30" t="s">
        <v>2551</v>
      </c>
      <c r="E40" s="30" t="s">
        <v>2551</v>
      </c>
      <c r="F40" t="s">
        <v>3054</v>
      </c>
      <c r="G40" t="s">
        <v>3055</v>
      </c>
    </row>
    <row r="41" spans="1:7" x14ac:dyDescent="0.25">
      <c r="A41" s="30" t="s">
        <v>412</v>
      </c>
      <c r="B41" t="s">
        <v>867</v>
      </c>
      <c r="C41" t="s">
        <v>868</v>
      </c>
      <c r="D41" s="30" t="s">
        <v>2552</v>
      </c>
      <c r="E41" s="30" t="s">
        <v>2552</v>
      </c>
      <c r="F41" t="s">
        <v>3044</v>
      </c>
      <c r="G41" t="s">
        <v>3045</v>
      </c>
    </row>
    <row r="42" spans="1:7" x14ac:dyDescent="0.25">
      <c r="A42" s="30" t="s">
        <v>412</v>
      </c>
      <c r="B42" t="s">
        <v>2553</v>
      </c>
      <c r="C42" t="s">
        <v>2554</v>
      </c>
      <c r="D42" s="30" t="s">
        <v>2555</v>
      </c>
      <c r="E42" s="30" t="s">
        <v>2555</v>
      </c>
      <c r="F42" t="s">
        <v>3054</v>
      </c>
      <c r="G42" t="s">
        <v>3055</v>
      </c>
    </row>
    <row r="43" spans="1:7" x14ac:dyDescent="0.25">
      <c r="A43" s="30" t="s">
        <v>412</v>
      </c>
      <c r="B43" t="s">
        <v>628</v>
      </c>
      <c r="C43" t="s">
        <v>629</v>
      </c>
      <c r="D43" s="30" t="s">
        <v>2556</v>
      </c>
      <c r="E43" s="30" t="s">
        <v>2556</v>
      </c>
      <c r="F43" t="s">
        <v>3044</v>
      </c>
      <c r="G43" t="s">
        <v>3045</v>
      </c>
    </row>
    <row r="44" spans="1:7" x14ac:dyDescent="0.25">
      <c r="A44" s="30" t="s">
        <v>412</v>
      </c>
      <c r="B44" t="s">
        <v>869</v>
      </c>
      <c r="C44" t="s">
        <v>870</v>
      </c>
      <c r="D44" s="30" t="s">
        <v>2557</v>
      </c>
      <c r="E44" s="30" t="s">
        <v>2557</v>
      </c>
      <c r="F44" t="s">
        <v>3054</v>
      </c>
      <c r="G44" t="s">
        <v>3055</v>
      </c>
    </row>
    <row r="45" spans="1:7" x14ac:dyDescent="0.25">
      <c r="A45" s="30" t="s">
        <v>412</v>
      </c>
      <c r="B45" t="s">
        <v>382</v>
      </c>
      <c r="C45" t="s">
        <v>424</v>
      </c>
      <c r="D45" s="30" t="s">
        <v>2558</v>
      </c>
      <c r="E45" s="30" t="s">
        <v>2558</v>
      </c>
      <c r="F45" t="s">
        <v>3044</v>
      </c>
      <c r="G45" t="s">
        <v>3045</v>
      </c>
    </row>
    <row r="46" spans="1:7" x14ac:dyDescent="0.25">
      <c r="A46" s="30" t="s">
        <v>412</v>
      </c>
      <c r="B46" t="s">
        <v>2144</v>
      </c>
      <c r="C46" t="s">
        <v>2145</v>
      </c>
      <c r="D46" s="30" t="s">
        <v>2146</v>
      </c>
      <c r="E46" s="30" t="s">
        <v>2146</v>
      </c>
      <c r="F46" t="s">
        <v>3060</v>
      </c>
      <c r="G46" t="s">
        <v>3061</v>
      </c>
    </row>
    <row r="47" spans="1:7" x14ac:dyDescent="0.25">
      <c r="A47" s="30" t="s">
        <v>412</v>
      </c>
      <c r="B47" t="s">
        <v>2147</v>
      </c>
      <c r="C47" t="s">
        <v>2148</v>
      </c>
      <c r="D47" s="30" t="s">
        <v>2149</v>
      </c>
      <c r="E47" s="30" t="s">
        <v>2149</v>
      </c>
      <c r="F47" t="s">
        <v>3060</v>
      </c>
      <c r="G47" t="s">
        <v>3061</v>
      </c>
    </row>
    <row r="48" spans="1:7" x14ac:dyDescent="0.25">
      <c r="A48" s="30" t="s">
        <v>412</v>
      </c>
      <c r="B48" t="s">
        <v>1731</v>
      </c>
      <c r="C48" t="s">
        <v>1732</v>
      </c>
      <c r="D48" s="30" t="s">
        <v>2559</v>
      </c>
      <c r="E48" s="30" t="s">
        <v>2559</v>
      </c>
      <c r="F48" t="s">
        <v>3040</v>
      </c>
      <c r="G48" t="s">
        <v>3041</v>
      </c>
    </row>
    <row r="49" spans="1:7" x14ac:dyDescent="0.25">
      <c r="A49" s="30" t="s">
        <v>412</v>
      </c>
      <c r="B49" t="s">
        <v>383</v>
      </c>
      <c r="C49" t="s">
        <v>425</v>
      </c>
      <c r="D49" s="30" t="s">
        <v>2150</v>
      </c>
      <c r="E49" s="30" t="s">
        <v>2150</v>
      </c>
    </row>
    <row r="50" spans="1:7" x14ac:dyDescent="0.25">
      <c r="A50" s="30" t="s">
        <v>412</v>
      </c>
      <c r="B50" t="s">
        <v>384</v>
      </c>
      <c r="C50" t="s">
        <v>426</v>
      </c>
      <c r="D50" s="30" t="s">
        <v>3062</v>
      </c>
      <c r="E50" s="30" t="s">
        <v>3062</v>
      </c>
    </row>
    <row r="51" spans="1:7" x14ac:dyDescent="0.25">
      <c r="A51" s="30" t="s">
        <v>412</v>
      </c>
      <c r="B51" t="s">
        <v>1733</v>
      </c>
      <c r="C51" t="s">
        <v>1734</v>
      </c>
      <c r="D51" s="30" t="s">
        <v>2560</v>
      </c>
      <c r="E51" s="30" t="s">
        <v>2560</v>
      </c>
      <c r="F51" t="s">
        <v>3060</v>
      </c>
      <c r="G51" t="s">
        <v>3061</v>
      </c>
    </row>
    <row r="52" spans="1:7" x14ac:dyDescent="0.25">
      <c r="A52" s="30" t="s">
        <v>412</v>
      </c>
      <c r="B52" t="s">
        <v>385</v>
      </c>
      <c r="C52" t="s">
        <v>427</v>
      </c>
      <c r="D52" s="30" t="s">
        <v>3063</v>
      </c>
      <c r="E52" s="30" t="s">
        <v>3063</v>
      </c>
    </row>
    <row r="53" spans="1:7" x14ac:dyDescent="0.25">
      <c r="A53" s="30" t="s">
        <v>412</v>
      </c>
      <c r="B53" t="s">
        <v>512</v>
      </c>
      <c r="C53" t="s">
        <v>513</v>
      </c>
      <c r="D53" s="30" t="s">
        <v>3064</v>
      </c>
      <c r="E53" s="30" t="s">
        <v>3064</v>
      </c>
    </row>
    <row r="54" spans="1:7" x14ac:dyDescent="0.25">
      <c r="A54" s="30" t="s">
        <v>412</v>
      </c>
      <c r="B54" t="s">
        <v>630</v>
      </c>
      <c r="C54" t="s">
        <v>631</v>
      </c>
      <c r="D54" s="30" t="s">
        <v>2561</v>
      </c>
      <c r="E54" s="30" t="s">
        <v>2561</v>
      </c>
      <c r="F54" t="s">
        <v>3065</v>
      </c>
      <c r="G54" t="s">
        <v>3066</v>
      </c>
    </row>
    <row r="55" spans="1:7" x14ac:dyDescent="0.25">
      <c r="A55" s="30" t="s">
        <v>412</v>
      </c>
      <c r="B55" t="s">
        <v>2562</v>
      </c>
      <c r="C55" t="s">
        <v>2563</v>
      </c>
      <c r="D55" s="30" t="s">
        <v>2564</v>
      </c>
      <c r="E55" s="30" t="s">
        <v>2564</v>
      </c>
      <c r="F55" t="s">
        <v>3038</v>
      </c>
      <c r="G55" t="s">
        <v>3039</v>
      </c>
    </row>
    <row r="56" spans="1:7" x14ac:dyDescent="0.25">
      <c r="A56" s="30" t="s">
        <v>412</v>
      </c>
      <c r="B56" t="s">
        <v>514</v>
      </c>
      <c r="C56" t="s">
        <v>515</v>
      </c>
      <c r="D56" s="30" t="s">
        <v>2565</v>
      </c>
      <c r="E56" s="30" t="s">
        <v>2565</v>
      </c>
    </row>
    <row r="57" spans="1:7" x14ac:dyDescent="0.25">
      <c r="A57" s="30" t="s">
        <v>412</v>
      </c>
      <c r="B57" t="s">
        <v>1248</v>
      </c>
      <c r="C57" t="s">
        <v>1249</v>
      </c>
      <c r="D57" s="30" t="s">
        <v>2566</v>
      </c>
      <c r="E57" s="30" t="s">
        <v>2566</v>
      </c>
      <c r="F57" t="s">
        <v>3040</v>
      </c>
      <c r="G57" t="s">
        <v>3041</v>
      </c>
    </row>
    <row r="58" spans="1:7" x14ac:dyDescent="0.25">
      <c r="A58" s="30"/>
      <c r="B58" t="s">
        <v>516</v>
      </c>
      <c r="C58" t="s">
        <v>516</v>
      </c>
      <c r="D58" s="30" t="s">
        <v>2567</v>
      </c>
      <c r="E58" s="30" t="s">
        <v>2567</v>
      </c>
      <c r="F58" t="s">
        <v>3060</v>
      </c>
      <c r="G58" t="s">
        <v>3067</v>
      </c>
    </row>
    <row r="59" spans="1:7" x14ac:dyDescent="0.25">
      <c r="A59" s="30"/>
      <c r="B59" t="s">
        <v>1470</v>
      </c>
      <c r="C59" t="s">
        <v>1470</v>
      </c>
      <c r="D59" s="30" t="s">
        <v>2568</v>
      </c>
      <c r="E59" s="30" t="s">
        <v>2568</v>
      </c>
      <c r="F59" t="s">
        <v>3060</v>
      </c>
      <c r="G59" t="s">
        <v>3067</v>
      </c>
    </row>
    <row r="60" spans="1:7" x14ac:dyDescent="0.25">
      <c r="A60" s="30" t="s">
        <v>1251</v>
      </c>
      <c r="B60" t="s">
        <v>1736</v>
      </c>
      <c r="C60" t="s">
        <v>1737</v>
      </c>
      <c r="D60" s="30" t="s">
        <v>2569</v>
      </c>
      <c r="E60" s="30" t="s">
        <v>2569</v>
      </c>
      <c r="F60" t="s">
        <v>3068</v>
      </c>
      <c r="G60" t="s">
        <v>3069</v>
      </c>
    </row>
    <row r="61" spans="1:7" x14ac:dyDescent="0.25">
      <c r="A61" s="30" t="s">
        <v>1251</v>
      </c>
      <c r="B61" t="s">
        <v>1250</v>
      </c>
      <c r="C61" t="s">
        <v>1252</v>
      </c>
      <c r="D61" s="30" t="s">
        <v>2570</v>
      </c>
      <c r="E61" s="30" t="s">
        <v>2570</v>
      </c>
    </row>
    <row r="62" spans="1:7" x14ac:dyDescent="0.25">
      <c r="A62" s="30" t="s">
        <v>412</v>
      </c>
      <c r="B62" t="s">
        <v>386</v>
      </c>
      <c r="C62" t="s">
        <v>428</v>
      </c>
      <c r="D62" s="30" t="s">
        <v>429</v>
      </c>
      <c r="E62" s="30" t="s">
        <v>429</v>
      </c>
      <c r="F62" t="s">
        <v>3070</v>
      </c>
      <c r="G62" t="s">
        <v>3071</v>
      </c>
    </row>
    <row r="63" spans="1:7" x14ac:dyDescent="0.25">
      <c r="A63" s="30" t="s">
        <v>412</v>
      </c>
      <c r="B63" t="s">
        <v>632</v>
      </c>
      <c r="C63" t="s">
        <v>633</v>
      </c>
      <c r="D63" s="30" t="s">
        <v>1730</v>
      </c>
      <c r="E63" s="30" t="s">
        <v>1730</v>
      </c>
      <c r="F63" t="s">
        <v>3044</v>
      </c>
      <c r="G63" t="s">
        <v>3045</v>
      </c>
    </row>
    <row r="64" spans="1:7" x14ac:dyDescent="0.25">
      <c r="A64" s="30" t="s">
        <v>412</v>
      </c>
      <c r="B64" t="s">
        <v>387</v>
      </c>
      <c r="C64" t="s">
        <v>430</v>
      </c>
      <c r="D64" s="30" t="s">
        <v>1735</v>
      </c>
      <c r="E64" s="30" t="s">
        <v>1735</v>
      </c>
      <c r="F64" t="s">
        <v>3044</v>
      </c>
      <c r="G64" t="s">
        <v>3045</v>
      </c>
    </row>
    <row r="65" spans="1:7" x14ac:dyDescent="0.25">
      <c r="A65" s="30" t="s">
        <v>412</v>
      </c>
      <c r="B65" t="s">
        <v>871</v>
      </c>
      <c r="C65" t="s">
        <v>872</v>
      </c>
      <c r="D65" s="30" t="s">
        <v>873</v>
      </c>
      <c r="E65" s="30" t="s">
        <v>873</v>
      </c>
    </row>
    <row r="66" spans="1:7" x14ac:dyDescent="0.25">
      <c r="A66" s="30" t="s">
        <v>412</v>
      </c>
      <c r="B66" t="s">
        <v>1086</v>
      </c>
      <c r="C66" t="s">
        <v>1087</v>
      </c>
      <c r="D66" s="30" t="s">
        <v>1752</v>
      </c>
      <c r="E66" s="30" t="s">
        <v>1752</v>
      </c>
      <c r="F66" t="s">
        <v>3044</v>
      </c>
      <c r="G66" t="s">
        <v>3045</v>
      </c>
    </row>
    <row r="67" spans="1:7" x14ac:dyDescent="0.25">
      <c r="A67" s="30" t="s">
        <v>412</v>
      </c>
      <c r="B67" t="s">
        <v>388</v>
      </c>
      <c r="C67" t="s">
        <v>431</v>
      </c>
      <c r="D67" s="30" t="s">
        <v>1768</v>
      </c>
      <c r="E67" s="30" t="s">
        <v>1768</v>
      </c>
      <c r="F67" t="s">
        <v>3072</v>
      </c>
      <c r="G67" t="s">
        <v>3073</v>
      </c>
    </row>
    <row r="68" spans="1:7" x14ac:dyDescent="0.25">
      <c r="A68" s="30" t="s">
        <v>412</v>
      </c>
      <c r="B68" t="s">
        <v>389</v>
      </c>
      <c r="C68" t="s">
        <v>432</v>
      </c>
      <c r="D68" s="30" t="s">
        <v>1806</v>
      </c>
      <c r="E68" s="30" t="s">
        <v>1806</v>
      </c>
      <c r="F68" t="s">
        <v>3048</v>
      </c>
      <c r="G68" t="s">
        <v>3049</v>
      </c>
    </row>
    <row r="69" spans="1:7" x14ac:dyDescent="0.25">
      <c r="A69" s="30" t="s">
        <v>412</v>
      </c>
      <c r="B69" t="s">
        <v>2151</v>
      </c>
      <c r="C69" t="s">
        <v>2152</v>
      </c>
      <c r="D69" s="30" t="s">
        <v>2193</v>
      </c>
      <c r="E69" s="30" t="s">
        <v>2193</v>
      </c>
      <c r="F69" t="s">
        <v>3050</v>
      </c>
      <c r="G69" t="s">
        <v>3051</v>
      </c>
    </row>
    <row r="70" spans="1:7" x14ac:dyDescent="0.25">
      <c r="A70" s="30" t="s">
        <v>412</v>
      </c>
      <c r="B70" t="s">
        <v>2571</v>
      </c>
      <c r="C70" t="s">
        <v>2572</v>
      </c>
      <c r="D70" s="30" t="s">
        <v>2573</v>
      </c>
      <c r="E70" s="30" t="s">
        <v>2573</v>
      </c>
      <c r="F70" t="s">
        <v>3022</v>
      </c>
      <c r="G70" t="s">
        <v>3023</v>
      </c>
    </row>
    <row r="71" spans="1:7" x14ac:dyDescent="0.25">
      <c r="A71" s="30" t="s">
        <v>412</v>
      </c>
      <c r="B71" t="s">
        <v>1088</v>
      </c>
      <c r="C71" t="s">
        <v>1089</v>
      </c>
      <c r="D71" s="30" t="s">
        <v>1823</v>
      </c>
      <c r="E71" s="30" t="s">
        <v>1823</v>
      </c>
      <c r="F71" t="s">
        <v>3054</v>
      </c>
      <c r="G71" t="s">
        <v>3055</v>
      </c>
    </row>
    <row r="72" spans="1:7" x14ac:dyDescent="0.25">
      <c r="A72" s="30" t="s">
        <v>412</v>
      </c>
      <c r="B72" t="s">
        <v>874</v>
      </c>
      <c r="C72" t="s">
        <v>875</v>
      </c>
      <c r="D72" s="30" t="s">
        <v>1839</v>
      </c>
      <c r="E72" s="30" t="s">
        <v>1839</v>
      </c>
      <c r="F72" t="s">
        <v>3044</v>
      </c>
      <c r="G72" t="s">
        <v>3045</v>
      </c>
    </row>
    <row r="73" spans="1:7" x14ac:dyDescent="0.25">
      <c r="A73" s="30" t="s">
        <v>412</v>
      </c>
      <c r="B73" t="s">
        <v>2574</v>
      </c>
      <c r="C73" t="s">
        <v>2575</v>
      </c>
      <c r="D73" s="30" t="s">
        <v>2576</v>
      </c>
      <c r="E73" s="30" t="s">
        <v>2576</v>
      </c>
      <c r="F73" t="s">
        <v>3044</v>
      </c>
      <c r="G73" t="s">
        <v>3045</v>
      </c>
    </row>
    <row r="74" spans="1:7" x14ac:dyDescent="0.25">
      <c r="A74" s="30" t="s">
        <v>412</v>
      </c>
      <c r="B74" t="s">
        <v>634</v>
      </c>
      <c r="C74" t="s">
        <v>635</v>
      </c>
      <c r="D74" s="30" t="s">
        <v>2577</v>
      </c>
      <c r="E74" s="30" t="s">
        <v>2577</v>
      </c>
      <c r="F74" t="s">
        <v>3044</v>
      </c>
      <c r="G74" t="s">
        <v>3045</v>
      </c>
    </row>
    <row r="75" spans="1:7" x14ac:dyDescent="0.25">
      <c r="A75" s="30" t="s">
        <v>412</v>
      </c>
      <c r="B75" t="s">
        <v>876</v>
      </c>
      <c r="C75" t="s">
        <v>877</v>
      </c>
      <c r="D75" s="30" t="s">
        <v>1863</v>
      </c>
      <c r="E75" s="30" t="s">
        <v>1863</v>
      </c>
      <c r="F75" t="s">
        <v>3054</v>
      </c>
      <c r="G75" t="s">
        <v>3055</v>
      </c>
    </row>
    <row r="76" spans="1:7" x14ac:dyDescent="0.25">
      <c r="A76" s="30" t="s">
        <v>412</v>
      </c>
      <c r="B76" t="s">
        <v>390</v>
      </c>
      <c r="C76" t="s">
        <v>433</v>
      </c>
      <c r="D76" s="30" t="s">
        <v>1877</v>
      </c>
      <c r="E76" s="30" t="s">
        <v>1877</v>
      </c>
      <c r="F76" t="s">
        <v>3044</v>
      </c>
      <c r="G76" t="s">
        <v>3045</v>
      </c>
    </row>
    <row r="77" spans="1:7" x14ac:dyDescent="0.25">
      <c r="A77" s="30" t="s">
        <v>412</v>
      </c>
      <c r="B77" t="s">
        <v>1067</v>
      </c>
      <c r="C77" t="s">
        <v>1090</v>
      </c>
      <c r="D77" s="30" t="s">
        <v>1098</v>
      </c>
      <c r="E77" s="30" t="s">
        <v>1098</v>
      </c>
      <c r="F77" t="s">
        <v>3031</v>
      </c>
      <c r="G77" t="s">
        <v>3026</v>
      </c>
    </row>
    <row r="78" spans="1:7" x14ac:dyDescent="0.25">
      <c r="A78" s="30" t="s">
        <v>412</v>
      </c>
      <c r="B78" t="s">
        <v>1738</v>
      </c>
      <c r="C78" t="s">
        <v>1739</v>
      </c>
      <c r="D78" s="30" t="s">
        <v>2153</v>
      </c>
      <c r="E78" s="30" t="s">
        <v>2153</v>
      </c>
      <c r="F78" t="s">
        <v>3025</v>
      </c>
      <c r="G78" t="s">
        <v>3074</v>
      </c>
    </row>
    <row r="79" spans="1:7" x14ac:dyDescent="0.25">
      <c r="A79" s="30" t="s">
        <v>412</v>
      </c>
      <c r="B79" t="s">
        <v>1740</v>
      </c>
      <c r="C79" t="s">
        <v>1741</v>
      </c>
      <c r="D79" s="30" t="s">
        <v>2154</v>
      </c>
      <c r="E79" s="30" t="s">
        <v>2154</v>
      </c>
      <c r="F79" t="s">
        <v>3025</v>
      </c>
      <c r="G79" t="s">
        <v>3074</v>
      </c>
    </row>
    <row r="80" spans="1:7" x14ac:dyDescent="0.25">
      <c r="A80" s="30" t="s">
        <v>412</v>
      </c>
      <c r="B80" t="s">
        <v>1742</v>
      </c>
      <c r="C80" t="s">
        <v>1743</v>
      </c>
      <c r="D80" s="30" t="s">
        <v>2578</v>
      </c>
      <c r="E80" s="30" t="s">
        <v>2578</v>
      </c>
      <c r="F80" t="s">
        <v>3040</v>
      </c>
      <c r="G80" t="s">
        <v>3041</v>
      </c>
    </row>
    <row r="81" spans="1:7" x14ac:dyDescent="0.25">
      <c r="A81" s="30" t="s">
        <v>412</v>
      </c>
      <c r="B81" t="s">
        <v>1744</v>
      </c>
      <c r="C81" t="s">
        <v>1745</v>
      </c>
      <c r="D81" s="30" t="s">
        <v>3075</v>
      </c>
      <c r="E81" s="30" t="s">
        <v>3075</v>
      </c>
      <c r="F81" t="s">
        <v>3031</v>
      </c>
      <c r="G81" t="s">
        <v>3032</v>
      </c>
    </row>
    <row r="82" spans="1:7" x14ac:dyDescent="0.25">
      <c r="A82" s="30" t="s">
        <v>412</v>
      </c>
      <c r="B82" t="s">
        <v>1746</v>
      </c>
      <c r="C82" t="s">
        <v>1747</v>
      </c>
      <c r="D82" s="30" t="s">
        <v>3076</v>
      </c>
      <c r="E82" s="30" t="s">
        <v>3076</v>
      </c>
      <c r="F82" t="s">
        <v>3031</v>
      </c>
      <c r="G82" t="s">
        <v>3032</v>
      </c>
    </row>
    <row r="83" spans="1:7" x14ac:dyDescent="0.25">
      <c r="A83" s="30" t="s">
        <v>412</v>
      </c>
      <c r="B83" t="s">
        <v>1253</v>
      </c>
      <c r="C83" t="s">
        <v>1254</v>
      </c>
      <c r="D83" s="30" t="s">
        <v>3077</v>
      </c>
      <c r="E83" s="30" t="s">
        <v>3077</v>
      </c>
    </row>
    <row r="84" spans="1:7" x14ac:dyDescent="0.25">
      <c r="A84" s="30" t="s">
        <v>412</v>
      </c>
      <c r="B84" t="s">
        <v>1255</v>
      </c>
      <c r="C84" t="s">
        <v>1256</v>
      </c>
      <c r="D84" s="30" t="s">
        <v>3078</v>
      </c>
      <c r="E84" s="30" t="s">
        <v>3078</v>
      </c>
    </row>
    <row r="85" spans="1:7" x14ac:dyDescent="0.25">
      <c r="A85" s="30" t="s">
        <v>412</v>
      </c>
      <c r="B85" t="s">
        <v>1748</v>
      </c>
      <c r="C85" t="s">
        <v>1749</v>
      </c>
      <c r="D85" s="30" t="s">
        <v>2579</v>
      </c>
      <c r="E85" s="30" t="s">
        <v>2579</v>
      </c>
      <c r="F85" t="s">
        <v>3025</v>
      </c>
      <c r="G85" t="s">
        <v>3074</v>
      </c>
    </row>
    <row r="86" spans="1:7" x14ac:dyDescent="0.25">
      <c r="A86" s="30" t="s">
        <v>412</v>
      </c>
      <c r="B86" t="s">
        <v>1389</v>
      </c>
      <c r="C86" t="s">
        <v>1390</v>
      </c>
      <c r="D86" s="30" t="s">
        <v>3079</v>
      </c>
      <c r="E86" s="30" t="s">
        <v>3079</v>
      </c>
    </row>
    <row r="87" spans="1:7" x14ac:dyDescent="0.25">
      <c r="A87" s="30" t="s">
        <v>412</v>
      </c>
      <c r="B87" t="s">
        <v>1257</v>
      </c>
      <c r="C87" t="s">
        <v>1258</v>
      </c>
      <c r="D87" s="30" t="s">
        <v>3080</v>
      </c>
      <c r="E87" s="30" t="s">
        <v>3080</v>
      </c>
    </row>
    <row r="88" spans="1:7" x14ac:dyDescent="0.25">
      <c r="A88" s="30" t="s">
        <v>412</v>
      </c>
      <c r="B88" t="s">
        <v>1091</v>
      </c>
      <c r="C88" t="s">
        <v>1092</v>
      </c>
      <c r="D88" s="30" t="s">
        <v>2580</v>
      </c>
      <c r="E88" s="30" t="s">
        <v>2580</v>
      </c>
      <c r="F88" t="s">
        <v>3065</v>
      </c>
      <c r="G88" t="s">
        <v>3066</v>
      </c>
    </row>
    <row r="89" spans="1:7" x14ac:dyDescent="0.25">
      <c r="A89" s="30" t="s">
        <v>412</v>
      </c>
      <c r="B89" t="s">
        <v>2581</v>
      </c>
      <c r="C89" t="s">
        <v>2582</v>
      </c>
      <c r="D89" s="30" t="s">
        <v>2583</v>
      </c>
      <c r="E89" s="30" t="s">
        <v>2583</v>
      </c>
      <c r="F89" t="s">
        <v>3038</v>
      </c>
      <c r="G89" t="s">
        <v>3039</v>
      </c>
    </row>
    <row r="90" spans="1:7" x14ac:dyDescent="0.25">
      <c r="A90" s="30" t="s">
        <v>412</v>
      </c>
      <c r="B90" t="s">
        <v>1750</v>
      </c>
      <c r="C90" t="s">
        <v>1751</v>
      </c>
      <c r="D90" s="30" t="s">
        <v>2584</v>
      </c>
      <c r="E90" s="30" t="s">
        <v>2584</v>
      </c>
      <c r="F90" t="s">
        <v>3031</v>
      </c>
      <c r="G90" t="s">
        <v>3032</v>
      </c>
    </row>
    <row r="91" spans="1:7" x14ac:dyDescent="0.25">
      <c r="A91" s="30" t="s">
        <v>412</v>
      </c>
      <c r="B91" t="s">
        <v>1753</v>
      </c>
      <c r="C91" t="s">
        <v>1754</v>
      </c>
      <c r="D91" s="30" t="s">
        <v>2585</v>
      </c>
      <c r="E91" s="30" t="s">
        <v>2585</v>
      </c>
      <c r="F91" t="s">
        <v>3040</v>
      </c>
      <c r="G91" t="s">
        <v>3041</v>
      </c>
    </row>
    <row r="92" spans="1:7" x14ac:dyDescent="0.25">
      <c r="A92" s="30" t="s">
        <v>412</v>
      </c>
      <c r="B92" t="s">
        <v>1129</v>
      </c>
      <c r="C92" t="s">
        <v>1259</v>
      </c>
      <c r="D92" s="30" t="s">
        <v>2155</v>
      </c>
      <c r="E92" s="30" t="s">
        <v>2155</v>
      </c>
      <c r="F92" t="s">
        <v>3031</v>
      </c>
      <c r="G92" t="s">
        <v>3026</v>
      </c>
    </row>
    <row r="93" spans="1:7" x14ac:dyDescent="0.25">
      <c r="A93" s="30" t="s">
        <v>412</v>
      </c>
      <c r="B93" t="s">
        <v>1070</v>
      </c>
      <c r="C93" t="s">
        <v>1093</v>
      </c>
      <c r="D93" s="30" t="s">
        <v>1096</v>
      </c>
      <c r="E93" s="30" t="s">
        <v>1096</v>
      </c>
      <c r="F93" t="s">
        <v>3025</v>
      </c>
      <c r="G93" t="s">
        <v>3081</v>
      </c>
    </row>
    <row r="94" spans="1:7" x14ac:dyDescent="0.25">
      <c r="A94" s="30" t="s">
        <v>412</v>
      </c>
      <c r="B94" t="s">
        <v>1071</v>
      </c>
      <c r="C94" t="s">
        <v>1095</v>
      </c>
      <c r="D94" s="30" t="s">
        <v>511</v>
      </c>
      <c r="E94" s="30" t="s">
        <v>511</v>
      </c>
      <c r="F94" t="s">
        <v>3060</v>
      </c>
      <c r="G94" t="s">
        <v>3029</v>
      </c>
    </row>
    <row r="95" spans="1:7" x14ac:dyDescent="0.25">
      <c r="A95" s="30" t="s">
        <v>412</v>
      </c>
      <c r="B95" t="s">
        <v>1066</v>
      </c>
      <c r="C95" t="s">
        <v>1097</v>
      </c>
      <c r="D95" s="30" t="s">
        <v>1094</v>
      </c>
      <c r="E95" s="30" t="s">
        <v>1094</v>
      </c>
      <c r="F95" t="s">
        <v>3028</v>
      </c>
      <c r="G95" t="s">
        <v>3082</v>
      </c>
    </row>
    <row r="96" spans="1:7" x14ac:dyDescent="0.25">
      <c r="A96" s="30"/>
      <c r="B96" t="s">
        <v>1345</v>
      </c>
      <c r="C96" t="s">
        <v>1345</v>
      </c>
      <c r="D96" s="30" t="s">
        <v>1878</v>
      </c>
      <c r="E96" s="30" t="s">
        <v>1878</v>
      </c>
      <c r="F96" t="s">
        <v>3083</v>
      </c>
      <c r="G96" t="s">
        <v>3067</v>
      </c>
    </row>
    <row r="97" spans="1:7" x14ac:dyDescent="0.25">
      <c r="A97" s="30" t="s">
        <v>2586</v>
      </c>
      <c r="B97" t="s">
        <v>2587</v>
      </c>
      <c r="C97" t="s">
        <v>2588</v>
      </c>
      <c r="D97" s="30" t="s">
        <v>3084</v>
      </c>
      <c r="E97" s="30" t="s">
        <v>3084</v>
      </c>
      <c r="F97" t="s">
        <v>3085</v>
      </c>
      <c r="G97" t="s">
        <v>3086</v>
      </c>
    </row>
    <row r="98" spans="1:7" x14ac:dyDescent="0.25">
      <c r="A98" s="30" t="s">
        <v>412</v>
      </c>
      <c r="B98" t="s">
        <v>878</v>
      </c>
      <c r="C98" t="s">
        <v>879</v>
      </c>
      <c r="D98" s="30" t="s">
        <v>1260</v>
      </c>
      <c r="E98" s="30" t="s">
        <v>1260</v>
      </c>
    </row>
    <row r="99" spans="1:7" x14ac:dyDescent="0.25">
      <c r="A99" s="30" t="s">
        <v>412</v>
      </c>
      <c r="B99" t="s">
        <v>1261</v>
      </c>
      <c r="C99" t="s">
        <v>1262</v>
      </c>
      <c r="D99" s="30" t="s">
        <v>1263</v>
      </c>
      <c r="E99" s="30" t="s">
        <v>1263</v>
      </c>
    </row>
    <row r="100" spans="1:7" x14ac:dyDescent="0.25">
      <c r="A100" s="30" t="s">
        <v>412</v>
      </c>
      <c r="B100" t="s">
        <v>1264</v>
      </c>
      <c r="C100" t="s">
        <v>1265</v>
      </c>
      <c r="D100" s="30" t="s">
        <v>3087</v>
      </c>
      <c r="E100" s="30" t="s">
        <v>3087</v>
      </c>
    </row>
    <row r="101" spans="1:7" x14ac:dyDescent="0.25">
      <c r="A101" s="30" t="s">
        <v>412</v>
      </c>
      <c r="B101" t="s">
        <v>1266</v>
      </c>
      <c r="C101" t="s">
        <v>1267</v>
      </c>
      <c r="D101" s="30" t="s">
        <v>2156</v>
      </c>
      <c r="E101" s="30" t="s">
        <v>2156</v>
      </c>
    </row>
    <row r="102" spans="1:7" x14ac:dyDescent="0.25">
      <c r="A102" s="30" t="s">
        <v>412</v>
      </c>
      <c r="B102" t="s">
        <v>1268</v>
      </c>
      <c r="C102" t="s">
        <v>1269</v>
      </c>
      <c r="D102" s="30" t="s">
        <v>2157</v>
      </c>
      <c r="E102" s="30" t="s">
        <v>2157</v>
      </c>
    </row>
    <row r="103" spans="1:7" x14ac:dyDescent="0.25">
      <c r="A103" s="30" t="s">
        <v>412</v>
      </c>
      <c r="B103" t="s">
        <v>1270</v>
      </c>
      <c r="C103" t="s">
        <v>1271</v>
      </c>
      <c r="D103" s="30" t="s">
        <v>2158</v>
      </c>
      <c r="E103" s="30" t="s">
        <v>2158</v>
      </c>
    </row>
    <row r="104" spans="1:7" x14ac:dyDescent="0.25">
      <c r="A104" s="30" t="s">
        <v>412</v>
      </c>
      <c r="B104" t="s">
        <v>1272</v>
      </c>
      <c r="C104" t="s">
        <v>1273</v>
      </c>
      <c r="D104" s="30" t="s">
        <v>2159</v>
      </c>
      <c r="E104" s="30" t="s">
        <v>2159</v>
      </c>
    </row>
    <row r="105" spans="1:7" x14ac:dyDescent="0.25">
      <c r="A105" s="30" t="s">
        <v>412</v>
      </c>
      <c r="B105" t="s">
        <v>2589</v>
      </c>
      <c r="C105" t="s">
        <v>2590</v>
      </c>
      <c r="D105" s="30" t="s">
        <v>2591</v>
      </c>
      <c r="E105" s="30" t="s">
        <v>2591</v>
      </c>
    </row>
    <row r="106" spans="1:7" x14ac:dyDescent="0.25">
      <c r="A106" s="30" t="s">
        <v>412</v>
      </c>
      <c r="B106" t="s">
        <v>2592</v>
      </c>
      <c r="C106" t="s">
        <v>2593</v>
      </c>
      <c r="D106" s="30" t="s">
        <v>2594</v>
      </c>
      <c r="E106" s="30" t="s">
        <v>2594</v>
      </c>
    </row>
    <row r="107" spans="1:7" x14ac:dyDescent="0.25">
      <c r="A107" s="30" t="s">
        <v>412</v>
      </c>
      <c r="B107" t="s">
        <v>880</v>
      </c>
      <c r="C107" t="s">
        <v>881</v>
      </c>
      <c r="D107" s="30" t="s">
        <v>1755</v>
      </c>
      <c r="E107" s="30" t="s">
        <v>1755</v>
      </c>
    </row>
    <row r="108" spans="1:7" x14ac:dyDescent="0.25">
      <c r="A108" s="30" t="s">
        <v>2586</v>
      </c>
      <c r="B108" t="s">
        <v>2595</v>
      </c>
      <c r="C108" t="s">
        <v>2596</v>
      </c>
      <c r="D108" s="30" t="s">
        <v>2597</v>
      </c>
      <c r="E108" s="30" t="s">
        <v>2597</v>
      </c>
    </row>
    <row r="109" spans="1:7" x14ac:dyDescent="0.25">
      <c r="A109" s="30" t="s">
        <v>2586</v>
      </c>
      <c r="B109" t="s">
        <v>2598</v>
      </c>
      <c r="C109" t="s">
        <v>2599</v>
      </c>
      <c r="D109" s="30" t="s">
        <v>2600</v>
      </c>
      <c r="E109" s="30" t="s">
        <v>2600</v>
      </c>
    </row>
    <row r="110" spans="1:7" x14ac:dyDescent="0.25">
      <c r="A110" s="30" t="s">
        <v>2586</v>
      </c>
      <c r="B110" t="s">
        <v>2601</v>
      </c>
      <c r="C110" t="s">
        <v>2602</v>
      </c>
      <c r="D110" s="30" t="s">
        <v>2603</v>
      </c>
      <c r="E110" s="30" t="s">
        <v>2603</v>
      </c>
      <c r="F110" t="s">
        <v>3088</v>
      </c>
      <c r="G110" t="s">
        <v>3089</v>
      </c>
    </row>
    <row r="111" spans="1:7" x14ac:dyDescent="0.25">
      <c r="A111" s="30" t="s">
        <v>2586</v>
      </c>
      <c r="B111" t="s">
        <v>2604</v>
      </c>
      <c r="C111" t="s">
        <v>2605</v>
      </c>
      <c r="D111" s="30" t="s">
        <v>3090</v>
      </c>
      <c r="E111" s="30" t="s">
        <v>3090</v>
      </c>
      <c r="F111" t="s">
        <v>3060</v>
      </c>
      <c r="G111" t="s">
        <v>3091</v>
      </c>
    </row>
    <row r="112" spans="1:7" x14ac:dyDescent="0.25">
      <c r="A112" s="30" t="s">
        <v>2586</v>
      </c>
      <c r="B112" t="s">
        <v>2606</v>
      </c>
      <c r="C112" t="s">
        <v>2607</v>
      </c>
      <c r="D112" s="30" t="s">
        <v>2608</v>
      </c>
      <c r="E112" s="30" t="s">
        <v>2608</v>
      </c>
    </row>
    <row r="113" spans="1:7" x14ac:dyDescent="0.25">
      <c r="A113" s="30" t="s">
        <v>2586</v>
      </c>
      <c r="B113" t="s">
        <v>2609</v>
      </c>
      <c r="C113" t="s">
        <v>2610</v>
      </c>
      <c r="D113" s="30" t="s">
        <v>3092</v>
      </c>
      <c r="E113" s="30" t="s">
        <v>3092</v>
      </c>
    </row>
    <row r="114" spans="1:7" x14ac:dyDescent="0.25">
      <c r="A114" s="30" t="s">
        <v>2586</v>
      </c>
      <c r="B114" t="s">
        <v>2611</v>
      </c>
      <c r="C114" t="s">
        <v>2612</v>
      </c>
      <c r="D114" s="30" t="s">
        <v>3093</v>
      </c>
      <c r="E114" s="30" t="s">
        <v>3093</v>
      </c>
    </row>
    <row r="115" spans="1:7" x14ac:dyDescent="0.25">
      <c r="A115" s="30" t="s">
        <v>412</v>
      </c>
      <c r="B115" t="s">
        <v>1756</v>
      </c>
      <c r="C115" t="s">
        <v>1757</v>
      </c>
      <c r="D115" s="30" t="s">
        <v>3094</v>
      </c>
      <c r="E115" s="30" t="s">
        <v>3094</v>
      </c>
      <c r="F115" t="s">
        <v>3095</v>
      </c>
      <c r="G115" t="s">
        <v>3029</v>
      </c>
    </row>
    <row r="116" spans="1:7" x14ac:dyDescent="0.25">
      <c r="A116" s="30" t="s">
        <v>412</v>
      </c>
      <c r="B116" t="s">
        <v>1758</v>
      </c>
      <c r="C116" t="s">
        <v>1759</v>
      </c>
      <c r="D116" s="30" t="s">
        <v>3096</v>
      </c>
      <c r="E116" s="30" t="s">
        <v>3096</v>
      </c>
      <c r="F116" t="s">
        <v>3025</v>
      </c>
      <c r="G116" t="s">
        <v>3074</v>
      </c>
    </row>
    <row r="117" spans="1:7" x14ac:dyDescent="0.25">
      <c r="A117" s="30" t="s">
        <v>412</v>
      </c>
      <c r="B117" t="s">
        <v>1760</v>
      </c>
      <c r="C117" t="s">
        <v>1761</v>
      </c>
      <c r="D117" s="30" t="s">
        <v>2613</v>
      </c>
      <c r="E117" s="30" t="s">
        <v>2613</v>
      </c>
      <c r="F117" t="s">
        <v>3040</v>
      </c>
      <c r="G117" t="s">
        <v>3041</v>
      </c>
    </row>
    <row r="118" spans="1:7" x14ac:dyDescent="0.25">
      <c r="A118" s="30" t="s">
        <v>412</v>
      </c>
      <c r="B118" t="s">
        <v>1762</v>
      </c>
      <c r="C118" t="s">
        <v>1763</v>
      </c>
      <c r="D118" s="30" t="s">
        <v>3097</v>
      </c>
      <c r="E118" s="30" t="s">
        <v>3097</v>
      </c>
      <c r="F118" t="s">
        <v>3028</v>
      </c>
      <c r="G118" t="s">
        <v>3098</v>
      </c>
    </row>
    <row r="119" spans="1:7" x14ac:dyDescent="0.25">
      <c r="A119" s="30" t="s">
        <v>412</v>
      </c>
      <c r="B119" t="s">
        <v>1764</v>
      </c>
      <c r="C119" t="s">
        <v>1765</v>
      </c>
      <c r="D119" s="30" t="s">
        <v>3099</v>
      </c>
      <c r="E119" s="30" t="s">
        <v>3099</v>
      </c>
      <c r="F119" t="s">
        <v>3028</v>
      </c>
      <c r="G119" t="s">
        <v>3098</v>
      </c>
    </row>
    <row r="120" spans="1:7" x14ac:dyDescent="0.25">
      <c r="A120" s="30" t="s">
        <v>412</v>
      </c>
      <c r="B120" t="s">
        <v>391</v>
      </c>
      <c r="C120" t="s">
        <v>434</v>
      </c>
      <c r="D120" s="30" t="s">
        <v>3100</v>
      </c>
      <c r="E120" s="30" t="s">
        <v>3100</v>
      </c>
    </row>
    <row r="121" spans="1:7" x14ac:dyDescent="0.25">
      <c r="A121" s="30" t="s">
        <v>412</v>
      </c>
      <c r="B121" t="s">
        <v>392</v>
      </c>
      <c r="C121" t="s">
        <v>435</v>
      </c>
      <c r="D121" s="30" t="s">
        <v>3101</v>
      </c>
      <c r="E121" s="30" t="s">
        <v>3101</v>
      </c>
    </row>
    <row r="122" spans="1:7" x14ac:dyDescent="0.25">
      <c r="A122" s="30" t="s">
        <v>412</v>
      </c>
      <c r="B122" t="s">
        <v>1766</v>
      </c>
      <c r="C122" t="s">
        <v>1767</v>
      </c>
      <c r="D122" s="30" t="s">
        <v>2614</v>
      </c>
      <c r="E122" s="30" t="s">
        <v>2614</v>
      </c>
      <c r="F122" t="s">
        <v>3025</v>
      </c>
      <c r="G122" t="s">
        <v>3074</v>
      </c>
    </row>
    <row r="123" spans="1:7" x14ac:dyDescent="0.25">
      <c r="A123" s="30" t="s">
        <v>412</v>
      </c>
      <c r="B123" t="s">
        <v>393</v>
      </c>
      <c r="C123" t="s">
        <v>436</v>
      </c>
      <c r="D123" s="30" t="s">
        <v>3102</v>
      </c>
      <c r="E123" s="30" t="s">
        <v>3102</v>
      </c>
    </row>
    <row r="124" spans="1:7" x14ac:dyDescent="0.25">
      <c r="A124" s="30" t="s">
        <v>412</v>
      </c>
      <c r="B124" t="s">
        <v>394</v>
      </c>
      <c r="C124" t="s">
        <v>437</v>
      </c>
      <c r="D124" s="30" t="s">
        <v>3103</v>
      </c>
      <c r="E124" s="30" t="s">
        <v>3103</v>
      </c>
    </row>
    <row r="125" spans="1:7" x14ac:dyDescent="0.25">
      <c r="A125" s="30" t="s">
        <v>412</v>
      </c>
      <c r="B125" t="s">
        <v>636</v>
      </c>
      <c r="C125" t="s">
        <v>637</v>
      </c>
      <c r="D125" s="30" t="s">
        <v>2615</v>
      </c>
      <c r="E125" s="30" t="s">
        <v>2615</v>
      </c>
      <c r="F125" t="s">
        <v>3104</v>
      </c>
      <c r="G125" t="s">
        <v>3105</v>
      </c>
    </row>
    <row r="126" spans="1:7" x14ac:dyDescent="0.25">
      <c r="A126" s="30" t="s">
        <v>412</v>
      </c>
      <c r="B126" t="s">
        <v>2616</v>
      </c>
      <c r="C126" t="s">
        <v>2617</v>
      </c>
      <c r="D126" s="30" t="s">
        <v>2618</v>
      </c>
      <c r="E126" s="30" t="s">
        <v>2618</v>
      </c>
      <c r="F126" t="s">
        <v>3038</v>
      </c>
      <c r="G126" t="s">
        <v>3039</v>
      </c>
    </row>
    <row r="127" spans="1:7" x14ac:dyDescent="0.25">
      <c r="A127" s="30" t="s">
        <v>412</v>
      </c>
      <c r="B127" t="s">
        <v>517</v>
      </c>
      <c r="C127" t="s">
        <v>518</v>
      </c>
      <c r="D127" s="30" t="s">
        <v>2619</v>
      </c>
      <c r="E127" s="30" t="s">
        <v>2619</v>
      </c>
      <c r="F127" t="s">
        <v>3028</v>
      </c>
      <c r="G127" t="s">
        <v>3098</v>
      </c>
    </row>
    <row r="128" spans="1:7" x14ac:dyDescent="0.25">
      <c r="A128" s="30" t="s">
        <v>412</v>
      </c>
      <c r="B128" t="s">
        <v>882</v>
      </c>
      <c r="C128" t="s">
        <v>883</v>
      </c>
      <c r="D128" s="30" t="s">
        <v>2620</v>
      </c>
      <c r="E128" s="30" t="s">
        <v>2620</v>
      </c>
      <c r="F128" t="s">
        <v>3040</v>
      </c>
      <c r="G128" t="s">
        <v>3041</v>
      </c>
    </row>
    <row r="129" spans="1:7" x14ac:dyDescent="0.25">
      <c r="A129" s="30" t="s">
        <v>2586</v>
      </c>
      <c r="B129" t="s">
        <v>2621</v>
      </c>
      <c r="C129" t="s">
        <v>2622</v>
      </c>
      <c r="D129" s="30" t="s">
        <v>2623</v>
      </c>
      <c r="E129" s="30" t="s">
        <v>2623</v>
      </c>
    </row>
    <row r="130" spans="1:7" x14ac:dyDescent="0.25">
      <c r="A130" s="30" t="s">
        <v>2586</v>
      </c>
      <c r="B130" t="s">
        <v>2624</v>
      </c>
      <c r="C130" t="s">
        <v>2625</v>
      </c>
      <c r="D130" s="30" t="s">
        <v>2626</v>
      </c>
      <c r="E130" s="30" t="s">
        <v>2626</v>
      </c>
    </row>
    <row r="131" spans="1:7" x14ac:dyDescent="0.25">
      <c r="A131" s="30" t="s">
        <v>2586</v>
      </c>
      <c r="B131" t="s">
        <v>2627</v>
      </c>
      <c r="C131" t="s">
        <v>2628</v>
      </c>
      <c r="D131" s="30" t="s">
        <v>2629</v>
      </c>
      <c r="E131" s="30" t="s">
        <v>2629</v>
      </c>
      <c r="F131" t="s">
        <v>3088</v>
      </c>
      <c r="G131" t="s">
        <v>3089</v>
      </c>
    </row>
    <row r="132" spans="1:7" x14ac:dyDescent="0.25">
      <c r="A132" s="30" t="s">
        <v>2586</v>
      </c>
      <c r="B132" t="s">
        <v>2630</v>
      </c>
      <c r="C132" t="s">
        <v>2631</v>
      </c>
      <c r="D132" s="30" t="s">
        <v>3106</v>
      </c>
      <c r="E132" s="30" t="s">
        <v>3106</v>
      </c>
      <c r="F132" t="s">
        <v>3060</v>
      </c>
      <c r="G132" t="s">
        <v>3091</v>
      </c>
    </row>
    <row r="133" spans="1:7" x14ac:dyDescent="0.25">
      <c r="A133" s="30" t="s">
        <v>2586</v>
      </c>
      <c r="B133" t="s">
        <v>2632</v>
      </c>
      <c r="C133" t="s">
        <v>2633</v>
      </c>
      <c r="D133" s="30" t="s">
        <v>2634</v>
      </c>
      <c r="E133" s="30" t="s">
        <v>2634</v>
      </c>
    </row>
    <row r="134" spans="1:7" x14ac:dyDescent="0.25">
      <c r="A134" s="30" t="s">
        <v>2586</v>
      </c>
      <c r="B134" t="s">
        <v>2635</v>
      </c>
      <c r="C134" t="s">
        <v>2636</v>
      </c>
      <c r="D134" s="30" t="s">
        <v>3107</v>
      </c>
      <c r="E134" s="30" t="s">
        <v>3107</v>
      </c>
    </row>
    <row r="135" spans="1:7" x14ac:dyDescent="0.25">
      <c r="A135" s="30" t="s">
        <v>2586</v>
      </c>
      <c r="B135" t="s">
        <v>2637</v>
      </c>
      <c r="C135" t="s">
        <v>2638</v>
      </c>
      <c r="D135" s="30" t="s">
        <v>3108</v>
      </c>
      <c r="E135" s="30" t="s">
        <v>3108</v>
      </c>
    </row>
    <row r="136" spans="1:7" x14ac:dyDescent="0.25">
      <c r="A136" s="30" t="s">
        <v>1251</v>
      </c>
      <c r="B136" t="s">
        <v>1274</v>
      </c>
      <c r="C136" t="s">
        <v>1275</v>
      </c>
      <c r="D136" s="30" t="s">
        <v>2639</v>
      </c>
      <c r="E136" s="30" t="s">
        <v>2639</v>
      </c>
      <c r="F136" t="s">
        <v>3109</v>
      </c>
      <c r="G136" t="s">
        <v>3110</v>
      </c>
    </row>
    <row r="137" spans="1:7" x14ac:dyDescent="0.25">
      <c r="A137" s="30" t="s">
        <v>412</v>
      </c>
      <c r="B137" t="s">
        <v>2640</v>
      </c>
      <c r="C137" t="s">
        <v>2641</v>
      </c>
      <c r="D137" s="30" t="s">
        <v>2642</v>
      </c>
      <c r="E137" s="30" t="s">
        <v>2642</v>
      </c>
    </row>
    <row r="138" spans="1:7" x14ac:dyDescent="0.25">
      <c r="A138" s="30" t="s">
        <v>412</v>
      </c>
      <c r="B138" t="s">
        <v>2643</v>
      </c>
      <c r="C138" t="s">
        <v>2644</v>
      </c>
      <c r="D138" s="30" t="s">
        <v>2645</v>
      </c>
      <c r="E138" s="30" t="s">
        <v>2645</v>
      </c>
    </row>
    <row r="139" spans="1:7" x14ac:dyDescent="0.25">
      <c r="A139" s="30" t="s">
        <v>412</v>
      </c>
      <c r="B139" t="s">
        <v>2646</v>
      </c>
      <c r="C139" t="s">
        <v>2647</v>
      </c>
      <c r="D139" s="30" t="s">
        <v>2648</v>
      </c>
      <c r="E139" s="30" t="s">
        <v>2648</v>
      </c>
    </row>
    <row r="140" spans="1:7" x14ac:dyDescent="0.25">
      <c r="A140" s="30" t="s">
        <v>412</v>
      </c>
      <c r="B140" t="s">
        <v>884</v>
      </c>
      <c r="C140" t="s">
        <v>885</v>
      </c>
      <c r="D140" s="30" t="s">
        <v>3111</v>
      </c>
      <c r="E140" s="30" t="s">
        <v>3111</v>
      </c>
      <c r="F140" t="s">
        <v>3060</v>
      </c>
      <c r="G140" t="s">
        <v>3029</v>
      </c>
    </row>
    <row r="141" spans="1:7" x14ac:dyDescent="0.25">
      <c r="A141" s="30" t="s">
        <v>412</v>
      </c>
      <c r="B141" t="s">
        <v>886</v>
      </c>
      <c r="C141" t="s">
        <v>887</v>
      </c>
      <c r="D141" s="30" t="s">
        <v>2649</v>
      </c>
      <c r="E141" s="30" t="s">
        <v>2649</v>
      </c>
      <c r="F141" t="s">
        <v>3060</v>
      </c>
      <c r="G141" t="s">
        <v>3029</v>
      </c>
    </row>
    <row r="142" spans="1:7" x14ac:dyDescent="0.25">
      <c r="A142" s="30" t="s">
        <v>412</v>
      </c>
      <c r="B142" t="s">
        <v>888</v>
      </c>
      <c r="C142" t="s">
        <v>889</v>
      </c>
      <c r="D142" s="30" t="s">
        <v>2650</v>
      </c>
      <c r="E142" s="30" t="s">
        <v>2650</v>
      </c>
      <c r="F142" t="s">
        <v>3112</v>
      </c>
      <c r="G142" t="s">
        <v>3113</v>
      </c>
    </row>
    <row r="143" spans="1:7" x14ac:dyDescent="0.25">
      <c r="A143" s="30" t="s">
        <v>412</v>
      </c>
      <c r="B143" t="s">
        <v>638</v>
      </c>
      <c r="C143" t="s">
        <v>639</v>
      </c>
      <c r="D143" s="30" t="s">
        <v>2651</v>
      </c>
      <c r="E143" s="30" t="s">
        <v>2651</v>
      </c>
    </row>
    <row r="144" spans="1:7" x14ac:dyDescent="0.25">
      <c r="A144" s="30" t="s">
        <v>412</v>
      </c>
      <c r="B144" t="s">
        <v>640</v>
      </c>
      <c r="C144" t="s">
        <v>641</v>
      </c>
      <c r="D144" s="30" t="s">
        <v>2652</v>
      </c>
      <c r="E144" s="30" t="s">
        <v>2652</v>
      </c>
    </row>
    <row r="145" spans="1:7" x14ac:dyDescent="0.25">
      <c r="A145" s="30" t="s">
        <v>1251</v>
      </c>
      <c r="B145" t="s">
        <v>1469</v>
      </c>
      <c r="C145" t="s">
        <v>1769</v>
      </c>
      <c r="D145" s="30" t="s">
        <v>2653</v>
      </c>
      <c r="E145" s="30" t="s">
        <v>2653</v>
      </c>
      <c r="F145" t="s">
        <v>3114</v>
      </c>
      <c r="G145" t="s">
        <v>3115</v>
      </c>
    </row>
    <row r="146" spans="1:7" x14ac:dyDescent="0.25">
      <c r="A146" s="30" t="s">
        <v>412</v>
      </c>
      <c r="B146" t="s">
        <v>2424</v>
      </c>
      <c r="C146" t="s">
        <v>2654</v>
      </c>
      <c r="D146" s="30" t="s">
        <v>2655</v>
      </c>
      <c r="E146" s="30" t="s">
        <v>2655</v>
      </c>
      <c r="F146" t="s">
        <v>3028</v>
      </c>
      <c r="G146" t="s">
        <v>3082</v>
      </c>
    </row>
    <row r="147" spans="1:7" x14ac:dyDescent="0.25">
      <c r="A147" s="30" t="s">
        <v>412</v>
      </c>
      <c r="B147" t="s">
        <v>642</v>
      </c>
      <c r="C147" t="s">
        <v>643</v>
      </c>
      <c r="D147" s="30" t="s">
        <v>1729</v>
      </c>
      <c r="E147" s="30" t="s">
        <v>1729</v>
      </c>
    </row>
    <row r="148" spans="1:7" x14ac:dyDescent="0.25">
      <c r="A148" s="30" t="s">
        <v>412</v>
      </c>
      <c r="B148" t="s">
        <v>395</v>
      </c>
      <c r="C148" t="s">
        <v>438</v>
      </c>
      <c r="D148" s="30" t="s">
        <v>2656</v>
      </c>
      <c r="E148" s="30" t="s">
        <v>2656</v>
      </c>
    </row>
    <row r="149" spans="1:7" x14ac:dyDescent="0.25">
      <c r="A149" s="30" t="s">
        <v>412</v>
      </c>
      <c r="B149" t="s">
        <v>1099</v>
      </c>
      <c r="C149" t="s">
        <v>1100</v>
      </c>
      <c r="D149" s="30" t="s">
        <v>2657</v>
      </c>
      <c r="E149" s="30" t="s">
        <v>2657</v>
      </c>
    </row>
    <row r="150" spans="1:7" x14ac:dyDescent="0.25">
      <c r="A150" s="30" t="s">
        <v>412</v>
      </c>
      <c r="B150" t="s">
        <v>396</v>
      </c>
      <c r="C150" t="s">
        <v>439</v>
      </c>
      <c r="D150" s="30" t="s">
        <v>2658</v>
      </c>
      <c r="E150" s="30" t="s">
        <v>2658</v>
      </c>
    </row>
    <row r="151" spans="1:7" x14ac:dyDescent="0.25">
      <c r="A151" s="30" t="s">
        <v>412</v>
      </c>
      <c r="B151" t="s">
        <v>397</v>
      </c>
      <c r="C151" t="s">
        <v>440</v>
      </c>
      <c r="D151" s="30" t="s">
        <v>1805</v>
      </c>
      <c r="E151" s="30" t="s">
        <v>1805</v>
      </c>
      <c r="F151" t="s">
        <v>3031</v>
      </c>
      <c r="G151" t="s">
        <v>3026</v>
      </c>
    </row>
    <row r="152" spans="1:7" x14ac:dyDescent="0.25">
      <c r="A152" s="30" t="s">
        <v>412</v>
      </c>
      <c r="B152" t="s">
        <v>2160</v>
      </c>
      <c r="C152" t="s">
        <v>2161</v>
      </c>
      <c r="D152" s="30" t="s">
        <v>2659</v>
      </c>
      <c r="E152" s="30" t="s">
        <v>2659</v>
      </c>
    </row>
    <row r="153" spans="1:7" x14ac:dyDescent="0.25">
      <c r="A153" s="30" t="s">
        <v>412</v>
      </c>
      <c r="B153" t="s">
        <v>2660</v>
      </c>
      <c r="C153" t="s">
        <v>2661</v>
      </c>
      <c r="D153" s="30" t="s">
        <v>2662</v>
      </c>
      <c r="E153" s="30" t="s">
        <v>2662</v>
      </c>
      <c r="F153" t="s">
        <v>3060</v>
      </c>
      <c r="G153" t="s">
        <v>3029</v>
      </c>
    </row>
    <row r="154" spans="1:7" x14ac:dyDescent="0.25">
      <c r="A154" s="30" t="s">
        <v>412</v>
      </c>
      <c r="B154" t="s">
        <v>1101</v>
      </c>
      <c r="C154" t="s">
        <v>1102</v>
      </c>
      <c r="D154" s="30" t="s">
        <v>2663</v>
      </c>
      <c r="E154" s="30" t="s">
        <v>2663</v>
      </c>
    </row>
    <row r="155" spans="1:7" x14ac:dyDescent="0.25">
      <c r="A155" s="30" t="s">
        <v>412</v>
      </c>
      <c r="B155" t="s">
        <v>890</v>
      </c>
      <c r="C155" t="s">
        <v>891</v>
      </c>
      <c r="D155" s="30" t="s">
        <v>2664</v>
      </c>
      <c r="E155" s="30" t="s">
        <v>2664</v>
      </c>
    </row>
    <row r="156" spans="1:7" x14ac:dyDescent="0.25">
      <c r="A156" s="30" t="s">
        <v>412</v>
      </c>
      <c r="B156" t="s">
        <v>2665</v>
      </c>
      <c r="C156" t="s">
        <v>2666</v>
      </c>
      <c r="D156" s="30" t="s">
        <v>2667</v>
      </c>
      <c r="E156" s="30" t="s">
        <v>2667</v>
      </c>
    </row>
    <row r="157" spans="1:7" x14ac:dyDescent="0.25">
      <c r="A157" s="30" t="s">
        <v>412</v>
      </c>
      <c r="B157" t="s">
        <v>644</v>
      </c>
      <c r="C157" t="s">
        <v>645</v>
      </c>
      <c r="D157" s="30" t="s">
        <v>2668</v>
      </c>
      <c r="E157" s="30" t="s">
        <v>2668</v>
      </c>
      <c r="F157" t="s">
        <v>3031</v>
      </c>
      <c r="G157" t="s">
        <v>3026</v>
      </c>
    </row>
    <row r="158" spans="1:7" x14ac:dyDescent="0.25">
      <c r="A158" s="30" t="s">
        <v>412</v>
      </c>
      <c r="B158" t="s">
        <v>892</v>
      </c>
      <c r="C158" t="s">
        <v>893</v>
      </c>
      <c r="D158" s="30" t="s">
        <v>2669</v>
      </c>
      <c r="E158" s="30" t="s">
        <v>2669</v>
      </c>
    </row>
    <row r="159" spans="1:7" x14ac:dyDescent="0.25">
      <c r="A159" s="30" t="s">
        <v>412</v>
      </c>
      <c r="B159" t="s">
        <v>398</v>
      </c>
      <c r="C159" t="s">
        <v>441</v>
      </c>
      <c r="D159" s="30" t="s">
        <v>2670</v>
      </c>
      <c r="E159" s="30" t="s">
        <v>2670</v>
      </c>
    </row>
    <row r="160" spans="1:7" x14ac:dyDescent="0.25">
      <c r="A160" s="30" t="s">
        <v>412</v>
      </c>
      <c r="B160" t="s">
        <v>519</v>
      </c>
      <c r="C160" t="s">
        <v>520</v>
      </c>
      <c r="D160" s="30" t="s">
        <v>521</v>
      </c>
      <c r="E160" s="30" t="s">
        <v>521</v>
      </c>
    </row>
    <row r="161" spans="1:7" x14ac:dyDescent="0.25">
      <c r="A161" s="30" t="s">
        <v>412</v>
      </c>
      <c r="B161" t="s">
        <v>1770</v>
      </c>
      <c r="C161" t="s">
        <v>1771</v>
      </c>
      <c r="D161" s="30" t="s">
        <v>1772</v>
      </c>
      <c r="E161" s="30" t="s">
        <v>1772</v>
      </c>
      <c r="F161" t="s">
        <v>3116</v>
      </c>
      <c r="G161" t="s">
        <v>3081</v>
      </c>
    </row>
    <row r="162" spans="1:7" x14ac:dyDescent="0.25">
      <c r="A162" s="30" t="s">
        <v>412</v>
      </c>
      <c r="B162" t="s">
        <v>1773</v>
      </c>
      <c r="C162" t="s">
        <v>1774</v>
      </c>
      <c r="D162" s="30" t="s">
        <v>3117</v>
      </c>
      <c r="E162" s="30" t="s">
        <v>3117</v>
      </c>
      <c r="F162" t="s">
        <v>3095</v>
      </c>
      <c r="G162" t="s">
        <v>3029</v>
      </c>
    </row>
    <row r="163" spans="1:7" x14ac:dyDescent="0.25">
      <c r="A163" s="30" t="s">
        <v>412</v>
      </c>
      <c r="B163" t="s">
        <v>1775</v>
      </c>
      <c r="C163" t="s">
        <v>1776</v>
      </c>
      <c r="D163" s="30" t="s">
        <v>2671</v>
      </c>
      <c r="E163" s="30" t="s">
        <v>2671</v>
      </c>
      <c r="F163" t="s">
        <v>3040</v>
      </c>
      <c r="G163" t="s">
        <v>3041</v>
      </c>
    </row>
    <row r="164" spans="1:7" x14ac:dyDescent="0.25">
      <c r="A164" s="30" t="s">
        <v>412</v>
      </c>
      <c r="B164" t="s">
        <v>1777</v>
      </c>
      <c r="C164" t="s">
        <v>1778</v>
      </c>
      <c r="D164" s="30" t="s">
        <v>1779</v>
      </c>
      <c r="E164" s="30" t="s">
        <v>1779</v>
      </c>
      <c r="F164" t="s">
        <v>3028</v>
      </c>
      <c r="G164" t="s">
        <v>3098</v>
      </c>
    </row>
    <row r="165" spans="1:7" x14ac:dyDescent="0.25">
      <c r="A165" s="30" t="s">
        <v>412</v>
      </c>
      <c r="B165" t="s">
        <v>1780</v>
      </c>
      <c r="C165" t="s">
        <v>1781</v>
      </c>
      <c r="D165" s="30" t="s">
        <v>1782</v>
      </c>
      <c r="E165" s="30" t="s">
        <v>1782</v>
      </c>
      <c r="F165" t="s">
        <v>3028</v>
      </c>
      <c r="G165" t="s">
        <v>3098</v>
      </c>
    </row>
    <row r="166" spans="1:7" x14ac:dyDescent="0.25">
      <c r="A166" s="30" t="s">
        <v>412</v>
      </c>
      <c r="B166" t="s">
        <v>2162</v>
      </c>
      <c r="C166" t="s">
        <v>2163</v>
      </c>
      <c r="D166" s="30" t="s">
        <v>2164</v>
      </c>
      <c r="E166" s="30" t="s">
        <v>2164</v>
      </c>
    </row>
    <row r="167" spans="1:7" x14ac:dyDescent="0.25">
      <c r="A167" s="30" t="s">
        <v>412</v>
      </c>
      <c r="B167" t="s">
        <v>399</v>
      </c>
      <c r="C167" t="s">
        <v>442</v>
      </c>
      <c r="D167" s="30" t="s">
        <v>3118</v>
      </c>
      <c r="E167" s="30" t="s">
        <v>3118</v>
      </c>
      <c r="F167" t="s">
        <v>3020</v>
      </c>
      <c r="G167" t="s">
        <v>3119</v>
      </c>
    </row>
    <row r="168" spans="1:7" x14ac:dyDescent="0.25">
      <c r="A168" s="30" t="s">
        <v>412</v>
      </c>
      <c r="B168" t="s">
        <v>400</v>
      </c>
      <c r="C168" t="s">
        <v>443</v>
      </c>
      <c r="D168" s="30" t="s">
        <v>3120</v>
      </c>
      <c r="E168" s="30" t="s">
        <v>3120</v>
      </c>
      <c r="F168" t="s">
        <v>3114</v>
      </c>
      <c r="G168" t="s">
        <v>3121</v>
      </c>
    </row>
    <row r="169" spans="1:7" x14ac:dyDescent="0.25">
      <c r="A169" s="30" t="s">
        <v>412</v>
      </c>
      <c r="B169" t="s">
        <v>1783</v>
      </c>
      <c r="C169" t="s">
        <v>1784</v>
      </c>
      <c r="D169" s="30" t="s">
        <v>1785</v>
      </c>
      <c r="E169" s="30" t="s">
        <v>1785</v>
      </c>
      <c r="F169" t="s">
        <v>3122</v>
      </c>
      <c r="G169" t="s">
        <v>3123</v>
      </c>
    </row>
    <row r="170" spans="1:7" x14ac:dyDescent="0.25">
      <c r="A170" s="30" t="s">
        <v>412</v>
      </c>
      <c r="B170" t="s">
        <v>2165</v>
      </c>
      <c r="C170" t="s">
        <v>2166</v>
      </c>
      <c r="D170" s="30" t="s">
        <v>2167</v>
      </c>
      <c r="E170" s="30" t="s">
        <v>2167</v>
      </c>
      <c r="F170" t="s">
        <v>3031</v>
      </c>
      <c r="G170" t="s">
        <v>3029</v>
      </c>
    </row>
    <row r="171" spans="1:7" x14ac:dyDescent="0.25">
      <c r="A171" s="30" t="s">
        <v>412</v>
      </c>
      <c r="B171" t="s">
        <v>2168</v>
      </c>
      <c r="C171" t="s">
        <v>2169</v>
      </c>
      <c r="D171" s="30" t="s">
        <v>2170</v>
      </c>
      <c r="E171" s="30" t="s">
        <v>2170</v>
      </c>
      <c r="F171" t="s">
        <v>3060</v>
      </c>
      <c r="G171" t="s">
        <v>3029</v>
      </c>
    </row>
    <row r="172" spans="1:7" x14ac:dyDescent="0.25">
      <c r="A172" s="30" t="s">
        <v>412</v>
      </c>
      <c r="B172" t="s">
        <v>2171</v>
      </c>
      <c r="C172" t="s">
        <v>2172</v>
      </c>
      <c r="D172" s="30" t="s">
        <v>2173</v>
      </c>
      <c r="E172" s="30" t="s">
        <v>2173</v>
      </c>
      <c r="F172" t="s">
        <v>3060</v>
      </c>
      <c r="G172" t="s">
        <v>3061</v>
      </c>
    </row>
    <row r="173" spans="1:7" x14ac:dyDescent="0.25">
      <c r="A173" s="30" t="s">
        <v>412</v>
      </c>
      <c r="B173" t="s">
        <v>1786</v>
      </c>
      <c r="C173" t="s">
        <v>1787</v>
      </c>
      <c r="D173" s="30" t="s">
        <v>2672</v>
      </c>
      <c r="E173" s="30" t="s">
        <v>2672</v>
      </c>
      <c r="F173" t="s">
        <v>3025</v>
      </c>
      <c r="G173" t="s">
        <v>3074</v>
      </c>
    </row>
    <row r="174" spans="1:7" x14ac:dyDescent="0.25">
      <c r="A174" s="30" t="s">
        <v>412</v>
      </c>
      <c r="B174" t="s">
        <v>1788</v>
      </c>
      <c r="C174" t="s">
        <v>1789</v>
      </c>
      <c r="D174" s="30" t="s">
        <v>3124</v>
      </c>
      <c r="E174" s="30" t="s">
        <v>3124</v>
      </c>
      <c r="F174" t="s">
        <v>3044</v>
      </c>
      <c r="G174" t="s">
        <v>3045</v>
      </c>
    </row>
    <row r="175" spans="1:7" x14ac:dyDescent="0.25">
      <c r="A175" s="30" t="s">
        <v>412</v>
      </c>
      <c r="B175" t="s">
        <v>1790</v>
      </c>
      <c r="C175" t="s">
        <v>1791</v>
      </c>
      <c r="D175" s="30" t="s">
        <v>1792</v>
      </c>
      <c r="E175" s="30" t="s">
        <v>1792</v>
      </c>
      <c r="F175" t="s">
        <v>3054</v>
      </c>
      <c r="G175" t="s">
        <v>3055</v>
      </c>
    </row>
    <row r="176" spans="1:7" x14ac:dyDescent="0.25">
      <c r="A176" s="30" t="s">
        <v>412</v>
      </c>
      <c r="B176" t="s">
        <v>1793</v>
      </c>
      <c r="C176" t="s">
        <v>1794</v>
      </c>
      <c r="D176" s="30" t="s">
        <v>1795</v>
      </c>
      <c r="E176" s="30" t="s">
        <v>1795</v>
      </c>
    </row>
    <row r="177" spans="1:7" x14ac:dyDescent="0.25">
      <c r="A177" s="30" t="s">
        <v>412</v>
      </c>
      <c r="B177" t="s">
        <v>1796</v>
      </c>
      <c r="C177" t="s">
        <v>1797</v>
      </c>
      <c r="D177" s="30" t="s">
        <v>1798</v>
      </c>
      <c r="E177" s="30" t="s">
        <v>1798</v>
      </c>
      <c r="F177" t="s">
        <v>3054</v>
      </c>
      <c r="G177" t="s">
        <v>3055</v>
      </c>
    </row>
    <row r="178" spans="1:7" x14ac:dyDescent="0.25">
      <c r="A178" s="30" t="s">
        <v>412</v>
      </c>
      <c r="B178" t="s">
        <v>1799</v>
      </c>
      <c r="C178" t="s">
        <v>1800</v>
      </c>
      <c r="D178" s="30" t="s">
        <v>1801</v>
      </c>
      <c r="E178" s="30" t="s">
        <v>1801</v>
      </c>
      <c r="F178" t="s">
        <v>3060</v>
      </c>
      <c r="G178" t="s">
        <v>3029</v>
      </c>
    </row>
    <row r="179" spans="1:7" x14ac:dyDescent="0.25">
      <c r="A179" s="30" t="s">
        <v>412</v>
      </c>
      <c r="B179" t="s">
        <v>1802</v>
      </c>
      <c r="C179" t="s">
        <v>1803</v>
      </c>
      <c r="D179" s="30" t="s">
        <v>1804</v>
      </c>
      <c r="E179" s="30" t="s">
        <v>1804</v>
      </c>
    </row>
    <row r="180" spans="1:7" x14ac:dyDescent="0.25">
      <c r="A180" s="30" t="s">
        <v>412</v>
      </c>
      <c r="B180" t="s">
        <v>401</v>
      </c>
      <c r="C180" t="s">
        <v>444</v>
      </c>
      <c r="D180" s="30" t="s">
        <v>3125</v>
      </c>
      <c r="E180" s="30" t="s">
        <v>3125</v>
      </c>
      <c r="F180" t="s">
        <v>3028</v>
      </c>
      <c r="G180" t="s">
        <v>3098</v>
      </c>
    </row>
    <row r="181" spans="1:7" x14ac:dyDescent="0.25">
      <c r="A181" s="30" t="s">
        <v>412</v>
      </c>
      <c r="B181" t="s">
        <v>402</v>
      </c>
      <c r="C181" t="s">
        <v>445</v>
      </c>
      <c r="D181" s="30" t="s">
        <v>3126</v>
      </c>
      <c r="E181" s="30" t="s">
        <v>3126</v>
      </c>
      <c r="F181" t="s">
        <v>3028</v>
      </c>
      <c r="G181" t="s">
        <v>3098</v>
      </c>
    </row>
    <row r="182" spans="1:7" x14ac:dyDescent="0.25">
      <c r="A182" s="30" t="s">
        <v>412</v>
      </c>
      <c r="B182" t="s">
        <v>646</v>
      </c>
      <c r="C182" t="s">
        <v>647</v>
      </c>
      <c r="D182" s="30" t="s">
        <v>2673</v>
      </c>
      <c r="E182" s="30" t="s">
        <v>2673</v>
      </c>
      <c r="F182" t="s">
        <v>3034</v>
      </c>
      <c r="G182" t="s">
        <v>3035</v>
      </c>
    </row>
    <row r="183" spans="1:7" x14ac:dyDescent="0.25">
      <c r="A183" s="30" t="s">
        <v>412</v>
      </c>
      <c r="B183" t="s">
        <v>648</v>
      </c>
      <c r="C183" t="s">
        <v>649</v>
      </c>
      <c r="D183" s="30" t="s">
        <v>2674</v>
      </c>
      <c r="E183" s="30" t="s">
        <v>2674</v>
      </c>
      <c r="F183" t="s">
        <v>3127</v>
      </c>
      <c r="G183" t="s">
        <v>3128</v>
      </c>
    </row>
    <row r="184" spans="1:7" x14ac:dyDescent="0.25">
      <c r="A184" s="30" t="s">
        <v>3129</v>
      </c>
      <c r="B184" t="s">
        <v>648</v>
      </c>
      <c r="C184" t="s">
        <v>3130</v>
      </c>
      <c r="D184" s="30" t="s">
        <v>3131</v>
      </c>
      <c r="E184" s="30" t="s">
        <v>3131</v>
      </c>
      <c r="F184" t="s">
        <v>3127</v>
      </c>
      <c r="G184" t="s">
        <v>3128</v>
      </c>
    </row>
    <row r="185" spans="1:7" x14ac:dyDescent="0.25">
      <c r="A185" s="30" t="s">
        <v>412</v>
      </c>
      <c r="B185" t="s">
        <v>2675</v>
      </c>
      <c r="C185" t="s">
        <v>2676</v>
      </c>
      <c r="D185" s="30" t="s">
        <v>2677</v>
      </c>
      <c r="E185" s="30" t="s">
        <v>2677</v>
      </c>
      <c r="F185" t="s">
        <v>3132</v>
      </c>
      <c r="G185" t="s">
        <v>3133</v>
      </c>
    </row>
    <row r="186" spans="1:7" x14ac:dyDescent="0.25">
      <c r="A186" s="30" t="s">
        <v>3129</v>
      </c>
      <c r="B186" t="s">
        <v>2675</v>
      </c>
      <c r="C186" t="s">
        <v>3134</v>
      </c>
      <c r="D186" s="30" t="s">
        <v>3135</v>
      </c>
      <c r="E186" s="30" t="s">
        <v>3135</v>
      </c>
      <c r="F186" t="s">
        <v>3132</v>
      </c>
      <c r="G186" t="s">
        <v>3133</v>
      </c>
    </row>
    <row r="187" spans="1:7" x14ac:dyDescent="0.25">
      <c r="A187" s="30" t="s">
        <v>412</v>
      </c>
      <c r="B187" t="s">
        <v>522</v>
      </c>
      <c r="C187" t="s">
        <v>523</v>
      </c>
      <c r="D187" s="30" t="s">
        <v>2678</v>
      </c>
      <c r="E187" s="30" t="s">
        <v>2678</v>
      </c>
      <c r="F187" t="s">
        <v>3095</v>
      </c>
      <c r="G187" t="s">
        <v>3136</v>
      </c>
    </row>
    <row r="188" spans="1:7" x14ac:dyDescent="0.25">
      <c r="A188" s="30" t="s">
        <v>412</v>
      </c>
      <c r="B188" t="s">
        <v>1276</v>
      </c>
      <c r="C188" t="s">
        <v>1277</v>
      </c>
      <c r="D188" s="30" t="s">
        <v>2679</v>
      </c>
      <c r="E188" s="30" t="s">
        <v>2679</v>
      </c>
    </row>
    <row r="189" spans="1:7" x14ac:dyDescent="0.25">
      <c r="A189" s="30" t="s">
        <v>412</v>
      </c>
      <c r="B189" t="s">
        <v>2174</v>
      </c>
      <c r="C189" t="s">
        <v>2175</v>
      </c>
      <c r="D189" s="30" t="s">
        <v>2176</v>
      </c>
      <c r="E189" s="30" t="s">
        <v>2176</v>
      </c>
      <c r="F189" t="s">
        <v>3031</v>
      </c>
      <c r="G189" t="s">
        <v>3032</v>
      </c>
    </row>
    <row r="190" spans="1:7" x14ac:dyDescent="0.25">
      <c r="A190" s="30" t="s">
        <v>412</v>
      </c>
      <c r="B190" t="s">
        <v>2177</v>
      </c>
      <c r="C190" t="s">
        <v>2178</v>
      </c>
      <c r="D190" s="30" t="s">
        <v>2179</v>
      </c>
      <c r="E190" s="30" t="s">
        <v>2179</v>
      </c>
      <c r="F190" t="s">
        <v>3060</v>
      </c>
      <c r="G190" t="s">
        <v>3061</v>
      </c>
    </row>
    <row r="191" spans="1:7" x14ac:dyDescent="0.25">
      <c r="A191" s="30" t="s">
        <v>412</v>
      </c>
      <c r="B191" t="s">
        <v>2180</v>
      </c>
      <c r="C191" t="s">
        <v>2181</v>
      </c>
      <c r="D191" s="30" t="s">
        <v>2182</v>
      </c>
      <c r="E191" s="30" t="s">
        <v>2182</v>
      </c>
      <c r="F191" t="s">
        <v>3060</v>
      </c>
      <c r="G191" t="s">
        <v>3061</v>
      </c>
    </row>
    <row r="192" spans="1:7" x14ac:dyDescent="0.25">
      <c r="A192" s="30" t="s">
        <v>412</v>
      </c>
      <c r="B192" t="s">
        <v>2183</v>
      </c>
      <c r="C192" t="s">
        <v>2184</v>
      </c>
      <c r="D192" s="30" t="s">
        <v>2185</v>
      </c>
      <c r="E192" s="30" t="s">
        <v>2185</v>
      </c>
      <c r="F192" t="s">
        <v>3060</v>
      </c>
      <c r="G192" t="s">
        <v>3061</v>
      </c>
    </row>
    <row r="193" spans="1:7" x14ac:dyDescent="0.25">
      <c r="A193" s="30" t="s">
        <v>412</v>
      </c>
      <c r="B193" t="s">
        <v>2186</v>
      </c>
      <c r="C193" t="s">
        <v>2187</v>
      </c>
      <c r="D193" s="30" t="s">
        <v>2188</v>
      </c>
      <c r="E193" s="30" t="s">
        <v>2188</v>
      </c>
      <c r="F193" t="s">
        <v>3060</v>
      </c>
      <c r="G193" t="s">
        <v>3061</v>
      </c>
    </row>
    <row r="194" spans="1:7" x14ac:dyDescent="0.25">
      <c r="A194" s="30" t="s">
        <v>412</v>
      </c>
      <c r="B194" t="s">
        <v>2189</v>
      </c>
      <c r="C194" t="s">
        <v>2190</v>
      </c>
      <c r="D194" s="30" t="s">
        <v>2179</v>
      </c>
      <c r="E194" s="30" t="s">
        <v>2179</v>
      </c>
      <c r="F194" t="s">
        <v>3060</v>
      </c>
      <c r="G194" t="s">
        <v>3061</v>
      </c>
    </row>
    <row r="195" spans="1:7" x14ac:dyDescent="0.25">
      <c r="A195" s="30" t="s">
        <v>412</v>
      </c>
      <c r="B195" t="s">
        <v>2191</v>
      </c>
      <c r="C195" t="s">
        <v>2192</v>
      </c>
      <c r="D195" s="30" t="s">
        <v>2680</v>
      </c>
      <c r="E195" s="30" t="s">
        <v>2680</v>
      </c>
      <c r="F195" t="s">
        <v>3060</v>
      </c>
      <c r="G195" t="s">
        <v>3061</v>
      </c>
    </row>
    <row r="196" spans="1:7" x14ac:dyDescent="0.25">
      <c r="A196" s="30" t="s">
        <v>412</v>
      </c>
      <c r="B196" t="s">
        <v>2681</v>
      </c>
      <c r="C196" t="s">
        <v>2682</v>
      </c>
      <c r="D196" s="30" t="s">
        <v>3137</v>
      </c>
      <c r="E196" s="30" t="s">
        <v>3137</v>
      </c>
    </row>
    <row r="197" spans="1:7" x14ac:dyDescent="0.25">
      <c r="A197" s="30" t="s">
        <v>412</v>
      </c>
      <c r="B197" t="s">
        <v>2683</v>
      </c>
      <c r="C197" t="s">
        <v>2684</v>
      </c>
      <c r="D197" s="30" t="s">
        <v>3138</v>
      </c>
      <c r="E197" s="30" t="s">
        <v>3138</v>
      </c>
    </row>
    <row r="198" spans="1:7" x14ac:dyDescent="0.25">
      <c r="A198" s="30" t="s">
        <v>412</v>
      </c>
      <c r="B198" t="s">
        <v>2685</v>
      </c>
      <c r="C198" t="s">
        <v>2686</v>
      </c>
      <c r="D198" s="30" t="s">
        <v>2687</v>
      </c>
      <c r="E198" s="30" t="s">
        <v>2687</v>
      </c>
      <c r="F198" t="s">
        <v>3040</v>
      </c>
      <c r="G198" t="s">
        <v>3041</v>
      </c>
    </row>
    <row r="199" spans="1:7" x14ac:dyDescent="0.25">
      <c r="A199" s="30" t="s">
        <v>412</v>
      </c>
      <c r="B199" t="s">
        <v>2688</v>
      </c>
      <c r="C199" t="s">
        <v>2689</v>
      </c>
      <c r="D199" s="30" t="s">
        <v>3139</v>
      </c>
      <c r="E199" s="30" t="s">
        <v>3139</v>
      </c>
    </row>
    <row r="200" spans="1:7" x14ac:dyDescent="0.25">
      <c r="A200" s="30" t="s">
        <v>412</v>
      </c>
      <c r="B200" t="s">
        <v>2690</v>
      </c>
      <c r="C200" t="s">
        <v>2691</v>
      </c>
      <c r="D200" s="30" t="s">
        <v>3140</v>
      </c>
      <c r="E200" s="30" t="s">
        <v>3140</v>
      </c>
    </row>
    <row r="201" spans="1:7" x14ac:dyDescent="0.25">
      <c r="A201" s="30" t="s">
        <v>412</v>
      </c>
      <c r="B201" t="s">
        <v>2692</v>
      </c>
      <c r="C201" t="s">
        <v>2693</v>
      </c>
      <c r="D201" s="30" t="s">
        <v>3141</v>
      </c>
      <c r="E201" s="30" t="s">
        <v>3141</v>
      </c>
    </row>
    <row r="202" spans="1:7" x14ac:dyDescent="0.25">
      <c r="A202" s="30" t="s">
        <v>412</v>
      </c>
      <c r="B202" t="s">
        <v>2694</v>
      </c>
      <c r="C202" t="s">
        <v>2695</v>
      </c>
      <c r="D202" s="30" t="s">
        <v>3142</v>
      </c>
      <c r="E202" s="30" t="s">
        <v>3142</v>
      </c>
    </row>
    <row r="203" spans="1:7" x14ac:dyDescent="0.25">
      <c r="A203" s="30" t="s">
        <v>412</v>
      </c>
      <c r="B203" t="s">
        <v>2696</v>
      </c>
      <c r="C203" t="s">
        <v>2697</v>
      </c>
      <c r="D203" s="30" t="s">
        <v>2698</v>
      </c>
      <c r="E203" s="30" t="s">
        <v>2698</v>
      </c>
    </row>
    <row r="204" spans="1:7" x14ac:dyDescent="0.25">
      <c r="A204" s="30" t="s">
        <v>412</v>
      </c>
      <c r="B204" t="s">
        <v>2699</v>
      </c>
      <c r="C204" t="s">
        <v>2700</v>
      </c>
      <c r="D204" s="30" t="s">
        <v>3143</v>
      </c>
      <c r="E204" s="30" t="s">
        <v>3143</v>
      </c>
    </row>
    <row r="205" spans="1:7" x14ac:dyDescent="0.25">
      <c r="A205" s="30" t="s">
        <v>412</v>
      </c>
      <c r="B205" t="s">
        <v>2701</v>
      </c>
      <c r="C205" t="s">
        <v>2702</v>
      </c>
      <c r="D205" s="30" t="s">
        <v>3144</v>
      </c>
      <c r="E205" s="30" t="s">
        <v>3144</v>
      </c>
    </row>
    <row r="206" spans="1:7" x14ac:dyDescent="0.25">
      <c r="A206" s="30" t="s">
        <v>412</v>
      </c>
      <c r="B206" t="s">
        <v>2703</v>
      </c>
      <c r="C206" t="s">
        <v>2704</v>
      </c>
      <c r="D206" s="30" t="s">
        <v>2705</v>
      </c>
      <c r="E206" s="30" t="s">
        <v>2705</v>
      </c>
      <c r="F206" t="s">
        <v>3036</v>
      </c>
      <c r="G206" t="s">
        <v>3037</v>
      </c>
    </row>
    <row r="207" spans="1:7" x14ac:dyDescent="0.25">
      <c r="A207" s="30" t="s">
        <v>412</v>
      </c>
      <c r="B207" t="s">
        <v>2706</v>
      </c>
      <c r="C207" t="s">
        <v>2707</v>
      </c>
      <c r="D207" s="30" t="s">
        <v>2708</v>
      </c>
      <c r="E207" s="30" t="s">
        <v>2708</v>
      </c>
      <c r="F207" t="s">
        <v>3038</v>
      </c>
      <c r="G207" t="s">
        <v>3039</v>
      </c>
    </row>
    <row r="208" spans="1:7" x14ac:dyDescent="0.25">
      <c r="A208" s="30" t="s">
        <v>412</v>
      </c>
      <c r="B208" t="s">
        <v>2709</v>
      </c>
      <c r="C208" t="s">
        <v>2710</v>
      </c>
      <c r="D208" s="30" t="s">
        <v>2711</v>
      </c>
      <c r="E208" s="30" t="s">
        <v>2711</v>
      </c>
    </row>
    <row r="209" spans="1:7" x14ac:dyDescent="0.25">
      <c r="A209" s="30" t="s">
        <v>412</v>
      </c>
      <c r="B209" t="s">
        <v>2712</v>
      </c>
      <c r="C209" t="s">
        <v>2713</v>
      </c>
      <c r="D209" s="30" t="s">
        <v>2714</v>
      </c>
      <c r="E209" s="30" t="s">
        <v>2714</v>
      </c>
      <c r="F209" t="s">
        <v>3040</v>
      </c>
      <c r="G209" t="s">
        <v>3041</v>
      </c>
    </row>
    <row r="210" spans="1:7" x14ac:dyDescent="0.25">
      <c r="A210" s="30" t="s">
        <v>412</v>
      </c>
      <c r="B210" t="s">
        <v>542</v>
      </c>
      <c r="C210" t="s">
        <v>650</v>
      </c>
      <c r="D210" s="30" t="s">
        <v>894</v>
      </c>
      <c r="E210" s="30" t="s">
        <v>894</v>
      </c>
      <c r="F210" t="s">
        <v>3145</v>
      </c>
      <c r="G210" t="s">
        <v>3069</v>
      </c>
    </row>
    <row r="211" spans="1:7" x14ac:dyDescent="0.25">
      <c r="A211" s="30" t="s">
        <v>3129</v>
      </c>
      <c r="B211" t="s">
        <v>542</v>
      </c>
      <c r="C211" t="s">
        <v>3146</v>
      </c>
      <c r="D211" s="30" t="s">
        <v>3147</v>
      </c>
      <c r="E211" s="30" t="s">
        <v>3147</v>
      </c>
      <c r="F211" t="s">
        <v>3145</v>
      </c>
      <c r="G211" t="s">
        <v>3069</v>
      </c>
    </row>
    <row r="212" spans="1:7" x14ac:dyDescent="0.25">
      <c r="A212" s="30"/>
      <c r="B212" t="s">
        <v>651</v>
      </c>
      <c r="C212" t="s">
        <v>651</v>
      </c>
      <c r="D212" s="30" t="s">
        <v>895</v>
      </c>
      <c r="E212" s="30" t="s">
        <v>895</v>
      </c>
      <c r="F212" t="s">
        <v>3095</v>
      </c>
      <c r="G212" t="s">
        <v>3148</v>
      </c>
    </row>
    <row r="213" spans="1:7" x14ac:dyDescent="0.25">
      <c r="A213" s="30" t="s">
        <v>412</v>
      </c>
      <c r="B213" t="s">
        <v>158</v>
      </c>
      <c r="C213" t="s">
        <v>446</v>
      </c>
      <c r="D213" s="30" t="s">
        <v>447</v>
      </c>
      <c r="E213" s="30" t="s">
        <v>447</v>
      </c>
      <c r="F213" t="s">
        <v>3149</v>
      </c>
      <c r="G213" t="s">
        <v>3150</v>
      </c>
    </row>
    <row r="214" spans="1:7" x14ac:dyDescent="0.25">
      <c r="A214" s="30" t="s">
        <v>412</v>
      </c>
      <c r="B214" t="s">
        <v>652</v>
      </c>
      <c r="C214" t="s">
        <v>653</v>
      </c>
      <c r="D214" s="30" t="s">
        <v>2715</v>
      </c>
      <c r="E214" s="30" t="s">
        <v>2715</v>
      </c>
      <c r="F214" t="s">
        <v>3060</v>
      </c>
      <c r="G214" t="s">
        <v>3029</v>
      </c>
    </row>
    <row r="215" spans="1:7" x14ac:dyDescent="0.25">
      <c r="A215" s="30" t="s">
        <v>412</v>
      </c>
      <c r="B215" t="s">
        <v>403</v>
      </c>
      <c r="C215" t="s">
        <v>448</v>
      </c>
      <c r="D215" s="30" t="s">
        <v>2716</v>
      </c>
      <c r="E215" s="30" t="s">
        <v>2716</v>
      </c>
      <c r="F215" t="s">
        <v>3060</v>
      </c>
      <c r="G215" t="s">
        <v>3029</v>
      </c>
    </row>
    <row r="216" spans="1:7" x14ac:dyDescent="0.25">
      <c r="A216" s="30" t="s">
        <v>412</v>
      </c>
      <c r="B216" t="s">
        <v>1103</v>
      </c>
      <c r="C216" t="s">
        <v>1104</v>
      </c>
      <c r="D216" s="30" t="s">
        <v>2717</v>
      </c>
      <c r="E216" s="30" t="s">
        <v>2717</v>
      </c>
    </row>
    <row r="217" spans="1:7" x14ac:dyDescent="0.25">
      <c r="A217" s="30" t="s">
        <v>412</v>
      </c>
      <c r="B217" t="s">
        <v>404</v>
      </c>
      <c r="C217" t="s">
        <v>449</v>
      </c>
      <c r="D217" s="30" t="s">
        <v>2718</v>
      </c>
      <c r="E217" s="30" t="s">
        <v>2718</v>
      </c>
      <c r="F217" t="s">
        <v>3031</v>
      </c>
      <c r="G217" t="s">
        <v>3026</v>
      </c>
    </row>
    <row r="218" spans="1:7" x14ac:dyDescent="0.25">
      <c r="A218" s="30" t="s">
        <v>412</v>
      </c>
      <c r="B218" t="s">
        <v>405</v>
      </c>
      <c r="C218" t="s">
        <v>450</v>
      </c>
      <c r="D218" s="30" t="s">
        <v>2719</v>
      </c>
      <c r="E218" s="30" t="s">
        <v>2719</v>
      </c>
      <c r="F218" t="s">
        <v>3060</v>
      </c>
      <c r="G218" t="s">
        <v>3029</v>
      </c>
    </row>
    <row r="219" spans="1:7" x14ac:dyDescent="0.25">
      <c r="A219" s="30" t="s">
        <v>412</v>
      </c>
      <c r="B219" t="s">
        <v>2195</v>
      </c>
      <c r="C219" t="s">
        <v>2196</v>
      </c>
      <c r="D219" s="30" t="s">
        <v>2720</v>
      </c>
      <c r="E219" s="30" t="s">
        <v>2720</v>
      </c>
    </row>
    <row r="220" spans="1:7" x14ac:dyDescent="0.25">
      <c r="A220" s="30" t="s">
        <v>412</v>
      </c>
      <c r="B220" t="s">
        <v>2721</v>
      </c>
      <c r="C220" t="s">
        <v>2722</v>
      </c>
      <c r="D220" s="30" t="s">
        <v>2723</v>
      </c>
      <c r="E220" s="30" t="s">
        <v>2723</v>
      </c>
      <c r="F220" t="s">
        <v>3031</v>
      </c>
      <c r="G220" t="s">
        <v>3026</v>
      </c>
    </row>
    <row r="221" spans="1:7" x14ac:dyDescent="0.25">
      <c r="A221" s="30" t="s">
        <v>412</v>
      </c>
      <c r="B221" t="s">
        <v>524</v>
      </c>
      <c r="C221" t="s">
        <v>525</v>
      </c>
      <c r="D221" s="30" t="s">
        <v>526</v>
      </c>
      <c r="E221" s="30" t="s">
        <v>526</v>
      </c>
      <c r="F221" t="s">
        <v>3151</v>
      </c>
      <c r="G221" t="s">
        <v>3152</v>
      </c>
    </row>
    <row r="222" spans="1:7" x14ac:dyDescent="0.25">
      <c r="A222" s="30" t="s">
        <v>3129</v>
      </c>
      <c r="B222" t="s">
        <v>524</v>
      </c>
      <c r="C222" t="s">
        <v>3153</v>
      </c>
      <c r="D222" s="30" t="s">
        <v>3154</v>
      </c>
      <c r="E222" s="30" t="s">
        <v>3154</v>
      </c>
      <c r="F222" t="s">
        <v>3151</v>
      </c>
      <c r="G222" t="s">
        <v>3152</v>
      </c>
    </row>
    <row r="223" spans="1:7" x14ac:dyDescent="0.25">
      <c r="A223" s="30" t="s">
        <v>412</v>
      </c>
      <c r="B223" t="s">
        <v>1105</v>
      </c>
      <c r="C223" t="s">
        <v>1106</v>
      </c>
      <c r="D223" s="30" t="s">
        <v>2724</v>
      </c>
      <c r="E223" s="30" t="s">
        <v>2724</v>
      </c>
    </row>
    <row r="224" spans="1:7" x14ac:dyDescent="0.25">
      <c r="A224" s="30" t="s">
        <v>412</v>
      </c>
      <c r="B224" t="s">
        <v>896</v>
      </c>
      <c r="C224" t="s">
        <v>897</v>
      </c>
      <c r="D224" s="30" t="s">
        <v>2725</v>
      </c>
      <c r="E224" s="30" t="s">
        <v>2725</v>
      </c>
      <c r="F224" t="s">
        <v>3060</v>
      </c>
      <c r="G224" t="s">
        <v>3029</v>
      </c>
    </row>
    <row r="225" spans="1:7" x14ac:dyDescent="0.25">
      <c r="A225" s="30" t="s">
        <v>412</v>
      </c>
      <c r="B225" t="s">
        <v>2726</v>
      </c>
      <c r="C225" t="s">
        <v>2727</v>
      </c>
      <c r="D225" s="30" t="s">
        <v>2728</v>
      </c>
      <c r="E225" s="30" t="s">
        <v>2728</v>
      </c>
    </row>
    <row r="226" spans="1:7" x14ac:dyDescent="0.25">
      <c r="A226" s="30" t="s">
        <v>412</v>
      </c>
      <c r="B226" t="s">
        <v>654</v>
      </c>
      <c r="C226" t="s">
        <v>655</v>
      </c>
      <c r="D226" s="30" t="s">
        <v>2729</v>
      </c>
      <c r="E226" s="30" t="s">
        <v>2729</v>
      </c>
      <c r="F226" t="s">
        <v>3060</v>
      </c>
      <c r="G226" t="s">
        <v>3029</v>
      </c>
    </row>
    <row r="227" spans="1:7" x14ac:dyDescent="0.25">
      <c r="A227" s="30" t="s">
        <v>412</v>
      </c>
      <c r="B227" t="s">
        <v>898</v>
      </c>
      <c r="C227" t="s">
        <v>899</v>
      </c>
      <c r="D227" s="30" t="s">
        <v>2730</v>
      </c>
      <c r="E227" s="30" t="s">
        <v>2730</v>
      </c>
    </row>
    <row r="228" spans="1:7" x14ac:dyDescent="0.25">
      <c r="A228" s="30" t="s">
        <v>412</v>
      </c>
      <c r="B228" t="s">
        <v>406</v>
      </c>
      <c r="C228" t="s">
        <v>451</v>
      </c>
      <c r="D228" s="30" t="s">
        <v>2731</v>
      </c>
      <c r="E228" s="30" t="s">
        <v>2731</v>
      </c>
      <c r="F228" t="s">
        <v>3060</v>
      </c>
      <c r="G228" t="s">
        <v>3029</v>
      </c>
    </row>
    <row r="229" spans="1:7" x14ac:dyDescent="0.25">
      <c r="A229" s="30" t="s">
        <v>2586</v>
      </c>
      <c r="B229" t="s">
        <v>3155</v>
      </c>
      <c r="C229" t="s">
        <v>3156</v>
      </c>
      <c r="D229" s="30" t="s">
        <v>3157</v>
      </c>
      <c r="E229" s="30" t="s">
        <v>3157</v>
      </c>
    </row>
    <row r="230" spans="1:7" x14ac:dyDescent="0.25">
      <c r="A230" s="30" t="s">
        <v>2586</v>
      </c>
      <c r="B230" t="s">
        <v>3158</v>
      </c>
      <c r="C230" t="s">
        <v>3159</v>
      </c>
      <c r="D230" s="30" t="s">
        <v>3160</v>
      </c>
      <c r="E230" s="30" t="s">
        <v>3160</v>
      </c>
    </row>
    <row r="231" spans="1:7" x14ac:dyDescent="0.25">
      <c r="A231" s="30" t="s">
        <v>2586</v>
      </c>
      <c r="B231" t="s">
        <v>3161</v>
      </c>
      <c r="C231" t="s">
        <v>3162</v>
      </c>
      <c r="D231" s="30" t="s">
        <v>3163</v>
      </c>
      <c r="E231" s="30" t="s">
        <v>3163</v>
      </c>
      <c r="F231" t="s">
        <v>3164</v>
      </c>
      <c r="G231" t="s">
        <v>3165</v>
      </c>
    </row>
    <row r="232" spans="1:7" x14ac:dyDescent="0.25">
      <c r="A232" s="30" t="s">
        <v>2586</v>
      </c>
      <c r="B232" t="s">
        <v>3166</v>
      </c>
      <c r="C232" t="s">
        <v>3167</v>
      </c>
      <c r="D232" s="30" t="s">
        <v>3168</v>
      </c>
      <c r="E232" s="30" t="s">
        <v>3168</v>
      </c>
      <c r="F232" t="s">
        <v>3060</v>
      </c>
      <c r="G232" t="s">
        <v>3091</v>
      </c>
    </row>
    <row r="233" spans="1:7" x14ac:dyDescent="0.25">
      <c r="A233" s="30" t="s">
        <v>2586</v>
      </c>
      <c r="B233" t="s">
        <v>3169</v>
      </c>
      <c r="C233" t="s">
        <v>3170</v>
      </c>
      <c r="D233" s="30" t="s">
        <v>3171</v>
      </c>
      <c r="E233" s="30" t="s">
        <v>3171</v>
      </c>
    </row>
    <row r="234" spans="1:7" x14ac:dyDescent="0.25">
      <c r="A234" s="30" t="s">
        <v>2586</v>
      </c>
      <c r="B234" t="s">
        <v>3172</v>
      </c>
      <c r="C234" t="s">
        <v>3173</v>
      </c>
      <c r="D234" s="30" t="s">
        <v>3174</v>
      </c>
      <c r="E234" s="30" t="s">
        <v>3174</v>
      </c>
    </row>
    <row r="235" spans="1:7" x14ac:dyDescent="0.25">
      <c r="A235" s="30" t="s">
        <v>2586</v>
      </c>
      <c r="B235" t="s">
        <v>3175</v>
      </c>
      <c r="C235" t="s">
        <v>3176</v>
      </c>
      <c r="D235" s="30" t="s">
        <v>3177</v>
      </c>
      <c r="E235" s="30" t="s">
        <v>3177</v>
      </c>
    </row>
    <row r="236" spans="1:7" x14ac:dyDescent="0.25">
      <c r="A236" s="30" t="s">
        <v>412</v>
      </c>
      <c r="B236" t="s">
        <v>900</v>
      </c>
      <c r="C236" t="s">
        <v>901</v>
      </c>
      <c r="D236" s="30" t="s">
        <v>1807</v>
      </c>
      <c r="E236" s="30" t="s">
        <v>1807</v>
      </c>
    </row>
    <row r="237" spans="1:7" x14ac:dyDescent="0.25">
      <c r="A237" s="30" t="s">
        <v>412</v>
      </c>
      <c r="B237" t="s">
        <v>902</v>
      </c>
      <c r="C237" t="s">
        <v>903</v>
      </c>
      <c r="D237" s="30" t="s">
        <v>2732</v>
      </c>
      <c r="E237" s="30" t="s">
        <v>2732</v>
      </c>
    </row>
    <row r="238" spans="1:7" x14ac:dyDescent="0.25">
      <c r="A238" s="30" t="s">
        <v>412</v>
      </c>
      <c r="B238" t="s">
        <v>904</v>
      </c>
      <c r="C238" t="s">
        <v>905</v>
      </c>
      <c r="D238" s="30" t="s">
        <v>2733</v>
      </c>
      <c r="E238" s="30" t="s">
        <v>2733</v>
      </c>
    </row>
    <row r="239" spans="1:7" x14ac:dyDescent="0.25">
      <c r="A239" s="30" t="s">
        <v>412</v>
      </c>
      <c r="B239" t="s">
        <v>906</v>
      </c>
      <c r="C239" t="s">
        <v>907</v>
      </c>
      <c r="D239" s="30" t="s">
        <v>2734</v>
      </c>
      <c r="E239" s="30" t="s">
        <v>2734</v>
      </c>
    </row>
    <row r="240" spans="1:7" x14ac:dyDescent="0.25">
      <c r="A240" s="30" t="s">
        <v>412</v>
      </c>
      <c r="B240" t="s">
        <v>1808</v>
      </c>
      <c r="C240" t="s">
        <v>1809</v>
      </c>
      <c r="D240" s="30" t="s">
        <v>1810</v>
      </c>
      <c r="E240" s="30" t="s">
        <v>1810</v>
      </c>
      <c r="F240" t="s">
        <v>3116</v>
      </c>
      <c r="G240" t="s">
        <v>3081</v>
      </c>
    </row>
    <row r="241" spans="1:7" x14ac:dyDescent="0.25">
      <c r="A241" s="30" t="s">
        <v>412</v>
      </c>
      <c r="B241" t="s">
        <v>1811</v>
      </c>
      <c r="C241" t="s">
        <v>1812</v>
      </c>
      <c r="D241" s="30" t="s">
        <v>3178</v>
      </c>
      <c r="E241" s="30" t="s">
        <v>3178</v>
      </c>
      <c r="F241" t="s">
        <v>3025</v>
      </c>
      <c r="G241" t="s">
        <v>3074</v>
      </c>
    </row>
    <row r="242" spans="1:7" x14ac:dyDescent="0.25">
      <c r="A242" s="30" t="s">
        <v>412</v>
      </c>
      <c r="B242" t="s">
        <v>1813</v>
      </c>
      <c r="C242" t="s">
        <v>1814</v>
      </c>
      <c r="D242" s="30" t="s">
        <v>2735</v>
      </c>
      <c r="E242" s="30" t="s">
        <v>2735</v>
      </c>
      <c r="F242" t="s">
        <v>3040</v>
      </c>
      <c r="G242" t="s">
        <v>3041</v>
      </c>
    </row>
    <row r="243" spans="1:7" x14ac:dyDescent="0.25">
      <c r="A243" s="30" t="s">
        <v>412</v>
      </c>
      <c r="B243" t="s">
        <v>1815</v>
      </c>
      <c r="C243" t="s">
        <v>1816</v>
      </c>
      <c r="D243" s="30" t="s">
        <v>1817</v>
      </c>
      <c r="E243" s="30" t="s">
        <v>1817</v>
      </c>
      <c r="F243" t="s">
        <v>3028</v>
      </c>
      <c r="G243" t="s">
        <v>3098</v>
      </c>
    </row>
    <row r="244" spans="1:7" x14ac:dyDescent="0.25">
      <c r="A244" s="30" t="s">
        <v>412</v>
      </c>
      <c r="B244" t="s">
        <v>1818</v>
      </c>
      <c r="C244" t="s">
        <v>1819</v>
      </c>
      <c r="D244" s="30" t="s">
        <v>1820</v>
      </c>
      <c r="E244" s="30" t="s">
        <v>1820</v>
      </c>
      <c r="F244" t="s">
        <v>3028</v>
      </c>
      <c r="G244" t="s">
        <v>3098</v>
      </c>
    </row>
    <row r="245" spans="1:7" x14ac:dyDescent="0.25">
      <c r="A245" s="30" t="s">
        <v>412</v>
      </c>
      <c r="B245" t="s">
        <v>1107</v>
      </c>
      <c r="C245" t="s">
        <v>1108</v>
      </c>
      <c r="D245" s="30" t="s">
        <v>3179</v>
      </c>
      <c r="E245" s="30" t="s">
        <v>3179</v>
      </c>
      <c r="F245" t="s">
        <v>3060</v>
      </c>
      <c r="G245" t="s">
        <v>3061</v>
      </c>
    </row>
    <row r="246" spans="1:7" x14ac:dyDescent="0.25">
      <c r="A246" s="30" t="s">
        <v>412</v>
      </c>
      <c r="B246" t="s">
        <v>1109</v>
      </c>
      <c r="C246" t="s">
        <v>1110</v>
      </c>
      <c r="D246" s="30" t="s">
        <v>3180</v>
      </c>
      <c r="E246" s="30" t="s">
        <v>3180</v>
      </c>
      <c r="F246" t="s">
        <v>3060</v>
      </c>
      <c r="G246" t="s">
        <v>3061</v>
      </c>
    </row>
    <row r="247" spans="1:7" x14ac:dyDescent="0.25">
      <c r="A247" s="30" t="s">
        <v>412</v>
      </c>
      <c r="B247" t="s">
        <v>1821</v>
      </c>
      <c r="C247" t="s">
        <v>1822</v>
      </c>
      <c r="D247" s="30" t="s">
        <v>2736</v>
      </c>
      <c r="E247" s="30" t="s">
        <v>2736</v>
      </c>
      <c r="F247" t="s">
        <v>3025</v>
      </c>
      <c r="G247" t="s">
        <v>3074</v>
      </c>
    </row>
    <row r="248" spans="1:7" x14ac:dyDescent="0.25">
      <c r="A248" s="30" t="s">
        <v>412</v>
      </c>
      <c r="B248" t="s">
        <v>1111</v>
      </c>
      <c r="C248" t="s">
        <v>1112</v>
      </c>
      <c r="D248" s="30" t="s">
        <v>3181</v>
      </c>
      <c r="E248" s="30" t="s">
        <v>3181</v>
      </c>
      <c r="F248" t="s">
        <v>3060</v>
      </c>
      <c r="G248" t="s">
        <v>3061</v>
      </c>
    </row>
    <row r="249" spans="1:7" x14ac:dyDescent="0.25">
      <c r="A249" s="30" t="s">
        <v>412</v>
      </c>
      <c r="B249" t="s">
        <v>1113</v>
      </c>
      <c r="C249" t="s">
        <v>1114</v>
      </c>
      <c r="D249" s="30" t="s">
        <v>3182</v>
      </c>
      <c r="E249" s="30" t="s">
        <v>3182</v>
      </c>
      <c r="F249" t="s">
        <v>3060</v>
      </c>
      <c r="G249" t="s">
        <v>3061</v>
      </c>
    </row>
    <row r="250" spans="1:7" x14ac:dyDescent="0.25">
      <c r="A250" s="30" t="s">
        <v>412</v>
      </c>
      <c r="B250" t="s">
        <v>1115</v>
      </c>
      <c r="C250" t="s">
        <v>1116</v>
      </c>
      <c r="D250" s="30" t="s">
        <v>2737</v>
      </c>
      <c r="E250" s="30" t="s">
        <v>2737</v>
      </c>
      <c r="F250" t="s">
        <v>3065</v>
      </c>
      <c r="G250" t="s">
        <v>3066</v>
      </c>
    </row>
    <row r="251" spans="1:7" x14ac:dyDescent="0.25">
      <c r="A251" s="30" t="s">
        <v>412</v>
      </c>
      <c r="B251" t="s">
        <v>2738</v>
      </c>
      <c r="C251" t="s">
        <v>2739</v>
      </c>
      <c r="D251" s="30" t="s">
        <v>2740</v>
      </c>
      <c r="E251" s="30" t="s">
        <v>2740</v>
      </c>
      <c r="F251" t="s">
        <v>3038</v>
      </c>
      <c r="G251" t="s">
        <v>3039</v>
      </c>
    </row>
    <row r="252" spans="1:7" x14ac:dyDescent="0.25">
      <c r="A252" s="30" t="s">
        <v>412</v>
      </c>
      <c r="B252" t="s">
        <v>1117</v>
      </c>
      <c r="C252" t="s">
        <v>1118</v>
      </c>
      <c r="D252" s="30" t="s">
        <v>2741</v>
      </c>
      <c r="E252" s="30" t="s">
        <v>2741</v>
      </c>
      <c r="F252" t="s">
        <v>3025</v>
      </c>
      <c r="G252" t="s">
        <v>3074</v>
      </c>
    </row>
    <row r="253" spans="1:7" x14ac:dyDescent="0.25">
      <c r="A253" s="30" t="s">
        <v>412</v>
      </c>
      <c r="B253" t="s">
        <v>1119</v>
      </c>
      <c r="C253" t="s">
        <v>1120</v>
      </c>
      <c r="D253" s="30" t="s">
        <v>2742</v>
      </c>
      <c r="E253" s="30" t="s">
        <v>2742</v>
      </c>
      <c r="F253" t="s">
        <v>3040</v>
      </c>
      <c r="G253" t="s">
        <v>3041</v>
      </c>
    </row>
    <row r="254" spans="1:7" x14ac:dyDescent="0.25">
      <c r="A254" s="30" t="s">
        <v>412</v>
      </c>
      <c r="B254" t="s">
        <v>1824</v>
      </c>
      <c r="C254" t="s">
        <v>1825</v>
      </c>
      <c r="D254" s="30" t="s">
        <v>1826</v>
      </c>
      <c r="E254" s="30" t="s">
        <v>1826</v>
      </c>
      <c r="F254" t="s">
        <v>3116</v>
      </c>
      <c r="G254" t="s">
        <v>3081</v>
      </c>
    </row>
    <row r="255" spans="1:7" x14ac:dyDescent="0.25">
      <c r="A255" s="30" t="s">
        <v>412</v>
      </c>
      <c r="B255" t="s">
        <v>1827</v>
      </c>
      <c r="C255" t="s">
        <v>1828</v>
      </c>
      <c r="D255" s="30" t="s">
        <v>3183</v>
      </c>
      <c r="E255" s="30" t="s">
        <v>3183</v>
      </c>
      <c r="F255" t="s">
        <v>3025</v>
      </c>
      <c r="G255" t="s">
        <v>3074</v>
      </c>
    </row>
    <row r="256" spans="1:7" x14ac:dyDescent="0.25">
      <c r="A256" s="30" t="s">
        <v>412</v>
      </c>
      <c r="B256" t="s">
        <v>1829</v>
      </c>
      <c r="C256" t="s">
        <v>1830</v>
      </c>
      <c r="D256" s="30" t="s">
        <v>2743</v>
      </c>
      <c r="E256" s="30" t="s">
        <v>2743</v>
      </c>
      <c r="F256" t="s">
        <v>3040</v>
      </c>
      <c r="G256" t="s">
        <v>3041</v>
      </c>
    </row>
    <row r="257" spans="1:7" x14ac:dyDescent="0.25">
      <c r="A257" s="30" t="s">
        <v>412</v>
      </c>
      <c r="B257" t="s">
        <v>1831</v>
      </c>
      <c r="C257" t="s">
        <v>1832</v>
      </c>
      <c r="D257" s="30" t="s">
        <v>1833</v>
      </c>
      <c r="E257" s="30" t="s">
        <v>1833</v>
      </c>
      <c r="F257" t="s">
        <v>3031</v>
      </c>
      <c r="G257" t="s">
        <v>3032</v>
      </c>
    </row>
    <row r="258" spans="1:7" x14ac:dyDescent="0.25">
      <c r="A258" s="30" t="s">
        <v>412</v>
      </c>
      <c r="B258" t="s">
        <v>1834</v>
      </c>
      <c r="C258" t="s">
        <v>1835</v>
      </c>
      <c r="D258" s="30" t="s">
        <v>1836</v>
      </c>
      <c r="E258" s="30" t="s">
        <v>1836</v>
      </c>
      <c r="F258" t="s">
        <v>3031</v>
      </c>
      <c r="G258" t="s">
        <v>3032</v>
      </c>
    </row>
    <row r="259" spans="1:7" x14ac:dyDescent="0.25">
      <c r="A259" s="30" t="s">
        <v>412</v>
      </c>
      <c r="B259" t="s">
        <v>908</v>
      </c>
      <c r="C259" t="s">
        <v>909</v>
      </c>
      <c r="D259" s="30" t="s">
        <v>3184</v>
      </c>
      <c r="E259" s="30" t="s">
        <v>3184</v>
      </c>
    </row>
    <row r="260" spans="1:7" x14ac:dyDescent="0.25">
      <c r="A260" s="30" t="s">
        <v>412</v>
      </c>
      <c r="B260" t="s">
        <v>910</v>
      </c>
      <c r="C260" t="s">
        <v>911</v>
      </c>
      <c r="D260" s="30" t="s">
        <v>3185</v>
      </c>
      <c r="E260" s="30" t="s">
        <v>3185</v>
      </c>
    </row>
    <row r="261" spans="1:7" x14ac:dyDescent="0.25">
      <c r="A261" s="30" t="s">
        <v>412</v>
      </c>
      <c r="B261" t="s">
        <v>1837</v>
      </c>
      <c r="C261" t="s">
        <v>1838</v>
      </c>
      <c r="D261" s="30" t="s">
        <v>2744</v>
      </c>
      <c r="E261" s="30" t="s">
        <v>2744</v>
      </c>
      <c r="F261" t="s">
        <v>3025</v>
      </c>
      <c r="G261" t="s">
        <v>3074</v>
      </c>
    </row>
    <row r="262" spans="1:7" x14ac:dyDescent="0.25">
      <c r="A262" s="30" t="s">
        <v>412</v>
      </c>
      <c r="B262" t="s">
        <v>912</v>
      </c>
      <c r="C262" t="s">
        <v>913</v>
      </c>
      <c r="D262" s="30" t="s">
        <v>3186</v>
      </c>
      <c r="E262" s="30" t="s">
        <v>3186</v>
      </c>
    </row>
    <row r="263" spans="1:7" x14ac:dyDescent="0.25">
      <c r="A263" s="30" t="s">
        <v>412</v>
      </c>
      <c r="B263" t="s">
        <v>914</v>
      </c>
      <c r="C263" t="s">
        <v>915</v>
      </c>
      <c r="D263" s="30" t="s">
        <v>3187</v>
      </c>
      <c r="E263" s="30" t="s">
        <v>3187</v>
      </c>
    </row>
    <row r="264" spans="1:7" x14ac:dyDescent="0.25">
      <c r="A264" s="30" t="s">
        <v>412</v>
      </c>
      <c r="B264" t="s">
        <v>916</v>
      </c>
      <c r="C264" t="s">
        <v>917</v>
      </c>
      <c r="D264" s="30" t="s">
        <v>2745</v>
      </c>
      <c r="E264" s="30" t="s">
        <v>2745</v>
      </c>
      <c r="F264" t="s">
        <v>3065</v>
      </c>
      <c r="G264" t="s">
        <v>3066</v>
      </c>
    </row>
    <row r="265" spans="1:7" x14ac:dyDescent="0.25">
      <c r="A265" s="30" t="s">
        <v>412</v>
      </c>
      <c r="B265" t="s">
        <v>2746</v>
      </c>
      <c r="C265" t="s">
        <v>2747</v>
      </c>
      <c r="D265" s="30" t="s">
        <v>2748</v>
      </c>
      <c r="E265" s="30" t="s">
        <v>2748</v>
      </c>
      <c r="F265" t="s">
        <v>3038</v>
      </c>
      <c r="G265" t="s">
        <v>3039</v>
      </c>
    </row>
    <row r="266" spans="1:7" x14ac:dyDescent="0.25">
      <c r="A266" s="30" t="s">
        <v>412</v>
      </c>
      <c r="B266" t="s">
        <v>918</v>
      </c>
      <c r="C266" t="s">
        <v>919</v>
      </c>
      <c r="D266" s="30" t="s">
        <v>2749</v>
      </c>
      <c r="E266" s="30" t="s">
        <v>2749</v>
      </c>
      <c r="F266" t="s">
        <v>3031</v>
      </c>
      <c r="G266" t="s">
        <v>3032</v>
      </c>
    </row>
    <row r="267" spans="1:7" x14ac:dyDescent="0.25">
      <c r="A267" s="30" t="s">
        <v>412</v>
      </c>
      <c r="B267" t="s">
        <v>920</v>
      </c>
      <c r="C267" t="s">
        <v>921</v>
      </c>
      <c r="D267" s="30" t="s">
        <v>2750</v>
      </c>
      <c r="E267" s="30" t="s">
        <v>2750</v>
      </c>
      <c r="F267" t="s">
        <v>3040</v>
      </c>
      <c r="G267" t="s">
        <v>3041</v>
      </c>
    </row>
    <row r="268" spans="1:7" x14ac:dyDescent="0.25">
      <c r="A268" s="30"/>
      <c r="B268" t="s">
        <v>527</v>
      </c>
      <c r="C268" t="s">
        <v>527</v>
      </c>
      <c r="D268" s="30" t="s">
        <v>528</v>
      </c>
      <c r="E268" s="30" t="s">
        <v>528</v>
      </c>
    </row>
    <row r="269" spans="1:7" x14ac:dyDescent="0.25">
      <c r="A269" s="30" t="s">
        <v>2586</v>
      </c>
      <c r="B269" t="s">
        <v>3188</v>
      </c>
      <c r="C269" t="s">
        <v>3189</v>
      </c>
      <c r="D269" s="30" t="s">
        <v>3190</v>
      </c>
      <c r="E269" s="30" t="s">
        <v>3190</v>
      </c>
    </row>
    <row r="270" spans="1:7" x14ac:dyDescent="0.25">
      <c r="A270" s="30" t="s">
        <v>2586</v>
      </c>
      <c r="B270" t="s">
        <v>3191</v>
      </c>
      <c r="C270" t="s">
        <v>3192</v>
      </c>
      <c r="D270" s="30" t="s">
        <v>3193</v>
      </c>
      <c r="E270" s="30" t="s">
        <v>3193</v>
      </c>
    </row>
    <row r="271" spans="1:7" x14ac:dyDescent="0.25">
      <c r="A271" s="30" t="s">
        <v>2586</v>
      </c>
      <c r="B271" t="s">
        <v>3194</v>
      </c>
      <c r="C271" t="s">
        <v>3195</v>
      </c>
      <c r="D271" s="30" t="s">
        <v>3196</v>
      </c>
      <c r="E271" s="30" t="s">
        <v>3196</v>
      </c>
      <c r="F271" t="s">
        <v>3197</v>
      </c>
      <c r="G271" t="s">
        <v>3198</v>
      </c>
    </row>
    <row r="272" spans="1:7" x14ac:dyDescent="0.25">
      <c r="A272" s="30" t="s">
        <v>2586</v>
      </c>
      <c r="B272" t="s">
        <v>3199</v>
      </c>
      <c r="C272" t="s">
        <v>3200</v>
      </c>
      <c r="D272" s="30" t="s">
        <v>3201</v>
      </c>
      <c r="E272" s="30" t="s">
        <v>3201</v>
      </c>
      <c r="F272" t="s">
        <v>3060</v>
      </c>
      <c r="G272" t="s">
        <v>3091</v>
      </c>
    </row>
    <row r="273" spans="1:7" x14ac:dyDescent="0.25">
      <c r="A273" s="30" t="s">
        <v>2586</v>
      </c>
      <c r="B273" t="s">
        <v>3202</v>
      </c>
      <c r="C273" t="s">
        <v>3203</v>
      </c>
      <c r="D273" s="30" t="s">
        <v>3204</v>
      </c>
      <c r="E273" s="30" t="s">
        <v>3204</v>
      </c>
    </row>
    <row r="274" spans="1:7" x14ac:dyDescent="0.25">
      <c r="A274" s="30" t="s">
        <v>2586</v>
      </c>
      <c r="B274" t="s">
        <v>3205</v>
      </c>
      <c r="C274" t="s">
        <v>3206</v>
      </c>
      <c r="D274" s="30" t="s">
        <v>3207</v>
      </c>
      <c r="E274" s="30" t="s">
        <v>3207</v>
      </c>
    </row>
    <row r="275" spans="1:7" x14ac:dyDescent="0.25">
      <c r="A275" s="30" t="s">
        <v>2586</v>
      </c>
      <c r="B275" t="s">
        <v>3208</v>
      </c>
      <c r="C275" t="s">
        <v>3209</v>
      </c>
      <c r="D275" s="30" t="s">
        <v>3210</v>
      </c>
      <c r="E275" s="30" t="s">
        <v>3210</v>
      </c>
    </row>
    <row r="276" spans="1:7" x14ac:dyDescent="0.25">
      <c r="A276" s="30" t="s">
        <v>2586</v>
      </c>
      <c r="B276" t="s">
        <v>2751</v>
      </c>
      <c r="C276" t="s">
        <v>2752</v>
      </c>
      <c r="D276" s="30" t="s">
        <v>2753</v>
      </c>
      <c r="E276" s="30" t="s">
        <v>2753</v>
      </c>
    </row>
    <row r="277" spans="1:7" x14ac:dyDescent="0.25">
      <c r="A277" s="30" t="s">
        <v>2586</v>
      </c>
      <c r="B277" t="s">
        <v>2754</v>
      </c>
      <c r="C277" t="s">
        <v>2755</v>
      </c>
      <c r="D277" s="30" t="s">
        <v>2756</v>
      </c>
      <c r="E277" s="30" t="s">
        <v>2756</v>
      </c>
    </row>
    <row r="278" spans="1:7" x14ac:dyDescent="0.25">
      <c r="A278" s="30" t="s">
        <v>2586</v>
      </c>
      <c r="B278" t="s">
        <v>2757</v>
      </c>
      <c r="C278" t="s">
        <v>2758</v>
      </c>
      <c r="D278" s="30" t="s">
        <v>2759</v>
      </c>
      <c r="E278" s="30" t="s">
        <v>2759</v>
      </c>
      <c r="F278" t="s">
        <v>3088</v>
      </c>
      <c r="G278" t="s">
        <v>3089</v>
      </c>
    </row>
    <row r="279" spans="1:7" x14ac:dyDescent="0.25">
      <c r="A279" s="30" t="s">
        <v>2586</v>
      </c>
      <c r="B279" t="s">
        <v>2760</v>
      </c>
      <c r="C279" t="s">
        <v>2761</v>
      </c>
      <c r="D279" s="30" t="s">
        <v>3211</v>
      </c>
      <c r="E279" s="30" t="s">
        <v>3211</v>
      </c>
      <c r="F279" t="s">
        <v>3060</v>
      </c>
      <c r="G279" t="s">
        <v>3091</v>
      </c>
    </row>
    <row r="280" spans="1:7" x14ac:dyDescent="0.25">
      <c r="A280" s="30" t="s">
        <v>2586</v>
      </c>
      <c r="B280" t="s">
        <v>2762</v>
      </c>
      <c r="C280" t="s">
        <v>2763</v>
      </c>
      <c r="D280" s="30" t="s">
        <v>2764</v>
      </c>
      <c r="E280" s="30" t="s">
        <v>2764</v>
      </c>
    </row>
    <row r="281" spans="1:7" x14ac:dyDescent="0.25">
      <c r="A281" s="30" t="s">
        <v>2586</v>
      </c>
      <c r="B281" t="s">
        <v>2765</v>
      </c>
      <c r="C281" t="s">
        <v>2766</v>
      </c>
      <c r="D281" s="30" t="s">
        <v>3212</v>
      </c>
      <c r="E281" s="30" t="s">
        <v>3212</v>
      </c>
    </row>
    <row r="282" spans="1:7" x14ac:dyDescent="0.25">
      <c r="A282" s="30" t="s">
        <v>2586</v>
      </c>
      <c r="B282" t="s">
        <v>2767</v>
      </c>
      <c r="C282" t="s">
        <v>2768</v>
      </c>
      <c r="D282" s="30" t="s">
        <v>3213</v>
      </c>
      <c r="E282" s="30" t="s">
        <v>3213</v>
      </c>
    </row>
    <row r="283" spans="1:7" x14ac:dyDescent="0.25">
      <c r="A283" s="30" t="s">
        <v>412</v>
      </c>
      <c r="B283" t="s">
        <v>922</v>
      </c>
      <c r="C283" t="s">
        <v>923</v>
      </c>
      <c r="D283" s="30" t="s">
        <v>2769</v>
      </c>
      <c r="E283" s="30" t="s">
        <v>2769</v>
      </c>
      <c r="F283" t="s">
        <v>3214</v>
      </c>
      <c r="G283" t="s">
        <v>3215</v>
      </c>
    </row>
    <row r="284" spans="1:7" x14ac:dyDescent="0.25">
      <c r="A284" s="30" t="s">
        <v>412</v>
      </c>
      <c r="B284" t="s">
        <v>924</v>
      </c>
      <c r="C284" t="s">
        <v>925</v>
      </c>
      <c r="D284" s="30" t="s">
        <v>2770</v>
      </c>
      <c r="E284" s="30" t="s">
        <v>2770</v>
      </c>
      <c r="F284" t="s">
        <v>3038</v>
      </c>
      <c r="G284" t="s">
        <v>3039</v>
      </c>
    </row>
    <row r="285" spans="1:7" x14ac:dyDescent="0.25">
      <c r="A285" s="30" t="s">
        <v>412</v>
      </c>
      <c r="B285" t="s">
        <v>1278</v>
      </c>
      <c r="C285" t="s">
        <v>1279</v>
      </c>
      <c r="D285" s="30" t="s">
        <v>2771</v>
      </c>
      <c r="E285" s="30" t="s">
        <v>2771</v>
      </c>
      <c r="F285" t="s">
        <v>3132</v>
      </c>
      <c r="G285" t="s">
        <v>3133</v>
      </c>
    </row>
    <row r="286" spans="1:7" x14ac:dyDescent="0.25">
      <c r="A286" s="30" t="s">
        <v>412</v>
      </c>
      <c r="B286" t="s">
        <v>926</v>
      </c>
      <c r="C286" t="s">
        <v>927</v>
      </c>
      <c r="D286" s="30" t="s">
        <v>2772</v>
      </c>
      <c r="E286" s="30" t="s">
        <v>2772</v>
      </c>
      <c r="F286" t="s">
        <v>3216</v>
      </c>
      <c r="G286" t="s">
        <v>3217</v>
      </c>
    </row>
    <row r="287" spans="1:7" x14ac:dyDescent="0.25">
      <c r="A287" s="30" t="s">
        <v>412</v>
      </c>
      <c r="B287" t="s">
        <v>928</v>
      </c>
      <c r="C287" t="s">
        <v>929</v>
      </c>
      <c r="D287" s="30" t="s">
        <v>2773</v>
      </c>
      <c r="E287" s="30" t="s">
        <v>2773</v>
      </c>
      <c r="F287" t="s">
        <v>3218</v>
      </c>
      <c r="G287" t="s">
        <v>3219</v>
      </c>
    </row>
    <row r="288" spans="1:7" x14ac:dyDescent="0.25">
      <c r="A288" s="30" t="s">
        <v>412</v>
      </c>
      <c r="B288" t="s">
        <v>2197</v>
      </c>
      <c r="C288" t="s">
        <v>2198</v>
      </c>
      <c r="D288" s="30" t="s">
        <v>2774</v>
      </c>
      <c r="E288" s="30" t="s">
        <v>2774</v>
      </c>
    </row>
    <row r="289" spans="1:7" x14ac:dyDescent="0.25">
      <c r="A289" s="30" t="s">
        <v>412</v>
      </c>
      <c r="B289" t="s">
        <v>2775</v>
      </c>
      <c r="C289" t="s">
        <v>2776</v>
      </c>
      <c r="D289" s="30" t="s">
        <v>2777</v>
      </c>
      <c r="E289" s="30" t="s">
        <v>2777</v>
      </c>
      <c r="F289" t="s">
        <v>3216</v>
      </c>
      <c r="G289" t="s">
        <v>3217</v>
      </c>
    </row>
    <row r="290" spans="1:7" x14ac:dyDescent="0.25">
      <c r="A290" s="30" t="s">
        <v>412</v>
      </c>
      <c r="B290" t="s">
        <v>1121</v>
      </c>
      <c r="C290" t="s">
        <v>1122</v>
      </c>
      <c r="D290" s="30" t="s">
        <v>2778</v>
      </c>
      <c r="E290" s="30" t="s">
        <v>2778</v>
      </c>
      <c r="F290" t="s">
        <v>3214</v>
      </c>
      <c r="G290" t="s">
        <v>3215</v>
      </c>
    </row>
    <row r="291" spans="1:7" x14ac:dyDescent="0.25">
      <c r="A291" s="30" t="s">
        <v>412</v>
      </c>
      <c r="B291" t="s">
        <v>1391</v>
      </c>
      <c r="C291" t="s">
        <v>1392</v>
      </c>
      <c r="D291" s="30" t="s">
        <v>2779</v>
      </c>
      <c r="E291" s="30" t="s">
        <v>2779</v>
      </c>
      <c r="F291" t="s">
        <v>3220</v>
      </c>
      <c r="G291" t="s">
        <v>3221</v>
      </c>
    </row>
    <row r="292" spans="1:7" x14ac:dyDescent="0.25">
      <c r="A292" s="30" t="s">
        <v>412</v>
      </c>
      <c r="B292" t="s">
        <v>2780</v>
      </c>
      <c r="C292" t="s">
        <v>2781</v>
      </c>
      <c r="D292" s="30" t="s">
        <v>2782</v>
      </c>
      <c r="E292" s="30" t="s">
        <v>2782</v>
      </c>
      <c r="F292" t="s">
        <v>3216</v>
      </c>
      <c r="G292" t="s">
        <v>3217</v>
      </c>
    </row>
    <row r="293" spans="1:7" x14ac:dyDescent="0.25">
      <c r="A293" s="30" t="s">
        <v>412</v>
      </c>
      <c r="B293" t="s">
        <v>930</v>
      </c>
      <c r="C293" t="s">
        <v>931</v>
      </c>
      <c r="D293" s="30" t="s">
        <v>2783</v>
      </c>
      <c r="E293" s="30" t="s">
        <v>2783</v>
      </c>
      <c r="F293" t="s">
        <v>3222</v>
      </c>
      <c r="G293" t="s">
        <v>3223</v>
      </c>
    </row>
    <row r="294" spans="1:7" x14ac:dyDescent="0.25">
      <c r="A294" s="30" t="s">
        <v>412</v>
      </c>
      <c r="B294" t="s">
        <v>932</v>
      </c>
      <c r="C294" t="s">
        <v>933</v>
      </c>
      <c r="D294" s="30" t="s">
        <v>2784</v>
      </c>
      <c r="E294" s="30" t="s">
        <v>2784</v>
      </c>
      <c r="F294" t="s">
        <v>3220</v>
      </c>
      <c r="G294" t="s">
        <v>3221</v>
      </c>
    </row>
    <row r="295" spans="1:7" x14ac:dyDescent="0.25">
      <c r="A295" s="30" t="s">
        <v>412</v>
      </c>
      <c r="B295" t="s">
        <v>934</v>
      </c>
      <c r="C295" t="s">
        <v>935</v>
      </c>
      <c r="D295" s="30" t="s">
        <v>2785</v>
      </c>
      <c r="E295" s="30" t="s">
        <v>2785</v>
      </c>
      <c r="F295" t="s">
        <v>3216</v>
      </c>
      <c r="G295" t="s">
        <v>3217</v>
      </c>
    </row>
    <row r="296" spans="1:7" x14ac:dyDescent="0.25">
      <c r="A296" s="30" t="s">
        <v>1251</v>
      </c>
      <c r="B296" t="s">
        <v>1280</v>
      </c>
      <c r="C296" t="s">
        <v>1281</v>
      </c>
      <c r="D296" s="30" t="s">
        <v>2786</v>
      </c>
      <c r="E296" s="30" t="s">
        <v>2786</v>
      </c>
      <c r="F296" t="s">
        <v>3224</v>
      </c>
      <c r="G296" t="s">
        <v>3225</v>
      </c>
    </row>
    <row r="297" spans="1:7" x14ac:dyDescent="0.25">
      <c r="A297" s="30" t="s">
        <v>2586</v>
      </c>
      <c r="B297" t="s">
        <v>2787</v>
      </c>
      <c r="C297" t="s">
        <v>2788</v>
      </c>
      <c r="D297" s="30" t="s">
        <v>2789</v>
      </c>
      <c r="E297" s="30" t="s">
        <v>2789</v>
      </c>
    </row>
    <row r="298" spans="1:7" x14ac:dyDescent="0.25">
      <c r="A298" s="30" t="s">
        <v>2586</v>
      </c>
      <c r="B298" t="s">
        <v>2790</v>
      </c>
      <c r="C298" t="s">
        <v>2791</v>
      </c>
      <c r="D298" s="30" t="s">
        <v>2792</v>
      </c>
      <c r="E298" s="30" t="s">
        <v>2792</v>
      </c>
    </row>
    <row r="299" spans="1:7" x14ac:dyDescent="0.25">
      <c r="A299" s="30" t="s">
        <v>2586</v>
      </c>
      <c r="B299" t="s">
        <v>2793</v>
      </c>
      <c r="C299" t="s">
        <v>2794</v>
      </c>
      <c r="D299" s="30" t="s">
        <v>2795</v>
      </c>
      <c r="E299" s="30" t="s">
        <v>2795</v>
      </c>
      <c r="F299" t="s">
        <v>3088</v>
      </c>
      <c r="G299" t="s">
        <v>3089</v>
      </c>
    </row>
    <row r="300" spans="1:7" x14ac:dyDescent="0.25">
      <c r="A300" s="30" t="s">
        <v>2586</v>
      </c>
      <c r="B300" t="s">
        <v>2796</v>
      </c>
      <c r="C300" t="s">
        <v>2797</v>
      </c>
      <c r="D300" s="30" t="s">
        <v>3226</v>
      </c>
      <c r="E300" s="30" t="s">
        <v>3226</v>
      </c>
      <c r="F300" t="s">
        <v>3060</v>
      </c>
      <c r="G300" t="s">
        <v>3091</v>
      </c>
    </row>
    <row r="301" spans="1:7" x14ac:dyDescent="0.25">
      <c r="A301" s="30" t="s">
        <v>2586</v>
      </c>
      <c r="B301" t="s">
        <v>2798</v>
      </c>
      <c r="C301" t="s">
        <v>2799</v>
      </c>
      <c r="D301" s="30" t="s">
        <v>2800</v>
      </c>
      <c r="E301" s="30" t="s">
        <v>2800</v>
      </c>
    </row>
    <row r="302" spans="1:7" x14ac:dyDescent="0.25">
      <c r="A302" s="30" t="s">
        <v>2586</v>
      </c>
      <c r="B302" t="s">
        <v>2801</v>
      </c>
      <c r="C302" t="s">
        <v>2802</v>
      </c>
      <c r="D302" s="30" t="s">
        <v>3227</v>
      </c>
      <c r="E302" s="30" t="s">
        <v>3227</v>
      </c>
    </row>
    <row r="303" spans="1:7" x14ac:dyDescent="0.25">
      <c r="A303" s="30" t="s">
        <v>2586</v>
      </c>
      <c r="B303" t="s">
        <v>2803</v>
      </c>
      <c r="C303" t="s">
        <v>2804</v>
      </c>
      <c r="D303" s="30" t="s">
        <v>3228</v>
      </c>
      <c r="E303" s="30" t="s">
        <v>3228</v>
      </c>
    </row>
    <row r="304" spans="1:7" x14ac:dyDescent="0.25">
      <c r="A304" s="30" t="s">
        <v>412</v>
      </c>
      <c r="B304" t="s">
        <v>1282</v>
      </c>
      <c r="C304" t="s">
        <v>1283</v>
      </c>
      <c r="D304" s="30" t="s">
        <v>1840</v>
      </c>
      <c r="E304" s="30" t="s">
        <v>1840</v>
      </c>
    </row>
    <row r="305" spans="1:7" x14ac:dyDescent="0.25">
      <c r="A305" s="30" t="s">
        <v>412</v>
      </c>
      <c r="B305" t="s">
        <v>2805</v>
      </c>
      <c r="C305" t="s">
        <v>2806</v>
      </c>
      <c r="D305" s="30" t="s">
        <v>3229</v>
      </c>
      <c r="E305" s="30" t="s">
        <v>3229</v>
      </c>
      <c r="F305" t="s">
        <v>3028</v>
      </c>
      <c r="G305" t="s">
        <v>3082</v>
      </c>
    </row>
    <row r="306" spans="1:7" x14ac:dyDescent="0.25">
      <c r="A306" s="30" t="s">
        <v>412</v>
      </c>
      <c r="B306" t="s">
        <v>2807</v>
      </c>
      <c r="C306" t="s">
        <v>2808</v>
      </c>
      <c r="D306" s="30" t="s">
        <v>3230</v>
      </c>
      <c r="E306" s="30" t="s">
        <v>3230</v>
      </c>
      <c r="F306" t="s">
        <v>3028</v>
      </c>
      <c r="G306" t="s">
        <v>3082</v>
      </c>
    </row>
    <row r="307" spans="1:7" x14ac:dyDescent="0.25">
      <c r="A307" s="30" t="s">
        <v>412</v>
      </c>
      <c r="B307" t="s">
        <v>2809</v>
      </c>
      <c r="C307" t="s">
        <v>2810</v>
      </c>
      <c r="D307" s="30" t="s">
        <v>2811</v>
      </c>
      <c r="E307" s="30" t="s">
        <v>2811</v>
      </c>
      <c r="F307" t="s">
        <v>3040</v>
      </c>
      <c r="G307" t="s">
        <v>3041</v>
      </c>
    </row>
    <row r="308" spans="1:7" x14ac:dyDescent="0.25">
      <c r="A308" s="30" t="s">
        <v>412</v>
      </c>
      <c r="B308" t="s">
        <v>2812</v>
      </c>
      <c r="C308" t="s">
        <v>2813</v>
      </c>
      <c r="D308" s="30" t="s">
        <v>3231</v>
      </c>
      <c r="E308" s="30" t="s">
        <v>3231</v>
      </c>
    </row>
    <row r="309" spans="1:7" x14ac:dyDescent="0.25">
      <c r="A309" s="30" t="s">
        <v>412</v>
      </c>
      <c r="B309" t="s">
        <v>2814</v>
      </c>
      <c r="C309" t="s">
        <v>2815</v>
      </c>
      <c r="D309" s="30" t="s">
        <v>3232</v>
      </c>
      <c r="E309" s="30" t="s">
        <v>3232</v>
      </c>
    </row>
    <row r="310" spans="1:7" x14ac:dyDescent="0.25">
      <c r="A310" s="30" t="s">
        <v>412</v>
      </c>
      <c r="B310" t="s">
        <v>2816</v>
      </c>
      <c r="C310" t="s">
        <v>2817</v>
      </c>
      <c r="D310" s="30" t="s">
        <v>2194</v>
      </c>
      <c r="E310" s="30" t="s">
        <v>2194</v>
      </c>
    </row>
    <row r="311" spans="1:7" x14ac:dyDescent="0.25">
      <c r="A311" s="30" t="s">
        <v>412</v>
      </c>
      <c r="B311" t="s">
        <v>2818</v>
      </c>
      <c r="C311" t="s">
        <v>2819</v>
      </c>
      <c r="D311" s="30" t="s">
        <v>3233</v>
      </c>
      <c r="E311" s="30" t="s">
        <v>3233</v>
      </c>
      <c r="F311" t="s">
        <v>3060</v>
      </c>
      <c r="G311" t="s">
        <v>3029</v>
      </c>
    </row>
    <row r="312" spans="1:7" x14ac:dyDescent="0.25">
      <c r="A312" s="30" t="s">
        <v>412</v>
      </c>
      <c r="B312" t="s">
        <v>2820</v>
      </c>
      <c r="C312" t="s">
        <v>2821</v>
      </c>
      <c r="D312" s="30" t="s">
        <v>3234</v>
      </c>
      <c r="E312" s="30" t="s">
        <v>3234</v>
      </c>
    </row>
    <row r="313" spans="1:7" x14ac:dyDescent="0.25">
      <c r="A313" s="30" t="s">
        <v>412</v>
      </c>
      <c r="B313" t="s">
        <v>2822</v>
      </c>
      <c r="C313" t="s">
        <v>2823</v>
      </c>
      <c r="D313" s="30" t="s">
        <v>2824</v>
      </c>
      <c r="E313" s="30" t="s">
        <v>2824</v>
      </c>
    </row>
    <row r="314" spans="1:7" x14ac:dyDescent="0.25">
      <c r="A314" s="30" t="s">
        <v>412</v>
      </c>
      <c r="B314" t="s">
        <v>2825</v>
      </c>
      <c r="C314" t="s">
        <v>2826</v>
      </c>
      <c r="D314" s="30" t="s">
        <v>3235</v>
      </c>
      <c r="E314" s="30" t="s">
        <v>3235</v>
      </c>
    </row>
    <row r="315" spans="1:7" x14ac:dyDescent="0.25">
      <c r="A315" s="30" t="s">
        <v>412</v>
      </c>
      <c r="B315" t="s">
        <v>2827</v>
      </c>
      <c r="C315" t="s">
        <v>2828</v>
      </c>
      <c r="D315" s="30" t="s">
        <v>3236</v>
      </c>
      <c r="E315" s="30" t="s">
        <v>3236</v>
      </c>
    </row>
    <row r="316" spans="1:7" x14ac:dyDescent="0.25">
      <c r="A316" s="30" t="s">
        <v>412</v>
      </c>
      <c r="B316" t="s">
        <v>2829</v>
      </c>
      <c r="C316" t="s">
        <v>2830</v>
      </c>
      <c r="D316" s="30" t="s">
        <v>2831</v>
      </c>
      <c r="E316" s="30" t="s">
        <v>2831</v>
      </c>
      <c r="F316" t="s">
        <v>3237</v>
      </c>
      <c r="G316" t="s">
        <v>3238</v>
      </c>
    </row>
    <row r="317" spans="1:7" x14ac:dyDescent="0.25">
      <c r="A317" s="30" t="s">
        <v>412</v>
      </c>
      <c r="B317" t="s">
        <v>2832</v>
      </c>
      <c r="C317" t="s">
        <v>2833</v>
      </c>
      <c r="D317" s="30" t="s">
        <v>2834</v>
      </c>
      <c r="E317" s="30" t="s">
        <v>2834</v>
      </c>
      <c r="F317" t="s">
        <v>3038</v>
      </c>
      <c r="G317" t="s">
        <v>3039</v>
      </c>
    </row>
    <row r="318" spans="1:7" x14ac:dyDescent="0.25">
      <c r="A318" s="30" t="s">
        <v>412</v>
      </c>
      <c r="B318" t="s">
        <v>2835</v>
      </c>
      <c r="C318" t="s">
        <v>2836</v>
      </c>
      <c r="D318" s="30" t="s">
        <v>2837</v>
      </c>
      <c r="E318" s="30" t="s">
        <v>2837</v>
      </c>
    </row>
    <row r="319" spans="1:7" x14ac:dyDescent="0.25">
      <c r="A319" s="30" t="s">
        <v>412</v>
      </c>
      <c r="B319" t="s">
        <v>2838</v>
      </c>
      <c r="C319" t="s">
        <v>2839</v>
      </c>
      <c r="D319" s="30" t="s">
        <v>2840</v>
      </c>
      <c r="E319" s="30" t="s">
        <v>2840</v>
      </c>
      <c r="F319" t="s">
        <v>3040</v>
      </c>
      <c r="G319" t="s">
        <v>3041</v>
      </c>
    </row>
    <row r="320" spans="1:7" x14ac:dyDescent="0.25">
      <c r="A320" s="30" t="s">
        <v>2586</v>
      </c>
      <c r="B320" t="s">
        <v>3239</v>
      </c>
      <c r="C320" t="s">
        <v>3240</v>
      </c>
      <c r="D320" s="30" t="s">
        <v>3241</v>
      </c>
      <c r="E320" s="30" t="s">
        <v>3241</v>
      </c>
    </row>
    <row r="321" spans="1:7" x14ac:dyDescent="0.25">
      <c r="A321" s="30" t="s">
        <v>2586</v>
      </c>
      <c r="B321" t="s">
        <v>3242</v>
      </c>
      <c r="C321" t="s">
        <v>3243</v>
      </c>
      <c r="D321" s="30" t="s">
        <v>3244</v>
      </c>
      <c r="E321" s="30" t="s">
        <v>3244</v>
      </c>
    </row>
    <row r="322" spans="1:7" x14ac:dyDescent="0.25">
      <c r="A322" s="30" t="s">
        <v>2586</v>
      </c>
      <c r="B322" t="s">
        <v>3245</v>
      </c>
      <c r="C322" t="s">
        <v>3246</v>
      </c>
      <c r="D322" s="30" t="s">
        <v>3247</v>
      </c>
      <c r="E322" s="30" t="s">
        <v>3247</v>
      </c>
      <c r="F322" t="s">
        <v>3088</v>
      </c>
      <c r="G322" t="s">
        <v>3089</v>
      </c>
    </row>
    <row r="323" spans="1:7" x14ac:dyDescent="0.25">
      <c r="A323" s="30" t="s">
        <v>2586</v>
      </c>
      <c r="B323" t="s">
        <v>3248</v>
      </c>
      <c r="C323" t="s">
        <v>3249</v>
      </c>
      <c r="D323" s="30" t="s">
        <v>3250</v>
      </c>
      <c r="E323" s="30" t="s">
        <v>3250</v>
      </c>
      <c r="F323" t="s">
        <v>3060</v>
      </c>
      <c r="G323" t="s">
        <v>3091</v>
      </c>
    </row>
    <row r="324" spans="1:7" x14ac:dyDescent="0.25">
      <c r="A324" s="30" t="s">
        <v>2586</v>
      </c>
      <c r="B324" t="s">
        <v>3251</v>
      </c>
      <c r="C324" t="s">
        <v>3252</v>
      </c>
      <c r="D324" s="30" t="s">
        <v>3253</v>
      </c>
      <c r="E324" s="30" t="s">
        <v>3253</v>
      </c>
    </row>
    <row r="325" spans="1:7" x14ac:dyDescent="0.25">
      <c r="A325" s="30" t="s">
        <v>2586</v>
      </c>
      <c r="B325" t="s">
        <v>3254</v>
      </c>
      <c r="C325" t="s">
        <v>3255</v>
      </c>
      <c r="D325" s="30" t="s">
        <v>3256</v>
      </c>
      <c r="E325" s="30" t="s">
        <v>3256</v>
      </c>
      <c r="F325" t="s">
        <v>3060</v>
      </c>
      <c r="G325" t="s">
        <v>3091</v>
      </c>
    </row>
    <row r="326" spans="1:7" x14ac:dyDescent="0.25">
      <c r="A326" s="30" t="s">
        <v>2586</v>
      </c>
      <c r="B326" t="s">
        <v>3257</v>
      </c>
      <c r="C326" t="s">
        <v>3258</v>
      </c>
      <c r="D326" s="30" t="s">
        <v>3259</v>
      </c>
      <c r="E326" s="30" t="s">
        <v>3259</v>
      </c>
    </row>
    <row r="327" spans="1:7" x14ac:dyDescent="0.25">
      <c r="A327" s="30" t="s">
        <v>412</v>
      </c>
      <c r="B327" t="s">
        <v>1284</v>
      </c>
      <c r="C327" t="s">
        <v>1285</v>
      </c>
      <c r="D327" s="30" t="s">
        <v>1286</v>
      </c>
      <c r="E327" s="30" t="s">
        <v>1286</v>
      </c>
      <c r="F327" t="s">
        <v>3122</v>
      </c>
      <c r="G327" t="s">
        <v>3123</v>
      </c>
    </row>
    <row r="328" spans="1:7" x14ac:dyDescent="0.25">
      <c r="A328" s="30" t="s">
        <v>412</v>
      </c>
      <c r="B328" t="s">
        <v>1287</v>
      </c>
      <c r="C328" t="s">
        <v>1288</v>
      </c>
      <c r="D328" s="30" t="s">
        <v>3260</v>
      </c>
      <c r="E328" s="30" t="s">
        <v>3260</v>
      </c>
    </row>
    <row r="329" spans="1:7" x14ac:dyDescent="0.25">
      <c r="A329" s="30" t="s">
        <v>412</v>
      </c>
      <c r="B329" t="s">
        <v>1289</v>
      </c>
      <c r="C329" t="s">
        <v>1290</v>
      </c>
      <c r="D329" s="30" t="s">
        <v>3261</v>
      </c>
      <c r="E329" s="30" t="s">
        <v>3261</v>
      </c>
      <c r="F329" t="s">
        <v>3262</v>
      </c>
      <c r="G329" t="s">
        <v>3263</v>
      </c>
    </row>
    <row r="330" spans="1:7" x14ac:dyDescent="0.25">
      <c r="A330" s="30" t="s">
        <v>412</v>
      </c>
      <c r="B330" t="s">
        <v>1841</v>
      </c>
      <c r="C330" t="s">
        <v>1842</v>
      </c>
      <c r="D330" s="30" t="s">
        <v>2841</v>
      </c>
      <c r="E330" s="30" t="s">
        <v>2841</v>
      </c>
    </row>
    <row r="331" spans="1:7" x14ac:dyDescent="0.25">
      <c r="A331" s="30" t="s">
        <v>412</v>
      </c>
      <c r="B331" t="s">
        <v>1291</v>
      </c>
      <c r="C331" t="s">
        <v>1292</v>
      </c>
      <c r="D331" s="30" t="s">
        <v>3264</v>
      </c>
      <c r="E331" s="30" t="s">
        <v>3264</v>
      </c>
      <c r="F331" t="s">
        <v>3265</v>
      </c>
      <c r="G331" t="s">
        <v>3266</v>
      </c>
    </row>
    <row r="332" spans="1:7" x14ac:dyDescent="0.25">
      <c r="A332" s="30" t="s">
        <v>412</v>
      </c>
      <c r="B332" t="s">
        <v>1293</v>
      </c>
      <c r="C332" t="s">
        <v>1294</v>
      </c>
      <c r="D332" s="30" t="s">
        <v>1843</v>
      </c>
      <c r="E332" s="30" t="s">
        <v>1843</v>
      </c>
      <c r="F332" t="s">
        <v>3265</v>
      </c>
      <c r="G332" t="s">
        <v>3266</v>
      </c>
    </row>
    <row r="333" spans="1:7" x14ac:dyDescent="0.25">
      <c r="A333" s="30" t="s">
        <v>412</v>
      </c>
      <c r="B333" t="s">
        <v>1295</v>
      </c>
      <c r="C333" t="s">
        <v>1296</v>
      </c>
      <c r="D333" s="30" t="s">
        <v>3267</v>
      </c>
      <c r="E333" s="30" t="s">
        <v>3267</v>
      </c>
    </row>
    <row r="334" spans="1:7" x14ac:dyDescent="0.25">
      <c r="A334" s="30" t="s">
        <v>412</v>
      </c>
      <c r="B334" t="s">
        <v>1297</v>
      </c>
      <c r="C334" t="s">
        <v>1298</v>
      </c>
      <c r="D334" s="30" t="s">
        <v>1844</v>
      </c>
      <c r="E334" s="30" t="s">
        <v>1844</v>
      </c>
    </row>
    <row r="335" spans="1:7" x14ac:dyDescent="0.25">
      <c r="A335" s="30" t="s">
        <v>412</v>
      </c>
      <c r="B335" t="s">
        <v>1299</v>
      </c>
      <c r="C335" t="s">
        <v>1300</v>
      </c>
      <c r="D335" s="30" t="s">
        <v>1845</v>
      </c>
      <c r="E335" s="30" t="s">
        <v>1845</v>
      </c>
      <c r="F335" t="s">
        <v>3265</v>
      </c>
      <c r="G335" t="s">
        <v>3266</v>
      </c>
    </row>
    <row r="336" spans="1:7" x14ac:dyDescent="0.25">
      <c r="A336" s="30" t="s">
        <v>412</v>
      </c>
      <c r="B336" t="s">
        <v>1301</v>
      </c>
      <c r="C336" t="s">
        <v>1302</v>
      </c>
      <c r="D336" s="30" t="s">
        <v>1846</v>
      </c>
      <c r="E336" s="30" t="s">
        <v>1846</v>
      </c>
    </row>
    <row r="337" spans="1:7" x14ac:dyDescent="0.25">
      <c r="A337" s="30" t="s">
        <v>412</v>
      </c>
      <c r="B337" t="s">
        <v>1303</v>
      </c>
      <c r="C337" t="s">
        <v>1304</v>
      </c>
      <c r="D337" s="30" t="s">
        <v>3268</v>
      </c>
      <c r="E337" s="30" t="s">
        <v>3268</v>
      </c>
    </row>
    <row r="338" spans="1:7" x14ac:dyDescent="0.25">
      <c r="A338" s="30" t="s">
        <v>412</v>
      </c>
      <c r="B338" t="s">
        <v>1305</v>
      </c>
      <c r="C338" t="s">
        <v>1306</v>
      </c>
      <c r="D338" s="30" t="s">
        <v>3269</v>
      </c>
      <c r="E338" s="30" t="s">
        <v>3269</v>
      </c>
    </row>
    <row r="339" spans="1:7" x14ac:dyDescent="0.25">
      <c r="A339" s="30" t="s">
        <v>412</v>
      </c>
      <c r="B339" t="s">
        <v>1123</v>
      </c>
      <c r="C339" t="s">
        <v>1124</v>
      </c>
      <c r="D339" s="30" t="s">
        <v>1847</v>
      </c>
      <c r="E339" s="30" t="s">
        <v>1847</v>
      </c>
      <c r="F339" t="s">
        <v>3060</v>
      </c>
      <c r="G339" t="s">
        <v>3029</v>
      </c>
    </row>
    <row r="340" spans="1:7" x14ac:dyDescent="0.25">
      <c r="A340" s="30" t="s">
        <v>412</v>
      </c>
      <c r="B340" t="s">
        <v>2842</v>
      </c>
      <c r="C340" t="s">
        <v>2843</v>
      </c>
      <c r="D340" s="30" t="s">
        <v>2844</v>
      </c>
      <c r="E340" s="30" t="s">
        <v>2844</v>
      </c>
    </row>
    <row r="341" spans="1:7" x14ac:dyDescent="0.25">
      <c r="A341" s="30" t="s">
        <v>412</v>
      </c>
      <c r="B341" t="s">
        <v>1307</v>
      </c>
      <c r="C341" t="s">
        <v>1308</v>
      </c>
      <c r="D341" s="30" t="s">
        <v>2845</v>
      </c>
      <c r="E341" s="30" t="s">
        <v>2845</v>
      </c>
      <c r="F341" t="s">
        <v>3270</v>
      </c>
      <c r="G341" t="s">
        <v>3271</v>
      </c>
    </row>
    <row r="342" spans="1:7" x14ac:dyDescent="0.25">
      <c r="A342" s="30" t="s">
        <v>412</v>
      </c>
      <c r="B342" t="s">
        <v>936</v>
      </c>
      <c r="C342" t="s">
        <v>937</v>
      </c>
      <c r="D342" s="30" t="s">
        <v>2846</v>
      </c>
      <c r="E342" s="30" t="s">
        <v>2846</v>
      </c>
    </row>
    <row r="343" spans="1:7" x14ac:dyDescent="0.25">
      <c r="A343" s="30" t="s">
        <v>412</v>
      </c>
      <c r="B343" t="s">
        <v>938</v>
      </c>
      <c r="C343" t="s">
        <v>939</v>
      </c>
      <c r="D343" s="30" t="s">
        <v>2847</v>
      </c>
      <c r="E343" s="30" t="s">
        <v>2847</v>
      </c>
    </row>
    <row r="344" spans="1:7" x14ac:dyDescent="0.25">
      <c r="A344" s="30" t="s">
        <v>412</v>
      </c>
      <c r="B344" t="s">
        <v>1125</v>
      </c>
      <c r="C344" t="s">
        <v>1126</v>
      </c>
      <c r="D344" s="30" t="s">
        <v>2848</v>
      </c>
      <c r="E344" s="30" t="s">
        <v>2848</v>
      </c>
    </row>
    <row r="345" spans="1:7" x14ac:dyDescent="0.25">
      <c r="A345" s="30" t="s">
        <v>2586</v>
      </c>
      <c r="B345" t="s">
        <v>2849</v>
      </c>
      <c r="C345" t="s">
        <v>2850</v>
      </c>
      <c r="D345" s="30" t="s">
        <v>2851</v>
      </c>
      <c r="E345" s="30" t="s">
        <v>2851</v>
      </c>
    </row>
    <row r="346" spans="1:7" x14ac:dyDescent="0.25">
      <c r="A346" s="30" t="s">
        <v>412</v>
      </c>
      <c r="B346" t="s">
        <v>1848</v>
      </c>
      <c r="C346" t="s">
        <v>1849</v>
      </c>
      <c r="D346" s="30" t="s">
        <v>1850</v>
      </c>
      <c r="E346" s="30" t="s">
        <v>1850</v>
      </c>
      <c r="F346" t="s">
        <v>3025</v>
      </c>
      <c r="G346" t="s">
        <v>3074</v>
      </c>
    </row>
    <row r="347" spans="1:7" x14ac:dyDescent="0.25">
      <c r="A347" s="30" t="s">
        <v>412</v>
      </c>
      <c r="B347" t="s">
        <v>1851</v>
      </c>
      <c r="C347" t="s">
        <v>1852</v>
      </c>
      <c r="D347" s="30" t="s">
        <v>3272</v>
      </c>
      <c r="E347" s="30" t="s">
        <v>3272</v>
      </c>
      <c r="F347" t="s">
        <v>3025</v>
      </c>
      <c r="G347" t="s">
        <v>3074</v>
      </c>
    </row>
    <row r="348" spans="1:7" x14ac:dyDescent="0.25">
      <c r="A348" s="30" t="s">
        <v>412</v>
      </c>
      <c r="B348" t="s">
        <v>1853</v>
      </c>
      <c r="C348" t="s">
        <v>1854</v>
      </c>
      <c r="D348" s="30" t="s">
        <v>2852</v>
      </c>
      <c r="E348" s="30" t="s">
        <v>2852</v>
      </c>
      <c r="F348" t="s">
        <v>3040</v>
      </c>
      <c r="G348" t="s">
        <v>3041</v>
      </c>
    </row>
    <row r="349" spans="1:7" x14ac:dyDescent="0.25">
      <c r="A349" s="30" t="s">
        <v>412</v>
      </c>
      <c r="B349" t="s">
        <v>1855</v>
      </c>
      <c r="C349" t="s">
        <v>1856</v>
      </c>
      <c r="D349" s="30" t="s">
        <v>1857</v>
      </c>
      <c r="E349" s="30" t="s">
        <v>1857</v>
      </c>
      <c r="F349" t="s">
        <v>3028</v>
      </c>
      <c r="G349" t="s">
        <v>3098</v>
      </c>
    </row>
    <row r="350" spans="1:7" x14ac:dyDescent="0.25">
      <c r="A350" s="30" t="s">
        <v>412</v>
      </c>
      <c r="B350" t="s">
        <v>1858</v>
      </c>
      <c r="C350" t="s">
        <v>1859</v>
      </c>
      <c r="D350" s="30" t="s">
        <v>1860</v>
      </c>
      <c r="E350" s="30" t="s">
        <v>1860</v>
      </c>
      <c r="F350" t="s">
        <v>3028</v>
      </c>
      <c r="G350" t="s">
        <v>3098</v>
      </c>
    </row>
    <row r="351" spans="1:7" x14ac:dyDescent="0.25">
      <c r="A351" s="30" t="s">
        <v>412</v>
      </c>
      <c r="B351" t="s">
        <v>940</v>
      </c>
      <c r="C351" t="s">
        <v>941</v>
      </c>
      <c r="D351" s="30" t="s">
        <v>3273</v>
      </c>
      <c r="E351" s="30" t="s">
        <v>3273</v>
      </c>
    </row>
    <row r="352" spans="1:7" x14ac:dyDescent="0.25">
      <c r="A352" s="30" t="s">
        <v>412</v>
      </c>
      <c r="B352" t="s">
        <v>942</v>
      </c>
      <c r="C352" t="s">
        <v>943</v>
      </c>
      <c r="D352" s="30" t="s">
        <v>3274</v>
      </c>
      <c r="E352" s="30" t="s">
        <v>3274</v>
      </c>
    </row>
    <row r="353" spans="1:7" x14ac:dyDescent="0.25">
      <c r="A353" s="30" t="s">
        <v>412</v>
      </c>
      <c r="B353" t="s">
        <v>1861</v>
      </c>
      <c r="C353" t="s">
        <v>1862</v>
      </c>
      <c r="D353" s="30" t="s">
        <v>2853</v>
      </c>
      <c r="E353" s="30" t="s">
        <v>2853</v>
      </c>
      <c r="F353" t="s">
        <v>3025</v>
      </c>
      <c r="G353" t="s">
        <v>3074</v>
      </c>
    </row>
    <row r="354" spans="1:7" x14ac:dyDescent="0.25">
      <c r="A354" s="30" t="s">
        <v>412</v>
      </c>
      <c r="B354" t="s">
        <v>944</v>
      </c>
      <c r="C354" t="s">
        <v>945</v>
      </c>
      <c r="D354" s="30" t="s">
        <v>3275</v>
      </c>
      <c r="E354" s="30" t="s">
        <v>3275</v>
      </c>
    </row>
    <row r="355" spans="1:7" x14ac:dyDescent="0.25">
      <c r="A355" s="30" t="s">
        <v>412</v>
      </c>
      <c r="B355" t="s">
        <v>946</v>
      </c>
      <c r="C355" t="s">
        <v>947</v>
      </c>
      <c r="D355" s="30" t="s">
        <v>3276</v>
      </c>
      <c r="E355" s="30" t="s">
        <v>3276</v>
      </c>
    </row>
    <row r="356" spans="1:7" x14ac:dyDescent="0.25">
      <c r="A356" s="30" t="s">
        <v>412</v>
      </c>
      <c r="B356" t="s">
        <v>948</v>
      </c>
      <c r="C356" t="s">
        <v>949</v>
      </c>
      <c r="D356" s="30" t="s">
        <v>2854</v>
      </c>
      <c r="E356" s="30" t="s">
        <v>2854</v>
      </c>
      <c r="F356" t="s">
        <v>3065</v>
      </c>
      <c r="G356" t="s">
        <v>3066</v>
      </c>
    </row>
    <row r="357" spans="1:7" x14ac:dyDescent="0.25">
      <c r="A357" s="30" t="s">
        <v>412</v>
      </c>
      <c r="B357" t="s">
        <v>2855</v>
      </c>
      <c r="C357" t="s">
        <v>2856</v>
      </c>
      <c r="D357" s="30" t="s">
        <v>2857</v>
      </c>
      <c r="E357" s="30" t="s">
        <v>2857</v>
      </c>
      <c r="F357" t="s">
        <v>3038</v>
      </c>
      <c r="G357" t="s">
        <v>3039</v>
      </c>
    </row>
    <row r="358" spans="1:7" x14ac:dyDescent="0.25">
      <c r="A358" s="30" t="s">
        <v>412</v>
      </c>
      <c r="B358" t="s">
        <v>950</v>
      </c>
      <c r="C358" t="s">
        <v>951</v>
      </c>
      <c r="D358" s="30" t="s">
        <v>2858</v>
      </c>
      <c r="E358" s="30" t="s">
        <v>2858</v>
      </c>
      <c r="F358" t="s">
        <v>3028</v>
      </c>
      <c r="G358" t="s">
        <v>3098</v>
      </c>
    </row>
    <row r="359" spans="1:7" x14ac:dyDescent="0.25">
      <c r="A359" s="30" t="s">
        <v>412</v>
      </c>
      <c r="B359" t="s">
        <v>952</v>
      </c>
      <c r="C359" t="s">
        <v>953</v>
      </c>
      <c r="D359" s="30" t="s">
        <v>2859</v>
      </c>
      <c r="E359" s="30" t="s">
        <v>2859</v>
      </c>
      <c r="F359" t="s">
        <v>3040</v>
      </c>
      <c r="G359" t="s">
        <v>3041</v>
      </c>
    </row>
    <row r="360" spans="1:7" x14ac:dyDescent="0.25">
      <c r="A360" s="30" t="s">
        <v>412</v>
      </c>
      <c r="B360" t="s">
        <v>1864</v>
      </c>
      <c r="C360" t="s">
        <v>1865</v>
      </c>
      <c r="D360" s="30" t="s">
        <v>1866</v>
      </c>
      <c r="E360" s="30" t="s">
        <v>1866</v>
      </c>
      <c r="F360" t="s">
        <v>3095</v>
      </c>
      <c r="G360" t="s">
        <v>3029</v>
      </c>
    </row>
    <row r="361" spans="1:7" x14ac:dyDescent="0.25">
      <c r="A361" s="30" t="s">
        <v>412</v>
      </c>
      <c r="B361" t="s">
        <v>1867</v>
      </c>
      <c r="C361" t="s">
        <v>1868</v>
      </c>
      <c r="D361" s="30" t="s">
        <v>3277</v>
      </c>
      <c r="E361" s="30" t="s">
        <v>3277</v>
      </c>
      <c r="F361" t="s">
        <v>3095</v>
      </c>
      <c r="G361" t="s">
        <v>3029</v>
      </c>
    </row>
    <row r="362" spans="1:7" x14ac:dyDescent="0.25">
      <c r="A362" s="30" t="s">
        <v>412</v>
      </c>
      <c r="B362" t="s">
        <v>1869</v>
      </c>
      <c r="C362" t="s">
        <v>1870</v>
      </c>
      <c r="D362" s="30" t="s">
        <v>2860</v>
      </c>
      <c r="E362" s="30" t="s">
        <v>2860</v>
      </c>
      <c r="F362" t="s">
        <v>3040</v>
      </c>
      <c r="G362" t="s">
        <v>3041</v>
      </c>
    </row>
    <row r="363" spans="1:7" x14ac:dyDescent="0.25">
      <c r="A363" s="30" t="s">
        <v>412</v>
      </c>
      <c r="B363" t="s">
        <v>1871</v>
      </c>
      <c r="C363" t="s">
        <v>1872</v>
      </c>
      <c r="D363" s="30" t="s">
        <v>3278</v>
      </c>
      <c r="E363" s="30" t="s">
        <v>3278</v>
      </c>
      <c r="F363" t="s">
        <v>3028</v>
      </c>
      <c r="G363" t="s">
        <v>3098</v>
      </c>
    </row>
    <row r="364" spans="1:7" x14ac:dyDescent="0.25">
      <c r="A364" s="30" t="s">
        <v>412</v>
      </c>
      <c r="B364" t="s">
        <v>1873</v>
      </c>
      <c r="C364" t="s">
        <v>1874</v>
      </c>
      <c r="D364" s="30" t="s">
        <v>3279</v>
      </c>
      <c r="E364" s="30" t="s">
        <v>3279</v>
      </c>
      <c r="F364" t="s">
        <v>3028</v>
      </c>
      <c r="G364" t="s">
        <v>3098</v>
      </c>
    </row>
    <row r="365" spans="1:7" x14ac:dyDescent="0.25">
      <c r="A365" s="30" t="s">
        <v>412</v>
      </c>
      <c r="B365" t="s">
        <v>2199</v>
      </c>
      <c r="C365" t="s">
        <v>2200</v>
      </c>
      <c r="D365" s="30" t="s">
        <v>2201</v>
      </c>
      <c r="E365" s="30" t="s">
        <v>2201</v>
      </c>
    </row>
    <row r="366" spans="1:7" x14ac:dyDescent="0.25">
      <c r="A366" s="30" t="s">
        <v>412</v>
      </c>
      <c r="B366" t="s">
        <v>407</v>
      </c>
      <c r="C366" t="s">
        <v>452</v>
      </c>
      <c r="D366" s="30" t="s">
        <v>1309</v>
      </c>
      <c r="E366" s="30" t="s">
        <v>1309</v>
      </c>
      <c r="F366" t="s">
        <v>3060</v>
      </c>
      <c r="G366" t="s">
        <v>3029</v>
      </c>
    </row>
    <row r="367" spans="1:7" x14ac:dyDescent="0.25">
      <c r="A367" s="30" t="s">
        <v>412</v>
      </c>
      <c r="B367" t="s">
        <v>408</v>
      </c>
      <c r="C367" t="s">
        <v>453</v>
      </c>
      <c r="D367" s="30" t="s">
        <v>3280</v>
      </c>
      <c r="E367" s="30" t="s">
        <v>3280</v>
      </c>
    </row>
    <row r="368" spans="1:7" x14ac:dyDescent="0.25">
      <c r="A368" s="30" t="s">
        <v>412</v>
      </c>
      <c r="B368" t="s">
        <v>409</v>
      </c>
      <c r="C368" t="s">
        <v>454</v>
      </c>
      <c r="D368" s="30" t="s">
        <v>1310</v>
      </c>
      <c r="E368" s="30" t="s">
        <v>1310</v>
      </c>
    </row>
    <row r="369" spans="1:7" x14ac:dyDescent="0.25">
      <c r="A369" s="30" t="s">
        <v>412</v>
      </c>
      <c r="B369" t="s">
        <v>1875</v>
      </c>
      <c r="C369" t="s">
        <v>1876</v>
      </c>
      <c r="D369" s="30" t="s">
        <v>2861</v>
      </c>
      <c r="E369" s="30" t="s">
        <v>2861</v>
      </c>
      <c r="F369" t="s">
        <v>3025</v>
      </c>
      <c r="G369" t="s">
        <v>3074</v>
      </c>
    </row>
    <row r="370" spans="1:7" x14ac:dyDescent="0.25">
      <c r="A370" s="30" t="s">
        <v>412</v>
      </c>
      <c r="B370" t="s">
        <v>410</v>
      </c>
      <c r="C370" t="s">
        <v>455</v>
      </c>
      <c r="D370" s="30" t="s">
        <v>3281</v>
      </c>
      <c r="E370" s="30" t="s">
        <v>3281</v>
      </c>
    </row>
    <row r="371" spans="1:7" x14ac:dyDescent="0.25">
      <c r="A371" s="30" t="s">
        <v>412</v>
      </c>
      <c r="B371" t="s">
        <v>411</v>
      </c>
      <c r="C371" t="s">
        <v>456</v>
      </c>
      <c r="D371" s="30" t="s">
        <v>3282</v>
      </c>
      <c r="E371" s="30" t="s">
        <v>3282</v>
      </c>
    </row>
    <row r="372" spans="1:7" x14ac:dyDescent="0.25">
      <c r="A372" s="30" t="s">
        <v>412</v>
      </c>
      <c r="B372" t="s">
        <v>656</v>
      </c>
      <c r="C372" t="s">
        <v>657</v>
      </c>
      <c r="D372" s="30" t="s">
        <v>2862</v>
      </c>
      <c r="E372" s="30" t="s">
        <v>2862</v>
      </c>
      <c r="F372" t="s">
        <v>3065</v>
      </c>
      <c r="G372" t="s">
        <v>3066</v>
      </c>
    </row>
    <row r="373" spans="1:7" x14ac:dyDescent="0.25">
      <c r="A373" s="30" t="s">
        <v>412</v>
      </c>
      <c r="B373" t="s">
        <v>2863</v>
      </c>
      <c r="C373" t="s">
        <v>2864</v>
      </c>
      <c r="D373" s="30" t="s">
        <v>2865</v>
      </c>
      <c r="E373" s="30" t="s">
        <v>2865</v>
      </c>
      <c r="F373" t="s">
        <v>3038</v>
      </c>
      <c r="G373" t="s">
        <v>3039</v>
      </c>
    </row>
    <row r="374" spans="1:7" x14ac:dyDescent="0.25">
      <c r="A374" s="30" t="s">
        <v>412</v>
      </c>
      <c r="B374" t="s">
        <v>529</v>
      </c>
      <c r="C374" t="s">
        <v>530</v>
      </c>
      <c r="D374" s="30" t="s">
        <v>2866</v>
      </c>
      <c r="E374" s="30" t="s">
        <v>2866</v>
      </c>
      <c r="F374" t="s">
        <v>3028</v>
      </c>
      <c r="G374" t="s">
        <v>3098</v>
      </c>
    </row>
    <row r="375" spans="1:7" x14ac:dyDescent="0.25">
      <c r="A375" s="30" t="s">
        <v>412</v>
      </c>
      <c r="B375" t="s">
        <v>1311</v>
      </c>
      <c r="C375" t="s">
        <v>1312</v>
      </c>
      <c r="D375" s="30" t="s">
        <v>2867</v>
      </c>
      <c r="E375" s="30" t="s">
        <v>2867</v>
      </c>
      <c r="F375" t="s">
        <v>3040</v>
      </c>
      <c r="G375" t="s">
        <v>3041</v>
      </c>
    </row>
    <row r="376" spans="1:7" x14ac:dyDescent="0.25">
      <c r="A376" s="30" t="s">
        <v>412</v>
      </c>
      <c r="B376" t="s">
        <v>3283</v>
      </c>
      <c r="C376" t="s">
        <v>3284</v>
      </c>
      <c r="D376" s="30" t="s">
        <v>3285</v>
      </c>
      <c r="E376" s="30" t="s">
        <v>3285</v>
      </c>
    </row>
    <row r="377" spans="1:7" x14ac:dyDescent="0.25">
      <c r="A377" s="30" t="s">
        <v>2586</v>
      </c>
      <c r="B377" t="s">
        <v>2868</v>
      </c>
      <c r="C377" t="s">
        <v>2869</v>
      </c>
      <c r="D377" s="30" t="s">
        <v>2870</v>
      </c>
      <c r="E377" s="30" t="s">
        <v>2870</v>
      </c>
      <c r="F377" t="s">
        <v>3031</v>
      </c>
      <c r="G377" t="s">
        <v>3026</v>
      </c>
    </row>
    <row r="378" spans="1:7" x14ac:dyDescent="0.25">
      <c r="A378" s="30" t="s">
        <v>2586</v>
      </c>
      <c r="B378" t="s">
        <v>2871</v>
      </c>
      <c r="C378" t="s">
        <v>2872</v>
      </c>
      <c r="D378" s="30" t="s">
        <v>2873</v>
      </c>
      <c r="E378" s="30" t="s">
        <v>2873</v>
      </c>
      <c r="F378" t="s">
        <v>3060</v>
      </c>
      <c r="G378" t="s">
        <v>3029</v>
      </c>
    </row>
    <row r="379" spans="1:7" x14ac:dyDescent="0.25">
      <c r="A379" s="30" t="s">
        <v>2586</v>
      </c>
      <c r="B379" t="s">
        <v>2874</v>
      </c>
      <c r="C379" t="s">
        <v>2875</v>
      </c>
      <c r="D379" s="30" t="s">
        <v>2876</v>
      </c>
      <c r="E379" s="30" t="s">
        <v>2876</v>
      </c>
      <c r="F379" t="s">
        <v>3164</v>
      </c>
      <c r="G379" t="s">
        <v>3165</v>
      </c>
    </row>
    <row r="380" spans="1:7" x14ac:dyDescent="0.25">
      <c r="A380" s="30" t="s">
        <v>2586</v>
      </c>
      <c r="B380" t="s">
        <v>2877</v>
      </c>
      <c r="C380" t="s">
        <v>2878</v>
      </c>
      <c r="D380" s="30" t="s">
        <v>3286</v>
      </c>
      <c r="E380" s="30" t="s">
        <v>3286</v>
      </c>
      <c r="F380" t="s">
        <v>3060</v>
      </c>
      <c r="G380" t="s">
        <v>3091</v>
      </c>
    </row>
    <row r="381" spans="1:7" x14ac:dyDescent="0.25">
      <c r="A381" s="30" t="s">
        <v>2586</v>
      </c>
      <c r="B381" t="s">
        <v>2879</v>
      </c>
      <c r="C381" t="s">
        <v>2880</v>
      </c>
      <c r="D381" s="30" t="s">
        <v>2881</v>
      </c>
      <c r="E381" s="30" t="s">
        <v>2881</v>
      </c>
    </row>
    <row r="382" spans="1:7" x14ac:dyDescent="0.25">
      <c r="A382" s="30" t="s">
        <v>2586</v>
      </c>
      <c r="B382" t="s">
        <v>2882</v>
      </c>
      <c r="C382" t="s">
        <v>2883</v>
      </c>
      <c r="D382" s="30" t="s">
        <v>3287</v>
      </c>
      <c r="E382" s="30" t="s">
        <v>3287</v>
      </c>
    </row>
    <row r="383" spans="1:7" x14ac:dyDescent="0.25">
      <c r="A383" s="30" t="s">
        <v>2586</v>
      </c>
      <c r="B383" t="s">
        <v>2884</v>
      </c>
      <c r="C383" t="s">
        <v>2885</v>
      </c>
      <c r="D383" s="30" t="s">
        <v>3288</v>
      </c>
      <c r="E383" s="30" t="s">
        <v>3288</v>
      </c>
    </row>
    <row r="384" spans="1:7" x14ac:dyDescent="0.25">
      <c r="A384" s="30" t="s">
        <v>2586</v>
      </c>
      <c r="B384" t="s">
        <v>3289</v>
      </c>
      <c r="C384" t="s">
        <v>3290</v>
      </c>
      <c r="D384" s="30" t="s">
        <v>3291</v>
      </c>
      <c r="E384" s="30" t="s">
        <v>3291</v>
      </c>
    </row>
    <row r="385" spans="1:7" x14ac:dyDescent="0.25">
      <c r="A385" s="30" t="s">
        <v>2586</v>
      </c>
      <c r="B385" t="s">
        <v>3292</v>
      </c>
      <c r="C385" t="s">
        <v>3293</v>
      </c>
      <c r="D385" s="30" t="s">
        <v>3294</v>
      </c>
      <c r="E385" s="30" t="s">
        <v>3294</v>
      </c>
    </row>
    <row r="386" spans="1:7" x14ac:dyDescent="0.25">
      <c r="A386" s="30" t="s">
        <v>2586</v>
      </c>
      <c r="B386" t="s">
        <v>3295</v>
      </c>
      <c r="C386" t="s">
        <v>3296</v>
      </c>
      <c r="D386" s="30" t="s">
        <v>3297</v>
      </c>
      <c r="E386" s="30" t="s">
        <v>3297</v>
      </c>
      <c r="F386" t="s">
        <v>3197</v>
      </c>
      <c r="G386" t="s">
        <v>3198</v>
      </c>
    </row>
    <row r="387" spans="1:7" x14ac:dyDescent="0.25">
      <c r="A387" s="30" t="s">
        <v>2586</v>
      </c>
      <c r="B387" t="s">
        <v>3298</v>
      </c>
      <c r="C387" t="s">
        <v>3299</v>
      </c>
      <c r="D387" s="30" t="s">
        <v>3300</v>
      </c>
      <c r="E387" s="30" t="s">
        <v>3300</v>
      </c>
      <c r="F387" t="s">
        <v>3060</v>
      </c>
      <c r="G387" t="s">
        <v>3091</v>
      </c>
    </row>
    <row r="388" spans="1:7" x14ac:dyDescent="0.25">
      <c r="A388" s="30" t="s">
        <v>2586</v>
      </c>
      <c r="B388" t="s">
        <v>3301</v>
      </c>
      <c r="C388" t="s">
        <v>3302</v>
      </c>
      <c r="D388" s="30" t="s">
        <v>3303</v>
      </c>
      <c r="E388" s="30" t="s">
        <v>3303</v>
      </c>
    </row>
    <row r="389" spans="1:7" x14ac:dyDescent="0.25">
      <c r="A389" s="30" t="s">
        <v>2586</v>
      </c>
      <c r="B389" t="s">
        <v>3304</v>
      </c>
      <c r="C389" t="s">
        <v>3305</v>
      </c>
      <c r="D389" s="30" t="s">
        <v>3306</v>
      </c>
      <c r="E389" s="30" t="s">
        <v>3306</v>
      </c>
    </row>
    <row r="390" spans="1:7" x14ac:dyDescent="0.25">
      <c r="A390" s="30" t="s">
        <v>2586</v>
      </c>
      <c r="B390" t="s">
        <v>3307</v>
      </c>
      <c r="C390" t="s">
        <v>3308</v>
      </c>
      <c r="D390" s="30" t="s">
        <v>3309</v>
      </c>
      <c r="E390" s="30" t="s">
        <v>3309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2962"/>
  <sheetViews>
    <sheetView workbookViewId="0">
      <selection activeCell="C13" sqref="C13"/>
    </sheetView>
  </sheetViews>
  <sheetFormatPr defaultRowHeight="15" x14ac:dyDescent="0.25"/>
  <cols>
    <col min="1" max="1" width="25.85546875" customWidth="1"/>
    <col min="2" max="2" width="70.7109375" customWidth="1"/>
    <col min="3" max="3" width="17" style="25" customWidth="1"/>
    <col min="4" max="5" width="21.5703125" style="25" customWidth="1"/>
    <col min="6" max="8" width="20.7109375" style="25" customWidth="1"/>
    <col min="9" max="9" width="12.140625" customWidth="1"/>
    <col min="10" max="13" width="12.140625" style="25" customWidth="1"/>
    <col min="14" max="14" width="10.7109375" bestFit="1" customWidth="1"/>
  </cols>
  <sheetData>
    <row r="1" spans="1:14" ht="75" x14ac:dyDescent="0.25">
      <c r="A1" s="14" t="s">
        <v>3676</v>
      </c>
      <c r="B1" s="14" t="s">
        <v>3677</v>
      </c>
      <c r="C1" s="14"/>
      <c r="D1" s="14" t="s">
        <v>3736</v>
      </c>
      <c r="E1" s="14" t="s">
        <v>3681</v>
      </c>
      <c r="F1" s="14" t="s">
        <v>3680</v>
      </c>
      <c r="G1" s="14" t="s">
        <v>3678</v>
      </c>
      <c r="H1" s="14" t="s">
        <v>3679</v>
      </c>
      <c r="I1" t="s">
        <v>3682</v>
      </c>
      <c r="J1" s="25" t="s">
        <v>3735</v>
      </c>
      <c r="K1" s="14" t="s">
        <v>3734</v>
      </c>
      <c r="L1" s="14" t="s">
        <v>2005</v>
      </c>
    </row>
    <row r="2" spans="1:14" ht="22.5" customHeight="1" x14ac:dyDescent="0.25">
      <c r="A2" s="388">
        <v>43899</v>
      </c>
      <c r="B2" s="14" t="s">
        <v>3678</v>
      </c>
      <c r="C2" s="14"/>
      <c r="D2" s="388">
        <v>43899</v>
      </c>
      <c r="E2" s="14">
        <f>COUNTIFS($B:$B,"="&amp;E$1,$A:$A,"="&amp;$D2)</f>
        <v>0</v>
      </c>
      <c r="F2" s="14">
        <f t="shared" ref="F2:H17" si="0">COUNTIFS($B:$B,"="&amp;F$1,$A:$A,"="&amp;$D2)</f>
        <v>0</v>
      </c>
      <c r="G2" s="14">
        <f t="shared" si="0"/>
        <v>3</v>
      </c>
      <c r="H2" s="14">
        <f t="shared" si="0"/>
        <v>5</v>
      </c>
      <c r="I2" s="14">
        <f>SUM(E2:G2)</f>
        <v>3</v>
      </c>
      <c r="J2" s="14">
        <f>F2</f>
        <v>0</v>
      </c>
      <c r="K2" s="14">
        <f>G2</f>
        <v>3</v>
      </c>
      <c r="L2" s="25">
        <f>J2+K2</f>
        <v>3</v>
      </c>
    </row>
    <row r="3" spans="1:14" x14ac:dyDescent="0.25">
      <c r="A3" s="388">
        <v>43899</v>
      </c>
      <c r="B3" s="388" t="s">
        <v>3679</v>
      </c>
      <c r="C3" s="14"/>
      <c r="D3" s="388">
        <f>D2+1</f>
        <v>43900</v>
      </c>
      <c r="E3" s="14">
        <f t="shared" ref="E3:H34" si="1">COUNTIFS($B:$B,"="&amp;E$1,$A:$A,"="&amp;$D3)</f>
        <v>0</v>
      </c>
      <c r="F3" s="14">
        <f t="shared" si="0"/>
        <v>0</v>
      </c>
      <c r="G3" s="14">
        <f t="shared" si="0"/>
        <v>0</v>
      </c>
      <c r="H3" s="14">
        <f t="shared" si="0"/>
        <v>6</v>
      </c>
      <c r="I3" s="14">
        <f t="shared" ref="I3:I54" si="2">SUM(E3:G3)</f>
        <v>0</v>
      </c>
      <c r="J3" s="25">
        <f>F3+J2</f>
        <v>0</v>
      </c>
      <c r="K3" s="25">
        <f>G3+K2</f>
        <v>3</v>
      </c>
      <c r="L3" s="25">
        <f>J3+K3</f>
        <v>3</v>
      </c>
      <c r="N3" t="s">
        <v>3683</v>
      </c>
    </row>
    <row r="4" spans="1:14" x14ac:dyDescent="0.25">
      <c r="A4" s="388">
        <v>43899</v>
      </c>
      <c r="B4" s="388" t="s">
        <v>3678</v>
      </c>
      <c r="C4" s="14"/>
      <c r="D4" s="388">
        <f t="shared" ref="D4:D54" si="3">D3+1</f>
        <v>43901</v>
      </c>
      <c r="E4" s="14">
        <f t="shared" si="1"/>
        <v>0</v>
      </c>
      <c r="F4" s="14">
        <f t="shared" si="0"/>
        <v>5</v>
      </c>
      <c r="G4" s="14">
        <f t="shared" si="0"/>
        <v>5</v>
      </c>
      <c r="H4" s="14">
        <f t="shared" si="0"/>
        <v>10</v>
      </c>
      <c r="I4" s="14">
        <f t="shared" si="2"/>
        <v>10</v>
      </c>
      <c r="J4" s="25">
        <f t="shared" ref="J4:J54" si="4">F4+J3</f>
        <v>5</v>
      </c>
      <c r="K4" s="25">
        <f t="shared" ref="K4:K54" si="5">G4+K3</f>
        <v>8</v>
      </c>
      <c r="L4" s="25">
        <f t="shared" ref="L4:L54" si="6">J4+K4</f>
        <v>13</v>
      </c>
      <c r="N4" t="s">
        <v>3684</v>
      </c>
    </row>
    <row r="5" spans="1:14" x14ac:dyDescent="0.25">
      <c r="A5" s="388">
        <v>43899</v>
      </c>
      <c r="B5" s="388" t="s">
        <v>3679</v>
      </c>
      <c r="C5" s="14"/>
      <c r="D5" s="388">
        <f t="shared" si="3"/>
        <v>43902</v>
      </c>
      <c r="E5" s="14">
        <f t="shared" si="1"/>
        <v>1</v>
      </c>
      <c r="F5" s="14">
        <f t="shared" si="0"/>
        <v>3</v>
      </c>
      <c r="G5" s="14">
        <f t="shared" si="0"/>
        <v>8</v>
      </c>
      <c r="H5" s="14">
        <f t="shared" si="0"/>
        <v>11</v>
      </c>
      <c r="I5" s="14">
        <f t="shared" si="2"/>
        <v>12</v>
      </c>
      <c r="J5" s="25">
        <f t="shared" si="4"/>
        <v>8</v>
      </c>
      <c r="K5" s="25">
        <f t="shared" si="5"/>
        <v>16</v>
      </c>
      <c r="L5" s="25">
        <f t="shared" si="6"/>
        <v>24</v>
      </c>
      <c r="N5" t="s">
        <v>3685</v>
      </c>
    </row>
    <row r="6" spans="1:14" x14ac:dyDescent="0.25">
      <c r="A6" s="388">
        <v>43899</v>
      </c>
      <c r="B6" s="388" t="s">
        <v>3678</v>
      </c>
      <c r="C6" s="14"/>
      <c r="D6" s="388">
        <f t="shared" si="3"/>
        <v>43903</v>
      </c>
      <c r="E6" s="14">
        <f t="shared" si="1"/>
        <v>0</v>
      </c>
      <c r="F6" s="14">
        <f t="shared" si="0"/>
        <v>4</v>
      </c>
      <c r="G6" s="14">
        <f t="shared" si="0"/>
        <v>13</v>
      </c>
      <c r="H6" s="14">
        <f t="shared" si="0"/>
        <v>14</v>
      </c>
      <c r="I6" s="14">
        <f t="shared" si="2"/>
        <v>17</v>
      </c>
      <c r="J6" s="25">
        <f t="shared" si="4"/>
        <v>12</v>
      </c>
      <c r="K6" s="25">
        <f t="shared" si="5"/>
        <v>29</v>
      </c>
      <c r="L6" s="25">
        <f t="shared" si="6"/>
        <v>41</v>
      </c>
    </row>
    <row r="7" spans="1:14" x14ac:dyDescent="0.25">
      <c r="A7" s="388">
        <v>43899</v>
      </c>
      <c r="B7" s="388" t="s">
        <v>3679</v>
      </c>
      <c r="C7" s="14"/>
      <c r="D7" s="388">
        <f t="shared" si="3"/>
        <v>43904</v>
      </c>
      <c r="E7" s="14">
        <f t="shared" si="1"/>
        <v>1</v>
      </c>
      <c r="F7" s="14">
        <f t="shared" si="0"/>
        <v>4</v>
      </c>
      <c r="G7" s="14">
        <f t="shared" si="0"/>
        <v>9</v>
      </c>
      <c r="H7" s="14">
        <f t="shared" si="0"/>
        <v>11</v>
      </c>
      <c r="I7" s="14">
        <f t="shared" si="2"/>
        <v>14</v>
      </c>
      <c r="J7" s="25">
        <f t="shared" si="4"/>
        <v>16</v>
      </c>
      <c r="K7" s="25">
        <f t="shared" si="5"/>
        <v>38</v>
      </c>
      <c r="L7" s="25">
        <f t="shared" si="6"/>
        <v>54</v>
      </c>
    </row>
    <row r="8" spans="1:14" x14ac:dyDescent="0.25">
      <c r="A8" s="388">
        <v>43899</v>
      </c>
      <c r="B8" s="388" t="s">
        <v>3679</v>
      </c>
      <c r="C8" s="14"/>
      <c r="D8" s="388">
        <f t="shared" si="3"/>
        <v>43905</v>
      </c>
      <c r="E8" s="14">
        <f t="shared" si="1"/>
        <v>1</v>
      </c>
      <c r="F8" s="14">
        <f t="shared" si="0"/>
        <v>3</v>
      </c>
      <c r="G8" s="14">
        <f t="shared" si="0"/>
        <v>13</v>
      </c>
      <c r="H8" s="14">
        <f t="shared" si="0"/>
        <v>18</v>
      </c>
      <c r="I8" s="14">
        <f t="shared" si="2"/>
        <v>17</v>
      </c>
      <c r="J8" s="25">
        <f t="shared" si="4"/>
        <v>19</v>
      </c>
      <c r="K8" s="25">
        <f t="shared" si="5"/>
        <v>51</v>
      </c>
      <c r="L8" s="25">
        <f t="shared" si="6"/>
        <v>70</v>
      </c>
    </row>
    <row r="9" spans="1:14" x14ac:dyDescent="0.25">
      <c r="A9" s="388">
        <v>43899</v>
      </c>
      <c r="B9" s="388" t="s">
        <v>3679</v>
      </c>
      <c r="C9" s="14"/>
      <c r="D9" s="388">
        <f t="shared" si="3"/>
        <v>43906</v>
      </c>
      <c r="E9" s="14">
        <f t="shared" si="1"/>
        <v>0</v>
      </c>
      <c r="F9" s="14">
        <f t="shared" si="0"/>
        <v>1</v>
      </c>
      <c r="G9" s="14">
        <f t="shared" si="0"/>
        <v>13</v>
      </c>
      <c r="H9" s="14">
        <f t="shared" si="0"/>
        <v>36</v>
      </c>
      <c r="I9" s="14">
        <f t="shared" si="2"/>
        <v>14</v>
      </c>
      <c r="J9" s="25">
        <f t="shared" si="4"/>
        <v>20</v>
      </c>
      <c r="K9" s="25">
        <f t="shared" si="5"/>
        <v>64</v>
      </c>
      <c r="L9" s="25">
        <f t="shared" si="6"/>
        <v>84</v>
      </c>
    </row>
    <row r="10" spans="1:14" x14ac:dyDescent="0.25">
      <c r="A10" s="388">
        <v>43900</v>
      </c>
      <c r="B10" s="388" t="s">
        <v>3679</v>
      </c>
      <c r="C10" s="14"/>
      <c r="D10" s="388">
        <f t="shared" si="3"/>
        <v>43907</v>
      </c>
      <c r="E10" s="14">
        <f t="shared" si="1"/>
        <v>1</v>
      </c>
      <c r="F10" s="14">
        <f t="shared" si="0"/>
        <v>6</v>
      </c>
      <c r="G10" s="14">
        <f t="shared" si="0"/>
        <v>22</v>
      </c>
      <c r="H10" s="14">
        <f t="shared" si="0"/>
        <v>25</v>
      </c>
      <c r="I10" s="14">
        <f t="shared" si="2"/>
        <v>29</v>
      </c>
      <c r="J10" s="25">
        <f t="shared" si="4"/>
        <v>26</v>
      </c>
      <c r="K10" s="25">
        <f t="shared" si="5"/>
        <v>86</v>
      </c>
      <c r="L10" s="25">
        <f t="shared" si="6"/>
        <v>112</v>
      </c>
    </row>
    <row r="11" spans="1:14" x14ac:dyDescent="0.25">
      <c r="A11" s="388">
        <v>43900</v>
      </c>
      <c r="B11" s="388" t="s">
        <v>3679</v>
      </c>
      <c r="C11" s="14"/>
      <c r="D11" s="388">
        <f t="shared" si="3"/>
        <v>43908</v>
      </c>
      <c r="E11" s="14">
        <f t="shared" si="1"/>
        <v>1</v>
      </c>
      <c r="F11" s="14">
        <f t="shared" si="0"/>
        <v>1</v>
      </c>
      <c r="G11" s="14">
        <f t="shared" si="0"/>
        <v>23</v>
      </c>
      <c r="H11" s="14">
        <f t="shared" si="0"/>
        <v>39</v>
      </c>
      <c r="I11" s="14">
        <f t="shared" si="2"/>
        <v>25</v>
      </c>
      <c r="J11" s="25">
        <f t="shared" si="4"/>
        <v>27</v>
      </c>
      <c r="K11" s="25">
        <f t="shared" si="5"/>
        <v>109</v>
      </c>
      <c r="L11" s="25">
        <f t="shared" si="6"/>
        <v>136</v>
      </c>
    </row>
    <row r="12" spans="1:14" x14ac:dyDescent="0.25">
      <c r="A12" s="388">
        <v>43900</v>
      </c>
      <c r="B12" s="388" t="s">
        <v>3679</v>
      </c>
      <c r="C12" s="14"/>
      <c r="D12" s="388">
        <f t="shared" si="3"/>
        <v>43909</v>
      </c>
      <c r="E12" s="14">
        <f t="shared" si="1"/>
        <v>0</v>
      </c>
      <c r="F12" s="14">
        <f t="shared" si="0"/>
        <v>5</v>
      </c>
      <c r="G12" s="14">
        <f t="shared" si="0"/>
        <v>14</v>
      </c>
      <c r="H12" s="14">
        <f t="shared" si="0"/>
        <v>56</v>
      </c>
      <c r="I12" s="14">
        <f t="shared" si="2"/>
        <v>19</v>
      </c>
      <c r="J12" s="25">
        <f t="shared" si="4"/>
        <v>32</v>
      </c>
      <c r="K12" s="25">
        <f t="shared" si="5"/>
        <v>123</v>
      </c>
      <c r="L12" s="25">
        <f t="shared" si="6"/>
        <v>155</v>
      </c>
    </row>
    <row r="13" spans="1:14" x14ac:dyDescent="0.25">
      <c r="A13" s="388">
        <v>43900</v>
      </c>
      <c r="B13" s="388" t="s">
        <v>3679</v>
      </c>
      <c r="C13" s="14"/>
      <c r="D13" s="388">
        <f t="shared" si="3"/>
        <v>43910</v>
      </c>
      <c r="E13" s="14">
        <f t="shared" si="1"/>
        <v>0</v>
      </c>
      <c r="F13" s="14">
        <f t="shared" si="0"/>
        <v>13</v>
      </c>
      <c r="G13" s="14">
        <f t="shared" si="0"/>
        <v>35</v>
      </c>
      <c r="H13" s="14">
        <f t="shared" si="0"/>
        <v>83</v>
      </c>
      <c r="I13" s="14">
        <f t="shared" si="2"/>
        <v>48</v>
      </c>
      <c r="J13" s="25">
        <f t="shared" si="4"/>
        <v>45</v>
      </c>
      <c r="K13" s="25">
        <f t="shared" si="5"/>
        <v>158</v>
      </c>
      <c r="L13" s="25">
        <f t="shared" si="6"/>
        <v>203</v>
      </c>
    </row>
    <row r="14" spans="1:14" x14ac:dyDescent="0.25">
      <c r="A14" s="388">
        <v>43900</v>
      </c>
      <c r="B14" s="388" t="s">
        <v>3679</v>
      </c>
      <c r="C14" s="14"/>
      <c r="D14" s="388">
        <f t="shared" si="3"/>
        <v>43911</v>
      </c>
      <c r="E14" s="14">
        <f t="shared" si="1"/>
        <v>1</v>
      </c>
      <c r="F14" s="14">
        <f t="shared" si="0"/>
        <v>10</v>
      </c>
      <c r="G14" s="14">
        <f t="shared" si="0"/>
        <v>19</v>
      </c>
      <c r="H14" s="14">
        <f t="shared" si="0"/>
        <v>74</v>
      </c>
      <c r="I14" s="14">
        <f t="shared" si="2"/>
        <v>30</v>
      </c>
      <c r="J14" s="25">
        <f t="shared" si="4"/>
        <v>55</v>
      </c>
      <c r="K14" s="25">
        <f t="shared" si="5"/>
        <v>177</v>
      </c>
      <c r="L14" s="25">
        <f t="shared" si="6"/>
        <v>232</v>
      </c>
    </row>
    <row r="15" spans="1:14" x14ac:dyDescent="0.25">
      <c r="A15" s="388">
        <v>43900</v>
      </c>
      <c r="B15" s="388" t="s">
        <v>3679</v>
      </c>
      <c r="C15" s="14"/>
      <c r="D15" s="388">
        <f t="shared" si="3"/>
        <v>43912</v>
      </c>
      <c r="E15" s="14">
        <f t="shared" si="1"/>
        <v>6</v>
      </c>
      <c r="F15" s="14">
        <f t="shared" si="0"/>
        <v>8</v>
      </c>
      <c r="G15" s="14">
        <f t="shared" si="0"/>
        <v>26</v>
      </c>
      <c r="H15" s="14">
        <f t="shared" si="0"/>
        <v>141</v>
      </c>
      <c r="I15" s="14">
        <f t="shared" si="2"/>
        <v>40</v>
      </c>
      <c r="J15" s="25">
        <f t="shared" si="4"/>
        <v>63</v>
      </c>
      <c r="K15" s="25">
        <f t="shared" si="5"/>
        <v>203</v>
      </c>
      <c r="L15" s="25">
        <f t="shared" si="6"/>
        <v>266</v>
      </c>
    </row>
    <row r="16" spans="1:14" x14ac:dyDescent="0.25">
      <c r="A16" s="388">
        <v>43901</v>
      </c>
      <c r="B16" s="388" t="s">
        <v>3679</v>
      </c>
      <c r="C16" s="14"/>
      <c r="D16" s="388">
        <f t="shared" si="3"/>
        <v>43913</v>
      </c>
      <c r="E16" s="14">
        <f t="shared" si="1"/>
        <v>4</v>
      </c>
      <c r="F16" s="14">
        <f t="shared" si="0"/>
        <v>12</v>
      </c>
      <c r="G16" s="14">
        <f t="shared" si="0"/>
        <v>37</v>
      </c>
      <c r="H16" s="14">
        <f t="shared" si="0"/>
        <v>132</v>
      </c>
      <c r="I16" s="14">
        <f t="shared" si="2"/>
        <v>53</v>
      </c>
      <c r="J16" s="25">
        <f t="shared" si="4"/>
        <v>75</v>
      </c>
      <c r="K16" s="25">
        <f t="shared" si="5"/>
        <v>240</v>
      </c>
      <c r="L16" s="25">
        <f t="shared" si="6"/>
        <v>315</v>
      </c>
    </row>
    <row r="17" spans="1:16" x14ac:dyDescent="0.25">
      <c r="A17" s="388">
        <v>43901</v>
      </c>
      <c r="B17" s="388" t="s">
        <v>3679</v>
      </c>
      <c r="C17" s="14"/>
      <c r="D17" s="388">
        <f t="shared" si="3"/>
        <v>43914</v>
      </c>
      <c r="E17" s="14">
        <f t="shared" si="1"/>
        <v>2</v>
      </c>
      <c r="F17" s="14">
        <f t="shared" si="0"/>
        <v>12</v>
      </c>
      <c r="G17" s="14">
        <f t="shared" si="0"/>
        <v>38</v>
      </c>
      <c r="H17" s="14">
        <f t="shared" si="0"/>
        <v>143</v>
      </c>
      <c r="I17" s="14">
        <f t="shared" si="2"/>
        <v>52</v>
      </c>
      <c r="J17" s="25">
        <f t="shared" si="4"/>
        <v>87</v>
      </c>
      <c r="K17" s="25">
        <f t="shared" si="5"/>
        <v>278</v>
      </c>
      <c r="L17" s="25">
        <f t="shared" si="6"/>
        <v>365</v>
      </c>
    </row>
    <row r="18" spans="1:16" x14ac:dyDescent="0.25">
      <c r="A18" s="388">
        <v>43901</v>
      </c>
      <c r="B18" s="388" t="s">
        <v>3678</v>
      </c>
      <c r="C18" s="14"/>
      <c r="D18" s="388">
        <f t="shared" si="3"/>
        <v>43915</v>
      </c>
      <c r="E18" s="14">
        <f t="shared" si="1"/>
        <v>2</v>
      </c>
      <c r="F18" s="14">
        <f t="shared" si="1"/>
        <v>15</v>
      </c>
      <c r="G18" s="14">
        <f t="shared" si="1"/>
        <v>33</v>
      </c>
      <c r="H18" s="14">
        <f t="shared" si="1"/>
        <v>136</v>
      </c>
      <c r="I18" s="14">
        <f t="shared" si="2"/>
        <v>50</v>
      </c>
      <c r="J18" s="25">
        <f t="shared" si="4"/>
        <v>102</v>
      </c>
      <c r="K18" s="25">
        <f t="shared" si="5"/>
        <v>311</v>
      </c>
      <c r="L18" s="25">
        <f t="shared" si="6"/>
        <v>413</v>
      </c>
    </row>
    <row r="19" spans="1:16" x14ac:dyDescent="0.25">
      <c r="A19" s="388">
        <v>43901</v>
      </c>
      <c r="B19" s="388" t="s">
        <v>3679</v>
      </c>
      <c r="C19" s="14"/>
      <c r="D19" s="388">
        <f t="shared" si="3"/>
        <v>43916</v>
      </c>
      <c r="E19" s="14">
        <f t="shared" si="1"/>
        <v>3</v>
      </c>
      <c r="F19" s="14">
        <f t="shared" si="1"/>
        <v>18</v>
      </c>
      <c r="G19" s="14">
        <f t="shared" si="1"/>
        <v>36</v>
      </c>
      <c r="H19" s="14">
        <f t="shared" si="1"/>
        <v>142</v>
      </c>
      <c r="I19" s="14">
        <f t="shared" si="2"/>
        <v>57</v>
      </c>
      <c r="J19" s="25">
        <f t="shared" si="4"/>
        <v>120</v>
      </c>
      <c r="K19" s="25">
        <f t="shared" si="5"/>
        <v>347</v>
      </c>
      <c r="L19" s="25">
        <f t="shared" si="6"/>
        <v>467</v>
      </c>
    </row>
    <row r="20" spans="1:16" x14ac:dyDescent="0.25">
      <c r="A20" s="388">
        <v>43901</v>
      </c>
      <c r="B20" s="388" t="s">
        <v>3678</v>
      </c>
      <c r="C20" s="14"/>
      <c r="D20" s="388">
        <f t="shared" si="3"/>
        <v>43917</v>
      </c>
      <c r="E20" s="14">
        <f t="shared" si="1"/>
        <v>8</v>
      </c>
      <c r="F20" s="14">
        <f t="shared" si="1"/>
        <v>24</v>
      </c>
      <c r="G20" s="14">
        <f t="shared" si="1"/>
        <v>49</v>
      </c>
      <c r="H20" s="14">
        <f t="shared" si="1"/>
        <v>107</v>
      </c>
      <c r="I20" s="14">
        <f t="shared" si="2"/>
        <v>81</v>
      </c>
      <c r="J20" s="25">
        <f t="shared" si="4"/>
        <v>144</v>
      </c>
      <c r="K20" s="25">
        <f t="shared" si="5"/>
        <v>396</v>
      </c>
      <c r="L20" s="25">
        <f t="shared" si="6"/>
        <v>540</v>
      </c>
    </row>
    <row r="21" spans="1:16" x14ac:dyDescent="0.25">
      <c r="A21" s="388">
        <v>43901</v>
      </c>
      <c r="B21" s="388" t="s">
        <v>3680</v>
      </c>
      <c r="C21" s="14"/>
      <c r="D21" s="388">
        <f t="shared" si="3"/>
        <v>43918</v>
      </c>
      <c r="E21" s="14">
        <f t="shared" si="1"/>
        <v>2</v>
      </c>
      <c r="F21" s="14">
        <f t="shared" si="1"/>
        <v>10</v>
      </c>
      <c r="G21" s="14">
        <f t="shared" si="1"/>
        <v>24</v>
      </c>
      <c r="H21" s="14">
        <f t="shared" si="1"/>
        <v>86</v>
      </c>
      <c r="I21" s="14">
        <f t="shared" si="2"/>
        <v>36</v>
      </c>
      <c r="J21" s="25">
        <f t="shared" si="4"/>
        <v>154</v>
      </c>
      <c r="K21" s="25">
        <f t="shared" si="5"/>
        <v>420</v>
      </c>
      <c r="L21" s="25">
        <f t="shared" si="6"/>
        <v>574</v>
      </c>
    </row>
    <row r="22" spans="1:16" x14ac:dyDescent="0.25">
      <c r="A22" s="388">
        <v>43901</v>
      </c>
      <c r="B22" s="388" t="s">
        <v>3680</v>
      </c>
      <c r="C22" s="14"/>
      <c r="D22" s="388">
        <f t="shared" si="3"/>
        <v>43919</v>
      </c>
      <c r="E22" s="14">
        <f t="shared" si="1"/>
        <v>5</v>
      </c>
      <c r="F22" s="14">
        <f t="shared" si="1"/>
        <v>17</v>
      </c>
      <c r="G22" s="14">
        <f t="shared" si="1"/>
        <v>34</v>
      </c>
      <c r="H22" s="14">
        <f t="shared" si="1"/>
        <v>62</v>
      </c>
      <c r="I22" s="14">
        <f t="shared" si="2"/>
        <v>56</v>
      </c>
      <c r="J22" s="25">
        <f t="shared" si="4"/>
        <v>171</v>
      </c>
      <c r="K22" s="25">
        <f t="shared" si="5"/>
        <v>454</v>
      </c>
      <c r="L22" s="25">
        <f t="shared" si="6"/>
        <v>625</v>
      </c>
    </row>
    <row r="23" spans="1:16" x14ac:dyDescent="0.25">
      <c r="A23" s="388">
        <v>43901</v>
      </c>
      <c r="B23" s="388" t="s">
        <v>3679</v>
      </c>
      <c r="C23" s="14"/>
      <c r="D23" s="388">
        <f t="shared" si="3"/>
        <v>43920</v>
      </c>
      <c r="E23" s="14">
        <f t="shared" si="1"/>
        <v>3</v>
      </c>
      <c r="F23" s="14">
        <f t="shared" si="1"/>
        <v>12</v>
      </c>
      <c r="G23" s="14">
        <f t="shared" si="1"/>
        <v>21</v>
      </c>
      <c r="H23" s="14">
        <f t="shared" si="1"/>
        <v>42</v>
      </c>
      <c r="I23" s="14">
        <f t="shared" si="2"/>
        <v>36</v>
      </c>
      <c r="J23" s="25">
        <f t="shared" si="4"/>
        <v>183</v>
      </c>
      <c r="K23" s="25">
        <f t="shared" si="5"/>
        <v>475</v>
      </c>
      <c r="L23" s="25">
        <f t="shared" si="6"/>
        <v>658</v>
      </c>
    </row>
    <row r="24" spans="1:16" x14ac:dyDescent="0.25">
      <c r="A24" s="388">
        <v>43901</v>
      </c>
      <c r="B24" s="388" t="s">
        <v>3679</v>
      </c>
      <c r="C24" s="14"/>
      <c r="D24" s="388">
        <f t="shared" si="3"/>
        <v>43921</v>
      </c>
      <c r="E24" s="14">
        <f t="shared" si="1"/>
        <v>1</v>
      </c>
      <c r="F24" s="14">
        <f t="shared" si="1"/>
        <v>21</v>
      </c>
      <c r="G24" s="14">
        <f t="shared" si="1"/>
        <v>38</v>
      </c>
      <c r="H24" s="14">
        <f t="shared" si="1"/>
        <v>63</v>
      </c>
      <c r="I24" s="14">
        <f t="shared" si="2"/>
        <v>60</v>
      </c>
      <c r="J24" s="25">
        <f t="shared" si="4"/>
        <v>204</v>
      </c>
      <c r="K24" s="25">
        <f t="shared" si="5"/>
        <v>513</v>
      </c>
      <c r="L24" s="25">
        <f t="shared" si="6"/>
        <v>717</v>
      </c>
      <c r="N24" s="26">
        <v>43921</v>
      </c>
      <c r="O24">
        <v>418</v>
      </c>
      <c r="P24">
        <v>250</v>
      </c>
    </row>
    <row r="25" spans="1:16" x14ac:dyDescent="0.25">
      <c r="A25" s="388">
        <v>43901</v>
      </c>
      <c r="B25" s="388" t="s">
        <v>3680</v>
      </c>
      <c r="C25" s="14"/>
      <c r="D25" s="388">
        <f t="shared" si="3"/>
        <v>43922</v>
      </c>
      <c r="E25" s="14">
        <f t="shared" si="1"/>
        <v>5</v>
      </c>
      <c r="F25" s="14">
        <f t="shared" si="1"/>
        <v>27</v>
      </c>
      <c r="G25" s="14">
        <f t="shared" si="1"/>
        <v>40</v>
      </c>
      <c r="H25" s="14">
        <f t="shared" si="1"/>
        <v>43</v>
      </c>
      <c r="I25" s="14">
        <f t="shared" si="2"/>
        <v>72</v>
      </c>
      <c r="J25" s="25">
        <f t="shared" si="4"/>
        <v>231</v>
      </c>
      <c r="K25" s="25">
        <f t="shared" si="5"/>
        <v>553</v>
      </c>
      <c r="L25" s="25">
        <f t="shared" si="6"/>
        <v>784</v>
      </c>
      <c r="N25" s="26">
        <v>43922</v>
      </c>
      <c r="O25">
        <v>434</v>
      </c>
      <c r="P25" s="25">
        <v>275</v>
      </c>
    </row>
    <row r="26" spans="1:16" x14ac:dyDescent="0.25">
      <c r="A26" s="388">
        <v>43901</v>
      </c>
      <c r="B26" s="388" t="s">
        <v>3679</v>
      </c>
      <c r="C26" s="14"/>
      <c r="D26" s="388">
        <f t="shared" si="3"/>
        <v>43923</v>
      </c>
      <c r="E26" s="14">
        <f t="shared" si="1"/>
        <v>3</v>
      </c>
      <c r="F26" s="14">
        <f t="shared" si="1"/>
        <v>23</v>
      </c>
      <c r="G26" s="14">
        <f t="shared" si="1"/>
        <v>28</v>
      </c>
      <c r="H26" s="14">
        <f t="shared" si="1"/>
        <v>39</v>
      </c>
      <c r="I26" s="14">
        <f t="shared" si="2"/>
        <v>54</v>
      </c>
      <c r="J26" s="25">
        <f t="shared" si="4"/>
        <v>254</v>
      </c>
      <c r="K26" s="25">
        <f t="shared" si="5"/>
        <v>581</v>
      </c>
      <c r="L26" s="25">
        <f t="shared" si="6"/>
        <v>835</v>
      </c>
      <c r="N26" s="26">
        <v>43923</v>
      </c>
      <c r="O26">
        <v>467</v>
      </c>
      <c r="P26" s="25">
        <v>307</v>
      </c>
    </row>
    <row r="27" spans="1:16" x14ac:dyDescent="0.25">
      <c r="A27" s="388">
        <v>43901</v>
      </c>
      <c r="B27" s="388" t="s">
        <v>3680</v>
      </c>
      <c r="C27" s="14"/>
      <c r="D27" s="388">
        <f t="shared" si="3"/>
        <v>43924</v>
      </c>
      <c r="E27" s="14">
        <f t="shared" si="1"/>
        <v>4</v>
      </c>
      <c r="F27" s="14">
        <f t="shared" si="1"/>
        <v>18</v>
      </c>
      <c r="G27" s="14">
        <f t="shared" si="1"/>
        <v>30</v>
      </c>
      <c r="H27" s="14">
        <f t="shared" si="1"/>
        <v>28</v>
      </c>
      <c r="I27" s="14">
        <f t="shared" si="2"/>
        <v>52</v>
      </c>
      <c r="J27" s="25">
        <f t="shared" si="4"/>
        <v>272</v>
      </c>
      <c r="K27" s="25">
        <f t="shared" si="5"/>
        <v>611</v>
      </c>
      <c r="L27" s="25">
        <f t="shared" si="6"/>
        <v>883</v>
      </c>
      <c r="N27" s="26">
        <v>43924</v>
      </c>
      <c r="O27">
        <v>505</v>
      </c>
      <c r="P27" s="25">
        <v>336</v>
      </c>
    </row>
    <row r="28" spans="1:16" x14ac:dyDescent="0.25">
      <c r="A28" s="388">
        <v>43901</v>
      </c>
      <c r="B28" s="388" t="s">
        <v>3679</v>
      </c>
      <c r="C28" s="14"/>
      <c r="D28" s="388">
        <f t="shared" si="3"/>
        <v>43925</v>
      </c>
      <c r="E28" s="14">
        <f t="shared" si="1"/>
        <v>3</v>
      </c>
      <c r="F28" s="14">
        <f t="shared" si="1"/>
        <v>14</v>
      </c>
      <c r="G28" s="14">
        <f t="shared" si="1"/>
        <v>17</v>
      </c>
      <c r="H28" s="14">
        <f t="shared" si="1"/>
        <v>43</v>
      </c>
      <c r="I28" s="14">
        <f t="shared" si="2"/>
        <v>34</v>
      </c>
      <c r="J28" s="25">
        <f t="shared" si="4"/>
        <v>286</v>
      </c>
      <c r="K28" s="25">
        <f t="shared" si="5"/>
        <v>628</v>
      </c>
      <c r="L28" s="25">
        <f t="shared" si="6"/>
        <v>914</v>
      </c>
      <c r="N28" s="26">
        <v>43925</v>
      </c>
      <c r="O28">
        <v>551</v>
      </c>
      <c r="P28" s="25">
        <v>365</v>
      </c>
    </row>
    <row r="29" spans="1:16" x14ac:dyDescent="0.25">
      <c r="A29" s="388">
        <v>43901</v>
      </c>
      <c r="B29" s="388" t="s">
        <v>3680</v>
      </c>
      <c r="C29" s="14"/>
      <c r="D29" s="388">
        <f t="shared" si="3"/>
        <v>43926</v>
      </c>
      <c r="E29" s="14">
        <f t="shared" si="1"/>
        <v>1</v>
      </c>
      <c r="F29" s="14">
        <f t="shared" si="1"/>
        <v>8</v>
      </c>
      <c r="G29" s="14">
        <f t="shared" si="1"/>
        <v>19</v>
      </c>
      <c r="H29" s="14">
        <f t="shared" si="1"/>
        <v>28</v>
      </c>
      <c r="I29" s="14">
        <f t="shared" si="2"/>
        <v>28</v>
      </c>
      <c r="J29" s="25">
        <f t="shared" si="4"/>
        <v>294</v>
      </c>
      <c r="K29" s="25">
        <f t="shared" si="5"/>
        <v>647</v>
      </c>
      <c r="L29" s="25">
        <f t="shared" si="6"/>
        <v>941</v>
      </c>
      <c r="N29" s="26">
        <v>43926</v>
      </c>
      <c r="O29">
        <v>578</v>
      </c>
      <c r="P29" s="25">
        <v>380</v>
      </c>
    </row>
    <row r="30" spans="1:16" x14ac:dyDescent="0.25">
      <c r="A30" s="388">
        <v>43901</v>
      </c>
      <c r="B30" s="388" t="s">
        <v>3679</v>
      </c>
      <c r="C30" s="14"/>
      <c r="D30" s="388">
        <f t="shared" si="3"/>
        <v>43927</v>
      </c>
      <c r="E30" s="14">
        <f t="shared" si="1"/>
        <v>1</v>
      </c>
      <c r="F30" s="14">
        <f t="shared" si="1"/>
        <v>6</v>
      </c>
      <c r="G30" s="14">
        <f t="shared" si="1"/>
        <v>11</v>
      </c>
      <c r="H30" s="14">
        <f t="shared" si="1"/>
        <v>17</v>
      </c>
      <c r="I30" s="14">
        <f t="shared" si="2"/>
        <v>18</v>
      </c>
      <c r="J30" s="25">
        <f t="shared" si="4"/>
        <v>300</v>
      </c>
      <c r="K30" s="25">
        <f t="shared" si="5"/>
        <v>658</v>
      </c>
      <c r="L30" s="25">
        <f t="shared" si="6"/>
        <v>958</v>
      </c>
      <c r="N30" s="26">
        <v>43927</v>
      </c>
      <c r="O30">
        <v>595</v>
      </c>
      <c r="P30" s="25">
        <v>397</v>
      </c>
    </row>
    <row r="31" spans="1:16" x14ac:dyDescent="0.25">
      <c r="A31" s="388">
        <v>43901</v>
      </c>
      <c r="B31" s="388" t="s">
        <v>3678</v>
      </c>
      <c r="C31" s="14"/>
      <c r="D31" s="388">
        <f t="shared" si="3"/>
        <v>43928</v>
      </c>
      <c r="E31" s="14">
        <f t="shared" si="1"/>
        <v>0</v>
      </c>
      <c r="F31" s="14">
        <f t="shared" si="1"/>
        <v>7</v>
      </c>
      <c r="G31" s="14">
        <f t="shared" si="1"/>
        <v>16</v>
      </c>
      <c r="H31" s="14">
        <f t="shared" si="1"/>
        <v>7</v>
      </c>
      <c r="I31" s="14">
        <f t="shared" si="2"/>
        <v>23</v>
      </c>
      <c r="J31" s="25">
        <f t="shared" si="4"/>
        <v>307</v>
      </c>
      <c r="K31" s="25">
        <f t="shared" si="5"/>
        <v>674</v>
      </c>
      <c r="L31" s="25">
        <f t="shared" si="6"/>
        <v>981</v>
      </c>
      <c r="N31" s="26">
        <v>43928</v>
      </c>
      <c r="O31">
        <v>614</v>
      </c>
      <c r="P31" s="25">
        <v>406</v>
      </c>
    </row>
    <row r="32" spans="1:16" x14ac:dyDescent="0.25">
      <c r="A32" s="388">
        <v>43901</v>
      </c>
      <c r="B32" s="388" t="s">
        <v>3678</v>
      </c>
      <c r="C32" s="14"/>
      <c r="D32" s="388">
        <f t="shared" si="3"/>
        <v>43929</v>
      </c>
      <c r="E32" s="14">
        <f t="shared" si="1"/>
        <v>2</v>
      </c>
      <c r="F32" s="14">
        <f t="shared" si="1"/>
        <v>10</v>
      </c>
      <c r="G32" s="14">
        <f t="shared" si="1"/>
        <v>25</v>
      </c>
      <c r="H32" s="14">
        <f t="shared" si="1"/>
        <v>18</v>
      </c>
      <c r="I32" s="14">
        <f t="shared" si="2"/>
        <v>37</v>
      </c>
      <c r="J32" s="25">
        <f t="shared" si="4"/>
        <v>317</v>
      </c>
      <c r="K32" s="25">
        <f t="shared" si="5"/>
        <v>699</v>
      </c>
      <c r="L32" s="25">
        <f t="shared" si="6"/>
        <v>1016</v>
      </c>
      <c r="N32" s="26">
        <v>43929</v>
      </c>
      <c r="O32">
        <v>641</v>
      </c>
      <c r="P32">
        <v>410</v>
      </c>
    </row>
    <row r="33" spans="1:16" x14ac:dyDescent="0.25">
      <c r="A33" s="388">
        <v>43901</v>
      </c>
      <c r="B33" s="388" t="s">
        <v>3679</v>
      </c>
      <c r="C33" s="14"/>
      <c r="D33" s="388">
        <f t="shared" si="3"/>
        <v>43930</v>
      </c>
      <c r="E33" s="14">
        <f t="shared" si="1"/>
        <v>0</v>
      </c>
      <c r="F33" s="14">
        <f t="shared" si="1"/>
        <v>4</v>
      </c>
      <c r="G33" s="14">
        <f t="shared" si="1"/>
        <v>7</v>
      </c>
      <c r="H33" s="14">
        <f t="shared" si="1"/>
        <v>19</v>
      </c>
      <c r="I33" s="14">
        <f t="shared" si="2"/>
        <v>11</v>
      </c>
      <c r="J33" s="25">
        <f t="shared" si="4"/>
        <v>321</v>
      </c>
      <c r="K33" s="25">
        <f t="shared" si="5"/>
        <v>706</v>
      </c>
      <c r="L33" s="25">
        <f t="shared" si="6"/>
        <v>1027</v>
      </c>
      <c r="N33" s="26">
        <v>43930</v>
      </c>
      <c r="O33">
        <v>667</v>
      </c>
      <c r="P33">
        <v>416</v>
      </c>
    </row>
    <row r="34" spans="1:16" x14ac:dyDescent="0.25">
      <c r="A34" s="388">
        <v>43901</v>
      </c>
      <c r="B34" s="388" t="s">
        <v>3679</v>
      </c>
      <c r="C34" s="14"/>
      <c r="D34" s="388">
        <f t="shared" si="3"/>
        <v>43931</v>
      </c>
      <c r="E34" s="14">
        <f t="shared" si="1"/>
        <v>0</v>
      </c>
      <c r="F34" s="14">
        <f t="shared" si="1"/>
        <v>4</v>
      </c>
      <c r="G34" s="14">
        <f t="shared" si="1"/>
        <v>6</v>
      </c>
      <c r="H34" s="14">
        <f t="shared" si="1"/>
        <v>6</v>
      </c>
      <c r="I34" s="14">
        <f t="shared" si="2"/>
        <v>10</v>
      </c>
      <c r="J34" s="25">
        <f t="shared" si="4"/>
        <v>325</v>
      </c>
      <c r="K34" s="25">
        <f t="shared" si="5"/>
        <v>712</v>
      </c>
      <c r="L34" s="25">
        <f t="shared" si="6"/>
        <v>1037</v>
      </c>
      <c r="N34" s="26">
        <v>43931</v>
      </c>
      <c r="O34">
        <v>682</v>
      </c>
      <c r="P34">
        <v>427</v>
      </c>
    </row>
    <row r="35" spans="1:16" x14ac:dyDescent="0.25">
      <c r="A35" s="388">
        <v>43901</v>
      </c>
      <c r="B35" s="388" t="s">
        <v>3678</v>
      </c>
      <c r="C35" s="14"/>
      <c r="D35" s="388">
        <f t="shared" si="3"/>
        <v>43932</v>
      </c>
      <c r="E35" s="14">
        <f t="shared" ref="E35:H54" si="7">COUNTIFS($B:$B,"="&amp;E$1,$A:$A,"="&amp;$D35)</f>
        <v>0</v>
      </c>
      <c r="F35" s="14">
        <f t="shared" si="7"/>
        <v>2</v>
      </c>
      <c r="G35" s="14">
        <f t="shared" si="7"/>
        <v>3</v>
      </c>
      <c r="H35" s="14">
        <f t="shared" si="7"/>
        <v>6</v>
      </c>
      <c r="I35" s="14">
        <f t="shared" si="2"/>
        <v>5</v>
      </c>
      <c r="J35" s="25">
        <f t="shared" si="4"/>
        <v>327</v>
      </c>
      <c r="K35" s="25">
        <f t="shared" si="5"/>
        <v>715</v>
      </c>
      <c r="L35" s="25">
        <f t="shared" si="6"/>
        <v>1042</v>
      </c>
      <c r="N35" s="26">
        <v>43932</v>
      </c>
      <c r="O35">
        <v>699</v>
      </c>
      <c r="P35">
        <v>356</v>
      </c>
    </row>
    <row r="36" spans="1:16" x14ac:dyDescent="0.25">
      <c r="A36" s="388">
        <v>43902</v>
      </c>
      <c r="B36" s="388" t="s">
        <v>3679</v>
      </c>
      <c r="C36" s="14"/>
      <c r="D36" s="388">
        <f t="shared" si="3"/>
        <v>43933</v>
      </c>
      <c r="E36" s="14">
        <f t="shared" si="7"/>
        <v>0</v>
      </c>
      <c r="F36" s="14">
        <f t="shared" si="7"/>
        <v>1</v>
      </c>
      <c r="G36" s="14">
        <f t="shared" si="7"/>
        <v>4</v>
      </c>
      <c r="H36" s="14">
        <f t="shared" si="7"/>
        <v>3</v>
      </c>
      <c r="I36" s="14">
        <f t="shared" si="2"/>
        <v>5</v>
      </c>
      <c r="J36" s="25">
        <f t="shared" si="4"/>
        <v>328</v>
      </c>
      <c r="K36" s="25">
        <f t="shared" si="5"/>
        <v>719</v>
      </c>
      <c r="L36" s="25">
        <f t="shared" si="6"/>
        <v>1047</v>
      </c>
      <c r="N36" s="26">
        <v>43933</v>
      </c>
      <c r="O36">
        <v>708</v>
      </c>
      <c r="P36">
        <v>354</v>
      </c>
    </row>
    <row r="37" spans="1:16" x14ac:dyDescent="0.25">
      <c r="A37" s="388">
        <v>43902</v>
      </c>
      <c r="B37" s="388" t="s">
        <v>3680</v>
      </c>
      <c r="C37" s="14"/>
      <c r="D37" s="388">
        <f t="shared" si="3"/>
        <v>43934</v>
      </c>
      <c r="E37" s="14">
        <f t="shared" si="7"/>
        <v>0</v>
      </c>
      <c r="F37" s="14">
        <f t="shared" si="7"/>
        <v>1</v>
      </c>
      <c r="G37" s="14">
        <f t="shared" si="7"/>
        <v>4</v>
      </c>
      <c r="H37" s="14">
        <f t="shared" si="7"/>
        <v>0</v>
      </c>
      <c r="I37" s="14">
        <f t="shared" si="2"/>
        <v>5</v>
      </c>
      <c r="J37" s="25">
        <f t="shared" si="4"/>
        <v>329</v>
      </c>
      <c r="K37" s="25">
        <f t="shared" si="5"/>
        <v>723</v>
      </c>
      <c r="L37" s="25">
        <f t="shared" si="6"/>
        <v>1052</v>
      </c>
      <c r="N37" s="26">
        <v>43934</v>
      </c>
      <c r="O37">
        <v>722</v>
      </c>
      <c r="P37">
        <v>351</v>
      </c>
    </row>
    <row r="38" spans="1:16" x14ac:dyDescent="0.25">
      <c r="A38" s="388">
        <v>43902</v>
      </c>
      <c r="B38" s="388" t="s">
        <v>3680</v>
      </c>
      <c r="C38" s="14"/>
      <c r="D38" s="388">
        <f t="shared" si="3"/>
        <v>43935</v>
      </c>
      <c r="E38" s="14">
        <f t="shared" si="7"/>
        <v>3</v>
      </c>
      <c r="F38" s="14">
        <f t="shared" si="7"/>
        <v>3</v>
      </c>
      <c r="G38" s="14">
        <f t="shared" si="7"/>
        <v>48</v>
      </c>
      <c r="H38" s="14">
        <f t="shared" si="7"/>
        <v>8</v>
      </c>
      <c r="I38" s="14">
        <f t="shared" si="2"/>
        <v>54</v>
      </c>
      <c r="J38" s="25">
        <f t="shared" si="4"/>
        <v>332</v>
      </c>
      <c r="K38" s="25">
        <f t="shared" si="5"/>
        <v>771</v>
      </c>
      <c r="L38" s="25">
        <f t="shared" si="6"/>
        <v>1103</v>
      </c>
      <c r="N38" s="26">
        <v>43935</v>
      </c>
      <c r="O38">
        <v>730</v>
      </c>
      <c r="P38">
        <v>350</v>
      </c>
    </row>
    <row r="39" spans="1:16" x14ac:dyDescent="0.25">
      <c r="A39" s="388">
        <v>43902</v>
      </c>
      <c r="B39" s="388" t="s">
        <v>3678</v>
      </c>
      <c r="C39" s="14"/>
      <c r="D39" s="388">
        <f t="shared" si="3"/>
        <v>43936</v>
      </c>
      <c r="E39" s="14">
        <f t="shared" si="7"/>
        <v>1</v>
      </c>
      <c r="F39" s="14">
        <f t="shared" si="7"/>
        <v>0</v>
      </c>
      <c r="G39" s="14">
        <f t="shared" si="7"/>
        <v>4</v>
      </c>
      <c r="H39" s="14">
        <f t="shared" si="7"/>
        <v>1</v>
      </c>
      <c r="I39" s="14">
        <f t="shared" si="2"/>
        <v>5</v>
      </c>
      <c r="J39" s="25">
        <f t="shared" si="4"/>
        <v>332</v>
      </c>
      <c r="K39" s="25">
        <f t="shared" si="5"/>
        <v>775</v>
      </c>
      <c r="L39" s="25">
        <f t="shared" si="6"/>
        <v>1107</v>
      </c>
      <c r="N39" s="26">
        <v>43936</v>
      </c>
      <c r="O39">
        <v>738</v>
      </c>
      <c r="P39">
        <v>351</v>
      </c>
    </row>
    <row r="40" spans="1:16" x14ac:dyDescent="0.25">
      <c r="A40" s="388">
        <v>43902</v>
      </c>
      <c r="B40" s="388" t="s">
        <v>3679</v>
      </c>
      <c r="C40" s="14"/>
      <c r="D40" s="388">
        <f t="shared" si="3"/>
        <v>43937</v>
      </c>
      <c r="E40" s="14">
        <f t="shared" si="7"/>
        <v>0</v>
      </c>
      <c r="F40" s="14">
        <f t="shared" si="7"/>
        <v>2</v>
      </c>
      <c r="G40" s="14">
        <f t="shared" si="7"/>
        <v>3</v>
      </c>
      <c r="H40" s="14">
        <f t="shared" si="7"/>
        <v>2</v>
      </c>
      <c r="I40" s="14">
        <f t="shared" si="2"/>
        <v>5</v>
      </c>
      <c r="J40" s="25">
        <f t="shared" si="4"/>
        <v>334</v>
      </c>
      <c r="K40" s="25">
        <f t="shared" si="5"/>
        <v>778</v>
      </c>
      <c r="L40" s="25">
        <f t="shared" si="6"/>
        <v>1112</v>
      </c>
      <c r="N40" s="26">
        <v>43937</v>
      </c>
    </row>
    <row r="41" spans="1:16" x14ac:dyDescent="0.25">
      <c r="A41" s="388">
        <v>43902</v>
      </c>
      <c r="B41" s="388" t="s">
        <v>3678</v>
      </c>
      <c r="C41" s="14"/>
      <c r="D41" s="388">
        <f t="shared" si="3"/>
        <v>43938</v>
      </c>
      <c r="E41" s="14">
        <f t="shared" si="7"/>
        <v>1</v>
      </c>
      <c r="F41" s="14">
        <f t="shared" si="7"/>
        <v>8</v>
      </c>
      <c r="G41" s="14">
        <f t="shared" si="7"/>
        <v>4</v>
      </c>
      <c r="H41" s="14">
        <f t="shared" si="7"/>
        <v>1</v>
      </c>
      <c r="I41" s="14">
        <f t="shared" si="2"/>
        <v>13</v>
      </c>
      <c r="J41" s="25">
        <f t="shared" si="4"/>
        <v>342</v>
      </c>
      <c r="K41" s="25">
        <f t="shared" si="5"/>
        <v>782</v>
      </c>
      <c r="L41" s="25">
        <f t="shared" si="6"/>
        <v>1124</v>
      </c>
      <c r="N41" s="26">
        <v>43938</v>
      </c>
      <c r="O41">
        <v>770</v>
      </c>
      <c r="P41">
        <v>347</v>
      </c>
    </row>
    <row r="42" spans="1:16" x14ac:dyDescent="0.25">
      <c r="A42" s="388">
        <v>43902</v>
      </c>
      <c r="B42" s="388" t="s">
        <v>3679</v>
      </c>
      <c r="C42" s="14"/>
      <c r="D42" s="388">
        <f t="shared" si="3"/>
        <v>43939</v>
      </c>
      <c r="E42" s="14">
        <f t="shared" si="7"/>
        <v>1</v>
      </c>
      <c r="F42" s="14">
        <f t="shared" si="7"/>
        <v>1</v>
      </c>
      <c r="G42" s="14">
        <f t="shared" si="7"/>
        <v>10</v>
      </c>
      <c r="H42" s="14">
        <f t="shared" si="7"/>
        <v>1</v>
      </c>
      <c r="I42" s="14">
        <f t="shared" si="2"/>
        <v>12</v>
      </c>
      <c r="J42" s="25">
        <f t="shared" si="4"/>
        <v>343</v>
      </c>
      <c r="K42" s="25">
        <f t="shared" si="5"/>
        <v>792</v>
      </c>
      <c r="L42" s="25">
        <f t="shared" si="6"/>
        <v>1135</v>
      </c>
      <c r="N42" s="26">
        <v>43939</v>
      </c>
      <c r="O42">
        <v>773</v>
      </c>
      <c r="P42">
        <v>350</v>
      </c>
    </row>
    <row r="43" spans="1:16" x14ac:dyDescent="0.25">
      <c r="A43" s="388">
        <v>43902</v>
      </c>
      <c r="B43" s="388" t="s">
        <v>3678</v>
      </c>
      <c r="C43" s="14"/>
      <c r="D43" s="388">
        <f t="shared" si="3"/>
        <v>43940</v>
      </c>
      <c r="E43" s="14">
        <f t="shared" si="7"/>
        <v>0</v>
      </c>
      <c r="F43" s="14">
        <f t="shared" si="7"/>
        <v>2</v>
      </c>
      <c r="G43" s="14">
        <f t="shared" si="7"/>
        <v>6</v>
      </c>
      <c r="H43" s="14">
        <f t="shared" si="7"/>
        <v>0</v>
      </c>
      <c r="I43" s="14">
        <f t="shared" si="2"/>
        <v>8</v>
      </c>
      <c r="J43" s="25">
        <f t="shared" si="4"/>
        <v>345</v>
      </c>
      <c r="K43" s="25">
        <f t="shared" si="5"/>
        <v>798</v>
      </c>
      <c r="L43" s="25">
        <f t="shared" si="6"/>
        <v>1143</v>
      </c>
      <c r="N43" s="26">
        <v>43940</v>
      </c>
      <c r="O43">
        <v>783</v>
      </c>
      <c r="P43">
        <v>357</v>
      </c>
    </row>
    <row r="44" spans="1:16" x14ac:dyDescent="0.25">
      <c r="A44" s="388">
        <v>43902</v>
      </c>
      <c r="B44" s="388" t="s">
        <v>3678</v>
      </c>
      <c r="C44" s="14"/>
      <c r="D44" s="388">
        <f t="shared" si="3"/>
        <v>43941</v>
      </c>
      <c r="E44" s="14">
        <f t="shared" si="7"/>
        <v>0</v>
      </c>
      <c r="F44" s="14">
        <f t="shared" si="7"/>
        <v>0</v>
      </c>
      <c r="G44" s="14">
        <f t="shared" si="7"/>
        <v>0</v>
      </c>
      <c r="H44" s="14">
        <f t="shared" si="7"/>
        <v>0</v>
      </c>
      <c r="I44" s="14">
        <f t="shared" si="2"/>
        <v>0</v>
      </c>
      <c r="J44" s="25">
        <f t="shared" si="4"/>
        <v>345</v>
      </c>
      <c r="K44" s="25">
        <f t="shared" si="5"/>
        <v>798</v>
      </c>
      <c r="L44" s="25">
        <f t="shared" si="6"/>
        <v>1143</v>
      </c>
      <c r="N44" s="26">
        <v>43941</v>
      </c>
      <c r="O44">
        <v>790</v>
      </c>
      <c r="P44">
        <v>358</v>
      </c>
    </row>
    <row r="45" spans="1:16" x14ac:dyDescent="0.25">
      <c r="A45" s="388">
        <v>43902</v>
      </c>
      <c r="B45" s="388" t="s">
        <v>3678</v>
      </c>
      <c r="C45" s="14"/>
      <c r="D45" s="388">
        <f t="shared" si="3"/>
        <v>43942</v>
      </c>
      <c r="E45" s="14">
        <f t="shared" si="7"/>
        <v>0</v>
      </c>
      <c r="F45" s="14">
        <f t="shared" si="7"/>
        <v>2</v>
      </c>
      <c r="G45" s="14">
        <f t="shared" si="7"/>
        <v>2</v>
      </c>
      <c r="H45" s="14">
        <f t="shared" si="7"/>
        <v>1</v>
      </c>
      <c r="I45" s="14">
        <f t="shared" si="2"/>
        <v>4</v>
      </c>
      <c r="J45" s="25">
        <f t="shared" si="4"/>
        <v>347</v>
      </c>
      <c r="K45" s="25">
        <f t="shared" si="5"/>
        <v>800</v>
      </c>
      <c r="L45" s="25">
        <f t="shared" si="6"/>
        <v>1147</v>
      </c>
      <c r="N45" s="26">
        <v>43942</v>
      </c>
      <c r="O45">
        <v>795</v>
      </c>
      <c r="P45">
        <v>360</v>
      </c>
    </row>
    <row r="46" spans="1:16" x14ac:dyDescent="0.25">
      <c r="A46" s="388">
        <v>43902</v>
      </c>
      <c r="B46" s="388" t="s">
        <v>3679</v>
      </c>
      <c r="C46" s="14"/>
      <c r="D46" s="388">
        <f t="shared" si="3"/>
        <v>43943</v>
      </c>
      <c r="E46" s="14">
        <f t="shared" si="7"/>
        <v>0</v>
      </c>
      <c r="F46" s="14">
        <f t="shared" si="7"/>
        <v>3</v>
      </c>
      <c r="G46" s="14">
        <f t="shared" si="7"/>
        <v>1</v>
      </c>
      <c r="H46" s="14">
        <f t="shared" si="7"/>
        <v>1</v>
      </c>
      <c r="I46" s="14">
        <f t="shared" si="2"/>
        <v>4</v>
      </c>
      <c r="J46" s="25">
        <f t="shared" si="4"/>
        <v>350</v>
      </c>
      <c r="K46" s="25">
        <f t="shared" si="5"/>
        <v>801</v>
      </c>
      <c r="L46" s="25">
        <f t="shared" si="6"/>
        <v>1151</v>
      </c>
      <c r="N46" s="26">
        <v>43943</v>
      </c>
      <c r="O46">
        <v>799</v>
      </c>
      <c r="P46">
        <v>356</v>
      </c>
    </row>
    <row r="47" spans="1:16" x14ac:dyDescent="0.25">
      <c r="A47" s="388">
        <v>43902</v>
      </c>
      <c r="B47" s="388" t="s">
        <v>3679</v>
      </c>
      <c r="C47" s="14"/>
      <c r="D47" s="388">
        <f t="shared" si="3"/>
        <v>43944</v>
      </c>
      <c r="E47" s="14">
        <f t="shared" si="7"/>
        <v>0</v>
      </c>
      <c r="F47" s="14">
        <f t="shared" si="7"/>
        <v>1</v>
      </c>
      <c r="G47" s="14">
        <f t="shared" si="7"/>
        <v>1</v>
      </c>
      <c r="H47" s="14">
        <f t="shared" si="7"/>
        <v>0</v>
      </c>
      <c r="I47" s="14">
        <f t="shared" si="2"/>
        <v>2</v>
      </c>
      <c r="J47" s="25">
        <f t="shared" si="4"/>
        <v>351</v>
      </c>
      <c r="K47" s="25">
        <f t="shared" si="5"/>
        <v>802</v>
      </c>
      <c r="L47" s="25">
        <f t="shared" si="6"/>
        <v>1153</v>
      </c>
      <c r="N47" s="26">
        <v>43944</v>
      </c>
      <c r="O47">
        <v>797</v>
      </c>
      <c r="P47">
        <v>360</v>
      </c>
    </row>
    <row r="48" spans="1:16" x14ac:dyDescent="0.25">
      <c r="A48" s="388">
        <v>43902</v>
      </c>
      <c r="B48" s="388" t="s">
        <v>3679</v>
      </c>
      <c r="C48" s="14"/>
      <c r="D48" s="388">
        <f t="shared" si="3"/>
        <v>43945</v>
      </c>
      <c r="E48" s="14">
        <f t="shared" si="7"/>
        <v>0</v>
      </c>
      <c r="F48" s="14">
        <f t="shared" si="7"/>
        <v>0</v>
      </c>
      <c r="G48" s="14">
        <f t="shared" si="7"/>
        <v>5</v>
      </c>
      <c r="H48" s="14">
        <f t="shared" si="7"/>
        <v>3</v>
      </c>
      <c r="I48" s="14">
        <f t="shared" si="2"/>
        <v>5</v>
      </c>
      <c r="J48" s="25">
        <f t="shared" si="4"/>
        <v>351</v>
      </c>
      <c r="K48" s="25">
        <f t="shared" si="5"/>
        <v>807</v>
      </c>
      <c r="L48" s="25">
        <f t="shared" si="6"/>
        <v>1158</v>
      </c>
      <c r="N48" s="26">
        <v>43945</v>
      </c>
      <c r="O48">
        <v>804</v>
      </c>
      <c r="P48">
        <v>360</v>
      </c>
    </row>
    <row r="49" spans="1:16" x14ac:dyDescent="0.25">
      <c r="A49" s="388">
        <v>43902</v>
      </c>
      <c r="B49" s="388" t="s">
        <v>3679</v>
      </c>
      <c r="C49" s="14"/>
      <c r="D49" s="388">
        <f t="shared" si="3"/>
        <v>43946</v>
      </c>
      <c r="E49" s="14">
        <f t="shared" si="7"/>
        <v>0</v>
      </c>
      <c r="F49" s="14">
        <f t="shared" si="7"/>
        <v>2</v>
      </c>
      <c r="G49" s="14">
        <f t="shared" si="7"/>
        <v>0</v>
      </c>
      <c r="H49" s="14">
        <f t="shared" si="7"/>
        <v>1</v>
      </c>
      <c r="I49" s="14">
        <f t="shared" si="2"/>
        <v>2</v>
      </c>
      <c r="J49" s="25">
        <f t="shared" si="4"/>
        <v>353</v>
      </c>
      <c r="K49" s="25">
        <f t="shared" si="5"/>
        <v>807</v>
      </c>
      <c r="L49" s="25">
        <f t="shared" si="6"/>
        <v>1160</v>
      </c>
      <c r="N49" s="26">
        <v>43946</v>
      </c>
      <c r="O49">
        <v>807</v>
      </c>
      <c r="P49">
        <v>366</v>
      </c>
    </row>
    <row r="50" spans="1:16" x14ac:dyDescent="0.25">
      <c r="A50" s="388">
        <v>43902</v>
      </c>
      <c r="B50" s="388" t="s">
        <v>3678</v>
      </c>
      <c r="C50" s="14"/>
      <c r="D50" s="388">
        <f t="shared" si="3"/>
        <v>43947</v>
      </c>
      <c r="E50" s="14">
        <f t="shared" si="7"/>
        <v>0</v>
      </c>
      <c r="F50" s="14">
        <f t="shared" si="7"/>
        <v>1</v>
      </c>
      <c r="G50" s="14">
        <f t="shared" si="7"/>
        <v>0</v>
      </c>
      <c r="H50" s="14">
        <f t="shared" si="7"/>
        <v>1</v>
      </c>
      <c r="I50" s="14">
        <f t="shared" si="2"/>
        <v>1</v>
      </c>
      <c r="J50" s="25">
        <f t="shared" si="4"/>
        <v>354</v>
      </c>
      <c r="K50" s="25">
        <f t="shared" si="5"/>
        <v>807</v>
      </c>
      <c r="L50" s="25">
        <f t="shared" si="6"/>
        <v>1161</v>
      </c>
      <c r="N50" s="26">
        <v>43947</v>
      </c>
      <c r="O50">
        <v>813</v>
      </c>
      <c r="P50">
        <v>368</v>
      </c>
    </row>
    <row r="51" spans="1:16" x14ac:dyDescent="0.25">
      <c r="A51" s="388">
        <v>43902</v>
      </c>
      <c r="B51" s="388" t="s">
        <v>3680</v>
      </c>
      <c r="C51" s="14"/>
      <c r="D51" s="388">
        <f t="shared" si="3"/>
        <v>43948</v>
      </c>
      <c r="E51" s="14">
        <f t="shared" si="7"/>
        <v>0</v>
      </c>
      <c r="F51" s="14">
        <f t="shared" si="7"/>
        <v>1</v>
      </c>
      <c r="G51" s="14">
        <f t="shared" si="7"/>
        <v>1</v>
      </c>
      <c r="H51" s="14">
        <f t="shared" si="7"/>
        <v>4</v>
      </c>
      <c r="I51" s="14">
        <f t="shared" si="2"/>
        <v>2</v>
      </c>
      <c r="J51" s="25">
        <f t="shared" si="4"/>
        <v>355</v>
      </c>
      <c r="K51" s="25">
        <f t="shared" si="5"/>
        <v>808</v>
      </c>
      <c r="L51" s="25">
        <f t="shared" si="6"/>
        <v>1163</v>
      </c>
      <c r="N51" s="26">
        <v>43948</v>
      </c>
      <c r="O51">
        <v>816</v>
      </c>
      <c r="P51">
        <v>366</v>
      </c>
    </row>
    <row r="52" spans="1:16" x14ac:dyDescent="0.25">
      <c r="A52" s="388">
        <v>43902</v>
      </c>
      <c r="B52" s="388" t="s">
        <v>3678</v>
      </c>
      <c r="C52" s="14"/>
      <c r="D52" s="388">
        <f t="shared" si="3"/>
        <v>43949</v>
      </c>
      <c r="E52" s="14">
        <f t="shared" si="7"/>
        <v>0</v>
      </c>
      <c r="F52" s="14">
        <f t="shared" si="7"/>
        <v>1</v>
      </c>
      <c r="G52" s="14">
        <f t="shared" si="7"/>
        <v>0</v>
      </c>
      <c r="H52" s="14">
        <f t="shared" si="7"/>
        <v>1</v>
      </c>
      <c r="I52" s="14">
        <f t="shared" si="2"/>
        <v>1</v>
      </c>
      <c r="J52" s="25">
        <f t="shared" si="4"/>
        <v>356</v>
      </c>
      <c r="K52" s="25">
        <f t="shared" si="5"/>
        <v>808</v>
      </c>
      <c r="L52" s="25">
        <f t="shared" si="6"/>
        <v>1164</v>
      </c>
      <c r="N52" s="26">
        <v>43949</v>
      </c>
      <c r="O52">
        <v>824</v>
      </c>
      <c r="P52">
        <v>366</v>
      </c>
    </row>
    <row r="53" spans="1:16" x14ac:dyDescent="0.25">
      <c r="A53" s="388">
        <v>43902</v>
      </c>
      <c r="B53" s="388" t="s">
        <v>3679</v>
      </c>
      <c r="C53" s="14"/>
      <c r="D53" s="388">
        <f t="shared" si="3"/>
        <v>43950</v>
      </c>
      <c r="E53" s="14">
        <f t="shared" si="7"/>
        <v>0</v>
      </c>
      <c r="F53" s="14">
        <f t="shared" si="7"/>
        <v>1</v>
      </c>
      <c r="G53" s="14">
        <f t="shared" si="7"/>
        <v>0</v>
      </c>
      <c r="H53" s="14">
        <f t="shared" si="7"/>
        <v>1</v>
      </c>
      <c r="I53" s="14">
        <f t="shared" si="2"/>
        <v>1</v>
      </c>
      <c r="J53" s="25">
        <f t="shared" si="4"/>
        <v>357</v>
      </c>
      <c r="K53" s="25">
        <f t="shared" si="5"/>
        <v>808</v>
      </c>
      <c r="L53" s="25">
        <f t="shared" si="6"/>
        <v>1165</v>
      </c>
      <c r="N53" s="26">
        <v>43950</v>
      </c>
      <c r="O53">
        <v>830</v>
      </c>
      <c r="P53">
        <v>366</v>
      </c>
    </row>
    <row r="54" spans="1:16" x14ac:dyDescent="0.25">
      <c r="A54" s="388">
        <v>43902</v>
      </c>
      <c r="B54" s="388" t="s">
        <v>3679</v>
      </c>
      <c r="C54" s="14"/>
      <c r="D54" s="388">
        <f t="shared" si="3"/>
        <v>43951</v>
      </c>
      <c r="E54" s="14">
        <f t="shared" si="7"/>
        <v>0</v>
      </c>
      <c r="F54" s="14">
        <f t="shared" si="7"/>
        <v>3</v>
      </c>
      <c r="G54" s="14">
        <f t="shared" si="7"/>
        <v>0</v>
      </c>
      <c r="H54" s="14">
        <f t="shared" si="7"/>
        <v>1</v>
      </c>
      <c r="I54" s="14">
        <f t="shared" si="2"/>
        <v>3</v>
      </c>
      <c r="J54" s="25">
        <f t="shared" si="4"/>
        <v>360</v>
      </c>
      <c r="K54" s="25">
        <f t="shared" si="5"/>
        <v>808</v>
      </c>
      <c r="L54" s="25">
        <f t="shared" si="6"/>
        <v>1168</v>
      </c>
    </row>
    <row r="55" spans="1:16" x14ac:dyDescent="0.25">
      <c r="A55" s="388">
        <v>43902</v>
      </c>
      <c r="B55" s="388" t="s">
        <v>3679</v>
      </c>
      <c r="C55" s="14"/>
    </row>
    <row r="56" spans="1:16" x14ac:dyDescent="0.25">
      <c r="A56" s="388">
        <v>43902</v>
      </c>
      <c r="B56" s="388" t="s">
        <v>3681</v>
      </c>
      <c r="C56" s="14"/>
    </row>
    <row r="57" spans="1:16" x14ac:dyDescent="0.25">
      <c r="A57" s="388">
        <v>43902</v>
      </c>
      <c r="B57" s="388" t="s">
        <v>3679</v>
      </c>
      <c r="C57" s="14"/>
    </row>
    <row r="58" spans="1:16" x14ac:dyDescent="0.25">
      <c r="A58" s="388">
        <v>43902</v>
      </c>
      <c r="B58" s="388" t="s">
        <v>3678</v>
      </c>
      <c r="C58" s="14"/>
    </row>
    <row r="59" spans="1:16" x14ac:dyDescent="0.25">
      <c r="A59" s="388">
        <v>43903</v>
      </c>
      <c r="B59" s="388" t="s">
        <v>3678</v>
      </c>
      <c r="C59" s="14"/>
    </row>
    <row r="60" spans="1:16" x14ac:dyDescent="0.25">
      <c r="A60" s="388">
        <v>43903</v>
      </c>
      <c r="B60" s="388" t="s">
        <v>3678</v>
      </c>
      <c r="C60" s="14"/>
    </row>
    <row r="61" spans="1:16" x14ac:dyDescent="0.25">
      <c r="A61" s="388">
        <v>43903</v>
      </c>
      <c r="B61" s="388" t="s">
        <v>3680</v>
      </c>
      <c r="C61" s="14"/>
    </row>
    <row r="62" spans="1:16" x14ac:dyDescent="0.25">
      <c r="A62" s="388">
        <v>43903</v>
      </c>
      <c r="B62" s="388" t="s">
        <v>3678</v>
      </c>
      <c r="C62" s="14"/>
    </row>
    <row r="63" spans="1:16" x14ac:dyDescent="0.25">
      <c r="A63" s="388">
        <v>43903</v>
      </c>
      <c r="B63" s="388" t="s">
        <v>3679</v>
      </c>
      <c r="C63" s="14"/>
    </row>
    <row r="64" spans="1:16" x14ac:dyDescent="0.25">
      <c r="A64" s="388">
        <v>43903</v>
      </c>
      <c r="B64" s="388" t="s">
        <v>3680</v>
      </c>
      <c r="C64" s="14"/>
    </row>
    <row r="65" spans="1:3" x14ac:dyDescent="0.25">
      <c r="A65" s="388">
        <v>43903</v>
      </c>
      <c r="B65" s="388" t="s">
        <v>3679</v>
      </c>
      <c r="C65" s="14"/>
    </row>
    <row r="66" spans="1:3" x14ac:dyDescent="0.25">
      <c r="A66" s="388">
        <v>43903</v>
      </c>
      <c r="B66" s="388" t="s">
        <v>3679</v>
      </c>
      <c r="C66" s="14"/>
    </row>
    <row r="67" spans="1:3" x14ac:dyDescent="0.25">
      <c r="A67" s="388">
        <v>43903</v>
      </c>
      <c r="B67" s="388" t="s">
        <v>3679</v>
      </c>
      <c r="C67" s="14"/>
    </row>
    <row r="68" spans="1:3" x14ac:dyDescent="0.25">
      <c r="A68" s="388">
        <v>43903</v>
      </c>
      <c r="B68" s="388" t="s">
        <v>3678</v>
      </c>
      <c r="C68" s="14"/>
    </row>
    <row r="69" spans="1:3" x14ac:dyDescent="0.25">
      <c r="A69" s="388">
        <v>43903</v>
      </c>
      <c r="B69" s="388" t="s">
        <v>3679</v>
      </c>
      <c r="C69" s="14"/>
    </row>
    <row r="70" spans="1:3" x14ac:dyDescent="0.25">
      <c r="A70" s="388">
        <v>43903</v>
      </c>
      <c r="B70" s="388" t="s">
        <v>3679</v>
      </c>
      <c r="C70" s="14"/>
    </row>
    <row r="71" spans="1:3" x14ac:dyDescent="0.25">
      <c r="A71" s="388">
        <v>43903</v>
      </c>
      <c r="B71" s="388" t="s">
        <v>3678</v>
      </c>
      <c r="C71" s="14"/>
    </row>
    <row r="72" spans="1:3" x14ac:dyDescent="0.25">
      <c r="A72" s="388">
        <v>43903</v>
      </c>
      <c r="B72" s="388" t="s">
        <v>3678</v>
      </c>
      <c r="C72" s="14"/>
    </row>
    <row r="73" spans="1:3" x14ac:dyDescent="0.25">
      <c r="A73" s="388">
        <v>43903</v>
      </c>
      <c r="B73" s="388" t="s">
        <v>3678</v>
      </c>
      <c r="C73" s="14"/>
    </row>
    <row r="74" spans="1:3" x14ac:dyDescent="0.25">
      <c r="A74" s="388">
        <v>43903</v>
      </c>
      <c r="B74" s="388" t="s">
        <v>3679</v>
      </c>
      <c r="C74" s="14"/>
    </row>
    <row r="75" spans="1:3" x14ac:dyDescent="0.25">
      <c r="A75" s="388">
        <v>43903</v>
      </c>
      <c r="B75" s="388" t="s">
        <v>3679</v>
      </c>
      <c r="C75" s="14"/>
    </row>
    <row r="76" spans="1:3" x14ac:dyDescent="0.25">
      <c r="A76" s="388">
        <v>43903</v>
      </c>
      <c r="B76" s="388" t="s">
        <v>3679</v>
      </c>
      <c r="C76" s="14"/>
    </row>
    <row r="77" spans="1:3" x14ac:dyDescent="0.25">
      <c r="A77" s="388">
        <v>43903</v>
      </c>
      <c r="B77" s="388" t="s">
        <v>3678</v>
      </c>
      <c r="C77" s="14"/>
    </row>
    <row r="78" spans="1:3" x14ac:dyDescent="0.25">
      <c r="A78" s="388">
        <v>43903</v>
      </c>
      <c r="B78" s="388" t="s">
        <v>3680</v>
      </c>
      <c r="C78" s="14"/>
    </row>
    <row r="79" spans="1:3" x14ac:dyDescent="0.25">
      <c r="A79" s="388">
        <v>43903</v>
      </c>
      <c r="B79" s="388" t="s">
        <v>3678</v>
      </c>
      <c r="C79" s="14"/>
    </row>
    <row r="80" spans="1:3" x14ac:dyDescent="0.25">
      <c r="A80" s="388">
        <v>43903</v>
      </c>
      <c r="B80" s="388" t="s">
        <v>3678</v>
      </c>
      <c r="C80" s="14"/>
    </row>
    <row r="81" spans="1:3" x14ac:dyDescent="0.25">
      <c r="A81" s="388">
        <v>43903</v>
      </c>
      <c r="B81" s="388" t="s">
        <v>3678</v>
      </c>
      <c r="C81" s="14"/>
    </row>
    <row r="82" spans="1:3" x14ac:dyDescent="0.25">
      <c r="A82" s="388">
        <v>43903</v>
      </c>
      <c r="B82" s="388" t="s">
        <v>3678</v>
      </c>
      <c r="C82" s="14"/>
    </row>
    <row r="83" spans="1:3" x14ac:dyDescent="0.25">
      <c r="A83" s="388">
        <v>43903</v>
      </c>
      <c r="B83" s="388" t="s">
        <v>3679</v>
      </c>
      <c r="C83" s="14"/>
    </row>
    <row r="84" spans="1:3" x14ac:dyDescent="0.25">
      <c r="A84" s="388">
        <v>43903</v>
      </c>
      <c r="B84" s="388" t="s">
        <v>3679</v>
      </c>
      <c r="C84" s="14"/>
    </row>
    <row r="85" spans="1:3" x14ac:dyDescent="0.25">
      <c r="A85" s="388">
        <v>43903</v>
      </c>
      <c r="B85" s="388" t="s">
        <v>3680</v>
      </c>
      <c r="C85" s="14"/>
    </row>
    <row r="86" spans="1:3" x14ac:dyDescent="0.25">
      <c r="A86" s="388">
        <v>43903</v>
      </c>
      <c r="B86" s="388" t="s">
        <v>3679</v>
      </c>
      <c r="C86" s="14"/>
    </row>
    <row r="87" spans="1:3" x14ac:dyDescent="0.25">
      <c r="A87" s="388">
        <v>43903</v>
      </c>
      <c r="B87" s="388" t="s">
        <v>3679</v>
      </c>
      <c r="C87" s="14"/>
    </row>
    <row r="88" spans="1:3" x14ac:dyDescent="0.25">
      <c r="A88" s="388">
        <v>43903</v>
      </c>
      <c r="B88" s="388" t="s">
        <v>3679</v>
      </c>
      <c r="C88" s="14"/>
    </row>
    <row r="89" spans="1:3" x14ac:dyDescent="0.25">
      <c r="A89" s="388">
        <v>43903</v>
      </c>
      <c r="B89" s="388" t="s">
        <v>3678</v>
      </c>
      <c r="C89" s="14"/>
    </row>
    <row r="90" spans="1:3" x14ac:dyDescent="0.25">
      <c r="A90" s="388">
        <v>43904</v>
      </c>
      <c r="B90" s="388" t="s">
        <v>3678</v>
      </c>
      <c r="C90" s="14"/>
    </row>
    <row r="91" spans="1:3" x14ac:dyDescent="0.25">
      <c r="A91" s="388">
        <v>43904</v>
      </c>
      <c r="B91" s="388" t="s">
        <v>3679</v>
      </c>
      <c r="C91" s="14"/>
    </row>
    <row r="92" spans="1:3" x14ac:dyDescent="0.25">
      <c r="A92" s="388">
        <v>43904</v>
      </c>
      <c r="B92" s="388" t="s">
        <v>3678</v>
      </c>
      <c r="C92" s="14"/>
    </row>
    <row r="93" spans="1:3" x14ac:dyDescent="0.25">
      <c r="A93" s="388">
        <v>43904</v>
      </c>
      <c r="B93" s="388" t="s">
        <v>3678</v>
      </c>
      <c r="C93" s="14"/>
    </row>
    <row r="94" spans="1:3" x14ac:dyDescent="0.25">
      <c r="A94" s="388">
        <v>43904</v>
      </c>
      <c r="B94" s="388" t="s">
        <v>3679</v>
      </c>
      <c r="C94" s="14"/>
    </row>
    <row r="95" spans="1:3" x14ac:dyDescent="0.25">
      <c r="A95" s="388">
        <v>43904</v>
      </c>
      <c r="B95" s="388" t="s">
        <v>3680</v>
      </c>
      <c r="C95" s="14"/>
    </row>
    <row r="96" spans="1:3" x14ac:dyDescent="0.25">
      <c r="A96" s="388">
        <v>43904</v>
      </c>
      <c r="B96" s="388" t="s">
        <v>3678</v>
      </c>
      <c r="C96" s="14"/>
    </row>
    <row r="97" spans="1:3" x14ac:dyDescent="0.25">
      <c r="A97" s="388">
        <v>43904</v>
      </c>
      <c r="B97" s="388" t="s">
        <v>3679</v>
      </c>
      <c r="C97" s="14"/>
    </row>
    <row r="98" spans="1:3" x14ac:dyDescent="0.25">
      <c r="A98" s="388">
        <v>43904</v>
      </c>
      <c r="B98" s="388" t="s">
        <v>3681</v>
      </c>
      <c r="C98" s="14"/>
    </row>
    <row r="99" spans="1:3" x14ac:dyDescent="0.25">
      <c r="A99" s="388">
        <v>43904</v>
      </c>
      <c r="B99" s="388" t="s">
        <v>3678</v>
      </c>
      <c r="C99" s="14"/>
    </row>
    <row r="100" spans="1:3" x14ac:dyDescent="0.25">
      <c r="A100" s="388">
        <v>43904</v>
      </c>
      <c r="B100" s="388" t="s">
        <v>3678</v>
      </c>
      <c r="C100" s="14"/>
    </row>
    <row r="101" spans="1:3" x14ac:dyDescent="0.25">
      <c r="A101" s="388">
        <v>43904</v>
      </c>
      <c r="B101" s="388" t="s">
        <v>3679</v>
      </c>
      <c r="C101" s="14"/>
    </row>
    <row r="102" spans="1:3" x14ac:dyDescent="0.25">
      <c r="A102" s="388">
        <v>43904</v>
      </c>
      <c r="B102" s="388" t="s">
        <v>3679</v>
      </c>
      <c r="C102" s="14"/>
    </row>
    <row r="103" spans="1:3" x14ac:dyDescent="0.25">
      <c r="A103" s="388">
        <v>43904</v>
      </c>
      <c r="B103" s="388" t="s">
        <v>3679</v>
      </c>
      <c r="C103" s="14"/>
    </row>
    <row r="104" spans="1:3" x14ac:dyDescent="0.25">
      <c r="A104" s="388">
        <v>43904</v>
      </c>
      <c r="B104" s="388" t="s">
        <v>3680</v>
      </c>
      <c r="C104" s="14"/>
    </row>
    <row r="105" spans="1:3" x14ac:dyDescent="0.25">
      <c r="A105" s="388">
        <v>43904</v>
      </c>
      <c r="B105" s="388" t="s">
        <v>3679</v>
      </c>
      <c r="C105" s="14"/>
    </row>
    <row r="106" spans="1:3" x14ac:dyDescent="0.25">
      <c r="A106" s="388">
        <v>43904</v>
      </c>
      <c r="B106" s="388" t="s">
        <v>3679</v>
      </c>
      <c r="C106" s="14"/>
    </row>
    <row r="107" spans="1:3" x14ac:dyDescent="0.25">
      <c r="A107" s="388">
        <v>43904</v>
      </c>
      <c r="B107" s="388" t="s">
        <v>3678</v>
      </c>
      <c r="C107" s="14"/>
    </row>
    <row r="108" spans="1:3" x14ac:dyDescent="0.25">
      <c r="A108" s="388">
        <v>43904</v>
      </c>
      <c r="B108" s="388" t="s">
        <v>3679</v>
      </c>
      <c r="C108" s="14"/>
    </row>
    <row r="109" spans="1:3" x14ac:dyDescent="0.25">
      <c r="A109" s="388">
        <v>43904</v>
      </c>
      <c r="B109" s="388" t="s">
        <v>3680</v>
      </c>
      <c r="C109" s="14"/>
    </row>
    <row r="110" spans="1:3" x14ac:dyDescent="0.25">
      <c r="A110" s="388">
        <v>43904</v>
      </c>
      <c r="B110" s="388" t="s">
        <v>3678</v>
      </c>
      <c r="C110" s="14"/>
    </row>
    <row r="111" spans="1:3" x14ac:dyDescent="0.25">
      <c r="A111" s="388">
        <v>43904</v>
      </c>
      <c r="B111" s="388" t="s">
        <v>3679</v>
      </c>
      <c r="C111" s="14"/>
    </row>
    <row r="112" spans="1:3" x14ac:dyDescent="0.25">
      <c r="A112" s="388">
        <v>43904</v>
      </c>
      <c r="B112" s="388" t="s">
        <v>3679</v>
      </c>
      <c r="C112" s="14"/>
    </row>
    <row r="113" spans="1:3" x14ac:dyDescent="0.25">
      <c r="A113" s="388">
        <v>43904</v>
      </c>
      <c r="B113" s="388" t="s">
        <v>3678</v>
      </c>
      <c r="C113" s="14"/>
    </row>
    <row r="114" spans="1:3" x14ac:dyDescent="0.25">
      <c r="A114" s="388">
        <v>43904</v>
      </c>
      <c r="B114" s="388" t="s">
        <v>3680</v>
      </c>
      <c r="C114" s="14"/>
    </row>
    <row r="115" spans="1:3" x14ac:dyDescent="0.25">
      <c r="A115" s="388">
        <v>43905</v>
      </c>
      <c r="B115" s="388" t="s">
        <v>3679</v>
      </c>
      <c r="C115" s="14"/>
    </row>
    <row r="116" spans="1:3" x14ac:dyDescent="0.25">
      <c r="A116" s="388">
        <v>43905</v>
      </c>
      <c r="B116" s="388" t="s">
        <v>3680</v>
      </c>
      <c r="C116" s="14"/>
    </row>
    <row r="117" spans="1:3" x14ac:dyDescent="0.25">
      <c r="A117" s="388">
        <v>43905</v>
      </c>
      <c r="B117" s="388" t="s">
        <v>3679</v>
      </c>
      <c r="C117" s="14"/>
    </row>
    <row r="118" spans="1:3" x14ac:dyDescent="0.25">
      <c r="A118" s="388">
        <v>43905</v>
      </c>
      <c r="B118" s="388" t="s">
        <v>3680</v>
      </c>
      <c r="C118" s="14"/>
    </row>
    <row r="119" spans="1:3" x14ac:dyDescent="0.25">
      <c r="A119" s="388">
        <v>43905</v>
      </c>
      <c r="B119" s="388" t="s">
        <v>3678</v>
      </c>
      <c r="C119" s="14"/>
    </row>
    <row r="120" spans="1:3" x14ac:dyDescent="0.25">
      <c r="A120" s="388">
        <v>43905</v>
      </c>
      <c r="B120" s="388" t="s">
        <v>3679</v>
      </c>
      <c r="C120" s="14"/>
    </row>
    <row r="121" spans="1:3" x14ac:dyDescent="0.25">
      <c r="A121" s="388">
        <v>43905</v>
      </c>
      <c r="B121" s="388" t="s">
        <v>3681</v>
      </c>
      <c r="C121" s="14"/>
    </row>
    <row r="122" spans="1:3" x14ac:dyDescent="0.25">
      <c r="A122" s="388">
        <v>43905</v>
      </c>
      <c r="B122" s="388" t="s">
        <v>3678</v>
      </c>
      <c r="C122" s="14"/>
    </row>
    <row r="123" spans="1:3" x14ac:dyDescent="0.25">
      <c r="A123" s="388">
        <v>43905</v>
      </c>
      <c r="B123" s="388" t="s">
        <v>3679</v>
      </c>
      <c r="C123" s="14"/>
    </row>
    <row r="124" spans="1:3" x14ac:dyDescent="0.25">
      <c r="A124" s="388">
        <v>43905</v>
      </c>
      <c r="B124" s="388" t="s">
        <v>3679</v>
      </c>
      <c r="C124" s="14"/>
    </row>
    <row r="125" spans="1:3" x14ac:dyDescent="0.25">
      <c r="A125" s="388">
        <v>43905</v>
      </c>
      <c r="B125" s="388" t="s">
        <v>3679</v>
      </c>
      <c r="C125" s="14"/>
    </row>
    <row r="126" spans="1:3" x14ac:dyDescent="0.25">
      <c r="A126" s="388">
        <v>43905</v>
      </c>
      <c r="B126" s="388" t="s">
        <v>3679</v>
      </c>
      <c r="C126" s="14"/>
    </row>
    <row r="127" spans="1:3" x14ac:dyDescent="0.25">
      <c r="A127" s="388">
        <v>43905</v>
      </c>
      <c r="B127" s="388" t="s">
        <v>3678</v>
      </c>
      <c r="C127" s="14"/>
    </row>
    <row r="128" spans="1:3" x14ac:dyDescent="0.25">
      <c r="A128" s="388">
        <v>43905</v>
      </c>
      <c r="B128" s="388" t="s">
        <v>3678</v>
      </c>
      <c r="C128" s="14"/>
    </row>
    <row r="129" spans="1:3" x14ac:dyDescent="0.25">
      <c r="A129" s="388">
        <v>43905</v>
      </c>
      <c r="B129" s="388" t="s">
        <v>3678</v>
      </c>
      <c r="C129" s="14"/>
    </row>
    <row r="130" spans="1:3" x14ac:dyDescent="0.25">
      <c r="A130" s="388">
        <v>43905</v>
      </c>
      <c r="B130" s="388" t="s">
        <v>3679</v>
      </c>
      <c r="C130" s="14"/>
    </row>
    <row r="131" spans="1:3" x14ac:dyDescent="0.25">
      <c r="A131" s="388">
        <v>43905</v>
      </c>
      <c r="B131" s="388" t="s">
        <v>3678</v>
      </c>
      <c r="C131" s="14"/>
    </row>
    <row r="132" spans="1:3" x14ac:dyDescent="0.25">
      <c r="A132" s="388">
        <v>43905</v>
      </c>
      <c r="B132" s="388" t="s">
        <v>3678</v>
      </c>
      <c r="C132" s="14"/>
    </row>
    <row r="133" spans="1:3" x14ac:dyDescent="0.25">
      <c r="A133" s="388">
        <v>43905</v>
      </c>
      <c r="B133" s="388" t="s">
        <v>3679</v>
      </c>
      <c r="C133" s="14"/>
    </row>
    <row r="134" spans="1:3" x14ac:dyDescent="0.25">
      <c r="A134" s="388">
        <v>43905</v>
      </c>
      <c r="B134" s="388" t="s">
        <v>3678</v>
      </c>
      <c r="C134" s="14"/>
    </row>
    <row r="135" spans="1:3" x14ac:dyDescent="0.25">
      <c r="A135" s="388">
        <v>43905</v>
      </c>
      <c r="B135" s="388" t="s">
        <v>3679</v>
      </c>
      <c r="C135" s="14"/>
    </row>
    <row r="136" spans="1:3" x14ac:dyDescent="0.25">
      <c r="A136" s="388">
        <v>43905</v>
      </c>
      <c r="B136" s="388" t="s">
        <v>3679</v>
      </c>
      <c r="C136" s="14"/>
    </row>
    <row r="137" spans="1:3" x14ac:dyDescent="0.25">
      <c r="A137" s="388">
        <v>43905</v>
      </c>
      <c r="B137" s="388" t="s">
        <v>3679</v>
      </c>
      <c r="C137" s="14"/>
    </row>
    <row r="138" spans="1:3" x14ac:dyDescent="0.25">
      <c r="A138" s="388">
        <v>43905</v>
      </c>
      <c r="B138" s="388" t="s">
        <v>3678</v>
      </c>
      <c r="C138" s="14"/>
    </row>
    <row r="139" spans="1:3" x14ac:dyDescent="0.25">
      <c r="A139" s="388">
        <v>43905</v>
      </c>
      <c r="B139" s="388" t="s">
        <v>3679</v>
      </c>
      <c r="C139" s="14"/>
    </row>
    <row r="140" spans="1:3" x14ac:dyDescent="0.25">
      <c r="A140" s="388">
        <v>43905</v>
      </c>
      <c r="B140" s="388" t="s">
        <v>3679</v>
      </c>
      <c r="C140" s="14"/>
    </row>
    <row r="141" spans="1:3" x14ac:dyDescent="0.25">
      <c r="A141" s="388">
        <v>43905</v>
      </c>
      <c r="B141" s="388" t="s">
        <v>3679</v>
      </c>
      <c r="C141" s="14"/>
    </row>
    <row r="142" spans="1:3" x14ac:dyDescent="0.25">
      <c r="A142" s="388">
        <v>43905</v>
      </c>
      <c r="B142" s="388" t="s">
        <v>3678</v>
      </c>
      <c r="C142" s="14"/>
    </row>
    <row r="143" spans="1:3" x14ac:dyDescent="0.25">
      <c r="A143" s="388">
        <v>43905</v>
      </c>
      <c r="B143" s="388" t="s">
        <v>3679</v>
      </c>
      <c r="C143" s="14"/>
    </row>
    <row r="144" spans="1:3" x14ac:dyDescent="0.25">
      <c r="A144" s="388">
        <v>43905</v>
      </c>
      <c r="B144" s="388" t="s">
        <v>3680</v>
      </c>
      <c r="C144" s="14"/>
    </row>
    <row r="145" spans="1:3" x14ac:dyDescent="0.25">
      <c r="A145" s="388">
        <v>43905</v>
      </c>
      <c r="B145" s="388" t="s">
        <v>3679</v>
      </c>
      <c r="C145" s="14"/>
    </row>
    <row r="146" spans="1:3" x14ac:dyDescent="0.25">
      <c r="A146" s="388">
        <v>43905</v>
      </c>
      <c r="B146" s="388" t="s">
        <v>3678</v>
      </c>
      <c r="C146" s="14"/>
    </row>
    <row r="147" spans="1:3" x14ac:dyDescent="0.25">
      <c r="A147" s="388">
        <v>43905</v>
      </c>
      <c r="B147" s="388" t="s">
        <v>3678</v>
      </c>
      <c r="C147" s="14"/>
    </row>
    <row r="148" spans="1:3" x14ac:dyDescent="0.25">
      <c r="A148" s="388">
        <v>43905</v>
      </c>
      <c r="B148" s="388" t="s">
        <v>3678</v>
      </c>
      <c r="C148" s="14"/>
    </row>
    <row r="149" spans="1:3" x14ac:dyDescent="0.25">
      <c r="A149" s="388">
        <v>43905</v>
      </c>
      <c r="B149" s="388" t="s">
        <v>3679</v>
      </c>
      <c r="C149" s="14"/>
    </row>
    <row r="150" spans="1:3" x14ac:dyDescent="0.25">
      <c r="A150" s="388">
        <v>43906</v>
      </c>
      <c r="B150" s="388" t="s">
        <v>3679</v>
      </c>
      <c r="C150" s="14"/>
    </row>
    <row r="151" spans="1:3" x14ac:dyDescent="0.25">
      <c r="A151" s="388">
        <v>43906</v>
      </c>
      <c r="B151" s="388" t="s">
        <v>3679</v>
      </c>
      <c r="C151" s="14"/>
    </row>
    <row r="152" spans="1:3" x14ac:dyDescent="0.25">
      <c r="A152" s="388">
        <v>43906</v>
      </c>
      <c r="B152" s="388" t="s">
        <v>3679</v>
      </c>
      <c r="C152" s="14"/>
    </row>
    <row r="153" spans="1:3" x14ac:dyDescent="0.25">
      <c r="A153" s="388">
        <v>43906</v>
      </c>
      <c r="B153" s="388" t="s">
        <v>3679</v>
      </c>
      <c r="C153" s="14"/>
    </row>
    <row r="154" spans="1:3" x14ac:dyDescent="0.25">
      <c r="A154" s="388">
        <v>43906</v>
      </c>
      <c r="B154" s="388" t="s">
        <v>3678</v>
      </c>
      <c r="C154" s="14"/>
    </row>
    <row r="155" spans="1:3" x14ac:dyDescent="0.25">
      <c r="A155" s="388">
        <v>43906</v>
      </c>
      <c r="B155" s="388" t="s">
        <v>3678</v>
      </c>
      <c r="C155" s="14"/>
    </row>
    <row r="156" spans="1:3" x14ac:dyDescent="0.25">
      <c r="A156" s="388">
        <v>43906</v>
      </c>
      <c r="B156" s="388" t="s">
        <v>3679</v>
      </c>
      <c r="C156" s="14"/>
    </row>
    <row r="157" spans="1:3" x14ac:dyDescent="0.25">
      <c r="A157" s="388">
        <v>43906</v>
      </c>
      <c r="B157" s="388" t="s">
        <v>3679</v>
      </c>
      <c r="C157" s="14"/>
    </row>
    <row r="158" spans="1:3" x14ac:dyDescent="0.25">
      <c r="A158" s="388">
        <v>43906</v>
      </c>
      <c r="B158" s="388" t="s">
        <v>3679</v>
      </c>
      <c r="C158" s="14"/>
    </row>
    <row r="159" spans="1:3" x14ac:dyDescent="0.25">
      <c r="A159" s="388">
        <v>43906</v>
      </c>
      <c r="B159" s="388" t="s">
        <v>3678</v>
      </c>
      <c r="C159" s="14"/>
    </row>
    <row r="160" spans="1:3" x14ac:dyDescent="0.25">
      <c r="A160" s="388">
        <v>43906</v>
      </c>
      <c r="B160" s="388" t="s">
        <v>3679</v>
      </c>
      <c r="C160" s="14"/>
    </row>
    <row r="161" spans="1:3" x14ac:dyDescent="0.25">
      <c r="A161" s="388">
        <v>43906</v>
      </c>
      <c r="B161" s="388" t="s">
        <v>3678</v>
      </c>
      <c r="C161" s="14"/>
    </row>
    <row r="162" spans="1:3" x14ac:dyDescent="0.25">
      <c r="A162" s="388">
        <v>43906</v>
      </c>
      <c r="B162" s="388" t="s">
        <v>3679</v>
      </c>
      <c r="C162" s="14"/>
    </row>
    <row r="163" spans="1:3" x14ac:dyDescent="0.25">
      <c r="A163" s="388">
        <v>43906</v>
      </c>
      <c r="B163" s="388" t="s">
        <v>3679</v>
      </c>
      <c r="C163" s="14"/>
    </row>
    <row r="164" spans="1:3" x14ac:dyDescent="0.25">
      <c r="A164" s="388">
        <v>43906</v>
      </c>
      <c r="B164" s="388" t="s">
        <v>3679</v>
      </c>
      <c r="C164" s="14"/>
    </row>
    <row r="165" spans="1:3" x14ac:dyDescent="0.25">
      <c r="A165" s="388">
        <v>43906</v>
      </c>
      <c r="B165" s="388" t="s">
        <v>3679</v>
      </c>
      <c r="C165" s="14"/>
    </row>
    <row r="166" spans="1:3" x14ac:dyDescent="0.25">
      <c r="A166" s="388">
        <v>43906</v>
      </c>
      <c r="B166" s="388" t="s">
        <v>3679</v>
      </c>
      <c r="C166" s="14"/>
    </row>
    <row r="167" spans="1:3" x14ac:dyDescent="0.25">
      <c r="A167" s="388">
        <v>43906</v>
      </c>
      <c r="B167" s="388" t="s">
        <v>3679</v>
      </c>
      <c r="C167" s="14"/>
    </row>
    <row r="168" spans="1:3" x14ac:dyDescent="0.25">
      <c r="A168" s="388">
        <v>43906</v>
      </c>
      <c r="B168" s="388" t="s">
        <v>3679</v>
      </c>
      <c r="C168" s="14"/>
    </row>
    <row r="169" spans="1:3" x14ac:dyDescent="0.25">
      <c r="A169" s="388">
        <v>43906</v>
      </c>
      <c r="B169" s="388" t="s">
        <v>3678</v>
      </c>
      <c r="C169" s="14"/>
    </row>
    <row r="170" spans="1:3" x14ac:dyDescent="0.25">
      <c r="A170" s="388">
        <v>43906</v>
      </c>
      <c r="B170" s="388" t="s">
        <v>3679</v>
      </c>
      <c r="C170" s="14"/>
    </row>
    <row r="171" spans="1:3" x14ac:dyDescent="0.25">
      <c r="A171" s="388">
        <v>43906</v>
      </c>
      <c r="B171" s="388" t="s">
        <v>3679</v>
      </c>
      <c r="C171" s="14"/>
    </row>
    <row r="172" spans="1:3" x14ac:dyDescent="0.25">
      <c r="A172" s="388">
        <v>43906</v>
      </c>
      <c r="B172" s="388" t="s">
        <v>3679</v>
      </c>
      <c r="C172" s="14"/>
    </row>
    <row r="173" spans="1:3" x14ac:dyDescent="0.25">
      <c r="A173" s="388">
        <v>43906</v>
      </c>
      <c r="B173" s="388" t="s">
        <v>3678</v>
      </c>
      <c r="C173" s="14"/>
    </row>
    <row r="174" spans="1:3" x14ac:dyDescent="0.25">
      <c r="A174" s="388">
        <v>43906</v>
      </c>
      <c r="B174" s="388" t="s">
        <v>3678</v>
      </c>
      <c r="C174" s="14"/>
    </row>
    <row r="175" spans="1:3" x14ac:dyDescent="0.25">
      <c r="A175" s="388">
        <v>43906</v>
      </c>
      <c r="B175" s="388" t="s">
        <v>3679</v>
      </c>
      <c r="C175" s="14"/>
    </row>
    <row r="176" spans="1:3" x14ac:dyDescent="0.25">
      <c r="A176" s="388">
        <v>43906</v>
      </c>
      <c r="B176" s="388" t="s">
        <v>3679</v>
      </c>
      <c r="C176" s="14"/>
    </row>
    <row r="177" spans="1:3" x14ac:dyDescent="0.25">
      <c r="A177" s="388">
        <v>43906</v>
      </c>
      <c r="B177" s="388" t="s">
        <v>3679</v>
      </c>
      <c r="C177" s="14"/>
    </row>
    <row r="178" spans="1:3" x14ac:dyDescent="0.25">
      <c r="A178" s="388">
        <v>43906</v>
      </c>
      <c r="B178" s="388" t="s">
        <v>3679</v>
      </c>
      <c r="C178" s="14"/>
    </row>
    <row r="179" spans="1:3" x14ac:dyDescent="0.25">
      <c r="A179" s="388">
        <v>43906</v>
      </c>
      <c r="B179" s="388" t="s">
        <v>3678</v>
      </c>
      <c r="C179" s="14"/>
    </row>
    <row r="180" spans="1:3" x14ac:dyDescent="0.25">
      <c r="A180" s="388">
        <v>43906</v>
      </c>
      <c r="B180" s="388" t="s">
        <v>3679</v>
      </c>
      <c r="C180" s="14"/>
    </row>
    <row r="181" spans="1:3" x14ac:dyDescent="0.25">
      <c r="A181" s="388">
        <v>43906</v>
      </c>
      <c r="B181" s="388" t="s">
        <v>3679</v>
      </c>
      <c r="C181" s="14"/>
    </row>
    <row r="182" spans="1:3" x14ac:dyDescent="0.25">
      <c r="A182" s="388">
        <v>43906</v>
      </c>
      <c r="B182" s="388" t="s">
        <v>3679</v>
      </c>
      <c r="C182" s="14"/>
    </row>
    <row r="183" spans="1:3" x14ac:dyDescent="0.25">
      <c r="A183" s="388">
        <v>43906</v>
      </c>
      <c r="B183" s="388" t="s">
        <v>3679</v>
      </c>
      <c r="C183" s="14"/>
    </row>
    <row r="184" spans="1:3" x14ac:dyDescent="0.25">
      <c r="A184" s="388">
        <v>43906</v>
      </c>
      <c r="B184" s="388" t="s">
        <v>3679</v>
      </c>
      <c r="C184" s="14"/>
    </row>
    <row r="185" spans="1:3" x14ac:dyDescent="0.25">
      <c r="A185" s="388">
        <v>43906</v>
      </c>
      <c r="B185" s="388" t="s">
        <v>3679</v>
      </c>
      <c r="C185" s="14"/>
    </row>
    <row r="186" spans="1:3" x14ac:dyDescent="0.25">
      <c r="A186" s="388">
        <v>43906</v>
      </c>
      <c r="B186" s="388" t="s">
        <v>3678</v>
      </c>
      <c r="C186" s="14"/>
    </row>
    <row r="187" spans="1:3" x14ac:dyDescent="0.25">
      <c r="A187" s="388">
        <v>43906</v>
      </c>
      <c r="B187" s="388" t="s">
        <v>3678</v>
      </c>
      <c r="C187" s="14"/>
    </row>
    <row r="188" spans="1:3" x14ac:dyDescent="0.25">
      <c r="A188" s="388">
        <v>43906</v>
      </c>
      <c r="B188" s="388" t="s">
        <v>3679</v>
      </c>
      <c r="C188" s="14"/>
    </row>
    <row r="189" spans="1:3" x14ac:dyDescent="0.25">
      <c r="A189" s="388">
        <v>43906</v>
      </c>
      <c r="B189" s="388" t="s">
        <v>3679</v>
      </c>
      <c r="C189" s="14"/>
    </row>
    <row r="190" spans="1:3" x14ac:dyDescent="0.25">
      <c r="A190" s="388">
        <v>43906</v>
      </c>
      <c r="B190" s="388" t="s">
        <v>3678</v>
      </c>
      <c r="C190" s="14"/>
    </row>
    <row r="191" spans="1:3" x14ac:dyDescent="0.25">
      <c r="A191" s="388">
        <v>43906</v>
      </c>
      <c r="B191" s="388" t="s">
        <v>3679</v>
      </c>
      <c r="C191" s="14"/>
    </row>
    <row r="192" spans="1:3" x14ac:dyDescent="0.25">
      <c r="A192" s="388">
        <v>43906</v>
      </c>
      <c r="B192" s="388" t="s">
        <v>3678</v>
      </c>
      <c r="C192" s="14"/>
    </row>
    <row r="193" spans="1:3" x14ac:dyDescent="0.25">
      <c r="A193" s="388">
        <v>43906</v>
      </c>
      <c r="B193" s="388" t="s">
        <v>3678</v>
      </c>
      <c r="C193" s="14"/>
    </row>
    <row r="194" spans="1:3" x14ac:dyDescent="0.25">
      <c r="A194" s="388">
        <v>43906</v>
      </c>
      <c r="B194" s="388" t="s">
        <v>3679</v>
      </c>
      <c r="C194" s="14"/>
    </row>
    <row r="195" spans="1:3" x14ac:dyDescent="0.25">
      <c r="A195" s="388">
        <v>43906</v>
      </c>
      <c r="B195" s="388" t="s">
        <v>3679</v>
      </c>
      <c r="C195" s="14"/>
    </row>
    <row r="196" spans="1:3" x14ac:dyDescent="0.25">
      <c r="A196" s="388">
        <v>43906</v>
      </c>
      <c r="B196" s="388" t="s">
        <v>3679</v>
      </c>
      <c r="C196" s="14"/>
    </row>
    <row r="197" spans="1:3" x14ac:dyDescent="0.25">
      <c r="A197" s="388">
        <v>43906</v>
      </c>
      <c r="B197" s="388" t="s">
        <v>3679</v>
      </c>
      <c r="C197" s="14"/>
    </row>
    <row r="198" spans="1:3" x14ac:dyDescent="0.25">
      <c r="A198" s="388">
        <v>43906</v>
      </c>
      <c r="B198" s="388" t="s">
        <v>3680</v>
      </c>
      <c r="C198" s="14"/>
    </row>
    <row r="199" spans="1:3" x14ac:dyDescent="0.25">
      <c r="A199" s="388">
        <v>43906</v>
      </c>
      <c r="B199" s="388" t="s">
        <v>3679</v>
      </c>
      <c r="C199" s="14"/>
    </row>
    <row r="200" spans="1:3" x14ac:dyDescent="0.25">
      <c r="A200" s="388">
        <v>43907</v>
      </c>
      <c r="B200" s="388" t="s">
        <v>3678</v>
      </c>
      <c r="C200" s="14"/>
    </row>
    <row r="201" spans="1:3" x14ac:dyDescent="0.25">
      <c r="A201" s="388">
        <v>43907</v>
      </c>
      <c r="B201" s="388" t="s">
        <v>3679</v>
      </c>
      <c r="C201" s="14"/>
    </row>
    <row r="202" spans="1:3" x14ac:dyDescent="0.25">
      <c r="A202" s="388">
        <v>43907</v>
      </c>
      <c r="B202" s="388" t="s">
        <v>3678</v>
      </c>
      <c r="C202" s="14"/>
    </row>
    <row r="203" spans="1:3" x14ac:dyDescent="0.25">
      <c r="A203" s="388">
        <v>43907</v>
      </c>
      <c r="B203" s="388" t="s">
        <v>3679</v>
      </c>
      <c r="C203" s="14"/>
    </row>
    <row r="204" spans="1:3" x14ac:dyDescent="0.25">
      <c r="A204" s="388">
        <v>43907</v>
      </c>
      <c r="B204" s="388" t="s">
        <v>3678</v>
      </c>
      <c r="C204" s="14"/>
    </row>
    <row r="205" spans="1:3" x14ac:dyDescent="0.25">
      <c r="A205" s="388">
        <v>43907</v>
      </c>
      <c r="B205" s="388" t="s">
        <v>3678</v>
      </c>
      <c r="C205" s="14"/>
    </row>
    <row r="206" spans="1:3" x14ac:dyDescent="0.25">
      <c r="A206" s="388">
        <v>43907</v>
      </c>
      <c r="B206" s="388" t="s">
        <v>3680</v>
      </c>
      <c r="C206" s="14"/>
    </row>
    <row r="207" spans="1:3" x14ac:dyDescent="0.25">
      <c r="A207" s="388">
        <v>43907</v>
      </c>
      <c r="B207" s="388" t="s">
        <v>3679</v>
      </c>
      <c r="C207" s="14"/>
    </row>
    <row r="208" spans="1:3" x14ac:dyDescent="0.25">
      <c r="A208" s="388">
        <v>43907</v>
      </c>
      <c r="B208" s="388" t="s">
        <v>3681</v>
      </c>
      <c r="C208" s="14"/>
    </row>
    <row r="209" spans="1:3" x14ac:dyDescent="0.25">
      <c r="A209" s="388">
        <v>43907</v>
      </c>
      <c r="B209" s="388" t="s">
        <v>3679</v>
      </c>
      <c r="C209" s="14"/>
    </row>
    <row r="210" spans="1:3" x14ac:dyDescent="0.25">
      <c r="A210" s="388">
        <v>43907</v>
      </c>
      <c r="B210" s="388" t="s">
        <v>3679</v>
      </c>
      <c r="C210" s="14"/>
    </row>
    <row r="211" spans="1:3" x14ac:dyDescent="0.25">
      <c r="A211" s="388">
        <v>43907</v>
      </c>
      <c r="B211" s="388" t="s">
        <v>3679</v>
      </c>
      <c r="C211" s="14"/>
    </row>
    <row r="212" spans="1:3" x14ac:dyDescent="0.25">
      <c r="A212" s="388">
        <v>43907</v>
      </c>
      <c r="B212" s="388" t="s">
        <v>3679</v>
      </c>
      <c r="C212" s="14"/>
    </row>
    <row r="213" spans="1:3" x14ac:dyDescent="0.25">
      <c r="A213" s="388">
        <v>43907</v>
      </c>
      <c r="B213" s="388" t="s">
        <v>3679</v>
      </c>
      <c r="C213" s="14"/>
    </row>
    <row r="214" spans="1:3" x14ac:dyDescent="0.25">
      <c r="A214" s="388">
        <v>43907</v>
      </c>
      <c r="B214" s="388" t="s">
        <v>3679</v>
      </c>
      <c r="C214" s="14"/>
    </row>
    <row r="215" spans="1:3" x14ac:dyDescent="0.25">
      <c r="A215" s="388">
        <v>43907</v>
      </c>
      <c r="B215" s="388" t="s">
        <v>3679</v>
      </c>
      <c r="C215" s="14"/>
    </row>
    <row r="216" spans="1:3" x14ac:dyDescent="0.25">
      <c r="A216" s="388">
        <v>43907</v>
      </c>
      <c r="B216" s="388" t="s">
        <v>3679</v>
      </c>
      <c r="C216" s="14"/>
    </row>
    <row r="217" spans="1:3" x14ac:dyDescent="0.25">
      <c r="A217" s="388">
        <v>43907</v>
      </c>
      <c r="B217" s="388" t="s">
        <v>3678</v>
      </c>
      <c r="C217" s="14"/>
    </row>
    <row r="218" spans="1:3" x14ac:dyDescent="0.25">
      <c r="A218" s="388">
        <v>43907</v>
      </c>
      <c r="B218" s="388" t="s">
        <v>3678</v>
      </c>
      <c r="C218" s="14"/>
    </row>
    <row r="219" spans="1:3" x14ac:dyDescent="0.25">
      <c r="A219" s="388">
        <v>43907</v>
      </c>
      <c r="B219" s="388" t="s">
        <v>3678</v>
      </c>
      <c r="C219" s="14"/>
    </row>
    <row r="220" spans="1:3" x14ac:dyDescent="0.25">
      <c r="A220" s="388">
        <v>43907</v>
      </c>
      <c r="B220" s="388" t="s">
        <v>3678</v>
      </c>
      <c r="C220" s="14"/>
    </row>
    <row r="221" spans="1:3" x14ac:dyDescent="0.25">
      <c r="A221" s="388">
        <v>43907</v>
      </c>
      <c r="B221" s="388" t="s">
        <v>3679</v>
      </c>
      <c r="C221" s="14"/>
    </row>
    <row r="222" spans="1:3" x14ac:dyDescent="0.25">
      <c r="A222" s="388">
        <v>43907</v>
      </c>
      <c r="B222" s="388" t="s">
        <v>3680</v>
      </c>
      <c r="C222" s="14"/>
    </row>
    <row r="223" spans="1:3" x14ac:dyDescent="0.25">
      <c r="A223" s="388">
        <v>43907</v>
      </c>
      <c r="B223" s="388" t="s">
        <v>3678</v>
      </c>
      <c r="C223" s="14"/>
    </row>
    <row r="224" spans="1:3" x14ac:dyDescent="0.25">
      <c r="A224" s="388">
        <v>43907</v>
      </c>
      <c r="B224" s="388" t="s">
        <v>3678</v>
      </c>
      <c r="C224" s="14"/>
    </row>
    <row r="225" spans="1:3" x14ac:dyDescent="0.25">
      <c r="A225" s="388">
        <v>43907</v>
      </c>
      <c r="B225" s="388" t="s">
        <v>3678</v>
      </c>
      <c r="C225" s="14"/>
    </row>
    <row r="226" spans="1:3" x14ac:dyDescent="0.25">
      <c r="A226" s="388">
        <v>43907</v>
      </c>
      <c r="B226" s="388" t="s">
        <v>3679</v>
      </c>
      <c r="C226" s="14"/>
    </row>
    <row r="227" spans="1:3" x14ac:dyDescent="0.25">
      <c r="A227" s="388">
        <v>43907</v>
      </c>
      <c r="B227" s="388" t="s">
        <v>3680</v>
      </c>
      <c r="C227" s="14"/>
    </row>
    <row r="228" spans="1:3" x14ac:dyDescent="0.25">
      <c r="A228" s="388">
        <v>43907</v>
      </c>
      <c r="B228" s="388" t="s">
        <v>3678</v>
      </c>
      <c r="C228" s="14"/>
    </row>
    <row r="229" spans="1:3" x14ac:dyDescent="0.25">
      <c r="A229" s="388">
        <v>43907</v>
      </c>
      <c r="B229" s="388" t="s">
        <v>3678</v>
      </c>
      <c r="C229" s="14"/>
    </row>
    <row r="230" spans="1:3" x14ac:dyDescent="0.25">
      <c r="A230" s="388">
        <v>43907</v>
      </c>
      <c r="B230" s="388" t="s">
        <v>3678</v>
      </c>
      <c r="C230" s="14"/>
    </row>
    <row r="231" spans="1:3" x14ac:dyDescent="0.25">
      <c r="A231" s="388">
        <v>43907</v>
      </c>
      <c r="B231" s="388" t="s">
        <v>3678</v>
      </c>
      <c r="C231" s="14"/>
    </row>
    <row r="232" spans="1:3" x14ac:dyDescent="0.25">
      <c r="A232" s="388">
        <v>43907</v>
      </c>
      <c r="B232" s="388" t="s">
        <v>3678</v>
      </c>
      <c r="C232" s="14"/>
    </row>
    <row r="233" spans="1:3" x14ac:dyDescent="0.25">
      <c r="A233" s="388">
        <v>43907</v>
      </c>
      <c r="B233" s="388" t="s">
        <v>3679</v>
      </c>
      <c r="C233" s="14"/>
    </row>
    <row r="234" spans="1:3" x14ac:dyDescent="0.25">
      <c r="A234" s="388">
        <v>43907</v>
      </c>
      <c r="B234" s="388" t="s">
        <v>3679</v>
      </c>
      <c r="C234" s="14"/>
    </row>
    <row r="235" spans="1:3" x14ac:dyDescent="0.25">
      <c r="A235" s="388">
        <v>43907</v>
      </c>
      <c r="B235" s="388" t="s">
        <v>3679</v>
      </c>
      <c r="C235" s="14"/>
    </row>
    <row r="236" spans="1:3" x14ac:dyDescent="0.25">
      <c r="A236" s="388">
        <v>43907</v>
      </c>
      <c r="B236" s="388" t="s">
        <v>3679</v>
      </c>
      <c r="C236" s="14"/>
    </row>
    <row r="237" spans="1:3" x14ac:dyDescent="0.25">
      <c r="A237" s="388">
        <v>43907</v>
      </c>
      <c r="B237" s="388" t="s">
        <v>3679</v>
      </c>
      <c r="C237" s="14"/>
    </row>
    <row r="238" spans="1:3" x14ac:dyDescent="0.25">
      <c r="A238" s="388">
        <v>43907</v>
      </c>
      <c r="B238" s="388" t="s">
        <v>3678</v>
      </c>
      <c r="C238" s="14"/>
    </row>
    <row r="239" spans="1:3" x14ac:dyDescent="0.25">
      <c r="A239" s="388">
        <v>43907</v>
      </c>
      <c r="B239" s="388" t="s">
        <v>3680</v>
      </c>
      <c r="C239" s="14"/>
    </row>
    <row r="240" spans="1:3" x14ac:dyDescent="0.25">
      <c r="A240" s="388">
        <v>43907</v>
      </c>
      <c r="B240" s="388" t="s">
        <v>3679</v>
      </c>
      <c r="C240" s="14"/>
    </row>
    <row r="241" spans="1:3" x14ac:dyDescent="0.25">
      <c r="A241" s="388">
        <v>43907</v>
      </c>
      <c r="B241" s="388" t="s">
        <v>3680</v>
      </c>
      <c r="C241" s="14"/>
    </row>
    <row r="242" spans="1:3" x14ac:dyDescent="0.25">
      <c r="A242" s="388">
        <v>43907</v>
      </c>
      <c r="B242" s="388" t="s">
        <v>3679</v>
      </c>
      <c r="C242" s="14"/>
    </row>
    <row r="243" spans="1:3" x14ac:dyDescent="0.25">
      <c r="A243" s="388">
        <v>43907</v>
      </c>
      <c r="B243" s="388" t="s">
        <v>3678</v>
      </c>
      <c r="C243" s="14"/>
    </row>
    <row r="244" spans="1:3" x14ac:dyDescent="0.25">
      <c r="A244" s="388">
        <v>43907</v>
      </c>
      <c r="B244" s="388" t="s">
        <v>3679</v>
      </c>
      <c r="C244" s="14"/>
    </row>
    <row r="245" spans="1:3" x14ac:dyDescent="0.25">
      <c r="A245" s="388">
        <v>43907</v>
      </c>
      <c r="B245" s="388" t="s">
        <v>3679</v>
      </c>
      <c r="C245" s="14"/>
    </row>
    <row r="246" spans="1:3" x14ac:dyDescent="0.25">
      <c r="A246" s="388">
        <v>43907</v>
      </c>
      <c r="B246" s="388" t="s">
        <v>3680</v>
      </c>
      <c r="C246" s="14"/>
    </row>
    <row r="247" spans="1:3" x14ac:dyDescent="0.25">
      <c r="A247" s="388">
        <v>43907</v>
      </c>
      <c r="B247" s="388" t="s">
        <v>3678</v>
      </c>
      <c r="C247" s="14"/>
    </row>
    <row r="248" spans="1:3" x14ac:dyDescent="0.25">
      <c r="A248" s="388">
        <v>43907</v>
      </c>
      <c r="B248" s="388" t="s">
        <v>3678</v>
      </c>
      <c r="C248" s="14"/>
    </row>
    <row r="249" spans="1:3" x14ac:dyDescent="0.25">
      <c r="A249" s="388">
        <v>43907</v>
      </c>
      <c r="B249" s="388" t="s">
        <v>3679</v>
      </c>
      <c r="C249" s="14"/>
    </row>
    <row r="250" spans="1:3" x14ac:dyDescent="0.25">
      <c r="A250" s="388">
        <v>43907</v>
      </c>
      <c r="B250" s="388" t="s">
        <v>3679</v>
      </c>
      <c r="C250" s="14"/>
    </row>
    <row r="251" spans="1:3" x14ac:dyDescent="0.25">
      <c r="A251" s="388">
        <v>43907</v>
      </c>
      <c r="B251" s="388" t="s">
        <v>3678</v>
      </c>
      <c r="C251" s="14"/>
    </row>
    <row r="252" spans="1:3" x14ac:dyDescent="0.25">
      <c r="A252" s="388">
        <v>43907</v>
      </c>
      <c r="B252" s="388" t="s">
        <v>3678</v>
      </c>
      <c r="C252" s="14"/>
    </row>
    <row r="253" spans="1:3" x14ac:dyDescent="0.25">
      <c r="A253" s="388">
        <v>43907</v>
      </c>
      <c r="B253" s="388" t="s">
        <v>3679</v>
      </c>
      <c r="C253" s="14"/>
    </row>
    <row r="254" spans="1:3" x14ac:dyDescent="0.25">
      <c r="A254" s="388">
        <v>43908</v>
      </c>
      <c r="B254" s="388" t="s">
        <v>3678</v>
      </c>
      <c r="C254" s="14"/>
    </row>
    <row r="255" spans="1:3" x14ac:dyDescent="0.25">
      <c r="A255" s="388">
        <v>43908</v>
      </c>
      <c r="B255" s="388" t="s">
        <v>3679</v>
      </c>
      <c r="C255" s="14"/>
    </row>
    <row r="256" spans="1:3" x14ac:dyDescent="0.25">
      <c r="A256" s="388">
        <v>43908</v>
      </c>
      <c r="B256" s="388" t="s">
        <v>3678</v>
      </c>
      <c r="C256" s="14"/>
    </row>
    <row r="257" spans="1:3" x14ac:dyDescent="0.25">
      <c r="A257" s="388">
        <v>43908</v>
      </c>
      <c r="B257" s="388" t="s">
        <v>3679</v>
      </c>
      <c r="C257" s="14"/>
    </row>
    <row r="258" spans="1:3" x14ac:dyDescent="0.25">
      <c r="A258" s="388">
        <v>43908</v>
      </c>
      <c r="B258" s="388" t="s">
        <v>3678</v>
      </c>
      <c r="C258" s="14"/>
    </row>
    <row r="259" spans="1:3" x14ac:dyDescent="0.25">
      <c r="A259" s="388">
        <v>43908</v>
      </c>
      <c r="B259" s="388" t="s">
        <v>3679</v>
      </c>
      <c r="C259" s="14"/>
    </row>
    <row r="260" spans="1:3" x14ac:dyDescent="0.25">
      <c r="A260" s="388">
        <v>43908</v>
      </c>
      <c r="B260" s="388" t="s">
        <v>3678</v>
      </c>
      <c r="C260" s="14"/>
    </row>
    <row r="261" spans="1:3" x14ac:dyDescent="0.25">
      <c r="A261" s="388">
        <v>43908</v>
      </c>
      <c r="B261" s="388" t="s">
        <v>3679</v>
      </c>
      <c r="C261" s="14"/>
    </row>
    <row r="262" spans="1:3" x14ac:dyDescent="0.25">
      <c r="A262" s="388">
        <v>43908</v>
      </c>
      <c r="B262" s="388" t="s">
        <v>3681</v>
      </c>
      <c r="C262" s="14"/>
    </row>
    <row r="263" spans="1:3" x14ac:dyDescent="0.25">
      <c r="A263" s="388">
        <v>43908</v>
      </c>
      <c r="B263" s="388" t="s">
        <v>3679</v>
      </c>
      <c r="C263" s="14"/>
    </row>
    <row r="264" spans="1:3" x14ac:dyDescent="0.25">
      <c r="A264" s="388">
        <v>43908</v>
      </c>
      <c r="B264" s="388" t="s">
        <v>3678</v>
      </c>
      <c r="C264" s="14"/>
    </row>
    <row r="265" spans="1:3" x14ac:dyDescent="0.25">
      <c r="A265" s="388">
        <v>43908</v>
      </c>
      <c r="B265" s="388" t="s">
        <v>3679</v>
      </c>
      <c r="C265" s="14"/>
    </row>
    <row r="266" spans="1:3" x14ac:dyDescent="0.25">
      <c r="A266" s="388">
        <v>43908</v>
      </c>
      <c r="B266" s="388" t="s">
        <v>3679</v>
      </c>
      <c r="C266" s="14"/>
    </row>
    <row r="267" spans="1:3" x14ac:dyDescent="0.25">
      <c r="A267" s="388">
        <v>43908</v>
      </c>
      <c r="B267" s="388" t="s">
        <v>3679</v>
      </c>
      <c r="C267" s="14"/>
    </row>
    <row r="268" spans="1:3" x14ac:dyDescent="0.25">
      <c r="A268" s="388">
        <v>43908</v>
      </c>
      <c r="B268" s="388" t="s">
        <v>3678</v>
      </c>
      <c r="C268" s="14"/>
    </row>
    <row r="269" spans="1:3" x14ac:dyDescent="0.25">
      <c r="A269" s="388">
        <v>43908</v>
      </c>
      <c r="B269" s="388" t="s">
        <v>3679</v>
      </c>
      <c r="C269" s="14"/>
    </row>
    <row r="270" spans="1:3" x14ac:dyDescent="0.25">
      <c r="A270" s="388">
        <v>43908</v>
      </c>
      <c r="B270" s="388" t="s">
        <v>3679</v>
      </c>
      <c r="C270" s="14"/>
    </row>
    <row r="271" spans="1:3" x14ac:dyDescent="0.25">
      <c r="A271" s="388">
        <v>43908</v>
      </c>
      <c r="B271" s="388" t="s">
        <v>3678</v>
      </c>
      <c r="C271" s="14"/>
    </row>
    <row r="272" spans="1:3" x14ac:dyDescent="0.25">
      <c r="A272" s="388">
        <v>43908</v>
      </c>
      <c r="B272" s="388" t="s">
        <v>3679</v>
      </c>
      <c r="C272" s="14"/>
    </row>
    <row r="273" spans="1:3" x14ac:dyDescent="0.25">
      <c r="A273" s="388">
        <v>43908</v>
      </c>
      <c r="B273" s="388" t="s">
        <v>3680</v>
      </c>
      <c r="C273" s="14"/>
    </row>
    <row r="274" spans="1:3" x14ac:dyDescent="0.25">
      <c r="A274" s="388">
        <v>43908</v>
      </c>
      <c r="B274" s="388" t="s">
        <v>3678</v>
      </c>
      <c r="C274" s="14"/>
    </row>
    <row r="275" spans="1:3" x14ac:dyDescent="0.25">
      <c r="A275" s="388">
        <v>43908</v>
      </c>
      <c r="B275" s="388" t="s">
        <v>3678</v>
      </c>
      <c r="C275" s="14"/>
    </row>
    <row r="276" spans="1:3" x14ac:dyDescent="0.25">
      <c r="A276" s="388">
        <v>43908</v>
      </c>
      <c r="B276" s="388" t="s">
        <v>3679</v>
      </c>
      <c r="C276" s="14"/>
    </row>
    <row r="277" spans="1:3" x14ac:dyDescent="0.25">
      <c r="A277" s="388">
        <v>43908</v>
      </c>
      <c r="B277" s="388" t="s">
        <v>3679</v>
      </c>
      <c r="C277" s="14"/>
    </row>
    <row r="278" spans="1:3" x14ac:dyDescent="0.25">
      <c r="A278" s="388">
        <v>43908</v>
      </c>
      <c r="B278" s="388" t="s">
        <v>3678</v>
      </c>
      <c r="C278" s="14"/>
    </row>
    <row r="279" spans="1:3" x14ac:dyDescent="0.25">
      <c r="A279" s="388">
        <v>43908</v>
      </c>
      <c r="B279" s="388" t="s">
        <v>3679</v>
      </c>
      <c r="C279" s="14"/>
    </row>
    <row r="280" spans="1:3" x14ac:dyDescent="0.25">
      <c r="A280" s="388">
        <v>43908</v>
      </c>
      <c r="B280" s="388" t="s">
        <v>3679</v>
      </c>
      <c r="C280" s="14"/>
    </row>
    <row r="281" spans="1:3" x14ac:dyDescent="0.25">
      <c r="A281" s="388">
        <v>43908</v>
      </c>
      <c r="B281" s="388" t="s">
        <v>3679</v>
      </c>
      <c r="C281" s="14"/>
    </row>
    <row r="282" spans="1:3" x14ac:dyDescent="0.25">
      <c r="A282" s="388">
        <v>43908</v>
      </c>
      <c r="B282" s="388" t="s">
        <v>3679</v>
      </c>
      <c r="C282" s="14"/>
    </row>
    <row r="283" spans="1:3" x14ac:dyDescent="0.25">
      <c r="A283" s="388">
        <v>43908</v>
      </c>
      <c r="B283" s="388" t="s">
        <v>3679</v>
      </c>
      <c r="C283" s="14"/>
    </row>
    <row r="284" spans="1:3" x14ac:dyDescent="0.25">
      <c r="A284" s="388">
        <v>43908</v>
      </c>
      <c r="B284" s="388" t="s">
        <v>3678</v>
      </c>
      <c r="C284" s="14"/>
    </row>
    <row r="285" spans="1:3" x14ac:dyDescent="0.25">
      <c r="A285" s="388">
        <v>43908</v>
      </c>
      <c r="B285" s="388" t="s">
        <v>3678</v>
      </c>
      <c r="C285" s="14"/>
    </row>
    <row r="286" spans="1:3" x14ac:dyDescent="0.25">
      <c r="A286" s="388">
        <v>43908</v>
      </c>
      <c r="B286" s="388" t="s">
        <v>3678</v>
      </c>
      <c r="C286" s="14"/>
    </row>
    <row r="287" spans="1:3" x14ac:dyDescent="0.25">
      <c r="A287" s="388">
        <v>43908</v>
      </c>
      <c r="B287" s="388" t="s">
        <v>3679</v>
      </c>
      <c r="C287" s="14"/>
    </row>
    <row r="288" spans="1:3" x14ac:dyDescent="0.25">
      <c r="A288" s="388">
        <v>43908</v>
      </c>
      <c r="B288" s="388" t="s">
        <v>3678</v>
      </c>
      <c r="C288" s="14"/>
    </row>
    <row r="289" spans="1:3" x14ac:dyDescent="0.25">
      <c r="A289" s="388">
        <v>43908</v>
      </c>
      <c r="B289" s="388" t="s">
        <v>3678</v>
      </c>
      <c r="C289" s="14"/>
    </row>
    <row r="290" spans="1:3" x14ac:dyDescent="0.25">
      <c r="A290" s="388">
        <v>43908</v>
      </c>
      <c r="B290" s="388" t="s">
        <v>3679</v>
      </c>
      <c r="C290" s="14"/>
    </row>
    <row r="291" spans="1:3" x14ac:dyDescent="0.25">
      <c r="A291" s="388">
        <v>43908</v>
      </c>
      <c r="B291" s="388" t="s">
        <v>3678</v>
      </c>
      <c r="C291" s="14"/>
    </row>
    <row r="292" spans="1:3" x14ac:dyDescent="0.25">
      <c r="A292" s="388">
        <v>43908</v>
      </c>
      <c r="B292" s="388" t="s">
        <v>3678</v>
      </c>
      <c r="C292" s="14"/>
    </row>
    <row r="293" spans="1:3" x14ac:dyDescent="0.25">
      <c r="A293" s="388">
        <v>43908</v>
      </c>
      <c r="B293" s="388" t="s">
        <v>3679</v>
      </c>
      <c r="C293" s="14"/>
    </row>
    <row r="294" spans="1:3" x14ac:dyDescent="0.25">
      <c r="A294" s="388">
        <v>43908</v>
      </c>
      <c r="B294" s="388" t="s">
        <v>3679</v>
      </c>
      <c r="C294" s="14"/>
    </row>
    <row r="295" spans="1:3" x14ac:dyDescent="0.25">
      <c r="A295" s="388">
        <v>43908</v>
      </c>
      <c r="B295" s="388" t="s">
        <v>3679</v>
      </c>
      <c r="C295" s="14"/>
    </row>
    <row r="296" spans="1:3" x14ac:dyDescent="0.25">
      <c r="A296" s="388">
        <v>43908</v>
      </c>
      <c r="B296" s="388" t="s">
        <v>3679</v>
      </c>
      <c r="C296" s="14"/>
    </row>
    <row r="297" spans="1:3" x14ac:dyDescent="0.25">
      <c r="A297" s="388">
        <v>43908</v>
      </c>
      <c r="B297" s="388" t="s">
        <v>3679</v>
      </c>
      <c r="C297" s="14"/>
    </row>
    <row r="298" spans="1:3" x14ac:dyDescent="0.25">
      <c r="A298" s="388">
        <v>43908</v>
      </c>
      <c r="B298" s="388" t="s">
        <v>3678</v>
      </c>
      <c r="C298" s="14"/>
    </row>
    <row r="299" spans="1:3" x14ac:dyDescent="0.25">
      <c r="A299" s="388">
        <v>43908</v>
      </c>
      <c r="B299" s="388" t="s">
        <v>3679</v>
      </c>
      <c r="C299" s="14"/>
    </row>
    <row r="300" spans="1:3" x14ac:dyDescent="0.25">
      <c r="A300" s="388">
        <v>43908</v>
      </c>
      <c r="B300" s="388" t="s">
        <v>3678</v>
      </c>
      <c r="C300" s="14"/>
    </row>
    <row r="301" spans="1:3" x14ac:dyDescent="0.25">
      <c r="A301" s="388">
        <v>43908</v>
      </c>
      <c r="B301" s="388" t="s">
        <v>3679</v>
      </c>
      <c r="C301" s="14"/>
    </row>
    <row r="302" spans="1:3" x14ac:dyDescent="0.25">
      <c r="A302" s="388">
        <v>43908</v>
      </c>
      <c r="B302" s="388" t="s">
        <v>3679</v>
      </c>
      <c r="C302" s="14"/>
    </row>
    <row r="303" spans="1:3" x14ac:dyDescent="0.25">
      <c r="A303" s="388">
        <v>43908</v>
      </c>
      <c r="B303" s="388" t="s">
        <v>3679</v>
      </c>
      <c r="C303" s="14"/>
    </row>
    <row r="304" spans="1:3" x14ac:dyDescent="0.25">
      <c r="A304" s="388">
        <v>43908</v>
      </c>
      <c r="B304" s="388" t="s">
        <v>3679</v>
      </c>
      <c r="C304" s="14"/>
    </row>
    <row r="305" spans="1:3" x14ac:dyDescent="0.25">
      <c r="A305" s="388">
        <v>43908</v>
      </c>
      <c r="B305" s="388" t="s">
        <v>3678</v>
      </c>
      <c r="C305" s="14"/>
    </row>
    <row r="306" spans="1:3" x14ac:dyDescent="0.25">
      <c r="A306" s="388">
        <v>43908</v>
      </c>
      <c r="B306" s="388" t="s">
        <v>3679</v>
      </c>
      <c r="C306" s="14"/>
    </row>
    <row r="307" spans="1:3" x14ac:dyDescent="0.25">
      <c r="A307" s="388">
        <v>43908</v>
      </c>
      <c r="B307" s="388" t="s">
        <v>3679</v>
      </c>
      <c r="C307" s="14"/>
    </row>
    <row r="308" spans="1:3" x14ac:dyDescent="0.25">
      <c r="A308" s="388">
        <v>43908</v>
      </c>
      <c r="B308" s="388" t="s">
        <v>3678</v>
      </c>
      <c r="C308" s="14"/>
    </row>
    <row r="309" spans="1:3" x14ac:dyDescent="0.25">
      <c r="A309" s="388">
        <v>43908</v>
      </c>
      <c r="B309" s="388" t="s">
        <v>3679</v>
      </c>
      <c r="C309" s="14"/>
    </row>
    <row r="310" spans="1:3" x14ac:dyDescent="0.25">
      <c r="A310" s="388">
        <v>43908</v>
      </c>
      <c r="B310" s="388" t="s">
        <v>3679</v>
      </c>
      <c r="C310" s="14"/>
    </row>
    <row r="311" spans="1:3" x14ac:dyDescent="0.25">
      <c r="A311" s="388">
        <v>43908</v>
      </c>
      <c r="B311" s="388" t="s">
        <v>3679</v>
      </c>
      <c r="C311" s="14"/>
    </row>
    <row r="312" spans="1:3" x14ac:dyDescent="0.25">
      <c r="A312" s="388">
        <v>43908</v>
      </c>
      <c r="B312" s="388" t="s">
        <v>3679</v>
      </c>
      <c r="C312" s="14"/>
    </row>
    <row r="313" spans="1:3" x14ac:dyDescent="0.25">
      <c r="A313" s="388">
        <v>43908</v>
      </c>
      <c r="B313" s="388" t="s">
        <v>3678</v>
      </c>
      <c r="C313" s="14"/>
    </row>
    <row r="314" spans="1:3" x14ac:dyDescent="0.25">
      <c r="A314" s="388">
        <v>43908</v>
      </c>
      <c r="B314" s="388" t="s">
        <v>3678</v>
      </c>
      <c r="C314" s="14"/>
    </row>
    <row r="315" spans="1:3" x14ac:dyDescent="0.25">
      <c r="A315" s="388">
        <v>43908</v>
      </c>
      <c r="B315" s="388" t="s">
        <v>3679</v>
      </c>
      <c r="C315" s="14"/>
    </row>
    <row r="316" spans="1:3" x14ac:dyDescent="0.25">
      <c r="A316" s="388">
        <v>43908</v>
      </c>
      <c r="B316" s="388" t="s">
        <v>3679</v>
      </c>
      <c r="C316" s="14"/>
    </row>
    <row r="317" spans="1:3" x14ac:dyDescent="0.25">
      <c r="A317" s="388">
        <v>43908</v>
      </c>
      <c r="B317" s="388" t="s">
        <v>3679</v>
      </c>
      <c r="C317" s="14"/>
    </row>
    <row r="318" spans="1:3" x14ac:dyDescent="0.25">
      <c r="A318" s="388">
        <v>43909</v>
      </c>
      <c r="B318" s="388" t="s">
        <v>3679</v>
      </c>
      <c r="C318" s="14"/>
    </row>
    <row r="319" spans="1:3" x14ac:dyDescent="0.25">
      <c r="A319" s="388">
        <v>43909</v>
      </c>
      <c r="B319" s="388" t="s">
        <v>3679</v>
      </c>
      <c r="C319" s="14"/>
    </row>
    <row r="320" spans="1:3" x14ac:dyDescent="0.25">
      <c r="A320" s="388">
        <v>43909</v>
      </c>
      <c r="B320" s="388" t="s">
        <v>3679</v>
      </c>
      <c r="C320" s="14"/>
    </row>
    <row r="321" spans="1:3" x14ac:dyDescent="0.25">
      <c r="A321" s="388">
        <v>43909</v>
      </c>
      <c r="B321" s="388" t="s">
        <v>3679</v>
      </c>
      <c r="C321" s="14"/>
    </row>
    <row r="322" spans="1:3" x14ac:dyDescent="0.25">
      <c r="A322" s="388">
        <v>43909</v>
      </c>
      <c r="B322" s="388" t="s">
        <v>3679</v>
      </c>
      <c r="C322" s="14"/>
    </row>
    <row r="323" spans="1:3" x14ac:dyDescent="0.25">
      <c r="A323" s="388">
        <v>43909</v>
      </c>
      <c r="B323" s="388" t="s">
        <v>3679</v>
      </c>
      <c r="C323" s="14"/>
    </row>
    <row r="324" spans="1:3" x14ac:dyDescent="0.25">
      <c r="A324" s="388">
        <v>43909</v>
      </c>
      <c r="B324" s="388" t="s">
        <v>3679</v>
      </c>
      <c r="C324" s="14"/>
    </row>
    <row r="325" spans="1:3" x14ac:dyDescent="0.25">
      <c r="A325" s="388">
        <v>43909</v>
      </c>
      <c r="B325" s="388" t="s">
        <v>3678</v>
      </c>
      <c r="C325" s="14"/>
    </row>
    <row r="326" spans="1:3" x14ac:dyDescent="0.25">
      <c r="A326" s="388">
        <v>43909</v>
      </c>
      <c r="B326" s="388" t="s">
        <v>3679</v>
      </c>
      <c r="C326" s="14"/>
    </row>
    <row r="327" spans="1:3" x14ac:dyDescent="0.25">
      <c r="A327" s="388">
        <v>43909</v>
      </c>
      <c r="B327" s="388" t="s">
        <v>3678</v>
      </c>
      <c r="C327" s="14"/>
    </row>
    <row r="328" spans="1:3" x14ac:dyDescent="0.25">
      <c r="A328" s="388">
        <v>43909</v>
      </c>
      <c r="B328" s="388" t="s">
        <v>3679</v>
      </c>
      <c r="C328" s="14"/>
    </row>
    <row r="329" spans="1:3" x14ac:dyDescent="0.25">
      <c r="A329" s="388">
        <v>43909</v>
      </c>
      <c r="B329" s="388" t="s">
        <v>3678</v>
      </c>
      <c r="C329" s="14"/>
    </row>
    <row r="330" spans="1:3" x14ac:dyDescent="0.25">
      <c r="A330" s="388">
        <v>43909</v>
      </c>
      <c r="B330" s="388" t="s">
        <v>3679</v>
      </c>
      <c r="C330" s="14"/>
    </row>
    <row r="331" spans="1:3" x14ac:dyDescent="0.25">
      <c r="A331" s="388">
        <v>43909</v>
      </c>
      <c r="B331" s="388" t="s">
        <v>3678</v>
      </c>
      <c r="C331" s="14"/>
    </row>
    <row r="332" spans="1:3" x14ac:dyDescent="0.25">
      <c r="A332" s="388">
        <v>43909</v>
      </c>
      <c r="B332" s="388" t="s">
        <v>3679</v>
      </c>
      <c r="C332" s="14"/>
    </row>
    <row r="333" spans="1:3" x14ac:dyDescent="0.25">
      <c r="A333" s="388">
        <v>43909</v>
      </c>
      <c r="B333" s="388" t="s">
        <v>3678</v>
      </c>
      <c r="C333" s="14"/>
    </row>
    <row r="334" spans="1:3" x14ac:dyDescent="0.25">
      <c r="A334" s="388">
        <v>43909</v>
      </c>
      <c r="B334" s="388" t="s">
        <v>3679</v>
      </c>
      <c r="C334" s="14"/>
    </row>
    <row r="335" spans="1:3" x14ac:dyDescent="0.25">
      <c r="A335" s="388">
        <v>43909</v>
      </c>
      <c r="B335" s="388" t="s">
        <v>3679</v>
      </c>
      <c r="C335" s="14"/>
    </row>
    <row r="336" spans="1:3" x14ac:dyDescent="0.25">
      <c r="A336" s="388">
        <v>43909</v>
      </c>
      <c r="B336" s="388" t="s">
        <v>3680</v>
      </c>
      <c r="C336" s="14"/>
    </row>
    <row r="337" spans="1:3" x14ac:dyDescent="0.25">
      <c r="A337" s="388">
        <v>43909</v>
      </c>
      <c r="B337" s="388" t="s">
        <v>3678</v>
      </c>
      <c r="C337" s="14"/>
    </row>
    <row r="338" spans="1:3" x14ac:dyDescent="0.25">
      <c r="A338" s="388">
        <v>43909</v>
      </c>
      <c r="B338" s="388" t="s">
        <v>3679</v>
      </c>
      <c r="C338" s="14"/>
    </row>
    <row r="339" spans="1:3" x14ac:dyDescent="0.25">
      <c r="A339" s="388">
        <v>43909</v>
      </c>
      <c r="B339" s="388" t="s">
        <v>3679</v>
      </c>
      <c r="C339" s="14"/>
    </row>
    <row r="340" spans="1:3" x14ac:dyDescent="0.25">
      <c r="A340" s="388">
        <v>43909</v>
      </c>
      <c r="B340" s="388" t="s">
        <v>3678</v>
      </c>
      <c r="C340" s="14"/>
    </row>
    <row r="341" spans="1:3" x14ac:dyDescent="0.25">
      <c r="A341" s="388">
        <v>43909</v>
      </c>
      <c r="B341" s="388" t="s">
        <v>3679</v>
      </c>
      <c r="C341" s="14"/>
    </row>
    <row r="342" spans="1:3" x14ac:dyDescent="0.25">
      <c r="A342" s="388">
        <v>43909</v>
      </c>
      <c r="B342" s="388" t="s">
        <v>3679</v>
      </c>
      <c r="C342" s="14"/>
    </row>
    <row r="343" spans="1:3" x14ac:dyDescent="0.25">
      <c r="A343" s="388">
        <v>43909</v>
      </c>
      <c r="B343" s="388" t="s">
        <v>3680</v>
      </c>
      <c r="C343" s="14"/>
    </row>
    <row r="344" spans="1:3" x14ac:dyDescent="0.25">
      <c r="A344" s="388">
        <v>43909</v>
      </c>
      <c r="B344" s="388" t="s">
        <v>3679</v>
      </c>
      <c r="C344" s="14"/>
    </row>
    <row r="345" spans="1:3" x14ac:dyDescent="0.25">
      <c r="A345" s="388">
        <v>43909</v>
      </c>
      <c r="B345" s="388" t="s">
        <v>3679</v>
      </c>
      <c r="C345" s="14"/>
    </row>
    <row r="346" spans="1:3" x14ac:dyDescent="0.25">
      <c r="A346" s="388">
        <v>43909</v>
      </c>
      <c r="B346" s="388" t="s">
        <v>3679</v>
      </c>
      <c r="C346" s="14"/>
    </row>
    <row r="347" spans="1:3" x14ac:dyDescent="0.25">
      <c r="A347" s="388">
        <v>43909</v>
      </c>
      <c r="B347" s="388" t="s">
        <v>3679</v>
      </c>
      <c r="C347" s="14"/>
    </row>
    <row r="348" spans="1:3" x14ac:dyDescent="0.25">
      <c r="A348" s="388">
        <v>43909</v>
      </c>
      <c r="B348" s="388" t="s">
        <v>3679</v>
      </c>
      <c r="C348" s="14"/>
    </row>
    <row r="349" spans="1:3" x14ac:dyDescent="0.25">
      <c r="A349" s="388">
        <v>43909</v>
      </c>
      <c r="B349" s="388" t="s">
        <v>3679</v>
      </c>
      <c r="C349" s="14"/>
    </row>
    <row r="350" spans="1:3" x14ac:dyDescent="0.25">
      <c r="A350" s="388">
        <v>43909</v>
      </c>
      <c r="B350" s="388" t="s">
        <v>3679</v>
      </c>
      <c r="C350" s="14"/>
    </row>
    <row r="351" spans="1:3" x14ac:dyDescent="0.25">
      <c r="A351" s="388">
        <v>43909</v>
      </c>
      <c r="B351" s="388" t="s">
        <v>3679</v>
      </c>
      <c r="C351" s="14"/>
    </row>
    <row r="352" spans="1:3" x14ac:dyDescent="0.25">
      <c r="A352" s="388">
        <v>43909</v>
      </c>
      <c r="B352" s="388" t="s">
        <v>3679</v>
      </c>
      <c r="C352" s="14"/>
    </row>
    <row r="353" spans="1:3" x14ac:dyDescent="0.25">
      <c r="A353" s="388">
        <v>43909</v>
      </c>
      <c r="B353" s="388" t="s">
        <v>3679</v>
      </c>
      <c r="C353" s="14"/>
    </row>
    <row r="354" spans="1:3" x14ac:dyDescent="0.25">
      <c r="A354" s="388">
        <v>43909</v>
      </c>
      <c r="B354" s="388" t="s">
        <v>3679</v>
      </c>
      <c r="C354" s="14"/>
    </row>
    <row r="355" spans="1:3" x14ac:dyDescent="0.25">
      <c r="A355" s="388">
        <v>43909</v>
      </c>
      <c r="B355" s="388" t="s">
        <v>3680</v>
      </c>
      <c r="C355" s="14"/>
    </row>
    <row r="356" spans="1:3" x14ac:dyDescent="0.25">
      <c r="A356" s="388">
        <v>43909</v>
      </c>
      <c r="B356" s="388" t="s">
        <v>3679</v>
      </c>
      <c r="C356" s="14"/>
    </row>
    <row r="357" spans="1:3" x14ac:dyDescent="0.25">
      <c r="A357" s="388">
        <v>43909</v>
      </c>
      <c r="B357" s="388" t="s">
        <v>3679</v>
      </c>
      <c r="C357" s="14"/>
    </row>
    <row r="358" spans="1:3" x14ac:dyDescent="0.25">
      <c r="A358" s="388">
        <v>43909</v>
      </c>
      <c r="B358" s="388" t="s">
        <v>3679</v>
      </c>
      <c r="C358" s="14"/>
    </row>
    <row r="359" spans="1:3" x14ac:dyDescent="0.25">
      <c r="A359" s="388">
        <v>43909</v>
      </c>
      <c r="B359" s="388" t="s">
        <v>3678</v>
      </c>
      <c r="C359" s="14"/>
    </row>
    <row r="360" spans="1:3" x14ac:dyDescent="0.25">
      <c r="A360" s="388">
        <v>43909</v>
      </c>
      <c r="B360" s="388" t="s">
        <v>3679</v>
      </c>
      <c r="C360" s="14"/>
    </row>
    <row r="361" spans="1:3" x14ac:dyDescent="0.25">
      <c r="A361" s="388">
        <v>43909</v>
      </c>
      <c r="B361" s="388" t="s">
        <v>3680</v>
      </c>
      <c r="C361" s="14"/>
    </row>
    <row r="362" spans="1:3" x14ac:dyDescent="0.25">
      <c r="A362" s="388">
        <v>43909</v>
      </c>
      <c r="B362" s="388" t="s">
        <v>3680</v>
      </c>
      <c r="C362" s="14"/>
    </row>
    <row r="363" spans="1:3" x14ac:dyDescent="0.25">
      <c r="A363" s="388">
        <v>43909</v>
      </c>
      <c r="B363" s="388" t="s">
        <v>3679</v>
      </c>
      <c r="C363" s="14"/>
    </row>
    <row r="364" spans="1:3" x14ac:dyDescent="0.25">
      <c r="A364" s="388">
        <v>43909</v>
      </c>
      <c r="B364" s="388" t="s">
        <v>3679</v>
      </c>
      <c r="C364" s="14"/>
    </row>
    <row r="365" spans="1:3" x14ac:dyDescent="0.25">
      <c r="A365" s="388">
        <v>43909</v>
      </c>
      <c r="B365" s="388" t="s">
        <v>3679</v>
      </c>
      <c r="C365" s="14"/>
    </row>
    <row r="366" spans="1:3" x14ac:dyDescent="0.25">
      <c r="A366" s="388">
        <v>43909</v>
      </c>
      <c r="B366" s="388" t="s">
        <v>3679</v>
      </c>
      <c r="C366" s="14"/>
    </row>
    <row r="367" spans="1:3" x14ac:dyDescent="0.25">
      <c r="A367" s="388">
        <v>43909</v>
      </c>
      <c r="B367" s="388" t="s">
        <v>3679</v>
      </c>
      <c r="C367" s="14"/>
    </row>
    <row r="368" spans="1:3" x14ac:dyDescent="0.25">
      <c r="A368" s="388">
        <v>43909</v>
      </c>
      <c r="B368" s="388" t="s">
        <v>3679</v>
      </c>
      <c r="C368" s="14"/>
    </row>
    <row r="369" spans="1:3" x14ac:dyDescent="0.25">
      <c r="A369" s="388">
        <v>43909</v>
      </c>
      <c r="B369" s="388" t="s">
        <v>3679</v>
      </c>
      <c r="C369" s="14"/>
    </row>
    <row r="370" spans="1:3" x14ac:dyDescent="0.25">
      <c r="A370" s="388">
        <v>43909</v>
      </c>
      <c r="B370" s="388" t="s">
        <v>3679</v>
      </c>
      <c r="C370" s="14"/>
    </row>
    <row r="371" spans="1:3" x14ac:dyDescent="0.25">
      <c r="A371" s="388">
        <v>43909</v>
      </c>
      <c r="B371" s="388" t="s">
        <v>3679</v>
      </c>
      <c r="C371" s="14"/>
    </row>
    <row r="372" spans="1:3" x14ac:dyDescent="0.25">
      <c r="A372" s="388">
        <v>43909</v>
      </c>
      <c r="B372" s="388" t="s">
        <v>3679</v>
      </c>
      <c r="C372" s="14"/>
    </row>
    <row r="373" spans="1:3" x14ac:dyDescent="0.25">
      <c r="A373" s="388">
        <v>43909</v>
      </c>
      <c r="B373" s="388" t="s">
        <v>3679</v>
      </c>
      <c r="C373" s="14"/>
    </row>
    <row r="374" spans="1:3" x14ac:dyDescent="0.25">
      <c r="A374" s="388">
        <v>43909</v>
      </c>
      <c r="B374" s="388" t="s">
        <v>3678</v>
      </c>
      <c r="C374" s="14"/>
    </row>
    <row r="375" spans="1:3" x14ac:dyDescent="0.25">
      <c r="A375" s="388">
        <v>43909</v>
      </c>
      <c r="B375" s="388" t="s">
        <v>3678</v>
      </c>
      <c r="C375" s="14"/>
    </row>
    <row r="376" spans="1:3" x14ac:dyDescent="0.25">
      <c r="A376" s="388">
        <v>43909</v>
      </c>
      <c r="B376" s="388" t="s">
        <v>3679</v>
      </c>
      <c r="C376" s="14"/>
    </row>
    <row r="377" spans="1:3" x14ac:dyDescent="0.25">
      <c r="A377" s="388">
        <v>43909</v>
      </c>
      <c r="B377" s="388" t="s">
        <v>3679</v>
      </c>
      <c r="C377" s="14"/>
    </row>
    <row r="378" spans="1:3" x14ac:dyDescent="0.25">
      <c r="A378" s="388">
        <v>43909</v>
      </c>
      <c r="B378" s="388" t="s">
        <v>3678</v>
      </c>
      <c r="C378" s="14"/>
    </row>
    <row r="379" spans="1:3" x14ac:dyDescent="0.25">
      <c r="A379" s="388">
        <v>43909</v>
      </c>
      <c r="B379" s="388" t="s">
        <v>3679</v>
      </c>
      <c r="C379" s="14"/>
    </row>
    <row r="380" spans="1:3" x14ac:dyDescent="0.25">
      <c r="A380" s="388">
        <v>43909</v>
      </c>
      <c r="B380" s="388" t="s">
        <v>3679</v>
      </c>
      <c r="C380" s="14"/>
    </row>
    <row r="381" spans="1:3" x14ac:dyDescent="0.25">
      <c r="A381" s="388">
        <v>43909</v>
      </c>
      <c r="B381" s="388" t="s">
        <v>3679</v>
      </c>
      <c r="C381" s="14"/>
    </row>
    <row r="382" spans="1:3" x14ac:dyDescent="0.25">
      <c r="A382" s="388">
        <v>43909</v>
      </c>
      <c r="B382" s="388" t="s">
        <v>3678</v>
      </c>
      <c r="C382" s="14"/>
    </row>
    <row r="383" spans="1:3" x14ac:dyDescent="0.25">
      <c r="A383" s="388">
        <v>43909</v>
      </c>
      <c r="B383" s="388" t="s">
        <v>3679</v>
      </c>
      <c r="C383" s="14"/>
    </row>
    <row r="384" spans="1:3" x14ac:dyDescent="0.25">
      <c r="A384" s="388">
        <v>43909</v>
      </c>
      <c r="B384" s="388" t="s">
        <v>3678</v>
      </c>
      <c r="C384" s="14"/>
    </row>
    <row r="385" spans="1:3" x14ac:dyDescent="0.25">
      <c r="A385" s="388">
        <v>43909</v>
      </c>
      <c r="B385" s="388" t="s">
        <v>3679</v>
      </c>
      <c r="C385" s="14"/>
    </row>
    <row r="386" spans="1:3" x14ac:dyDescent="0.25">
      <c r="A386" s="388">
        <v>43909</v>
      </c>
      <c r="B386" s="388" t="s">
        <v>3679</v>
      </c>
      <c r="C386" s="14"/>
    </row>
    <row r="387" spans="1:3" x14ac:dyDescent="0.25">
      <c r="A387" s="388">
        <v>43909</v>
      </c>
      <c r="B387" s="388" t="s">
        <v>3679</v>
      </c>
      <c r="C387" s="14"/>
    </row>
    <row r="388" spans="1:3" x14ac:dyDescent="0.25">
      <c r="A388" s="388">
        <v>43909</v>
      </c>
      <c r="B388" s="388" t="s">
        <v>3679</v>
      </c>
      <c r="C388" s="14"/>
    </row>
    <row r="389" spans="1:3" x14ac:dyDescent="0.25">
      <c r="A389" s="388">
        <v>43909</v>
      </c>
      <c r="B389" s="388" t="s">
        <v>3678</v>
      </c>
      <c r="C389" s="14"/>
    </row>
    <row r="390" spans="1:3" x14ac:dyDescent="0.25">
      <c r="A390" s="388">
        <v>43909</v>
      </c>
      <c r="B390" s="388" t="s">
        <v>3679</v>
      </c>
      <c r="C390" s="14"/>
    </row>
    <row r="391" spans="1:3" x14ac:dyDescent="0.25">
      <c r="A391" s="388">
        <v>43909</v>
      </c>
      <c r="B391" s="388" t="s">
        <v>3679</v>
      </c>
      <c r="C391" s="14"/>
    </row>
    <row r="392" spans="1:3" x14ac:dyDescent="0.25">
      <c r="A392" s="388">
        <v>43909</v>
      </c>
      <c r="B392" s="388" t="s">
        <v>3679</v>
      </c>
      <c r="C392" s="14"/>
    </row>
    <row r="393" spans="1:3" x14ac:dyDescent="0.25">
      <c r="A393" s="388">
        <v>43910</v>
      </c>
      <c r="B393" s="388" t="s">
        <v>3679</v>
      </c>
      <c r="C393" s="14"/>
    </row>
    <row r="394" spans="1:3" x14ac:dyDescent="0.25">
      <c r="A394" s="388">
        <v>43910</v>
      </c>
      <c r="B394" s="388" t="s">
        <v>3679</v>
      </c>
      <c r="C394" s="14"/>
    </row>
    <row r="395" spans="1:3" x14ac:dyDescent="0.25">
      <c r="A395" s="388">
        <v>43910</v>
      </c>
      <c r="B395" s="388" t="s">
        <v>3679</v>
      </c>
      <c r="C395" s="14"/>
    </row>
    <row r="396" spans="1:3" x14ac:dyDescent="0.25">
      <c r="A396" s="388">
        <v>43910</v>
      </c>
      <c r="B396" s="388" t="s">
        <v>3678</v>
      </c>
      <c r="C396" s="14"/>
    </row>
    <row r="397" spans="1:3" x14ac:dyDescent="0.25">
      <c r="A397" s="388">
        <v>43910</v>
      </c>
      <c r="B397" s="388" t="s">
        <v>3679</v>
      </c>
      <c r="C397" s="14"/>
    </row>
    <row r="398" spans="1:3" x14ac:dyDescent="0.25">
      <c r="A398" s="388">
        <v>43910</v>
      </c>
      <c r="B398" s="388" t="s">
        <v>3679</v>
      </c>
      <c r="C398" s="14"/>
    </row>
    <row r="399" spans="1:3" x14ac:dyDescent="0.25">
      <c r="A399" s="388">
        <v>43910</v>
      </c>
      <c r="B399" s="388" t="s">
        <v>3679</v>
      </c>
      <c r="C399" s="14"/>
    </row>
    <row r="400" spans="1:3" x14ac:dyDescent="0.25">
      <c r="A400" s="388">
        <v>43910</v>
      </c>
      <c r="B400" s="388" t="s">
        <v>3679</v>
      </c>
      <c r="C400" s="14"/>
    </row>
    <row r="401" spans="1:3" x14ac:dyDescent="0.25">
      <c r="A401" s="388">
        <v>43910</v>
      </c>
      <c r="B401" s="388" t="s">
        <v>3679</v>
      </c>
      <c r="C401" s="14"/>
    </row>
    <row r="402" spans="1:3" x14ac:dyDescent="0.25">
      <c r="A402" s="388">
        <v>43910</v>
      </c>
      <c r="B402" s="388" t="s">
        <v>3678</v>
      </c>
      <c r="C402" s="14"/>
    </row>
    <row r="403" spans="1:3" x14ac:dyDescent="0.25">
      <c r="A403" s="388">
        <v>43910</v>
      </c>
      <c r="B403" s="388" t="s">
        <v>3678</v>
      </c>
      <c r="C403" s="14"/>
    </row>
    <row r="404" spans="1:3" x14ac:dyDescent="0.25">
      <c r="A404" s="388">
        <v>43910</v>
      </c>
      <c r="B404" s="388" t="s">
        <v>3678</v>
      </c>
      <c r="C404" s="14"/>
    </row>
    <row r="405" spans="1:3" x14ac:dyDescent="0.25">
      <c r="A405" s="388">
        <v>43910</v>
      </c>
      <c r="B405" s="388" t="s">
        <v>3678</v>
      </c>
      <c r="C405" s="14"/>
    </row>
    <row r="406" spans="1:3" x14ac:dyDescent="0.25">
      <c r="A406" s="388">
        <v>43910</v>
      </c>
      <c r="B406" s="388" t="s">
        <v>3678</v>
      </c>
      <c r="C406" s="14"/>
    </row>
    <row r="407" spans="1:3" x14ac:dyDescent="0.25">
      <c r="A407" s="388">
        <v>43910</v>
      </c>
      <c r="B407" s="388" t="s">
        <v>3679</v>
      </c>
      <c r="C407" s="14"/>
    </row>
    <row r="408" spans="1:3" x14ac:dyDescent="0.25">
      <c r="A408" s="388">
        <v>43910</v>
      </c>
      <c r="B408" s="388" t="s">
        <v>3679</v>
      </c>
      <c r="C408" s="14"/>
    </row>
    <row r="409" spans="1:3" x14ac:dyDescent="0.25">
      <c r="A409" s="388">
        <v>43910</v>
      </c>
      <c r="B409" s="388" t="s">
        <v>3678</v>
      </c>
      <c r="C409" s="14"/>
    </row>
    <row r="410" spans="1:3" x14ac:dyDescent="0.25">
      <c r="A410" s="388">
        <v>43910</v>
      </c>
      <c r="B410" s="388" t="s">
        <v>3679</v>
      </c>
      <c r="C410" s="14"/>
    </row>
    <row r="411" spans="1:3" x14ac:dyDescent="0.25">
      <c r="A411" s="388">
        <v>43910</v>
      </c>
      <c r="B411" s="388" t="s">
        <v>3679</v>
      </c>
      <c r="C411" s="14"/>
    </row>
    <row r="412" spans="1:3" x14ac:dyDescent="0.25">
      <c r="A412" s="388">
        <v>43910</v>
      </c>
      <c r="B412" s="388" t="s">
        <v>3680</v>
      </c>
      <c r="C412" s="14"/>
    </row>
    <row r="413" spans="1:3" x14ac:dyDescent="0.25">
      <c r="A413" s="388">
        <v>43910</v>
      </c>
      <c r="B413" s="388" t="s">
        <v>3679</v>
      </c>
      <c r="C413" s="14"/>
    </row>
    <row r="414" spans="1:3" x14ac:dyDescent="0.25">
      <c r="A414" s="388">
        <v>43910</v>
      </c>
      <c r="B414" s="388" t="s">
        <v>3678</v>
      </c>
      <c r="C414" s="14"/>
    </row>
    <row r="415" spans="1:3" x14ac:dyDescent="0.25">
      <c r="A415" s="388">
        <v>43910</v>
      </c>
      <c r="B415" s="388" t="s">
        <v>3680</v>
      </c>
      <c r="C415" s="14"/>
    </row>
    <row r="416" spans="1:3" x14ac:dyDescent="0.25">
      <c r="A416" s="388">
        <v>43910</v>
      </c>
      <c r="B416" s="388" t="s">
        <v>3679</v>
      </c>
      <c r="C416" s="14"/>
    </row>
    <row r="417" spans="1:3" x14ac:dyDescent="0.25">
      <c r="A417" s="388">
        <v>43910</v>
      </c>
      <c r="B417" s="388" t="s">
        <v>3679</v>
      </c>
      <c r="C417" s="14"/>
    </row>
    <row r="418" spans="1:3" x14ac:dyDescent="0.25">
      <c r="A418" s="388">
        <v>43910</v>
      </c>
      <c r="B418" s="388" t="s">
        <v>3680</v>
      </c>
      <c r="C418" s="14"/>
    </row>
    <row r="419" spans="1:3" x14ac:dyDescent="0.25">
      <c r="A419" s="388">
        <v>43910</v>
      </c>
      <c r="B419" s="388" t="s">
        <v>3678</v>
      </c>
      <c r="C419" s="14"/>
    </row>
    <row r="420" spans="1:3" x14ac:dyDescent="0.25">
      <c r="A420" s="388">
        <v>43910</v>
      </c>
      <c r="B420" s="388" t="s">
        <v>3680</v>
      </c>
      <c r="C420" s="14"/>
    </row>
    <row r="421" spans="1:3" x14ac:dyDescent="0.25">
      <c r="A421" s="388">
        <v>43910</v>
      </c>
      <c r="B421" s="388" t="s">
        <v>3679</v>
      </c>
      <c r="C421" s="14"/>
    </row>
    <row r="422" spans="1:3" x14ac:dyDescent="0.25">
      <c r="A422" s="388">
        <v>43910</v>
      </c>
      <c r="B422" s="388" t="s">
        <v>3679</v>
      </c>
      <c r="C422" s="14"/>
    </row>
    <row r="423" spans="1:3" x14ac:dyDescent="0.25">
      <c r="A423" s="388">
        <v>43910</v>
      </c>
      <c r="B423" s="388" t="s">
        <v>3680</v>
      </c>
      <c r="C423" s="14"/>
    </row>
    <row r="424" spans="1:3" x14ac:dyDescent="0.25">
      <c r="A424" s="388">
        <v>43910</v>
      </c>
      <c r="B424" s="388" t="s">
        <v>3678</v>
      </c>
      <c r="C424" s="14"/>
    </row>
    <row r="425" spans="1:3" x14ac:dyDescent="0.25">
      <c r="A425" s="388">
        <v>43910</v>
      </c>
      <c r="B425" s="388" t="s">
        <v>3679</v>
      </c>
      <c r="C425" s="14"/>
    </row>
    <row r="426" spans="1:3" x14ac:dyDescent="0.25">
      <c r="A426" s="388">
        <v>43910</v>
      </c>
      <c r="B426" s="388" t="s">
        <v>3678</v>
      </c>
      <c r="C426" s="14"/>
    </row>
    <row r="427" spans="1:3" x14ac:dyDescent="0.25">
      <c r="A427" s="388">
        <v>43910</v>
      </c>
      <c r="B427" s="388" t="s">
        <v>3679</v>
      </c>
      <c r="C427" s="14"/>
    </row>
    <row r="428" spans="1:3" x14ac:dyDescent="0.25">
      <c r="A428" s="388">
        <v>43910</v>
      </c>
      <c r="B428" s="388" t="s">
        <v>3680</v>
      </c>
      <c r="C428" s="14"/>
    </row>
    <row r="429" spans="1:3" x14ac:dyDescent="0.25">
      <c r="A429" s="388">
        <v>43910</v>
      </c>
      <c r="B429" s="388" t="s">
        <v>3679</v>
      </c>
      <c r="C429" s="14"/>
    </row>
    <row r="430" spans="1:3" x14ac:dyDescent="0.25">
      <c r="A430" s="388">
        <v>43910</v>
      </c>
      <c r="B430" s="388" t="s">
        <v>3679</v>
      </c>
      <c r="C430" s="14"/>
    </row>
    <row r="431" spans="1:3" x14ac:dyDescent="0.25">
      <c r="A431" s="388">
        <v>43910</v>
      </c>
      <c r="B431" s="388" t="s">
        <v>3680</v>
      </c>
      <c r="C431" s="14"/>
    </row>
    <row r="432" spans="1:3" x14ac:dyDescent="0.25">
      <c r="A432" s="388">
        <v>43910</v>
      </c>
      <c r="B432" s="388" t="s">
        <v>3679</v>
      </c>
      <c r="C432" s="14"/>
    </row>
    <row r="433" spans="1:3" x14ac:dyDescent="0.25">
      <c r="A433" s="388">
        <v>43910</v>
      </c>
      <c r="B433" s="388" t="s">
        <v>3679</v>
      </c>
      <c r="C433" s="14"/>
    </row>
    <row r="434" spans="1:3" x14ac:dyDescent="0.25">
      <c r="A434" s="388">
        <v>43910</v>
      </c>
      <c r="B434" s="388" t="s">
        <v>3679</v>
      </c>
      <c r="C434" s="14"/>
    </row>
    <row r="435" spans="1:3" x14ac:dyDescent="0.25">
      <c r="A435" s="388">
        <v>43910</v>
      </c>
      <c r="B435" s="388" t="s">
        <v>3679</v>
      </c>
      <c r="C435" s="14"/>
    </row>
    <row r="436" spans="1:3" x14ac:dyDescent="0.25">
      <c r="A436" s="388">
        <v>43910</v>
      </c>
      <c r="B436" s="388" t="s">
        <v>3679</v>
      </c>
      <c r="C436" s="14"/>
    </row>
    <row r="437" spans="1:3" x14ac:dyDescent="0.25">
      <c r="A437" s="388">
        <v>43910</v>
      </c>
      <c r="B437" s="388" t="s">
        <v>3680</v>
      </c>
      <c r="C437" s="14"/>
    </row>
    <row r="438" spans="1:3" x14ac:dyDescent="0.25">
      <c r="A438" s="388">
        <v>43910</v>
      </c>
      <c r="B438" s="388" t="s">
        <v>3678</v>
      </c>
      <c r="C438" s="14"/>
    </row>
    <row r="439" spans="1:3" x14ac:dyDescent="0.25">
      <c r="A439" s="388">
        <v>43910</v>
      </c>
      <c r="B439" s="388" t="s">
        <v>3679</v>
      </c>
      <c r="C439" s="14"/>
    </row>
    <row r="440" spans="1:3" x14ac:dyDescent="0.25">
      <c r="A440" s="388">
        <v>43910</v>
      </c>
      <c r="B440" s="388" t="s">
        <v>3679</v>
      </c>
      <c r="C440" s="14"/>
    </row>
    <row r="441" spans="1:3" x14ac:dyDescent="0.25">
      <c r="A441" s="388">
        <v>43910</v>
      </c>
      <c r="B441" s="388" t="s">
        <v>3679</v>
      </c>
      <c r="C441" s="14"/>
    </row>
    <row r="442" spans="1:3" x14ac:dyDescent="0.25">
      <c r="A442" s="388">
        <v>43910</v>
      </c>
      <c r="B442" s="388" t="s">
        <v>3678</v>
      </c>
      <c r="C442" s="14"/>
    </row>
    <row r="443" spans="1:3" x14ac:dyDescent="0.25">
      <c r="A443" s="388">
        <v>43910</v>
      </c>
      <c r="B443" s="388" t="s">
        <v>3678</v>
      </c>
      <c r="C443" s="14"/>
    </row>
    <row r="444" spans="1:3" x14ac:dyDescent="0.25">
      <c r="A444" s="388">
        <v>43910</v>
      </c>
      <c r="B444" s="388" t="s">
        <v>3679</v>
      </c>
      <c r="C444" s="14"/>
    </row>
    <row r="445" spans="1:3" x14ac:dyDescent="0.25">
      <c r="A445" s="388">
        <v>43910</v>
      </c>
      <c r="B445" s="388" t="s">
        <v>3679</v>
      </c>
      <c r="C445" s="14"/>
    </row>
    <row r="446" spans="1:3" x14ac:dyDescent="0.25">
      <c r="A446" s="388">
        <v>43910</v>
      </c>
      <c r="B446" s="388" t="s">
        <v>3678</v>
      </c>
      <c r="C446" s="14"/>
    </row>
    <row r="447" spans="1:3" x14ac:dyDescent="0.25">
      <c r="A447" s="388">
        <v>43910</v>
      </c>
      <c r="B447" s="388" t="s">
        <v>3679</v>
      </c>
      <c r="C447" s="14"/>
    </row>
    <row r="448" spans="1:3" x14ac:dyDescent="0.25">
      <c r="A448" s="388">
        <v>43910</v>
      </c>
      <c r="B448" s="388" t="s">
        <v>3678</v>
      </c>
      <c r="C448" s="14"/>
    </row>
    <row r="449" spans="1:3" x14ac:dyDescent="0.25">
      <c r="A449" s="388">
        <v>43910</v>
      </c>
      <c r="B449" s="388" t="s">
        <v>3679</v>
      </c>
      <c r="C449" s="14"/>
    </row>
    <row r="450" spans="1:3" x14ac:dyDescent="0.25">
      <c r="A450" s="388">
        <v>43910</v>
      </c>
      <c r="B450" s="388" t="s">
        <v>3678</v>
      </c>
      <c r="C450" s="14"/>
    </row>
    <row r="451" spans="1:3" x14ac:dyDescent="0.25">
      <c r="A451" s="388">
        <v>43910</v>
      </c>
      <c r="B451" s="388" t="s">
        <v>3679</v>
      </c>
      <c r="C451" s="14"/>
    </row>
    <row r="452" spans="1:3" x14ac:dyDescent="0.25">
      <c r="A452" s="388">
        <v>43910</v>
      </c>
      <c r="B452" s="388" t="s">
        <v>3678</v>
      </c>
      <c r="C452" s="14"/>
    </row>
    <row r="453" spans="1:3" x14ac:dyDescent="0.25">
      <c r="A453" s="388">
        <v>43910</v>
      </c>
      <c r="B453" s="388" t="s">
        <v>3679</v>
      </c>
      <c r="C453" s="14"/>
    </row>
    <row r="454" spans="1:3" x14ac:dyDescent="0.25">
      <c r="A454" s="388">
        <v>43910</v>
      </c>
      <c r="B454" s="388" t="s">
        <v>3679</v>
      </c>
      <c r="C454" s="14"/>
    </row>
    <row r="455" spans="1:3" x14ac:dyDescent="0.25">
      <c r="A455" s="388">
        <v>43910</v>
      </c>
      <c r="B455" s="388" t="s">
        <v>3678</v>
      </c>
      <c r="C455" s="14"/>
    </row>
    <row r="456" spans="1:3" x14ac:dyDescent="0.25">
      <c r="A456" s="388">
        <v>43910</v>
      </c>
      <c r="B456" s="388" t="s">
        <v>3678</v>
      </c>
      <c r="C456" s="14"/>
    </row>
    <row r="457" spans="1:3" x14ac:dyDescent="0.25">
      <c r="A457" s="388">
        <v>43910</v>
      </c>
      <c r="B457" s="388" t="s">
        <v>3679</v>
      </c>
      <c r="C457" s="14"/>
    </row>
    <row r="458" spans="1:3" x14ac:dyDescent="0.25">
      <c r="A458" s="388">
        <v>43910</v>
      </c>
      <c r="B458" s="388" t="s">
        <v>3678</v>
      </c>
      <c r="C458" s="14"/>
    </row>
    <row r="459" spans="1:3" x14ac:dyDescent="0.25">
      <c r="A459" s="388">
        <v>43910</v>
      </c>
      <c r="B459" s="388" t="s">
        <v>3680</v>
      </c>
      <c r="C459" s="14"/>
    </row>
    <row r="460" spans="1:3" x14ac:dyDescent="0.25">
      <c r="A460" s="388">
        <v>43910</v>
      </c>
      <c r="B460" s="388" t="s">
        <v>3678</v>
      </c>
      <c r="C460" s="14"/>
    </row>
    <row r="461" spans="1:3" x14ac:dyDescent="0.25">
      <c r="A461" s="388">
        <v>43910</v>
      </c>
      <c r="B461" s="388" t="s">
        <v>3678</v>
      </c>
      <c r="C461" s="14"/>
    </row>
    <row r="462" spans="1:3" x14ac:dyDescent="0.25">
      <c r="A462" s="388">
        <v>43910</v>
      </c>
      <c r="B462" s="388" t="s">
        <v>3679</v>
      </c>
      <c r="C462" s="14"/>
    </row>
    <row r="463" spans="1:3" x14ac:dyDescent="0.25">
      <c r="A463" s="388">
        <v>43910</v>
      </c>
      <c r="B463" s="388" t="s">
        <v>3679</v>
      </c>
      <c r="C463" s="14"/>
    </row>
    <row r="464" spans="1:3" x14ac:dyDescent="0.25">
      <c r="A464" s="388">
        <v>43910</v>
      </c>
      <c r="B464" s="388" t="s">
        <v>3679</v>
      </c>
      <c r="C464" s="14"/>
    </row>
    <row r="465" spans="1:3" x14ac:dyDescent="0.25">
      <c r="A465" s="388">
        <v>43910</v>
      </c>
      <c r="B465" s="388" t="s">
        <v>3680</v>
      </c>
      <c r="C465" s="14"/>
    </row>
    <row r="466" spans="1:3" x14ac:dyDescent="0.25">
      <c r="A466" s="388">
        <v>43910</v>
      </c>
      <c r="B466" s="388" t="s">
        <v>3679</v>
      </c>
      <c r="C466" s="14"/>
    </row>
    <row r="467" spans="1:3" x14ac:dyDescent="0.25">
      <c r="A467" s="388">
        <v>43910</v>
      </c>
      <c r="B467" s="388" t="s">
        <v>3679</v>
      </c>
      <c r="C467" s="14"/>
    </row>
    <row r="468" spans="1:3" x14ac:dyDescent="0.25">
      <c r="A468" s="388">
        <v>43910</v>
      </c>
      <c r="B468" s="388" t="s">
        <v>3679</v>
      </c>
      <c r="C468" s="14"/>
    </row>
    <row r="469" spans="1:3" x14ac:dyDescent="0.25">
      <c r="A469" s="388">
        <v>43910</v>
      </c>
      <c r="B469" s="388" t="s">
        <v>3679</v>
      </c>
      <c r="C469" s="14"/>
    </row>
    <row r="470" spans="1:3" x14ac:dyDescent="0.25">
      <c r="A470" s="388">
        <v>43910</v>
      </c>
      <c r="B470" s="388" t="s">
        <v>3679</v>
      </c>
      <c r="C470" s="14"/>
    </row>
    <row r="471" spans="1:3" x14ac:dyDescent="0.25">
      <c r="A471" s="388">
        <v>43910</v>
      </c>
      <c r="B471" s="388" t="s">
        <v>3679</v>
      </c>
      <c r="C471" s="14"/>
    </row>
    <row r="472" spans="1:3" x14ac:dyDescent="0.25">
      <c r="A472" s="388">
        <v>43910</v>
      </c>
      <c r="B472" s="388" t="s">
        <v>3679</v>
      </c>
      <c r="C472" s="14"/>
    </row>
    <row r="473" spans="1:3" x14ac:dyDescent="0.25">
      <c r="A473" s="388">
        <v>43910</v>
      </c>
      <c r="B473" s="388" t="s">
        <v>3679</v>
      </c>
      <c r="C473" s="14"/>
    </row>
    <row r="474" spans="1:3" x14ac:dyDescent="0.25">
      <c r="A474" s="388">
        <v>43910</v>
      </c>
      <c r="B474" s="388" t="s">
        <v>3679</v>
      </c>
      <c r="C474" s="14"/>
    </row>
    <row r="475" spans="1:3" x14ac:dyDescent="0.25">
      <c r="A475" s="388">
        <v>43910</v>
      </c>
      <c r="B475" s="388" t="s">
        <v>3679</v>
      </c>
      <c r="C475" s="14"/>
    </row>
    <row r="476" spans="1:3" x14ac:dyDescent="0.25">
      <c r="A476" s="388">
        <v>43910</v>
      </c>
      <c r="B476" s="388" t="s">
        <v>3679</v>
      </c>
      <c r="C476" s="14"/>
    </row>
    <row r="477" spans="1:3" x14ac:dyDescent="0.25">
      <c r="A477" s="388">
        <v>43910</v>
      </c>
      <c r="B477" s="388" t="s">
        <v>3679</v>
      </c>
      <c r="C477" s="14"/>
    </row>
    <row r="478" spans="1:3" x14ac:dyDescent="0.25">
      <c r="A478" s="388">
        <v>43910</v>
      </c>
      <c r="B478" s="388" t="s">
        <v>3679</v>
      </c>
      <c r="C478" s="14"/>
    </row>
    <row r="479" spans="1:3" x14ac:dyDescent="0.25">
      <c r="A479" s="388">
        <v>43910</v>
      </c>
      <c r="B479" s="388" t="s">
        <v>3679</v>
      </c>
      <c r="C479" s="14"/>
    </row>
    <row r="480" spans="1:3" x14ac:dyDescent="0.25">
      <c r="A480" s="388">
        <v>43910</v>
      </c>
      <c r="B480" s="388" t="s">
        <v>3679</v>
      </c>
      <c r="C480" s="14"/>
    </row>
    <row r="481" spans="1:3" x14ac:dyDescent="0.25">
      <c r="A481" s="388">
        <v>43910</v>
      </c>
      <c r="B481" s="388" t="s">
        <v>3679</v>
      </c>
      <c r="C481" s="14"/>
    </row>
    <row r="482" spans="1:3" x14ac:dyDescent="0.25">
      <c r="A482" s="388">
        <v>43910</v>
      </c>
      <c r="B482" s="388" t="s">
        <v>3679</v>
      </c>
      <c r="C482" s="14"/>
    </row>
    <row r="483" spans="1:3" x14ac:dyDescent="0.25">
      <c r="A483" s="388">
        <v>43910</v>
      </c>
      <c r="B483" s="388" t="s">
        <v>3678</v>
      </c>
      <c r="C483" s="14"/>
    </row>
    <row r="484" spans="1:3" x14ac:dyDescent="0.25">
      <c r="A484" s="388">
        <v>43910</v>
      </c>
      <c r="B484" s="388" t="s">
        <v>3679</v>
      </c>
      <c r="C484" s="14"/>
    </row>
    <row r="485" spans="1:3" x14ac:dyDescent="0.25">
      <c r="A485" s="388">
        <v>43910</v>
      </c>
      <c r="B485" s="388" t="s">
        <v>3679</v>
      </c>
      <c r="C485" s="14"/>
    </row>
    <row r="486" spans="1:3" x14ac:dyDescent="0.25">
      <c r="A486" s="388">
        <v>43910</v>
      </c>
      <c r="B486" s="388" t="s">
        <v>3680</v>
      </c>
      <c r="C486" s="14"/>
    </row>
    <row r="487" spans="1:3" x14ac:dyDescent="0.25">
      <c r="A487" s="388">
        <v>43910</v>
      </c>
      <c r="B487" s="388" t="s">
        <v>3679</v>
      </c>
      <c r="C487" s="14"/>
    </row>
    <row r="488" spans="1:3" x14ac:dyDescent="0.25">
      <c r="A488" s="388">
        <v>43910</v>
      </c>
      <c r="B488" s="388" t="s">
        <v>3679</v>
      </c>
      <c r="C488" s="14"/>
    </row>
    <row r="489" spans="1:3" x14ac:dyDescent="0.25">
      <c r="A489" s="388">
        <v>43910</v>
      </c>
      <c r="B489" s="388" t="s">
        <v>3679</v>
      </c>
      <c r="C489" s="14"/>
    </row>
    <row r="490" spans="1:3" x14ac:dyDescent="0.25">
      <c r="A490" s="388">
        <v>43910</v>
      </c>
      <c r="B490" s="388" t="s">
        <v>3678</v>
      </c>
      <c r="C490" s="14"/>
    </row>
    <row r="491" spans="1:3" x14ac:dyDescent="0.25">
      <c r="A491" s="388">
        <v>43910</v>
      </c>
      <c r="B491" s="388" t="s">
        <v>3678</v>
      </c>
      <c r="C491" s="14"/>
    </row>
    <row r="492" spans="1:3" x14ac:dyDescent="0.25">
      <c r="A492" s="388">
        <v>43910</v>
      </c>
      <c r="B492" s="388" t="s">
        <v>3679</v>
      </c>
      <c r="C492" s="14"/>
    </row>
    <row r="493" spans="1:3" x14ac:dyDescent="0.25">
      <c r="A493" s="388">
        <v>43910</v>
      </c>
      <c r="B493" s="388" t="s">
        <v>3679</v>
      </c>
      <c r="C493" s="14"/>
    </row>
    <row r="494" spans="1:3" x14ac:dyDescent="0.25">
      <c r="A494" s="388">
        <v>43910</v>
      </c>
      <c r="B494" s="388" t="s">
        <v>3679</v>
      </c>
      <c r="C494" s="14"/>
    </row>
    <row r="495" spans="1:3" x14ac:dyDescent="0.25">
      <c r="A495" s="388">
        <v>43910</v>
      </c>
      <c r="B495" s="388" t="s">
        <v>3678</v>
      </c>
      <c r="C495" s="14"/>
    </row>
    <row r="496" spans="1:3" x14ac:dyDescent="0.25">
      <c r="A496" s="388">
        <v>43910</v>
      </c>
      <c r="B496" s="388" t="s">
        <v>3678</v>
      </c>
      <c r="C496" s="14"/>
    </row>
    <row r="497" spans="1:3" x14ac:dyDescent="0.25">
      <c r="A497" s="388">
        <v>43910</v>
      </c>
      <c r="B497" s="388" t="s">
        <v>3679</v>
      </c>
      <c r="C497" s="14"/>
    </row>
    <row r="498" spans="1:3" x14ac:dyDescent="0.25">
      <c r="A498" s="388">
        <v>43910</v>
      </c>
      <c r="B498" s="388" t="s">
        <v>3679</v>
      </c>
      <c r="C498" s="14"/>
    </row>
    <row r="499" spans="1:3" x14ac:dyDescent="0.25">
      <c r="A499" s="388">
        <v>43910</v>
      </c>
      <c r="B499" s="388" t="s">
        <v>3678</v>
      </c>
      <c r="C499" s="14"/>
    </row>
    <row r="500" spans="1:3" x14ac:dyDescent="0.25">
      <c r="A500" s="388">
        <v>43910</v>
      </c>
      <c r="B500" s="388" t="s">
        <v>3679</v>
      </c>
      <c r="C500" s="14"/>
    </row>
    <row r="501" spans="1:3" x14ac:dyDescent="0.25">
      <c r="A501" s="388">
        <v>43910</v>
      </c>
      <c r="B501" s="388" t="s">
        <v>3680</v>
      </c>
      <c r="C501" s="14"/>
    </row>
    <row r="502" spans="1:3" x14ac:dyDescent="0.25">
      <c r="A502" s="388">
        <v>43910</v>
      </c>
      <c r="B502" s="388" t="s">
        <v>3679</v>
      </c>
      <c r="C502" s="14"/>
    </row>
    <row r="503" spans="1:3" x14ac:dyDescent="0.25">
      <c r="A503" s="388">
        <v>43910</v>
      </c>
      <c r="B503" s="388" t="s">
        <v>3679</v>
      </c>
      <c r="C503" s="14"/>
    </row>
    <row r="504" spans="1:3" x14ac:dyDescent="0.25">
      <c r="A504" s="388">
        <v>43910</v>
      </c>
      <c r="B504" s="388" t="s">
        <v>3679</v>
      </c>
      <c r="C504" s="14"/>
    </row>
    <row r="505" spans="1:3" x14ac:dyDescent="0.25">
      <c r="A505" s="388">
        <v>43910</v>
      </c>
      <c r="B505" s="388" t="s">
        <v>3679</v>
      </c>
      <c r="C505" s="14"/>
    </row>
    <row r="506" spans="1:3" x14ac:dyDescent="0.25">
      <c r="A506" s="388">
        <v>43910</v>
      </c>
      <c r="B506" s="388" t="s">
        <v>3678</v>
      </c>
      <c r="C506" s="14"/>
    </row>
    <row r="507" spans="1:3" x14ac:dyDescent="0.25">
      <c r="A507" s="388">
        <v>43910</v>
      </c>
      <c r="B507" s="388" t="s">
        <v>3678</v>
      </c>
      <c r="C507" s="14"/>
    </row>
    <row r="508" spans="1:3" x14ac:dyDescent="0.25">
      <c r="A508" s="388">
        <v>43910</v>
      </c>
      <c r="B508" s="388" t="s">
        <v>3680</v>
      </c>
      <c r="C508" s="14"/>
    </row>
    <row r="509" spans="1:3" x14ac:dyDescent="0.25">
      <c r="A509" s="388">
        <v>43910</v>
      </c>
      <c r="B509" s="388" t="s">
        <v>3679</v>
      </c>
      <c r="C509" s="14"/>
    </row>
    <row r="510" spans="1:3" x14ac:dyDescent="0.25">
      <c r="A510" s="388">
        <v>43910</v>
      </c>
      <c r="B510" s="388" t="s">
        <v>3678</v>
      </c>
      <c r="C510" s="14"/>
    </row>
    <row r="511" spans="1:3" x14ac:dyDescent="0.25">
      <c r="A511" s="388">
        <v>43910</v>
      </c>
      <c r="B511" s="388" t="s">
        <v>3679</v>
      </c>
      <c r="C511" s="14"/>
    </row>
    <row r="512" spans="1:3" x14ac:dyDescent="0.25">
      <c r="A512" s="388">
        <v>43910</v>
      </c>
      <c r="B512" s="388" t="s">
        <v>3679</v>
      </c>
      <c r="C512" s="14"/>
    </row>
    <row r="513" spans="1:3" x14ac:dyDescent="0.25">
      <c r="A513" s="388">
        <v>43910</v>
      </c>
      <c r="B513" s="388" t="s">
        <v>3679</v>
      </c>
      <c r="C513" s="14"/>
    </row>
    <row r="514" spans="1:3" x14ac:dyDescent="0.25">
      <c r="A514" s="388">
        <v>43910</v>
      </c>
      <c r="B514" s="388" t="s">
        <v>3678</v>
      </c>
      <c r="C514" s="14"/>
    </row>
    <row r="515" spans="1:3" x14ac:dyDescent="0.25">
      <c r="A515" s="388">
        <v>43910</v>
      </c>
      <c r="B515" s="388" t="s">
        <v>3678</v>
      </c>
      <c r="C515" s="14"/>
    </row>
    <row r="516" spans="1:3" x14ac:dyDescent="0.25">
      <c r="A516" s="388">
        <v>43910</v>
      </c>
      <c r="B516" s="388" t="s">
        <v>3678</v>
      </c>
      <c r="C516" s="14"/>
    </row>
    <row r="517" spans="1:3" x14ac:dyDescent="0.25">
      <c r="A517" s="388">
        <v>43910</v>
      </c>
      <c r="B517" s="388" t="s">
        <v>3679</v>
      </c>
      <c r="C517" s="14"/>
    </row>
    <row r="518" spans="1:3" x14ac:dyDescent="0.25">
      <c r="A518" s="388">
        <v>43910</v>
      </c>
      <c r="B518" s="388" t="s">
        <v>3679</v>
      </c>
      <c r="C518" s="14"/>
    </row>
    <row r="519" spans="1:3" x14ac:dyDescent="0.25">
      <c r="A519" s="388">
        <v>43910</v>
      </c>
      <c r="B519" s="388" t="s">
        <v>3679</v>
      </c>
      <c r="C519" s="14"/>
    </row>
    <row r="520" spans="1:3" x14ac:dyDescent="0.25">
      <c r="A520" s="388">
        <v>43910</v>
      </c>
      <c r="B520" s="388" t="s">
        <v>3679</v>
      </c>
      <c r="C520" s="14"/>
    </row>
    <row r="521" spans="1:3" x14ac:dyDescent="0.25">
      <c r="A521" s="388">
        <v>43910</v>
      </c>
      <c r="B521" s="388" t="s">
        <v>3679</v>
      </c>
      <c r="C521" s="14"/>
    </row>
    <row r="522" spans="1:3" x14ac:dyDescent="0.25">
      <c r="A522" s="388">
        <v>43910</v>
      </c>
      <c r="B522" s="388" t="s">
        <v>3679</v>
      </c>
      <c r="C522" s="14"/>
    </row>
    <row r="523" spans="1:3" x14ac:dyDescent="0.25">
      <c r="A523" s="388">
        <v>43910</v>
      </c>
      <c r="B523" s="388" t="s">
        <v>3679</v>
      </c>
      <c r="C523" s="14"/>
    </row>
    <row r="524" spans="1:3" x14ac:dyDescent="0.25">
      <c r="A524" s="388">
        <v>43911</v>
      </c>
      <c r="B524" s="388" t="s">
        <v>3679</v>
      </c>
      <c r="C524" s="14"/>
    </row>
    <row r="525" spans="1:3" x14ac:dyDescent="0.25">
      <c r="A525" s="388">
        <v>43911</v>
      </c>
      <c r="B525" s="388" t="s">
        <v>3679</v>
      </c>
      <c r="C525" s="14"/>
    </row>
    <row r="526" spans="1:3" x14ac:dyDescent="0.25">
      <c r="A526" s="388">
        <v>43911</v>
      </c>
      <c r="B526" s="388" t="s">
        <v>3679</v>
      </c>
      <c r="C526" s="14"/>
    </row>
    <row r="527" spans="1:3" x14ac:dyDescent="0.25">
      <c r="A527" s="388">
        <v>43911</v>
      </c>
      <c r="B527" s="388" t="s">
        <v>3679</v>
      </c>
      <c r="C527" s="14"/>
    </row>
    <row r="528" spans="1:3" x14ac:dyDescent="0.25">
      <c r="A528" s="388">
        <v>43911</v>
      </c>
      <c r="B528" s="388" t="s">
        <v>3679</v>
      </c>
      <c r="C528" s="14"/>
    </row>
    <row r="529" spans="1:3" x14ac:dyDescent="0.25">
      <c r="A529" s="388">
        <v>43911</v>
      </c>
      <c r="B529" s="388" t="s">
        <v>3679</v>
      </c>
      <c r="C529" s="14"/>
    </row>
    <row r="530" spans="1:3" x14ac:dyDescent="0.25">
      <c r="A530" s="388">
        <v>43911</v>
      </c>
      <c r="B530" s="388" t="s">
        <v>3679</v>
      </c>
      <c r="C530" s="14"/>
    </row>
    <row r="531" spans="1:3" x14ac:dyDescent="0.25">
      <c r="A531" s="388">
        <v>43911</v>
      </c>
      <c r="B531" s="388" t="s">
        <v>3679</v>
      </c>
      <c r="C531" s="14"/>
    </row>
    <row r="532" spans="1:3" x14ac:dyDescent="0.25">
      <c r="A532" s="388">
        <v>43911</v>
      </c>
      <c r="B532" s="388" t="s">
        <v>3679</v>
      </c>
      <c r="C532" s="14"/>
    </row>
    <row r="533" spans="1:3" x14ac:dyDescent="0.25">
      <c r="A533" s="388">
        <v>43911</v>
      </c>
      <c r="B533" s="388" t="s">
        <v>3679</v>
      </c>
      <c r="C533" s="14"/>
    </row>
    <row r="534" spans="1:3" x14ac:dyDescent="0.25">
      <c r="A534" s="388">
        <v>43911</v>
      </c>
      <c r="B534" s="388" t="s">
        <v>3679</v>
      </c>
      <c r="C534" s="14"/>
    </row>
    <row r="535" spans="1:3" x14ac:dyDescent="0.25">
      <c r="A535" s="388">
        <v>43911</v>
      </c>
      <c r="B535" s="388" t="s">
        <v>3679</v>
      </c>
      <c r="C535" s="14"/>
    </row>
    <row r="536" spans="1:3" x14ac:dyDescent="0.25">
      <c r="A536" s="388">
        <v>43911</v>
      </c>
      <c r="B536" s="388" t="s">
        <v>3679</v>
      </c>
      <c r="C536" s="14"/>
    </row>
    <row r="537" spans="1:3" x14ac:dyDescent="0.25">
      <c r="A537" s="388">
        <v>43911</v>
      </c>
      <c r="B537" s="388" t="s">
        <v>3679</v>
      </c>
      <c r="C537" s="14"/>
    </row>
    <row r="538" spans="1:3" x14ac:dyDescent="0.25">
      <c r="A538" s="388">
        <v>43911</v>
      </c>
      <c r="B538" s="388" t="s">
        <v>3679</v>
      </c>
      <c r="C538" s="14"/>
    </row>
    <row r="539" spans="1:3" x14ac:dyDescent="0.25">
      <c r="A539" s="388">
        <v>43911</v>
      </c>
      <c r="B539" s="388" t="s">
        <v>3680</v>
      </c>
      <c r="C539" s="14"/>
    </row>
    <row r="540" spans="1:3" x14ac:dyDescent="0.25">
      <c r="A540" s="388">
        <v>43911</v>
      </c>
      <c r="B540" s="388" t="s">
        <v>3679</v>
      </c>
      <c r="C540" s="14"/>
    </row>
    <row r="541" spans="1:3" x14ac:dyDescent="0.25">
      <c r="A541" s="388">
        <v>43911</v>
      </c>
      <c r="B541" s="388" t="s">
        <v>3679</v>
      </c>
      <c r="C541" s="14"/>
    </row>
    <row r="542" spans="1:3" x14ac:dyDescent="0.25">
      <c r="A542" s="388">
        <v>43911</v>
      </c>
      <c r="B542" s="388" t="s">
        <v>3679</v>
      </c>
      <c r="C542" s="14"/>
    </row>
    <row r="543" spans="1:3" x14ac:dyDescent="0.25">
      <c r="A543" s="388">
        <v>43911</v>
      </c>
      <c r="B543" s="388" t="s">
        <v>3679</v>
      </c>
      <c r="C543" s="14"/>
    </row>
    <row r="544" spans="1:3" x14ac:dyDescent="0.25">
      <c r="A544" s="388">
        <v>43911</v>
      </c>
      <c r="B544" s="388" t="s">
        <v>3679</v>
      </c>
      <c r="C544" s="14"/>
    </row>
    <row r="545" spans="1:3" x14ac:dyDescent="0.25">
      <c r="A545" s="388">
        <v>43911</v>
      </c>
      <c r="B545" s="388" t="s">
        <v>3679</v>
      </c>
      <c r="C545" s="14"/>
    </row>
    <row r="546" spans="1:3" x14ac:dyDescent="0.25">
      <c r="A546" s="388">
        <v>43911</v>
      </c>
      <c r="B546" s="388" t="s">
        <v>3679</v>
      </c>
      <c r="C546" s="14"/>
    </row>
    <row r="547" spans="1:3" x14ac:dyDescent="0.25">
      <c r="A547" s="388">
        <v>43911</v>
      </c>
      <c r="B547" s="388" t="s">
        <v>3679</v>
      </c>
      <c r="C547" s="14"/>
    </row>
    <row r="548" spans="1:3" x14ac:dyDescent="0.25">
      <c r="A548" s="388">
        <v>43911</v>
      </c>
      <c r="B548" s="388" t="s">
        <v>3679</v>
      </c>
      <c r="C548" s="14"/>
    </row>
    <row r="549" spans="1:3" x14ac:dyDescent="0.25">
      <c r="A549" s="388">
        <v>43911</v>
      </c>
      <c r="B549" s="388" t="s">
        <v>3678</v>
      </c>
      <c r="C549" s="14"/>
    </row>
    <row r="550" spans="1:3" x14ac:dyDescent="0.25">
      <c r="A550" s="388">
        <v>43911</v>
      </c>
      <c r="B550" s="388" t="s">
        <v>3679</v>
      </c>
      <c r="C550" s="14"/>
    </row>
    <row r="551" spans="1:3" x14ac:dyDescent="0.25">
      <c r="A551" s="388">
        <v>43911</v>
      </c>
      <c r="B551" s="388" t="s">
        <v>3679</v>
      </c>
      <c r="C551" s="14"/>
    </row>
    <row r="552" spans="1:3" x14ac:dyDescent="0.25">
      <c r="A552" s="388">
        <v>43911</v>
      </c>
      <c r="B552" s="388" t="s">
        <v>3678</v>
      </c>
      <c r="C552" s="14"/>
    </row>
    <row r="553" spans="1:3" x14ac:dyDescent="0.25">
      <c r="A553" s="388">
        <v>43911</v>
      </c>
      <c r="B553" s="388" t="s">
        <v>3680</v>
      </c>
      <c r="C553" s="14"/>
    </row>
    <row r="554" spans="1:3" x14ac:dyDescent="0.25">
      <c r="A554" s="388">
        <v>43911</v>
      </c>
      <c r="B554" s="388" t="s">
        <v>3678</v>
      </c>
      <c r="C554" s="14"/>
    </row>
    <row r="555" spans="1:3" x14ac:dyDescent="0.25">
      <c r="A555" s="388">
        <v>43911</v>
      </c>
      <c r="B555" s="388" t="s">
        <v>3679</v>
      </c>
      <c r="C555" s="14"/>
    </row>
    <row r="556" spans="1:3" x14ac:dyDescent="0.25">
      <c r="A556" s="388">
        <v>43911</v>
      </c>
      <c r="B556" s="388" t="s">
        <v>3678</v>
      </c>
      <c r="C556" s="14"/>
    </row>
    <row r="557" spans="1:3" x14ac:dyDescent="0.25">
      <c r="A557" s="388">
        <v>43911</v>
      </c>
      <c r="B557" s="388" t="s">
        <v>3679</v>
      </c>
      <c r="C557" s="14"/>
    </row>
    <row r="558" spans="1:3" x14ac:dyDescent="0.25">
      <c r="A558" s="388">
        <v>43911</v>
      </c>
      <c r="B558" s="388" t="s">
        <v>3680</v>
      </c>
      <c r="C558" s="14"/>
    </row>
    <row r="559" spans="1:3" x14ac:dyDescent="0.25">
      <c r="A559" s="388">
        <v>43911</v>
      </c>
      <c r="B559" s="388" t="s">
        <v>3678</v>
      </c>
      <c r="C559" s="14"/>
    </row>
    <row r="560" spans="1:3" x14ac:dyDescent="0.25">
      <c r="A560" s="388">
        <v>43911</v>
      </c>
      <c r="B560" s="388" t="s">
        <v>3679</v>
      </c>
      <c r="C560" s="14"/>
    </row>
    <row r="561" spans="1:3" x14ac:dyDescent="0.25">
      <c r="A561" s="388">
        <v>43911</v>
      </c>
      <c r="B561" s="388" t="s">
        <v>3679</v>
      </c>
      <c r="C561" s="14"/>
    </row>
    <row r="562" spans="1:3" x14ac:dyDescent="0.25">
      <c r="A562" s="388">
        <v>43911</v>
      </c>
      <c r="B562" s="388" t="s">
        <v>3678</v>
      </c>
      <c r="C562" s="14"/>
    </row>
    <row r="563" spans="1:3" x14ac:dyDescent="0.25">
      <c r="A563" s="388">
        <v>43911</v>
      </c>
      <c r="B563" s="388" t="s">
        <v>3679</v>
      </c>
      <c r="C563" s="14"/>
    </row>
    <row r="564" spans="1:3" x14ac:dyDescent="0.25">
      <c r="A564" s="388">
        <v>43911</v>
      </c>
      <c r="B564" s="388" t="s">
        <v>3679</v>
      </c>
      <c r="C564" s="14"/>
    </row>
    <row r="565" spans="1:3" x14ac:dyDescent="0.25">
      <c r="A565" s="388">
        <v>43911</v>
      </c>
      <c r="B565" s="388" t="s">
        <v>3679</v>
      </c>
      <c r="C565" s="14"/>
    </row>
    <row r="566" spans="1:3" x14ac:dyDescent="0.25">
      <c r="A566" s="388">
        <v>43911</v>
      </c>
      <c r="B566" s="388" t="s">
        <v>3681</v>
      </c>
      <c r="C566" s="14"/>
    </row>
    <row r="567" spans="1:3" x14ac:dyDescent="0.25">
      <c r="A567" s="388">
        <v>43911</v>
      </c>
      <c r="B567" s="388" t="s">
        <v>3679</v>
      </c>
      <c r="C567" s="14"/>
    </row>
    <row r="568" spans="1:3" x14ac:dyDescent="0.25">
      <c r="A568" s="388">
        <v>43911</v>
      </c>
      <c r="B568" s="388" t="s">
        <v>3678</v>
      </c>
      <c r="C568" s="14"/>
    </row>
    <row r="569" spans="1:3" x14ac:dyDescent="0.25">
      <c r="A569" s="388">
        <v>43911</v>
      </c>
      <c r="B569" s="388" t="s">
        <v>3679</v>
      </c>
      <c r="C569" s="14"/>
    </row>
    <row r="570" spans="1:3" x14ac:dyDescent="0.25">
      <c r="A570" s="388">
        <v>43911</v>
      </c>
      <c r="B570" s="388" t="s">
        <v>3679</v>
      </c>
      <c r="C570" s="14"/>
    </row>
    <row r="571" spans="1:3" x14ac:dyDescent="0.25">
      <c r="A571" s="388">
        <v>43911</v>
      </c>
      <c r="B571" s="388" t="s">
        <v>3679</v>
      </c>
      <c r="C571" s="14"/>
    </row>
    <row r="572" spans="1:3" x14ac:dyDescent="0.25">
      <c r="A572" s="388">
        <v>43911</v>
      </c>
      <c r="B572" s="388" t="s">
        <v>3680</v>
      </c>
      <c r="C572" s="14"/>
    </row>
    <row r="573" spans="1:3" x14ac:dyDescent="0.25">
      <c r="A573" s="388">
        <v>43911</v>
      </c>
      <c r="B573" s="388" t="s">
        <v>3678</v>
      </c>
      <c r="C573" s="14"/>
    </row>
    <row r="574" spans="1:3" x14ac:dyDescent="0.25">
      <c r="A574" s="388">
        <v>43911</v>
      </c>
      <c r="B574" s="388" t="s">
        <v>3679</v>
      </c>
      <c r="C574" s="14"/>
    </row>
    <row r="575" spans="1:3" x14ac:dyDescent="0.25">
      <c r="A575" s="388">
        <v>43911</v>
      </c>
      <c r="B575" s="388" t="s">
        <v>3678</v>
      </c>
      <c r="C575" s="14"/>
    </row>
    <row r="576" spans="1:3" x14ac:dyDescent="0.25">
      <c r="A576" s="388">
        <v>43911</v>
      </c>
      <c r="B576" s="388" t="s">
        <v>3678</v>
      </c>
      <c r="C576" s="14"/>
    </row>
    <row r="577" spans="1:3" x14ac:dyDescent="0.25">
      <c r="A577" s="388">
        <v>43911</v>
      </c>
      <c r="B577" s="388" t="s">
        <v>3679</v>
      </c>
      <c r="C577" s="14"/>
    </row>
    <row r="578" spans="1:3" x14ac:dyDescent="0.25">
      <c r="A578" s="388">
        <v>43911</v>
      </c>
      <c r="B578" s="388" t="s">
        <v>3679</v>
      </c>
      <c r="C578" s="14"/>
    </row>
    <row r="579" spans="1:3" x14ac:dyDescent="0.25">
      <c r="A579" s="388">
        <v>43911</v>
      </c>
      <c r="B579" s="388" t="s">
        <v>3679</v>
      </c>
      <c r="C579" s="14"/>
    </row>
    <row r="580" spans="1:3" x14ac:dyDescent="0.25">
      <c r="A580" s="388">
        <v>43911</v>
      </c>
      <c r="B580" s="388" t="s">
        <v>3679</v>
      </c>
      <c r="C580" s="14"/>
    </row>
    <row r="581" spans="1:3" x14ac:dyDescent="0.25">
      <c r="A581" s="388">
        <v>43911</v>
      </c>
      <c r="B581" s="388" t="s">
        <v>3679</v>
      </c>
      <c r="C581" s="14"/>
    </row>
    <row r="582" spans="1:3" x14ac:dyDescent="0.25">
      <c r="A582" s="388">
        <v>43911</v>
      </c>
      <c r="B582" s="388" t="s">
        <v>3678</v>
      </c>
      <c r="C582" s="14"/>
    </row>
    <row r="583" spans="1:3" x14ac:dyDescent="0.25">
      <c r="A583" s="388">
        <v>43911</v>
      </c>
      <c r="B583" s="388" t="s">
        <v>3679</v>
      </c>
      <c r="C583" s="14"/>
    </row>
    <row r="584" spans="1:3" x14ac:dyDescent="0.25">
      <c r="A584" s="388">
        <v>43911</v>
      </c>
      <c r="B584" s="388" t="s">
        <v>3679</v>
      </c>
      <c r="C584" s="14"/>
    </row>
    <row r="585" spans="1:3" x14ac:dyDescent="0.25">
      <c r="A585" s="388">
        <v>43911</v>
      </c>
      <c r="B585" s="388" t="s">
        <v>3679</v>
      </c>
      <c r="C585" s="14"/>
    </row>
    <row r="586" spans="1:3" x14ac:dyDescent="0.25">
      <c r="A586" s="388">
        <v>43911</v>
      </c>
      <c r="B586" s="388" t="s">
        <v>3679</v>
      </c>
      <c r="C586" s="14"/>
    </row>
    <row r="587" spans="1:3" x14ac:dyDescent="0.25">
      <c r="A587" s="388">
        <v>43911</v>
      </c>
      <c r="B587" s="388" t="s">
        <v>3679</v>
      </c>
      <c r="C587" s="14"/>
    </row>
    <row r="588" spans="1:3" x14ac:dyDescent="0.25">
      <c r="A588" s="388">
        <v>43911</v>
      </c>
      <c r="B588" s="388" t="s">
        <v>3679</v>
      </c>
      <c r="C588" s="14"/>
    </row>
    <row r="589" spans="1:3" x14ac:dyDescent="0.25">
      <c r="A589" s="388">
        <v>43911</v>
      </c>
      <c r="B589" s="388" t="s">
        <v>3679</v>
      </c>
      <c r="C589" s="14"/>
    </row>
    <row r="590" spans="1:3" x14ac:dyDescent="0.25">
      <c r="A590" s="388">
        <v>43911</v>
      </c>
      <c r="B590" s="388" t="s">
        <v>3679</v>
      </c>
      <c r="C590" s="14"/>
    </row>
    <row r="591" spans="1:3" x14ac:dyDescent="0.25">
      <c r="A591" s="388">
        <v>43911</v>
      </c>
      <c r="B591" s="388" t="s">
        <v>3679</v>
      </c>
      <c r="C591" s="14"/>
    </row>
    <row r="592" spans="1:3" x14ac:dyDescent="0.25">
      <c r="A592" s="388">
        <v>43911</v>
      </c>
      <c r="B592" s="388" t="s">
        <v>3679</v>
      </c>
      <c r="C592" s="14"/>
    </row>
    <row r="593" spans="1:3" x14ac:dyDescent="0.25">
      <c r="A593" s="388">
        <v>43911</v>
      </c>
      <c r="B593" s="388" t="s">
        <v>3679</v>
      </c>
      <c r="C593" s="14"/>
    </row>
    <row r="594" spans="1:3" x14ac:dyDescent="0.25">
      <c r="A594" s="388">
        <v>43911</v>
      </c>
      <c r="B594" s="388" t="s">
        <v>3680</v>
      </c>
      <c r="C594" s="14"/>
    </row>
    <row r="595" spans="1:3" x14ac:dyDescent="0.25">
      <c r="A595" s="388">
        <v>43911</v>
      </c>
      <c r="B595" s="388" t="s">
        <v>3679</v>
      </c>
      <c r="C595" s="14"/>
    </row>
    <row r="596" spans="1:3" x14ac:dyDescent="0.25">
      <c r="A596" s="388">
        <v>43911</v>
      </c>
      <c r="B596" s="388" t="s">
        <v>3678</v>
      </c>
      <c r="C596" s="14"/>
    </row>
    <row r="597" spans="1:3" x14ac:dyDescent="0.25">
      <c r="A597" s="388">
        <v>43911</v>
      </c>
      <c r="B597" s="388" t="s">
        <v>3678</v>
      </c>
      <c r="C597" s="14"/>
    </row>
    <row r="598" spans="1:3" x14ac:dyDescent="0.25">
      <c r="A598" s="388">
        <v>43911</v>
      </c>
      <c r="B598" s="388" t="s">
        <v>3679</v>
      </c>
      <c r="C598" s="14"/>
    </row>
    <row r="599" spans="1:3" x14ac:dyDescent="0.25">
      <c r="A599" s="388">
        <v>43911</v>
      </c>
      <c r="B599" s="388" t="s">
        <v>3679</v>
      </c>
      <c r="C599" s="14"/>
    </row>
    <row r="600" spans="1:3" x14ac:dyDescent="0.25">
      <c r="A600" s="388">
        <v>43911</v>
      </c>
      <c r="B600" s="388" t="s">
        <v>3679</v>
      </c>
      <c r="C600" s="14"/>
    </row>
    <row r="601" spans="1:3" x14ac:dyDescent="0.25">
      <c r="A601" s="388">
        <v>43911</v>
      </c>
      <c r="B601" s="388" t="s">
        <v>3679</v>
      </c>
      <c r="C601" s="14"/>
    </row>
    <row r="602" spans="1:3" x14ac:dyDescent="0.25">
      <c r="A602" s="388">
        <v>43911</v>
      </c>
      <c r="B602" s="388" t="s">
        <v>3679</v>
      </c>
      <c r="C602" s="14"/>
    </row>
    <row r="603" spans="1:3" x14ac:dyDescent="0.25">
      <c r="A603" s="388">
        <v>43911</v>
      </c>
      <c r="B603" s="388" t="s">
        <v>3678</v>
      </c>
      <c r="C603" s="14"/>
    </row>
    <row r="604" spans="1:3" x14ac:dyDescent="0.25">
      <c r="A604" s="388">
        <v>43911</v>
      </c>
      <c r="B604" s="388" t="s">
        <v>3679</v>
      </c>
      <c r="C604" s="14"/>
    </row>
    <row r="605" spans="1:3" x14ac:dyDescent="0.25">
      <c r="A605" s="388">
        <v>43911</v>
      </c>
      <c r="B605" s="388" t="s">
        <v>3678</v>
      </c>
      <c r="C605" s="14"/>
    </row>
    <row r="606" spans="1:3" x14ac:dyDescent="0.25">
      <c r="A606" s="388">
        <v>43911</v>
      </c>
      <c r="B606" s="388" t="s">
        <v>3679</v>
      </c>
      <c r="C606" s="14"/>
    </row>
    <row r="607" spans="1:3" x14ac:dyDescent="0.25">
      <c r="A607" s="388">
        <v>43911</v>
      </c>
      <c r="B607" s="388" t="s">
        <v>3678</v>
      </c>
      <c r="C607" s="14"/>
    </row>
    <row r="608" spans="1:3" x14ac:dyDescent="0.25">
      <c r="A608" s="388">
        <v>43911</v>
      </c>
      <c r="B608" s="388" t="s">
        <v>3678</v>
      </c>
      <c r="C608" s="14"/>
    </row>
    <row r="609" spans="1:3" x14ac:dyDescent="0.25">
      <c r="A609" s="388">
        <v>43911</v>
      </c>
      <c r="B609" s="388" t="s">
        <v>3679</v>
      </c>
      <c r="C609" s="14"/>
    </row>
    <row r="610" spans="1:3" x14ac:dyDescent="0.25">
      <c r="A610" s="388">
        <v>43911</v>
      </c>
      <c r="B610" s="388" t="s">
        <v>3678</v>
      </c>
      <c r="C610" s="14"/>
    </row>
    <row r="611" spans="1:3" x14ac:dyDescent="0.25">
      <c r="A611" s="388">
        <v>43911</v>
      </c>
      <c r="B611" s="388" t="s">
        <v>3679</v>
      </c>
      <c r="C611" s="14"/>
    </row>
    <row r="612" spans="1:3" x14ac:dyDescent="0.25">
      <c r="A612" s="388">
        <v>43911</v>
      </c>
      <c r="B612" s="388" t="s">
        <v>3680</v>
      </c>
      <c r="C612" s="14"/>
    </row>
    <row r="613" spans="1:3" x14ac:dyDescent="0.25">
      <c r="A613" s="388">
        <v>43911</v>
      </c>
      <c r="B613" s="388" t="s">
        <v>3679</v>
      </c>
      <c r="C613" s="14"/>
    </row>
    <row r="614" spans="1:3" x14ac:dyDescent="0.25">
      <c r="A614" s="388">
        <v>43911</v>
      </c>
      <c r="B614" s="388" t="s">
        <v>3679</v>
      </c>
      <c r="C614" s="14"/>
    </row>
    <row r="615" spans="1:3" x14ac:dyDescent="0.25">
      <c r="A615" s="388">
        <v>43911</v>
      </c>
      <c r="B615" s="388" t="s">
        <v>3680</v>
      </c>
      <c r="C615" s="14"/>
    </row>
    <row r="616" spans="1:3" x14ac:dyDescent="0.25">
      <c r="A616" s="388">
        <v>43911</v>
      </c>
      <c r="B616" s="388" t="s">
        <v>3679</v>
      </c>
      <c r="C616" s="14"/>
    </row>
    <row r="617" spans="1:3" x14ac:dyDescent="0.25">
      <c r="A617" s="388">
        <v>43911</v>
      </c>
      <c r="B617" s="388" t="s">
        <v>3680</v>
      </c>
      <c r="C617" s="14"/>
    </row>
    <row r="618" spans="1:3" x14ac:dyDescent="0.25">
      <c r="A618" s="388">
        <v>43911</v>
      </c>
      <c r="B618" s="388" t="s">
        <v>3679</v>
      </c>
      <c r="C618" s="14"/>
    </row>
    <row r="619" spans="1:3" x14ac:dyDescent="0.25">
      <c r="A619" s="388">
        <v>43911</v>
      </c>
      <c r="B619" s="388" t="s">
        <v>3678</v>
      </c>
      <c r="C619" s="14"/>
    </row>
    <row r="620" spans="1:3" x14ac:dyDescent="0.25">
      <c r="A620" s="388">
        <v>43911</v>
      </c>
      <c r="B620" s="388" t="s">
        <v>3679</v>
      </c>
      <c r="C620" s="14"/>
    </row>
    <row r="621" spans="1:3" x14ac:dyDescent="0.25">
      <c r="A621" s="388">
        <v>43911</v>
      </c>
      <c r="B621" s="388" t="s">
        <v>3680</v>
      </c>
      <c r="C621" s="14"/>
    </row>
    <row r="622" spans="1:3" x14ac:dyDescent="0.25">
      <c r="A622" s="388">
        <v>43911</v>
      </c>
      <c r="B622" s="388" t="s">
        <v>3679</v>
      </c>
      <c r="C622" s="14"/>
    </row>
    <row r="623" spans="1:3" x14ac:dyDescent="0.25">
      <c r="A623" s="388">
        <v>43911</v>
      </c>
      <c r="B623" s="388" t="s">
        <v>3679</v>
      </c>
      <c r="C623" s="14"/>
    </row>
    <row r="624" spans="1:3" x14ac:dyDescent="0.25">
      <c r="A624" s="388">
        <v>43911</v>
      </c>
      <c r="B624" s="388" t="s">
        <v>3680</v>
      </c>
      <c r="C624" s="14"/>
    </row>
    <row r="625" spans="1:3" x14ac:dyDescent="0.25">
      <c r="A625" s="388">
        <v>43911</v>
      </c>
      <c r="B625" s="388" t="s">
        <v>3679</v>
      </c>
      <c r="C625" s="14"/>
    </row>
    <row r="626" spans="1:3" x14ac:dyDescent="0.25">
      <c r="A626" s="388">
        <v>43911</v>
      </c>
      <c r="B626" s="388" t="s">
        <v>3679</v>
      </c>
      <c r="C626" s="14"/>
    </row>
    <row r="627" spans="1:3" x14ac:dyDescent="0.25">
      <c r="A627" s="388">
        <v>43911</v>
      </c>
      <c r="B627" s="388" t="s">
        <v>3679</v>
      </c>
      <c r="C627" s="14"/>
    </row>
    <row r="628" spans="1:3" x14ac:dyDescent="0.25">
      <c r="A628" s="388">
        <v>43912</v>
      </c>
      <c r="B628" s="388" t="s">
        <v>3679</v>
      </c>
      <c r="C628" s="14"/>
    </row>
    <row r="629" spans="1:3" x14ac:dyDescent="0.25">
      <c r="A629" s="388">
        <v>43912</v>
      </c>
      <c r="B629" s="388" t="s">
        <v>3678</v>
      </c>
      <c r="C629" s="14"/>
    </row>
    <row r="630" spans="1:3" x14ac:dyDescent="0.25">
      <c r="A630" s="388">
        <v>43912</v>
      </c>
      <c r="B630" s="388" t="s">
        <v>3679</v>
      </c>
      <c r="C630" s="14"/>
    </row>
    <row r="631" spans="1:3" x14ac:dyDescent="0.25">
      <c r="A631" s="388">
        <v>43912</v>
      </c>
      <c r="B631" s="388" t="s">
        <v>3679</v>
      </c>
      <c r="C631" s="14"/>
    </row>
    <row r="632" spans="1:3" x14ac:dyDescent="0.25">
      <c r="A632" s="388">
        <v>43912</v>
      </c>
      <c r="B632" s="388" t="s">
        <v>3679</v>
      </c>
      <c r="C632" s="14"/>
    </row>
    <row r="633" spans="1:3" x14ac:dyDescent="0.25">
      <c r="A633" s="388">
        <v>43912</v>
      </c>
      <c r="B633" s="388" t="s">
        <v>3679</v>
      </c>
      <c r="C633" s="14"/>
    </row>
    <row r="634" spans="1:3" x14ac:dyDescent="0.25">
      <c r="A634" s="388">
        <v>43912</v>
      </c>
      <c r="B634" s="388" t="s">
        <v>3679</v>
      </c>
      <c r="C634" s="14"/>
    </row>
    <row r="635" spans="1:3" x14ac:dyDescent="0.25">
      <c r="A635" s="388">
        <v>43912</v>
      </c>
      <c r="B635" s="388" t="s">
        <v>3679</v>
      </c>
      <c r="C635" s="14"/>
    </row>
    <row r="636" spans="1:3" x14ac:dyDescent="0.25">
      <c r="A636" s="388">
        <v>43912</v>
      </c>
      <c r="B636" s="388" t="s">
        <v>3679</v>
      </c>
      <c r="C636" s="14"/>
    </row>
    <row r="637" spans="1:3" x14ac:dyDescent="0.25">
      <c r="A637" s="388">
        <v>43912</v>
      </c>
      <c r="B637" s="388" t="s">
        <v>3678</v>
      </c>
      <c r="C637" s="14"/>
    </row>
    <row r="638" spans="1:3" x14ac:dyDescent="0.25">
      <c r="A638" s="388">
        <v>43912</v>
      </c>
      <c r="B638" s="388" t="s">
        <v>3679</v>
      </c>
      <c r="C638" s="14"/>
    </row>
    <row r="639" spans="1:3" x14ac:dyDescent="0.25">
      <c r="A639" s="388">
        <v>43912</v>
      </c>
      <c r="B639" s="388" t="s">
        <v>3679</v>
      </c>
      <c r="C639" s="14"/>
    </row>
    <row r="640" spans="1:3" x14ac:dyDescent="0.25">
      <c r="A640" s="388">
        <v>43912</v>
      </c>
      <c r="B640" s="388" t="s">
        <v>3680</v>
      </c>
      <c r="C640" s="14"/>
    </row>
    <row r="641" spans="1:3" x14ac:dyDescent="0.25">
      <c r="A641" s="388">
        <v>43912</v>
      </c>
      <c r="B641" s="388" t="s">
        <v>3679</v>
      </c>
      <c r="C641" s="14"/>
    </row>
    <row r="642" spans="1:3" x14ac:dyDescent="0.25">
      <c r="A642" s="388">
        <v>43912</v>
      </c>
      <c r="B642" s="388" t="s">
        <v>3679</v>
      </c>
      <c r="C642" s="14"/>
    </row>
    <row r="643" spans="1:3" x14ac:dyDescent="0.25">
      <c r="A643" s="388">
        <v>43912</v>
      </c>
      <c r="B643" s="388" t="s">
        <v>3680</v>
      </c>
      <c r="C643" s="14"/>
    </row>
    <row r="644" spans="1:3" x14ac:dyDescent="0.25">
      <c r="A644" s="388">
        <v>43912</v>
      </c>
      <c r="B644" s="388" t="s">
        <v>3678</v>
      </c>
      <c r="C644" s="14"/>
    </row>
    <row r="645" spans="1:3" x14ac:dyDescent="0.25">
      <c r="A645" s="388">
        <v>43912</v>
      </c>
      <c r="B645" s="388" t="s">
        <v>3678</v>
      </c>
      <c r="C645" s="14"/>
    </row>
    <row r="646" spans="1:3" x14ac:dyDescent="0.25">
      <c r="A646" s="388">
        <v>43912</v>
      </c>
      <c r="B646" s="388" t="s">
        <v>3679</v>
      </c>
      <c r="C646" s="14"/>
    </row>
    <row r="647" spans="1:3" x14ac:dyDescent="0.25">
      <c r="A647" s="388">
        <v>43912</v>
      </c>
      <c r="B647" s="388" t="s">
        <v>3679</v>
      </c>
      <c r="C647" s="14"/>
    </row>
    <row r="648" spans="1:3" x14ac:dyDescent="0.25">
      <c r="A648" s="388">
        <v>43912</v>
      </c>
      <c r="B648" s="388" t="s">
        <v>3680</v>
      </c>
      <c r="C648" s="14"/>
    </row>
    <row r="649" spans="1:3" x14ac:dyDescent="0.25">
      <c r="A649" s="388">
        <v>43912</v>
      </c>
      <c r="B649" s="388" t="s">
        <v>3679</v>
      </c>
      <c r="C649" s="14"/>
    </row>
    <row r="650" spans="1:3" x14ac:dyDescent="0.25">
      <c r="A650" s="388">
        <v>43912</v>
      </c>
      <c r="B650" s="388" t="s">
        <v>3678</v>
      </c>
      <c r="C650" s="14"/>
    </row>
    <row r="651" spans="1:3" x14ac:dyDescent="0.25">
      <c r="A651" s="388">
        <v>43912</v>
      </c>
      <c r="B651" s="388" t="s">
        <v>3679</v>
      </c>
      <c r="C651" s="14"/>
    </row>
    <row r="652" spans="1:3" x14ac:dyDescent="0.25">
      <c r="A652" s="388">
        <v>43912</v>
      </c>
      <c r="B652" s="388" t="s">
        <v>3679</v>
      </c>
      <c r="C652" s="14"/>
    </row>
    <row r="653" spans="1:3" x14ac:dyDescent="0.25">
      <c r="A653" s="388">
        <v>43912</v>
      </c>
      <c r="B653" s="388" t="s">
        <v>3678</v>
      </c>
      <c r="C653" s="14"/>
    </row>
    <row r="654" spans="1:3" x14ac:dyDescent="0.25">
      <c r="A654" s="388">
        <v>43912</v>
      </c>
      <c r="B654" s="388" t="s">
        <v>3679</v>
      </c>
      <c r="C654" s="14"/>
    </row>
    <row r="655" spans="1:3" x14ac:dyDescent="0.25">
      <c r="A655" s="388">
        <v>43912</v>
      </c>
      <c r="B655" s="388" t="s">
        <v>3679</v>
      </c>
      <c r="C655" s="14"/>
    </row>
    <row r="656" spans="1:3" x14ac:dyDescent="0.25">
      <c r="A656" s="388">
        <v>43912</v>
      </c>
      <c r="B656" s="388" t="s">
        <v>3679</v>
      </c>
      <c r="C656" s="14"/>
    </row>
    <row r="657" spans="1:3" x14ac:dyDescent="0.25">
      <c r="A657" s="388">
        <v>43912</v>
      </c>
      <c r="B657" s="388" t="s">
        <v>3679</v>
      </c>
      <c r="C657" s="14"/>
    </row>
    <row r="658" spans="1:3" x14ac:dyDescent="0.25">
      <c r="A658" s="388">
        <v>43912</v>
      </c>
      <c r="B658" s="388" t="s">
        <v>3679</v>
      </c>
      <c r="C658" s="14"/>
    </row>
    <row r="659" spans="1:3" x14ac:dyDescent="0.25">
      <c r="A659" s="388">
        <v>43912</v>
      </c>
      <c r="B659" s="388" t="s">
        <v>3679</v>
      </c>
      <c r="C659" s="14"/>
    </row>
    <row r="660" spans="1:3" x14ac:dyDescent="0.25">
      <c r="A660" s="388">
        <v>43912</v>
      </c>
      <c r="B660" s="388" t="s">
        <v>3679</v>
      </c>
      <c r="C660" s="14"/>
    </row>
    <row r="661" spans="1:3" x14ac:dyDescent="0.25">
      <c r="A661" s="388">
        <v>43912</v>
      </c>
      <c r="B661" s="388" t="s">
        <v>3679</v>
      </c>
      <c r="C661" s="14"/>
    </row>
    <row r="662" spans="1:3" x14ac:dyDescent="0.25">
      <c r="A662" s="388">
        <v>43912</v>
      </c>
      <c r="B662" s="388" t="s">
        <v>3679</v>
      </c>
      <c r="C662" s="14"/>
    </row>
    <row r="663" spans="1:3" x14ac:dyDescent="0.25">
      <c r="A663" s="388">
        <v>43912</v>
      </c>
      <c r="B663" s="388" t="s">
        <v>3679</v>
      </c>
      <c r="C663" s="14"/>
    </row>
    <row r="664" spans="1:3" x14ac:dyDescent="0.25">
      <c r="A664" s="388">
        <v>43912</v>
      </c>
      <c r="B664" s="388" t="s">
        <v>3679</v>
      </c>
      <c r="C664" s="14"/>
    </row>
    <row r="665" spans="1:3" x14ac:dyDescent="0.25">
      <c r="A665" s="388">
        <v>43912</v>
      </c>
      <c r="B665" s="388" t="s">
        <v>3679</v>
      </c>
      <c r="C665" s="14"/>
    </row>
    <row r="666" spans="1:3" x14ac:dyDescent="0.25">
      <c r="A666" s="388">
        <v>43912</v>
      </c>
      <c r="B666" s="388" t="s">
        <v>3678</v>
      </c>
      <c r="C666" s="14"/>
    </row>
    <row r="667" spans="1:3" x14ac:dyDescent="0.25">
      <c r="A667" s="388">
        <v>43912</v>
      </c>
      <c r="B667" s="388" t="s">
        <v>3679</v>
      </c>
      <c r="C667" s="14"/>
    </row>
    <row r="668" spans="1:3" x14ac:dyDescent="0.25">
      <c r="A668" s="388">
        <v>43912</v>
      </c>
      <c r="B668" s="388" t="s">
        <v>3679</v>
      </c>
      <c r="C668" s="14"/>
    </row>
    <row r="669" spans="1:3" x14ac:dyDescent="0.25">
      <c r="A669" s="388">
        <v>43912</v>
      </c>
      <c r="B669" s="388" t="s">
        <v>3679</v>
      </c>
      <c r="C669" s="14"/>
    </row>
    <row r="670" spans="1:3" x14ac:dyDescent="0.25">
      <c r="A670" s="388">
        <v>43912</v>
      </c>
      <c r="B670" s="388" t="s">
        <v>3679</v>
      </c>
      <c r="C670" s="14"/>
    </row>
    <row r="671" spans="1:3" x14ac:dyDescent="0.25">
      <c r="A671" s="388">
        <v>43912</v>
      </c>
      <c r="B671" s="388" t="s">
        <v>3679</v>
      </c>
      <c r="C671" s="14"/>
    </row>
    <row r="672" spans="1:3" x14ac:dyDescent="0.25">
      <c r="A672" s="388">
        <v>43912</v>
      </c>
      <c r="B672" s="388" t="s">
        <v>3679</v>
      </c>
      <c r="C672" s="14"/>
    </row>
    <row r="673" spans="1:3" x14ac:dyDescent="0.25">
      <c r="A673" s="388">
        <v>43912</v>
      </c>
      <c r="B673" s="388" t="s">
        <v>3678</v>
      </c>
      <c r="C673" s="14"/>
    </row>
    <row r="674" spans="1:3" x14ac:dyDescent="0.25">
      <c r="A674" s="388">
        <v>43912</v>
      </c>
      <c r="B674" s="388" t="s">
        <v>3679</v>
      </c>
      <c r="C674" s="14"/>
    </row>
    <row r="675" spans="1:3" x14ac:dyDescent="0.25">
      <c r="A675" s="388">
        <v>43912</v>
      </c>
      <c r="B675" s="388" t="s">
        <v>3679</v>
      </c>
      <c r="C675" s="14"/>
    </row>
    <row r="676" spans="1:3" x14ac:dyDescent="0.25">
      <c r="A676" s="388">
        <v>43912</v>
      </c>
      <c r="B676" s="388" t="s">
        <v>3679</v>
      </c>
      <c r="C676" s="14"/>
    </row>
    <row r="677" spans="1:3" x14ac:dyDescent="0.25">
      <c r="A677" s="388">
        <v>43912</v>
      </c>
      <c r="B677" s="388" t="s">
        <v>3679</v>
      </c>
      <c r="C677" s="14"/>
    </row>
    <row r="678" spans="1:3" x14ac:dyDescent="0.25">
      <c r="A678" s="388">
        <v>43912</v>
      </c>
      <c r="B678" s="388" t="s">
        <v>3678</v>
      </c>
      <c r="C678" s="14"/>
    </row>
    <row r="679" spans="1:3" x14ac:dyDescent="0.25">
      <c r="A679" s="388">
        <v>43912</v>
      </c>
      <c r="B679" s="388" t="s">
        <v>3678</v>
      </c>
      <c r="C679" s="14"/>
    </row>
    <row r="680" spans="1:3" x14ac:dyDescent="0.25">
      <c r="A680" s="388">
        <v>43912</v>
      </c>
      <c r="B680" s="388" t="s">
        <v>3679</v>
      </c>
      <c r="C680" s="14"/>
    </row>
    <row r="681" spans="1:3" x14ac:dyDescent="0.25">
      <c r="A681" s="388">
        <v>43912</v>
      </c>
      <c r="B681" s="388" t="s">
        <v>3679</v>
      </c>
      <c r="C681" s="14"/>
    </row>
    <row r="682" spans="1:3" x14ac:dyDescent="0.25">
      <c r="A682" s="388">
        <v>43912</v>
      </c>
      <c r="B682" s="388" t="s">
        <v>3678</v>
      </c>
      <c r="C682" s="14"/>
    </row>
    <row r="683" spans="1:3" x14ac:dyDescent="0.25">
      <c r="A683" s="388">
        <v>43912</v>
      </c>
      <c r="B683" s="388" t="s">
        <v>3679</v>
      </c>
      <c r="C683" s="14"/>
    </row>
    <row r="684" spans="1:3" x14ac:dyDescent="0.25">
      <c r="A684" s="388">
        <v>43912</v>
      </c>
      <c r="B684" s="388" t="s">
        <v>3679</v>
      </c>
      <c r="C684" s="14"/>
    </row>
    <row r="685" spans="1:3" x14ac:dyDescent="0.25">
      <c r="A685" s="388">
        <v>43912</v>
      </c>
      <c r="B685" s="388" t="s">
        <v>3679</v>
      </c>
      <c r="C685" s="14"/>
    </row>
    <row r="686" spans="1:3" x14ac:dyDescent="0.25">
      <c r="A686" s="388">
        <v>43912</v>
      </c>
      <c r="B686" s="388" t="s">
        <v>3679</v>
      </c>
      <c r="C686" s="14"/>
    </row>
    <row r="687" spans="1:3" x14ac:dyDescent="0.25">
      <c r="A687" s="388">
        <v>43912</v>
      </c>
      <c r="B687" s="388" t="s">
        <v>3678</v>
      </c>
      <c r="C687" s="14"/>
    </row>
    <row r="688" spans="1:3" x14ac:dyDescent="0.25">
      <c r="A688" s="388">
        <v>43912</v>
      </c>
      <c r="B688" s="388" t="s">
        <v>3680</v>
      </c>
      <c r="C688" s="14"/>
    </row>
    <row r="689" spans="1:3" x14ac:dyDescent="0.25">
      <c r="A689" s="388">
        <v>43912</v>
      </c>
      <c r="B689" s="388" t="s">
        <v>3679</v>
      </c>
      <c r="C689" s="14"/>
    </row>
    <row r="690" spans="1:3" x14ac:dyDescent="0.25">
      <c r="A690" s="388">
        <v>43912</v>
      </c>
      <c r="B690" s="388" t="s">
        <v>3679</v>
      </c>
      <c r="C690" s="14"/>
    </row>
    <row r="691" spans="1:3" x14ac:dyDescent="0.25">
      <c r="A691" s="388">
        <v>43912</v>
      </c>
      <c r="B691" s="388" t="s">
        <v>3679</v>
      </c>
      <c r="C691" s="14"/>
    </row>
    <row r="692" spans="1:3" x14ac:dyDescent="0.25">
      <c r="A692" s="388">
        <v>43912</v>
      </c>
      <c r="B692" s="388" t="s">
        <v>3678</v>
      </c>
      <c r="C692" s="14"/>
    </row>
    <row r="693" spans="1:3" x14ac:dyDescent="0.25">
      <c r="A693" s="388">
        <v>43912</v>
      </c>
      <c r="B693" s="388" t="s">
        <v>3678</v>
      </c>
      <c r="C693" s="14"/>
    </row>
    <row r="694" spans="1:3" x14ac:dyDescent="0.25">
      <c r="A694" s="388">
        <v>43912</v>
      </c>
      <c r="B694" s="388" t="s">
        <v>3679</v>
      </c>
      <c r="C694" s="14"/>
    </row>
    <row r="695" spans="1:3" x14ac:dyDescent="0.25">
      <c r="A695" s="388">
        <v>43912</v>
      </c>
      <c r="B695" s="388" t="s">
        <v>3679</v>
      </c>
      <c r="C695" s="14"/>
    </row>
    <row r="696" spans="1:3" x14ac:dyDescent="0.25">
      <c r="A696" s="388">
        <v>43912</v>
      </c>
      <c r="B696" s="388" t="s">
        <v>3679</v>
      </c>
      <c r="C696" s="14"/>
    </row>
    <row r="697" spans="1:3" x14ac:dyDescent="0.25">
      <c r="A697" s="388">
        <v>43912</v>
      </c>
      <c r="B697" s="388" t="s">
        <v>3678</v>
      </c>
      <c r="C697" s="14"/>
    </row>
    <row r="698" spans="1:3" x14ac:dyDescent="0.25">
      <c r="A698" s="388">
        <v>43912</v>
      </c>
      <c r="B698" s="388" t="s">
        <v>3680</v>
      </c>
      <c r="C698" s="14"/>
    </row>
    <row r="699" spans="1:3" x14ac:dyDescent="0.25">
      <c r="A699" s="388">
        <v>43912</v>
      </c>
      <c r="B699" s="388" t="s">
        <v>3679</v>
      </c>
      <c r="C699" s="14"/>
    </row>
    <row r="700" spans="1:3" x14ac:dyDescent="0.25">
      <c r="A700" s="388">
        <v>43912</v>
      </c>
      <c r="B700" s="388" t="s">
        <v>3678</v>
      </c>
      <c r="C700" s="14"/>
    </row>
    <row r="701" spans="1:3" x14ac:dyDescent="0.25">
      <c r="A701" s="388">
        <v>43912</v>
      </c>
      <c r="B701" s="388" t="s">
        <v>3679</v>
      </c>
      <c r="C701" s="14"/>
    </row>
    <row r="702" spans="1:3" x14ac:dyDescent="0.25">
      <c r="A702" s="388">
        <v>43912</v>
      </c>
      <c r="B702" s="388" t="s">
        <v>3679</v>
      </c>
      <c r="C702" s="14"/>
    </row>
    <row r="703" spans="1:3" x14ac:dyDescent="0.25">
      <c r="A703" s="388">
        <v>43912</v>
      </c>
      <c r="B703" s="388" t="s">
        <v>3679</v>
      </c>
      <c r="C703" s="14"/>
    </row>
    <row r="704" spans="1:3" x14ac:dyDescent="0.25">
      <c r="A704" s="388">
        <v>43912</v>
      </c>
      <c r="B704" s="388" t="s">
        <v>3678</v>
      </c>
      <c r="C704" s="14"/>
    </row>
    <row r="705" spans="1:3" x14ac:dyDescent="0.25">
      <c r="A705" s="388">
        <v>43912</v>
      </c>
      <c r="B705" s="388" t="s">
        <v>3679</v>
      </c>
      <c r="C705" s="14"/>
    </row>
    <row r="706" spans="1:3" x14ac:dyDescent="0.25">
      <c r="A706" s="388">
        <v>43912</v>
      </c>
      <c r="B706" s="388" t="s">
        <v>3679</v>
      </c>
      <c r="C706" s="14"/>
    </row>
    <row r="707" spans="1:3" x14ac:dyDescent="0.25">
      <c r="A707" s="388">
        <v>43912</v>
      </c>
      <c r="B707" s="388" t="s">
        <v>3679</v>
      </c>
      <c r="C707" s="14"/>
    </row>
    <row r="708" spans="1:3" x14ac:dyDescent="0.25">
      <c r="A708" s="388">
        <v>43912</v>
      </c>
      <c r="B708" s="388" t="s">
        <v>3680</v>
      </c>
      <c r="C708" s="14"/>
    </row>
    <row r="709" spans="1:3" x14ac:dyDescent="0.25">
      <c r="A709" s="388">
        <v>43912</v>
      </c>
      <c r="B709" s="388" t="s">
        <v>3679</v>
      </c>
      <c r="C709" s="14"/>
    </row>
    <row r="710" spans="1:3" x14ac:dyDescent="0.25">
      <c r="A710" s="388">
        <v>43912</v>
      </c>
      <c r="B710" s="388" t="s">
        <v>3679</v>
      </c>
      <c r="C710" s="14"/>
    </row>
    <row r="711" spans="1:3" x14ac:dyDescent="0.25">
      <c r="A711" s="388">
        <v>43912</v>
      </c>
      <c r="B711" s="388" t="s">
        <v>3679</v>
      </c>
      <c r="C711" s="14"/>
    </row>
    <row r="712" spans="1:3" x14ac:dyDescent="0.25">
      <c r="A712" s="388">
        <v>43912</v>
      </c>
      <c r="B712" s="388" t="s">
        <v>3679</v>
      </c>
      <c r="C712" s="14"/>
    </row>
    <row r="713" spans="1:3" x14ac:dyDescent="0.25">
      <c r="A713" s="388">
        <v>43912</v>
      </c>
      <c r="B713" s="388" t="s">
        <v>3679</v>
      </c>
      <c r="C713" s="14"/>
    </row>
    <row r="714" spans="1:3" x14ac:dyDescent="0.25">
      <c r="A714" s="388">
        <v>43912</v>
      </c>
      <c r="B714" s="388" t="s">
        <v>3679</v>
      </c>
      <c r="C714" s="14"/>
    </row>
    <row r="715" spans="1:3" x14ac:dyDescent="0.25">
      <c r="A715" s="388">
        <v>43912</v>
      </c>
      <c r="B715" s="388" t="s">
        <v>3679</v>
      </c>
      <c r="C715" s="14"/>
    </row>
    <row r="716" spans="1:3" x14ac:dyDescent="0.25">
      <c r="A716" s="388">
        <v>43912</v>
      </c>
      <c r="B716" s="388" t="s">
        <v>3679</v>
      </c>
      <c r="C716" s="14"/>
    </row>
    <row r="717" spans="1:3" x14ac:dyDescent="0.25">
      <c r="A717" s="388">
        <v>43912</v>
      </c>
      <c r="B717" s="388" t="s">
        <v>3679</v>
      </c>
      <c r="C717" s="14"/>
    </row>
    <row r="718" spans="1:3" x14ac:dyDescent="0.25">
      <c r="A718" s="388">
        <v>43912</v>
      </c>
      <c r="B718" s="388" t="s">
        <v>3678</v>
      </c>
      <c r="C718" s="14"/>
    </row>
    <row r="719" spans="1:3" x14ac:dyDescent="0.25">
      <c r="A719" s="388">
        <v>43912</v>
      </c>
      <c r="B719" s="388" t="s">
        <v>3679</v>
      </c>
      <c r="C719" s="14"/>
    </row>
    <row r="720" spans="1:3" x14ac:dyDescent="0.25">
      <c r="A720" s="388">
        <v>43912</v>
      </c>
      <c r="B720" s="388" t="s">
        <v>3678</v>
      </c>
      <c r="C720" s="14"/>
    </row>
    <row r="721" spans="1:3" x14ac:dyDescent="0.25">
      <c r="A721" s="388">
        <v>43912</v>
      </c>
      <c r="B721" s="388" t="s">
        <v>3679</v>
      </c>
      <c r="C721" s="14"/>
    </row>
    <row r="722" spans="1:3" x14ac:dyDescent="0.25">
      <c r="A722" s="388">
        <v>43912</v>
      </c>
      <c r="B722" s="388" t="s">
        <v>3678</v>
      </c>
      <c r="C722" s="14"/>
    </row>
    <row r="723" spans="1:3" x14ac:dyDescent="0.25">
      <c r="A723" s="388">
        <v>43912</v>
      </c>
      <c r="B723" s="388" t="s">
        <v>3679</v>
      </c>
      <c r="C723" s="14"/>
    </row>
    <row r="724" spans="1:3" x14ac:dyDescent="0.25">
      <c r="A724" s="388">
        <v>43912</v>
      </c>
      <c r="B724" s="388" t="s">
        <v>3679</v>
      </c>
      <c r="C724" s="14"/>
    </row>
    <row r="725" spans="1:3" x14ac:dyDescent="0.25">
      <c r="A725" s="388">
        <v>43912</v>
      </c>
      <c r="B725" s="388" t="s">
        <v>3679</v>
      </c>
      <c r="C725" s="14"/>
    </row>
    <row r="726" spans="1:3" x14ac:dyDescent="0.25">
      <c r="A726" s="388">
        <v>43912</v>
      </c>
      <c r="B726" s="388" t="s">
        <v>3679</v>
      </c>
      <c r="C726" s="14"/>
    </row>
    <row r="727" spans="1:3" x14ac:dyDescent="0.25">
      <c r="A727" s="388">
        <v>43912</v>
      </c>
      <c r="B727" s="388" t="s">
        <v>3679</v>
      </c>
      <c r="C727" s="14"/>
    </row>
    <row r="728" spans="1:3" x14ac:dyDescent="0.25">
      <c r="A728" s="388">
        <v>43912</v>
      </c>
      <c r="B728" s="388" t="s">
        <v>3679</v>
      </c>
      <c r="C728" s="14"/>
    </row>
    <row r="729" spans="1:3" x14ac:dyDescent="0.25">
      <c r="A729" s="388">
        <v>43912</v>
      </c>
      <c r="B729" s="388" t="s">
        <v>3679</v>
      </c>
      <c r="C729" s="14"/>
    </row>
    <row r="730" spans="1:3" x14ac:dyDescent="0.25">
      <c r="A730" s="388">
        <v>43912</v>
      </c>
      <c r="B730" s="388" t="s">
        <v>3679</v>
      </c>
      <c r="C730" s="14"/>
    </row>
    <row r="731" spans="1:3" x14ac:dyDescent="0.25">
      <c r="A731" s="388">
        <v>43912</v>
      </c>
      <c r="B731" s="388" t="s">
        <v>3679</v>
      </c>
      <c r="C731" s="14"/>
    </row>
    <row r="732" spans="1:3" x14ac:dyDescent="0.25">
      <c r="A732" s="388">
        <v>43912</v>
      </c>
      <c r="B732" s="388" t="s">
        <v>3679</v>
      </c>
      <c r="C732" s="14"/>
    </row>
    <row r="733" spans="1:3" x14ac:dyDescent="0.25">
      <c r="A733" s="388">
        <v>43912</v>
      </c>
      <c r="B733" s="388" t="s">
        <v>3679</v>
      </c>
      <c r="C733" s="14"/>
    </row>
    <row r="734" spans="1:3" x14ac:dyDescent="0.25">
      <c r="A734" s="388">
        <v>43912</v>
      </c>
      <c r="B734" s="388" t="s">
        <v>3679</v>
      </c>
      <c r="C734" s="14"/>
    </row>
    <row r="735" spans="1:3" x14ac:dyDescent="0.25">
      <c r="A735" s="388">
        <v>43912</v>
      </c>
      <c r="B735" s="388" t="s">
        <v>3679</v>
      </c>
      <c r="C735" s="14"/>
    </row>
    <row r="736" spans="1:3" x14ac:dyDescent="0.25">
      <c r="A736" s="388">
        <v>43912</v>
      </c>
      <c r="B736" s="388" t="s">
        <v>3679</v>
      </c>
      <c r="C736" s="14"/>
    </row>
    <row r="737" spans="1:3" x14ac:dyDescent="0.25">
      <c r="A737" s="388">
        <v>43912</v>
      </c>
      <c r="B737" s="388" t="s">
        <v>3679</v>
      </c>
      <c r="C737" s="14"/>
    </row>
    <row r="738" spans="1:3" x14ac:dyDescent="0.25">
      <c r="A738" s="388">
        <v>43912</v>
      </c>
      <c r="B738" s="388" t="s">
        <v>3679</v>
      </c>
      <c r="C738" s="14"/>
    </row>
    <row r="739" spans="1:3" x14ac:dyDescent="0.25">
      <c r="A739" s="388">
        <v>43912</v>
      </c>
      <c r="B739" s="388" t="s">
        <v>3679</v>
      </c>
      <c r="C739" s="14"/>
    </row>
    <row r="740" spans="1:3" x14ac:dyDescent="0.25">
      <c r="A740" s="388">
        <v>43912</v>
      </c>
      <c r="B740" s="388" t="s">
        <v>3679</v>
      </c>
      <c r="C740" s="14"/>
    </row>
    <row r="741" spans="1:3" x14ac:dyDescent="0.25">
      <c r="A741" s="388">
        <v>43912</v>
      </c>
      <c r="B741" s="388" t="s">
        <v>3679</v>
      </c>
      <c r="C741" s="14"/>
    </row>
    <row r="742" spans="1:3" x14ac:dyDescent="0.25">
      <c r="A742" s="388">
        <v>43912</v>
      </c>
      <c r="B742" s="388" t="s">
        <v>3679</v>
      </c>
      <c r="C742" s="14"/>
    </row>
    <row r="743" spans="1:3" x14ac:dyDescent="0.25">
      <c r="A743" s="388">
        <v>43912</v>
      </c>
      <c r="B743" s="388" t="s">
        <v>3679</v>
      </c>
      <c r="C743" s="14"/>
    </row>
    <row r="744" spans="1:3" x14ac:dyDescent="0.25">
      <c r="A744" s="388">
        <v>43912</v>
      </c>
      <c r="B744" s="388" t="s">
        <v>3679</v>
      </c>
      <c r="C744" s="14"/>
    </row>
    <row r="745" spans="1:3" x14ac:dyDescent="0.25">
      <c r="A745" s="388">
        <v>43912</v>
      </c>
      <c r="B745" s="388" t="s">
        <v>3679</v>
      </c>
      <c r="C745" s="14"/>
    </row>
    <row r="746" spans="1:3" x14ac:dyDescent="0.25">
      <c r="A746" s="388">
        <v>43912</v>
      </c>
      <c r="B746" s="388" t="s">
        <v>3679</v>
      </c>
      <c r="C746" s="14"/>
    </row>
    <row r="747" spans="1:3" x14ac:dyDescent="0.25">
      <c r="A747" s="388">
        <v>43912</v>
      </c>
      <c r="B747" s="388" t="s">
        <v>3681</v>
      </c>
      <c r="C747" s="14"/>
    </row>
    <row r="748" spans="1:3" x14ac:dyDescent="0.25">
      <c r="A748" s="388">
        <v>43912</v>
      </c>
      <c r="B748" s="388" t="s">
        <v>3679</v>
      </c>
      <c r="C748" s="14"/>
    </row>
    <row r="749" spans="1:3" x14ac:dyDescent="0.25">
      <c r="A749" s="388">
        <v>43912</v>
      </c>
      <c r="B749" s="388" t="s">
        <v>3681</v>
      </c>
      <c r="C749" s="14"/>
    </row>
    <row r="750" spans="1:3" x14ac:dyDescent="0.25">
      <c r="A750" s="388">
        <v>43912</v>
      </c>
      <c r="B750" s="388" t="s">
        <v>3681</v>
      </c>
      <c r="C750" s="14"/>
    </row>
    <row r="751" spans="1:3" x14ac:dyDescent="0.25">
      <c r="A751" s="388">
        <v>43912</v>
      </c>
      <c r="B751" s="388" t="s">
        <v>3679</v>
      </c>
      <c r="C751" s="14"/>
    </row>
    <row r="752" spans="1:3" x14ac:dyDescent="0.25">
      <c r="A752" s="388">
        <v>43912</v>
      </c>
      <c r="B752" s="388" t="s">
        <v>3679</v>
      </c>
      <c r="C752" s="14"/>
    </row>
    <row r="753" spans="1:3" x14ac:dyDescent="0.25">
      <c r="A753" s="388">
        <v>43912</v>
      </c>
      <c r="B753" s="388" t="s">
        <v>3679</v>
      </c>
      <c r="C753" s="14"/>
    </row>
    <row r="754" spans="1:3" x14ac:dyDescent="0.25">
      <c r="A754" s="388">
        <v>43912</v>
      </c>
      <c r="B754" s="388" t="s">
        <v>3679</v>
      </c>
      <c r="C754" s="14"/>
    </row>
    <row r="755" spans="1:3" x14ac:dyDescent="0.25">
      <c r="A755" s="388">
        <v>43912</v>
      </c>
      <c r="B755" s="388" t="s">
        <v>3678</v>
      </c>
      <c r="C755" s="14"/>
    </row>
    <row r="756" spans="1:3" x14ac:dyDescent="0.25">
      <c r="A756" s="388">
        <v>43912</v>
      </c>
      <c r="B756" s="388" t="s">
        <v>3679</v>
      </c>
      <c r="C756" s="14"/>
    </row>
    <row r="757" spans="1:3" x14ac:dyDescent="0.25">
      <c r="A757" s="388">
        <v>43912</v>
      </c>
      <c r="B757" s="388" t="s">
        <v>3679</v>
      </c>
      <c r="C757" s="14"/>
    </row>
    <row r="758" spans="1:3" x14ac:dyDescent="0.25">
      <c r="A758" s="388">
        <v>43912</v>
      </c>
      <c r="B758" s="388" t="s">
        <v>3679</v>
      </c>
      <c r="C758" s="14"/>
    </row>
    <row r="759" spans="1:3" x14ac:dyDescent="0.25">
      <c r="A759" s="388">
        <v>43912</v>
      </c>
      <c r="B759" s="388" t="s">
        <v>3679</v>
      </c>
      <c r="C759" s="14"/>
    </row>
    <row r="760" spans="1:3" x14ac:dyDescent="0.25">
      <c r="A760" s="388">
        <v>43912</v>
      </c>
      <c r="B760" s="388" t="s">
        <v>3679</v>
      </c>
      <c r="C760" s="14"/>
    </row>
    <row r="761" spans="1:3" x14ac:dyDescent="0.25">
      <c r="A761" s="388">
        <v>43912</v>
      </c>
      <c r="B761" s="388" t="s">
        <v>3679</v>
      </c>
      <c r="C761" s="14"/>
    </row>
    <row r="762" spans="1:3" x14ac:dyDescent="0.25">
      <c r="A762" s="388">
        <v>43912</v>
      </c>
      <c r="B762" s="388" t="s">
        <v>3679</v>
      </c>
      <c r="C762" s="14"/>
    </row>
    <row r="763" spans="1:3" x14ac:dyDescent="0.25">
      <c r="A763" s="388">
        <v>43912</v>
      </c>
      <c r="B763" s="388" t="s">
        <v>3679</v>
      </c>
      <c r="C763" s="14"/>
    </row>
    <row r="764" spans="1:3" x14ac:dyDescent="0.25">
      <c r="A764" s="388">
        <v>43912</v>
      </c>
      <c r="B764" s="388" t="s">
        <v>3679</v>
      </c>
      <c r="C764" s="14"/>
    </row>
    <row r="765" spans="1:3" x14ac:dyDescent="0.25">
      <c r="A765" s="388">
        <v>43912</v>
      </c>
      <c r="B765" s="388" t="s">
        <v>3679</v>
      </c>
      <c r="C765" s="14"/>
    </row>
    <row r="766" spans="1:3" x14ac:dyDescent="0.25">
      <c r="A766" s="388">
        <v>43912</v>
      </c>
      <c r="B766" s="388" t="s">
        <v>3679</v>
      </c>
      <c r="C766" s="14"/>
    </row>
    <row r="767" spans="1:3" x14ac:dyDescent="0.25">
      <c r="A767" s="388">
        <v>43912</v>
      </c>
      <c r="B767" s="388" t="s">
        <v>3679</v>
      </c>
      <c r="C767" s="14"/>
    </row>
    <row r="768" spans="1:3" x14ac:dyDescent="0.25">
      <c r="A768" s="388">
        <v>43912</v>
      </c>
      <c r="B768" s="388" t="s">
        <v>3679</v>
      </c>
      <c r="C768" s="14"/>
    </row>
    <row r="769" spans="1:3" x14ac:dyDescent="0.25">
      <c r="A769" s="388">
        <v>43912</v>
      </c>
      <c r="B769" s="388" t="s">
        <v>3679</v>
      </c>
      <c r="C769" s="14"/>
    </row>
    <row r="770" spans="1:3" x14ac:dyDescent="0.25">
      <c r="A770" s="388">
        <v>43912</v>
      </c>
      <c r="B770" s="388" t="s">
        <v>3678</v>
      </c>
      <c r="C770" s="14"/>
    </row>
    <row r="771" spans="1:3" x14ac:dyDescent="0.25">
      <c r="A771" s="388">
        <v>43912</v>
      </c>
      <c r="B771" s="388" t="s">
        <v>3679</v>
      </c>
      <c r="C771" s="14"/>
    </row>
    <row r="772" spans="1:3" x14ac:dyDescent="0.25">
      <c r="A772" s="388">
        <v>43912</v>
      </c>
      <c r="B772" s="388" t="s">
        <v>3679</v>
      </c>
      <c r="C772" s="14"/>
    </row>
    <row r="773" spans="1:3" x14ac:dyDescent="0.25">
      <c r="A773" s="388">
        <v>43912</v>
      </c>
      <c r="B773" s="388" t="s">
        <v>3679</v>
      </c>
      <c r="C773" s="14"/>
    </row>
    <row r="774" spans="1:3" x14ac:dyDescent="0.25">
      <c r="A774" s="388">
        <v>43912</v>
      </c>
      <c r="B774" s="388" t="s">
        <v>3678</v>
      </c>
      <c r="C774" s="14"/>
    </row>
    <row r="775" spans="1:3" x14ac:dyDescent="0.25">
      <c r="A775" s="388">
        <v>43912</v>
      </c>
      <c r="B775" s="388" t="s">
        <v>3679</v>
      </c>
      <c r="C775" s="14"/>
    </row>
    <row r="776" spans="1:3" x14ac:dyDescent="0.25">
      <c r="A776" s="388">
        <v>43912</v>
      </c>
      <c r="B776" s="388" t="s">
        <v>3679</v>
      </c>
      <c r="C776" s="14"/>
    </row>
    <row r="777" spans="1:3" x14ac:dyDescent="0.25">
      <c r="A777" s="388">
        <v>43912</v>
      </c>
      <c r="B777" s="388" t="s">
        <v>3679</v>
      </c>
      <c r="C777" s="14"/>
    </row>
    <row r="778" spans="1:3" x14ac:dyDescent="0.25">
      <c r="A778" s="388">
        <v>43912</v>
      </c>
      <c r="B778" s="388" t="s">
        <v>3681</v>
      </c>
      <c r="C778" s="14"/>
    </row>
    <row r="779" spans="1:3" x14ac:dyDescent="0.25">
      <c r="A779" s="388">
        <v>43912</v>
      </c>
      <c r="B779" s="388" t="s">
        <v>3679</v>
      </c>
      <c r="C779" s="14"/>
    </row>
    <row r="780" spans="1:3" x14ac:dyDescent="0.25">
      <c r="A780" s="388">
        <v>43912</v>
      </c>
      <c r="B780" s="388" t="s">
        <v>3679</v>
      </c>
      <c r="C780" s="14"/>
    </row>
    <row r="781" spans="1:3" x14ac:dyDescent="0.25">
      <c r="A781" s="388">
        <v>43912</v>
      </c>
      <c r="B781" s="388" t="s">
        <v>3679</v>
      </c>
      <c r="C781" s="14"/>
    </row>
    <row r="782" spans="1:3" x14ac:dyDescent="0.25">
      <c r="A782" s="388">
        <v>43912</v>
      </c>
      <c r="B782" s="388" t="s">
        <v>3679</v>
      </c>
      <c r="C782" s="14"/>
    </row>
    <row r="783" spans="1:3" x14ac:dyDescent="0.25">
      <c r="A783" s="388">
        <v>43912</v>
      </c>
      <c r="B783" s="388" t="s">
        <v>3679</v>
      </c>
      <c r="C783" s="14"/>
    </row>
    <row r="784" spans="1:3" x14ac:dyDescent="0.25">
      <c r="A784" s="388">
        <v>43912</v>
      </c>
      <c r="B784" s="388" t="s">
        <v>3679</v>
      </c>
      <c r="C784" s="14"/>
    </row>
    <row r="785" spans="1:3" x14ac:dyDescent="0.25">
      <c r="A785" s="388">
        <v>43912</v>
      </c>
      <c r="B785" s="388" t="s">
        <v>3679</v>
      </c>
      <c r="C785" s="14"/>
    </row>
    <row r="786" spans="1:3" x14ac:dyDescent="0.25">
      <c r="A786" s="388">
        <v>43912</v>
      </c>
      <c r="B786" s="388" t="s">
        <v>3679</v>
      </c>
      <c r="C786" s="14"/>
    </row>
    <row r="787" spans="1:3" x14ac:dyDescent="0.25">
      <c r="A787" s="388">
        <v>43912</v>
      </c>
      <c r="B787" s="388" t="s">
        <v>3679</v>
      </c>
      <c r="C787" s="14"/>
    </row>
    <row r="788" spans="1:3" x14ac:dyDescent="0.25">
      <c r="A788" s="388">
        <v>43912</v>
      </c>
      <c r="B788" s="388" t="s">
        <v>3679</v>
      </c>
      <c r="C788" s="14"/>
    </row>
    <row r="789" spans="1:3" x14ac:dyDescent="0.25">
      <c r="A789" s="388">
        <v>43912</v>
      </c>
      <c r="B789" s="388" t="s">
        <v>3679</v>
      </c>
      <c r="C789" s="14"/>
    </row>
    <row r="790" spans="1:3" x14ac:dyDescent="0.25">
      <c r="A790" s="388">
        <v>43912</v>
      </c>
      <c r="B790" s="388" t="s">
        <v>3679</v>
      </c>
      <c r="C790" s="14"/>
    </row>
    <row r="791" spans="1:3" x14ac:dyDescent="0.25">
      <c r="A791" s="388">
        <v>43912</v>
      </c>
      <c r="B791" s="388" t="s">
        <v>3678</v>
      </c>
      <c r="C791" s="14"/>
    </row>
    <row r="792" spans="1:3" x14ac:dyDescent="0.25">
      <c r="A792" s="388">
        <v>43912</v>
      </c>
      <c r="B792" s="388" t="s">
        <v>3679</v>
      </c>
      <c r="C792" s="14"/>
    </row>
    <row r="793" spans="1:3" x14ac:dyDescent="0.25">
      <c r="A793" s="388">
        <v>43912</v>
      </c>
      <c r="B793" s="388" t="s">
        <v>3680</v>
      </c>
      <c r="C793" s="14"/>
    </row>
    <row r="794" spans="1:3" x14ac:dyDescent="0.25">
      <c r="A794" s="388">
        <v>43912</v>
      </c>
      <c r="B794" s="388" t="s">
        <v>3679</v>
      </c>
      <c r="C794" s="14"/>
    </row>
    <row r="795" spans="1:3" x14ac:dyDescent="0.25">
      <c r="A795" s="388">
        <v>43912</v>
      </c>
      <c r="B795" s="388" t="s">
        <v>3678</v>
      </c>
      <c r="C795" s="14"/>
    </row>
    <row r="796" spans="1:3" x14ac:dyDescent="0.25">
      <c r="A796" s="388">
        <v>43912</v>
      </c>
      <c r="B796" s="388" t="s">
        <v>3681</v>
      </c>
      <c r="C796" s="14"/>
    </row>
    <row r="797" spans="1:3" x14ac:dyDescent="0.25">
      <c r="A797" s="388">
        <v>43912</v>
      </c>
      <c r="B797" s="388" t="s">
        <v>3680</v>
      </c>
      <c r="C797" s="14"/>
    </row>
    <row r="798" spans="1:3" x14ac:dyDescent="0.25">
      <c r="A798" s="388">
        <v>43912</v>
      </c>
      <c r="B798" s="388" t="s">
        <v>3679</v>
      </c>
      <c r="C798" s="14"/>
    </row>
    <row r="799" spans="1:3" x14ac:dyDescent="0.25">
      <c r="A799" s="388">
        <v>43912</v>
      </c>
      <c r="B799" s="388" t="s">
        <v>3679</v>
      </c>
      <c r="C799" s="14"/>
    </row>
    <row r="800" spans="1:3" x14ac:dyDescent="0.25">
      <c r="A800" s="388">
        <v>43912</v>
      </c>
      <c r="B800" s="388" t="s">
        <v>3679</v>
      </c>
      <c r="C800" s="14"/>
    </row>
    <row r="801" spans="1:3" x14ac:dyDescent="0.25">
      <c r="A801" s="388">
        <v>43912</v>
      </c>
      <c r="B801" s="388" t="s">
        <v>3678</v>
      </c>
      <c r="C801" s="14"/>
    </row>
    <row r="802" spans="1:3" x14ac:dyDescent="0.25">
      <c r="A802" s="388">
        <v>43912</v>
      </c>
      <c r="B802" s="388" t="s">
        <v>3679</v>
      </c>
      <c r="C802" s="14"/>
    </row>
    <row r="803" spans="1:3" x14ac:dyDescent="0.25">
      <c r="A803" s="388">
        <v>43912</v>
      </c>
      <c r="B803" s="388" t="s">
        <v>3679</v>
      </c>
      <c r="C803" s="14"/>
    </row>
    <row r="804" spans="1:3" x14ac:dyDescent="0.25">
      <c r="A804" s="388">
        <v>43912</v>
      </c>
      <c r="B804" s="388" t="s">
        <v>3679</v>
      </c>
      <c r="C804" s="14"/>
    </row>
    <row r="805" spans="1:3" x14ac:dyDescent="0.25">
      <c r="A805" s="388">
        <v>43912</v>
      </c>
      <c r="B805" s="388" t="s">
        <v>3679</v>
      </c>
      <c r="C805" s="14"/>
    </row>
    <row r="806" spans="1:3" x14ac:dyDescent="0.25">
      <c r="A806" s="388">
        <v>43912</v>
      </c>
      <c r="B806" s="388" t="s">
        <v>3679</v>
      </c>
      <c r="C806" s="14"/>
    </row>
    <row r="807" spans="1:3" x14ac:dyDescent="0.25">
      <c r="A807" s="388">
        <v>43912</v>
      </c>
      <c r="B807" s="388" t="s">
        <v>3679</v>
      </c>
      <c r="C807" s="14"/>
    </row>
    <row r="808" spans="1:3" x14ac:dyDescent="0.25">
      <c r="A808" s="388">
        <v>43912</v>
      </c>
      <c r="B808" s="388" t="s">
        <v>3681</v>
      </c>
      <c r="C808" s="14"/>
    </row>
    <row r="809" spans="1:3" x14ac:dyDescent="0.25">
      <c r="A809" s="388">
        <v>43913</v>
      </c>
      <c r="B809" s="388" t="s">
        <v>3679</v>
      </c>
      <c r="C809" s="14"/>
    </row>
    <row r="810" spans="1:3" x14ac:dyDescent="0.25">
      <c r="A810" s="388">
        <v>43913</v>
      </c>
      <c r="B810" s="388" t="s">
        <v>3679</v>
      </c>
      <c r="C810" s="14"/>
    </row>
    <row r="811" spans="1:3" x14ac:dyDescent="0.25">
      <c r="A811" s="388">
        <v>43913</v>
      </c>
      <c r="B811" s="388" t="s">
        <v>3679</v>
      </c>
      <c r="C811" s="14"/>
    </row>
    <row r="812" spans="1:3" x14ac:dyDescent="0.25">
      <c r="A812" s="388">
        <v>43913</v>
      </c>
      <c r="B812" s="388" t="s">
        <v>3679</v>
      </c>
      <c r="C812" s="14"/>
    </row>
    <row r="813" spans="1:3" x14ac:dyDescent="0.25">
      <c r="A813" s="388">
        <v>43913</v>
      </c>
      <c r="B813" s="388" t="s">
        <v>3679</v>
      </c>
      <c r="C813" s="14"/>
    </row>
    <row r="814" spans="1:3" x14ac:dyDescent="0.25">
      <c r="A814" s="388">
        <v>43913</v>
      </c>
      <c r="B814" s="388" t="s">
        <v>3679</v>
      </c>
      <c r="C814" s="14"/>
    </row>
    <row r="815" spans="1:3" x14ac:dyDescent="0.25">
      <c r="A815" s="388">
        <v>43913</v>
      </c>
      <c r="B815" s="388" t="s">
        <v>3679</v>
      </c>
      <c r="C815" s="14"/>
    </row>
    <row r="816" spans="1:3" x14ac:dyDescent="0.25">
      <c r="A816" s="388">
        <v>43913</v>
      </c>
      <c r="B816" s="388" t="s">
        <v>3678</v>
      </c>
      <c r="C816" s="14"/>
    </row>
    <row r="817" spans="1:3" x14ac:dyDescent="0.25">
      <c r="A817" s="388">
        <v>43913</v>
      </c>
      <c r="B817" s="388" t="s">
        <v>3679</v>
      </c>
      <c r="C817" s="14"/>
    </row>
    <row r="818" spans="1:3" x14ac:dyDescent="0.25">
      <c r="A818" s="388">
        <v>43913</v>
      </c>
      <c r="B818" s="388" t="s">
        <v>3679</v>
      </c>
      <c r="C818" s="14"/>
    </row>
    <row r="819" spans="1:3" x14ac:dyDescent="0.25">
      <c r="A819" s="388">
        <v>43913</v>
      </c>
      <c r="B819" s="388" t="s">
        <v>3678</v>
      </c>
      <c r="C819" s="14"/>
    </row>
    <row r="820" spans="1:3" x14ac:dyDescent="0.25">
      <c r="A820" s="388">
        <v>43913</v>
      </c>
      <c r="B820" s="388" t="s">
        <v>3678</v>
      </c>
      <c r="C820" s="14"/>
    </row>
    <row r="821" spans="1:3" x14ac:dyDescent="0.25">
      <c r="A821" s="388">
        <v>43913</v>
      </c>
      <c r="B821" s="388" t="s">
        <v>3678</v>
      </c>
      <c r="C821" s="14"/>
    </row>
    <row r="822" spans="1:3" x14ac:dyDescent="0.25">
      <c r="A822" s="388">
        <v>43913</v>
      </c>
      <c r="B822" s="388" t="s">
        <v>3679</v>
      </c>
      <c r="C822" s="14"/>
    </row>
    <row r="823" spans="1:3" x14ac:dyDescent="0.25">
      <c r="A823" s="388">
        <v>43913</v>
      </c>
      <c r="B823" s="388" t="s">
        <v>3679</v>
      </c>
      <c r="C823" s="14"/>
    </row>
    <row r="824" spans="1:3" x14ac:dyDescent="0.25">
      <c r="A824" s="388">
        <v>43913</v>
      </c>
      <c r="B824" s="388" t="s">
        <v>3679</v>
      </c>
      <c r="C824" s="14"/>
    </row>
    <row r="825" spans="1:3" x14ac:dyDescent="0.25">
      <c r="A825" s="388">
        <v>43913</v>
      </c>
      <c r="B825" s="388" t="s">
        <v>3679</v>
      </c>
      <c r="C825" s="14"/>
    </row>
    <row r="826" spans="1:3" x14ac:dyDescent="0.25">
      <c r="A826" s="388">
        <v>43913</v>
      </c>
      <c r="B826" s="388" t="s">
        <v>3678</v>
      </c>
      <c r="C826" s="14"/>
    </row>
    <row r="827" spans="1:3" x14ac:dyDescent="0.25">
      <c r="A827" s="388">
        <v>43913</v>
      </c>
      <c r="B827" s="388" t="s">
        <v>3679</v>
      </c>
      <c r="C827" s="14"/>
    </row>
    <row r="828" spans="1:3" x14ac:dyDescent="0.25">
      <c r="A828" s="388">
        <v>43913</v>
      </c>
      <c r="B828" s="388" t="s">
        <v>3679</v>
      </c>
      <c r="C828" s="14"/>
    </row>
    <row r="829" spans="1:3" x14ac:dyDescent="0.25">
      <c r="A829" s="388">
        <v>43913</v>
      </c>
      <c r="B829" s="388" t="s">
        <v>3680</v>
      </c>
      <c r="C829" s="14"/>
    </row>
    <row r="830" spans="1:3" x14ac:dyDescent="0.25">
      <c r="A830" s="388">
        <v>43913</v>
      </c>
      <c r="B830" s="388" t="s">
        <v>3679</v>
      </c>
      <c r="C830" s="14"/>
    </row>
    <row r="831" spans="1:3" x14ac:dyDescent="0.25">
      <c r="A831" s="388">
        <v>43913</v>
      </c>
      <c r="B831" s="388" t="s">
        <v>3679</v>
      </c>
      <c r="C831" s="14"/>
    </row>
    <row r="832" spans="1:3" x14ac:dyDescent="0.25">
      <c r="A832" s="388">
        <v>43913</v>
      </c>
      <c r="B832" s="388" t="s">
        <v>3679</v>
      </c>
      <c r="C832" s="14"/>
    </row>
    <row r="833" spans="1:3" x14ac:dyDescent="0.25">
      <c r="A833" s="388">
        <v>43913</v>
      </c>
      <c r="B833" s="388" t="s">
        <v>3679</v>
      </c>
      <c r="C833" s="14"/>
    </row>
    <row r="834" spans="1:3" x14ac:dyDescent="0.25">
      <c r="A834" s="388">
        <v>43913</v>
      </c>
      <c r="B834" s="388" t="s">
        <v>3679</v>
      </c>
      <c r="C834" s="14"/>
    </row>
    <row r="835" spans="1:3" x14ac:dyDescent="0.25">
      <c r="A835" s="388">
        <v>43913</v>
      </c>
      <c r="B835" s="388" t="s">
        <v>3679</v>
      </c>
      <c r="C835" s="14"/>
    </row>
    <row r="836" spans="1:3" x14ac:dyDescent="0.25">
      <c r="A836" s="388">
        <v>43913</v>
      </c>
      <c r="B836" s="388" t="s">
        <v>3679</v>
      </c>
      <c r="C836" s="14"/>
    </row>
    <row r="837" spans="1:3" x14ac:dyDescent="0.25">
      <c r="A837" s="388">
        <v>43913</v>
      </c>
      <c r="B837" s="388" t="s">
        <v>3679</v>
      </c>
      <c r="C837" s="14"/>
    </row>
    <row r="838" spans="1:3" x14ac:dyDescent="0.25">
      <c r="A838" s="388">
        <v>43913</v>
      </c>
      <c r="B838" s="388" t="s">
        <v>3679</v>
      </c>
      <c r="C838" s="14"/>
    </row>
    <row r="839" spans="1:3" x14ac:dyDescent="0.25">
      <c r="A839" s="388">
        <v>43913</v>
      </c>
      <c r="B839" s="388" t="s">
        <v>3679</v>
      </c>
      <c r="C839" s="14"/>
    </row>
    <row r="840" spans="1:3" x14ac:dyDescent="0.25">
      <c r="A840" s="388">
        <v>43913</v>
      </c>
      <c r="B840" s="388" t="s">
        <v>3678</v>
      </c>
      <c r="C840" s="14"/>
    </row>
    <row r="841" spans="1:3" x14ac:dyDescent="0.25">
      <c r="A841" s="388">
        <v>43913</v>
      </c>
      <c r="B841" s="388" t="s">
        <v>3679</v>
      </c>
      <c r="C841" s="14"/>
    </row>
    <row r="842" spans="1:3" x14ac:dyDescent="0.25">
      <c r="A842" s="388">
        <v>43913</v>
      </c>
      <c r="B842" s="388" t="s">
        <v>3679</v>
      </c>
      <c r="C842" s="14"/>
    </row>
    <row r="843" spans="1:3" x14ac:dyDescent="0.25">
      <c r="A843" s="388">
        <v>43913</v>
      </c>
      <c r="B843" s="388" t="s">
        <v>3679</v>
      </c>
      <c r="C843" s="14"/>
    </row>
    <row r="844" spans="1:3" x14ac:dyDescent="0.25">
      <c r="A844" s="388">
        <v>43913</v>
      </c>
      <c r="B844" s="388" t="s">
        <v>3679</v>
      </c>
      <c r="C844" s="14"/>
    </row>
    <row r="845" spans="1:3" x14ac:dyDescent="0.25">
      <c r="A845" s="388">
        <v>43913</v>
      </c>
      <c r="B845" s="388" t="s">
        <v>3679</v>
      </c>
      <c r="C845" s="14"/>
    </row>
    <row r="846" spans="1:3" x14ac:dyDescent="0.25">
      <c r="A846" s="388">
        <v>43913</v>
      </c>
      <c r="B846" s="388" t="s">
        <v>3679</v>
      </c>
      <c r="C846" s="14"/>
    </row>
    <row r="847" spans="1:3" x14ac:dyDescent="0.25">
      <c r="A847" s="388">
        <v>43913</v>
      </c>
      <c r="B847" s="388" t="s">
        <v>3679</v>
      </c>
      <c r="C847" s="14"/>
    </row>
    <row r="848" spans="1:3" x14ac:dyDescent="0.25">
      <c r="A848" s="388">
        <v>43913</v>
      </c>
      <c r="B848" s="388" t="s">
        <v>3679</v>
      </c>
      <c r="C848" s="14"/>
    </row>
    <row r="849" spans="1:3" x14ac:dyDescent="0.25">
      <c r="A849" s="388">
        <v>43913</v>
      </c>
      <c r="B849" s="388" t="s">
        <v>3679</v>
      </c>
      <c r="C849" s="14"/>
    </row>
    <row r="850" spans="1:3" x14ac:dyDescent="0.25">
      <c r="A850" s="388">
        <v>43913</v>
      </c>
      <c r="B850" s="388" t="s">
        <v>3679</v>
      </c>
      <c r="C850" s="14"/>
    </row>
    <row r="851" spans="1:3" x14ac:dyDescent="0.25">
      <c r="A851" s="388">
        <v>43913</v>
      </c>
      <c r="B851" s="388" t="s">
        <v>3679</v>
      </c>
      <c r="C851" s="14"/>
    </row>
    <row r="852" spans="1:3" x14ac:dyDescent="0.25">
      <c r="A852" s="388">
        <v>43913</v>
      </c>
      <c r="B852" s="388" t="s">
        <v>3678</v>
      </c>
      <c r="C852" s="14"/>
    </row>
    <row r="853" spans="1:3" x14ac:dyDescent="0.25">
      <c r="A853" s="388">
        <v>43913</v>
      </c>
      <c r="B853" s="388" t="s">
        <v>3679</v>
      </c>
      <c r="C853" s="14"/>
    </row>
    <row r="854" spans="1:3" x14ac:dyDescent="0.25">
      <c r="A854" s="388">
        <v>43913</v>
      </c>
      <c r="B854" s="388" t="s">
        <v>3679</v>
      </c>
      <c r="C854" s="14"/>
    </row>
    <row r="855" spans="1:3" x14ac:dyDescent="0.25">
      <c r="A855" s="388">
        <v>43913</v>
      </c>
      <c r="B855" s="388" t="s">
        <v>3679</v>
      </c>
      <c r="C855" s="14"/>
    </row>
    <row r="856" spans="1:3" x14ac:dyDescent="0.25">
      <c r="A856" s="388">
        <v>43913</v>
      </c>
      <c r="B856" s="388" t="s">
        <v>3679</v>
      </c>
      <c r="C856" s="14"/>
    </row>
    <row r="857" spans="1:3" x14ac:dyDescent="0.25">
      <c r="A857" s="388">
        <v>43913</v>
      </c>
      <c r="B857" s="388" t="s">
        <v>3679</v>
      </c>
      <c r="C857" s="14"/>
    </row>
    <row r="858" spans="1:3" x14ac:dyDescent="0.25">
      <c r="A858" s="388">
        <v>43913</v>
      </c>
      <c r="B858" s="388" t="s">
        <v>3679</v>
      </c>
      <c r="C858" s="14"/>
    </row>
    <row r="859" spans="1:3" x14ac:dyDescent="0.25">
      <c r="A859" s="388">
        <v>43913</v>
      </c>
      <c r="B859" s="388" t="s">
        <v>3679</v>
      </c>
      <c r="C859" s="14"/>
    </row>
    <row r="860" spans="1:3" x14ac:dyDescent="0.25">
      <c r="A860" s="388">
        <v>43913</v>
      </c>
      <c r="B860" s="388" t="s">
        <v>3680</v>
      </c>
      <c r="C860" s="14"/>
    </row>
    <row r="861" spans="1:3" x14ac:dyDescent="0.25">
      <c r="A861" s="388">
        <v>43913</v>
      </c>
      <c r="B861" s="388" t="s">
        <v>3678</v>
      </c>
      <c r="C861" s="14"/>
    </row>
    <row r="862" spans="1:3" x14ac:dyDescent="0.25">
      <c r="A862" s="388">
        <v>43913</v>
      </c>
      <c r="B862" s="388" t="s">
        <v>3679</v>
      </c>
      <c r="C862" s="14"/>
    </row>
    <row r="863" spans="1:3" x14ac:dyDescent="0.25">
      <c r="A863" s="388">
        <v>43913</v>
      </c>
      <c r="B863" s="388" t="s">
        <v>3679</v>
      </c>
      <c r="C863" s="14"/>
    </row>
    <row r="864" spans="1:3" x14ac:dyDescent="0.25">
      <c r="A864" s="388">
        <v>43913</v>
      </c>
      <c r="B864" s="388" t="s">
        <v>3679</v>
      </c>
      <c r="C864" s="14"/>
    </row>
    <row r="865" spans="1:3" x14ac:dyDescent="0.25">
      <c r="A865" s="388">
        <v>43913</v>
      </c>
      <c r="B865" s="388" t="s">
        <v>3679</v>
      </c>
      <c r="C865" s="14"/>
    </row>
    <row r="866" spans="1:3" x14ac:dyDescent="0.25">
      <c r="A866" s="388">
        <v>43913</v>
      </c>
      <c r="B866" s="388" t="s">
        <v>3679</v>
      </c>
      <c r="C866" s="14"/>
    </row>
    <row r="867" spans="1:3" x14ac:dyDescent="0.25">
      <c r="A867" s="388">
        <v>43913</v>
      </c>
      <c r="B867" s="388" t="s">
        <v>3679</v>
      </c>
      <c r="C867" s="14"/>
    </row>
    <row r="868" spans="1:3" x14ac:dyDescent="0.25">
      <c r="A868" s="388">
        <v>43913</v>
      </c>
      <c r="B868" s="388" t="s">
        <v>3678</v>
      </c>
      <c r="C868" s="14"/>
    </row>
    <row r="869" spans="1:3" x14ac:dyDescent="0.25">
      <c r="A869" s="388">
        <v>43913</v>
      </c>
      <c r="B869" s="388" t="s">
        <v>3678</v>
      </c>
      <c r="C869" s="14"/>
    </row>
    <row r="870" spans="1:3" x14ac:dyDescent="0.25">
      <c r="A870" s="388">
        <v>43913</v>
      </c>
      <c r="B870" s="388" t="s">
        <v>3679</v>
      </c>
      <c r="C870" s="14"/>
    </row>
    <row r="871" spans="1:3" x14ac:dyDescent="0.25">
      <c r="A871" s="388">
        <v>43913</v>
      </c>
      <c r="B871" s="388" t="s">
        <v>3679</v>
      </c>
      <c r="C871" s="14"/>
    </row>
    <row r="872" spans="1:3" x14ac:dyDescent="0.25">
      <c r="A872" s="388">
        <v>43913</v>
      </c>
      <c r="B872" s="388" t="s">
        <v>3678</v>
      </c>
      <c r="C872" s="14"/>
    </row>
    <row r="873" spans="1:3" x14ac:dyDescent="0.25">
      <c r="A873" s="388">
        <v>43913</v>
      </c>
      <c r="B873" s="388" t="s">
        <v>3679</v>
      </c>
      <c r="C873" s="14"/>
    </row>
    <row r="874" spans="1:3" x14ac:dyDescent="0.25">
      <c r="A874" s="388">
        <v>43913</v>
      </c>
      <c r="B874" s="388" t="s">
        <v>3678</v>
      </c>
      <c r="C874" s="14"/>
    </row>
    <row r="875" spans="1:3" x14ac:dyDescent="0.25">
      <c r="A875" s="388">
        <v>43913</v>
      </c>
      <c r="B875" s="388" t="s">
        <v>3680</v>
      </c>
      <c r="C875" s="14"/>
    </row>
    <row r="876" spans="1:3" x14ac:dyDescent="0.25">
      <c r="A876" s="388">
        <v>43913</v>
      </c>
      <c r="B876" s="388" t="s">
        <v>3679</v>
      </c>
      <c r="C876" s="14"/>
    </row>
    <row r="877" spans="1:3" x14ac:dyDescent="0.25">
      <c r="A877" s="388">
        <v>43913</v>
      </c>
      <c r="B877" s="388" t="s">
        <v>3678</v>
      </c>
      <c r="C877" s="14"/>
    </row>
    <row r="878" spans="1:3" x14ac:dyDescent="0.25">
      <c r="A878" s="388">
        <v>43913</v>
      </c>
      <c r="B878" s="388" t="s">
        <v>3678</v>
      </c>
      <c r="C878" s="14"/>
    </row>
    <row r="879" spans="1:3" x14ac:dyDescent="0.25">
      <c r="A879" s="388">
        <v>43913</v>
      </c>
      <c r="B879" s="388" t="s">
        <v>3679</v>
      </c>
      <c r="C879" s="14"/>
    </row>
    <row r="880" spans="1:3" x14ac:dyDescent="0.25">
      <c r="A880" s="388">
        <v>43913</v>
      </c>
      <c r="B880" s="388" t="s">
        <v>3679</v>
      </c>
      <c r="C880" s="14"/>
    </row>
    <row r="881" spans="1:3" x14ac:dyDescent="0.25">
      <c r="A881" s="388">
        <v>43913</v>
      </c>
      <c r="B881" s="388" t="s">
        <v>3679</v>
      </c>
      <c r="C881" s="14"/>
    </row>
    <row r="882" spans="1:3" x14ac:dyDescent="0.25">
      <c r="A882" s="388">
        <v>43913</v>
      </c>
      <c r="B882" s="388" t="s">
        <v>3679</v>
      </c>
      <c r="C882" s="14"/>
    </row>
    <row r="883" spans="1:3" x14ac:dyDescent="0.25">
      <c r="A883" s="388">
        <v>43913</v>
      </c>
      <c r="B883" s="388" t="s">
        <v>3678</v>
      </c>
      <c r="C883" s="14"/>
    </row>
    <row r="884" spans="1:3" x14ac:dyDescent="0.25">
      <c r="A884" s="388">
        <v>43913</v>
      </c>
      <c r="B884" s="388" t="s">
        <v>3679</v>
      </c>
      <c r="C884" s="14"/>
    </row>
    <row r="885" spans="1:3" x14ac:dyDescent="0.25">
      <c r="A885" s="388">
        <v>43913</v>
      </c>
      <c r="B885" s="388" t="s">
        <v>3679</v>
      </c>
      <c r="C885" s="14"/>
    </row>
    <row r="886" spans="1:3" x14ac:dyDescent="0.25">
      <c r="A886" s="388">
        <v>43913</v>
      </c>
      <c r="B886" s="388" t="s">
        <v>3679</v>
      </c>
      <c r="C886" s="14"/>
    </row>
    <row r="887" spans="1:3" x14ac:dyDescent="0.25">
      <c r="A887" s="388">
        <v>43913</v>
      </c>
      <c r="B887" s="388" t="s">
        <v>3680</v>
      </c>
      <c r="C887" s="14"/>
    </row>
    <row r="888" spans="1:3" x14ac:dyDescent="0.25">
      <c r="A888" s="388">
        <v>43913</v>
      </c>
      <c r="B888" s="388" t="s">
        <v>3679</v>
      </c>
      <c r="C888" s="14"/>
    </row>
    <row r="889" spans="1:3" x14ac:dyDescent="0.25">
      <c r="A889" s="388">
        <v>43913</v>
      </c>
      <c r="B889" s="388" t="s">
        <v>3679</v>
      </c>
      <c r="C889" s="14"/>
    </row>
    <row r="890" spans="1:3" x14ac:dyDescent="0.25">
      <c r="A890" s="388">
        <v>43913</v>
      </c>
      <c r="B890" s="388" t="s">
        <v>3679</v>
      </c>
      <c r="C890" s="14"/>
    </row>
    <row r="891" spans="1:3" x14ac:dyDescent="0.25">
      <c r="A891" s="388">
        <v>43913</v>
      </c>
      <c r="B891" s="388" t="s">
        <v>3680</v>
      </c>
      <c r="C891" s="14"/>
    </row>
    <row r="892" spans="1:3" x14ac:dyDescent="0.25">
      <c r="A892" s="388">
        <v>43913</v>
      </c>
      <c r="B892" s="388" t="s">
        <v>3680</v>
      </c>
      <c r="C892" s="14"/>
    </row>
    <row r="893" spans="1:3" x14ac:dyDescent="0.25">
      <c r="A893" s="388">
        <v>43913</v>
      </c>
      <c r="B893" s="388" t="s">
        <v>3680</v>
      </c>
      <c r="C893" s="14"/>
    </row>
    <row r="894" spans="1:3" x14ac:dyDescent="0.25">
      <c r="A894" s="388">
        <v>43913</v>
      </c>
      <c r="B894" s="388" t="s">
        <v>3679</v>
      </c>
      <c r="C894" s="14"/>
    </row>
    <row r="895" spans="1:3" x14ac:dyDescent="0.25">
      <c r="A895" s="388">
        <v>43913</v>
      </c>
      <c r="B895" s="388" t="s">
        <v>3679</v>
      </c>
      <c r="C895" s="14"/>
    </row>
    <row r="896" spans="1:3" x14ac:dyDescent="0.25">
      <c r="A896" s="388">
        <v>43913</v>
      </c>
      <c r="B896" s="388" t="s">
        <v>3679</v>
      </c>
      <c r="C896" s="14"/>
    </row>
    <row r="897" spans="1:3" x14ac:dyDescent="0.25">
      <c r="A897" s="388">
        <v>43913</v>
      </c>
      <c r="B897" s="388" t="s">
        <v>3679</v>
      </c>
      <c r="C897" s="14"/>
    </row>
    <row r="898" spans="1:3" x14ac:dyDescent="0.25">
      <c r="A898" s="388">
        <v>43913</v>
      </c>
      <c r="B898" s="388" t="s">
        <v>3678</v>
      </c>
      <c r="C898" s="14"/>
    </row>
    <row r="899" spans="1:3" x14ac:dyDescent="0.25">
      <c r="A899" s="388">
        <v>43913</v>
      </c>
      <c r="B899" s="388" t="s">
        <v>3679</v>
      </c>
      <c r="C899" s="14"/>
    </row>
    <row r="900" spans="1:3" x14ac:dyDescent="0.25">
      <c r="A900" s="388">
        <v>43913</v>
      </c>
      <c r="B900" s="388" t="s">
        <v>3679</v>
      </c>
      <c r="C900" s="14"/>
    </row>
    <row r="901" spans="1:3" x14ac:dyDescent="0.25">
      <c r="A901" s="388">
        <v>43913</v>
      </c>
      <c r="B901" s="388" t="s">
        <v>3681</v>
      </c>
      <c r="C901" s="14"/>
    </row>
    <row r="902" spans="1:3" x14ac:dyDescent="0.25">
      <c r="A902" s="388">
        <v>43913</v>
      </c>
      <c r="B902" s="388" t="s">
        <v>3679</v>
      </c>
      <c r="C902" s="14"/>
    </row>
    <row r="903" spans="1:3" x14ac:dyDescent="0.25">
      <c r="A903" s="388">
        <v>43913</v>
      </c>
      <c r="B903" s="388" t="s">
        <v>3679</v>
      </c>
      <c r="C903" s="14"/>
    </row>
    <row r="904" spans="1:3" x14ac:dyDescent="0.25">
      <c r="A904" s="388">
        <v>43913</v>
      </c>
      <c r="B904" s="388" t="s">
        <v>3679</v>
      </c>
      <c r="C904" s="14"/>
    </row>
    <row r="905" spans="1:3" x14ac:dyDescent="0.25">
      <c r="A905" s="388">
        <v>43913</v>
      </c>
      <c r="B905" s="388" t="s">
        <v>3680</v>
      </c>
      <c r="C905" s="14"/>
    </row>
    <row r="906" spans="1:3" x14ac:dyDescent="0.25">
      <c r="A906" s="388">
        <v>43913</v>
      </c>
      <c r="B906" s="388" t="s">
        <v>3679</v>
      </c>
      <c r="C906" s="14"/>
    </row>
    <row r="907" spans="1:3" x14ac:dyDescent="0.25">
      <c r="A907" s="388">
        <v>43913</v>
      </c>
      <c r="B907" s="388" t="s">
        <v>3679</v>
      </c>
      <c r="C907" s="14"/>
    </row>
    <row r="908" spans="1:3" x14ac:dyDescent="0.25">
      <c r="A908" s="388">
        <v>43913</v>
      </c>
      <c r="B908" s="388" t="s">
        <v>3681</v>
      </c>
      <c r="C908" s="14"/>
    </row>
    <row r="909" spans="1:3" x14ac:dyDescent="0.25">
      <c r="A909" s="388">
        <v>43913</v>
      </c>
      <c r="B909" s="388" t="s">
        <v>3679</v>
      </c>
      <c r="C909" s="14"/>
    </row>
    <row r="910" spans="1:3" x14ac:dyDescent="0.25">
      <c r="A910" s="388">
        <v>43913</v>
      </c>
      <c r="B910" s="388" t="s">
        <v>3679</v>
      </c>
      <c r="C910" s="14"/>
    </row>
    <row r="911" spans="1:3" x14ac:dyDescent="0.25">
      <c r="A911" s="388">
        <v>43913</v>
      </c>
      <c r="B911" s="388" t="s">
        <v>3679</v>
      </c>
      <c r="C911" s="14"/>
    </row>
    <row r="912" spans="1:3" x14ac:dyDescent="0.25">
      <c r="A912" s="388">
        <v>43913</v>
      </c>
      <c r="B912" s="388" t="s">
        <v>3679</v>
      </c>
      <c r="C912" s="14"/>
    </row>
    <row r="913" spans="1:3" x14ac:dyDescent="0.25">
      <c r="A913" s="388">
        <v>43913</v>
      </c>
      <c r="B913" s="388" t="s">
        <v>3678</v>
      </c>
      <c r="C913" s="14"/>
    </row>
    <row r="914" spans="1:3" x14ac:dyDescent="0.25">
      <c r="A914" s="388">
        <v>43913</v>
      </c>
      <c r="B914" s="388" t="s">
        <v>3678</v>
      </c>
      <c r="C914" s="14"/>
    </row>
    <row r="915" spans="1:3" x14ac:dyDescent="0.25">
      <c r="A915" s="388">
        <v>43913</v>
      </c>
      <c r="B915" s="388" t="s">
        <v>3681</v>
      </c>
      <c r="C915" s="14"/>
    </row>
    <row r="916" spans="1:3" x14ac:dyDescent="0.25">
      <c r="A916" s="388">
        <v>43913</v>
      </c>
      <c r="B916" s="388" t="s">
        <v>3679</v>
      </c>
      <c r="C916" s="14"/>
    </row>
    <row r="917" spans="1:3" x14ac:dyDescent="0.25">
      <c r="A917" s="388">
        <v>43913</v>
      </c>
      <c r="B917" s="388" t="s">
        <v>3679</v>
      </c>
      <c r="C917" s="14"/>
    </row>
    <row r="918" spans="1:3" x14ac:dyDescent="0.25">
      <c r="A918" s="388">
        <v>43913</v>
      </c>
      <c r="B918" s="388" t="s">
        <v>3679</v>
      </c>
      <c r="C918" s="14"/>
    </row>
    <row r="919" spans="1:3" x14ac:dyDescent="0.25">
      <c r="A919" s="388">
        <v>43913</v>
      </c>
      <c r="B919" s="388" t="s">
        <v>3679</v>
      </c>
      <c r="C919" s="14"/>
    </row>
    <row r="920" spans="1:3" x14ac:dyDescent="0.25">
      <c r="A920" s="388">
        <v>43913</v>
      </c>
      <c r="B920" s="388" t="s">
        <v>3679</v>
      </c>
      <c r="C920" s="14"/>
    </row>
    <row r="921" spans="1:3" x14ac:dyDescent="0.25">
      <c r="A921" s="388">
        <v>43913</v>
      </c>
      <c r="B921" s="388" t="s">
        <v>3679</v>
      </c>
      <c r="C921" s="14"/>
    </row>
    <row r="922" spans="1:3" x14ac:dyDescent="0.25">
      <c r="A922" s="388">
        <v>43913</v>
      </c>
      <c r="B922" s="388" t="s">
        <v>3678</v>
      </c>
      <c r="C922" s="14"/>
    </row>
    <row r="923" spans="1:3" x14ac:dyDescent="0.25">
      <c r="A923" s="388">
        <v>43913</v>
      </c>
      <c r="B923" s="388" t="s">
        <v>3679</v>
      </c>
      <c r="C923" s="14"/>
    </row>
    <row r="924" spans="1:3" x14ac:dyDescent="0.25">
      <c r="A924" s="388">
        <v>43913</v>
      </c>
      <c r="B924" s="388" t="s">
        <v>3679</v>
      </c>
      <c r="C924" s="14"/>
    </row>
    <row r="925" spans="1:3" x14ac:dyDescent="0.25">
      <c r="A925" s="388">
        <v>43913</v>
      </c>
      <c r="B925" s="388" t="s">
        <v>3679</v>
      </c>
      <c r="C925" s="14"/>
    </row>
    <row r="926" spans="1:3" x14ac:dyDescent="0.25">
      <c r="A926" s="388">
        <v>43913</v>
      </c>
      <c r="B926" s="388" t="s">
        <v>3678</v>
      </c>
      <c r="C926" s="14"/>
    </row>
    <row r="927" spans="1:3" x14ac:dyDescent="0.25">
      <c r="A927" s="388">
        <v>43913</v>
      </c>
      <c r="B927" s="388" t="s">
        <v>3679</v>
      </c>
      <c r="C927" s="14"/>
    </row>
    <row r="928" spans="1:3" x14ac:dyDescent="0.25">
      <c r="A928" s="388">
        <v>43913</v>
      </c>
      <c r="B928" s="388" t="s">
        <v>3679</v>
      </c>
      <c r="C928" s="14"/>
    </row>
    <row r="929" spans="1:3" x14ac:dyDescent="0.25">
      <c r="A929" s="388">
        <v>43913</v>
      </c>
      <c r="B929" s="388" t="s">
        <v>3678</v>
      </c>
      <c r="C929" s="14"/>
    </row>
    <row r="930" spans="1:3" x14ac:dyDescent="0.25">
      <c r="A930" s="388">
        <v>43913</v>
      </c>
      <c r="B930" s="388" t="s">
        <v>3679</v>
      </c>
      <c r="C930" s="14"/>
    </row>
    <row r="931" spans="1:3" x14ac:dyDescent="0.25">
      <c r="A931" s="388">
        <v>43913</v>
      </c>
      <c r="B931" s="388" t="s">
        <v>3679</v>
      </c>
      <c r="C931" s="14"/>
    </row>
    <row r="932" spans="1:3" x14ac:dyDescent="0.25">
      <c r="A932" s="388">
        <v>43913</v>
      </c>
      <c r="B932" s="388" t="s">
        <v>3679</v>
      </c>
      <c r="C932" s="14"/>
    </row>
    <row r="933" spans="1:3" x14ac:dyDescent="0.25">
      <c r="A933" s="388">
        <v>43913</v>
      </c>
      <c r="B933" s="388" t="s">
        <v>3678</v>
      </c>
      <c r="C933" s="14"/>
    </row>
    <row r="934" spans="1:3" x14ac:dyDescent="0.25">
      <c r="A934" s="388">
        <v>43913</v>
      </c>
      <c r="B934" s="388" t="s">
        <v>3678</v>
      </c>
      <c r="C934" s="14"/>
    </row>
    <row r="935" spans="1:3" x14ac:dyDescent="0.25">
      <c r="A935" s="388">
        <v>43913</v>
      </c>
      <c r="B935" s="388" t="s">
        <v>3678</v>
      </c>
      <c r="C935" s="14"/>
    </row>
    <row r="936" spans="1:3" x14ac:dyDescent="0.25">
      <c r="A936" s="388">
        <v>43913</v>
      </c>
      <c r="B936" s="388" t="s">
        <v>3678</v>
      </c>
      <c r="C936" s="14"/>
    </row>
    <row r="937" spans="1:3" x14ac:dyDescent="0.25">
      <c r="A937" s="388">
        <v>43913</v>
      </c>
      <c r="B937" s="388" t="s">
        <v>3680</v>
      </c>
      <c r="C937" s="14"/>
    </row>
    <row r="938" spans="1:3" x14ac:dyDescent="0.25">
      <c r="A938" s="388">
        <v>43913</v>
      </c>
      <c r="B938" s="388" t="s">
        <v>3678</v>
      </c>
      <c r="C938" s="14"/>
    </row>
    <row r="939" spans="1:3" x14ac:dyDescent="0.25">
      <c r="A939" s="388">
        <v>43913</v>
      </c>
      <c r="B939" s="388" t="s">
        <v>3680</v>
      </c>
      <c r="C939" s="14"/>
    </row>
    <row r="940" spans="1:3" x14ac:dyDescent="0.25">
      <c r="A940" s="388">
        <v>43913</v>
      </c>
      <c r="B940" s="388" t="s">
        <v>3679</v>
      </c>
      <c r="C940" s="14"/>
    </row>
    <row r="941" spans="1:3" x14ac:dyDescent="0.25">
      <c r="A941" s="388">
        <v>43913</v>
      </c>
      <c r="B941" s="388" t="s">
        <v>3679</v>
      </c>
      <c r="C941" s="14"/>
    </row>
    <row r="942" spans="1:3" x14ac:dyDescent="0.25">
      <c r="A942" s="388">
        <v>43913</v>
      </c>
      <c r="B942" s="388" t="s">
        <v>3679</v>
      </c>
      <c r="C942" s="14"/>
    </row>
    <row r="943" spans="1:3" x14ac:dyDescent="0.25">
      <c r="A943" s="388">
        <v>43913</v>
      </c>
      <c r="B943" s="388" t="s">
        <v>3679</v>
      </c>
      <c r="C943" s="14"/>
    </row>
    <row r="944" spans="1:3" x14ac:dyDescent="0.25">
      <c r="A944" s="388">
        <v>43913</v>
      </c>
      <c r="B944" s="388" t="s">
        <v>3680</v>
      </c>
      <c r="C944" s="14"/>
    </row>
    <row r="945" spans="1:3" x14ac:dyDescent="0.25">
      <c r="A945" s="388">
        <v>43913</v>
      </c>
      <c r="B945" s="388" t="s">
        <v>3679</v>
      </c>
      <c r="C945" s="14"/>
    </row>
    <row r="946" spans="1:3" x14ac:dyDescent="0.25">
      <c r="A946" s="388">
        <v>43913</v>
      </c>
      <c r="B946" s="388" t="s">
        <v>3679</v>
      </c>
      <c r="C946" s="14"/>
    </row>
    <row r="947" spans="1:3" x14ac:dyDescent="0.25">
      <c r="A947" s="388">
        <v>43913</v>
      </c>
      <c r="B947" s="388" t="s">
        <v>3679</v>
      </c>
      <c r="C947" s="14"/>
    </row>
    <row r="948" spans="1:3" x14ac:dyDescent="0.25">
      <c r="A948" s="388">
        <v>43913</v>
      </c>
      <c r="B948" s="388" t="s">
        <v>3679</v>
      </c>
      <c r="C948" s="14"/>
    </row>
    <row r="949" spans="1:3" x14ac:dyDescent="0.25">
      <c r="A949" s="388">
        <v>43913</v>
      </c>
      <c r="B949" s="388" t="s">
        <v>3679</v>
      </c>
      <c r="C949" s="14"/>
    </row>
    <row r="950" spans="1:3" x14ac:dyDescent="0.25">
      <c r="A950" s="388">
        <v>43913</v>
      </c>
      <c r="B950" s="388" t="s">
        <v>3679</v>
      </c>
      <c r="C950" s="14"/>
    </row>
    <row r="951" spans="1:3" x14ac:dyDescent="0.25">
      <c r="A951" s="388">
        <v>43913</v>
      </c>
      <c r="B951" s="388" t="s">
        <v>3679</v>
      </c>
      <c r="C951" s="14"/>
    </row>
    <row r="952" spans="1:3" x14ac:dyDescent="0.25">
      <c r="A952" s="388">
        <v>43913</v>
      </c>
      <c r="B952" s="388" t="s">
        <v>3679</v>
      </c>
      <c r="C952" s="14"/>
    </row>
    <row r="953" spans="1:3" x14ac:dyDescent="0.25">
      <c r="A953" s="388">
        <v>43913</v>
      </c>
      <c r="B953" s="388" t="s">
        <v>3679</v>
      </c>
      <c r="C953" s="14"/>
    </row>
    <row r="954" spans="1:3" x14ac:dyDescent="0.25">
      <c r="A954" s="388">
        <v>43913</v>
      </c>
      <c r="B954" s="388" t="s">
        <v>3679</v>
      </c>
      <c r="C954" s="14"/>
    </row>
    <row r="955" spans="1:3" x14ac:dyDescent="0.25">
      <c r="A955" s="388">
        <v>43913</v>
      </c>
      <c r="B955" s="388" t="s">
        <v>3679</v>
      </c>
      <c r="C955" s="14"/>
    </row>
    <row r="956" spans="1:3" x14ac:dyDescent="0.25">
      <c r="A956" s="388">
        <v>43913</v>
      </c>
      <c r="B956" s="388" t="s">
        <v>3679</v>
      </c>
      <c r="C956" s="14"/>
    </row>
    <row r="957" spans="1:3" x14ac:dyDescent="0.25">
      <c r="A957" s="388">
        <v>43913</v>
      </c>
      <c r="B957" s="388" t="s">
        <v>3679</v>
      </c>
      <c r="C957" s="14"/>
    </row>
    <row r="958" spans="1:3" x14ac:dyDescent="0.25">
      <c r="A958" s="388">
        <v>43913</v>
      </c>
      <c r="B958" s="388" t="s">
        <v>3679</v>
      </c>
      <c r="C958" s="14"/>
    </row>
    <row r="959" spans="1:3" x14ac:dyDescent="0.25">
      <c r="A959" s="388">
        <v>43913</v>
      </c>
      <c r="B959" s="388" t="s">
        <v>3678</v>
      </c>
      <c r="C959" s="14"/>
    </row>
    <row r="960" spans="1:3" x14ac:dyDescent="0.25">
      <c r="A960" s="388">
        <v>43913</v>
      </c>
      <c r="B960" s="388" t="s">
        <v>3678</v>
      </c>
      <c r="C960" s="14"/>
    </row>
    <row r="961" spans="1:3" x14ac:dyDescent="0.25">
      <c r="A961" s="388">
        <v>43913</v>
      </c>
      <c r="B961" s="388" t="s">
        <v>3679</v>
      </c>
      <c r="C961" s="14"/>
    </row>
    <row r="962" spans="1:3" x14ac:dyDescent="0.25">
      <c r="A962" s="388">
        <v>43913</v>
      </c>
      <c r="B962" s="388" t="s">
        <v>3679</v>
      </c>
      <c r="C962" s="14"/>
    </row>
    <row r="963" spans="1:3" x14ac:dyDescent="0.25">
      <c r="A963" s="388">
        <v>43913</v>
      </c>
      <c r="B963" s="388" t="s">
        <v>3681</v>
      </c>
      <c r="C963" s="14"/>
    </row>
    <row r="964" spans="1:3" x14ac:dyDescent="0.25">
      <c r="A964" s="388">
        <v>43913</v>
      </c>
      <c r="B964" s="388" t="s">
        <v>3679</v>
      </c>
      <c r="C964" s="14"/>
    </row>
    <row r="965" spans="1:3" x14ac:dyDescent="0.25">
      <c r="A965" s="388">
        <v>43913</v>
      </c>
      <c r="B965" s="388" t="s">
        <v>3678</v>
      </c>
      <c r="C965" s="14"/>
    </row>
    <row r="966" spans="1:3" x14ac:dyDescent="0.25">
      <c r="A966" s="388">
        <v>43913</v>
      </c>
      <c r="B966" s="388" t="s">
        <v>3679</v>
      </c>
      <c r="C966" s="14"/>
    </row>
    <row r="967" spans="1:3" x14ac:dyDescent="0.25">
      <c r="A967" s="388">
        <v>43913</v>
      </c>
      <c r="B967" s="388" t="s">
        <v>3680</v>
      </c>
      <c r="C967" s="14"/>
    </row>
    <row r="968" spans="1:3" x14ac:dyDescent="0.25">
      <c r="A968" s="388">
        <v>43913</v>
      </c>
      <c r="B968" s="388" t="s">
        <v>3679</v>
      </c>
      <c r="C968" s="14"/>
    </row>
    <row r="969" spans="1:3" x14ac:dyDescent="0.25">
      <c r="A969" s="388">
        <v>43913</v>
      </c>
      <c r="B969" s="388" t="s">
        <v>3678</v>
      </c>
      <c r="C969" s="14"/>
    </row>
    <row r="970" spans="1:3" x14ac:dyDescent="0.25">
      <c r="A970" s="388">
        <v>43913</v>
      </c>
      <c r="B970" s="388" t="s">
        <v>3679</v>
      </c>
      <c r="C970" s="14"/>
    </row>
    <row r="971" spans="1:3" x14ac:dyDescent="0.25">
      <c r="A971" s="388">
        <v>43913</v>
      </c>
      <c r="B971" s="388" t="s">
        <v>3679</v>
      </c>
      <c r="C971" s="14"/>
    </row>
    <row r="972" spans="1:3" x14ac:dyDescent="0.25">
      <c r="A972" s="388">
        <v>43913</v>
      </c>
      <c r="B972" s="388" t="s">
        <v>3678</v>
      </c>
      <c r="C972" s="14"/>
    </row>
    <row r="973" spans="1:3" x14ac:dyDescent="0.25">
      <c r="A973" s="388">
        <v>43913</v>
      </c>
      <c r="B973" s="388" t="s">
        <v>3679</v>
      </c>
      <c r="C973" s="14"/>
    </row>
    <row r="974" spans="1:3" x14ac:dyDescent="0.25">
      <c r="A974" s="388">
        <v>43913</v>
      </c>
      <c r="B974" s="388" t="s">
        <v>3679</v>
      </c>
      <c r="C974" s="14"/>
    </row>
    <row r="975" spans="1:3" x14ac:dyDescent="0.25">
      <c r="A975" s="388">
        <v>43913</v>
      </c>
      <c r="B975" s="388" t="s">
        <v>3679</v>
      </c>
      <c r="C975" s="14"/>
    </row>
    <row r="976" spans="1:3" x14ac:dyDescent="0.25">
      <c r="A976" s="388">
        <v>43913</v>
      </c>
      <c r="B976" s="388" t="s">
        <v>3679</v>
      </c>
      <c r="C976" s="14"/>
    </row>
    <row r="977" spans="1:3" x14ac:dyDescent="0.25">
      <c r="A977" s="388">
        <v>43913</v>
      </c>
      <c r="B977" s="388" t="s">
        <v>3679</v>
      </c>
      <c r="C977" s="14"/>
    </row>
    <row r="978" spans="1:3" x14ac:dyDescent="0.25">
      <c r="A978" s="388">
        <v>43913</v>
      </c>
      <c r="B978" s="388" t="s">
        <v>3678</v>
      </c>
      <c r="C978" s="14"/>
    </row>
    <row r="979" spans="1:3" x14ac:dyDescent="0.25">
      <c r="A979" s="388">
        <v>43913</v>
      </c>
      <c r="B979" s="388" t="s">
        <v>3678</v>
      </c>
      <c r="C979" s="14"/>
    </row>
    <row r="980" spans="1:3" x14ac:dyDescent="0.25">
      <c r="A980" s="388">
        <v>43913</v>
      </c>
      <c r="B980" s="388" t="s">
        <v>3679</v>
      </c>
      <c r="C980" s="14"/>
    </row>
    <row r="981" spans="1:3" x14ac:dyDescent="0.25">
      <c r="A981" s="388">
        <v>43913</v>
      </c>
      <c r="B981" s="388" t="s">
        <v>3678</v>
      </c>
      <c r="C981" s="14"/>
    </row>
    <row r="982" spans="1:3" x14ac:dyDescent="0.25">
      <c r="A982" s="388">
        <v>43913</v>
      </c>
      <c r="B982" s="388" t="s">
        <v>3679</v>
      </c>
      <c r="C982" s="14"/>
    </row>
    <row r="983" spans="1:3" x14ac:dyDescent="0.25">
      <c r="A983" s="388">
        <v>43913</v>
      </c>
      <c r="B983" s="388" t="s">
        <v>3679</v>
      </c>
      <c r="C983" s="14"/>
    </row>
    <row r="984" spans="1:3" x14ac:dyDescent="0.25">
      <c r="A984" s="388">
        <v>43913</v>
      </c>
      <c r="B984" s="388" t="s">
        <v>3679</v>
      </c>
      <c r="C984" s="14"/>
    </row>
    <row r="985" spans="1:3" x14ac:dyDescent="0.25">
      <c r="A985" s="388">
        <v>43913</v>
      </c>
      <c r="B985" s="388" t="s">
        <v>3679</v>
      </c>
      <c r="C985" s="14"/>
    </row>
    <row r="986" spans="1:3" x14ac:dyDescent="0.25">
      <c r="A986" s="388">
        <v>43913</v>
      </c>
      <c r="B986" s="388" t="s">
        <v>3679</v>
      </c>
      <c r="C986" s="14"/>
    </row>
    <row r="987" spans="1:3" x14ac:dyDescent="0.25">
      <c r="A987" s="388">
        <v>43913</v>
      </c>
      <c r="B987" s="388" t="s">
        <v>3679</v>
      </c>
      <c r="C987" s="14"/>
    </row>
    <row r="988" spans="1:3" x14ac:dyDescent="0.25">
      <c r="A988" s="388">
        <v>43913</v>
      </c>
      <c r="B988" s="388" t="s">
        <v>3678</v>
      </c>
      <c r="C988" s="14"/>
    </row>
    <row r="989" spans="1:3" x14ac:dyDescent="0.25">
      <c r="A989" s="388">
        <v>43913</v>
      </c>
      <c r="B989" s="388" t="s">
        <v>3679</v>
      </c>
      <c r="C989" s="14"/>
    </row>
    <row r="990" spans="1:3" x14ac:dyDescent="0.25">
      <c r="A990" s="388">
        <v>43913</v>
      </c>
      <c r="B990" s="388" t="s">
        <v>3678</v>
      </c>
      <c r="C990" s="14"/>
    </row>
    <row r="991" spans="1:3" x14ac:dyDescent="0.25">
      <c r="A991" s="388">
        <v>43913</v>
      </c>
      <c r="B991" s="388" t="s">
        <v>3679</v>
      </c>
      <c r="C991" s="14"/>
    </row>
    <row r="992" spans="1:3" x14ac:dyDescent="0.25">
      <c r="A992" s="388">
        <v>43913</v>
      </c>
      <c r="B992" s="388" t="s">
        <v>3679</v>
      </c>
      <c r="C992" s="14"/>
    </row>
    <row r="993" spans="1:3" x14ac:dyDescent="0.25">
      <c r="A993" s="388">
        <v>43913</v>
      </c>
      <c r="B993" s="388" t="s">
        <v>3678</v>
      </c>
      <c r="C993" s="14"/>
    </row>
    <row r="994" spans="1:3" x14ac:dyDescent="0.25">
      <c r="A994" s="388">
        <v>43914</v>
      </c>
      <c r="B994" s="388" t="s">
        <v>3679</v>
      </c>
      <c r="C994" s="14"/>
    </row>
    <row r="995" spans="1:3" x14ac:dyDescent="0.25">
      <c r="A995" s="388">
        <v>43914</v>
      </c>
      <c r="B995" s="388" t="s">
        <v>3679</v>
      </c>
      <c r="C995" s="14"/>
    </row>
    <row r="996" spans="1:3" x14ac:dyDescent="0.25">
      <c r="A996" s="388">
        <v>43914</v>
      </c>
      <c r="B996" s="388" t="s">
        <v>3678</v>
      </c>
      <c r="C996" s="14"/>
    </row>
    <row r="997" spans="1:3" x14ac:dyDescent="0.25">
      <c r="A997" s="388">
        <v>43914</v>
      </c>
      <c r="B997" s="388" t="s">
        <v>3679</v>
      </c>
      <c r="C997" s="14"/>
    </row>
    <row r="998" spans="1:3" x14ac:dyDescent="0.25">
      <c r="A998" s="388">
        <v>43914</v>
      </c>
      <c r="B998" s="388" t="s">
        <v>3679</v>
      </c>
      <c r="C998" s="14"/>
    </row>
    <row r="999" spans="1:3" x14ac:dyDescent="0.25">
      <c r="A999" s="388">
        <v>43914</v>
      </c>
      <c r="B999" s="388" t="s">
        <v>3679</v>
      </c>
      <c r="C999" s="14"/>
    </row>
    <row r="1000" spans="1:3" x14ac:dyDescent="0.25">
      <c r="A1000" s="388">
        <v>43914</v>
      </c>
      <c r="B1000" s="388" t="s">
        <v>3679</v>
      </c>
      <c r="C1000" s="14"/>
    </row>
    <row r="1001" spans="1:3" x14ac:dyDescent="0.25">
      <c r="A1001" s="388">
        <v>43914</v>
      </c>
      <c r="B1001" s="388" t="s">
        <v>3679</v>
      </c>
      <c r="C1001" s="14"/>
    </row>
    <row r="1002" spans="1:3" x14ac:dyDescent="0.25">
      <c r="A1002" s="388">
        <v>43914</v>
      </c>
      <c r="B1002" s="388" t="s">
        <v>3680</v>
      </c>
      <c r="C1002" s="14"/>
    </row>
    <row r="1003" spans="1:3" x14ac:dyDescent="0.25">
      <c r="A1003" s="388">
        <v>43914</v>
      </c>
      <c r="B1003" s="388" t="s">
        <v>3678</v>
      </c>
      <c r="C1003" s="14"/>
    </row>
    <row r="1004" spans="1:3" x14ac:dyDescent="0.25">
      <c r="A1004" s="388">
        <v>43914</v>
      </c>
      <c r="B1004" s="388" t="s">
        <v>3678</v>
      </c>
      <c r="C1004" s="14"/>
    </row>
    <row r="1005" spans="1:3" x14ac:dyDescent="0.25">
      <c r="A1005" s="388">
        <v>43914</v>
      </c>
      <c r="B1005" s="388" t="s">
        <v>3678</v>
      </c>
      <c r="C1005" s="14"/>
    </row>
    <row r="1006" spans="1:3" x14ac:dyDescent="0.25">
      <c r="A1006" s="388">
        <v>43914</v>
      </c>
      <c r="B1006" s="388" t="s">
        <v>3679</v>
      </c>
      <c r="C1006" s="14"/>
    </row>
    <row r="1007" spans="1:3" x14ac:dyDescent="0.25">
      <c r="A1007" s="388">
        <v>43914</v>
      </c>
      <c r="B1007" s="388" t="s">
        <v>3679</v>
      </c>
      <c r="C1007" s="14"/>
    </row>
    <row r="1008" spans="1:3" x14ac:dyDescent="0.25">
      <c r="A1008" s="388">
        <v>43914</v>
      </c>
      <c r="B1008" s="388" t="s">
        <v>3679</v>
      </c>
      <c r="C1008" s="14"/>
    </row>
    <row r="1009" spans="1:3" x14ac:dyDescent="0.25">
      <c r="A1009" s="388">
        <v>43914</v>
      </c>
      <c r="B1009" s="388" t="s">
        <v>3679</v>
      </c>
      <c r="C1009" s="14"/>
    </row>
    <row r="1010" spans="1:3" x14ac:dyDescent="0.25">
      <c r="A1010" s="388">
        <v>43914</v>
      </c>
      <c r="B1010" s="388" t="s">
        <v>3679</v>
      </c>
      <c r="C1010" s="14"/>
    </row>
    <row r="1011" spans="1:3" x14ac:dyDescent="0.25">
      <c r="A1011" s="388">
        <v>43914</v>
      </c>
      <c r="B1011" s="388" t="s">
        <v>3679</v>
      </c>
      <c r="C1011" s="14"/>
    </row>
    <row r="1012" spans="1:3" x14ac:dyDescent="0.25">
      <c r="A1012" s="388">
        <v>43914</v>
      </c>
      <c r="B1012" s="388" t="s">
        <v>3678</v>
      </c>
      <c r="C1012" s="14"/>
    </row>
    <row r="1013" spans="1:3" x14ac:dyDescent="0.25">
      <c r="A1013" s="388">
        <v>43914</v>
      </c>
      <c r="B1013" s="388" t="s">
        <v>3679</v>
      </c>
      <c r="C1013" s="14"/>
    </row>
    <row r="1014" spans="1:3" x14ac:dyDescent="0.25">
      <c r="A1014" s="388">
        <v>43914</v>
      </c>
      <c r="B1014" s="388" t="s">
        <v>3679</v>
      </c>
      <c r="C1014" s="14"/>
    </row>
    <row r="1015" spans="1:3" x14ac:dyDescent="0.25">
      <c r="A1015" s="388">
        <v>43914</v>
      </c>
      <c r="B1015" s="388" t="s">
        <v>3679</v>
      </c>
      <c r="C1015" s="14"/>
    </row>
    <row r="1016" spans="1:3" x14ac:dyDescent="0.25">
      <c r="A1016" s="388">
        <v>43914</v>
      </c>
      <c r="B1016" s="388" t="s">
        <v>3679</v>
      </c>
      <c r="C1016" s="14"/>
    </row>
    <row r="1017" spans="1:3" x14ac:dyDescent="0.25">
      <c r="A1017" s="388">
        <v>43914</v>
      </c>
      <c r="B1017" s="388" t="s">
        <v>3678</v>
      </c>
      <c r="C1017" s="14"/>
    </row>
    <row r="1018" spans="1:3" x14ac:dyDescent="0.25">
      <c r="A1018" s="388">
        <v>43914</v>
      </c>
      <c r="B1018" s="388" t="s">
        <v>3678</v>
      </c>
      <c r="C1018" s="14"/>
    </row>
    <row r="1019" spans="1:3" x14ac:dyDescent="0.25">
      <c r="A1019" s="388">
        <v>43914</v>
      </c>
      <c r="B1019" s="388" t="s">
        <v>3678</v>
      </c>
      <c r="C1019" s="14"/>
    </row>
    <row r="1020" spans="1:3" x14ac:dyDescent="0.25">
      <c r="A1020" s="388">
        <v>43914</v>
      </c>
      <c r="B1020" s="388" t="s">
        <v>3679</v>
      </c>
      <c r="C1020" s="14"/>
    </row>
    <row r="1021" spans="1:3" x14ac:dyDescent="0.25">
      <c r="A1021" s="388">
        <v>43914</v>
      </c>
      <c r="B1021" s="388" t="s">
        <v>3679</v>
      </c>
      <c r="C1021" s="14"/>
    </row>
    <row r="1022" spans="1:3" x14ac:dyDescent="0.25">
      <c r="A1022" s="388">
        <v>43914</v>
      </c>
      <c r="B1022" s="388" t="s">
        <v>3679</v>
      </c>
      <c r="C1022" s="14"/>
    </row>
    <row r="1023" spans="1:3" x14ac:dyDescent="0.25">
      <c r="A1023" s="388">
        <v>43914</v>
      </c>
      <c r="B1023" s="388" t="s">
        <v>3681</v>
      </c>
      <c r="C1023" s="14"/>
    </row>
    <row r="1024" spans="1:3" x14ac:dyDescent="0.25">
      <c r="A1024" s="388">
        <v>43914</v>
      </c>
      <c r="B1024" s="388" t="s">
        <v>3679</v>
      </c>
      <c r="C1024" s="14"/>
    </row>
    <row r="1025" spans="1:3" x14ac:dyDescent="0.25">
      <c r="A1025" s="388">
        <v>43914</v>
      </c>
      <c r="B1025" s="388" t="s">
        <v>3679</v>
      </c>
      <c r="C1025" s="14"/>
    </row>
    <row r="1026" spans="1:3" x14ac:dyDescent="0.25">
      <c r="A1026" s="388">
        <v>43914</v>
      </c>
      <c r="B1026" s="388" t="s">
        <v>3678</v>
      </c>
      <c r="C1026" s="14"/>
    </row>
    <row r="1027" spans="1:3" x14ac:dyDescent="0.25">
      <c r="A1027" s="388">
        <v>43914</v>
      </c>
      <c r="B1027" s="388" t="s">
        <v>3678</v>
      </c>
      <c r="C1027" s="14"/>
    </row>
    <row r="1028" spans="1:3" x14ac:dyDescent="0.25">
      <c r="A1028" s="388">
        <v>43914</v>
      </c>
      <c r="B1028" s="388" t="s">
        <v>3679</v>
      </c>
      <c r="C1028" s="14"/>
    </row>
    <row r="1029" spans="1:3" x14ac:dyDescent="0.25">
      <c r="A1029" s="388">
        <v>43914</v>
      </c>
      <c r="B1029" s="388" t="s">
        <v>3679</v>
      </c>
      <c r="C1029" s="14"/>
    </row>
    <row r="1030" spans="1:3" x14ac:dyDescent="0.25">
      <c r="A1030" s="388">
        <v>43914</v>
      </c>
      <c r="B1030" s="388" t="s">
        <v>3680</v>
      </c>
      <c r="C1030" s="14"/>
    </row>
    <row r="1031" spans="1:3" x14ac:dyDescent="0.25">
      <c r="A1031" s="388">
        <v>43914</v>
      </c>
      <c r="B1031" s="388" t="s">
        <v>3680</v>
      </c>
      <c r="C1031" s="14"/>
    </row>
    <row r="1032" spans="1:3" x14ac:dyDescent="0.25">
      <c r="A1032" s="388">
        <v>43914</v>
      </c>
      <c r="B1032" s="388" t="s">
        <v>3679</v>
      </c>
      <c r="C1032" s="14"/>
    </row>
    <row r="1033" spans="1:3" x14ac:dyDescent="0.25">
      <c r="A1033" s="388">
        <v>43914</v>
      </c>
      <c r="B1033" s="388" t="s">
        <v>3679</v>
      </c>
      <c r="C1033" s="14"/>
    </row>
    <row r="1034" spans="1:3" x14ac:dyDescent="0.25">
      <c r="A1034" s="388">
        <v>43914</v>
      </c>
      <c r="B1034" s="388" t="s">
        <v>3679</v>
      </c>
      <c r="C1034" s="14"/>
    </row>
    <row r="1035" spans="1:3" x14ac:dyDescent="0.25">
      <c r="A1035" s="388">
        <v>43914</v>
      </c>
      <c r="B1035" s="388" t="s">
        <v>3679</v>
      </c>
      <c r="C1035" s="14"/>
    </row>
    <row r="1036" spans="1:3" x14ac:dyDescent="0.25">
      <c r="A1036" s="388">
        <v>43914</v>
      </c>
      <c r="B1036" s="388" t="s">
        <v>3679</v>
      </c>
      <c r="C1036" s="14"/>
    </row>
    <row r="1037" spans="1:3" x14ac:dyDescent="0.25">
      <c r="A1037" s="388">
        <v>43914</v>
      </c>
      <c r="B1037" s="388" t="s">
        <v>3679</v>
      </c>
      <c r="C1037" s="14"/>
    </row>
    <row r="1038" spans="1:3" x14ac:dyDescent="0.25">
      <c r="A1038" s="388">
        <v>43914</v>
      </c>
      <c r="B1038" s="388" t="s">
        <v>3680</v>
      </c>
      <c r="C1038" s="14"/>
    </row>
    <row r="1039" spans="1:3" x14ac:dyDescent="0.25">
      <c r="A1039" s="388">
        <v>43914</v>
      </c>
      <c r="B1039" s="388" t="s">
        <v>3679</v>
      </c>
      <c r="C1039" s="14"/>
    </row>
    <row r="1040" spans="1:3" x14ac:dyDescent="0.25">
      <c r="A1040" s="388">
        <v>43914</v>
      </c>
      <c r="B1040" s="388" t="s">
        <v>3679</v>
      </c>
      <c r="C1040" s="14"/>
    </row>
    <row r="1041" spans="1:3" x14ac:dyDescent="0.25">
      <c r="A1041" s="388">
        <v>43914</v>
      </c>
      <c r="B1041" s="388" t="s">
        <v>3679</v>
      </c>
      <c r="C1041" s="14"/>
    </row>
    <row r="1042" spans="1:3" x14ac:dyDescent="0.25">
      <c r="A1042" s="388">
        <v>43914</v>
      </c>
      <c r="B1042" s="388" t="s">
        <v>3678</v>
      </c>
      <c r="C1042" s="14"/>
    </row>
    <row r="1043" spans="1:3" x14ac:dyDescent="0.25">
      <c r="A1043" s="388">
        <v>43914</v>
      </c>
      <c r="B1043" s="388" t="s">
        <v>3679</v>
      </c>
      <c r="C1043" s="14"/>
    </row>
    <row r="1044" spans="1:3" x14ac:dyDescent="0.25">
      <c r="A1044" s="388">
        <v>43914</v>
      </c>
      <c r="B1044" s="388" t="s">
        <v>3679</v>
      </c>
      <c r="C1044" s="14"/>
    </row>
    <row r="1045" spans="1:3" x14ac:dyDescent="0.25">
      <c r="A1045" s="388">
        <v>43914</v>
      </c>
      <c r="B1045" s="388" t="s">
        <v>3681</v>
      </c>
      <c r="C1045" s="14"/>
    </row>
    <row r="1046" spans="1:3" x14ac:dyDescent="0.25">
      <c r="A1046" s="388">
        <v>43914</v>
      </c>
      <c r="B1046" s="388" t="s">
        <v>3678</v>
      </c>
      <c r="C1046" s="14"/>
    </row>
    <row r="1047" spans="1:3" x14ac:dyDescent="0.25">
      <c r="A1047" s="388">
        <v>43914</v>
      </c>
      <c r="B1047" s="388" t="s">
        <v>3679</v>
      </c>
      <c r="C1047" s="14"/>
    </row>
    <row r="1048" spans="1:3" x14ac:dyDescent="0.25">
      <c r="A1048" s="388">
        <v>43914</v>
      </c>
      <c r="B1048" s="388" t="s">
        <v>3679</v>
      </c>
      <c r="C1048" s="14"/>
    </row>
    <row r="1049" spans="1:3" x14ac:dyDescent="0.25">
      <c r="A1049" s="388">
        <v>43914</v>
      </c>
      <c r="B1049" s="388" t="s">
        <v>3679</v>
      </c>
      <c r="C1049" s="14"/>
    </row>
    <row r="1050" spans="1:3" x14ac:dyDescent="0.25">
      <c r="A1050" s="388">
        <v>43914</v>
      </c>
      <c r="B1050" s="388" t="s">
        <v>3679</v>
      </c>
      <c r="C1050" s="14"/>
    </row>
    <row r="1051" spans="1:3" x14ac:dyDescent="0.25">
      <c r="A1051" s="388">
        <v>43914</v>
      </c>
      <c r="B1051" s="388" t="s">
        <v>3678</v>
      </c>
      <c r="C1051" s="14"/>
    </row>
    <row r="1052" spans="1:3" x14ac:dyDescent="0.25">
      <c r="A1052" s="388">
        <v>43914</v>
      </c>
      <c r="B1052" s="388" t="s">
        <v>3678</v>
      </c>
      <c r="C1052" s="14"/>
    </row>
    <row r="1053" spans="1:3" x14ac:dyDescent="0.25">
      <c r="A1053" s="388">
        <v>43914</v>
      </c>
      <c r="B1053" s="388" t="s">
        <v>3679</v>
      </c>
      <c r="C1053" s="14"/>
    </row>
    <row r="1054" spans="1:3" x14ac:dyDescent="0.25">
      <c r="A1054" s="388">
        <v>43914</v>
      </c>
      <c r="B1054" s="388" t="s">
        <v>3679</v>
      </c>
      <c r="C1054" s="14"/>
    </row>
    <row r="1055" spans="1:3" x14ac:dyDescent="0.25">
      <c r="A1055" s="388">
        <v>43914</v>
      </c>
      <c r="B1055" s="388" t="s">
        <v>3680</v>
      </c>
      <c r="C1055" s="14"/>
    </row>
    <row r="1056" spans="1:3" x14ac:dyDescent="0.25">
      <c r="A1056" s="388">
        <v>43914</v>
      </c>
      <c r="B1056" s="388" t="s">
        <v>3678</v>
      </c>
      <c r="C1056" s="14"/>
    </row>
    <row r="1057" spans="1:3" x14ac:dyDescent="0.25">
      <c r="A1057" s="388">
        <v>43914</v>
      </c>
      <c r="B1057" s="388" t="s">
        <v>3679</v>
      </c>
      <c r="C1057" s="14"/>
    </row>
    <row r="1058" spans="1:3" x14ac:dyDescent="0.25">
      <c r="A1058" s="388">
        <v>43914</v>
      </c>
      <c r="B1058" s="388" t="s">
        <v>3679</v>
      </c>
      <c r="C1058" s="14"/>
    </row>
    <row r="1059" spans="1:3" x14ac:dyDescent="0.25">
      <c r="A1059" s="388">
        <v>43914</v>
      </c>
      <c r="B1059" s="388" t="s">
        <v>3679</v>
      </c>
      <c r="C1059" s="14"/>
    </row>
    <row r="1060" spans="1:3" x14ac:dyDescent="0.25">
      <c r="A1060" s="388">
        <v>43914</v>
      </c>
      <c r="B1060" s="388" t="s">
        <v>3679</v>
      </c>
      <c r="C1060" s="14"/>
    </row>
    <row r="1061" spans="1:3" x14ac:dyDescent="0.25">
      <c r="A1061" s="388">
        <v>43914</v>
      </c>
      <c r="B1061" s="388" t="s">
        <v>3678</v>
      </c>
      <c r="C1061" s="14"/>
    </row>
    <row r="1062" spans="1:3" x14ac:dyDescent="0.25">
      <c r="A1062" s="388">
        <v>43914</v>
      </c>
      <c r="B1062" s="388" t="s">
        <v>3679</v>
      </c>
      <c r="C1062" s="14"/>
    </row>
    <row r="1063" spans="1:3" x14ac:dyDescent="0.25">
      <c r="A1063" s="388">
        <v>43914</v>
      </c>
      <c r="B1063" s="388" t="s">
        <v>3679</v>
      </c>
      <c r="C1063" s="14"/>
    </row>
    <row r="1064" spans="1:3" x14ac:dyDescent="0.25">
      <c r="A1064" s="388">
        <v>43914</v>
      </c>
      <c r="B1064" s="388" t="s">
        <v>3679</v>
      </c>
      <c r="C1064" s="14"/>
    </row>
    <row r="1065" spans="1:3" x14ac:dyDescent="0.25">
      <c r="A1065" s="388">
        <v>43914</v>
      </c>
      <c r="B1065" s="388" t="s">
        <v>3679</v>
      </c>
      <c r="C1065" s="14"/>
    </row>
    <row r="1066" spans="1:3" x14ac:dyDescent="0.25">
      <c r="A1066" s="388">
        <v>43914</v>
      </c>
      <c r="B1066" s="388" t="s">
        <v>3679</v>
      </c>
      <c r="C1066" s="14"/>
    </row>
    <row r="1067" spans="1:3" x14ac:dyDescent="0.25">
      <c r="A1067" s="388">
        <v>43914</v>
      </c>
      <c r="B1067" s="388" t="s">
        <v>3679</v>
      </c>
      <c r="C1067" s="14"/>
    </row>
    <row r="1068" spans="1:3" x14ac:dyDescent="0.25">
      <c r="A1068" s="388">
        <v>43914</v>
      </c>
      <c r="B1068" s="388" t="s">
        <v>3678</v>
      </c>
      <c r="C1068" s="14"/>
    </row>
    <row r="1069" spans="1:3" x14ac:dyDescent="0.25">
      <c r="A1069" s="388">
        <v>43914</v>
      </c>
      <c r="B1069" s="388" t="s">
        <v>3679</v>
      </c>
      <c r="C1069" s="14"/>
    </row>
    <row r="1070" spans="1:3" x14ac:dyDescent="0.25">
      <c r="A1070" s="388">
        <v>43914</v>
      </c>
      <c r="B1070" s="388" t="s">
        <v>3678</v>
      </c>
      <c r="C1070" s="14"/>
    </row>
    <row r="1071" spans="1:3" x14ac:dyDescent="0.25">
      <c r="A1071" s="388">
        <v>43914</v>
      </c>
      <c r="B1071" s="388" t="s">
        <v>3679</v>
      </c>
      <c r="C1071" s="14"/>
    </row>
    <row r="1072" spans="1:3" x14ac:dyDescent="0.25">
      <c r="A1072" s="388">
        <v>43914</v>
      </c>
      <c r="B1072" s="388" t="s">
        <v>3679</v>
      </c>
      <c r="C1072" s="14"/>
    </row>
    <row r="1073" spans="1:3" x14ac:dyDescent="0.25">
      <c r="A1073" s="388">
        <v>43914</v>
      </c>
      <c r="B1073" s="388" t="s">
        <v>3679</v>
      </c>
      <c r="C1073" s="14"/>
    </row>
    <row r="1074" spans="1:3" x14ac:dyDescent="0.25">
      <c r="A1074" s="388">
        <v>43914</v>
      </c>
      <c r="B1074" s="388" t="s">
        <v>3679</v>
      </c>
      <c r="C1074" s="14"/>
    </row>
    <row r="1075" spans="1:3" x14ac:dyDescent="0.25">
      <c r="A1075" s="388">
        <v>43914</v>
      </c>
      <c r="B1075" s="388" t="s">
        <v>3679</v>
      </c>
      <c r="C1075" s="14"/>
    </row>
    <row r="1076" spans="1:3" x14ac:dyDescent="0.25">
      <c r="A1076" s="388">
        <v>43914</v>
      </c>
      <c r="B1076" s="388" t="s">
        <v>3678</v>
      </c>
      <c r="C1076" s="14"/>
    </row>
    <row r="1077" spans="1:3" x14ac:dyDescent="0.25">
      <c r="A1077" s="388">
        <v>43914</v>
      </c>
      <c r="B1077" s="388" t="s">
        <v>3679</v>
      </c>
      <c r="C1077" s="14"/>
    </row>
    <row r="1078" spans="1:3" x14ac:dyDescent="0.25">
      <c r="A1078" s="388">
        <v>43914</v>
      </c>
      <c r="B1078" s="388" t="s">
        <v>3679</v>
      </c>
      <c r="C1078" s="14"/>
    </row>
    <row r="1079" spans="1:3" x14ac:dyDescent="0.25">
      <c r="A1079" s="388">
        <v>43914</v>
      </c>
      <c r="B1079" s="388" t="s">
        <v>3678</v>
      </c>
      <c r="C1079" s="14"/>
    </row>
    <row r="1080" spans="1:3" x14ac:dyDescent="0.25">
      <c r="A1080" s="388">
        <v>43914</v>
      </c>
      <c r="B1080" s="388" t="s">
        <v>3679</v>
      </c>
      <c r="C1080" s="14"/>
    </row>
    <row r="1081" spans="1:3" x14ac:dyDescent="0.25">
      <c r="A1081" s="388">
        <v>43914</v>
      </c>
      <c r="B1081" s="388" t="s">
        <v>3678</v>
      </c>
      <c r="C1081" s="14"/>
    </row>
    <row r="1082" spans="1:3" x14ac:dyDescent="0.25">
      <c r="A1082" s="388">
        <v>43914</v>
      </c>
      <c r="B1082" s="388" t="s">
        <v>3680</v>
      </c>
      <c r="C1082" s="14"/>
    </row>
    <row r="1083" spans="1:3" x14ac:dyDescent="0.25">
      <c r="A1083" s="388">
        <v>43914</v>
      </c>
      <c r="B1083" s="388" t="s">
        <v>3679</v>
      </c>
      <c r="C1083" s="14"/>
    </row>
    <row r="1084" spans="1:3" x14ac:dyDescent="0.25">
      <c r="A1084" s="388">
        <v>43914</v>
      </c>
      <c r="B1084" s="388" t="s">
        <v>3680</v>
      </c>
      <c r="C1084" s="14"/>
    </row>
    <row r="1085" spans="1:3" x14ac:dyDescent="0.25">
      <c r="A1085" s="388">
        <v>43914</v>
      </c>
      <c r="B1085" s="388" t="s">
        <v>3678</v>
      </c>
      <c r="C1085" s="14"/>
    </row>
    <row r="1086" spans="1:3" x14ac:dyDescent="0.25">
      <c r="A1086" s="388">
        <v>43914</v>
      </c>
      <c r="B1086" s="388" t="s">
        <v>3678</v>
      </c>
      <c r="C1086" s="14"/>
    </row>
    <row r="1087" spans="1:3" x14ac:dyDescent="0.25">
      <c r="A1087" s="388">
        <v>43914</v>
      </c>
      <c r="B1087" s="388" t="s">
        <v>3679</v>
      </c>
      <c r="C1087" s="14"/>
    </row>
    <row r="1088" spans="1:3" x14ac:dyDescent="0.25">
      <c r="A1088" s="388">
        <v>43914</v>
      </c>
      <c r="B1088" s="388" t="s">
        <v>3680</v>
      </c>
      <c r="C1088" s="14"/>
    </row>
    <row r="1089" spans="1:3" x14ac:dyDescent="0.25">
      <c r="A1089" s="388">
        <v>43914</v>
      </c>
      <c r="B1089" s="388" t="s">
        <v>3679</v>
      </c>
      <c r="C1089" s="14"/>
    </row>
    <row r="1090" spans="1:3" x14ac:dyDescent="0.25">
      <c r="A1090" s="388">
        <v>43914</v>
      </c>
      <c r="B1090" s="388" t="s">
        <v>3679</v>
      </c>
      <c r="C1090" s="14"/>
    </row>
    <row r="1091" spans="1:3" x14ac:dyDescent="0.25">
      <c r="A1091" s="388">
        <v>43914</v>
      </c>
      <c r="B1091" s="388" t="s">
        <v>3679</v>
      </c>
      <c r="C1091" s="14"/>
    </row>
    <row r="1092" spans="1:3" x14ac:dyDescent="0.25">
      <c r="A1092" s="388">
        <v>43914</v>
      </c>
      <c r="B1092" s="388" t="s">
        <v>3679</v>
      </c>
      <c r="C1092" s="14"/>
    </row>
    <row r="1093" spans="1:3" x14ac:dyDescent="0.25">
      <c r="A1093" s="388">
        <v>43914</v>
      </c>
      <c r="B1093" s="388" t="s">
        <v>3679</v>
      </c>
      <c r="C1093" s="14"/>
    </row>
    <row r="1094" spans="1:3" x14ac:dyDescent="0.25">
      <c r="A1094" s="388">
        <v>43914</v>
      </c>
      <c r="B1094" s="388" t="s">
        <v>3679</v>
      </c>
      <c r="C1094" s="14"/>
    </row>
    <row r="1095" spans="1:3" x14ac:dyDescent="0.25">
      <c r="A1095" s="388">
        <v>43914</v>
      </c>
      <c r="B1095" s="388" t="s">
        <v>3679</v>
      </c>
      <c r="C1095" s="14"/>
    </row>
    <row r="1096" spans="1:3" x14ac:dyDescent="0.25">
      <c r="A1096" s="388">
        <v>43914</v>
      </c>
      <c r="B1096" s="388" t="s">
        <v>3679</v>
      </c>
      <c r="C1096" s="14"/>
    </row>
    <row r="1097" spans="1:3" x14ac:dyDescent="0.25">
      <c r="A1097" s="388">
        <v>43914</v>
      </c>
      <c r="B1097" s="388" t="s">
        <v>3679</v>
      </c>
      <c r="C1097" s="14"/>
    </row>
    <row r="1098" spans="1:3" x14ac:dyDescent="0.25">
      <c r="A1098" s="388">
        <v>43914</v>
      </c>
      <c r="B1098" s="388" t="s">
        <v>3679</v>
      </c>
      <c r="C1098" s="14"/>
    </row>
    <row r="1099" spans="1:3" x14ac:dyDescent="0.25">
      <c r="A1099" s="388">
        <v>43914</v>
      </c>
      <c r="B1099" s="388" t="s">
        <v>3678</v>
      </c>
      <c r="C1099" s="14"/>
    </row>
    <row r="1100" spans="1:3" x14ac:dyDescent="0.25">
      <c r="A1100" s="388">
        <v>43914</v>
      </c>
      <c r="B1100" s="388" t="s">
        <v>3678</v>
      </c>
      <c r="C1100" s="14"/>
    </row>
    <row r="1101" spans="1:3" x14ac:dyDescent="0.25">
      <c r="A1101" s="388">
        <v>43914</v>
      </c>
      <c r="B1101" s="388" t="s">
        <v>3679</v>
      </c>
      <c r="C1101" s="14"/>
    </row>
    <row r="1102" spans="1:3" x14ac:dyDescent="0.25">
      <c r="A1102" s="388">
        <v>43914</v>
      </c>
      <c r="B1102" s="388" t="s">
        <v>3679</v>
      </c>
      <c r="C1102" s="14"/>
    </row>
    <row r="1103" spans="1:3" x14ac:dyDescent="0.25">
      <c r="A1103" s="388">
        <v>43914</v>
      </c>
      <c r="B1103" s="388" t="s">
        <v>3678</v>
      </c>
      <c r="C1103" s="14"/>
    </row>
    <row r="1104" spans="1:3" x14ac:dyDescent="0.25">
      <c r="A1104" s="388">
        <v>43914</v>
      </c>
      <c r="B1104" s="388" t="s">
        <v>3679</v>
      </c>
      <c r="C1104" s="14"/>
    </row>
    <row r="1105" spans="1:3" x14ac:dyDescent="0.25">
      <c r="A1105" s="388">
        <v>43914</v>
      </c>
      <c r="B1105" s="388" t="s">
        <v>3679</v>
      </c>
      <c r="C1105" s="14"/>
    </row>
    <row r="1106" spans="1:3" x14ac:dyDescent="0.25">
      <c r="A1106" s="388">
        <v>43914</v>
      </c>
      <c r="B1106" s="388" t="s">
        <v>3679</v>
      </c>
      <c r="C1106" s="14"/>
    </row>
    <row r="1107" spans="1:3" x14ac:dyDescent="0.25">
      <c r="A1107" s="388">
        <v>43914</v>
      </c>
      <c r="B1107" s="388" t="s">
        <v>3679</v>
      </c>
      <c r="C1107" s="14"/>
    </row>
    <row r="1108" spans="1:3" x14ac:dyDescent="0.25">
      <c r="A1108" s="388">
        <v>43914</v>
      </c>
      <c r="B1108" s="388" t="s">
        <v>3679</v>
      </c>
      <c r="C1108" s="14"/>
    </row>
    <row r="1109" spans="1:3" x14ac:dyDescent="0.25">
      <c r="A1109" s="388">
        <v>43914</v>
      </c>
      <c r="B1109" s="388" t="s">
        <v>3679</v>
      </c>
      <c r="C1109" s="14"/>
    </row>
    <row r="1110" spans="1:3" x14ac:dyDescent="0.25">
      <c r="A1110" s="388">
        <v>43914</v>
      </c>
      <c r="B1110" s="388" t="s">
        <v>3679</v>
      </c>
      <c r="C1110" s="14"/>
    </row>
    <row r="1111" spans="1:3" x14ac:dyDescent="0.25">
      <c r="A1111" s="388">
        <v>43914</v>
      </c>
      <c r="B1111" s="388" t="s">
        <v>3679</v>
      </c>
      <c r="C1111" s="14"/>
    </row>
    <row r="1112" spans="1:3" x14ac:dyDescent="0.25">
      <c r="A1112" s="388">
        <v>43914</v>
      </c>
      <c r="B1112" s="388" t="s">
        <v>3679</v>
      </c>
      <c r="C1112" s="14"/>
    </row>
    <row r="1113" spans="1:3" x14ac:dyDescent="0.25">
      <c r="A1113" s="388">
        <v>43914</v>
      </c>
      <c r="B1113" s="388" t="s">
        <v>3679</v>
      </c>
      <c r="C1113" s="14"/>
    </row>
    <row r="1114" spans="1:3" x14ac:dyDescent="0.25">
      <c r="A1114" s="388">
        <v>43914</v>
      </c>
      <c r="B1114" s="388" t="s">
        <v>3679</v>
      </c>
      <c r="C1114" s="14"/>
    </row>
    <row r="1115" spans="1:3" x14ac:dyDescent="0.25">
      <c r="A1115" s="388">
        <v>43914</v>
      </c>
      <c r="B1115" s="388" t="s">
        <v>3679</v>
      </c>
      <c r="C1115" s="14"/>
    </row>
    <row r="1116" spans="1:3" x14ac:dyDescent="0.25">
      <c r="A1116" s="388">
        <v>43914</v>
      </c>
      <c r="B1116" s="388" t="s">
        <v>3679</v>
      </c>
      <c r="C1116" s="14"/>
    </row>
    <row r="1117" spans="1:3" x14ac:dyDescent="0.25">
      <c r="A1117" s="388">
        <v>43914</v>
      </c>
      <c r="B1117" s="388" t="s">
        <v>3680</v>
      </c>
      <c r="C1117" s="14"/>
    </row>
    <row r="1118" spans="1:3" x14ac:dyDescent="0.25">
      <c r="A1118" s="388">
        <v>43914</v>
      </c>
      <c r="B1118" s="388" t="s">
        <v>3679</v>
      </c>
      <c r="C1118" s="14"/>
    </row>
    <row r="1119" spans="1:3" x14ac:dyDescent="0.25">
      <c r="A1119" s="388">
        <v>43914</v>
      </c>
      <c r="B1119" s="388" t="s">
        <v>3679</v>
      </c>
      <c r="C1119" s="14"/>
    </row>
    <row r="1120" spans="1:3" x14ac:dyDescent="0.25">
      <c r="A1120" s="388">
        <v>43914</v>
      </c>
      <c r="B1120" s="388" t="s">
        <v>3679</v>
      </c>
      <c r="C1120" s="14"/>
    </row>
    <row r="1121" spans="1:3" x14ac:dyDescent="0.25">
      <c r="A1121" s="388">
        <v>43914</v>
      </c>
      <c r="B1121" s="388" t="s">
        <v>3679</v>
      </c>
      <c r="C1121" s="14"/>
    </row>
    <row r="1122" spans="1:3" x14ac:dyDescent="0.25">
      <c r="A1122" s="388">
        <v>43914</v>
      </c>
      <c r="B1122" s="388" t="s">
        <v>3679</v>
      </c>
      <c r="C1122" s="14"/>
    </row>
    <row r="1123" spans="1:3" x14ac:dyDescent="0.25">
      <c r="A1123" s="388">
        <v>43914</v>
      </c>
      <c r="B1123" s="388" t="s">
        <v>3679</v>
      </c>
      <c r="C1123" s="14"/>
    </row>
    <row r="1124" spans="1:3" x14ac:dyDescent="0.25">
      <c r="A1124" s="388">
        <v>43914</v>
      </c>
      <c r="B1124" s="388" t="s">
        <v>3679</v>
      </c>
      <c r="C1124" s="14"/>
    </row>
    <row r="1125" spans="1:3" x14ac:dyDescent="0.25">
      <c r="A1125" s="388">
        <v>43914</v>
      </c>
      <c r="B1125" s="388" t="s">
        <v>3679</v>
      </c>
      <c r="C1125" s="14"/>
    </row>
    <row r="1126" spans="1:3" x14ac:dyDescent="0.25">
      <c r="A1126" s="388">
        <v>43914</v>
      </c>
      <c r="B1126" s="388" t="s">
        <v>3679</v>
      </c>
      <c r="C1126" s="14"/>
    </row>
    <row r="1127" spans="1:3" x14ac:dyDescent="0.25">
      <c r="A1127" s="388">
        <v>43914</v>
      </c>
      <c r="B1127" s="388" t="s">
        <v>3679</v>
      </c>
      <c r="C1127" s="14"/>
    </row>
    <row r="1128" spans="1:3" x14ac:dyDescent="0.25">
      <c r="A1128" s="388">
        <v>43914</v>
      </c>
      <c r="B1128" s="388" t="s">
        <v>3679</v>
      </c>
      <c r="C1128" s="14"/>
    </row>
    <row r="1129" spans="1:3" x14ac:dyDescent="0.25">
      <c r="A1129" s="388">
        <v>43914</v>
      </c>
      <c r="B1129" s="388" t="s">
        <v>3679</v>
      </c>
      <c r="C1129" s="14"/>
    </row>
    <row r="1130" spans="1:3" x14ac:dyDescent="0.25">
      <c r="A1130" s="388">
        <v>43914</v>
      </c>
      <c r="B1130" s="388" t="s">
        <v>3679</v>
      </c>
      <c r="C1130" s="14"/>
    </row>
    <row r="1131" spans="1:3" x14ac:dyDescent="0.25">
      <c r="A1131" s="388">
        <v>43914</v>
      </c>
      <c r="B1131" s="388" t="s">
        <v>3678</v>
      </c>
      <c r="C1131" s="14"/>
    </row>
    <row r="1132" spans="1:3" x14ac:dyDescent="0.25">
      <c r="A1132" s="388">
        <v>43914</v>
      </c>
      <c r="B1132" s="388" t="s">
        <v>3679</v>
      </c>
      <c r="C1132" s="14"/>
    </row>
    <row r="1133" spans="1:3" x14ac:dyDescent="0.25">
      <c r="A1133" s="388">
        <v>43914</v>
      </c>
      <c r="B1133" s="388" t="s">
        <v>3679</v>
      </c>
      <c r="C1133" s="14"/>
    </row>
    <row r="1134" spans="1:3" x14ac:dyDescent="0.25">
      <c r="A1134" s="388">
        <v>43914</v>
      </c>
      <c r="B1134" s="388" t="s">
        <v>3679</v>
      </c>
      <c r="C1134" s="14"/>
    </row>
    <row r="1135" spans="1:3" x14ac:dyDescent="0.25">
      <c r="A1135" s="388">
        <v>43914</v>
      </c>
      <c r="B1135" s="388" t="s">
        <v>3679</v>
      </c>
      <c r="C1135" s="14"/>
    </row>
    <row r="1136" spans="1:3" x14ac:dyDescent="0.25">
      <c r="A1136" s="388">
        <v>43914</v>
      </c>
      <c r="B1136" s="388" t="s">
        <v>3679</v>
      </c>
      <c r="C1136" s="14"/>
    </row>
    <row r="1137" spans="1:3" x14ac:dyDescent="0.25">
      <c r="A1137" s="388">
        <v>43914</v>
      </c>
      <c r="B1137" s="388" t="s">
        <v>3679</v>
      </c>
      <c r="C1137" s="14"/>
    </row>
    <row r="1138" spans="1:3" x14ac:dyDescent="0.25">
      <c r="A1138" s="388">
        <v>43914</v>
      </c>
      <c r="B1138" s="388" t="s">
        <v>3679</v>
      </c>
      <c r="C1138" s="14"/>
    </row>
    <row r="1139" spans="1:3" x14ac:dyDescent="0.25">
      <c r="A1139" s="388">
        <v>43914</v>
      </c>
      <c r="B1139" s="388" t="s">
        <v>3678</v>
      </c>
      <c r="C1139" s="14"/>
    </row>
    <row r="1140" spans="1:3" x14ac:dyDescent="0.25">
      <c r="A1140" s="388">
        <v>43914</v>
      </c>
      <c r="B1140" s="388" t="s">
        <v>3678</v>
      </c>
      <c r="C1140" s="14"/>
    </row>
    <row r="1141" spans="1:3" x14ac:dyDescent="0.25">
      <c r="A1141" s="388">
        <v>43914</v>
      </c>
      <c r="B1141" s="388" t="s">
        <v>3679</v>
      </c>
      <c r="C1141" s="14"/>
    </row>
    <row r="1142" spans="1:3" x14ac:dyDescent="0.25">
      <c r="A1142" s="388">
        <v>43914</v>
      </c>
      <c r="B1142" s="388" t="s">
        <v>3679</v>
      </c>
      <c r="C1142" s="14"/>
    </row>
    <row r="1143" spans="1:3" x14ac:dyDescent="0.25">
      <c r="A1143" s="388">
        <v>43914</v>
      </c>
      <c r="B1143" s="388" t="s">
        <v>3680</v>
      </c>
      <c r="C1143" s="14"/>
    </row>
    <row r="1144" spans="1:3" x14ac:dyDescent="0.25">
      <c r="A1144" s="388">
        <v>43914</v>
      </c>
      <c r="B1144" s="388" t="s">
        <v>3679</v>
      </c>
      <c r="C1144" s="14"/>
    </row>
    <row r="1145" spans="1:3" x14ac:dyDescent="0.25">
      <c r="A1145" s="388">
        <v>43914</v>
      </c>
      <c r="B1145" s="388" t="s">
        <v>3679</v>
      </c>
      <c r="C1145" s="14"/>
    </row>
    <row r="1146" spans="1:3" x14ac:dyDescent="0.25">
      <c r="A1146" s="388">
        <v>43914</v>
      </c>
      <c r="B1146" s="388" t="s">
        <v>3678</v>
      </c>
      <c r="C1146" s="14"/>
    </row>
    <row r="1147" spans="1:3" x14ac:dyDescent="0.25">
      <c r="A1147" s="388">
        <v>43914</v>
      </c>
      <c r="B1147" s="388" t="s">
        <v>3679</v>
      </c>
      <c r="C1147" s="14"/>
    </row>
    <row r="1148" spans="1:3" x14ac:dyDescent="0.25">
      <c r="A1148" s="388">
        <v>43914</v>
      </c>
      <c r="B1148" s="388" t="s">
        <v>3679</v>
      </c>
      <c r="C1148" s="14"/>
    </row>
    <row r="1149" spans="1:3" x14ac:dyDescent="0.25">
      <c r="A1149" s="388">
        <v>43914</v>
      </c>
      <c r="B1149" s="388" t="s">
        <v>3679</v>
      </c>
      <c r="C1149" s="14"/>
    </row>
    <row r="1150" spans="1:3" x14ac:dyDescent="0.25">
      <c r="A1150" s="388">
        <v>43914</v>
      </c>
      <c r="B1150" s="388" t="s">
        <v>3679</v>
      </c>
      <c r="C1150" s="14"/>
    </row>
    <row r="1151" spans="1:3" x14ac:dyDescent="0.25">
      <c r="A1151" s="388">
        <v>43914</v>
      </c>
      <c r="B1151" s="388" t="s">
        <v>3679</v>
      </c>
      <c r="C1151" s="14"/>
    </row>
    <row r="1152" spans="1:3" x14ac:dyDescent="0.25">
      <c r="A1152" s="388">
        <v>43914</v>
      </c>
      <c r="B1152" s="388" t="s">
        <v>3679</v>
      </c>
      <c r="C1152" s="14"/>
    </row>
    <row r="1153" spans="1:3" x14ac:dyDescent="0.25">
      <c r="A1153" s="388">
        <v>43914</v>
      </c>
      <c r="B1153" s="388" t="s">
        <v>3679</v>
      </c>
      <c r="C1153" s="14"/>
    </row>
    <row r="1154" spans="1:3" x14ac:dyDescent="0.25">
      <c r="A1154" s="388">
        <v>43914</v>
      </c>
      <c r="B1154" s="388" t="s">
        <v>3680</v>
      </c>
      <c r="C1154" s="14"/>
    </row>
    <row r="1155" spans="1:3" x14ac:dyDescent="0.25">
      <c r="A1155" s="388">
        <v>43914</v>
      </c>
      <c r="B1155" s="388" t="s">
        <v>3679</v>
      </c>
      <c r="C1155" s="14"/>
    </row>
    <row r="1156" spans="1:3" x14ac:dyDescent="0.25">
      <c r="A1156" s="388">
        <v>43914</v>
      </c>
      <c r="B1156" s="388" t="s">
        <v>3679</v>
      </c>
      <c r="C1156" s="14"/>
    </row>
    <row r="1157" spans="1:3" x14ac:dyDescent="0.25">
      <c r="A1157" s="388">
        <v>43914</v>
      </c>
      <c r="B1157" s="388" t="s">
        <v>3678</v>
      </c>
      <c r="C1157" s="14"/>
    </row>
    <row r="1158" spans="1:3" x14ac:dyDescent="0.25">
      <c r="A1158" s="388">
        <v>43914</v>
      </c>
      <c r="B1158" s="388" t="s">
        <v>3678</v>
      </c>
      <c r="C1158" s="14"/>
    </row>
    <row r="1159" spans="1:3" x14ac:dyDescent="0.25">
      <c r="A1159" s="388">
        <v>43914</v>
      </c>
      <c r="B1159" s="388" t="s">
        <v>3678</v>
      </c>
      <c r="C1159" s="14"/>
    </row>
    <row r="1160" spans="1:3" x14ac:dyDescent="0.25">
      <c r="A1160" s="388">
        <v>43914</v>
      </c>
      <c r="B1160" s="388" t="s">
        <v>3679</v>
      </c>
      <c r="C1160" s="14"/>
    </row>
    <row r="1161" spans="1:3" x14ac:dyDescent="0.25">
      <c r="A1161" s="388">
        <v>43914</v>
      </c>
      <c r="B1161" s="388" t="s">
        <v>3679</v>
      </c>
      <c r="C1161" s="14"/>
    </row>
    <row r="1162" spans="1:3" x14ac:dyDescent="0.25">
      <c r="A1162" s="388">
        <v>43914</v>
      </c>
      <c r="B1162" s="388" t="s">
        <v>3680</v>
      </c>
      <c r="C1162" s="14"/>
    </row>
    <row r="1163" spans="1:3" x14ac:dyDescent="0.25">
      <c r="A1163" s="388">
        <v>43914</v>
      </c>
      <c r="B1163" s="388" t="s">
        <v>3678</v>
      </c>
      <c r="C1163" s="14"/>
    </row>
    <row r="1164" spans="1:3" x14ac:dyDescent="0.25">
      <c r="A1164" s="388">
        <v>43914</v>
      </c>
      <c r="B1164" s="388" t="s">
        <v>3679</v>
      </c>
      <c r="C1164" s="14"/>
    </row>
    <row r="1165" spans="1:3" x14ac:dyDescent="0.25">
      <c r="A1165" s="388">
        <v>43914</v>
      </c>
      <c r="B1165" s="388" t="s">
        <v>3679</v>
      </c>
      <c r="C1165" s="14"/>
    </row>
    <row r="1166" spans="1:3" x14ac:dyDescent="0.25">
      <c r="A1166" s="388">
        <v>43914</v>
      </c>
      <c r="B1166" s="388" t="s">
        <v>3679</v>
      </c>
      <c r="C1166" s="14"/>
    </row>
    <row r="1167" spans="1:3" x14ac:dyDescent="0.25">
      <c r="A1167" s="388">
        <v>43914</v>
      </c>
      <c r="B1167" s="388" t="s">
        <v>3679</v>
      </c>
      <c r="C1167" s="14"/>
    </row>
    <row r="1168" spans="1:3" x14ac:dyDescent="0.25">
      <c r="A1168" s="388">
        <v>43914</v>
      </c>
      <c r="B1168" s="388" t="s">
        <v>3679</v>
      </c>
      <c r="C1168" s="14"/>
    </row>
    <row r="1169" spans="1:3" x14ac:dyDescent="0.25">
      <c r="A1169" s="388">
        <v>43914</v>
      </c>
      <c r="B1169" s="388" t="s">
        <v>3679</v>
      </c>
      <c r="C1169" s="14"/>
    </row>
    <row r="1170" spans="1:3" x14ac:dyDescent="0.25">
      <c r="A1170" s="388">
        <v>43914</v>
      </c>
      <c r="B1170" s="388" t="s">
        <v>3678</v>
      </c>
      <c r="C1170" s="14"/>
    </row>
    <row r="1171" spans="1:3" x14ac:dyDescent="0.25">
      <c r="A1171" s="388">
        <v>43914</v>
      </c>
      <c r="B1171" s="388" t="s">
        <v>3679</v>
      </c>
      <c r="C1171" s="14"/>
    </row>
    <row r="1172" spans="1:3" x14ac:dyDescent="0.25">
      <c r="A1172" s="388">
        <v>43914</v>
      </c>
      <c r="B1172" s="388" t="s">
        <v>3678</v>
      </c>
      <c r="C1172" s="14"/>
    </row>
    <row r="1173" spans="1:3" x14ac:dyDescent="0.25">
      <c r="A1173" s="388">
        <v>43914</v>
      </c>
      <c r="B1173" s="388" t="s">
        <v>3679</v>
      </c>
      <c r="C1173" s="14"/>
    </row>
    <row r="1174" spans="1:3" x14ac:dyDescent="0.25">
      <c r="A1174" s="388">
        <v>43914</v>
      </c>
      <c r="B1174" s="388" t="s">
        <v>3679</v>
      </c>
      <c r="C1174" s="14"/>
    </row>
    <row r="1175" spans="1:3" x14ac:dyDescent="0.25">
      <c r="A1175" s="388">
        <v>43914</v>
      </c>
      <c r="B1175" s="388" t="s">
        <v>3679</v>
      </c>
      <c r="C1175" s="14"/>
    </row>
    <row r="1176" spans="1:3" x14ac:dyDescent="0.25">
      <c r="A1176" s="388">
        <v>43914</v>
      </c>
      <c r="B1176" s="388" t="s">
        <v>3679</v>
      </c>
      <c r="C1176" s="14"/>
    </row>
    <row r="1177" spans="1:3" x14ac:dyDescent="0.25">
      <c r="A1177" s="388">
        <v>43914</v>
      </c>
      <c r="B1177" s="388" t="s">
        <v>3679</v>
      </c>
      <c r="C1177" s="14"/>
    </row>
    <row r="1178" spans="1:3" x14ac:dyDescent="0.25">
      <c r="A1178" s="388">
        <v>43914</v>
      </c>
      <c r="B1178" s="388" t="s">
        <v>3678</v>
      </c>
      <c r="C1178" s="14"/>
    </row>
    <row r="1179" spans="1:3" x14ac:dyDescent="0.25">
      <c r="A1179" s="388">
        <v>43914</v>
      </c>
      <c r="B1179" s="388" t="s">
        <v>3679</v>
      </c>
      <c r="C1179" s="14"/>
    </row>
    <row r="1180" spans="1:3" x14ac:dyDescent="0.25">
      <c r="A1180" s="388">
        <v>43914</v>
      </c>
      <c r="B1180" s="388" t="s">
        <v>3679</v>
      </c>
      <c r="C1180" s="14"/>
    </row>
    <row r="1181" spans="1:3" x14ac:dyDescent="0.25">
      <c r="A1181" s="388">
        <v>43914</v>
      </c>
      <c r="B1181" s="388" t="s">
        <v>3679</v>
      </c>
      <c r="C1181" s="14"/>
    </row>
    <row r="1182" spans="1:3" x14ac:dyDescent="0.25">
      <c r="A1182" s="388">
        <v>43914</v>
      </c>
      <c r="B1182" s="388" t="s">
        <v>3679</v>
      </c>
      <c r="C1182" s="14"/>
    </row>
    <row r="1183" spans="1:3" x14ac:dyDescent="0.25">
      <c r="A1183" s="388">
        <v>43914</v>
      </c>
      <c r="B1183" s="388" t="s">
        <v>3679</v>
      </c>
      <c r="C1183" s="14"/>
    </row>
    <row r="1184" spans="1:3" x14ac:dyDescent="0.25">
      <c r="A1184" s="388">
        <v>43914</v>
      </c>
      <c r="B1184" s="388" t="s">
        <v>3679</v>
      </c>
      <c r="C1184" s="14"/>
    </row>
    <row r="1185" spans="1:3" x14ac:dyDescent="0.25">
      <c r="A1185" s="388">
        <v>43914</v>
      </c>
      <c r="B1185" s="388" t="s">
        <v>3679</v>
      </c>
      <c r="C1185" s="14"/>
    </row>
    <row r="1186" spans="1:3" x14ac:dyDescent="0.25">
      <c r="A1186" s="388">
        <v>43914</v>
      </c>
      <c r="B1186" s="388" t="s">
        <v>3679</v>
      </c>
      <c r="C1186" s="14"/>
    </row>
    <row r="1187" spans="1:3" x14ac:dyDescent="0.25">
      <c r="A1187" s="388">
        <v>43914</v>
      </c>
      <c r="B1187" s="388" t="s">
        <v>3679</v>
      </c>
      <c r="C1187" s="14"/>
    </row>
    <row r="1188" spans="1:3" x14ac:dyDescent="0.25">
      <c r="A1188" s="388">
        <v>43914</v>
      </c>
      <c r="B1188" s="388" t="s">
        <v>3678</v>
      </c>
      <c r="C1188" s="14"/>
    </row>
    <row r="1189" spans="1:3" x14ac:dyDescent="0.25">
      <c r="A1189" s="388">
        <v>43915</v>
      </c>
      <c r="B1189" s="388" t="s">
        <v>3679</v>
      </c>
      <c r="C1189" s="14"/>
    </row>
    <row r="1190" spans="1:3" x14ac:dyDescent="0.25">
      <c r="A1190" s="388">
        <v>43915</v>
      </c>
      <c r="B1190" s="388" t="s">
        <v>3679</v>
      </c>
      <c r="C1190" s="14"/>
    </row>
    <row r="1191" spans="1:3" x14ac:dyDescent="0.25">
      <c r="A1191" s="388">
        <v>43915</v>
      </c>
      <c r="B1191" s="388" t="s">
        <v>3679</v>
      </c>
      <c r="C1191" s="14"/>
    </row>
    <row r="1192" spans="1:3" x14ac:dyDescent="0.25">
      <c r="A1192" s="388">
        <v>43915</v>
      </c>
      <c r="B1192" s="388" t="s">
        <v>3679</v>
      </c>
      <c r="C1192" s="14"/>
    </row>
    <row r="1193" spans="1:3" x14ac:dyDescent="0.25">
      <c r="A1193" s="388">
        <v>43915</v>
      </c>
      <c r="B1193" s="388" t="s">
        <v>3679</v>
      </c>
      <c r="C1193" s="14"/>
    </row>
    <row r="1194" spans="1:3" x14ac:dyDescent="0.25">
      <c r="A1194" s="388">
        <v>43915</v>
      </c>
      <c r="B1194" s="388" t="s">
        <v>3678</v>
      </c>
      <c r="C1194" s="14"/>
    </row>
    <row r="1195" spans="1:3" x14ac:dyDescent="0.25">
      <c r="A1195" s="388">
        <v>43915</v>
      </c>
      <c r="B1195" s="388" t="s">
        <v>3679</v>
      </c>
      <c r="C1195" s="14"/>
    </row>
    <row r="1196" spans="1:3" x14ac:dyDescent="0.25">
      <c r="A1196" s="388">
        <v>43915</v>
      </c>
      <c r="B1196" s="388" t="s">
        <v>3679</v>
      </c>
      <c r="C1196" s="14"/>
    </row>
    <row r="1197" spans="1:3" x14ac:dyDescent="0.25">
      <c r="A1197" s="388">
        <v>43915</v>
      </c>
      <c r="B1197" s="388" t="s">
        <v>3678</v>
      </c>
      <c r="C1197" s="14"/>
    </row>
    <row r="1198" spans="1:3" x14ac:dyDescent="0.25">
      <c r="A1198" s="388">
        <v>43915</v>
      </c>
      <c r="B1198" s="388" t="s">
        <v>3679</v>
      </c>
      <c r="C1198" s="14"/>
    </row>
    <row r="1199" spans="1:3" x14ac:dyDescent="0.25">
      <c r="A1199" s="388">
        <v>43915</v>
      </c>
      <c r="B1199" s="388" t="s">
        <v>3679</v>
      </c>
      <c r="C1199" s="14"/>
    </row>
    <row r="1200" spans="1:3" x14ac:dyDescent="0.25">
      <c r="A1200" s="388">
        <v>43915</v>
      </c>
      <c r="B1200" s="388" t="s">
        <v>3680</v>
      </c>
      <c r="C1200" s="14"/>
    </row>
    <row r="1201" spans="1:3" x14ac:dyDescent="0.25">
      <c r="A1201" s="388">
        <v>43915</v>
      </c>
      <c r="B1201" s="388" t="s">
        <v>3678</v>
      </c>
      <c r="C1201" s="14"/>
    </row>
    <row r="1202" spans="1:3" x14ac:dyDescent="0.25">
      <c r="A1202" s="388">
        <v>43915</v>
      </c>
      <c r="B1202" s="388" t="s">
        <v>3679</v>
      </c>
      <c r="C1202" s="14"/>
    </row>
    <row r="1203" spans="1:3" x14ac:dyDescent="0.25">
      <c r="A1203" s="388">
        <v>43915</v>
      </c>
      <c r="B1203" s="388" t="s">
        <v>3679</v>
      </c>
      <c r="C1203" s="14"/>
    </row>
    <row r="1204" spans="1:3" x14ac:dyDescent="0.25">
      <c r="A1204" s="388">
        <v>43915</v>
      </c>
      <c r="B1204" s="388" t="s">
        <v>3679</v>
      </c>
      <c r="C1204" s="14"/>
    </row>
    <row r="1205" spans="1:3" x14ac:dyDescent="0.25">
      <c r="A1205" s="388">
        <v>43915</v>
      </c>
      <c r="B1205" s="388" t="s">
        <v>3679</v>
      </c>
      <c r="C1205" s="14"/>
    </row>
    <row r="1206" spans="1:3" x14ac:dyDescent="0.25">
      <c r="A1206" s="388">
        <v>43915</v>
      </c>
      <c r="B1206" s="388" t="s">
        <v>3679</v>
      </c>
      <c r="C1206" s="14"/>
    </row>
    <row r="1207" spans="1:3" x14ac:dyDescent="0.25">
      <c r="A1207" s="388">
        <v>43915</v>
      </c>
      <c r="B1207" s="388" t="s">
        <v>3679</v>
      </c>
      <c r="C1207" s="14"/>
    </row>
    <row r="1208" spans="1:3" x14ac:dyDescent="0.25">
      <c r="A1208" s="388">
        <v>43915</v>
      </c>
      <c r="B1208" s="388" t="s">
        <v>3679</v>
      </c>
      <c r="C1208" s="14"/>
    </row>
    <row r="1209" spans="1:3" x14ac:dyDescent="0.25">
      <c r="A1209" s="388">
        <v>43915</v>
      </c>
      <c r="B1209" s="388" t="s">
        <v>3679</v>
      </c>
      <c r="C1209" s="14"/>
    </row>
    <row r="1210" spans="1:3" x14ac:dyDescent="0.25">
      <c r="A1210" s="388">
        <v>43915</v>
      </c>
      <c r="B1210" s="388" t="s">
        <v>3679</v>
      </c>
      <c r="C1210" s="14"/>
    </row>
    <row r="1211" spans="1:3" x14ac:dyDescent="0.25">
      <c r="A1211" s="388">
        <v>43915</v>
      </c>
      <c r="B1211" s="388" t="s">
        <v>3679</v>
      </c>
      <c r="C1211" s="14"/>
    </row>
    <row r="1212" spans="1:3" x14ac:dyDescent="0.25">
      <c r="A1212" s="388">
        <v>43915</v>
      </c>
      <c r="B1212" s="388" t="s">
        <v>3678</v>
      </c>
      <c r="C1212" s="14"/>
    </row>
    <row r="1213" spans="1:3" x14ac:dyDescent="0.25">
      <c r="A1213" s="388">
        <v>43915</v>
      </c>
      <c r="B1213" s="388" t="s">
        <v>3678</v>
      </c>
      <c r="C1213" s="14"/>
    </row>
    <row r="1214" spans="1:3" x14ac:dyDescent="0.25">
      <c r="A1214" s="388">
        <v>43915</v>
      </c>
      <c r="B1214" s="388" t="s">
        <v>3680</v>
      </c>
      <c r="C1214" s="14"/>
    </row>
    <row r="1215" spans="1:3" x14ac:dyDescent="0.25">
      <c r="A1215" s="388">
        <v>43915</v>
      </c>
      <c r="B1215" s="388" t="s">
        <v>3679</v>
      </c>
      <c r="C1215" s="14"/>
    </row>
    <row r="1216" spans="1:3" x14ac:dyDescent="0.25">
      <c r="A1216" s="388">
        <v>43915</v>
      </c>
      <c r="B1216" s="388" t="s">
        <v>3679</v>
      </c>
      <c r="C1216" s="14"/>
    </row>
    <row r="1217" spans="1:3" x14ac:dyDescent="0.25">
      <c r="A1217" s="388">
        <v>43915</v>
      </c>
      <c r="B1217" s="388" t="s">
        <v>3678</v>
      </c>
      <c r="C1217" s="14"/>
    </row>
    <row r="1218" spans="1:3" x14ac:dyDescent="0.25">
      <c r="A1218" s="388">
        <v>43915</v>
      </c>
      <c r="B1218" s="388" t="s">
        <v>3679</v>
      </c>
      <c r="C1218" s="14"/>
    </row>
    <row r="1219" spans="1:3" x14ac:dyDescent="0.25">
      <c r="A1219" s="388">
        <v>43915</v>
      </c>
      <c r="B1219" s="388" t="s">
        <v>3679</v>
      </c>
      <c r="C1219" s="14"/>
    </row>
    <row r="1220" spans="1:3" x14ac:dyDescent="0.25">
      <c r="A1220" s="388">
        <v>43915</v>
      </c>
      <c r="B1220" s="388" t="s">
        <v>3679</v>
      </c>
      <c r="C1220" s="14"/>
    </row>
    <row r="1221" spans="1:3" x14ac:dyDescent="0.25">
      <c r="A1221" s="388">
        <v>43915</v>
      </c>
      <c r="B1221" s="388" t="s">
        <v>3679</v>
      </c>
      <c r="C1221" s="14"/>
    </row>
    <row r="1222" spans="1:3" x14ac:dyDescent="0.25">
      <c r="A1222" s="388">
        <v>43915</v>
      </c>
      <c r="B1222" s="388" t="s">
        <v>3679</v>
      </c>
      <c r="C1222" s="14"/>
    </row>
    <row r="1223" spans="1:3" x14ac:dyDescent="0.25">
      <c r="A1223" s="388">
        <v>43915</v>
      </c>
      <c r="B1223" s="388" t="s">
        <v>3679</v>
      </c>
      <c r="C1223" s="14"/>
    </row>
    <row r="1224" spans="1:3" x14ac:dyDescent="0.25">
      <c r="A1224" s="388">
        <v>43915</v>
      </c>
      <c r="B1224" s="388" t="s">
        <v>3680</v>
      </c>
      <c r="C1224" s="14"/>
    </row>
    <row r="1225" spans="1:3" x14ac:dyDescent="0.25">
      <c r="A1225" s="388">
        <v>43915</v>
      </c>
      <c r="B1225" s="388" t="s">
        <v>3678</v>
      </c>
      <c r="C1225" s="14"/>
    </row>
    <row r="1226" spans="1:3" x14ac:dyDescent="0.25">
      <c r="A1226" s="388">
        <v>43915</v>
      </c>
      <c r="B1226" s="388" t="s">
        <v>3678</v>
      </c>
      <c r="C1226" s="14"/>
    </row>
    <row r="1227" spans="1:3" x14ac:dyDescent="0.25">
      <c r="A1227" s="388">
        <v>43915</v>
      </c>
      <c r="B1227" s="388" t="s">
        <v>3679</v>
      </c>
      <c r="C1227" s="14"/>
    </row>
    <row r="1228" spans="1:3" x14ac:dyDescent="0.25">
      <c r="A1228" s="388">
        <v>43915</v>
      </c>
      <c r="B1228" s="388" t="s">
        <v>3678</v>
      </c>
      <c r="C1228" s="14"/>
    </row>
    <row r="1229" spans="1:3" x14ac:dyDescent="0.25">
      <c r="A1229" s="388">
        <v>43915</v>
      </c>
      <c r="B1229" s="388" t="s">
        <v>3680</v>
      </c>
      <c r="C1229" s="14"/>
    </row>
    <row r="1230" spans="1:3" x14ac:dyDescent="0.25">
      <c r="A1230" s="388">
        <v>43915</v>
      </c>
      <c r="B1230" s="388" t="s">
        <v>3680</v>
      </c>
      <c r="C1230" s="14"/>
    </row>
    <row r="1231" spans="1:3" x14ac:dyDescent="0.25">
      <c r="A1231" s="388">
        <v>43915</v>
      </c>
      <c r="B1231" s="388" t="s">
        <v>3678</v>
      </c>
      <c r="C1231" s="14"/>
    </row>
    <row r="1232" spans="1:3" x14ac:dyDescent="0.25">
      <c r="A1232" s="388">
        <v>43915</v>
      </c>
      <c r="B1232" s="388" t="s">
        <v>3678</v>
      </c>
      <c r="C1232" s="14"/>
    </row>
    <row r="1233" spans="1:3" x14ac:dyDescent="0.25">
      <c r="A1233" s="388">
        <v>43915</v>
      </c>
      <c r="B1233" s="388" t="s">
        <v>3681</v>
      </c>
      <c r="C1233" s="14"/>
    </row>
    <row r="1234" spans="1:3" x14ac:dyDescent="0.25">
      <c r="A1234" s="388">
        <v>43915</v>
      </c>
      <c r="B1234" s="388" t="s">
        <v>3679</v>
      </c>
      <c r="C1234" s="14"/>
    </row>
    <row r="1235" spans="1:3" x14ac:dyDescent="0.25">
      <c r="A1235" s="388">
        <v>43915</v>
      </c>
      <c r="B1235" s="388" t="s">
        <v>3679</v>
      </c>
      <c r="C1235" s="14"/>
    </row>
    <row r="1236" spans="1:3" x14ac:dyDescent="0.25">
      <c r="A1236" s="388">
        <v>43915</v>
      </c>
      <c r="B1236" s="388" t="s">
        <v>3679</v>
      </c>
      <c r="C1236" s="14"/>
    </row>
    <row r="1237" spans="1:3" x14ac:dyDescent="0.25">
      <c r="A1237" s="388">
        <v>43915</v>
      </c>
      <c r="B1237" s="388" t="s">
        <v>3678</v>
      </c>
      <c r="C1237" s="14"/>
    </row>
    <row r="1238" spans="1:3" x14ac:dyDescent="0.25">
      <c r="A1238" s="388">
        <v>43915</v>
      </c>
      <c r="B1238" s="388" t="s">
        <v>3679</v>
      </c>
      <c r="C1238" s="14"/>
    </row>
    <row r="1239" spans="1:3" x14ac:dyDescent="0.25">
      <c r="A1239" s="388">
        <v>43915</v>
      </c>
      <c r="B1239" s="388" t="s">
        <v>3679</v>
      </c>
      <c r="C1239" s="14"/>
    </row>
    <row r="1240" spans="1:3" x14ac:dyDescent="0.25">
      <c r="A1240" s="388">
        <v>43915</v>
      </c>
      <c r="B1240" s="388" t="s">
        <v>3679</v>
      </c>
      <c r="C1240" s="14"/>
    </row>
    <row r="1241" spans="1:3" x14ac:dyDescent="0.25">
      <c r="A1241" s="388">
        <v>43915</v>
      </c>
      <c r="B1241" s="388" t="s">
        <v>3680</v>
      </c>
      <c r="C1241" s="14"/>
    </row>
    <row r="1242" spans="1:3" x14ac:dyDescent="0.25">
      <c r="A1242" s="388">
        <v>43915</v>
      </c>
      <c r="B1242" s="388" t="s">
        <v>3679</v>
      </c>
      <c r="C1242" s="14"/>
    </row>
    <row r="1243" spans="1:3" x14ac:dyDescent="0.25">
      <c r="A1243" s="388">
        <v>43915</v>
      </c>
      <c r="B1243" s="388" t="s">
        <v>3678</v>
      </c>
      <c r="C1243" s="14"/>
    </row>
    <row r="1244" spans="1:3" x14ac:dyDescent="0.25">
      <c r="A1244" s="388">
        <v>43915</v>
      </c>
      <c r="B1244" s="388" t="s">
        <v>3679</v>
      </c>
      <c r="C1244" s="14"/>
    </row>
    <row r="1245" spans="1:3" x14ac:dyDescent="0.25">
      <c r="A1245" s="388">
        <v>43915</v>
      </c>
      <c r="B1245" s="388" t="s">
        <v>3679</v>
      </c>
      <c r="C1245" s="14"/>
    </row>
    <row r="1246" spans="1:3" x14ac:dyDescent="0.25">
      <c r="A1246" s="388">
        <v>43915</v>
      </c>
      <c r="B1246" s="388" t="s">
        <v>3679</v>
      </c>
      <c r="C1246" s="14"/>
    </row>
    <row r="1247" spans="1:3" x14ac:dyDescent="0.25">
      <c r="A1247" s="388">
        <v>43915</v>
      </c>
      <c r="B1247" s="388" t="s">
        <v>3678</v>
      </c>
      <c r="C1247" s="14"/>
    </row>
    <row r="1248" spans="1:3" x14ac:dyDescent="0.25">
      <c r="A1248" s="388">
        <v>43915</v>
      </c>
      <c r="B1248" s="388" t="s">
        <v>3679</v>
      </c>
      <c r="C1248" s="14"/>
    </row>
    <row r="1249" spans="1:3" x14ac:dyDescent="0.25">
      <c r="A1249" s="388">
        <v>43915</v>
      </c>
      <c r="B1249" s="388" t="s">
        <v>3678</v>
      </c>
      <c r="C1249" s="14"/>
    </row>
    <row r="1250" spans="1:3" x14ac:dyDescent="0.25">
      <c r="A1250" s="388">
        <v>43915</v>
      </c>
      <c r="B1250" s="388" t="s">
        <v>3679</v>
      </c>
      <c r="C1250" s="14"/>
    </row>
    <row r="1251" spans="1:3" x14ac:dyDescent="0.25">
      <c r="A1251" s="388">
        <v>43915</v>
      </c>
      <c r="B1251" s="388" t="s">
        <v>3679</v>
      </c>
      <c r="C1251" s="14"/>
    </row>
    <row r="1252" spans="1:3" x14ac:dyDescent="0.25">
      <c r="A1252" s="388">
        <v>43915</v>
      </c>
      <c r="B1252" s="388" t="s">
        <v>3679</v>
      </c>
      <c r="C1252" s="14"/>
    </row>
    <row r="1253" spans="1:3" x14ac:dyDescent="0.25">
      <c r="A1253" s="388">
        <v>43915</v>
      </c>
      <c r="B1253" s="388" t="s">
        <v>3679</v>
      </c>
      <c r="C1253" s="14"/>
    </row>
    <row r="1254" spans="1:3" x14ac:dyDescent="0.25">
      <c r="A1254" s="388">
        <v>43915</v>
      </c>
      <c r="B1254" s="388" t="s">
        <v>3679</v>
      </c>
      <c r="C1254" s="14"/>
    </row>
    <row r="1255" spans="1:3" x14ac:dyDescent="0.25">
      <c r="A1255" s="388">
        <v>43915</v>
      </c>
      <c r="B1255" s="388" t="s">
        <v>3679</v>
      </c>
      <c r="C1255" s="14"/>
    </row>
    <row r="1256" spans="1:3" x14ac:dyDescent="0.25">
      <c r="A1256" s="388">
        <v>43915</v>
      </c>
      <c r="B1256" s="388" t="s">
        <v>3679</v>
      </c>
      <c r="C1256" s="14"/>
    </row>
    <row r="1257" spans="1:3" x14ac:dyDescent="0.25">
      <c r="A1257" s="388">
        <v>43915</v>
      </c>
      <c r="B1257" s="388" t="s">
        <v>3679</v>
      </c>
      <c r="C1257" s="14"/>
    </row>
    <row r="1258" spans="1:3" x14ac:dyDescent="0.25">
      <c r="A1258" s="388">
        <v>43915</v>
      </c>
      <c r="B1258" s="388" t="s">
        <v>3679</v>
      </c>
      <c r="C1258" s="14"/>
    </row>
    <row r="1259" spans="1:3" x14ac:dyDescent="0.25">
      <c r="A1259" s="388">
        <v>43915</v>
      </c>
      <c r="B1259" s="388" t="s">
        <v>3679</v>
      </c>
      <c r="C1259" s="14"/>
    </row>
    <row r="1260" spans="1:3" x14ac:dyDescent="0.25">
      <c r="A1260" s="388">
        <v>43915</v>
      </c>
      <c r="B1260" s="388" t="s">
        <v>3679</v>
      </c>
      <c r="C1260" s="14"/>
    </row>
    <row r="1261" spans="1:3" x14ac:dyDescent="0.25">
      <c r="A1261" s="388">
        <v>43915</v>
      </c>
      <c r="B1261" s="388" t="s">
        <v>3679</v>
      </c>
      <c r="C1261" s="14"/>
    </row>
    <row r="1262" spans="1:3" x14ac:dyDescent="0.25">
      <c r="A1262" s="388">
        <v>43915</v>
      </c>
      <c r="B1262" s="388" t="s">
        <v>3680</v>
      </c>
      <c r="C1262" s="14"/>
    </row>
    <row r="1263" spans="1:3" x14ac:dyDescent="0.25">
      <c r="A1263" s="388">
        <v>43915</v>
      </c>
      <c r="B1263" s="388" t="s">
        <v>3678</v>
      </c>
      <c r="C1263" s="14"/>
    </row>
    <row r="1264" spans="1:3" x14ac:dyDescent="0.25">
      <c r="A1264" s="388">
        <v>43915</v>
      </c>
      <c r="B1264" s="388" t="s">
        <v>3678</v>
      </c>
      <c r="C1264" s="14"/>
    </row>
    <row r="1265" spans="1:3" x14ac:dyDescent="0.25">
      <c r="A1265" s="388">
        <v>43915</v>
      </c>
      <c r="B1265" s="388" t="s">
        <v>3678</v>
      </c>
      <c r="C1265" s="14"/>
    </row>
    <row r="1266" spans="1:3" x14ac:dyDescent="0.25">
      <c r="A1266" s="388">
        <v>43915</v>
      </c>
      <c r="B1266" s="388" t="s">
        <v>3679</v>
      </c>
      <c r="C1266" s="14"/>
    </row>
    <row r="1267" spans="1:3" x14ac:dyDescent="0.25">
      <c r="A1267" s="388">
        <v>43915</v>
      </c>
      <c r="B1267" s="388" t="s">
        <v>3678</v>
      </c>
      <c r="C1267" s="14"/>
    </row>
    <row r="1268" spans="1:3" x14ac:dyDescent="0.25">
      <c r="A1268" s="388">
        <v>43915</v>
      </c>
      <c r="B1268" s="388" t="s">
        <v>3679</v>
      </c>
      <c r="C1268" s="14"/>
    </row>
    <row r="1269" spans="1:3" x14ac:dyDescent="0.25">
      <c r="A1269" s="388">
        <v>43915</v>
      </c>
      <c r="B1269" s="388" t="s">
        <v>3678</v>
      </c>
      <c r="C1269" s="14"/>
    </row>
    <row r="1270" spans="1:3" x14ac:dyDescent="0.25">
      <c r="A1270" s="388">
        <v>43915</v>
      </c>
      <c r="B1270" s="388" t="s">
        <v>3679</v>
      </c>
      <c r="C1270" s="14"/>
    </row>
    <row r="1271" spans="1:3" x14ac:dyDescent="0.25">
      <c r="A1271" s="388">
        <v>43915</v>
      </c>
      <c r="B1271" s="388" t="s">
        <v>3679</v>
      </c>
      <c r="C1271" s="14"/>
    </row>
    <row r="1272" spans="1:3" x14ac:dyDescent="0.25">
      <c r="A1272" s="388">
        <v>43915</v>
      </c>
      <c r="B1272" s="388" t="s">
        <v>3679</v>
      </c>
      <c r="C1272" s="14"/>
    </row>
    <row r="1273" spans="1:3" x14ac:dyDescent="0.25">
      <c r="A1273" s="388">
        <v>43915</v>
      </c>
      <c r="B1273" s="388" t="s">
        <v>3680</v>
      </c>
      <c r="C1273" s="14"/>
    </row>
    <row r="1274" spans="1:3" x14ac:dyDescent="0.25">
      <c r="A1274" s="388">
        <v>43915</v>
      </c>
      <c r="B1274" s="388" t="s">
        <v>3679</v>
      </c>
      <c r="C1274" s="14"/>
    </row>
    <row r="1275" spans="1:3" x14ac:dyDescent="0.25">
      <c r="A1275" s="388">
        <v>43915</v>
      </c>
      <c r="B1275" s="388" t="s">
        <v>3678</v>
      </c>
      <c r="C1275" s="14"/>
    </row>
    <row r="1276" spans="1:3" x14ac:dyDescent="0.25">
      <c r="A1276" s="388">
        <v>43915</v>
      </c>
      <c r="B1276" s="388" t="s">
        <v>3679</v>
      </c>
      <c r="C1276" s="14"/>
    </row>
    <row r="1277" spans="1:3" x14ac:dyDescent="0.25">
      <c r="A1277" s="388">
        <v>43915</v>
      </c>
      <c r="B1277" s="388" t="s">
        <v>3679</v>
      </c>
      <c r="C1277" s="14"/>
    </row>
    <row r="1278" spans="1:3" x14ac:dyDescent="0.25">
      <c r="A1278" s="388">
        <v>43915</v>
      </c>
      <c r="B1278" s="388" t="s">
        <v>3679</v>
      </c>
      <c r="C1278" s="14"/>
    </row>
    <row r="1279" spans="1:3" x14ac:dyDescent="0.25">
      <c r="A1279" s="388">
        <v>43915</v>
      </c>
      <c r="B1279" s="388" t="s">
        <v>3680</v>
      </c>
      <c r="C1279" s="14"/>
    </row>
    <row r="1280" spans="1:3" x14ac:dyDescent="0.25">
      <c r="A1280" s="388">
        <v>43915</v>
      </c>
      <c r="B1280" s="388" t="s">
        <v>3679</v>
      </c>
      <c r="C1280" s="14"/>
    </row>
    <row r="1281" spans="1:3" x14ac:dyDescent="0.25">
      <c r="A1281" s="388">
        <v>43915</v>
      </c>
      <c r="B1281" s="388" t="s">
        <v>3681</v>
      </c>
      <c r="C1281" s="14"/>
    </row>
    <row r="1282" spans="1:3" x14ac:dyDescent="0.25">
      <c r="A1282" s="388">
        <v>43915</v>
      </c>
      <c r="B1282" s="388" t="s">
        <v>3678</v>
      </c>
      <c r="C1282" s="14"/>
    </row>
    <row r="1283" spans="1:3" x14ac:dyDescent="0.25">
      <c r="A1283" s="388">
        <v>43915</v>
      </c>
      <c r="B1283" s="388" t="s">
        <v>3678</v>
      </c>
      <c r="C1283" s="14"/>
    </row>
    <row r="1284" spans="1:3" x14ac:dyDescent="0.25">
      <c r="A1284" s="388">
        <v>43915</v>
      </c>
      <c r="B1284" s="388" t="s">
        <v>3679</v>
      </c>
      <c r="C1284" s="14"/>
    </row>
    <row r="1285" spans="1:3" x14ac:dyDescent="0.25">
      <c r="A1285" s="388">
        <v>43915</v>
      </c>
      <c r="B1285" s="388" t="s">
        <v>3679</v>
      </c>
      <c r="C1285" s="14"/>
    </row>
    <row r="1286" spans="1:3" x14ac:dyDescent="0.25">
      <c r="A1286" s="388">
        <v>43915</v>
      </c>
      <c r="B1286" s="388" t="s">
        <v>3679</v>
      </c>
      <c r="C1286" s="14"/>
    </row>
    <row r="1287" spans="1:3" x14ac:dyDescent="0.25">
      <c r="A1287" s="388">
        <v>43915</v>
      </c>
      <c r="B1287" s="388" t="s">
        <v>3679</v>
      </c>
      <c r="C1287" s="14"/>
    </row>
    <row r="1288" spans="1:3" x14ac:dyDescent="0.25">
      <c r="A1288" s="388">
        <v>43915</v>
      </c>
      <c r="B1288" s="388" t="s">
        <v>3679</v>
      </c>
      <c r="C1288" s="14"/>
    </row>
    <row r="1289" spans="1:3" x14ac:dyDescent="0.25">
      <c r="A1289" s="388">
        <v>43915</v>
      </c>
      <c r="B1289" s="388" t="s">
        <v>3680</v>
      </c>
      <c r="C1289" s="14"/>
    </row>
    <row r="1290" spans="1:3" x14ac:dyDescent="0.25">
      <c r="A1290" s="388">
        <v>43915</v>
      </c>
      <c r="B1290" s="388" t="s">
        <v>3678</v>
      </c>
      <c r="C1290" s="14"/>
    </row>
    <row r="1291" spans="1:3" x14ac:dyDescent="0.25">
      <c r="A1291" s="388">
        <v>43915</v>
      </c>
      <c r="B1291" s="388" t="s">
        <v>3679</v>
      </c>
      <c r="C1291" s="14"/>
    </row>
    <row r="1292" spans="1:3" x14ac:dyDescent="0.25">
      <c r="A1292" s="388">
        <v>43915</v>
      </c>
      <c r="B1292" s="388" t="s">
        <v>3679</v>
      </c>
      <c r="C1292" s="14"/>
    </row>
    <row r="1293" spans="1:3" x14ac:dyDescent="0.25">
      <c r="A1293" s="388">
        <v>43915</v>
      </c>
      <c r="B1293" s="388" t="s">
        <v>3679</v>
      </c>
      <c r="C1293" s="14"/>
    </row>
    <row r="1294" spans="1:3" x14ac:dyDescent="0.25">
      <c r="A1294" s="388">
        <v>43915</v>
      </c>
      <c r="B1294" s="388" t="s">
        <v>3679</v>
      </c>
      <c r="C1294" s="14"/>
    </row>
    <row r="1295" spans="1:3" x14ac:dyDescent="0.25">
      <c r="A1295" s="388">
        <v>43915</v>
      </c>
      <c r="B1295" s="388" t="s">
        <v>3679</v>
      </c>
      <c r="C1295" s="14"/>
    </row>
    <row r="1296" spans="1:3" x14ac:dyDescent="0.25">
      <c r="A1296" s="388">
        <v>43915</v>
      </c>
      <c r="B1296" s="388" t="s">
        <v>3679</v>
      </c>
      <c r="C1296" s="14"/>
    </row>
    <row r="1297" spans="1:3" x14ac:dyDescent="0.25">
      <c r="A1297" s="388">
        <v>43915</v>
      </c>
      <c r="B1297" s="388" t="s">
        <v>3679</v>
      </c>
      <c r="C1297" s="14"/>
    </row>
    <row r="1298" spans="1:3" x14ac:dyDescent="0.25">
      <c r="A1298" s="388">
        <v>43915</v>
      </c>
      <c r="B1298" s="388" t="s">
        <v>3679</v>
      </c>
      <c r="C1298" s="14"/>
    </row>
    <row r="1299" spans="1:3" x14ac:dyDescent="0.25">
      <c r="A1299" s="388">
        <v>43915</v>
      </c>
      <c r="B1299" s="388" t="s">
        <v>3679</v>
      </c>
      <c r="C1299" s="14"/>
    </row>
    <row r="1300" spans="1:3" x14ac:dyDescent="0.25">
      <c r="A1300" s="388">
        <v>43915</v>
      </c>
      <c r="B1300" s="388" t="s">
        <v>3678</v>
      </c>
      <c r="C1300" s="14"/>
    </row>
    <row r="1301" spans="1:3" x14ac:dyDescent="0.25">
      <c r="A1301" s="388">
        <v>43915</v>
      </c>
      <c r="B1301" s="388" t="s">
        <v>3679</v>
      </c>
      <c r="C1301" s="14"/>
    </row>
    <row r="1302" spans="1:3" x14ac:dyDescent="0.25">
      <c r="A1302" s="388">
        <v>43915</v>
      </c>
      <c r="B1302" s="388" t="s">
        <v>3679</v>
      </c>
      <c r="C1302" s="14"/>
    </row>
    <row r="1303" spans="1:3" x14ac:dyDescent="0.25">
      <c r="A1303" s="388">
        <v>43915</v>
      </c>
      <c r="B1303" s="388" t="s">
        <v>3679</v>
      </c>
      <c r="C1303" s="14"/>
    </row>
    <row r="1304" spans="1:3" x14ac:dyDescent="0.25">
      <c r="A1304" s="388">
        <v>43915</v>
      </c>
      <c r="B1304" s="388" t="s">
        <v>3679</v>
      </c>
      <c r="C1304" s="14"/>
    </row>
    <row r="1305" spans="1:3" x14ac:dyDescent="0.25">
      <c r="A1305" s="388">
        <v>43915</v>
      </c>
      <c r="B1305" s="388" t="s">
        <v>3679</v>
      </c>
      <c r="C1305" s="14"/>
    </row>
    <row r="1306" spans="1:3" x14ac:dyDescent="0.25">
      <c r="A1306" s="388">
        <v>43915</v>
      </c>
      <c r="B1306" s="388" t="s">
        <v>3679</v>
      </c>
      <c r="C1306" s="14"/>
    </row>
    <row r="1307" spans="1:3" x14ac:dyDescent="0.25">
      <c r="A1307" s="388">
        <v>43915</v>
      </c>
      <c r="B1307" s="388" t="s">
        <v>3679</v>
      </c>
      <c r="C1307" s="14"/>
    </row>
    <row r="1308" spans="1:3" x14ac:dyDescent="0.25">
      <c r="A1308" s="388">
        <v>43915</v>
      </c>
      <c r="B1308" s="388" t="s">
        <v>3679</v>
      </c>
      <c r="C1308" s="14"/>
    </row>
    <row r="1309" spans="1:3" x14ac:dyDescent="0.25">
      <c r="A1309" s="388">
        <v>43915</v>
      </c>
      <c r="B1309" s="388" t="s">
        <v>3679</v>
      </c>
      <c r="C1309" s="14"/>
    </row>
    <row r="1310" spans="1:3" x14ac:dyDescent="0.25">
      <c r="A1310" s="388">
        <v>43915</v>
      </c>
      <c r="B1310" s="388" t="s">
        <v>3679</v>
      </c>
      <c r="C1310" s="14"/>
    </row>
    <row r="1311" spans="1:3" x14ac:dyDescent="0.25">
      <c r="A1311" s="388">
        <v>43915</v>
      </c>
      <c r="B1311" s="388" t="s">
        <v>3678</v>
      </c>
      <c r="C1311" s="14"/>
    </row>
    <row r="1312" spans="1:3" x14ac:dyDescent="0.25">
      <c r="A1312" s="388">
        <v>43915</v>
      </c>
      <c r="B1312" s="388" t="s">
        <v>3678</v>
      </c>
      <c r="C1312" s="14"/>
    </row>
    <row r="1313" spans="1:3" x14ac:dyDescent="0.25">
      <c r="A1313" s="388">
        <v>43915</v>
      </c>
      <c r="B1313" s="388" t="s">
        <v>3680</v>
      </c>
      <c r="C1313" s="14"/>
    </row>
    <row r="1314" spans="1:3" x14ac:dyDescent="0.25">
      <c r="A1314" s="388">
        <v>43915</v>
      </c>
      <c r="B1314" s="388" t="s">
        <v>3679</v>
      </c>
      <c r="C1314" s="14"/>
    </row>
    <row r="1315" spans="1:3" x14ac:dyDescent="0.25">
      <c r="A1315" s="388">
        <v>43915</v>
      </c>
      <c r="B1315" s="388" t="s">
        <v>3679</v>
      </c>
      <c r="C1315" s="14"/>
    </row>
    <row r="1316" spans="1:3" x14ac:dyDescent="0.25">
      <c r="A1316" s="388">
        <v>43915</v>
      </c>
      <c r="B1316" s="388" t="s">
        <v>3680</v>
      </c>
      <c r="C1316" s="14"/>
    </row>
    <row r="1317" spans="1:3" x14ac:dyDescent="0.25">
      <c r="A1317" s="388">
        <v>43915</v>
      </c>
      <c r="B1317" s="388" t="s">
        <v>3679</v>
      </c>
      <c r="C1317" s="14"/>
    </row>
    <row r="1318" spans="1:3" x14ac:dyDescent="0.25">
      <c r="A1318" s="388">
        <v>43915</v>
      </c>
      <c r="B1318" s="388" t="s">
        <v>3679</v>
      </c>
      <c r="C1318" s="14"/>
    </row>
    <row r="1319" spans="1:3" x14ac:dyDescent="0.25">
      <c r="A1319" s="388">
        <v>43915</v>
      </c>
      <c r="B1319" s="388" t="s">
        <v>3679</v>
      </c>
      <c r="C1319" s="14"/>
    </row>
    <row r="1320" spans="1:3" x14ac:dyDescent="0.25">
      <c r="A1320" s="388">
        <v>43915</v>
      </c>
      <c r="B1320" s="388" t="s">
        <v>3679</v>
      </c>
      <c r="C1320" s="14"/>
    </row>
    <row r="1321" spans="1:3" x14ac:dyDescent="0.25">
      <c r="A1321" s="388">
        <v>43915</v>
      </c>
      <c r="B1321" s="388" t="s">
        <v>3679</v>
      </c>
      <c r="C1321" s="14"/>
    </row>
    <row r="1322" spans="1:3" x14ac:dyDescent="0.25">
      <c r="A1322" s="388">
        <v>43915</v>
      </c>
      <c r="B1322" s="388" t="s">
        <v>3679</v>
      </c>
      <c r="C1322" s="14"/>
    </row>
    <row r="1323" spans="1:3" x14ac:dyDescent="0.25">
      <c r="A1323" s="388">
        <v>43915</v>
      </c>
      <c r="B1323" s="388" t="s">
        <v>3679</v>
      </c>
      <c r="C1323" s="14"/>
    </row>
    <row r="1324" spans="1:3" x14ac:dyDescent="0.25">
      <c r="A1324" s="388">
        <v>43915</v>
      </c>
      <c r="B1324" s="388" t="s">
        <v>3679</v>
      </c>
      <c r="C1324" s="14"/>
    </row>
    <row r="1325" spans="1:3" x14ac:dyDescent="0.25">
      <c r="A1325" s="388">
        <v>43915</v>
      </c>
      <c r="B1325" s="388" t="s">
        <v>3679</v>
      </c>
      <c r="C1325" s="14"/>
    </row>
    <row r="1326" spans="1:3" x14ac:dyDescent="0.25">
      <c r="A1326" s="388">
        <v>43915</v>
      </c>
      <c r="B1326" s="388" t="s">
        <v>3679</v>
      </c>
      <c r="C1326" s="14"/>
    </row>
    <row r="1327" spans="1:3" x14ac:dyDescent="0.25">
      <c r="A1327" s="388">
        <v>43915</v>
      </c>
      <c r="B1327" s="388" t="s">
        <v>3679</v>
      </c>
      <c r="C1327" s="14"/>
    </row>
    <row r="1328" spans="1:3" x14ac:dyDescent="0.25">
      <c r="A1328" s="388">
        <v>43915</v>
      </c>
      <c r="B1328" s="388" t="s">
        <v>3679</v>
      </c>
      <c r="C1328" s="14"/>
    </row>
    <row r="1329" spans="1:3" x14ac:dyDescent="0.25">
      <c r="A1329" s="388">
        <v>43915</v>
      </c>
      <c r="B1329" s="388" t="s">
        <v>3679</v>
      </c>
      <c r="C1329" s="14"/>
    </row>
    <row r="1330" spans="1:3" x14ac:dyDescent="0.25">
      <c r="A1330" s="388">
        <v>43915</v>
      </c>
      <c r="B1330" s="388" t="s">
        <v>3679</v>
      </c>
      <c r="C1330" s="14"/>
    </row>
    <row r="1331" spans="1:3" x14ac:dyDescent="0.25">
      <c r="A1331" s="388">
        <v>43915</v>
      </c>
      <c r="B1331" s="388" t="s">
        <v>3679</v>
      </c>
      <c r="C1331" s="14"/>
    </row>
    <row r="1332" spans="1:3" x14ac:dyDescent="0.25">
      <c r="A1332" s="388">
        <v>43915</v>
      </c>
      <c r="B1332" s="388" t="s">
        <v>3680</v>
      </c>
      <c r="C1332" s="14"/>
    </row>
    <row r="1333" spans="1:3" x14ac:dyDescent="0.25">
      <c r="A1333" s="388">
        <v>43915</v>
      </c>
      <c r="B1333" s="388" t="s">
        <v>3679</v>
      </c>
      <c r="C1333" s="14"/>
    </row>
    <row r="1334" spans="1:3" x14ac:dyDescent="0.25">
      <c r="A1334" s="388">
        <v>43915</v>
      </c>
      <c r="B1334" s="388" t="s">
        <v>3679</v>
      </c>
      <c r="C1334" s="14"/>
    </row>
    <row r="1335" spans="1:3" x14ac:dyDescent="0.25">
      <c r="A1335" s="388">
        <v>43915</v>
      </c>
      <c r="B1335" s="388" t="s">
        <v>3679</v>
      </c>
      <c r="C1335" s="14"/>
    </row>
    <row r="1336" spans="1:3" x14ac:dyDescent="0.25">
      <c r="A1336" s="388">
        <v>43915</v>
      </c>
      <c r="B1336" s="388" t="s">
        <v>3679</v>
      </c>
      <c r="C1336" s="14"/>
    </row>
    <row r="1337" spans="1:3" x14ac:dyDescent="0.25">
      <c r="A1337" s="388">
        <v>43915</v>
      </c>
      <c r="B1337" s="388" t="s">
        <v>3679</v>
      </c>
      <c r="C1337" s="14"/>
    </row>
    <row r="1338" spans="1:3" x14ac:dyDescent="0.25">
      <c r="A1338" s="388">
        <v>43915</v>
      </c>
      <c r="B1338" s="388" t="s">
        <v>3679</v>
      </c>
      <c r="C1338" s="14"/>
    </row>
    <row r="1339" spans="1:3" x14ac:dyDescent="0.25">
      <c r="A1339" s="388">
        <v>43915</v>
      </c>
      <c r="B1339" s="388" t="s">
        <v>3679</v>
      </c>
      <c r="C1339" s="14"/>
    </row>
    <row r="1340" spans="1:3" x14ac:dyDescent="0.25">
      <c r="A1340" s="388">
        <v>43915</v>
      </c>
      <c r="B1340" s="388" t="s">
        <v>3679</v>
      </c>
      <c r="C1340" s="14"/>
    </row>
    <row r="1341" spans="1:3" x14ac:dyDescent="0.25">
      <c r="A1341" s="388">
        <v>43915</v>
      </c>
      <c r="B1341" s="388" t="s">
        <v>3679</v>
      </c>
      <c r="C1341" s="14"/>
    </row>
    <row r="1342" spans="1:3" x14ac:dyDescent="0.25">
      <c r="A1342" s="388">
        <v>43915</v>
      </c>
      <c r="B1342" s="388" t="s">
        <v>3679</v>
      </c>
      <c r="C1342" s="14"/>
    </row>
    <row r="1343" spans="1:3" x14ac:dyDescent="0.25">
      <c r="A1343" s="388">
        <v>43915</v>
      </c>
      <c r="B1343" s="388" t="s">
        <v>3679</v>
      </c>
      <c r="C1343" s="14"/>
    </row>
    <row r="1344" spans="1:3" x14ac:dyDescent="0.25">
      <c r="A1344" s="388">
        <v>43915</v>
      </c>
      <c r="B1344" s="388" t="s">
        <v>3679</v>
      </c>
      <c r="C1344" s="14"/>
    </row>
    <row r="1345" spans="1:3" x14ac:dyDescent="0.25">
      <c r="A1345" s="388">
        <v>43915</v>
      </c>
      <c r="B1345" s="388" t="s">
        <v>3678</v>
      </c>
      <c r="C1345" s="14"/>
    </row>
    <row r="1346" spans="1:3" x14ac:dyDescent="0.25">
      <c r="A1346" s="388">
        <v>43915</v>
      </c>
      <c r="B1346" s="388" t="s">
        <v>3678</v>
      </c>
      <c r="C1346" s="14"/>
    </row>
    <row r="1347" spans="1:3" x14ac:dyDescent="0.25">
      <c r="A1347" s="388">
        <v>43915</v>
      </c>
      <c r="B1347" s="388" t="s">
        <v>3679</v>
      </c>
      <c r="C1347" s="14"/>
    </row>
    <row r="1348" spans="1:3" x14ac:dyDescent="0.25">
      <c r="A1348" s="388">
        <v>43915</v>
      </c>
      <c r="B1348" s="388" t="s">
        <v>3679</v>
      </c>
      <c r="C1348" s="14"/>
    </row>
    <row r="1349" spans="1:3" x14ac:dyDescent="0.25">
      <c r="A1349" s="388">
        <v>43915</v>
      </c>
      <c r="B1349" s="388" t="s">
        <v>3679</v>
      </c>
      <c r="C1349" s="14"/>
    </row>
    <row r="1350" spans="1:3" x14ac:dyDescent="0.25">
      <c r="A1350" s="388">
        <v>43915</v>
      </c>
      <c r="B1350" s="388" t="s">
        <v>3679</v>
      </c>
      <c r="C1350" s="14"/>
    </row>
    <row r="1351" spans="1:3" x14ac:dyDescent="0.25">
      <c r="A1351" s="388">
        <v>43915</v>
      </c>
      <c r="B1351" s="388" t="s">
        <v>3678</v>
      </c>
      <c r="C1351" s="14"/>
    </row>
    <row r="1352" spans="1:3" x14ac:dyDescent="0.25">
      <c r="A1352" s="388">
        <v>43915</v>
      </c>
      <c r="B1352" s="388" t="s">
        <v>3680</v>
      </c>
      <c r="C1352" s="14"/>
    </row>
    <row r="1353" spans="1:3" x14ac:dyDescent="0.25">
      <c r="A1353" s="388">
        <v>43915</v>
      </c>
      <c r="B1353" s="388" t="s">
        <v>3679</v>
      </c>
      <c r="C1353" s="14"/>
    </row>
    <row r="1354" spans="1:3" x14ac:dyDescent="0.25">
      <c r="A1354" s="388">
        <v>43915</v>
      </c>
      <c r="B1354" s="388" t="s">
        <v>3680</v>
      </c>
      <c r="C1354" s="14"/>
    </row>
    <row r="1355" spans="1:3" x14ac:dyDescent="0.25">
      <c r="A1355" s="388">
        <v>43915</v>
      </c>
      <c r="B1355" s="388" t="s">
        <v>3679</v>
      </c>
      <c r="C1355" s="14"/>
    </row>
    <row r="1356" spans="1:3" x14ac:dyDescent="0.25">
      <c r="A1356" s="388">
        <v>43915</v>
      </c>
      <c r="B1356" s="388" t="s">
        <v>3679</v>
      </c>
      <c r="C1356" s="14"/>
    </row>
    <row r="1357" spans="1:3" x14ac:dyDescent="0.25">
      <c r="A1357" s="388">
        <v>43915</v>
      </c>
      <c r="B1357" s="388" t="s">
        <v>3679</v>
      </c>
      <c r="C1357" s="14"/>
    </row>
    <row r="1358" spans="1:3" x14ac:dyDescent="0.25">
      <c r="A1358" s="388">
        <v>43915</v>
      </c>
      <c r="B1358" s="388" t="s">
        <v>3679</v>
      </c>
      <c r="C1358" s="14"/>
    </row>
    <row r="1359" spans="1:3" x14ac:dyDescent="0.25">
      <c r="A1359" s="388">
        <v>43915</v>
      </c>
      <c r="B1359" s="388" t="s">
        <v>3679</v>
      </c>
      <c r="C1359" s="14"/>
    </row>
    <row r="1360" spans="1:3" x14ac:dyDescent="0.25">
      <c r="A1360" s="388">
        <v>43915</v>
      </c>
      <c r="B1360" s="388" t="s">
        <v>3679</v>
      </c>
      <c r="C1360" s="14"/>
    </row>
    <row r="1361" spans="1:3" x14ac:dyDescent="0.25">
      <c r="A1361" s="388">
        <v>43915</v>
      </c>
      <c r="B1361" s="388" t="s">
        <v>3679</v>
      </c>
      <c r="C1361" s="14"/>
    </row>
    <row r="1362" spans="1:3" x14ac:dyDescent="0.25">
      <c r="A1362" s="388">
        <v>43915</v>
      </c>
      <c r="B1362" s="388" t="s">
        <v>3679</v>
      </c>
      <c r="C1362" s="14"/>
    </row>
    <row r="1363" spans="1:3" x14ac:dyDescent="0.25">
      <c r="A1363" s="388">
        <v>43915</v>
      </c>
      <c r="B1363" s="388" t="s">
        <v>3679</v>
      </c>
      <c r="C1363" s="14"/>
    </row>
    <row r="1364" spans="1:3" x14ac:dyDescent="0.25">
      <c r="A1364" s="388">
        <v>43915</v>
      </c>
      <c r="B1364" s="388" t="s">
        <v>3678</v>
      </c>
      <c r="C1364" s="14"/>
    </row>
    <row r="1365" spans="1:3" x14ac:dyDescent="0.25">
      <c r="A1365" s="388">
        <v>43915</v>
      </c>
      <c r="B1365" s="388" t="s">
        <v>3679</v>
      </c>
      <c r="C1365" s="14"/>
    </row>
    <row r="1366" spans="1:3" x14ac:dyDescent="0.25">
      <c r="A1366" s="388">
        <v>43915</v>
      </c>
      <c r="B1366" s="388" t="s">
        <v>3679</v>
      </c>
      <c r="C1366" s="14"/>
    </row>
    <row r="1367" spans="1:3" x14ac:dyDescent="0.25">
      <c r="A1367" s="388">
        <v>43915</v>
      </c>
      <c r="B1367" s="388" t="s">
        <v>3678</v>
      </c>
      <c r="C1367" s="14"/>
    </row>
    <row r="1368" spans="1:3" x14ac:dyDescent="0.25">
      <c r="A1368" s="388">
        <v>43915</v>
      </c>
      <c r="B1368" s="388" t="s">
        <v>3678</v>
      </c>
      <c r="C1368" s="14"/>
    </row>
    <row r="1369" spans="1:3" x14ac:dyDescent="0.25">
      <c r="A1369" s="388">
        <v>43915</v>
      </c>
      <c r="B1369" s="388" t="s">
        <v>3679</v>
      </c>
      <c r="C1369" s="14"/>
    </row>
    <row r="1370" spans="1:3" x14ac:dyDescent="0.25">
      <c r="A1370" s="388">
        <v>43915</v>
      </c>
      <c r="B1370" s="388" t="s">
        <v>3679</v>
      </c>
      <c r="C1370" s="14"/>
    </row>
    <row r="1371" spans="1:3" x14ac:dyDescent="0.25">
      <c r="A1371" s="388">
        <v>43915</v>
      </c>
      <c r="B1371" s="388" t="s">
        <v>3679</v>
      </c>
      <c r="C1371" s="14"/>
    </row>
    <row r="1372" spans="1:3" x14ac:dyDescent="0.25">
      <c r="A1372" s="388">
        <v>43915</v>
      </c>
      <c r="B1372" s="388" t="s">
        <v>3679</v>
      </c>
      <c r="C1372" s="14"/>
    </row>
    <row r="1373" spans="1:3" x14ac:dyDescent="0.25">
      <c r="A1373" s="388">
        <v>43915</v>
      </c>
      <c r="B1373" s="388" t="s">
        <v>3679</v>
      </c>
      <c r="C1373" s="14"/>
    </row>
    <row r="1374" spans="1:3" x14ac:dyDescent="0.25">
      <c r="A1374" s="388">
        <v>43915</v>
      </c>
      <c r="B1374" s="388" t="s">
        <v>3679</v>
      </c>
      <c r="C1374" s="14"/>
    </row>
    <row r="1375" spans="1:3" x14ac:dyDescent="0.25">
      <c r="A1375" s="388">
        <v>43916</v>
      </c>
      <c r="B1375" s="388" t="s">
        <v>3679</v>
      </c>
      <c r="C1375" s="14"/>
    </row>
    <row r="1376" spans="1:3" x14ac:dyDescent="0.25">
      <c r="A1376" s="388">
        <v>43916</v>
      </c>
      <c r="B1376" s="388" t="s">
        <v>3679</v>
      </c>
      <c r="C1376" s="14"/>
    </row>
    <row r="1377" spans="1:3" x14ac:dyDescent="0.25">
      <c r="A1377" s="388">
        <v>43916</v>
      </c>
      <c r="B1377" s="388" t="s">
        <v>3679</v>
      </c>
      <c r="C1377" s="14"/>
    </row>
    <row r="1378" spans="1:3" x14ac:dyDescent="0.25">
      <c r="A1378" s="388">
        <v>43916</v>
      </c>
      <c r="B1378" s="388" t="s">
        <v>3679</v>
      </c>
      <c r="C1378" s="14"/>
    </row>
    <row r="1379" spans="1:3" x14ac:dyDescent="0.25">
      <c r="A1379" s="388">
        <v>43916</v>
      </c>
      <c r="B1379" s="388" t="s">
        <v>3680</v>
      </c>
      <c r="C1379" s="14"/>
    </row>
    <row r="1380" spans="1:3" x14ac:dyDescent="0.25">
      <c r="A1380" s="388">
        <v>43916</v>
      </c>
      <c r="B1380" s="388" t="s">
        <v>3679</v>
      </c>
      <c r="C1380" s="14"/>
    </row>
    <row r="1381" spans="1:3" x14ac:dyDescent="0.25">
      <c r="A1381" s="388">
        <v>43916</v>
      </c>
      <c r="B1381" s="388" t="s">
        <v>3678</v>
      </c>
      <c r="C1381" s="14"/>
    </row>
    <row r="1382" spans="1:3" x14ac:dyDescent="0.25">
      <c r="A1382" s="388">
        <v>43916</v>
      </c>
      <c r="B1382" s="388" t="s">
        <v>3679</v>
      </c>
      <c r="C1382" s="14"/>
    </row>
    <row r="1383" spans="1:3" x14ac:dyDescent="0.25">
      <c r="A1383" s="388">
        <v>43916</v>
      </c>
      <c r="B1383" s="388" t="s">
        <v>3679</v>
      </c>
      <c r="C1383" s="14"/>
    </row>
    <row r="1384" spans="1:3" x14ac:dyDescent="0.25">
      <c r="A1384" s="388">
        <v>43916</v>
      </c>
      <c r="B1384" s="388" t="s">
        <v>3679</v>
      </c>
      <c r="C1384" s="14"/>
    </row>
    <row r="1385" spans="1:3" x14ac:dyDescent="0.25">
      <c r="A1385" s="388">
        <v>43916</v>
      </c>
      <c r="B1385" s="388" t="s">
        <v>3679</v>
      </c>
      <c r="C1385" s="14"/>
    </row>
    <row r="1386" spans="1:3" x14ac:dyDescent="0.25">
      <c r="A1386" s="388">
        <v>43916</v>
      </c>
      <c r="B1386" s="388" t="s">
        <v>3679</v>
      </c>
      <c r="C1386" s="14"/>
    </row>
    <row r="1387" spans="1:3" x14ac:dyDescent="0.25">
      <c r="A1387" s="388">
        <v>43916</v>
      </c>
      <c r="B1387" s="388" t="s">
        <v>3678</v>
      </c>
      <c r="C1387" s="14"/>
    </row>
    <row r="1388" spans="1:3" x14ac:dyDescent="0.25">
      <c r="A1388" s="388">
        <v>43916</v>
      </c>
      <c r="B1388" s="388" t="s">
        <v>3678</v>
      </c>
      <c r="C1388" s="14"/>
    </row>
    <row r="1389" spans="1:3" x14ac:dyDescent="0.25">
      <c r="A1389" s="388">
        <v>43916</v>
      </c>
      <c r="B1389" s="388" t="s">
        <v>3680</v>
      </c>
      <c r="C1389" s="14"/>
    </row>
    <row r="1390" spans="1:3" x14ac:dyDescent="0.25">
      <c r="A1390" s="388">
        <v>43916</v>
      </c>
      <c r="B1390" s="388" t="s">
        <v>3679</v>
      </c>
      <c r="C1390" s="14"/>
    </row>
    <row r="1391" spans="1:3" x14ac:dyDescent="0.25">
      <c r="A1391" s="388">
        <v>43916</v>
      </c>
      <c r="B1391" s="388" t="s">
        <v>3678</v>
      </c>
      <c r="C1391" s="14"/>
    </row>
    <row r="1392" spans="1:3" x14ac:dyDescent="0.25">
      <c r="A1392" s="388">
        <v>43916</v>
      </c>
      <c r="B1392" s="388" t="s">
        <v>3679</v>
      </c>
      <c r="C1392" s="14"/>
    </row>
    <row r="1393" spans="1:3" x14ac:dyDescent="0.25">
      <c r="A1393" s="388">
        <v>43916</v>
      </c>
      <c r="B1393" s="388" t="s">
        <v>3679</v>
      </c>
      <c r="C1393" s="14"/>
    </row>
    <row r="1394" spans="1:3" x14ac:dyDescent="0.25">
      <c r="A1394" s="388">
        <v>43916</v>
      </c>
      <c r="B1394" s="388" t="s">
        <v>3678</v>
      </c>
      <c r="C1394" s="14"/>
    </row>
    <row r="1395" spans="1:3" x14ac:dyDescent="0.25">
      <c r="A1395" s="388">
        <v>43916</v>
      </c>
      <c r="B1395" s="388" t="s">
        <v>3678</v>
      </c>
      <c r="C1395" s="14"/>
    </row>
    <row r="1396" spans="1:3" x14ac:dyDescent="0.25">
      <c r="A1396" s="388">
        <v>43916</v>
      </c>
      <c r="B1396" s="388" t="s">
        <v>3679</v>
      </c>
      <c r="C1396" s="14"/>
    </row>
    <row r="1397" spans="1:3" x14ac:dyDescent="0.25">
      <c r="A1397" s="388">
        <v>43916</v>
      </c>
      <c r="B1397" s="388" t="s">
        <v>3679</v>
      </c>
      <c r="C1397" s="14"/>
    </row>
    <row r="1398" spans="1:3" x14ac:dyDescent="0.25">
      <c r="A1398" s="388">
        <v>43916</v>
      </c>
      <c r="B1398" s="388" t="s">
        <v>3679</v>
      </c>
      <c r="C1398" s="14"/>
    </row>
    <row r="1399" spans="1:3" x14ac:dyDescent="0.25">
      <c r="A1399" s="388">
        <v>43916</v>
      </c>
      <c r="B1399" s="388" t="s">
        <v>3679</v>
      </c>
      <c r="C1399" s="14"/>
    </row>
    <row r="1400" spans="1:3" x14ac:dyDescent="0.25">
      <c r="A1400" s="388">
        <v>43916</v>
      </c>
      <c r="B1400" s="388" t="s">
        <v>3680</v>
      </c>
      <c r="C1400" s="14"/>
    </row>
    <row r="1401" spans="1:3" x14ac:dyDescent="0.25">
      <c r="A1401" s="388">
        <v>43916</v>
      </c>
      <c r="B1401" s="388" t="s">
        <v>3679</v>
      </c>
      <c r="C1401" s="14"/>
    </row>
    <row r="1402" spans="1:3" x14ac:dyDescent="0.25">
      <c r="A1402" s="388">
        <v>43916</v>
      </c>
      <c r="B1402" s="388" t="s">
        <v>3678</v>
      </c>
      <c r="C1402" s="14"/>
    </row>
    <row r="1403" spans="1:3" x14ac:dyDescent="0.25">
      <c r="A1403" s="388">
        <v>43916</v>
      </c>
      <c r="B1403" s="388" t="s">
        <v>3679</v>
      </c>
      <c r="C1403" s="14"/>
    </row>
    <row r="1404" spans="1:3" x14ac:dyDescent="0.25">
      <c r="A1404" s="388">
        <v>43916</v>
      </c>
      <c r="B1404" s="388" t="s">
        <v>3678</v>
      </c>
      <c r="C1404" s="14"/>
    </row>
    <row r="1405" spans="1:3" x14ac:dyDescent="0.25">
      <c r="A1405" s="388">
        <v>43916</v>
      </c>
      <c r="B1405" s="388" t="s">
        <v>3679</v>
      </c>
      <c r="C1405" s="14"/>
    </row>
    <row r="1406" spans="1:3" x14ac:dyDescent="0.25">
      <c r="A1406" s="388">
        <v>43916</v>
      </c>
      <c r="B1406" s="388" t="s">
        <v>3678</v>
      </c>
      <c r="C1406" s="14"/>
    </row>
    <row r="1407" spans="1:3" x14ac:dyDescent="0.25">
      <c r="A1407" s="388">
        <v>43916</v>
      </c>
      <c r="B1407" s="388" t="s">
        <v>3678</v>
      </c>
      <c r="C1407" s="14"/>
    </row>
    <row r="1408" spans="1:3" x14ac:dyDescent="0.25">
      <c r="A1408" s="388">
        <v>43916</v>
      </c>
      <c r="B1408" s="388" t="s">
        <v>3679</v>
      </c>
      <c r="C1408" s="14"/>
    </row>
    <row r="1409" spans="1:3" x14ac:dyDescent="0.25">
      <c r="A1409" s="388">
        <v>43916</v>
      </c>
      <c r="B1409" s="388" t="s">
        <v>3678</v>
      </c>
      <c r="C1409" s="14"/>
    </row>
    <row r="1410" spans="1:3" x14ac:dyDescent="0.25">
      <c r="A1410" s="388">
        <v>43916</v>
      </c>
      <c r="B1410" s="388" t="s">
        <v>3679</v>
      </c>
      <c r="C1410" s="14"/>
    </row>
    <row r="1411" spans="1:3" x14ac:dyDescent="0.25">
      <c r="A1411" s="388">
        <v>43916</v>
      </c>
      <c r="B1411" s="388" t="s">
        <v>3679</v>
      </c>
      <c r="C1411" s="14"/>
    </row>
    <row r="1412" spans="1:3" x14ac:dyDescent="0.25">
      <c r="A1412" s="388">
        <v>43916</v>
      </c>
      <c r="B1412" s="388" t="s">
        <v>3679</v>
      </c>
      <c r="C1412" s="14"/>
    </row>
    <row r="1413" spans="1:3" x14ac:dyDescent="0.25">
      <c r="A1413" s="388">
        <v>43916</v>
      </c>
      <c r="B1413" s="388" t="s">
        <v>3681</v>
      </c>
      <c r="C1413" s="14"/>
    </row>
    <row r="1414" spans="1:3" x14ac:dyDescent="0.25">
      <c r="A1414" s="388">
        <v>43916</v>
      </c>
      <c r="B1414" s="388" t="s">
        <v>3679</v>
      </c>
      <c r="C1414" s="14"/>
    </row>
    <row r="1415" spans="1:3" x14ac:dyDescent="0.25">
      <c r="A1415" s="388">
        <v>43916</v>
      </c>
      <c r="B1415" s="388" t="s">
        <v>3680</v>
      </c>
      <c r="C1415" s="14"/>
    </row>
    <row r="1416" spans="1:3" x14ac:dyDescent="0.25">
      <c r="A1416" s="388">
        <v>43916</v>
      </c>
      <c r="B1416" s="388" t="s">
        <v>3678</v>
      </c>
      <c r="C1416" s="14"/>
    </row>
    <row r="1417" spans="1:3" x14ac:dyDescent="0.25">
      <c r="A1417" s="388">
        <v>43916</v>
      </c>
      <c r="B1417" s="388" t="s">
        <v>3681</v>
      </c>
      <c r="C1417" s="14"/>
    </row>
    <row r="1418" spans="1:3" x14ac:dyDescent="0.25">
      <c r="A1418" s="388">
        <v>43916</v>
      </c>
      <c r="B1418" s="388" t="s">
        <v>3680</v>
      </c>
      <c r="C1418" s="14"/>
    </row>
    <row r="1419" spans="1:3" x14ac:dyDescent="0.25">
      <c r="A1419" s="388">
        <v>43916</v>
      </c>
      <c r="B1419" s="388" t="s">
        <v>3679</v>
      </c>
      <c r="C1419" s="14"/>
    </row>
    <row r="1420" spans="1:3" x14ac:dyDescent="0.25">
      <c r="A1420" s="388">
        <v>43916</v>
      </c>
      <c r="B1420" s="388" t="s">
        <v>3678</v>
      </c>
      <c r="C1420" s="14"/>
    </row>
    <row r="1421" spans="1:3" x14ac:dyDescent="0.25">
      <c r="A1421" s="388">
        <v>43916</v>
      </c>
      <c r="B1421" s="388" t="s">
        <v>3678</v>
      </c>
      <c r="C1421" s="14"/>
    </row>
    <row r="1422" spans="1:3" x14ac:dyDescent="0.25">
      <c r="A1422" s="388">
        <v>43916</v>
      </c>
      <c r="B1422" s="388" t="s">
        <v>3679</v>
      </c>
      <c r="C1422" s="14"/>
    </row>
    <row r="1423" spans="1:3" x14ac:dyDescent="0.25">
      <c r="A1423" s="388">
        <v>43916</v>
      </c>
      <c r="B1423" s="388" t="s">
        <v>3679</v>
      </c>
      <c r="C1423" s="14"/>
    </row>
    <row r="1424" spans="1:3" x14ac:dyDescent="0.25">
      <c r="A1424" s="388">
        <v>43916</v>
      </c>
      <c r="B1424" s="388" t="s">
        <v>3680</v>
      </c>
      <c r="C1424" s="14"/>
    </row>
    <row r="1425" spans="1:3" x14ac:dyDescent="0.25">
      <c r="A1425" s="388">
        <v>43916</v>
      </c>
      <c r="B1425" s="388" t="s">
        <v>3679</v>
      </c>
      <c r="C1425" s="14"/>
    </row>
    <row r="1426" spans="1:3" x14ac:dyDescent="0.25">
      <c r="A1426" s="388">
        <v>43916</v>
      </c>
      <c r="B1426" s="388" t="s">
        <v>3680</v>
      </c>
      <c r="C1426" s="14"/>
    </row>
    <row r="1427" spans="1:3" x14ac:dyDescent="0.25">
      <c r="A1427" s="388">
        <v>43916</v>
      </c>
      <c r="B1427" s="388" t="s">
        <v>3679</v>
      </c>
      <c r="C1427" s="14"/>
    </row>
    <row r="1428" spans="1:3" x14ac:dyDescent="0.25">
      <c r="A1428" s="388">
        <v>43916</v>
      </c>
      <c r="B1428" s="388" t="s">
        <v>3679</v>
      </c>
      <c r="C1428" s="14"/>
    </row>
    <row r="1429" spans="1:3" x14ac:dyDescent="0.25">
      <c r="A1429" s="388">
        <v>43916</v>
      </c>
      <c r="B1429" s="388" t="s">
        <v>3678</v>
      </c>
      <c r="C1429" s="14"/>
    </row>
    <row r="1430" spans="1:3" x14ac:dyDescent="0.25">
      <c r="A1430" s="388">
        <v>43916</v>
      </c>
      <c r="B1430" s="388" t="s">
        <v>3678</v>
      </c>
      <c r="C1430" s="14"/>
    </row>
    <row r="1431" spans="1:3" x14ac:dyDescent="0.25">
      <c r="A1431" s="388">
        <v>43916</v>
      </c>
      <c r="B1431" s="388" t="s">
        <v>3678</v>
      </c>
      <c r="C1431" s="14"/>
    </row>
    <row r="1432" spans="1:3" x14ac:dyDescent="0.25">
      <c r="A1432" s="388">
        <v>43916</v>
      </c>
      <c r="B1432" s="388" t="s">
        <v>3679</v>
      </c>
      <c r="C1432" s="14"/>
    </row>
    <row r="1433" spans="1:3" x14ac:dyDescent="0.25">
      <c r="A1433" s="388">
        <v>43916</v>
      </c>
      <c r="B1433" s="388" t="s">
        <v>3679</v>
      </c>
      <c r="C1433" s="14"/>
    </row>
    <row r="1434" spans="1:3" x14ac:dyDescent="0.25">
      <c r="A1434" s="388">
        <v>43916</v>
      </c>
      <c r="B1434" s="388" t="s">
        <v>3680</v>
      </c>
      <c r="C1434" s="14"/>
    </row>
    <row r="1435" spans="1:3" x14ac:dyDescent="0.25">
      <c r="A1435" s="388">
        <v>43916</v>
      </c>
      <c r="B1435" s="388" t="s">
        <v>3679</v>
      </c>
      <c r="C1435" s="14"/>
    </row>
    <row r="1436" spans="1:3" x14ac:dyDescent="0.25">
      <c r="A1436" s="388">
        <v>43916</v>
      </c>
      <c r="B1436" s="388" t="s">
        <v>3678</v>
      </c>
      <c r="C1436" s="14"/>
    </row>
    <row r="1437" spans="1:3" x14ac:dyDescent="0.25">
      <c r="A1437" s="388">
        <v>43916</v>
      </c>
      <c r="B1437" s="388" t="s">
        <v>3679</v>
      </c>
      <c r="C1437" s="14"/>
    </row>
    <row r="1438" spans="1:3" x14ac:dyDescent="0.25">
      <c r="A1438" s="388">
        <v>43916</v>
      </c>
      <c r="B1438" s="388" t="s">
        <v>3680</v>
      </c>
      <c r="C1438" s="14"/>
    </row>
    <row r="1439" spans="1:3" x14ac:dyDescent="0.25">
      <c r="A1439" s="388">
        <v>43916</v>
      </c>
      <c r="B1439" s="388" t="s">
        <v>3679</v>
      </c>
      <c r="C1439" s="14"/>
    </row>
    <row r="1440" spans="1:3" x14ac:dyDescent="0.25">
      <c r="A1440" s="388">
        <v>43916</v>
      </c>
      <c r="B1440" s="388" t="s">
        <v>3679</v>
      </c>
      <c r="C1440" s="14"/>
    </row>
    <row r="1441" spans="1:3" x14ac:dyDescent="0.25">
      <c r="A1441" s="388">
        <v>43916</v>
      </c>
      <c r="B1441" s="388" t="s">
        <v>3681</v>
      </c>
      <c r="C1441" s="14"/>
    </row>
    <row r="1442" spans="1:3" x14ac:dyDescent="0.25">
      <c r="A1442" s="388">
        <v>43916</v>
      </c>
      <c r="B1442" s="388" t="s">
        <v>3679</v>
      </c>
      <c r="C1442" s="14"/>
    </row>
    <row r="1443" spans="1:3" x14ac:dyDescent="0.25">
      <c r="A1443" s="388">
        <v>43916</v>
      </c>
      <c r="B1443" s="388" t="s">
        <v>3678</v>
      </c>
      <c r="C1443" s="14"/>
    </row>
    <row r="1444" spans="1:3" x14ac:dyDescent="0.25">
      <c r="A1444" s="388">
        <v>43916</v>
      </c>
      <c r="B1444" s="388" t="s">
        <v>3679</v>
      </c>
      <c r="C1444" s="14"/>
    </row>
    <row r="1445" spans="1:3" x14ac:dyDescent="0.25">
      <c r="A1445" s="388">
        <v>43916</v>
      </c>
      <c r="B1445" s="388" t="s">
        <v>3679</v>
      </c>
      <c r="C1445" s="14"/>
    </row>
    <row r="1446" spans="1:3" x14ac:dyDescent="0.25">
      <c r="A1446" s="388">
        <v>43916</v>
      </c>
      <c r="B1446" s="388" t="s">
        <v>3678</v>
      </c>
      <c r="C1446" s="14"/>
    </row>
    <row r="1447" spans="1:3" x14ac:dyDescent="0.25">
      <c r="A1447" s="388">
        <v>43916</v>
      </c>
      <c r="B1447" s="388" t="s">
        <v>3679</v>
      </c>
      <c r="C1447" s="14"/>
    </row>
    <row r="1448" spans="1:3" x14ac:dyDescent="0.25">
      <c r="A1448" s="388">
        <v>43916</v>
      </c>
      <c r="B1448" s="388" t="s">
        <v>3680</v>
      </c>
      <c r="C1448" s="14"/>
    </row>
    <row r="1449" spans="1:3" x14ac:dyDescent="0.25">
      <c r="A1449" s="388">
        <v>43916</v>
      </c>
      <c r="B1449" s="388" t="s">
        <v>3679</v>
      </c>
      <c r="C1449" s="14"/>
    </row>
    <row r="1450" spans="1:3" x14ac:dyDescent="0.25">
      <c r="A1450" s="388">
        <v>43916</v>
      </c>
      <c r="B1450" s="388" t="s">
        <v>3679</v>
      </c>
      <c r="C1450" s="14"/>
    </row>
    <row r="1451" spans="1:3" x14ac:dyDescent="0.25">
      <c r="A1451" s="388">
        <v>43916</v>
      </c>
      <c r="B1451" s="388" t="s">
        <v>3679</v>
      </c>
      <c r="C1451" s="14"/>
    </row>
    <row r="1452" spans="1:3" x14ac:dyDescent="0.25">
      <c r="A1452" s="388">
        <v>43916</v>
      </c>
      <c r="B1452" s="388" t="s">
        <v>3679</v>
      </c>
      <c r="C1452" s="14"/>
    </row>
    <row r="1453" spans="1:3" x14ac:dyDescent="0.25">
      <c r="A1453" s="388">
        <v>43916</v>
      </c>
      <c r="B1453" s="388" t="s">
        <v>3679</v>
      </c>
      <c r="C1453" s="14"/>
    </row>
    <row r="1454" spans="1:3" x14ac:dyDescent="0.25">
      <c r="A1454" s="388">
        <v>43916</v>
      </c>
      <c r="B1454" s="388" t="s">
        <v>3679</v>
      </c>
      <c r="C1454" s="14"/>
    </row>
    <row r="1455" spans="1:3" x14ac:dyDescent="0.25">
      <c r="A1455" s="388">
        <v>43916</v>
      </c>
      <c r="B1455" s="388" t="s">
        <v>3679</v>
      </c>
      <c r="C1455" s="14"/>
    </row>
    <row r="1456" spans="1:3" x14ac:dyDescent="0.25">
      <c r="A1456" s="388">
        <v>43916</v>
      </c>
      <c r="B1456" s="388" t="s">
        <v>3679</v>
      </c>
      <c r="C1456" s="14"/>
    </row>
    <row r="1457" spans="1:3" x14ac:dyDescent="0.25">
      <c r="A1457" s="388">
        <v>43916</v>
      </c>
      <c r="B1457" s="388" t="s">
        <v>3679</v>
      </c>
      <c r="C1457" s="14"/>
    </row>
    <row r="1458" spans="1:3" x14ac:dyDescent="0.25">
      <c r="A1458" s="388">
        <v>43916</v>
      </c>
      <c r="B1458" s="388" t="s">
        <v>3679</v>
      </c>
      <c r="C1458" s="14"/>
    </row>
    <row r="1459" spans="1:3" x14ac:dyDescent="0.25">
      <c r="A1459" s="388">
        <v>43916</v>
      </c>
      <c r="B1459" s="388" t="s">
        <v>3680</v>
      </c>
      <c r="C1459" s="14"/>
    </row>
    <row r="1460" spans="1:3" x14ac:dyDescent="0.25">
      <c r="A1460" s="388">
        <v>43916</v>
      </c>
      <c r="B1460" s="388" t="s">
        <v>3678</v>
      </c>
      <c r="C1460" s="14"/>
    </row>
    <row r="1461" spans="1:3" x14ac:dyDescent="0.25">
      <c r="A1461" s="388">
        <v>43916</v>
      </c>
      <c r="B1461" s="388" t="s">
        <v>3679</v>
      </c>
      <c r="C1461" s="14"/>
    </row>
    <row r="1462" spans="1:3" x14ac:dyDescent="0.25">
      <c r="A1462" s="388">
        <v>43916</v>
      </c>
      <c r="B1462" s="388" t="s">
        <v>3680</v>
      </c>
      <c r="C1462" s="14"/>
    </row>
    <row r="1463" spans="1:3" x14ac:dyDescent="0.25">
      <c r="A1463" s="388">
        <v>43916</v>
      </c>
      <c r="B1463" s="388" t="s">
        <v>3679</v>
      </c>
      <c r="C1463" s="14"/>
    </row>
    <row r="1464" spans="1:3" x14ac:dyDescent="0.25">
      <c r="A1464" s="388">
        <v>43916</v>
      </c>
      <c r="B1464" s="388" t="s">
        <v>3679</v>
      </c>
      <c r="C1464" s="14"/>
    </row>
    <row r="1465" spans="1:3" x14ac:dyDescent="0.25">
      <c r="A1465" s="388">
        <v>43916</v>
      </c>
      <c r="B1465" s="388" t="s">
        <v>3679</v>
      </c>
      <c r="C1465" s="14"/>
    </row>
    <row r="1466" spans="1:3" x14ac:dyDescent="0.25">
      <c r="A1466" s="388">
        <v>43916</v>
      </c>
      <c r="B1466" s="388" t="s">
        <v>3679</v>
      </c>
      <c r="C1466" s="14"/>
    </row>
    <row r="1467" spans="1:3" x14ac:dyDescent="0.25">
      <c r="A1467" s="388">
        <v>43916</v>
      </c>
      <c r="B1467" s="388" t="s">
        <v>3678</v>
      </c>
      <c r="C1467" s="14"/>
    </row>
    <row r="1468" spans="1:3" x14ac:dyDescent="0.25">
      <c r="A1468" s="388">
        <v>43916</v>
      </c>
      <c r="B1468" s="388" t="s">
        <v>3678</v>
      </c>
      <c r="C1468" s="14"/>
    </row>
    <row r="1469" spans="1:3" x14ac:dyDescent="0.25">
      <c r="A1469" s="388">
        <v>43916</v>
      </c>
      <c r="B1469" s="388" t="s">
        <v>3679</v>
      </c>
      <c r="C1469" s="14"/>
    </row>
    <row r="1470" spans="1:3" x14ac:dyDescent="0.25">
      <c r="A1470" s="388">
        <v>43916</v>
      </c>
      <c r="B1470" s="388" t="s">
        <v>3679</v>
      </c>
      <c r="C1470" s="14"/>
    </row>
    <row r="1471" spans="1:3" x14ac:dyDescent="0.25">
      <c r="A1471" s="388">
        <v>43916</v>
      </c>
      <c r="B1471" s="388" t="s">
        <v>3679</v>
      </c>
      <c r="C1471" s="14"/>
    </row>
    <row r="1472" spans="1:3" x14ac:dyDescent="0.25">
      <c r="A1472" s="388">
        <v>43916</v>
      </c>
      <c r="B1472" s="388" t="s">
        <v>3679</v>
      </c>
      <c r="C1472" s="14"/>
    </row>
    <row r="1473" spans="1:3" x14ac:dyDescent="0.25">
      <c r="A1473" s="388">
        <v>43916</v>
      </c>
      <c r="B1473" s="388" t="s">
        <v>3678</v>
      </c>
      <c r="C1473" s="14"/>
    </row>
    <row r="1474" spans="1:3" x14ac:dyDescent="0.25">
      <c r="A1474" s="388">
        <v>43916</v>
      </c>
      <c r="B1474" s="388" t="s">
        <v>3679</v>
      </c>
      <c r="C1474" s="14"/>
    </row>
    <row r="1475" spans="1:3" x14ac:dyDescent="0.25">
      <c r="A1475" s="388">
        <v>43916</v>
      </c>
      <c r="B1475" s="388" t="s">
        <v>3679</v>
      </c>
      <c r="C1475" s="14"/>
    </row>
    <row r="1476" spans="1:3" x14ac:dyDescent="0.25">
      <c r="A1476" s="388">
        <v>43916</v>
      </c>
      <c r="B1476" s="388" t="s">
        <v>3679</v>
      </c>
      <c r="C1476" s="14"/>
    </row>
    <row r="1477" spans="1:3" x14ac:dyDescent="0.25">
      <c r="A1477" s="388">
        <v>43916</v>
      </c>
      <c r="B1477" s="388" t="s">
        <v>3679</v>
      </c>
      <c r="C1477" s="14"/>
    </row>
    <row r="1478" spans="1:3" x14ac:dyDescent="0.25">
      <c r="A1478" s="388">
        <v>43916</v>
      </c>
      <c r="B1478" s="388" t="s">
        <v>3679</v>
      </c>
      <c r="C1478" s="14"/>
    </row>
    <row r="1479" spans="1:3" x14ac:dyDescent="0.25">
      <c r="A1479" s="388">
        <v>43916</v>
      </c>
      <c r="B1479" s="388" t="s">
        <v>3679</v>
      </c>
      <c r="C1479" s="14"/>
    </row>
    <row r="1480" spans="1:3" x14ac:dyDescent="0.25">
      <c r="A1480" s="388">
        <v>43916</v>
      </c>
      <c r="B1480" s="388" t="s">
        <v>3679</v>
      </c>
      <c r="C1480" s="14"/>
    </row>
    <row r="1481" spans="1:3" x14ac:dyDescent="0.25">
      <c r="A1481" s="388">
        <v>43916</v>
      </c>
      <c r="B1481" s="388" t="s">
        <v>3679</v>
      </c>
      <c r="C1481" s="14"/>
    </row>
    <row r="1482" spans="1:3" x14ac:dyDescent="0.25">
      <c r="A1482" s="388">
        <v>43916</v>
      </c>
      <c r="B1482" s="388" t="s">
        <v>3679</v>
      </c>
      <c r="C1482" s="14"/>
    </row>
    <row r="1483" spans="1:3" x14ac:dyDescent="0.25">
      <c r="A1483" s="388">
        <v>43916</v>
      </c>
      <c r="B1483" s="388" t="s">
        <v>3679</v>
      </c>
      <c r="C1483" s="14"/>
    </row>
    <row r="1484" spans="1:3" x14ac:dyDescent="0.25">
      <c r="A1484" s="388">
        <v>43916</v>
      </c>
      <c r="B1484" s="388" t="s">
        <v>3679</v>
      </c>
      <c r="C1484" s="14"/>
    </row>
    <row r="1485" spans="1:3" x14ac:dyDescent="0.25">
      <c r="A1485" s="388">
        <v>43916</v>
      </c>
      <c r="B1485" s="388" t="s">
        <v>3679</v>
      </c>
      <c r="C1485" s="14"/>
    </row>
    <row r="1486" spans="1:3" x14ac:dyDescent="0.25">
      <c r="A1486" s="388">
        <v>43916</v>
      </c>
      <c r="B1486" s="388" t="s">
        <v>3679</v>
      </c>
      <c r="C1486" s="14"/>
    </row>
    <row r="1487" spans="1:3" x14ac:dyDescent="0.25">
      <c r="A1487" s="388">
        <v>43916</v>
      </c>
      <c r="B1487" s="388" t="s">
        <v>3679</v>
      </c>
      <c r="C1487" s="14"/>
    </row>
    <row r="1488" spans="1:3" x14ac:dyDescent="0.25">
      <c r="A1488" s="388">
        <v>43916</v>
      </c>
      <c r="B1488" s="388" t="s">
        <v>3679</v>
      </c>
      <c r="C1488" s="14"/>
    </row>
    <row r="1489" spans="1:3" x14ac:dyDescent="0.25">
      <c r="A1489" s="388">
        <v>43916</v>
      </c>
      <c r="B1489" s="388" t="s">
        <v>3678</v>
      </c>
      <c r="C1489" s="14"/>
    </row>
    <row r="1490" spans="1:3" x14ac:dyDescent="0.25">
      <c r="A1490" s="388">
        <v>43916</v>
      </c>
      <c r="B1490" s="388" t="s">
        <v>3680</v>
      </c>
      <c r="C1490" s="14"/>
    </row>
    <row r="1491" spans="1:3" x14ac:dyDescent="0.25">
      <c r="A1491" s="388">
        <v>43916</v>
      </c>
      <c r="B1491" s="388" t="s">
        <v>3678</v>
      </c>
      <c r="C1491" s="14"/>
    </row>
    <row r="1492" spans="1:3" x14ac:dyDescent="0.25">
      <c r="A1492" s="388">
        <v>43916</v>
      </c>
      <c r="B1492" s="388" t="s">
        <v>3679</v>
      </c>
      <c r="C1492" s="14"/>
    </row>
    <row r="1493" spans="1:3" x14ac:dyDescent="0.25">
      <c r="A1493" s="388">
        <v>43916</v>
      </c>
      <c r="B1493" s="388" t="s">
        <v>3679</v>
      </c>
      <c r="C1493" s="14"/>
    </row>
    <row r="1494" spans="1:3" x14ac:dyDescent="0.25">
      <c r="A1494" s="388">
        <v>43916</v>
      </c>
      <c r="B1494" s="388" t="s">
        <v>3679</v>
      </c>
      <c r="C1494" s="14"/>
    </row>
    <row r="1495" spans="1:3" x14ac:dyDescent="0.25">
      <c r="A1495" s="388">
        <v>43916</v>
      </c>
      <c r="B1495" s="388" t="s">
        <v>3679</v>
      </c>
      <c r="C1495" s="14"/>
    </row>
    <row r="1496" spans="1:3" x14ac:dyDescent="0.25">
      <c r="A1496" s="388">
        <v>43916</v>
      </c>
      <c r="B1496" s="388" t="s">
        <v>3679</v>
      </c>
      <c r="C1496" s="14"/>
    </row>
    <row r="1497" spans="1:3" x14ac:dyDescent="0.25">
      <c r="A1497" s="388">
        <v>43916</v>
      </c>
      <c r="B1497" s="388" t="s">
        <v>3678</v>
      </c>
      <c r="C1497" s="14"/>
    </row>
    <row r="1498" spans="1:3" x14ac:dyDescent="0.25">
      <c r="A1498" s="388">
        <v>43916</v>
      </c>
      <c r="B1498" s="388" t="s">
        <v>3678</v>
      </c>
      <c r="C1498" s="14"/>
    </row>
    <row r="1499" spans="1:3" x14ac:dyDescent="0.25">
      <c r="A1499" s="388">
        <v>43916</v>
      </c>
      <c r="B1499" s="388" t="s">
        <v>3680</v>
      </c>
      <c r="C1499" s="14"/>
    </row>
    <row r="1500" spans="1:3" x14ac:dyDescent="0.25">
      <c r="A1500" s="388">
        <v>43916</v>
      </c>
      <c r="B1500" s="388" t="s">
        <v>3680</v>
      </c>
      <c r="C1500" s="14"/>
    </row>
    <row r="1501" spans="1:3" x14ac:dyDescent="0.25">
      <c r="A1501" s="388">
        <v>43916</v>
      </c>
      <c r="B1501" s="388" t="s">
        <v>3678</v>
      </c>
      <c r="C1501" s="14"/>
    </row>
    <row r="1502" spans="1:3" x14ac:dyDescent="0.25">
      <c r="A1502" s="388">
        <v>43916</v>
      </c>
      <c r="B1502" s="388" t="s">
        <v>3679</v>
      </c>
      <c r="C1502" s="14"/>
    </row>
    <row r="1503" spans="1:3" x14ac:dyDescent="0.25">
      <c r="A1503" s="388">
        <v>43916</v>
      </c>
      <c r="B1503" s="388" t="s">
        <v>3679</v>
      </c>
      <c r="C1503" s="14"/>
    </row>
    <row r="1504" spans="1:3" x14ac:dyDescent="0.25">
      <c r="A1504" s="388">
        <v>43916</v>
      </c>
      <c r="B1504" s="388" t="s">
        <v>3679</v>
      </c>
      <c r="C1504" s="14"/>
    </row>
    <row r="1505" spans="1:3" x14ac:dyDescent="0.25">
      <c r="A1505" s="388">
        <v>43916</v>
      </c>
      <c r="B1505" s="388" t="s">
        <v>3679</v>
      </c>
      <c r="C1505" s="14"/>
    </row>
    <row r="1506" spans="1:3" x14ac:dyDescent="0.25">
      <c r="A1506" s="388">
        <v>43916</v>
      </c>
      <c r="B1506" s="388" t="s">
        <v>3680</v>
      </c>
      <c r="C1506" s="14"/>
    </row>
    <row r="1507" spans="1:3" x14ac:dyDescent="0.25">
      <c r="A1507" s="388">
        <v>43916</v>
      </c>
      <c r="B1507" s="388" t="s">
        <v>3679</v>
      </c>
      <c r="C1507" s="14"/>
    </row>
    <row r="1508" spans="1:3" x14ac:dyDescent="0.25">
      <c r="A1508" s="388">
        <v>43916</v>
      </c>
      <c r="B1508" s="388" t="s">
        <v>3679</v>
      </c>
      <c r="C1508" s="14"/>
    </row>
    <row r="1509" spans="1:3" x14ac:dyDescent="0.25">
      <c r="A1509" s="388">
        <v>43916</v>
      </c>
      <c r="B1509" s="388" t="s">
        <v>3680</v>
      </c>
      <c r="C1509" s="14"/>
    </row>
    <row r="1510" spans="1:3" x14ac:dyDescent="0.25">
      <c r="A1510" s="388">
        <v>43916</v>
      </c>
      <c r="B1510" s="388" t="s">
        <v>3679</v>
      </c>
      <c r="C1510" s="14"/>
    </row>
    <row r="1511" spans="1:3" x14ac:dyDescent="0.25">
      <c r="A1511" s="388">
        <v>43916</v>
      </c>
      <c r="B1511" s="388" t="s">
        <v>3679</v>
      </c>
      <c r="C1511" s="14"/>
    </row>
    <row r="1512" spans="1:3" x14ac:dyDescent="0.25">
      <c r="A1512" s="388">
        <v>43916</v>
      </c>
      <c r="B1512" s="388" t="s">
        <v>3679</v>
      </c>
      <c r="C1512" s="14"/>
    </row>
    <row r="1513" spans="1:3" x14ac:dyDescent="0.25">
      <c r="A1513" s="388">
        <v>43916</v>
      </c>
      <c r="B1513" s="388" t="s">
        <v>3679</v>
      </c>
      <c r="C1513" s="14"/>
    </row>
    <row r="1514" spans="1:3" x14ac:dyDescent="0.25">
      <c r="A1514" s="388">
        <v>43916</v>
      </c>
      <c r="B1514" s="388" t="s">
        <v>3679</v>
      </c>
      <c r="C1514" s="14"/>
    </row>
    <row r="1515" spans="1:3" x14ac:dyDescent="0.25">
      <c r="A1515" s="388">
        <v>43916</v>
      </c>
      <c r="B1515" s="388" t="s">
        <v>3678</v>
      </c>
      <c r="C1515" s="14"/>
    </row>
    <row r="1516" spans="1:3" x14ac:dyDescent="0.25">
      <c r="A1516" s="388">
        <v>43916</v>
      </c>
      <c r="B1516" s="388" t="s">
        <v>3678</v>
      </c>
      <c r="C1516" s="14"/>
    </row>
    <row r="1517" spans="1:3" x14ac:dyDescent="0.25">
      <c r="A1517" s="388">
        <v>43916</v>
      </c>
      <c r="B1517" s="388" t="s">
        <v>3679</v>
      </c>
      <c r="C1517" s="14"/>
    </row>
    <row r="1518" spans="1:3" x14ac:dyDescent="0.25">
      <c r="A1518" s="388">
        <v>43916</v>
      </c>
      <c r="B1518" s="388" t="s">
        <v>3679</v>
      </c>
      <c r="C1518" s="14"/>
    </row>
    <row r="1519" spans="1:3" x14ac:dyDescent="0.25">
      <c r="A1519" s="388">
        <v>43916</v>
      </c>
      <c r="B1519" s="388" t="s">
        <v>3679</v>
      </c>
      <c r="C1519" s="14"/>
    </row>
    <row r="1520" spans="1:3" x14ac:dyDescent="0.25">
      <c r="A1520" s="388">
        <v>43916</v>
      </c>
      <c r="B1520" s="388" t="s">
        <v>3679</v>
      </c>
      <c r="C1520" s="14"/>
    </row>
    <row r="1521" spans="1:3" x14ac:dyDescent="0.25">
      <c r="A1521" s="388">
        <v>43916</v>
      </c>
      <c r="B1521" s="388" t="s">
        <v>3679</v>
      </c>
      <c r="C1521" s="14"/>
    </row>
    <row r="1522" spans="1:3" x14ac:dyDescent="0.25">
      <c r="A1522" s="388">
        <v>43916</v>
      </c>
      <c r="B1522" s="388" t="s">
        <v>3679</v>
      </c>
      <c r="C1522" s="14"/>
    </row>
    <row r="1523" spans="1:3" x14ac:dyDescent="0.25">
      <c r="A1523" s="388">
        <v>43916</v>
      </c>
      <c r="B1523" s="388" t="s">
        <v>3679</v>
      </c>
      <c r="C1523" s="14"/>
    </row>
    <row r="1524" spans="1:3" x14ac:dyDescent="0.25">
      <c r="A1524" s="388">
        <v>43916</v>
      </c>
      <c r="B1524" s="388" t="s">
        <v>3679</v>
      </c>
      <c r="C1524" s="14"/>
    </row>
    <row r="1525" spans="1:3" x14ac:dyDescent="0.25">
      <c r="A1525" s="388">
        <v>43916</v>
      </c>
      <c r="B1525" s="388" t="s">
        <v>3679</v>
      </c>
      <c r="C1525" s="14"/>
    </row>
    <row r="1526" spans="1:3" x14ac:dyDescent="0.25">
      <c r="A1526" s="388">
        <v>43916</v>
      </c>
      <c r="B1526" s="388" t="s">
        <v>3679</v>
      </c>
      <c r="C1526" s="14"/>
    </row>
    <row r="1527" spans="1:3" x14ac:dyDescent="0.25">
      <c r="A1527" s="388">
        <v>43916</v>
      </c>
      <c r="B1527" s="388" t="s">
        <v>3679</v>
      </c>
      <c r="C1527" s="14"/>
    </row>
    <row r="1528" spans="1:3" x14ac:dyDescent="0.25">
      <c r="A1528" s="388">
        <v>43916</v>
      </c>
      <c r="B1528" s="388" t="s">
        <v>3679</v>
      </c>
      <c r="C1528" s="14"/>
    </row>
    <row r="1529" spans="1:3" x14ac:dyDescent="0.25">
      <c r="A1529" s="388">
        <v>43916</v>
      </c>
      <c r="B1529" s="388" t="s">
        <v>3679</v>
      </c>
      <c r="C1529" s="14"/>
    </row>
    <row r="1530" spans="1:3" x14ac:dyDescent="0.25">
      <c r="A1530" s="388">
        <v>43916</v>
      </c>
      <c r="B1530" s="388" t="s">
        <v>3679</v>
      </c>
      <c r="C1530" s="14"/>
    </row>
    <row r="1531" spans="1:3" x14ac:dyDescent="0.25">
      <c r="A1531" s="388">
        <v>43916</v>
      </c>
      <c r="B1531" s="388" t="s">
        <v>3679</v>
      </c>
      <c r="C1531" s="14"/>
    </row>
    <row r="1532" spans="1:3" x14ac:dyDescent="0.25">
      <c r="A1532" s="388">
        <v>43916</v>
      </c>
      <c r="B1532" s="388" t="s">
        <v>3679</v>
      </c>
      <c r="C1532" s="14"/>
    </row>
    <row r="1533" spans="1:3" x14ac:dyDescent="0.25">
      <c r="A1533" s="388">
        <v>43916</v>
      </c>
      <c r="B1533" s="388" t="s">
        <v>3679</v>
      </c>
      <c r="C1533" s="14"/>
    </row>
    <row r="1534" spans="1:3" x14ac:dyDescent="0.25">
      <c r="A1534" s="388">
        <v>43916</v>
      </c>
      <c r="B1534" s="388" t="s">
        <v>3679</v>
      </c>
      <c r="C1534" s="14"/>
    </row>
    <row r="1535" spans="1:3" x14ac:dyDescent="0.25">
      <c r="A1535" s="388">
        <v>43916</v>
      </c>
      <c r="B1535" s="388" t="s">
        <v>3679</v>
      </c>
      <c r="C1535" s="14"/>
    </row>
    <row r="1536" spans="1:3" x14ac:dyDescent="0.25">
      <c r="A1536" s="388">
        <v>43916</v>
      </c>
      <c r="B1536" s="388" t="s">
        <v>3679</v>
      </c>
      <c r="C1536" s="14"/>
    </row>
    <row r="1537" spans="1:3" x14ac:dyDescent="0.25">
      <c r="A1537" s="388">
        <v>43916</v>
      </c>
      <c r="B1537" s="388" t="s">
        <v>3679</v>
      </c>
      <c r="C1537" s="14"/>
    </row>
    <row r="1538" spans="1:3" x14ac:dyDescent="0.25">
      <c r="A1538" s="388">
        <v>43916</v>
      </c>
      <c r="B1538" s="388" t="s">
        <v>3679</v>
      </c>
      <c r="C1538" s="14"/>
    </row>
    <row r="1539" spans="1:3" x14ac:dyDescent="0.25">
      <c r="A1539" s="388">
        <v>43916</v>
      </c>
      <c r="B1539" s="388" t="s">
        <v>3679</v>
      </c>
      <c r="C1539" s="14"/>
    </row>
    <row r="1540" spans="1:3" x14ac:dyDescent="0.25">
      <c r="A1540" s="388">
        <v>43916</v>
      </c>
      <c r="B1540" s="388" t="s">
        <v>3679</v>
      </c>
      <c r="C1540" s="14"/>
    </row>
    <row r="1541" spans="1:3" x14ac:dyDescent="0.25">
      <c r="A1541" s="388">
        <v>43916</v>
      </c>
      <c r="B1541" s="388" t="s">
        <v>3678</v>
      </c>
      <c r="C1541" s="14"/>
    </row>
    <row r="1542" spans="1:3" x14ac:dyDescent="0.25">
      <c r="A1542" s="388">
        <v>43916</v>
      </c>
      <c r="B1542" s="388" t="s">
        <v>3679</v>
      </c>
      <c r="C1542" s="14"/>
    </row>
    <row r="1543" spans="1:3" x14ac:dyDescent="0.25">
      <c r="A1543" s="388">
        <v>43916</v>
      </c>
      <c r="B1543" s="388" t="s">
        <v>3678</v>
      </c>
      <c r="C1543" s="14"/>
    </row>
    <row r="1544" spans="1:3" x14ac:dyDescent="0.25">
      <c r="A1544" s="388">
        <v>43916</v>
      </c>
      <c r="B1544" s="388" t="s">
        <v>3678</v>
      </c>
      <c r="C1544" s="14"/>
    </row>
    <row r="1545" spans="1:3" x14ac:dyDescent="0.25">
      <c r="A1545" s="388">
        <v>43916</v>
      </c>
      <c r="B1545" s="388" t="s">
        <v>3678</v>
      </c>
      <c r="C1545" s="14"/>
    </row>
    <row r="1546" spans="1:3" x14ac:dyDescent="0.25">
      <c r="A1546" s="388">
        <v>43916</v>
      </c>
      <c r="B1546" s="388" t="s">
        <v>3678</v>
      </c>
      <c r="C1546" s="14"/>
    </row>
    <row r="1547" spans="1:3" x14ac:dyDescent="0.25">
      <c r="A1547" s="388">
        <v>43916</v>
      </c>
      <c r="B1547" s="388" t="s">
        <v>3679</v>
      </c>
      <c r="C1547" s="14"/>
    </row>
    <row r="1548" spans="1:3" x14ac:dyDescent="0.25">
      <c r="A1548" s="388">
        <v>43916</v>
      </c>
      <c r="B1548" s="388" t="s">
        <v>3679</v>
      </c>
      <c r="C1548" s="14"/>
    </row>
    <row r="1549" spans="1:3" x14ac:dyDescent="0.25">
      <c r="A1549" s="388">
        <v>43916</v>
      </c>
      <c r="B1549" s="388" t="s">
        <v>3679</v>
      </c>
      <c r="C1549" s="14"/>
    </row>
    <row r="1550" spans="1:3" x14ac:dyDescent="0.25">
      <c r="A1550" s="388">
        <v>43916</v>
      </c>
      <c r="B1550" s="388" t="s">
        <v>3679</v>
      </c>
      <c r="C1550" s="14"/>
    </row>
    <row r="1551" spans="1:3" x14ac:dyDescent="0.25">
      <c r="A1551" s="388">
        <v>43916</v>
      </c>
      <c r="B1551" s="388" t="s">
        <v>3679</v>
      </c>
      <c r="C1551" s="14"/>
    </row>
    <row r="1552" spans="1:3" x14ac:dyDescent="0.25">
      <c r="A1552" s="388">
        <v>43916</v>
      </c>
      <c r="B1552" s="388" t="s">
        <v>3679</v>
      </c>
      <c r="C1552" s="14"/>
    </row>
    <row r="1553" spans="1:3" x14ac:dyDescent="0.25">
      <c r="A1553" s="388">
        <v>43916</v>
      </c>
      <c r="B1553" s="388" t="s">
        <v>3679</v>
      </c>
      <c r="C1553" s="14"/>
    </row>
    <row r="1554" spans="1:3" x14ac:dyDescent="0.25">
      <c r="A1554" s="388">
        <v>43916</v>
      </c>
      <c r="B1554" s="388" t="s">
        <v>3679</v>
      </c>
      <c r="C1554" s="14"/>
    </row>
    <row r="1555" spans="1:3" x14ac:dyDescent="0.25">
      <c r="A1555" s="388">
        <v>43916</v>
      </c>
      <c r="B1555" s="388" t="s">
        <v>3679</v>
      </c>
      <c r="C1555" s="14"/>
    </row>
    <row r="1556" spans="1:3" x14ac:dyDescent="0.25">
      <c r="A1556" s="388">
        <v>43916</v>
      </c>
      <c r="B1556" s="388" t="s">
        <v>3679</v>
      </c>
      <c r="C1556" s="14"/>
    </row>
    <row r="1557" spans="1:3" x14ac:dyDescent="0.25">
      <c r="A1557" s="388">
        <v>43916</v>
      </c>
      <c r="B1557" s="388" t="s">
        <v>3679</v>
      </c>
      <c r="C1557" s="14"/>
    </row>
    <row r="1558" spans="1:3" x14ac:dyDescent="0.25">
      <c r="A1558" s="388">
        <v>43916</v>
      </c>
      <c r="B1558" s="388" t="s">
        <v>3679</v>
      </c>
      <c r="C1558" s="14"/>
    </row>
    <row r="1559" spans="1:3" x14ac:dyDescent="0.25">
      <c r="A1559" s="388">
        <v>43916</v>
      </c>
      <c r="B1559" s="388" t="s">
        <v>3679</v>
      </c>
      <c r="C1559" s="14"/>
    </row>
    <row r="1560" spans="1:3" x14ac:dyDescent="0.25">
      <c r="A1560" s="388">
        <v>43916</v>
      </c>
      <c r="B1560" s="388" t="s">
        <v>3679</v>
      </c>
      <c r="C1560" s="14"/>
    </row>
    <row r="1561" spans="1:3" x14ac:dyDescent="0.25">
      <c r="A1561" s="388">
        <v>43916</v>
      </c>
      <c r="B1561" s="388" t="s">
        <v>3679</v>
      </c>
      <c r="C1561" s="14"/>
    </row>
    <row r="1562" spans="1:3" x14ac:dyDescent="0.25">
      <c r="A1562" s="388">
        <v>43916</v>
      </c>
      <c r="B1562" s="388" t="s">
        <v>3679</v>
      </c>
      <c r="C1562" s="14"/>
    </row>
    <row r="1563" spans="1:3" x14ac:dyDescent="0.25">
      <c r="A1563" s="388">
        <v>43916</v>
      </c>
      <c r="B1563" s="388" t="s">
        <v>3679</v>
      </c>
      <c r="C1563" s="14"/>
    </row>
    <row r="1564" spans="1:3" x14ac:dyDescent="0.25">
      <c r="A1564" s="388">
        <v>43916</v>
      </c>
      <c r="B1564" s="388" t="s">
        <v>3679</v>
      </c>
      <c r="C1564" s="14"/>
    </row>
    <row r="1565" spans="1:3" x14ac:dyDescent="0.25">
      <c r="A1565" s="388">
        <v>43916</v>
      </c>
      <c r="B1565" s="388" t="s">
        <v>3679</v>
      </c>
      <c r="C1565" s="14"/>
    </row>
    <row r="1566" spans="1:3" x14ac:dyDescent="0.25">
      <c r="A1566" s="388">
        <v>43916</v>
      </c>
      <c r="B1566" s="388" t="s">
        <v>3679</v>
      </c>
      <c r="C1566" s="14"/>
    </row>
    <row r="1567" spans="1:3" x14ac:dyDescent="0.25">
      <c r="A1567" s="388">
        <v>43916</v>
      </c>
      <c r="B1567" s="388" t="s">
        <v>3679</v>
      </c>
      <c r="C1567" s="14"/>
    </row>
    <row r="1568" spans="1:3" x14ac:dyDescent="0.25">
      <c r="A1568" s="388">
        <v>43916</v>
      </c>
      <c r="B1568" s="388" t="s">
        <v>3679</v>
      </c>
      <c r="C1568" s="14"/>
    </row>
    <row r="1569" spans="1:3" x14ac:dyDescent="0.25">
      <c r="A1569" s="388">
        <v>43916</v>
      </c>
      <c r="B1569" s="388" t="s">
        <v>3679</v>
      </c>
      <c r="C1569" s="14"/>
    </row>
    <row r="1570" spans="1:3" x14ac:dyDescent="0.25">
      <c r="A1570" s="388">
        <v>43916</v>
      </c>
      <c r="B1570" s="388" t="s">
        <v>3679</v>
      </c>
      <c r="C1570" s="14"/>
    </row>
    <row r="1571" spans="1:3" x14ac:dyDescent="0.25">
      <c r="A1571" s="388">
        <v>43916</v>
      </c>
      <c r="B1571" s="388" t="s">
        <v>3679</v>
      </c>
      <c r="C1571" s="14"/>
    </row>
    <row r="1572" spans="1:3" x14ac:dyDescent="0.25">
      <c r="A1572" s="388">
        <v>43916</v>
      </c>
      <c r="B1572" s="388" t="s">
        <v>3680</v>
      </c>
      <c r="C1572" s="14"/>
    </row>
    <row r="1573" spans="1:3" x14ac:dyDescent="0.25">
      <c r="A1573" s="388">
        <v>43916</v>
      </c>
      <c r="B1573" s="388" t="s">
        <v>3679</v>
      </c>
      <c r="C1573" s="14"/>
    </row>
    <row r="1574" spans="1:3" x14ac:dyDescent="0.25">
      <c r="A1574" s="388">
        <v>43917</v>
      </c>
      <c r="B1574" s="388" t="s">
        <v>3680</v>
      </c>
      <c r="C1574" s="14"/>
    </row>
    <row r="1575" spans="1:3" x14ac:dyDescent="0.25">
      <c r="A1575" s="388">
        <v>43917</v>
      </c>
      <c r="B1575" s="388" t="s">
        <v>3678</v>
      </c>
      <c r="C1575" s="14"/>
    </row>
    <row r="1576" spans="1:3" x14ac:dyDescent="0.25">
      <c r="A1576" s="388">
        <v>43917</v>
      </c>
      <c r="B1576" s="388" t="s">
        <v>3678</v>
      </c>
      <c r="C1576" s="14"/>
    </row>
    <row r="1577" spans="1:3" x14ac:dyDescent="0.25">
      <c r="A1577" s="388">
        <v>43917</v>
      </c>
      <c r="B1577" s="388" t="s">
        <v>3679</v>
      </c>
      <c r="C1577" s="14"/>
    </row>
    <row r="1578" spans="1:3" x14ac:dyDescent="0.25">
      <c r="A1578" s="388">
        <v>43917</v>
      </c>
      <c r="B1578" s="388" t="s">
        <v>3678</v>
      </c>
      <c r="C1578" s="14"/>
    </row>
    <row r="1579" spans="1:3" x14ac:dyDescent="0.25">
      <c r="A1579" s="388">
        <v>43917</v>
      </c>
      <c r="B1579" s="388" t="s">
        <v>3679</v>
      </c>
      <c r="C1579" s="14"/>
    </row>
    <row r="1580" spans="1:3" x14ac:dyDescent="0.25">
      <c r="A1580" s="388">
        <v>43917</v>
      </c>
      <c r="B1580" s="388" t="s">
        <v>3678</v>
      </c>
      <c r="C1580" s="14"/>
    </row>
    <row r="1581" spans="1:3" x14ac:dyDescent="0.25">
      <c r="A1581" s="388">
        <v>43917</v>
      </c>
      <c r="B1581" s="388" t="s">
        <v>3679</v>
      </c>
      <c r="C1581" s="14"/>
    </row>
    <row r="1582" spans="1:3" x14ac:dyDescent="0.25">
      <c r="A1582" s="388">
        <v>43917</v>
      </c>
      <c r="B1582" s="388" t="s">
        <v>3678</v>
      </c>
      <c r="C1582" s="14"/>
    </row>
    <row r="1583" spans="1:3" x14ac:dyDescent="0.25">
      <c r="A1583" s="388">
        <v>43917</v>
      </c>
      <c r="B1583" s="388" t="s">
        <v>3680</v>
      </c>
      <c r="C1583" s="14"/>
    </row>
    <row r="1584" spans="1:3" x14ac:dyDescent="0.25">
      <c r="A1584" s="388">
        <v>43917</v>
      </c>
      <c r="B1584" s="388" t="s">
        <v>3679</v>
      </c>
      <c r="C1584" s="14"/>
    </row>
    <row r="1585" spans="1:3" x14ac:dyDescent="0.25">
      <c r="A1585" s="388">
        <v>43917</v>
      </c>
      <c r="B1585" s="388" t="s">
        <v>3678</v>
      </c>
      <c r="C1585" s="14"/>
    </row>
    <row r="1586" spans="1:3" x14ac:dyDescent="0.25">
      <c r="A1586" s="388">
        <v>43917</v>
      </c>
      <c r="B1586" s="388" t="s">
        <v>3679</v>
      </c>
      <c r="C1586" s="14"/>
    </row>
    <row r="1587" spans="1:3" x14ac:dyDescent="0.25">
      <c r="A1587" s="388">
        <v>43917</v>
      </c>
      <c r="B1587" s="388" t="s">
        <v>3679</v>
      </c>
      <c r="C1587" s="14"/>
    </row>
    <row r="1588" spans="1:3" x14ac:dyDescent="0.25">
      <c r="A1588" s="388">
        <v>43917</v>
      </c>
      <c r="B1588" s="388" t="s">
        <v>3680</v>
      </c>
      <c r="C1588" s="14"/>
    </row>
    <row r="1589" spans="1:3" x14ac:dyDescent="0.25">
      <c r="A1589" s="388">
        <v>43917</v>
      </c>
      <c r="B1589" s="388" t="s">
        <v>3679</v>
      </c>
      <c r="C1589" s="14"/>
    </row>
    <row r="1590" spans="1:3" x14ac:dyDescent="0.25">
      <c r="A1590" s="388">
        <v>43917</v>
      </c>
      <c r="B1590" s="388" t="s">
        <v>3678</v>
      </c>
      <c r="C1590" s="14"/>
    </row>
    <row r="1591" spans="1:3" x14ac:dyDescent="0.25">
      <c r="A1591" s="388">
        <v>43917</v>
      </c>
      <c r="B1591" s="388" t="s">
        <v>3680</v>
      </c>
      <c r="C1591" s="14"/>
    </row>
    <row r="1592" spans="1:3" x14ac:dyDescent="0.25">
      <c r="A1592" s="388">
        <v>43917</v>
      </c>
      <c r="B1592" s="388" t="s">
        <v>3679</v>
      </c>
      <c r="C1592" s="14"/>
    </row>
    <row r="1593" spans="1:3" x14ac:dyDescent="0.25">
      <c r="A1593" s="388">
        <v>43917</v>
      </c>
      <c r="B1593" s="388" t="s">
        <v>3679</v>
      </c>
      <c r="C1593" s="14"/>
    </row>
    <row r="1594" spans="1:3" x14ac:dyDescent="0.25">
      <c r="A1594" s="388">
        <v>43917</v>
      </c>
      <c r="B1594" s="388" t="s">
        <v>3679</v>
      </c>
      <c r="C1594" s="14"/>
    </row>
    <row r="1595" spans="1:3" x14ac:dyDescent="0.25">
      <c r="A1595" s="388">
        <v>43917</v>
      </c>
      <c r="B1595" s="388" t="s">
        <v>3679</v>
      </c>
      <c r="C1595" s="14"/>
    </row>
    <row r="1596" spans="1:3" x14ac:dyDescent="0.25">
      <c r="A1596" s="388">
        <v>43917</v>
      </c>
      <c r="B1596" s="388" t="s">
        <v>3679</v>
      </c>
      <c r="C1596" s="14"/>
    </row>
    <row r="1597" spans="1:3" x14ac:dyDescent="0.25">
      <c r="A1597" s="388">
        <v>43917</v>
      </c>
      <c r="B1597" s="388" t="s">
        <v>3679</v>
      </c>
      <c r="C1597" s="14"/>
    </row>
    <row r="1598" spans="1:3" x14ac:dyDescent="0.25">
      <c r="A1598" s="388">
        <v>43917</v>
      </c>
      <c r="B1598" s="388" t="s">
        <v>3679</v>
      </c>
      <c r="C1598" s="14"/>
    </row>
    <row r="1599" spans="1:3" x14ac:dyDescent="0.25">
      <c r="A1599" s="388">
        <v>43917</v>
      </c>
      <c r="B1599" s="388" t="s">
        <v>3678</v>
      </c>
      <c r="C1599" s="14"/>
    </row>
    <row r="1600" spans="1:3" x14ac:dyDescent="0.25">
      <c r="A1600" s="388">
        <v>43917</v>
      </c>
      <c r="B1600" s="388" t="s">
        <v>3678</v>
      </c>
      <c r="C1600" s="14"/>
    </row>
    <row r="1601" spans="1:3" x14ac:dyDescent="0.25">
      <c r="A1601" s="388">
        <v>43917</v>
      </c>
      <c r="B1601" s="388" t="s">
        <v>3679</v>
      </c>
      <c r="C1601" s="14"/>
    </row>
    <row r="1602" spans="1:3" x14ac:dyDescent="0.25">
      <c r="A1602" s="388">
        <v>43917</v>
      </c>
      <c r="B1602" s="388" t="s">
        <v>3679</v>
      </c>
      <c r="C1602" s="14"/>
    </row>
    <row r="1603" spans="1:3" x14ac:dyDescent="0.25">
      <c r="A1603" s="388">
        <v>43917</v>
      </c>
      <c r="B1603" s="388" t="s">
        <v>3680</v>
      </c>
      <c r="C1603" s="14"/>
    </row>
    <row r="1604" spans="1:3" x14ac:dyDescent="0.25">
      <c r="A1604" s="388">
        <v>43917</v>
      </c>
      <c r="B1604" s="388" t="s">
        <v>3678</v>
      </c>
      <c r="C1604" s="14"/>
    </row>
    <row r="1605" spans="1:3" x14ac:dyDescent="0.25">
      <c r="A1605" s="388">
        <v>43917</v>
      </c>
      <c r="B1605" s="388" t="s">
        <v>3679</v>
      </c>
      <c r="C1605" s="14"/>
    </row>
    <row r="1606" spans="1:3" x14ac:dyDescent="0.25">
      <c r="A1606" s="388">
        <v>43917</v>
      </c>
      <c r="B1606" s="388" t="s">
        <v>3678</v>
      </c>
      <c r="C1606" s="14"/>
    </row>
    <row r="1607" spans="1:3" x14ac:dyDescent="0.25">
      <c r="A1607" s="388">
        <v>43917</v>
      </c>
      <c r="B1607" s="388" t="s">
        <v>3678</v>
      </c>
      <c r="C1607" s="14"/>
    </row>
    <row r="1608" spans="1:3" x14ac:dyDescent="0.25">
      <c r="A1608" s="388">
        <v>43917</v>
      </c>
      <c r="B1608" s="388" t="s">
        <v>3679</v>
      </c>
      <c r="C1608" s="14"/>
    </row>
    <row r="1609" spans="1:3" x14ac:dyDescent="0.25">
      <c r="A1609" s="388">
        <v>43917</v>
      </c>
      <c r="B1609" s="388" t="s">
        <v>3679</v>
      </c>
      <c r="C1609" s="14"/>
    </row>
    <row r="1610" spans="1:3" x14ac:dyDescent="0.25">
      <c r="A1610" s="388">
        <v>43917</v>
      </c>
      <c r="B1610" s="388" t="s">
        <v>3679</v>
      </c>
      <c r="C1610" s="14"/>
    </row>
    <row r="1611" spans="1:3" x14ac:dyDescent="0.25">
      <c r="A1611" s="388">
        <v>43917</v>
      </c>
      <c r="B1611" s="388" t="s">
        <v>3681</v>
      </c>
      <c r="C1611" s="14"/>
    </row>
    <row r="1612" spans="1:3" x14ac:dyDescent="0.25">
      <c r="A1612" s="388">
        <v>43917</v>
      </c>
      <c r="B1612" s="388" t="s">
        <v>3679</v>
      </c>
      <c r="C1612" s="14"/>
    </row>
    <row r="1613" spans="1:3" x14ac:dyDescent="0.25">
      <c r="A1613" s="388">
        <v>43917</v>
      </c>
      <c r="B1613" s="388" t="s">
        <v>3678</v>
      </c>
      <c r="C1613" s="14"/>
    </row>
    <row r="1614" spans="1:3" x14ac:dyDescent="0.25">
      <c r="A1614" s="388">
        <v>43917</v>
      </c>
      <c r="B1614" s="388" t="s">
        <v>3678</v>
      </c>
      <c r="C1614" s="14"/>
    </row>
    <row r="1615" spans="1:3" x14ac:dyDescent="0.25">
      <c r="A1615" s="388">
        <v>43917</v>
      </c>
      <c r="B1615" s="388" t="s">
        <v>3679</v>
      </c>
      <c r="C1615" s="14"/>
    </row>
    <row r="1616" spans="1:3" x14ac:dyDescent="0.25">
      <c r="A1616" s="388">
        <v>43917</v>
      </c>
      <c r="B1616" s="388" t="s">
        <v>3679</v>
      </c>
      <c r="C1616" s="14"/>
    </row>
    <row r="1617" spans="1:3" x14ac:dyDescent="0.25">
      <c r="A1617" s="388">
        <v>43917</v>
      </c>
      <c r="B1617" s="388" t="s">
        <v>3680</v>
      </c>
      <c r="C1617" s="14"/>
    </row>
    <row r="1618" spans="1:3" x14ac:dyDescent="0.25">
      <c r="A1618" s="388">
        <v>43917</v>
      </c>
      <c r="B1618" s="388" t="s">
        <v>3679</v>
      </c>
      <c r="C1618" s="14"/>
    </row>
    <row r="1619" spans="1:3" x14ac:dyDescent="0.25">
      <c r="A1619" s="388">
        <v>43917</v>
      </c>
      <c r="B1619" s="388" t="s">
        <v>3680</v>
      </c>
      <c r="C1619" s="14"/>
    </row>
    <row r="1620" spans="1:3" x14ac:dyDescent="0.25">
      <c r="A1620" s="388">
        <v>43917</v>
      </c>
      <c r="B1620" s="388" t="s">
        <v>3679</v>
      </c>
      <c r="C1620" s="14"/>
    </row>
    <row r="1621" spans="1:3" x14ac:dyDescent="0.25">
      <c r="A1621" s="388">
        <v>43917</v>
      </c>
      <c r="B1621" s="388" t="s">
        <v>3679</v>
      </c>
      <c r="C1621" s="14"/>
    </row>
    <row r="1622" spans="1:3" x14ac:dyDescent="0.25">
      <c r="A1622" s="388">
        <v>43917</v>
      </c>
      <c r="B1622" s="388" t="s">
        <v>3679</v>
      </c>
      <c r="C1622" s="14"/>
    </row>
    <row r="1623" spans="1:3" x14ac:dyDescent="0.25">
      <c r="A1623" s="388">
        <v>43917</v>
      </c>
      <c r="B1623" s="388" t="s">
        <v>3679</v>
      </c>
      <c r="C1623" s="14"/>
    </row>
    <row r="1624" spans="1:3" x14ac:dyDescent="0.25">
      <c r="A1624" s="388">
        <v>43917</v>
      </c>
      <c r="B1624" s="388" t="s">
        <v>3679</v>
      </c>
      <c r="C1624" s="14"/>
    </row>
    <row r="1625" spans="1:3" x14ac:dyDescent="0.25">
      <c r="A1625" s="388">
        <v>43917</v>
      </c>
      <c r="B1625" s="388" t="s">
        <v>3679</v>
      </c>
      <c r="C1625" s="14"/>
    </row>
    <row r="1626" spans="1:3" x14ac:dyDescent="0.25">
      <c r="A1626" s="388">
        <v>43917</v>
      </c>
      <c r="B1626" s="388" t="s">
        <v>3679</v>
      </c>
      <c r="C1626" s="14"/>
    </row>
    <row r="1627" spans="1:3" x14ac:dyDescent="0.25">
      <c r="A1627" s="388">
        <v>43917</v>
      </c>
      <c r="B1627" s="388" t="s">
        <v>3679</v>
      </c>
      <c r="C1627" s="14"/>
    </row>
    <row r="1628" spans="1:3" x14ac:dyDescent="0.25">
      <c r="A1628" s="388">
        <v>43917</v>
      </c>
      <c r="B1628" s="388" t="s">
        <v>3679</v>
      </c>
      <c r="C1628" s="14"/>
    </row>
    <row r="1629" spans="1:3" x14ac:dyDescent="0.25">
      <c r="A1629" s="388">
        <v>43917</v>
      </c>
      <c r="B1629" s="388" t="s">
        <v>3680</v>
      </c>
      <c r="C1629" s="14"/>
    </row>
    <row r="1630" spans="1:3" x14ac:dyDescent="0.25">
      <c r="A1630" s="388">
        <v>43917</v>
      </c>
      <c r="B1630" s="388" t="s">
        <v>3680</v>
      </c>
      <c r="C1630" s="14"/>
    </row>
    <row r="1631" spans="1:3" x14ac:dyDescent="0.25">
      <c r="A1631" s="388">
        <v>43917</v>
      </c>
      <c r="B1631" s="388" t="s">
        <v>3679</v>
      </c>
      <c r="C1631" s="14"/>
    </row>
    <row r="1632" spans="1:3" x14ac:dyDescent="0.25">
      <c r="A1632" s="388">
        <v>43917</v>
      </c>
      <c r="B1632" s="388" t="s">
        <v>3679</v>
      </c>
      <c r="C1632" s="14"/>
    </row>
    <row r="1633" spans="1:3" x14ac:dyDescent="0.25">
      <c r="A1633" s="388">
        <v>43917</v>
      </c>
      <c r="B1633" s="388" t="s">
        <v>3681</v>
      </c>
      <c r="C1633" s="14"/>
    </row>
    <row r="1634" spans="1:3" x14ac:dyDescent="0.25">
      <c r="A1634" s="388">
        <v>43917</v>
      </c>
      <c r="B1634" s="388" t="s">
        <v>3679</v>
      </c>
      <c r="C1634" s="14"/>
    </row>
    <row r="1635" spans="1:3" x14ac:dyDescent="0.25">
      <c r="A1635" s="388">
        <v>43917</v>
      </c>
      <c r="B1635" s="388" t="s">
        <v>3679</v>
      </c>
      <c r="C1635" s="14"/>
    </row>
    <row r="1636" spans="1:3" x14ac:dyDescent="0.25">
      <c r="A1636" s="388">
        <v>43917</v>
      </c>
      <c r="B1636" s="388" t="s">
        <v>3679</v>
      </c>
      <c r="C1636" s="14"/>
    </row>
    <row r="1637" spans="1:3" x14ac:dyDescent="0.25">
      <c r="A1637" s="388">
        <v>43917</v>
      </c>
      <c r="B1637" s="388" t="s">
        <v>3678</v>
      </c>
      <c r="C1637" s="14"/>
    </row>
    <row r="1638" spans="1:3" x14ac:dyDescent="0.25">
      <c r="A1638" s="388">
        <v>43917</v>
      </c>
      <c r="B1638" s="388" t="s">
        <v>3679</v>
      </c>
      <c r="C1638" s="14"/>
    </row>
    <row r="1639" spans="1:3" x14ac:dyDescent="0.25">
      <c r="A1639" s="388">
        <v>43917</v>
      </c>
      <c r="B1639" s="388" t="s">
        <v>3679</v>
      </c>
      <c r="C1639" s="14"/>
    </row>
    <row r="1640" spans="1:3" x14ac:dyDescent="0.25">
      <c r="A1640" s="388">
        <v>43917</v>
      </c>
      <c r="B1640" s="388" t="s">
        <v>3678</v>
      </c>
      <c r="C1640" s="14"/>
    </row>
    <row r="1641" spans="1:3" x14ac:dyDescent="0.25">
      <c r="A1641" s="388">
        <v>43917</v>
      </c>
      <c r="B1641" s="388" t="s">
        <v>3679</v>
      </c>
      <c r="C1641" s="14"/>
    </row>
    <row r="1642" spans="1:3" x14ac:dyDescent="0.25">
      <c r="A1642" s="388">
        <v>43917</v>
      </c>
      <c r="B1642" s="388" t="s">
        <v>3680</v>
      </c>
      <c r="C1642" s="14"/>
    </row>
    <row r="1643" spans="1:3" x14ac:dyDescent="0.25">
      <c r="A1643" s="388">
        <v>43917</v>
      </c>
      <c r="B1643" s="388" t="s">
        <v>3678</v>
      </c>
      <c r="C1643" s="14"/>
    </row>
    <row r="1644" spans="1:3" x14ac:dyDescent="0.25">
      <c r="A1644" s="388">
        <v>43917</v>
      </c>
      <c r="B1644" s="388" t="s">
        <v>3678</v>
      </c>
      <c r="C1644" s="14"/>
    </row>
    <row r="1645" spans="1:3" x14ac:dyDescent="0.25">
      <c r="A1645" s="388">
        <v>43917</v>
      </c>
      <c r="B1645" s="388" t="s">
        <v>3678</v>
      </c>
      <c r="C1645" s="14"/>
    </row>
    <row r="1646" spans="1:3" x14ac:dyDescent="0.25">
      <c r="A1646" s="388">
        <v>43917</v>
      </c>
      <c r="B1646" s="388" t="s">
        <v>3678</v>
      </c>
      <c r="C1646" s="14"/>
    </row>
    <row r="1647" spans="1:3" x14ac:dyDescent="0.25">
      <c r="A1647" s="388">
        <v>43917</v>
      </c>
      <c r="B1647" s="388" t="s">
        <v>3679</v>
      </c>
      <c r="C1647" s="14"/>
    </row>
    <row r="1648" spans="1:3" x14ac:dyDescent="0.25">
      <c r="A1648" s="388">
        <v>43917</v>
      </c>
      <c r="B1648" s="388" t="s">
        <v>3679</v>
      </c>
      <c r="C1648" s="14"/>
    </row>
    <row r="1649" spans="1:3" x14ac:dyDescent="0.25">
      <c r="A1649" s="388">
        <v>43917</v>
      </c>
      <c r="B1649" s="388" t="s">
        <v>3678</v>
      </c>
      <c r="C1649" s="14"/>
    </row>
    <row r="1650" spans="1:3" x14ac:dyDescent="0.25">
      <c r="A1650" s="388">
        <v>43917</v>
      </c>
      <c r="B1650" s="388" t="s">
        <v>3680</v>
      </c>
      <c r="C1650" s="14"/>
    </row>
    <row r="1651" spans="1:3" x14ac:dyDescent="0.25">
      <c r="A1651" s="388">
        <v>43917</v>
      </c>
      <c r="B1651" s="388" t="s">
        <v>3678</v>
      </c>
      <c r="C1651" s="14"/>
    </row>
    <row r="1652" spans="1:3" x14ac:dyDescent="0.25">
      <c r="A1652" s="388">
        <v>43917</v>
      </c>
      <c r="B1652" s="388" t="s">
        <v>3678</v>
      </c>
      <c r="C1652" s="14"/>
    </row>
    <row r="1653" spans="1:3" x14ac:dyDescent="0.25">
      <c r="A1653" s="388">
        <v>43917</v>
      </c>
      <c r="B1653" s="388" t="s">
        <v>3679</v>
      </c>
      <c r="C1653" s="14"/>
    </row>
    <row r="1654" spans="1:3" x14ac:dyDescent="0.25">
      <c r="A1654" s="388">
        <v>43917</v>
      </c>
      <c r="B1654" s="388" t="s">
        <v>3678</v>
      </c>
      <c r="C1654" s="14"/>
    </row>
    <row r="1655" spans="1:3" x14ac:dyDescent="0.25">
      <c r="A1655" s="388">
        <v>43917</v>
      </c>
      <c r="B1655" s="388" t="s">
        <v>3678</v>
      </c>
      <c r="C1655" s="14"/>
    </row>
    <row r="1656" spans="1:3" x14ac:dyDescent="0.25">
      <c r="A1656" s="388">
        <v>43917</v>
      </c>
      <c r="B1656" s="388" t="s">
        <v>3678</v>
      </c>
      <c r="C1656" s="14"/>
    </row>
    <row r="1657" spans="1:3" x14ac:dyDescent="0.25">
      <c r="A1657" s="388">
        <v>43917</v>
      </c>
      <c r="B1657" s="388" t="s">
        <v>3680</v>
      </c>
      <c r="C1657" s="14"/>
    </row>
    <row r="1658" spans="1:3" x14ac:dyDescent="0.25">
      <c r="A1658" s="388">
        <v>43917</v>
      </c>
      <c r="B1658" s="388" t="s">
        <v>3680</v>
      </c>
      <c r="C1658" s="14"/>
    </row>
    <row r="1659" spans="1:3" x14ac:dyDescent="0.25">
      <c r="A1659" s="388">
        <v>43917</v>
      </c>
      <c r="B1659" s="388" t="s">
        <v>3678</v>
      </c>
      <c r="C1659" s="14"/>
    </row>
    <row r="1660" spans="1:3" x14ac:dyDescent="0.25">
      <c r="A1660" s="388">
        <v>43917</v>
      </c>
      <c r="B1660" s="388" t="s">
        <v>3680</v>
      </c>
      <c r="C1660" s="14"/>
    </row>
    <row r="1661" spans="1:3" x14ac:dyDescent="0.25">
      <c r="A1661" s="388">
        <v>43917</v>
      </c>
      <c r="B1661" s="388" t="s">
        <v>3678</v>
      </c>
      <c r="C1661" s="14"/>
    </row>
    <row r="1662" spans="1:3" x14ac:dyDescent="0.25">
      <c r="A1662" s="388">
        <v>43917</v>
      </c>
      <c r="B1662" s="388" t="s">
        <v>3679</v>
      </c>
      <c r="C1662" s="14"/>
    </row>
    <row r="1663" spans="1:3" x14ac:dyDescent="0.25">
      <c r="A1663" s="388">
        <v>43917</v>
      </c>
      <c r="B1663" s="388" t="s">
        <v>3679</v>
      </c>
      <c r="C1663" s="14"/>
    </row>
    <row r="1664" spans="1:3" x14ac:dyDescent="0.25">
      <c r="A1664" s="388">
        <v>43917</v>
      </c>
      <c r="B1664" s="388" t="s">
        <v>3678</v>
      </c>
      <c r="C1664" s="14"/>
    </row>
    <row r="1665" spans="1:3" x14ac:dyDescent="0.25">
      <c r="A1665" s="388">
        <v>43917</v>
      </c>
      <c r="B1665" s="388" t="s">
        <v>3681</v>
      </c>
      <c r="C1665" s="14"/>
    </row>
    <row r="1666" spans="1:3" x14ac:dyDescent="0.25">
      <c r="A1666" s="388">
        <v>43917</v>
      </c>
      <c r="B1666" s="388" t="s">
        <v>3679</v>
      </c>
      <c r="C1666" s="14"/>
    </row>
    <row r="1667" spans="1:3" x14ac:dyDescent="0.25">
      <c r="A1667" s="388">
        <v>43917</v>
      </c>
      <c r="B1667" s="388" t="s">
        <v>3680</v>
      </c>
      <c r="C1667" s="14"/>
    </row>
    <row r="1668" spans="1:3" x14ac:dyDescent="0.25">
      <c r="A1668" s="388">
        <v>43917</v>
      </c>
      <c r="B1668" s="388" t="s">
        <v>3679</v>
      </c>
      <c r="C1668" s="14"/>
    </row>
    <row r="1669" spans="1:3" x14ac:dyDescent="0.25">
      <c r="A1669" s="388">
        <v>43917</v>
      </c>
      <c r="B1669" s="388" t="s">
        <v>3680</v>
      </c>
      <c r="C1669" s="14"/>
    </row>
    <row r="1670" spans="1:3" x14ac:dyDescent="0.25">
      <c r="A1670" s="388">
        <v>43917</v>
      </c>
      <c r="B1670" s="388" t="s">
        <v>3679</v>
      </c>
      <c r="C1670" s="14"/>
    </row>
    <row r="1671" spans="1:3" x14ac:dyDescent="0.25">
      <c r="A1671" s="388">
        <v>43917</v>
      </c>
      <c r="B1671" s="388" t="s">
        <v>3679</v>
      </c>
      <c r="C1671" s="14"/>
    </row>
    <row r="1672" spans="1:3" x14ac:dyDescent="0.25">
      <c r="A1672" s="388">
        <v>43917</v>
      </c>
      <c r="B1672" s="388" t="s">
        <v>3681</v>
      </c>
      <c r="C1672" s="14"/>
    </row>
    <row r="1673" spans="1:3" x14ac:dyDescent="0.25">
      <c r="A1673" s="388">
        <v>43917</v>
      </c>
      <c r="B1673" s="388" t="s">
        <v>3679</v>
      </c>
      <c r="C1673" s="14"/>
    </row>
    <row r="1674" spans="1:3" x14ac:dyDescent="0.25">
      <c r="A1674" s="388">
        <v>43917</v>
      </c>
      <c r="B1674" s="388" t="s">
        <v>3679</v>
      </c>
      <c r="C1674" s="14"/>
    </row>
    <row r="1675" spans="1:3" x14ac:dyDescent="0.25">
      <c r="A1675" s="388">
        <v>43917</v>
      </c>
      <c r="B1675" s="388" t="s">
        <v>3679</v>
      </c>
      <c r="C1675" s="14"/>
    </row>
    <row r="1676" spans="1:3" x14ac:dyDescent="0.25">
      <c r="A1676" s="388">
        <v>43917</v>
      </c>
      <c r="B1676" s="388" t="s">
        <v>3680</v>
      </c>
      <c r="C1676" s="14"/>
    </row>
    <row r="1677" spans="1:3" x14ac:dyDescent="0.25">
      <c r="A1677" s="388">
        <v>43917</v>
      </c>
      <c r="B1677" s="388" t="s">
        <v>3679</v>
      </c>
      <c r="C1677" s="14"/>
    </row>
    <row r="1678" spans="1:3" x14ac:dyDescent="0.25">
      <c r="A1678" s="388">
        <v>43917</v>
      </c>
      <c r="B1678" s="388" t="s">
        <v>3679</v>
      </c>
      <c r="C1678" s="14"/>
    </row>
    <row r="1679" spans="1:3" x14ac:dyDescent="0.25">
      <c r="A1679" s="388">
        <v>43917</v>
      </c>
      <c r="B1679" s="388" t="s">
        <v>3678</v>
      </c>
      <c r="C1679" s="14"/>
    </row>
    <row r="1680" spans="1:3" x14ac:dyDescent="0.25">
      <c r="A1680" s="388">
        <v>43917</v>
      </c>
      <c r="B1680" s="388" t="s">
        <v>3679</v>
      </c>
      <c r="C1680" s="14"/>
    </row>
    <row r="1681" spans="1:3" x14ac:dyDescent="0.25">
      <c r="A1681" s="388">
        <v>43917</v>
      </c>
      <c r="B1681" s="388" t="s">
        <v>3679</v>
      </c>
      <c r="C1681" s="14"/>
    </row>
    <row r="1682" spans="1:3" x14ac:dyDescent="0.25">
      <c r="A1682" s="388">
        <v>43917</v>
      </c>
      <c r="B1682" s="388" t="s">
        <v>3679</v>
      </c>
      <c r="C1682" s="14"/>
    </row>
    <row r="1683" spans="1:3" x14ac:dyDescent="0.25">
      <c r="A1683" s="388">
        <v>43917</v>
      </c>
      <c r="B1683" s="388" t="s">
        <v>3679</v>
      </c>
      <c r="C1683" s="14"/>
    </row>
    <row r="1684" spans="1:3" x14ac:dyDescent="0.25">
      <c r="A1684" s="388">
        <v>43917</v>
      </c>
      <c r="B1684" s="388" t="s">
        <v>3678</v>
      </c>
      <c r="C1684" s="14"/>
    </row>
    <row r="1685" spans="1:3" x14ac:dyDescent="0.25">
      <c r="A1685" s="388">
        <v>43917</v>
      </c>
      <c r="B1685" s="388" t="s">
        <v>3679</v>
      </c>
      <c r="C1685" s="14"/>
    </row>
    <row r="1686" spans="1:3" x14ac:dyDescent="0.25">
      <c r="A1686" s="388">
        <v>43917</v>
      </c>
      <c r="B1686" s="388" t="s">
        <v>3679</v>
      </c>
      <c r="C1686" s="14"/>
    </row>
    <row r="1687" spans="1:3" x14ac:dyDescent="0.25">
      <c r="A1687" s="388">
        <v>43917</v>
      </c>
      <c r="B1687" s="388" t="s">
        <v>3678</v>
      </c>
      <c r="C1687" s="14"/>
    </row>
    <row r="1688" spans="1:3" x14ac:dyDescent="0.25">
      <c r="A1688" s="388">
        <v>43917</v>
      </c>
      <c r="B1688" s="388" t="s">
        <v>3679</v>
      </c>
      <c r="C1688" s="14"/>
    </row>
    <row r="1689" spans="1:3" x14ac:dyDescent="0.25">
      <c r="A1689" s="388">
        <v>43917</v>
      </c>
      <c r="B1689" s="388" t="s">
        <v>3679</v>
      </c>
      <c r="C1689" s="14"/>
    </row>
    <row r="1690" spans="1:3" x14ac:dyDescent="0.25">
      <c r="A1690" s="388">
        <v>43917</v>
      </c>
      <c r="B1690" s="388" t="s">
        <v>3678</v>
      </c>
      <c r="C1690" s="14"/>
    </row>
    <row r="1691" spans="1:3" x14ac:dyDescent="0.25">
      <c r="A1691" s="388">
        <v>43917</v>
      </c>
      <c r="B1691" s="388" t="s">
        <v>3680</v>
      </c>
      <c r="C1691" s="14"/>
    </row>
    <row r="1692" spans="1:3" x14ac:dyDescent="0.25">
      <c r="A1692" s="388">
        <v>43917</v>
      </c>
      <c r="B1692" s="388" t="s">
        <v>3679</v>
      </c>
      <c r="C1692" s="14"/>
    </row>
    <row r="1693" spans="1:3" x14ac:dyDescent="0.25">
      <c r="A1693" s="388">
        <v>43917</v>
      </c>
      <c r="B1693" s="388" t="s">
        <v>3679</v>
      </c>
      <c r="C1693" s="14"/>
    </row>
    <row r="1694" spans="1:3" x14ac:dyDescent="0.25">
      <c r="A1694" s="388">
        <v>43917</v>
      </c>
      <c r="B1694" s="388" t="s">
        <v>3679</v>
      </c>
      <c r="C1694" s="14"/>
    </row>
    <row r="1695" spans="1:3" x14ac:dyDescent="0.25">
      <c r="A1695" s="388">
        <v>43917</v>
      </c>
      <c r="B1695" s="388" t="s">
        <v>3679</v>
      </c>
      <c r="C1695" s="14"/>
    </row>
    <row r="1696" spans="1:3" x14ac:dyDescent="0.25">
      <c r="A1696" s="388">
        <v>43917</v>
      </c>
      <c r="B1696" s="388" t="s">
        <v>3679</v>
      </c>
      <c r="C1696" s="14"/>
    </row>
    <row r="1697" spans="1:3" x14ac:dyDescent="0.25">
      <c r="A1697" s="388">
        <v>43917</v>
      </c>
      <c r="B1697" s="388" t="s">
        <v>3679</v>
      </c>
      <c r="C1697" s="14"/>
    </row>
    <row r="1698" spans="1:3" x14ac:dyDescent="0.25">
      <c r="A1698" s="388">
        <v>43917</v>
      </c>
      <c r="B1698" s="388" t="s">
        <v>3679</v>
      </c>
      <c r="C1698" s="14"/>
    </row>
    <row r="1699" spans="1:3" x14ac:dyDescent="0.25">
      <c r="A1699" s="388">
        <v>43917</v>
      </c>
      <c r="B1699" s="388" t="s">
        <v>3679</v>
      </c>
      <c r="C1699" s="14"/>
    </row>
    <row r="1700" spans="1:3" x14ac:dyDescent="0.25">
      <c r="A1700" s="388">
        <v>43917</v>
      </c>
      <c r="B1700" s="388" t="s">
        <v>3679</v>
      </c>
      <c r="C1700" s="14"/>
    </row>
    <row r="1701" spans="1:3" x14ac:dyDescent="0.25">
      <c r="A1701" s="388">
        <v>43917</v>
      </c>
      <c r="B1701" s="388" t="s">
        <v>3678</v>
      </c>
      <c r="C1701" s="14"/>
    </row>
    <row r="1702" spans="1:3" x14ac:dyDescent="0.25">
      <c r="A1702" s="388">
        <v>43917</v>
      </c>
      <c r="B1702" s="388" t="s">
        <v>3678</v>
      </c>
      <c r="C1702" s="14"/>
    </row>
    <row r="1703" spans="1:3" x14ac:dyDescent="0.25">
      <c r="A1703" s="388">
        <v>43917</v>
      </c>
      <c r="B1703" s="388" t="s">
        <v>3679</v>
      </c>
      <c r="C1703" s="14"/>
    </row>
    <row r="1704" spans="1:3" x14ac:dyDescent="0.25">
      <c r="A1704" s="388">
        <v>43917</v>
      </c>
      <c r="B1704" s="388" t="s">
        <v>3679</v>
      </c>
      <c r="C1704" s="14"/>
    </row>
    <row r="1705" spans="1:3" x14ac:dyDescent="0.25">
      <c r="A1705" s="388">
        <v>43917</v>
      </c>
      <c r="B1705" s="388" t="s">
        <v>3678</v>
      </c>
      <c r="C1705" s="14"/>
    </row>
    <row r="1706" spans="1:3" x14ac:dyDescent="0.25">
      <c r="A1706" s="388">
        <v>43917</v>
      </c>
      <c r="B1706" s="388" t="s">
        <v>3679</v>
      </c>
      <c r="C1706" s="14"/>
    </row>
    <row r="1707" spans="1:3" x14ac:dyDescent="0.25">
      <c r="A1707" s="388">
        <v>43917</v>
      </c>
      <c r="B1707" s="388" t="s">
        <v>3679</v>
      </c>
      <c r="C1707" s="14"/>
    </row>
    <row r="1708" spans="1:3" x14ac:dyDescent="0.25">
      <c r="A1708" s="388">
        <v>43917</v>
      </c>
      <c r="B1708" s="388" t="s">
        <v>3679</v>
      </c>
      <c r="C1708" s="14"/>
    </row>
    <row r="1709" spans="1:3" x14ac:dyDescent="0.25">
      <c r="A1709" s="388">
        <v>43917</v>
      </c>
      <c r="B1709" s="388" t="s">
        <v>3679</v>
      </c>
      <c r="C1709" s="14"/>
    </row>
    <row r="1710" spans="1:3" x14ac:dyDescent="0.25">
      <c r="A1710" s="388">
        <v>43917</v>
      </c>
      <c r="B1710" s="388" t="s">
        <v>3679</v>
      </c>
      <c r="C1710" s="14"/>
    </row>
    <row r="1711" spans="1:3" x14ac:dyDescent="0.25">
      <c r="A1711" s="388">
        <v>43917</v>
      </c>
      <c r="B1711" s="388" t="s">
        <v>3678</v>
      </c>
      <c r="C1711" s="14"/>
    </row>
    <row r="1712" spans="1:3" x14ac:dyDescent="0.25">
      <c r="A1712" s="388">
        <v>43917</v>
      </c>
      <c r="B1712" s="388" t="s">
        <v>3679</v>
      </c>
      <c r="C1712" s="14"/>
    </row>
    <row r="1713" spans="1:3" x14ac:dyDescent="0.25">
      <c r="A1713" s="388">
        <v>43917</v>
      </c>
      <c r="B1713" s="388" t="s">
        <v>3679</v>
      </c>
      <c r="C1713" s="14"/>
    </row>
    <row r="1714" spans="1:3" x14ac:dyDescent="0.25">
      <c r="A1714" s="388">
        <v>43917</v>
      </c>
      <c r="B1714" s="388" t="s">
        <v>3678</v>
      </c>
      <c r="C1714" s="14"/>
    </row>
    <row r="1715" spans="1:3" x14ac:dyDescent="0.25">
      <c r="A1715" s="388">
        <v>43917</v>
      </c>
      <c r="B1715" s="388" t="s">
        <v>3678</v>
      </c>
      <c r="C1715" s="14"/>
    </row>
    <row r="1716" spans="1:3" x14ac:dyDescent="0.25">
      <c r="A1716" s="388">
        <v>43917</v>
      </c>
      <c r="B1716" s="388" t="s">
        <v>3678</v>
      </c>
      <c r="C1716" s="14"/>
    </row>
    <row r="1717" spans="1:3" x14ac:dyDescent="0.25">
      <c r="A1717" s="388">
        <v>43917</v>
      </c>
      <c r="B1717" s="388" t="s">
        <v>3679</v>
      </c>
      <c r="C1717" s="14"/>
    </row>
    <row r="1718" spans="1:3" x14ac:dyDescent="0.25">
      <c r="A1718" s="388">
        <v>43917</v>
      </c>
      <c r="B1718" s="388" t="s">
        <v>3679</v>
      </c>
      <c r="C1718" s="14"/>
    </row>
    <row r="1719" spans="1:3" x14ac:dyDescent="0.25">
      <c r="A1719" s="388">
        <v>43917</v>
      </c>
      <c r="B1719" s="388" t="s">
        <v>3679</v>
      </c>
      <c r="C1719" s="14"/>
    </row>
    <row r="1720" spans="1:3" x14ac:dyDescent="0.25">
      <c r="A1720" s="388">
        <v>43917</v>
      </c>
      <c r="B1720" s="388" t="s">
        <v>3680</v>
      </c>
      <c r="C1720" s="14"/>
    </row>
    <row r="1721" spans="1:3" x14ac:dyDescent="0.25">
      <c r="A1721" s="388">
        <v>43917</v>
      </c>
      <c r="B1721" s="388" t="s">
        <v>3679</v>
      </c>
      <c r="C1721" s="14"/>
    </row>
    <row r="1722" spans="1:3" x14ac:dyDescent="0.25">
      <c r="A1722" s="388">
        <v>43917</v>
      </c>
      <c r="B1722" s="388" t="s">
        <v>3679</v>
      </c>
      <c r="C1722" s="14"/>
    </row>
    <row r="1723" spans="1:3" x14ac:dyDescent="0.25">
      <c r="A1723" s="388">
        <v>43917</v>
      </c>
      <c r="B1723" s="388" t="s">
        <v>3678</v>
      </c>
      <c r="C1723" s="14"/>
    </row>
    <row r="1724" spans="1:3" x14ac:dyDescent="0.25">
      <c r="A1724" s="388">
        <v>43917</v>
      </c>
      <c r="B1724" s="388" t="s">
        <v>3678</v>
      </c>
      <c r="C1724" s="14"/>
    </row>
    <row r="1725" spans="1:3" x14ac:dyDescent="0.25">
      <c r="A1725" s="388">
        <v>43917</v>
      </c>
      <c r="B1725" s="388" t="s">
        <v>3679</v>
      </c>
      <c r="C1725" s="14"/>
    </row>
    <row r="1726" spans="1:3" x14ac:dyDescent="0.25">
      <c r="A1726" s="388">
        <v>43917</v>
      </c>
      <c r="B1726" s="388" t="s">
        <v>3679</v>
      </c>
      <c r="C1726" s="14"/>
    </row>
    <row r="1727" spans="1:3" x14ac:dyDescent="0.25">
      <c r="A1727" s="388">
        <v>43917</v>
      </c>
      <c r="B1727" s="388" t="s">
        <v>3679</v>
      </c>
      <c r="C1727" s="14"/>
    </row>
    <row r="1728" spans="1:3" x14ac:dyDescent="0.25">
      <c r="A1728" s="388">
        <v>43917</v>
      </c>
      <c r="B1728" s="388" t="s">
        <v>3678</v>
      </c>
      <c r="C1728" s="14"/>
    </row>
    <row r="1729" spans="1:3" x14ac:dyDescent="0.25">
      <c r="A1729" s="388">
        <v>43917</v>
      </c>
      <c r="B1729" s="388" t="s">
        <v>3679</v>
      </c>
      <c r="C1729" s="14"/>
    </row>
    <row r="1730" spans="1:3" x14ac:dyDescent="0.25">
      <c r="A1730" s="388">
        <v>43917</v>
      </c>
      <c r="B1730" s="388" t="s">
        <v>3679</v>
      </c>
      <c r="C1730" s="14"/>
    </row>
    <row r="1731" spans="1:3" x14ac:dyDescent="0.25">
      <c r="A1731" s="388">
        <v>43917</v>
      </c>
      <c r="B1731" s="388" t="s">
        <v>3680</v>
      </c>
      <c r="C1731" s="14"/>
    </row>
    <row r="1732" spans="1:3" x14ac:dyDescent="0.25">
      <c r="A1732" s="388">
        <v>43917</v>
      </c>
      <c r="B1732" s="388" t="s">
        <v>3678</v>
      </c>
      <c r="C1732" s="14"/>
    </row>
    <row r="1733" spans="1:3" x14ac:dyDescent="0.25">
      <c r="A1733" s="388">
        <v>43917</v>
      </c>
      <c r="B1733" s="388" t="s">
        <v>3678</v>
      </c>
      <c r="C1733" s="14"/>
    </row>
    <row r="1734" spans="1:3" x14ac:dyDescent="0.25">
      <c r="A1734" s="388">
        <v>43917</v>
      </c>
      <c r="B1734" s="388" t="s">
        <v>3680</v>
      </c>
      <c r="C1734" s="14"/>
    </row>
    <row r="1735" spans="1:3" x14ac:dyDescent="0.25">
      <c r="A1735" s="388">
        <v>43917</v>
      </c>
      <c r="B1735" s="388" t="s">
        <v>3679</v>
      </c>
      <c r="C1735" s="14"/>
    </row>
    <row r="1736" spans="1:3" x14ac:dyDescent="0.25">
      <c r="A1736" s="388">
        <v>43917</v>
      </c>
      <c r="B1736" s="388" t="s">
        <v>3681</v>
      </c>
      <c r="C1736" s="14"/>
    </row>
    <row r="1737" spans="1:3" x14ac:dyDescent="0.25">
      <c r="A1737" s="388">
        <v>43917</v>
      </c>
      <c r="B1737" s="388" t="s">
        <v>3680</v>
      </c>
      <c r="C1737" s="14"/>
    </row>
    <row r="1738" spans="1:3" x14ac:dyDescent="0.25">
      <c r="A1738" s="388">
        <v>43917</v>
      </c>
      <c r="B1738" s="388" t="s">
        <v>3678</v>
      </c>
      <c r="C1738" s="14"/>
    </row>
    <row r="1739" spans="1:3" x14ac:dyDescent="0.25">
      <c r="A1739" s="388">
        <v>43917</v>
      </c>
      <c r="B1739" s="388" t="s">
        <v>3679</v>
      </c>
      <c r="C1739" s="14"/>
    </row>
    <row r="1740" spans="1:3" x14ac:dyDescent="0.25">
      <c r="A1740" s="388">
        <v>43917</v>
      </c>
      <c r="B1740" s="388" t="s">
        <v>3678</v>
      </c>
      <c r="C1740" s="14"/>
    </row>
    <row r="1741" spans="1:3" x14ac:dyDescent="0.25">
      <c r="A1741" s="388">
        <v>43917</v>
      </c>
      <c r="B1741" s="388" t="s">
        <v>3679</v>
      </c>
      <c r="C1741" s="14"/>
    </row>
    <row r="1742" spans="1:3" x14ac:dyDescent="0.25">
      <c r="A1742" s="388">
        <v>43917</v>
      </c>
      <c r="B1742" s="388" t="s">
        <v>3679</v>
      </c>
      <c r="C1742" s="14"/>
    </row>
    <row r="1743" spans="1:3" x14ac:dyDescent="0.25">
      <c r="A1743" s="388">
        <v>43917</v>
      </c>
      <c r="B1743" s="388" t="s">
        <v>3681</v>
      </c>
      <c r="C1743" s="14"/>
    </row>
    <row r="1744" spans="1:3" x14ac:dyDescent="0.25">
      <c r="A1744" s="388">
        <v>43917</v>
      </c>
      <c r="B1744" s="388" t="s">
        <v>3679</v>
      </c>
      <c r="C1744" s="14"/>
    </row>
    <row r="1745" spans="1:3" x14ac:dyDescent="0.25">
      <c r="A1745" s="388">
        <v>43917</v>
      </c>
      <c r="B1745" s="388" t="s">
        <v>3681</v>
      </c>
      <c r="C1745" s="14"/>
    </row>
    <row r="1746" spans="1:3" x14ac:dyDescent="0.25">
      <c r="A1746" s="388">
        <v>43917</v>
      </c>
      <c r="B1746" s="388" t="s">
        <v>3679</v>
      </c>
      <c r="C1746" s="14"/>
    </row>
    <row r="1747" spans="1:3" x14ac:dyDescent="0.25">
      <c r="A1747" s="388">
        <v>43917</v>
      </c>
      <c r="B1747" s="388" t="s">
        <v>3679</v>
      </c>
      <c r="C1747" s="14"/>
    </row>
    <row r="1748" spans="1:3" x14ac:dyDescent="0.25">
      <c r="A1748" s="388">
        <v>43917</v>
      </c>
      <c r="B1748" s="388" t="s">
        <v>3679</v>
      </c>
      <c r="C1748" s="14"/>
    </row>
    <row r="1749" spans="1:3" x14ac:dyDescent="0.25">
      <c r="A1749" s="388">
        <v>43917</v>
      </c>
      <c r="B1749" s="388" t="s">
        <v>3679</v>
      </c>
      <c r="C1749" s="14"/>
    </row>
    <row r="1750" spans="1:3" x14ac:dyDescent="0.25">
      <c r="A1750" s="388">
        <v>43917</v>
      </c>
      <c r="B1750" s="388" t="s">
        <v>3681</v>
      </c>
      <c r="C1750" s="14"/>
    </row>
    <row r="1751" spans="1:3" x14ac:dyDescent="0.25">
      <c r="A1751" s="388">
        <v>43917</v>
      </c>
      <c r="B1751" s="388" t="s">
        <v>3679</v>
      </c>
      <c r="C1751" s="14"/>
    </row>
    <row r="1752" spans="1:3" x14ac:dyDescent="0.25">
      <c r="A1752" s="388">
        <v>43917</v>
      </c>
      <c r="B1752" s="388" t="s">
        <v>3680</v>
      </c>
      <c r="C1752" s="14"/>
    </row>
    <row r="1753" spans="1:3" x14ac:dyDescent="0.25">
      <c r="A1753" s="388">
        <v>43917</v>
      </c>
      <c r="B1753" s="388" t="s">
        <v>3679</v>
      </c>
      <c r="C1753" s="14"/>
    </row>
    <row r="1754" spans="1:3" x14ac:dyDescent="0.25">
      <c r="A1754" s="388">
        <v>43917</v>
      </c>
      <c r="B1754" s="388" t="s">
        <v>3679</v>
      </c>
      <c r="C1754" s="14"/>
    </row>
    <row r="1755" spans="1:3" x14ac:dyDescent="0.25">
      <c r="A1755" s="388">
        <v>43917</v>
      </c>
      <c r="B1755" s="388" t="s">
        <v>3678</v>
      </c>
      <c r="C1755" s="14"/>
    </row>
    <row r="1756" spans="1:3" x14ac:dyDescent="0.25">
      <c r="A1756" s="388">
        <v>43917</v>
      </c>
      <c r="B1756" s="388" t="s">
        <v>3679</v>
      </c>
      <c r="C1756" s="14"/>
    </row>
    <row r="1757" spans="1:3" x14ac:dyDescent="0.25">
      <c r="A1757" s="388">
        <v>43917</v>
      </c>
      <c r="B1757" s="388" t="s">
        <v>3678</v>
      </c>
      <c r="C1757" s="14"/>
    </row>
    <row r="1758" spans="1:3" x14ac:dyDescent="0.25">
      <c r="A1758" s="388">
        <v>43917</v>
      </c>
      <c r="B1758" s="388" t="s">
        <v>3679</v>
      </c>
      <c r="C1758" s="14"/>
    </row>
    <row r="1759" spans="1:3" x14ac:dyDescent="0.25">
      <c r="A1759" s="388">
        <v>43917</v>
      </c>
      <c r="B1759" s="388" t="s">
        <v>3680</v>
      </c>
      <c r="C1759" s="14"/>
    </row>
    <row r="1760" spans="1:3" x14ac:dyDescent="0.25">
      <c r="A1760" s="388">
        <v>43917</v>
      </c>
      <c r="B1760" s="388" t="s">
        <v>3679</v>
      </c>
      <c r="C1760" s="14"/>
    </row>
    <row r="1761" spans="1:3" x14ac:dyDescent="0.25">
      <c r="A1761" s="388">
        <v>43917</v>
      </c>
      <c r="B1761" s="388" t="s">
        <v>3679</v>
      </c>
      <c r="C1761" s="14"/>
    </row>
    <row r="1762" spans="1:3" x14ac:dyDescent="0.25">
      <c r="A1762" s="388">
        <v>43918</v>
      </c>
      <c r="B1762" s="388" t="s">
        <v>3679</v>
      </c>
      <c r="C1762" s="14"/>
    </row>
    <row r="1763" spans="1:3" x14ac:dyDescent="0.25">
      <c r="A1763" s="388">
        <v>43918</v>
      </c>
      <c r="B1763" s="388" t="s">
        <v>3679</v>
      </c>
      <c r="C1763" s="14"/>
    </row>
    <row r="1764" spans="1:3" x14ac:dyDescent="0.25">
      <c r="A1764" s="388">
        <v>43918</v>
      </c>
      <c r="B1764" s="388" t="s">
        <v>3680</v>
      </c>
      <c r="C1764" s="14"/>
    </row>
    <row r="1765" spans="1:3" x14ac:dyDescent="0.25">
      <c r="A1765" s="388">
        <v>43918</v>
      </c>
      <c r="B1765" s="388" t="s">
        <v>3680</v>
      </c>
      <c r="C1765" s="14"/>
    </row>
    <row r="1766" spans="1:3" x14ac:dyDescent="0.25">
      <c r="A1766" s="388">
        <v>43918</v>
      </c>
      <c r="B1766" s="388" t="s">
        <v>3679</v>
      </c>
      <c r="C1766" s="14"/>
    </row>
    <row r="1767" spans="1:3" x14ac:dyDescent="0.25">
      <c r="A1767" s="388">
        <v>43918</v>
      </c>
      <c r="B1767" s="388" t="s">
        <v>3679</v>
      </c>
      <c r="C1767" s="14"/>
    </row>
    <row r="1768" spans="1:3" x14ac:dyDescent="0.25">
      <c r="A1768" s="388">
        <v>43918</v>
      </c>
      <c r="B1768" s="388" t="s">
        <v>3678</v>
      </c>
      <c r="C1768" s="14"/>
    </row>
    <row r="1769" spans="1:3" x14ac:dyDescent="0.25">
      <c r="A1769" s="388">
        <v>43918</v>
      </c>
      <c r="B1769" s="388" t="s">
        <v>3679</v>
      </c>
      <c r="C1769" s="14"/>
    </row>
    <row r="1770" spans="1:3" x14ac:dyDescent="0.25">
      <c r="A1770" s="388">
        <v>43918</v>
      </c>
      <c r="B1770" s="388" t="s">
        <v>3679</v>
      </c>
      <c r="C1770" s="14"/>
    </row>
    <row r="1771" spans="1:3" x14ac:dyDescent="0.25">
      <c r="A1771" s="388">
        <v>43918</v>
      </c>
      <c r="B1771" s="388" t="s">
        <v>3679</v>
      </c>
      <c r="C1771" s="14"/>
    </row>
    <row r="1772" spans="1:3" x14ac:dyDescent="0.25">
      <c r="A1772" s="388">
        <v>43918</v>
      </c>
      <c r="B1772" s="388" t="s">
        <v>3679</v>
      </c>
      <c r="C1772" s="14"/>
    </row>
    <row r="1773" spans="1:3" x14ac:dyDescent="0.25">
      <c r="A1773" s="388">
        <v>43918</v>
      </c>
      <c r="B1773" s="388" t="s">
        <v>3679</v>
      </c>
      <c r="C1773" s="14"/>
    </row>
    <row r="1774" spans="1:3" x14ac:dyDescent="0.25">
      <c r="A1774" s="388">
        <v>43918</v>
      </c>
      <c r="B1774" s="388" t="s">
        <v>3679</v>
      </c>
      <c r="C1774" s="14"/>
    </row>
    <row r="1775" spans="1:3" x14ac:dyDescent="0.25">
      <c r="A1775" s="388">
        <v>43918</v>
      </c>
      <c r="B1775" s="388" t="s">
        <v>3678</v>
      </c>
      <c r="C1775" s="14"/>
    </row>
    <row r="1776" spans="1:3" x14ac:dyDescent="0.25">
      <c r="A1776" s="388">
        <v>43918</v>
      </c>
      <c r="B1776" s="388" t="s">
        <v>3679</v>
      </c>
      <c r="C1776" s="14"/>
    </row>
    <row r="1777" spans="1:3" x14ac:dyDescent="0.25">
      <c r="A1777" s="388">
        <v>43918</v>
      </c>
      <c r="B1777" s="388" t="s">
        <v>3680</v>
      </c>
      <c r="C1777" s="14"/>
    </row>
    <row r="1778" spans="1:3" x14ac:dyDescent="0.25">
      <c r="A1778" s="388">
        <v>43918</v>
      </c>
      <c r="B1778" s="388" t="s">
        <v>3679</v>
      </c>
      <c r="C1778" s="14"/>
    </row>
    <row r="1779" spans="1:3" x14ac:dyDescent="0.25">
      <c r="A1779" s="388">
        <v>43918</v>
      </c>
      <c r="B1779" s="388" t="s">
        <v>3679</v>
      </c>
      <c r="C1779" s="14"/>
    </row>
    <row r="1780" spans="1:3" x14ac:dyDescent="0.25">
      <c r="A1780" s="388">
        <v>43918</v>
      </c>
      <c r="B1780" s="388" t="s">
        <v>3679</v>
      </c>
      <c r="C1780" s="14"/>
    </row>
    <row r="1781" spans="1:3" x14ac:dyDescent="0.25">
      <c r="A1781" s="388">
        <v>43918</v>
      </c>
      <c r="B1781" s="388" t="s">
        <v>3679</v>
      </c>
      <c r="C1781" s="14"/>
    </row>
    <row r="1782" spans="1:3" x14ac:dyDescent="0.25">
      <c r="A1782" s="388">
        <v>43918</v>
      </c>
      <c r="B1782" s="388" t="s">
        <v>3679</v>
      </c>
      <c r="C1782" s="14"/>
    </row>
    <row r="1783" spans="1:3" x14ac:dyDescent="0.25">
      <c r="A1783" s="388">
        <v>43918</v>
      </c>
      <c r="B1783" s="388" t="s">
        <v>3679</v>
      </c>
      <c r="C1783" s="14"/>
    </row>
    <row r="1784" spans="1:3" x14ac:dyDescent="0.25">
      <c r="A1784" s="388">
        <v>43918</v>
      </c>
      <c r="B1784" s="388" t="s">
        <v>3679</v>
      </c>
      <c r="C1784" s="14"/>
    </row>
    <row r="1785" spans="1:3" x14ac:dyDescent="0.25">
      <c r="A1785" s="388">
        <v>43918</v>
      </c>
      <c r="B1785" s="388" t="s">
        <v>3678</v>
      </c>
      <c r="C1785" s="14"/>
    </row>
    <row r="1786" spans="1:3" x14ac:dyDescent="0.25">
      <c r="A1786" s="388">
        <v>43918</v>
      </c>
      <c r="B1786" s="388" t="s">
        <v>3680</v>
      </c>
      <c r="C1786" s="14"/>
    </row>
    <row r="1787" spans="1:3" x14ac:dyDescent="0.25">
      <c r="A1787" s="388">
        <v>43918</v>
      </c>
      <c r="B1787" s="388" t="s">
        <v>3679</v>
      </c>
      <c r="C1787" s="14"/>
    </row>
    <row r="1788" spans="1:3" x14ac:dyDescent="0.25">
      <c r="A1788" s="388">
        <v>43918</v>
      </c>
      <c r="B1788" s="388" t="s">
        <v>3679</v>
      </c>
      <c r="C1788" s="14"/>
    </row>
    <row r="1789" spans="1:3" x14ac:dyDescent="0.25">
      <c r="A1789" s="388">
        <v>43918</v>
      </c>
      <c r="B1789" s="388" t="s">
        <v>3679</v>
      </c>
      <c r="C1789" s="14"/>
    </row>
    <row r="1790" spans="1:3" x14ac:dyDescent="0.25">
      <c r="A1790" s="388">
        <v>43918</v>
      </c>
      <c r="B1790" s="388" t="s">
        <v>3679</v>
      </c>
      <c r="C1790" s="14"/>
    </row>
    <row r="1791" spans="1:3" x14ac:dyDescent="0.25">
      <c r="A1791" s="388">
        <v>43918</v>
      </c>
      <c r="B1791" s="388" t="s">
        <v>3678</v>
      </c>
      <c r="C1791" s="14"/>
    </row>
    <row r="1792" spans="1:3" x14ac:dyDescent="0.25">
      <c r="A1792" s="388">
        <v>43918</v>
      </c>
      <c r="B1792" s="388" t="s">
        <v>3679</v>
      </c>
      <c r="C1792" s="14"/>
    </row>
    <row r="1793" spans="1:3" x14ac:dyDescent="0.25">
      <c r="A1793" s="388">
        <v>43918</v>
      </c>
      <c r="B1793" s="388" t="s">
        <v>3679</v>
      </c>
      <c r="C1793" s="14"/>
    </row>
    <row r="1794" spans="1:3" x14ac:dyDescent="0.25">
      <c r="A1794" s="388">
        <v>43918</v>
      </c>
      <c r="B1794" s="388" t="s">
        <v>3679</v>
      </c>
      <c r="C1794" s="14"/>
    </row>
    <row r="1795" spans="1:3" x14ac:dyDescent="0.25">
      <c r="A1795" s="388">
        <v>43918</v>
      </c>
      <c r="B1795" s="388" t="s">
        <v>3679</v>
      </c>
      <c r="C1795" s="14"/>
    </row>
    <row r="1796" spans="1:3" x14ac:dyDescent="0.25">
      <c r="A1796" s="388">
        <v>43918</v>
      </c>
      <c r="B1796" s="388" t="s">
        <v>3679</v>
      </c>
      <c r="C1796" s="14"/>
    </row>
    <row r="1797" spans="1:3" x14ac:dyDescent="0.25">
      <c r="A1797" s="388">
        <v>43918</v>
      </c>
      <c r="B1797" s="388" t="s">
        <v>3679</v>
      </c>
      <c r="C1797" s="14"/>
    </row>
    <row r="1798" spans="1:3" x14ac:dyDescent="0.25">
      <c r="A1798" s="388">
        <v>43918</v>
      </c>
      <c r="B1798" s="388" t="s">
        <v>3679</v>
      </c>
      <c r="C1798" s="14"/>
    </row>
    <row r="1799" spans="1:3" x14ac:dyDescent="0.25">
      <c r="A1799" s="388">
        <v>43918</v>
      </c>
      <c r="B1799" s="388" t="s">
        <v>3680</v>
      </c>
      <c r="C1799" s="14"/>
    </row>
    <row r="1800" spans="1:3" x14ac:dyDescent="0.25">
      <c r="A1800" s="388">
        <v>43918</v>
      </c>
      <c r="B1800" s="388" t="s">
        <v>3679</v>
      </c>
      <c r="C1800" s="14"/>
    </row>
    <row r="1801" spans="1:3" x14ac:dyDescent="0.25">
      <c r="A1801" s="388">
        <v>43918</v>
      </c>
      <c r="B1801" s="388" t="s">
        <v>3679</v>
      </c>
      <c r="C1801" s="14"/>
    </row>
    <row r="1802" spans="1:3" x14ac:dyDescent="0.25">
      <c r="A1802" s="388">
        <v>43918</v>
      </c>
      <c r="B1802" s="388" t="s">
        <v>3680</v>
      </c>
      <c r="C1802" s="14"/>
    </row>
    <row r="1803" spans="1:3" x14ac:dyDescent="0.25">
      <c r="A1803" s="388">
        <v>43918</v>
      </c>
      <c r="B1803" s="388" t="s">
        <v>3680</v>
      </c>
      <c r="C1803" s="14"/>
    </row>
    <row r="1804" spans="1:3" x14ac:dyDescent="0.25">
      <c r="A1804" s="388">
        <v>43918</v>
      </c>
      <c r="B1804" s="388" t="s">
        <v>3679</v>
      </c>
      <c r="C1804" s="14"/>
    </row>
    <row r="1805" spans="1:3" x14ac:dyDescent="0.25">
      <c r="A1805" s="388">
        <v>43918</v>
      </c>
      <c r="B1805" s="388" t="s">
        <v>3679</v>
      </c>
      <c r="C1805" s="14"/>
    </row>
    <row r="1806" spans="1:3" x14ac:dyDescent="0.25">
      <c r="A1806" s="388">
        <v>43918</v>
      </c>
      <c r="B1806" s="388" t="s">
        <v>3679</v>
      </c>
      <c r="C1806" s="14"/>
    </row>
    <row r="1807" spans="1:3" x14ac:dyDescent="0.25">
      <c r="A1807" s="388">
        <v>43918</v>
      </c>
      <c r="B1807" s="388" t="s">
        <v>3678</v>
      </c>
      <c r="C1807" s="14"/>
    </row>
    <row r="1808" spans="1:3" x14ac:dyDescent="0.25">
      <c r="A1808" s="388">
        <v>43918</v>
      </c>
      <c r="B1808" s="388" t="s">
        <v>3679</v>
      </c>
      <c r="C1808" s="14"/>
    </row>
    <row r="1809" spans="1:3" x14ac:dyDescent="0.25">
      <c r="A1809" s="388">
        <v>43918</v>
      </c>
      <c r="B1809" s="388" t="s">
        <v>3680</v>
      </c>
      <c r="C1809" s="14"/>
    </row>
    <row r="1810" spans="1:3" x14ac:dyDescent="0.25">
      <c r="A1810" s="388">
        <v>43918</v>
      </c>
      <c r="B1810" s="388" t="s">
        <v>3679</v>
      </c>
      <c r="C1810" s="14"/>
    </row>
    <row r="1811" spans="1:3" x14ac:dyDescent="0.25">
      <c r="A1811" s="388">
        <v>43918</v>
      </c>
      <c r="B1811" s="388" t="s">
        <v>3679</v>
      </c>
      <c r="C1811" s="14"/>
    </row>
    <row r="1812" spans="1:3" x14ac:dyDescent="0.25">
      <c r="A1812" s="388">
        <v>43918</v>
      </c>
      <c r="B1812" s="388" t="s">
        <v>3679</v>
      </c>
      <c r="C1812" s="14"/>
    </row>
    <row r="1813" spans="1:3" x14ac:dyDescent="0.25">
      <c r="A1813" s="388">
        <v>43918</v>
      </c>
      <c r="B1813" s="388" t="s">
        <v>3679</v>
      </c>
      <c r="C1813" s="14"/>
    </row>
    <row r="1814" spans="1:3" x14ac:dyDescent="0.25">
      <c r="A1814" s="388">
        <v>43918</v>
      </c>
      <c r="B1814" s="388" t="s">
        <v>3679</v>
      </c>
      <c r="C1814" s="14"/>
    </row>
    <row r="1815" spans="1:3" x14ac:dyDescent="0.25">
      <c r="A1815" s="388">
        <v>43918</v>
      </c>
      <c r="B1815" s="388" t="s">
        <v>3679</v>
      </c>
      <c r="C1815" s="14"/>
    </row>
    <row r="1816" spans="1:3" x14ac:dyDescent="0.25">
      <c r="A1816" s="388">
        <v>43918</v>
      </c>
      <c r="B1816" s="388" t="s">
        <v>3678</v>
      </c>
      <c r="C1816" s="14"/>
    </row>
    <row r="1817" spans="1:3" x14ac:dyDescent="0.25">
      <c r="A1817" s="388">
        <v>43918</v>
      </c>
      <c r="B1817" s="388" t="s">
        <v>3679</v>
      </c>
      <c r="C1817" s="14"/>
    </row>
    <row r="1818" spans="1:3" x14ac:dyDescent="0.25">
      <c r="A1818" s="388">
        <v>43918</v>
      </c>
      <c r="B1818" s="388" t="s">
        <v>3678</v>
      </c>
      <c r="C1818" s="14"/>
    </row>
    <row r="1819" spans="1:3" x14ac:dyDescent="0.25">
      <c r="A1819" s="388">
        <v>43918</v>
      </c>
      <c r="B1819" s="388" t="s">
        <v>3678</v>
      </c>
      <c r="C1819" s="14"/>
    </row>
    <row r="1820" spans="1:3" x14ac:dyDescent="0.25">
      <c r="A1820" s="388">
        <v>43918</v>
      </c>
      <c r="B1820" s="388" t="s">
        <v>3679</v>
      </c>
      <c r="C1820" s="14"/>
    </row>
    <row r="1821" spans="1:3" x14ac:dyDescent="0.25">
      <c r="A1821" s="388">
        <v>43918</v>
      </c>
      <c r="B1821" s="388" t="s">
        <v>3679</v>
      </c>
      <c r="C1821" s="14"/>
    </row>
    <row r="1822" spans="1:3" x14ac:dyDescent="0.25">
      <c r="A1822" s="388">
        <v>43918</v>
      </c>
      <c r="B1822" s="388" t="s">
        <v>3678</v>
      </c>
      <c r="C1822" s="14"/>
    </row>
    <row r="1823" spans="1:3" x14ac:dyDescent="0.25">
      <c r="A1823" s="388">
        <v>43918</v>
      </c>
      <c r="B1823" s="388" t="s">
        <v>3678</v>
      </c>
      <c r="C1823" s="14"/>
    </row>
    <row r="1824" spans="1:3" x14ac:dyDescent="0.25">
      <c r="A1824" s="388">
        <v>43918</v>
      </c>
      <c r="B1824" s="388" t="s">
        <v>3679</v>
      </c>
      <c r="C1824" s="14"/>
    </row>
    <row r="1825" spans="1:3" x14ac:dyDescent="0.25">
      <c r="A1825" s="388">
        <v>43918</v>
      </c>
      <c r="B1825" s="388" t="s">
        <v>3679</v>
      </c>
      <c r="C1825" s="14"/>
    </row>
    <row r="1826" spans="1:3" x14ac:dyDescent="0.25">
      <c r="A1826" s="388">
        <v>43918</v>
      </c>
      <c r="B1826" s="388" t="s">
        <v>3679</v>
      </c>
      <c r="C1826" s="14"/>
    </row>
    <row r="1827" spans="1:3" x14ac:dyDescent="0.25">
      <c r="A1827" s="388">
        <v>43918</v>
      </c>
      <c r="B1827" s="388" t="s">
        <v>3679</v>
      </c>
      <c r="C1827" s="14"/>
    </row>
    <row r="1828" spans="1:3" x14ac:dyDescent="0.25">
      <c r="A1828" s="388">
        <v>43918</v>
      </c>
      <c r="B1828" s="388" t="s">
        <v>3679</v>
      </c>
      <c r="C1828" s="14"/>
    </row>
    <row r="1829" spans="1:3" x14ac:dyDescent="0.25">
      <c r="A1829" s="388">
        <v>43918</v>
      </c>
      <c r="B1829" s="388" t="s">
        <v>3679</v>
      </c>
      <c r="C1829" s="14"/>
    </row>
    <row r="1830" spans="1:3" x14ac:dyDescent="0.25">
      <c r="A1830" s="388">
        <v>43918</v>
      </c>
      <c r="B1830" s="388" t="s">
        <v>3679</v>
      </c>
      <c r="C1830" s="14"/>
    </row>
    <row r="1831" spans="1:3" x14ac:dyDescent="0.25">
      <c r="A1831" s="388">
        <v>43918</v>
      </c>
      <c r="B1831" s="388" t="s">
        <v>3679</v>
      </c>
      <c r="C1831" s="14"/>
    </row>
    <row r="1832" spans="1:3" x14ac:dyDescent="0.25">
      <c r="A1832" s="388">
        <v>43918</v>
      </c>
      <c r="B1832" s="388" t="s">
        <v>3678</v>
      </c>
      <c r="C1832" s="14"/>
    </row>
    <row r="1833" spans="1:3" x14ac:dyDescent="0.25">
      <c r="A1833" s="388">
        <v>43918</v>
      </c>
      <c r="B1833" s="388" t="s">
        <v>3679</v>
      </c>
      <c r="C1833" s="14"/>
    </row>
    <row r="1834" spans="1:3" x14ac:dyDescent="0.25">
      <c r="A1834" s="388">
        <v>43918</v>
      </c>
      <c r="B1834" s="388" t="s">
        <v>3679</v>
      </c>
      <c r="C1834" s="14"/>
    </row>
    <row r="1835" spans="1:3" x14ac:dyDescent="0.25">
      <c r="A1835" s="388">
        <v>43918</v>
      </c>
      <c r="B1835" s="388" t="s">
        <v>3679</v>
      </c>
      <c r="C1835" s="14"/>
    </row>
    <row r="1836" spans="1:3" x14ac:dyDescent="0.25">
      <c r="A1836" s="388">
        <v>43918</v>
      </c>
      <c r="B1836" s="388" t="s">
        <v>3679</v>
      </c>
      <c r="C1836" s="14"/>
    </row>
    <row r="1837" spans="1:3" x14ac:dyDescent="0.25">
      <c r="A1837" s="388">
        <v>43918</v>
      </c>
      <c r="B1837" s="388" t="s">
        <v>3679</v>
      </c>
      <c r="C1837" s="14"/>
    </row>
    <row r="1838" spans="1:3" x14ac:dyDescent="0.25">
      <c r="A1838" s="388">
        <v>43918</v>
      </c>
      <c r="B1838" s="388" t="s">
        <v>3679</v>
      </c>
      <c r="C1838" s="14"/>
    </row>
    <row r="1839" spans="1:3" x14ac:dyDescent="0.25">
      <c r="A1839" s="388">
        <v>43918</v>
      </c>
      <c r="B1839" s="388" t="s">
        <v>3679</v>
      </c>
      <c r="C1839" s="14"/>
    </row>
    <row r="1840" spans="1:3" x14ac:dyDescent="0.25">
      <c r="A1840" s="388">
        <v>43918</v>
      </c>
      <c r="B1840" s="388" t="s">
        <v>3678</v>
      </c>
      <c r="C1840" s="14"/>
    </row>
    <row r="1841" spans="1:3" x14ac:dyDescent="0.25">
      <c r="A1841" s="388">
        <v>43918</v>
      </c>
      <c r="B1841" s="388" t="s">
        <v>3678</v>
      </c>
      <c r="C1841" s="14"/>
    </row>
    <row r="1842" spans="1:3" x14ac:dyDescent="0.25">
      <c r="A1842" s="388">
        <v>43918</v>
      </c>
      <c r="B1842" s="388" t="s">
        <v>3679</v>
      </c>
      <c r="C1842" s="14"/>
    </row>
    <row r="1843" spans="1:3" x14ac:dyDescent="0.25">
      <c r="A1843" s="388">
        <v>43918</v>
      </c>
      <c r="B1843" s="388" t="s">
        <v>3678</v>
      </c>
      <c r="C1843" s="14"/>
    </row>
    <row r="1844" spans="1:3" x14ac:dyDescent="0.25">
      <c r="A1844" s="388">
        <v>43918</v>
      </c>
      <c r="B1844" s="388" t="s">
        <v>3679</v>
      </c>
      <c r="C1844" s="14"/>
    </row>
    <row r="1845" spans="1:3" x14ac:dyDescent="0.25">
      <c r="A1845" s="388">
        <v>43918</v>
      </c>
      <c r="B1845" s="388" t="s">
        <v>3681</v>
      </c>
      <c r="C1845" s="14"/>
    </row>
    <row r="1846" spans="1:3" x14ac:dyDescent="0.25">
      <c r="A1846" s="388">
        <v>43918</v>
      </c>
      <c r="B1846" s="388" t="s">
        <v>3679</v>
      </c>
      <c r="C1846" s="14"/>
    </row>
    <row r="1847" spans="1:3" x14ac:dyDescent="0.25">
      <c r="A1847" s="388">
        <v>43918</v>
      </c>
      <c r="B1847" s="388" t="s">
        <v>3679</v>
      </c>
      <c r="C1847" s="14"/>
    </row>
    <row r="1848" spans="1:3" x14ac:dyDescent="0.25">
      <c r="A1848" s="388">
        <v>43918</v>
      </c>
      <c r="B1848" s="388" t="s">
        <v>3679</v>
      </c>
      <c r="C1848" s="14"/>
    </row>
    <row r="1849" spans="1:3" x14ac:dyDescent="0.25">
      <c r="A1849" s="388">
        <v>43918</v>
      </c>
      <c r="B1849" s="388" t="s">
        <v>3679</v>
      </c>
      <c r="C1849" s="14"/>
    </row>
    <row r="1850" spans="1:3" x14ac:dyDescent="0.25">
      <c r="A1850" s="388">
        <v>43918</v>
      </c>
      <c r="B1850" s="388" t="s">
        <v>3679</v>
      </c>
      <c r="C1850" s="14"/>
    </row>
    <row r="1851" spans="1:3" x14ac:dyDescent="0.25">
      <c r="A1851" s="388">
        <v>43918</v>
      </c>
      <c r="B1851" s="388" t="s">
        <v>3679</v>
      </c>
      <c r="C1851" s="14"/>
    </row>
    <row r="1852" spans="1:3" x14ac:dyDescent="0.25">
      <c r="A1852" s="388">
        <v>43918</v>
      </c>
      <c r="B1852" s="388" t="s">
        <v>3678</v>
      </c>
      <c r="C1852" s="14"/>
    </row>
    <row r="1853" spans="1:3" x14ac:dyDescent="0.25">
      <c r="A1853" s="388">
        <v>43918</v>
      </c>
      <c r="B1853" s="388" t="s">
        <v>3678</v>
      </c>
      <c r="C1853" s="14"/>
    </row>
    <row r="1854" spans="1:3" x14ac:dyDescent="0.25">
      <c r="A1854" s="388">
        <v>43918</v>
      </c>
      <c r="B1854" s="388" t="s">
        <v>3679</v>
      </c>
      <c r="C1854" s="14"/>
    </row>
    <row r="1855" spans="1:3" x14ac:dyDescent="0.25">
      <c r="A1855" s="388">
        <v>43918</v>
      </c>
      <c r="B1855" s="388" t="s">
        <v>3678</v>
      </c>
      <c r="C1855" s="14"/>
    </row>
    <row r="1856" spans="1:3" x14ac:dyDescent="0.25">
      <c r="A1856" s="388">
        <v>43918</v>
      </c>
      <c r="B1856" s="388" t="s">
        <v>3679</v>
      </c>
      <c r="C1856" s="14"/>
    </row>
    <row r="1857" spans="1:3" x14ac:dyDescent="0.25">
      <c r="A1857" s="388">
        <v>43918</v>
      </c>
      <c r="B1857" s="388" t="s">
        <v>3679</v>
      </c>
      <c r="C1857" s="14"/>
    </row>
    <row r="1858" spans="1:3" x14ac:dyDescent="0.25">
      <c r="A1858" s="388">
        <v>43918</v>
      </c>
      <c r="B1858" s="388" t="s">
        <v>3679</v>
      </c>
      <c r="C1858" s="14"/>
    </row>
    <row r="1859" spans="1:3" x14ac:dyDescent="0.25">
      <c r="A1859" s="388">
        <v>43918</v>
      </c>
      <c r="B1859" s="388" t="s">
        <v>3679</v>
      </c>
      <c r="C1859" s="14"/>
    </row>
    <row r="1860" spans="1:3" x14ac:dyDescent="0.25">
      <c r="A1860" s="388">
        <v>43918</v>
      </c>
      <c r="B1860" s="388" t="s">
        <v>3678</v>
      </c>
      <c r="C1860" s="14"/>
    </row>
    <row r="1861" spans="1:3" x14ac:dyDescent="0.25">
      <c r="A1861" s="388">
        <v>43918</v>
      </c>
      <c r="B1861" s="388" t="s">
        <v>3678</v>
      </c>
      <c r="C1861" s="14"/>
    </row>
    <row r="1862" spans="1:3" x14ac:dyDescent="0.25">
      <c r="A1862" s="388">
        <v>43918</v>
      </c>
      <c r="B1862" s="388" t="s">
        <v>3679</v>
      </c>
      <c r="C1862" s="14"/>
    </row>
    <row r="1863" spans="1:3" x14ac:dyDescent="0.25">
      <c r="A1863" s="388">
        <v>43918</v>
      </c>
      <c r="B1863" s="388" t="s">
        <v>3679</v>
      </c>
      <c r="C1863" s="14"/>
    </row>
    <row r="1864" spans="1:3" x14ac:dyDescent="0.25">
      <c r="A1864" s="388">
        <v>43918</v>
      </c>
      <c r="B1864" s="388" t="s">
        <v>3678</v>
      </c>
      <c r="C1864" s="14"/>
    </row>
    <row r="1865" spans="1:3" x14ac:dyDescent="0.25">
      <c r="A1865" s="388">
        <v>43918</v>
      </c>
      <c r="B1865" s="388" t="s">
        <v>3679</v>
      </c>
      <c r="C1865" s="14"/>
    </row>
    <row r="1866" spans="1:3" x14ac:dyDescent="0.25">
      <c r="A1866" s="388">
        <v>43918</v>
      </c>
      <c r="B1866" s="388" t="s">
        <v>3679</v>
      </c>
      <c r="C1866" s="14"/>
    </row>
    <row r="1867" spans="1:3" x14ac:dyDescent="0.25">
      <c r="A1867" s="388">
        <v>43918</v>
      </c>
      <c r="B1867" s="388" t="s">
        <v>3678</v>
      </c>
      <c r="C1867" s="14"/>
    </row>
    <row r="1868" spans="1:3" x14ac:dyDescent="0.25">
      <c r="A1868" s="388">
        <v>43918</v>
      </c>
      <c r="B1868" s="388" t="s">
        <v>3679</v>
      </c>
      <c r="C1868" s="14"/>
    </row>
    <row r="1869" spans="1:3" x14ac:dyDescent="0.25">
      <c r="A1869" s="388">
        <v>43918</v>
      </c>
      <c r="B1869" s="388" t="s">
        <v>3680</v>
      </c>
      <c r="C1869" s="14"/>
    </row>
    <row r="1870" spans="1:3" x14ac:dyDescent="0.25">
      <c r="A1870" s="388">
        <v>43918</v>
      </c>
      <c r="B1870" s="388" t="s">
        <v>3678</v>
      </c>
      <c r="C1870" s="14"/>
    </row>
    <row r="1871" spans="1:3" x14ac:dyDescent="0.25">
      <c r="A1871" s="388">
        <v>43918</v>
      </c>
      <c r="B1871" s="388" t="s">
        <v>3680</v>
      </c>
      <c r="C1871" s="14"/>
    </row>
    <row r="1872" spans="1:3" x14ac:dyDescent="0.25">
      <c r="A1872" s="388">
        <v>43918</v>
      </c>
      <c r="B1872" s="388" t="s">
        <v>3679</v>
      </c>
      <c r="C1872" s="14"/>
    </row>
    <row r="1873" spans="1:3" x14ac:dyDescent="0.25">
      <c r="A1873" s="388">
        <v>43918</v>
      </c>
      <c r="B1873" s="388" t="s">
        <v>3679</v>
      </c>
      <c r="C1873" s="14"/>
    </row>
    <row r="1874" spans="1:3" x14ac:dyDescent="0.25">
      <c r="A1874" s="388">
        <v>43918</v>
      </c>
      <c r="B1874" s="388" t="s">
        <v>3681</v>
      </c>
      <c r="C1874" s="14"/>
    </row>
    <row r="1875" spans="1:3" x14ac:dyDescent="0.25">
      <c r="A1875" s="388">
        <v>43918</v>
      </c>
      <c r="B1875" s="388" t="s">
        <v>3679</v>
      </c>
      <c r="C1875" s="14"/>
    </row>
    <row r="1876" spans="1:3" x14ac:dyDescent="0.25">
      <c r="A1876" s="388">
        <v>43918</v>
      </c>
      <c r="B1876" s="388" t="s">
        <v>3679</v>
      </c>
      <c r="C1876" s="14"/>
    </row>
    <row r="1877" spans="1:3" x14ac:dyDescent="0.25">
      <c r="A1877" s="388">
        <v>43918</v>
      </c>
      <c r="B1877" s="388" t="s">
        <v>3679</v>
      </c>
      <c r="C1877" s="14"/>
    </row>
    <row r="1878" spans="1:3" x14ac:dyDescent="0.25">
      <c r="A1878" s="388">
        <v>43918</v>
      </c>
      <c r="B1878" s="388" t="s">
        <v>3679</v>
      </c>
      <c r="C1878" s="14"/>
    </row>
    <row r="1879" spans="1:3" x14ac:dyDescent="0.25">
      <c r="A1879" s="388">
        <v>43918</v>
      </c>
      <c r="B1879" s="388" t="s">
        <v>3678</v>
      </c>
      <c r="C1879" s="14"/>
    </row>
    <row r="1880" spans="1:3" x14ac:dyDescent="0.25">
      <c r="A1880" s="388">
        <v>43918</v>
      </c>
      <c r="B1880" s="388" t="s">
        <v>3678</v>
      </c>
      <c r="C1880" s="14"/>
    </row>
    <row r="1881" spans="1:3" x14ac:dyDescent="0.25">
      <c r="A1881" s="388">
        <v>43918</v>
      </c>
      <c r="B1881" s="388" t="s">
        <v>3679</v>
      </c>
      <c r="C1881" s="14"/>
    </row>
    <row r="1882" spans="1:3" x14ac:dyDescent="0.25">
      <c r="A1882" s="388">
        <v>43918</v>
      </c>
      <c r="B1882" s="388" t="s">
        <v>3679</v>
      </c>
      <c r="C1882" s="14"/>
    </row>
    <row r="1883" spans="1:3" x14ac:dyDescent="0.25">
      <c r="A1883" s="388">
        <v>43918</v>
      </c>
      <c r="B1883" s="388" t="s">
        <v>3679</v>
      </c>
      <c r="C1883" s="14"/>
    </row>
    <row r="1884" spans="1:3" x14ac:dyDescent="0.25">
      <c r="A1884" s="388">
        <v>43919</v>
      </c>
      <c r="B1884" s="388" t="s">
        <v>3679</v>
      </c>
      <c r="C1884" s="14"/>
    </row>
    <row r="1885" spans="1:3" x14ac:dyDescent="0.25">
      <c r="A1885" s="388">
        <v>43919</v>
      </c>
      <c r="B1885" s="388" t="s">
        <v>3679</v>
      </c>
      <c r="C1885" s="14"/>
    </row>
    <row r="1886" spans="1:3" x14ac:dyDescent="0.25">
      <c r="A1886" s="388">
        <v>43919</v>
      </c>
      <c r="B1886" s="388" t="s">
        <v>3678</v>
      </c>
      <c r="C1886" s="14"/>
    </row>
    <row r="1887" spans="1:3" x14ac:dyDescent="0.25">
      <c r="A1887" s="388">
        <v>43919</v>
      </c>
      <c r="B1887" s="388" t="s">
        <v>3678</v>
      </c>
      <c r="C1887" s="14"/>
    </row>
    <row r="1888" spans="1:3" x14ac:dyDescent="0.25">
      <c r="A1888" s="388">
        <v>43919</v>
      </c>
      <c r="B1888" s="388" t="s">
        <v>3678</v>
      </c>
      <c r="C1888" s="14"/>
    </row>
    <row r="1889" spans="1:3" x14ac:dyDescent="0.25">
      <c r="A1889" s="388">
        <v>43919</v>
      </c>
      <c r="B1889" s="388" t="s">
        <v>3680</v>
      </c>
      <c r="C1889" s="14"/>
    </row>
    <row r="1890" spans="1:3" x14ac:dyDescent="0.25">
      <c r="A1890" s="388">
        <v>43919</v>
      </c>
      <c r="B1890" s="388" t="s">
        <v>3679</v>
      </c>
      <c r="C1890" s="14"/>
    </row>
    <row r="1891" spans="1:3" x14ac:dyDescent="0.25">
      <c r="A1891" s="388">
        <v>43919</v>
      </c>
      <c r="B1891" s="388" t="s">
        <v>3679</v>
      </c>
      <c r="C1891" s="14"/>
    </row>
    <row r="1892" spans="1:3" x14ac:dyDescent="0.25">
      <c r="A1892" s="388">
        <v>43919</v>
      </c>
      <c r="B1892" s="388" t="s">
        <v>3679</v>
      </c>
      <c r="C1892" s="14"/>
    </row>
    <row r="1893" spans="1:3" x14ac:dyDescent="0.25">
      <c r="A1893" s="388">
        <v>43919</v>
      </c>
      <c r="B1893" s="388" t="s">
        <v>3679</v>
      </c>
      <c r="C1893" s="14"/>
    </row>
    <row r="1894" spans="1:3" x14ac:dyDescent="0.25">
      <c r="A1894" s="388">
        <v>43919</v>
      </c>
      <c r="B1894" s="388" t="s">
        <v>3678</v>
      </c>
      <c r="C1894" s="14"/>
    </row>
    <row r="1895" spans="1:3" x14ac:dyDescent="0.25">
      <c r="A1895" s="388">
        <v>43919</v>
      </c>
      <c r="B1895" s="388" t="s">
        <v>3678</v>
      </c>
      <c r="C1895" s="14"/>
    </row>
    <row r="1896" spans="1:3" x14ac:dyDescent="0.25">
      <c r="A1896" s="388">
        <v>43919</v>
      </c>
      <c r="B1896" s="388" t="s">
        <v>3678</v>
      </c>
      <c r="C1896" s="14"/>
    </row>
    <row r="1897" spans="1:3" x14ac:dyDescent="0.25">
      <c r="A1897" s="388">
        <v>43919</v>
      </c>
      <c r="B1897" s="388" t="s">
        <v>3679</v>
      </c>
      <c r="C1897" s="14"/>
    </row>
    <row r="1898" spans="1:3" x14ac:dyDescent="0.25">
      <c r="A1898" s="388">
        <v>43919</v>
      </c>
      <c r="B1898" s="388" t="s">
        <v>3679</v>
      </c>
      <c r="C1898" s="14"/>
    </row>
    <row r="1899" spans="1:3" x14ac:dyDescent="0.25">
      <c r="A1899" s="388">
        <v>43919</v>
      </c>
      <c r="B1899" s="388" t="s">
        <v>3678</v>
      </c>
      <c r="C1899" s="14"/>
    </row>
    <row r="1900" spans="1:3" x14ac:dyDescent="0.25">
      <c r="A1900" s="388">
        <v>43919</v>
      </c>
      <c r="B1900" s="388" t="s">
        <v>3679</v>
      </c>
      <c r="C1900" s="14"/>
    </row>
    <row r="1901" spans="1:3" x14ac:dyDescent="0.25">
      <c r="A1901" s="388">
        <v>43919</v>
      </c>
      <c r="B1901" s="388" t="s">
        <v>3678</v>
      </c>
      <c r="C1901" s="14"/>
    </row>
    <row r="1902" spans="1:3" x14ac:dyDescent="0.25">
      <c r="A1902" s="388">
        <v>43919</v>
      </c>
      <c r="B1902" s="388" t="s">
        <v>3679</v>
      </c>
      <c r="C1902" s="14"/>
    </row>
    <row r="1903" spans="1:3" x14ac:dyDescent="0.25">
      <c r="A1903" s="388">
        <v>43919</v>
      </c>
      <c r="B1903" s="388" t="s">
        <v>3679</v>
      </c>
      <c r="C1903" s="14"/>
    </row>
    <row r="1904" spans="1:3" x14ac:dyDescent="0.25">
      <c r="A1904" s="388">
        <v>43919</v>
      </c>
      <c r="B1904" s="388" t="s">
        <v>3679</v>
      </c>
      <c r="C1904" s="14"/>
    </row>
    <row r="1905" spans="1:3" x14ac:dyDescent="0.25">
      <c r="A1905" s="388">
        <v>43919</v>
      </c>
      <c r="B1905" s="388" t="s">
        <v>3679</v>
      </c>
      <c r="C1905" s="14"/>
    </row>
    <row r="1906" spans="1:3" x14ac:dyDescent="0.25">
      <c r="A1906" s="388">
        <v>43919</v>
      </c>
      <c r="B1906" s="388" t="s">
        <v>3679</v>
      </c>
      <c r="C1906" s="14"/>
    </row>
    <row r="1907" spans="1:3" x14ac:dyDescent="0.25">
      <c r="A1907" s="388">
        <v>43919</v>
      </c>
      <c r="B1907" s="388" t="s">
        <v>3679</v>
      </c>
      <c r="C1907" s="14"/>
    </row>
    <row r="1908" spans="1:3" x14ac:dyDescent="0.25">
      <c r="A1908" s="388">
        <v>43919</v>
      </c>
      <c r="B1908" s="388" t="s">
        <v>3680</v>
      </c>
      <c r="C1908" s="14"/>
    </row>
    <row r="1909" spans="1:3" x14ac:dyDescent="0.25">
      <c r="A1909" s="388">
        <v>43919</v>
      </c>
      <c r="B1909" s="388" t="s">
        <v>3680</v>
      </c>
      <c r="C1909" s="14"/>
    </row>
    <row r="1910" spans="1:3" x14ac:dyDescent="0.25">
      <c r="A1910" s="388">
        <v>43919</v>
      </c>
      <c r="B1910" s="388" t="s">
        <v>3680</v>
      </c>
      <c r="C1910" s="14"/>
    </row>
    <row r="1911" spans="1:3" x14ac:dyDescent="0.25">
      <c r="A1911" s="388">
        <v>43919</v>
      </c>
      <c r="B1911" s="388" t="s">
        <v>3680</v>
      </c>
      <c r="C1911" s="14"/>
    </row>
    <row r="1912" spans="1:3" x14ac:dyDescent="0.25">
      <c r="A1912" s="388">
        <v>43919</v>
      </c>
      <c r="B1912" s="388" t="s">
        <v>3679</v>
      </c>
      <c r="C1912" s="14"/>
    </row>
    <row r="1913" spans="1:3" x14ac:dyDescent="0.25">
      <c r="A1913" s="388">
        <v>43919</v>
      </c>
      <c r="B1913" s="388" t="s">
        <v>3680</v>
      </c>
      <c r="C1913" s="14"/>
    </row>
    <row r="1914" spans="1:3" x14ac:dyDescent="0.25">
      <c r="A1914" s="388">
        <v>43919</v>
      </c>
      <c r="B1914" s="388" t="s">
        <v>3678</v>
      </c>
      <c r="C1914" s="14"/>
    </row>
    <row r="1915" spans="1:3" x14ac:dyDescent="0.25">
      <c r="A1915" s="388">
        <v>43919</v>
      </c>
      <c r="B1915" s="388" t="s">
        <v>3679</v>
      </c>
      <c r="C1915" s="14"/>
    </row>
    <row r="1916" spans="1:3" x14ac:dyDescent="0.25">
      <c r="A1916" s="388">
        <v>43919</v>
      </c>
      <c r="B1916" s="388" t="s">
        <v>3678</v>
      </c>
      <c r="C1916" s="14"/>
    </row>
    <row r="1917" spans="1:3" x14ac:dyDescent="0.25">
      <c r="A1917" s="388">
        <v>43919</v>
      </c>
      <c r="B1917" s="388" t="s">
        <v>3679</v>
      </c>
      <c r="C1917" s="14"/>
    </row>
    <row r="1918" spans="1:3" x14ac:dyDescent="0.25">
      <c r="A1918" s="388">
        <v>43919</v>
      </c>
      <c r="B1918" s="388" t="s">
        <v>3680</v>
      </c>
      <c r="C1918" s="14"/>
    </row>
    <row r="1919" spans="1:3" x14ac:dyDescent="0.25">
      <c r="A1919" s="388">
        <v>43919</v>
      </c>
      <c r="B1919" s="388" t="s">
        <v>3678</v>
      </c>
      <c r="C1919" s="14"/>
    </row>
    <row r="1920" spans="1:3" x14ac:dyDescent="0.25">
      <c r="A1920" s="388">
        <v>43919</v>
      </c>
      <c r="B1920" s="388" t="s">
        <v>3678</v>
      </c>
      <c r="C1920" s="14"/>
    </row>
    <row r="1921" spans="1:3" x14ac:dyDescent="0.25">
      <c r="A1921" s="388">
        <v>43919</v>
      </c>
      <c r="B1921" s="388" t="s">
        <v>3678</v>
      </c>
      <c r="C1921" s="14"/>
    </row>
    <row r="1922" spans="1:3" x14ac:dyDescent="0.25">
      <c r="A1922" s="388">
        <v>43919</v>
      </c>
      <c r="B1922" s="388" t="s">
        <v>3678</v>
      </c>
      <c r="C1922" s="14"/>
    </row>
    <row r="1923" spans="1:3" x14ac:dyDescent="0.25">
      <c r="A1923" s="388">
        <v>43919</v>
      </c>
      <c r="B1923" s="388" t="s">
        <v>3678</v>
      </c>
      <c r="C1923" s="14"/>
    </row>
    <row r="1924" spans="1:3" x14ac:dyDescent="0.25">
      <c r="A1924" s="388">
        <v>43919</v>
      </c>
      <c r="B1924" s="388" t="s">
        <v>3678</v>
      </c>
      <c r="C1924" s="14"/>
    </row>
    <row r="1925" spans="1:3" x14ac:dyDescent="0.25">
      <c r="A1925" s="388">
        <v>43919</v>
      </c>
      <c r="B1925" s="388" t="s">
        <v>3679</v>
      </c>
      <c r="C1925" s="14"/>
    </row>
    <row r="1926" spans="1:3" x14ac:dyDescent="0.25">
      <c r="A1926" s="388">
        <v>43919</v>
      </c>
      <c r="B1926" s="388" t="s">
        <v>3678</v>
      </c>
      <c r="C1926" s="14"/>
    </row>
    <row r="1927" spans="1:3" x14ac:dyDescent="0.25">
      <c r="A1927" s="388">
        <v>43919</v>
      </c>
      <c r="B1927" s="388" t="s">
        <v>3679</v>
      </c>
      <c r="C1927" s="14"/>
    </row>
    <row r="1928" spans="1:3" x14ac:dyDescent="0.25">
      <c r="A1928" s="388">
        <v>43919</v>
      </c>
      <c r="B1928" s="388" t="s">
        <v>3678</v>
      </c>
      <c r="C1928" s="14"/>
    </row>
    <row r="1929" spans="1:3" x14ac:dyDescent="0.25">
      <c r="A1929" s="388">
        <v>43919</v>
      </c>
      <c r="B1929" s="388" t="s">
        <v>3679</v>
      </c>
      <c r="C1929" s="14"/>
    </row>
    <row r="1930" spans="1:3" x14ac:dyDescent="0.25">
      <c r="A1930" s="388">
        <v>43919</v>
      </c>
      <c r="B1930" s="388" t="s">
        <v>3679</v>
      </c>
      <c r="C1930" s="14"/>
    </row>
    <row r="1931" spans="1:3" x14ac:dyDescent="0.25">
      <c r="A1931" s="388">
        <v>43919</v>
      </c>
      <c r="B1931" s="388" t="s">
        <v>3678</v>
      </c>
      <c r="C1931" s="14"/>
    </row>
    <row r="1932" spans="1:3" x14ac:dyDescent="0.25">
      <c r="A1932" s="388">
        <v>43919</v>
      </c>
      <c r="B1932" s="388" t="s">
        <v>3679</v>
      </c>
      <c r="C1932" s="14"/>
    </row>
    <row r="1933" spans="1:3" x14ac:dyDescent="0.25">
      <c r="A1933" s="388">
        <v>43919</v>
      </c>
      <c r="B1933" s="388" t="s">
        <v>3679</v>
      </c>
      <c r="C1933" s="14"/>
    </row>
    <row r="1934" spans="1:3" x14ac:dyDescent="0.25">
      <c r="A1934" s="388">
        <v>43919</v>
      </c>
      <c r="B1934" s="388" t="s">
        <v>3679</v>
      </c>
      <c r="C1934" s="14"/>
    </row>
    <row r="1935" spans="1:3" x14ac:dyDescent="0.25">
      <c r="A1935" s="388">
        <v>43919</v>
      </c>
      <c r="B1935" s="388" t="s">
        <v>3678</v>
      </c>
      <c r="C1935" s="14"/>
    </row>
    <row r="1936" spans="1:3" x14ac:dyDescent="0.25">
      <c r="A1936" s="388">
        <v>43919</v>
      </c>
      <c r="B1936" s="388" t="s">
        <v>3679</v>
      </c>
      <c r="C1936" s="14"/>
    </row>
    <row r="1937" spans="1:3" x14ac:dyDescent="0.25">
      <c r="A1937" s="388">
        <v>43919</v>
      </c>
      <c r="B1937" s="388" t="s">
        <v>3680</v>
      </c>
      <c r="C1937" s="14"/>
    </row>
    <row r="1938" spans="1:3" x14ac:dyDescent="0.25">
      <c r="A1938" s="388">
        <v>43919</v>
      </c>
      <c r="B1938" s="388" t="s">
        <v>3678</v>
      </c>
      <c r="C1938" s="14"/>
    </row>
    <row r="1939" spans="1:3" x14ac:dyDescent="0.25">
      <c r="A1939" s="388">
        <v>43919</v>
      </c>
      <c r="B1939" s="388" t="s">
        <v>3679</v>
      </c>
      <c r="C1939" s="14"/>
    </row>
    <row r="1940" spans="1:3" x14ac:dyDescent="0.25">
      <c r="A1940" s="388">
        <v>43919</v>
      </c>
      <c r="B1940" s="388" t="s">
        <v>3679</v>
      </c>
      <c r="C1940" s="14"/>
    </row>
    <row r="1941" spans="1:3" x14ac:dyDescent="0.25">
      <c r="A1941" s="388">
        <v>43919</v>
      </c>
      <c r="B1941" s="388" t="s">
        <v>3679</v>
      </c>
      <c r="C1941" s="14"/>
    </row>
    <row r="1942" spans="1:3" x14ac:dyDescent="0.25">
      <c r="A1942" s="388">
        <v>43919</v>
      </c>
      <c r="B1942" s="388" t="s">
        <v>3678</v>
      </c>
      <c r="C1942" s="14"/>
    </row>
    <row r="1943" spans="1:3" x14ac:dyDescent="0.25">
      <c r="A1943" s="388">
        <v>43919</v>
      </c>
      <c r="B1943" s="388" t="s">
        <v>3679</v>
      </c>
      <c r="C1943" s="14"/>
    </row>
    <row r="1944" spans="1:3" x14ac:dyDescent="0.25">
      <c r="A1944" s="388">
        <v>43919</v>
      </c>
      <c r="B1944" s="388" t="s">
        <v>3679</v>
      </c>
      <c r="C1944" s="14"/>
    </row>
    <row r="1945" spans="1:3" x14ac:dyDescent="0.25">
      <c r="A1945" s="388">
        <v>43919</v>
      </c>
      <c r="B1945" s="388" t="s">
        <v>3679</v>
      </c>
      <c r="C1945" s="14"/>
    </row>
    <row r="1946" spans="1:3" x14ac:dyDescent="0.25">
      <c r="A1946" s="388">
        <v>43919</v>
      </c>
      <c r="B1946" s="388" t="s">
        <v>3679</v>
      </c>
      <c r="C1946" s="14"/>
    </row>
    <row r="1947" spans="1:3" x14ac:dyDescent="0.25">
      <c r="A1947" s="388">
        <v>43919</v>
      </c>
      <c r="B1947" s="388" t="s">
        <v>3679</v>
      </c>
      <c r="C1947" s="14"/>
    </row>
    <row r="1948" spans="1:3" x14ac:dyDescent="0.25">
      <c r="A1948" s="388">
        <v>43919</v>
      </c>
      <c r="B1948" s="388" t="s">
        <v>3680</v>
      </c>
      <c r="C1948" s="14"/>
    </row>
    <row r="1949" spans="1:3" x14ac:dyDescent="0.25">
      <c r="A1949" s="388">
        <v>43919</v>
      </c>
      <c r="B1949" s="388" t="s">
        <v>3680</v>
      </c>
      <c r="C1949" s="14"/>
    </row>
    <row r="1950" spans="1:3" x14ac:dyDescent="0.25">
      <c r="A1950" s="388">
        <v>43919</v>
      </c>
      <c r="B1950" s="388" t="s">
        <v>3679</v>
      </c>
      <c r="C1950" s="14"/>
    </row>
    <row r="1951" spans="1:3" x14ac:dyDescent="0.25">
      <c r="A1951" s="388">
        <v>43919</v>
      </c>
      <c r="B1951" s="388" t="s">
        <v>3678</v>
      </c>
      <c r="C1951" s="14"/>
    </row>
    <row r="1952" spans="1:3" x14ac:dyDescent="0.25">
      <c r="A1952" s="388">
        <v>43919</v>
      </c>
      <c r="B1952" s="388" t="s">
        <v>3680</v>
      </c>
      <c r="C1952" s="14"/>
    </row>
    <row r="1953" spans="1:3" x14ac:dyDescent="0.25">
      <c r="A1953" s="388">
        <v>43919</v>
      </c>
      <c r="B1953" s="388" t="s">
        <v>3681</v>
      </c>
      <c r="C1953" s="14"/>
    </row>
    <row r="1954" spans="1:3" x14ac:dyDescent="0.25">
      <c r="A1954" s="388">
        <v>43919</v>
      </c>
      <c r="B1954" s="388" t="s">
        <v>3681</v>
      </c>
      <c r="C1954" s="14"/>
    </row>
    <row r="1955" spans="1:3" x14ac:dyDescent="0.25">
      <c r="A1955" s="388">
        <v>43919</v>
      </c>
      <c r="B1955" s="388" t="s">
        <v>3678</v>
      </c>
      <c r="C1955" s="14"/>
    </row>
    <row r="1956" spans="1:3" x14ac:dyDescent="0.25">
      <c r="A1956" s="388">
        <v>43919</v>
      </c>
      <c r="B1956" s="388" t="s">
        <v>3678</v>
      </c>
      <c r="C1956" s="14"/>
    </row>
    <row r="1957" spans="1:3" x14ac:dyDescent="0.25">
      <c r="A1957" s="388">
        <v>43919</v>
      </c>
      <c r="B1957" s="388" t="s">
        <v>3679</v>
      </c>
      <c r="C1957" s="14"/>
    </row>
    <row r="1958" spans="1:3" x14ac:dyDescent="0.25">
      <c r="A1958" s="388">
        <v>43919</v>
      </c>
      <c r="B1958" s="388" t="s">
        <v>3679</v>
      </c>
      <c r="C1958" s="14"/>
    </row>
    <row r="1959" spans="1:3" x14ac:dyDescent="0.25">
      <c r="A1959" s="388">
        <v>43919</v>
      </c>
      <c r="B1959" s="388" t="s">
        <v>3679</v>
      </c>
      <c r="C1959" s="14"/>
    </row>
    <row r="1960" spans="1:3" x14ac:dyDescent="0.25">
      <c r="A1960" s="388">
        <v>43919</v>
      </c>
      <c r="B1960" s="388" t="s">
        <v>3678</v>
      </c>
      <c r="C1960" s="14"/>
    </row>
    <row r="1961" spans="1:3" x14ac:dyDescent="0.25">
      <c r="A1961" s="388">
        <v>43919</v>
      </c>
      <c r="B1961" s="388" t="s">
        <v>3681</v>
      </c>
      <c r="C1961" s="14"/>
    </row>
    <row r="1962" spans="1:3" x14ac:dyDescent="0.25">
      <c r="A1962" s="388">
        <v>43919</v>
      </c>
      <c r="B1962" s="388" t="s">
        <v>3678</v>
      </c>
      <c r="C1962" s="14"/>
    </row>
    <row r="1963" spans="1:3" x14ac:dyDescent="0.25">
      <c r="A1963" s="388">
        <v>43919</v>
      </c>
      <c r="B1963" s="388" t="s">
        <v>3679</v>
      </c>
      <c r="C1963" s="14"/>
    </row>
    <row r="1964" spans="1:3" x14ac:dyDescent="0.25">
      <c r="A1964" s="388">
        <v>43919</v>
      </c>
      <c r="B1964" s="388" t="s">
        <v>3678</v>
      </c>
      <c r="C1964" s="14"/>
    </row>
    <row r="1965" spans="1:3" x14ac:dyDescent="0.25">
      <c r="A1965" s="388">
        <v>43919</v>
      </c>
      <c r="B1965" s="388" t="s">
        <v>3679</v>
      </c>
      <c r="C1965" s="14"/>
    </row>
    <row r="1966" spans="1:3" x14ac:dyDescent="0.25">
      <c r="A1966" s="388">
        <v>43919</v>
      </c>
      <c r="B1966" s="388" t="s">
        <v>3680</v>
      </c>
      <c r="C1966" s="14"/>
    </row>
    <row r="1967" spans="1:3" x14ac:dyDescent="0.25">
      <c r="A1967" s="388">
        <v>43919</v>
      </c>
      <c r="B1967" s="388" t="s">
        <v>3679</v>
      </c>
      <c r="C1967" s="14"/>
    </row>
    <row r="1968" spans="1:3" x14ac:dyDescent="0.25">
      <c r="A1968" s="388">
        <v>43919</v>
      </c>
      <c r="B1968" s="388" t="s">
        <v>3678</v>
      </c>
      <c r="C1968" s="14"/>
    </row>
    <row r="1969" spans="1:3" x14ac:dyDescent="0.25">
      <c r="A1969" s="388">
        <v>43919</v>
      </c>
      <c r="B1969" s="388" t="s">
        <v>3679</v>
      </c>
      <c r="C1969" s="14"/>
    </row>
    <row r="1970" spans="1:3" x14ac:dyDescent="0.25">
      <c r="A1970" s="388">
        <v>43919</v>
      </c>
      <c r="B1970" s="388" t="s">
        <v>3679</v>
      </c>
      <c r="C1970" s="14"/>
    </row>
    <row r="1971" spans="1:3" x14ac:dyDescent="0.25">
      <c r="A1971" s="388">
        <v>43919</v>
      </c>
      <c r="B1971" s="388" t="s">
        <v>3679</v>
      </c>
      <c r="C1971" s="14"/>
    </row>
    <row r="1972" spans="1:3" x14ac:dyDescent="0.25">
      <c r="A1972" s="388">
        <v>43919</v>
      </c>
      <c r="B1972" s="388" t="s">
        <v>3679</v>
      </c>
      <c r="C1972" s="14"/>
    </row>
    <row r="1973" spans="1:3" x14ac:dyDescent="0.25">
      <c r="A1973" s="388">
        <v>43919</v>
      </c>
      <c r="B1973" s="388" t="s">
        <v>3679</v>
      </c>
      <c r="C1973" s="14"/>
    </row>
    <row r="1974" spans="1:3" x14ac:dyDescent="0.25">
      <c r="A1974" s="388">
        <v>43919</v>
      </c>
      <c r="B1974" s="388" t="s">
        <v>3679</v>
      </c>
      <c r="C1974" s="14"/>
    </row>
    <row r="1975" spans="1:3" x14ac:dyDescent="0.25">
      <c r="A1975" s="388">
        <v>43919</v>
      </c>
      <c r="B1975" s="388" t="s">
        <v>3679</v>
      </c>
      <c r="C1975" s="14"/>
    </row>
    <row r="1976" spans="1:3" x14ac:dyDescent="0.25">
      <c r="A1976" s="388">
        <v>43919</v>
      </c>
      <c r="B1976" s="388" t="s">
        <v>3681</v>
      </c>
      <c r="C1976" s="14"/>
    </row>
    <row r="1977" spans="1:3" x14ac:dyDescent="0.25">
      <c r="A1977" s="388">
        <v>43919</v>
      </c>
      <c r="B1977" s="388" t="s">
        <v>3679</v>
      </c>
      <c r="C1977" s="14"/>
    </row>
    <row r="1978" spans="1:3" x14ac:dyDescent="0.25">
      <c r="A1978" s="388">
        <v>43919</v>
      </c>
      <c r="B1978" s="388" t="s">
        <v>3679</v>
      </c>
      <c r="C1978" s="14"/>
    </row>
    <row r="1979" spans="1:3" x14ac:dyDescent="0.25">
      <c r="A1979" s="388">
        <v>43919</v>
      </c>
      <c r="B1979" s="388" t="s">
        <v>3679</v>
      </c>
      <c r="C1979" s="14"/>
    </row>
    <row r="1980" spans="1:3" x14ac:dyDescent="0.25">
      <c r="A1980" s="388">
        <v>43919</v>
      </c>
      <c r="B1980" s="388" t="s">
        <v>3679</v>
      </c>
      <c r="C1980" s="14"/>
    </row>
    <row r="1981" spans="1:3" x14ac:dyDescent="0.25">
      <c r="A1981" s="388">
        <v>43919</v>
      </c>
      <c r="B1981" s="388" t="s">
        <v>3679</v>
      </c>
      <c r="C1981" s="14"/>
    </row>
    <row r="1982" spans="1:3" x14ac:dyDescent="0.25">
      <c r="A1982" s="388">
        <v>43919</v>
      </c>
      <c r="B1982" s="388" t="s">
        <v>3681</v>
      </c>
      <c r="C1982" s="14"/>
    </row>
    <row r="1983" spans="1:3" x14ac:dyDescent="0.25">
      <c r="A1983" s="388">
        <v>43919</v>
      </c>
      <c r="B1983" s="388" t="s">
        <v>3679</v>
      </c>
      <c r="C1983" s="14"/>
    </row>
    <row r="1984" spans="1:3" x14ac:dyDescent="0.25">
      <c r="A1984" s="388">
        <v>43919</v>
      </c>
      <c r="B1984" s="388" t="s">
        <v>3679</v>
      </c>
      <c r="C1984" s="14"/>
    </row>
    <row r="1985" spans="1:3" x14ac:dyDescent="0.25">
      <c r="A1985" s="388">
        <v>43919</v>
      </c>
      <c r="B1985" s="388" t="s">
        <v>3679</v>
      </c>
      <c r="C1985" s="14"/>
    </row>
    <row r="1986" spans="1:3" x14ac:dyDescent="0.25">
      <c r="A1986" s="388">
        <v>43919</v>
      </c>
      <c r="B1986" s="388" t="s">
        <v>3678</v>
      </c>
      <c r="C1986" s="14"/>
    </row>
    <row r="1987" spans="1:3" x14ac:dyDescent="0.25">
      <c r="A1987" s="388">
        <v>43919</v>
      </c>
      <c r="B1987" s="388" t="s">
        <v>3680</v>
      </c>
      <c r="C1987" s="14"/>
    </row>
    <row r="1988" spans="1:3" x14ac:dyDescent="0.25">
      <c r="A1988" s="388">
        <v>43919</v>
      </c>
      <c r="B1988" s="388" t="s">
        <v>3679</v>
      </c>
      <c r="C1988" s="14"/>
    </row>
    <row r="1989" spans="1:3" x14ac:dyDescent="0.25">
      <c r="A1989" s="388">
        <v>43919</v>
      </c>
      <c r="B1989" s="388" t="s">
        <v>3680</v>
      </c>
      <c r="C1989" s="14"/>
    </row>
    <row r="1990" spans="1:3" x14ac:dyDescent="0.25">
      <c r="A1990" s="388">
        <v>43919</v>
      </c>
      <c r="B1990" s="388" t="s">
        <v>3678</v>
      </c>
      <c r="C1990" s="14"/>
    </row>
    <row r="1991" spans="1:3" x14ac:dyDescent="0.25">
      <c r="A1991" s="388">
        <v>43919</v>
      </c>
      <c r="B1991" s="388" t="s">
        <v>3680</v>
      </c>
      <c r="C1991" s="14"/>
    </row>
    <row r="1992" spans="1:3" x14ac:dyDescent="0.25">
      <c r="A1992" s="388">
        <v>43919</v>
      </c>
      <c r="B1992" s="388" t="s">
        <v>3678</v>
      </c>
      <c r="C1992" s="14"/>
    </row>
    <row r="1993" spans="1:3" x14ac:dyDescent="0.25">
      <c r="A1993" s="388">
        <v>43919</v>
      </c>
      <c r="B1993" s="388" t="s">
        <v>3680</v>
      </c>
      <c r="C1993" s="14"/>
    </row>
    <row r="1994" spans="1:3" x14ac:dyDescent="0.25">
      <c r="A1994" s="388">
        <v>43919</v>
      </c>
      <c r="B1994" s="388" t="s">
        <v>3679</v>
      </c>
      <c r="C1994" s="14"/>
    </row>
    <row r="1995" spans="1:3" x14ac:dyDescent="0.25">
      <c r="A1995" s="388">
        <v>43919</v>
      </c>
      <c r="B1995" s="388" t="s">
        <v>3678</v>
      </c>
      <c r="C1995" s="14"/>
    </row>
    <row r="1996" spans="1:3" x14ac:dyDescent="0.25">
      <c r="A1996" s="388">
        <v>43919</v>
      </c>
      <c r="B1996" s="388" t="s">
        <v>3678</v>
      </c>
      <c r="C1996" s="14"/>
    </row>
    <row r="1997" spans="1:3" x14ac:dyDescent="0.25">
      <c r="A1997" s="388">
        <v>43919</v>
      </c>
      <c r="B1997" s="388" t="s">
        <v>3679</v>
      </c>
      <c r="C1997" s="14"/>
    </row>
    <row r="1998" spans="1:3" x14ac:dyDescent="0.25">
      <c r="A1998" s="388">
        <v>43919</v>
      </c>
      <c r="B1998" s="388" t="s">
        <v>3680</v>
      </c>
      <c r="C1998" s="14"/>
    </row>
    <row r="1999" spans="1:3" x14ac:dyDescent="0.25">
      <c r="A1999" s="388">
        <v>43919</v>
      </c>
      <c r="B1999" s="388" t="s">
        <v>3679</v>
      </c>
      <c r="C1999" s="14"/>
    </row>
    <row r="2000" spans="1:3" x14ac:dyDescent="0.25">
      <c r="A2000" s="388">
        <v>43919</v>
      </c>
      <c r="B2000" s="388" t="s">
        <v>3679</v>
      </c>
      <c r="C2000" s="14"/>
    </row>
    <row r="2001" spans="1:3" x14ac:dyDescent="0.25">
      <c r="A2001" s="388">
        <v>43919</v>
      </c>
      <c r="B2001" s="388" t="s">
        <v>3679</v>
      </c>
      <c r="C2001" s="14"/>
    </row>
    <row r="2002" spans="1:3" x14ac:dyDescent="0.25">
      <c r="A2002" s="388">
        <v>43920</v>
      </c>
      <c r="B2002" s="388" t="s">
        <v>3678</v>
      </c>
      <c r="C2002" s="14"/>
    </row>
    <row r="2003" spans="1:3" x14ac:dyDescent="0.25">
      <c r="A2003" s="388">
        <v>43920</v>
      </c>
      <c r="B2003" s="388" t="s">
        <v>3679</v>
      </c>
      <c r="C2003" s="14"/>
    </row>
    <row r="2004" spans="1:3" x14ac:dyDescent="0.25">
      <c r="A2004" s="388">
        <v>43920</v>
      </c>
      <c r="B2004" s="388" t="s">
        <v>3679</v>
      </c>
      <c r="C2004" s="14"/>
    </row>
    <row r="2005" spans="1:3" x14ac:dyDescent="0.25">
      <c r="A2005" s="388">
        <v>43920</v>
      </c>
      <c r="B2005" s="388" t="s">
        <v>3679</v>
      </c>
      <c r="C2005" s="14"/>
    </row>
    <row r="2006" spans="1:3" x14ac:dyDescent="0.25">
      <c r="A2006" s="388">
        <v>43920</v>
      </c>
      <c r="B2006" s="388" t="s">
        <v>3679</v>
      </c>
      <c r="C2006" s="14"/>
    </row>
    <row r="2007" spans="1:3" x14ac:dyDescent="0.25">
      <c r="A2007" s="388">
        <v>43920</v>
      </c>
      <c r="B2007" s="388" t="s">
        <v>3678</v>
      </c>
      <c r="C2007" s="14"/>
    </row>
    <row r="2008" spans="1:3" x14ac:dyDescent="0.25">
      <c r="A2008" s="388">
        <v>43920</v>
      </c>
      <c r="B2008" s="388" t="s">
        <v>3678</v>
      </c>
      <c r="C2008" s="14"/>
    </row>
    <row r="2009" spans="1:3" x14ac:dyDescent="0.25">
      <c r="A2009" s="388">
        <v>43920</v>
      </c>
      <c r="B2009" s="388" t="s">
        <v>3679</v>
      </c>
      <c r="C2009" s="14"/>
    </row>
    <row r="2010" spans="1:3" x14ac:dyDescent="0.25">
      <c r="A2010" s="388">
        <v>43920</v>
      </c>
      <c r="B2010" s="388" t="s">
        <v>3681</v>
      </c>
      <c r="C2010" s="14"/>
    </row>
    <row r="2011" spans="1:3" x14ac:dyDescent="0.25">
      <c r="A2011" s="388">
        <v>43920</v>
      </c>
      <c r="B2011" s="388" t="s">
        <v>3678</v>
      </c>
      <c r="C2011" s="14"/>
    </row>
    <row r="2012" spans="1:3" x14ac:dyDescent="0.25">
      <c r="A2012" s="388">
        <v>43920</v>
      </c>
      <c r="B2012" s="388" t="s">
        <v>3679</v>
      </c>
      <c r="C2012" s="14"/>
    </row>
    <row r="2013" spans="1:3" x14ac:dyDescent="0.25">
      <c r="A2013" s="388">
        <v>43920</v>
      </c>
      <c r="B2013" s="388" t="s">
        <v>3679</v>
      </c>
      <c r="C2013" s="14"/>
    </row>
    <row r="2014" spans="1:3" x14ac:dyDescent="0.25">
      <c r="A2014" s="388">
        <v>43920</v>
      </c>
      <c r="B2014" s="388" t="s">
        <v>3679</v>
      </c>
      <c r="C2014" s="14"/>
    </row>
    <row r="2015" spans="1:3" x14ac:dyDescent="0.25">
      <c r="A2015" s="388">
        <v>43920</v>
      </c>
      <c r="B2015" s="388" t="s">
        <v>3678</v>
      </c>
      <c r="C2015" s="14"/>
    </row>
    <row r="2016" spans="1:3" x14ac:dyDescent="0.25">
      <c r="A2016" s="388">
        <v>43920</v>
      </c>
      <c r="B2016" s="388" t="s">
        <v>3680</v>
      </c>
      <c r="C2016" s="14"/>
    </row>
    <row r="2017" spans="1:3" x14ac:dyDescent="0.25">
      <c r="A2017" s="388">
        <v>43920</v>
      </c>
      <c r="B2017" s="388" t="s">
        <v>3678</v>
      </c>
      <c r="C2017" s="14"/>
    </row>
    <row r="2018" spans="1:3" x14ac:dyDescent="0.25">
      <c r="A2018" s="388">
        <v>43920</v>
      </c>
      <c r="B2018" s="388" t="s">
        <v>3678</v>
      </c>
      <c r="C2018" s="14"/>
    </row>
    <row r="2019" spans="1:3" x14ac:dyDescent="0.25">
      <c r="A2019" s="388">
        <v>43920</v>
      </c>
      <c r="B2019" s="388" t="s">
        <v>3678</v>
      </c>
      <c r="C2019" s="14"/>
    </row>
    <row r="2020" spans="1:3" x14ac:dyDescent="0.25">
      <c r="A2020" s="388">
        <v>43920</v>
      </c>
      <c r="B2020" s="388" t="s">
        <v>3680</v>
      </c>
      <c r="C2020" s="14"/>
    </row>
    <row r="2021" spans="1:3" x14ac:dyDescent="0.25">
      <c r="A2021" s="388">
        <v>43920</v>
      </c>
      <c r="B2021" s="388" t="s">
        <v>3679</v>
      </c>
      <c r="C2021" s="14"/>
    </row>
    <row r="2022" spans="1:3" x14ac:dyDescent="0.25">
      <c r="A2022" s="388">
        <v>43920</v>
      </c>
      <c r="B2022" s="388" t="s">
        <v>3678</v>
      </c>
      <c r="C2022" s="14"/>
    </row>
    <row r="2023" spans="1:3" x14ac:dyDescent="0.25">
      <c r="A2023" s="388">
        <v>43920</v>
      </c>
      <c r="B2023" s="388" t="s">
        <v>3678</v>
      </c>
      <c r="C2023" s="14"/>
    </row>
    <row r="2024" spans="1:3" x14ac:dyDescent="0.25">
      <c r="A2024" s="388">
        <v>43920</v>
      </c>
      <c r="B2024" s="388" t="s">
        <v>3679</v>
      </c>
      <c r="C2024" s="14"/>
    </row>
    <row r="2025" spans="1:3" x14ac:dyDescent="0.25">
      <c r="A2025" s="388">
        <v>43920</v>
      </c>
      <c r="B2025" s="388" t="s">
        <v>3679</v>
      </c>
      <c r="C2025" s="14"/>
    </row>
    <row r="2026" spans="1:3" x14ac:dyDescent="0.25">
      <c r="A2026" s="388">
        <v>43920</v>
      </c>
      <c r="B2026" s="388" t="s">
        <v>3679</v>
      </c>
      <c r="C2026" s="14"/>
    </row>
    <row r="2027" spans="1:3" x14ac:dyDescent="0.25">
      <c r="A2027" s="388">
        <v>43920</v>
      </c>
      <c r="B2027" s="388" t="s">
        <v>3680</v>
      </c>
      <c r="C2027" s="14"/>
    </row>
    <row r="2028" spans="1:3" x14ac:dyDescent="0.25">
      <c r="A2028" s="388">
        <v>43920</v>
      </c>
      <c r="B2028" s="388" t="s">
        <v>3679</v>
      </c>
      <c r="C2028" s="14"/>
    </row>
    <row r="2029" spans="1:3" x14ac:dyDescent="0.25">
      <c r="A2029" s="388">
        <v>43920</v>
      </c>
      <c r="B2029" s="388" t="s">
        <v>3678</v>
      </c>
      <c r="C2029" s="14"/>
    </row>
    <row r="2030" spans="1:3" x14ac:dyDescent="0.25">
      <c r="A2030" s="388">
        <v>43920</v>
      </c>
      <c r="B2030" s="388" t="s">
        <v>3680</v>
      </c>
      <c r="C2030" s="14"/>
    </row>
    <row r="2031" spans="1:3" x14ac:dyDescent="0.25">
      <c r="A2031" s="388">
        <v>43920</v>
      </c>
      <c r="B2031" s="388" t="s">
        <v>3681</v>
      </c>
      <c r="C2031" s="14"/>
    </row>
    <row r="2032" spans="1:3" x14ac:dyDescent="0.25">
      <c r="A2032" s="388">
        <v>43920</v>
      </c>
      <c r="B2032" s="388" t="s">
        <v>3679</v>
      </c>
      <c r="C2032" s="14"/>
    </row>
    <row r="2033" spans="1:3" x14ac:dyDescent="0.25">
      <c r="A2033" s="388">
        <v>43920</v>
      </c>
      <c r="B2033" s="388" t="s">
        <v>3679</v>
      </c>
      <c r="C2033" s="14"/>
    </row>
    <row r="2034" spans="1:3" x14ac:dyDescent="0.25">
      <c r="A2034" s="388">
        <v>43920</v>
      </c>
      <c r="B2034" s="388" t="s">
        <v>3678</v>
      </c>
      <c r="C2034" s="14"/>
    </row>
    <row r="2035" spans="1:3" x14ac:dyDescent="0.25">
      <c r="A2035" s="388">
        <v>43920</v>
      </c>
      <c r="B2035" s="388" t="s">
        <v>3679</v>
      </c>
      <c r="C2035" s="14"/>
    </row>
    <row r="2036" spans="1:3" x14ac:dyDescent="0.25">
      <c r="A2036" s="388">
        <v>43920</v>
      </c>
      <c r="B2036" s="388" t="s">
        <v>3678</v>
      </c>
      <c r="C2036" s="14"/>
    </row>
    <row r="2037" spans="1:3" x14ac:dyDescent="0.25">
      <c r="A2037" s="388">
        <v>43920</v>
      </c>
      <c r="B2037" s="388" t="s">
        <v>3678</v>
      </c>
      <c r="C2037" s="14"/>
    </row>
    <row r="2038" spans="1:3" x14ac:dyDescent="0.25">
      <c r="A2038" s="388">
        <v>43920</v>
      </c>
      <c r="B2038" s="388" t="s">
        <v>3678</v>
      </c>
      <c r="C2038" s="14"/>
    </row>
    <row r="2039" spans="1:3" x14ac:dyDescent="0.25">
      <c r="A2039" s="388">
        <v>43920</v>
      </c>
      <c r="B2039" s="388" t="s">
        <v>3679</v>
      </c>
      <c r="C2039" s="14"/>
    </row>
    <row r="2040" spans="1:3" x14ac:dyDescent="0.25">
      <c r="A2040" s="388">
        <v>43920</v>
      </c>
      <c r="B2040" s="388" t="s">
        <v>3678</v>
      </c>
      <c r="C2040" s="14"/>
    </row>
    <row r="2041" spans="1:3" x14ac:dyDescent="0.25">
      <c r="A2041" s="388">
        <v>43920</v>
      </c>
      <c r="B2041" s="388" t="s">
        <v>3679</v>
      </c>
      <c r="C2041" s="14"/>
    </row>
    <row r="2042" spans="1:3" x14ac:dyDescent="0.25">
      <c r="A2042" s="388">
        <v>43920</v>
      </c>
      <c r="B2042" s="388" t="s">
        <v>3679</v>
      </c>
      <c r="C2042" s="14"/>
    </row>
    <row r="2043" spans="1:3" x14ac:dyDescent="0.25">
      <c r="A2043" s="388">
        <v>43920</v>
      </c>
      <c r="B2043" s="388" t="s">
        <v>3678</v>
      </c>
      <c r="C2043" s="14"/>
    </row>
    <row r="2044" spans="1:3" x14ac:dyDescent="0.25">
      <c r="A2044" s="388">
        <v>43920</v>
      </c>
      <c r="B2044" s="388" t="s">
        <v>3679</v>
      </c>
      <c r="C2044" s="14"/>
    </row>
    <row r="2045" spans="1:3" x14ac:dyDescent="0.25">
      <c r="A2045" s="388">
        <v>43920</v>
      </c>
      <c r="B2045" s="388" t="s">
        <v>3678</v>
      </c>
      <c r="C2045" s="14"/>
    </row>
    <row r="2046" spans="1:3" x14ac:dyDescent="0.25">
      <c r="A2046" s="388">
        <v>43920</v>
      </c>
      <c r="B2046" s="388" t="s">
        <v>3679</v>
      </c>
      <c r="C2046" s="14"/>
    </row>
    <row r="2047" spans="1:3" x14ac:dyDescent="0.25">
      <c r="A2047" s="388">
        <v>43920</v>
      </c>
      <c r="B2047" s="388" t="s">
        <v>3679</v>
      </c>
      <c r="C2047" s="14"/>
    </row>
    <row r="2048" spans="1:3" x14ac:dyDescent="0.25">
      <c r="A2048" s="388">
        <v>43920</v>
      </c>
      <c r="B2048" s="388" t="s">
        <v>3680</v>
      </c>
      <c r="C2048" s="14"/>
    </row>
    <row r="2049" spans="1:3" x14ac:dyDescent="0.25">
      <c r="A2049" s="388">
        <v>43920</v>
      </c>
      <c r="B2049" s="388" t="s">
        <v>3680</v>
      </c>
      <c r="C2049" s="14"/>
    </row>
    <row r="2050" spans="1:3" x14ac:dyDescent="0.25">
      <c r="A2050" s="388">
        <v>43920</v>
      </c>
      <c r="B2050" s="388" t="s">
        <v>3678</v>
      </c>
      <c r="C2050" s="14"/>
    </row>
    <row r="2051" spans="1:3" x14ac:dyDescent="0.25">
      <c r="A2051" s="388">
        <v>43920</v>
      </c>
      <c r="B2051" s="388" t="s">
        <v>3679</v>
      </c>
      <c r="C2051" s="14"/>
    </row>
    <row r="2052" spans="1:3" x14ac:dyDescent="0.25">
      <c r="A2052" s="388">
        <v>43920</v>
      </c>
      <c r="B2052" s="388" t="s">
        <v>3679</v>
      </c>
      <c r="C2052" s="14"/>
    </row>
    <row r="2053" spans="1:3" x14ac:dyDescent="0.25">
      <c r="A2053" s="388">
        <v>43920</v>
      </c>
      <c r="B2053" s="388" t="s">
        <v>3680</v>
      </c>
      <c r="C2053" s="14"/>
    </row>
    <row r="2054" spans="1:3" x14ac:dyDescent="0.25">
      <c r="A2054" s="388">
        <v>43920</v>
      </c>
      <c r="B2054" s="388" t="s">
        <v>3679</v>
      </c>
      <c r="C2054" s="14"/>
    </row>
    <row r="2055" spans="1:3" x14ac:dyDescent="0.25">
      <c r="A2055" s="388">
        <v>43920</v>
      </c>
      <c r="B2055" s="388" t="s">
        <v>3679</v>
      </c>
      <c r="C2055" s="14"/>
    </row>
    <row r="2056" spans="1:3" x14ac:dyDescent="0.25">
      <c r="A2056" s="388">
        <v>43920</v>
      </c>
      <c r="B2056" s="388" t="s">
        <v>3679</v>
      </c>
      <c r="C2056" s="14"/>
    </row>
    <row r="2057" spans="1:3" x14ac:dyDescent="0.25">
      <c r="A2057" s="388">
        <v>43920</v>
      </c>
      <c r="B2057" s="388" t="s">
        <v>3680</v>
      </c>
      <c r="C2057" s="14"/>
    </row>
    <row r="2058" spans="1:3" x14ac:dyDescent="0.25">
      <c r="A2058" s="388">
        <v>43920</v>
      </c>
      <c r="B2058" s="388" t="s">
        <v>3680</v>
      </c>
      <c r="C2058" s="14"/>
    </row>
    <row r="2059" spans="1:3" x14ac:dyDescent="0.25">
      <c r="A2059" s="388">
        <v>43920</v>
      </c>
      <c r="B2059" s="388" t="s">
        <v>3680</v>
      </c>
      <c r="C2059" s="14"/>
    </row>
    <row r="2060" spans="1:3" x14ac:dyDescent="0.25">
      <c r="A2060" s="388">
        <v>43920</v>
      </c>
      <c r="B2060" s="388" t="s">
        <v>3679</v>
      </c>
      <c r="C2060" s="14"/>
    </row>
    <row r="2061" spans="1:3" x14ac:dyDescent="0.25">
      <c r="A2061" s="388">
        <v>43920</v>
      </c>
      <c r="B2061" s="388" t="s">
        <v>3679</v>
      </c>
      <c r="C2061" s="14"/>
    </row>
    <row r="2062" spans="1:3" x14ac:dyDescent="0.25">
      <c r="A2062" s="388">
        <v>43920</v>
      </c>
      <c r="B2062" s="388" t="s">
        <v>3680</v>
      </c>
      <c r="C2062" s="14"/>
    </row>
    <row r="2063" spans="1:3" x14ac:dyDescent="0.25">
      <c r="A2063" s="388">
        <v>43920</v>
      </c>
      <c r="B2063" s="388" t="s">
        <v>3679</v>
      </c>
      <c r="C2063" s="14"/>
    </row>
    <row r="2064" spans="1:3" x14ac:dyDescent="0.25">
      <c r="A2064" s="388">
        <v>43920</v>
      </c>
      <c r="B2064" s="388" t="s">
        <v>3679</v>
      </c>
      <c r="C2064" s="14"/>
    </row>
    <row r="2065" spans="1:3" x14ac:dyDescent="0.25">
      <c r="A2065" s="388">
        <v>43920</v>
      </c>
      <c r="B2065" s="388" t="s">
        <v>3678</v>
      </c>
      <c r="C2065" s="14"/>
    </row>
    <row r="2066" spans="1:3" x14ac:dyDescent="0.25">
      <c r="A2066" s="388">
        <v>43920</v>
      </c>
      <c r="B2066" s="388" t="s">
        <v>3679</v>
      </c>
      <c r="C2066" s="14"/>
    </row>
    <row r="2067" spans="1:3" x14ac:dyDescent="0.25">
      <c r="A2067" s="388">
        <v>43920</v>
      </c>
      <c r="B2067" s="388" t="s">
        <v>3679</v>
      </c>
      <c r="C2067" s="14"/>
    </row>
    <row r="2068" spans="1:3" x14ac:dyDescent="0.25">
      <c r="A2068" s="388">
        <v>43920</v>
      </c>
      <c r="B2068" s="388" t="s">
        <v>3679</v>
      </c>
      <c r="C2068" s="14"/>
    </row>
    <row r="2069" spans="1:3" x14ac:dyDescent="0.25">
      <c r="A2069" s="388">
        <v>43920</v>
      </c>
      <c r="B2069" s="388" t="s">
        <v>3679</v>
      </c>
      <c r="C2069" s="14"/>
    </row>
    <row r="2070" spans="1:3" x14ac:dyDescent="0.25">
      <c r="A2070" s="388">
        <v>43920</v>
      </c>
      <c r="B2070" s="388" t="s">
        <v>3679</v>
      </c>
      <c r="C2070" s="14"/>
    </row>
    <row r="2071" spans="1:3" x14ac:dyDescent="0.25">
      <c r="A2071" s="388">
        <v>43920</v>
      </c>
      <c r="B2071" s="388" t="s">
        <v>3679</v>
      </c>
      <c r="C2071" s="14"/>
    </row>
    <row r="2072" spans="1:3" x14ac:dyDescent="0.25">
      <c r="A2072" s="388">
        <v>43920</v>
      </c>
      <c r="B2072" s="388" t="s">
        <v>3679</v>
      </c>
      <c r="C2072" s="14"/>
    </row>
    <row r="2073" spans="1:3" x14ac:dyDescent="0.25">
      <c r="A2073" s="388">
        <v>43920</v>
      </c>
      <c r="B2073" s="388" t="s">
        <v>3679</v>
      </c>
      <c r="C2073" s="14"/>
    </row>
    <row r="2074" spans="1:3" x14ac:dyDescent="0.25">
      <c r="A2074" s="388">
        <v>43920</v>
      </c>
      <c r="B2074" s="388" t="s">
        <v>3681</v>
      </c>
      <c r="C2074" s="14"/>
    </row>
    <row r="2075" spans="1:3" x14ac:dyDescent="0.25">
      <c r="A2075" s="388">
        <v>43920</v>
      </c>
      <c r="B2075" s="388" t="s">
        <v>3679</v>
      </c>
      <c r="C2075" s="14"/>
    </row>
    <row r="2076" spans="1:3" x14ac:dyDescent="0.25">
      <c r="A2076" s="388">
        <v>43920</v>
      </c>
      <c r="B2076" s="388" t="s">
        <v>3678</v>
      </c>
      <c r="C2076" s="14"/>
    </row>
    <row r="2077" spans="1:3" x14ac:dyDescent="0.25">
      <c r="A2077" s="388">
        <v>43920</v>
      </c>
      <c r="B2077" s="388" t="s">
        <v>3679</v>
      </c>
      <c r="C2077" s="14"/>
    </row>
    <row r="2078" spans="1:3" x14ac:dyDescent="0.25">
      <c r="A2078" s="388">
        <v>43920</v>
      </c>
      <c r="B2078" s="388" t="s">
        <v>3679</v>
      </c>
      <c r="C2078" s="14"/>
    </row>
    <row r="2079" spans="1:3" x14ac:dyDescent="0.25">
      <c r="A2079" s="388">
        <v>43920</v>
      </c>
      <c r="B2079" s="388" t="s">
        <v>3680</v>
      </c>
      <c r="C2079" s="14"/>
    </row>
    <row r="2080" spans="1:3" x14ac:dyDescent="0.25">
      <c r="A2080" s="388">
        <v>43921</v>
      </c>
      <c r="B2080" s="388" t="s">
        <v>3679</v>
      </c>
      <c r="C2080" s="14"/>
    </row>
    <row r="2081" spans="1:3" x14ac:dyDescent="0.25">
      <c r="A2081" s="388">
        <v>43921</v>
      </c>
      <c r="B2081" s="388" t="s">
        <v>3679</v>
      </c>
      <c r="C2081" s="14"/>
    </row>
    <row r="2082" spans="1:3" x14ac:dyDescent="0.25">
      <c r="A2082" s="388">
        <v>43921</v>
      </c>
      <c r="B2082" s="388" t="s">
        <v>3678</v>
      </c>
      <c r="C2082" s="14"/>
    </row>
    <row r="2083" spans="1:3" x14ac:dyDescent="0.25">
      <c r="A2083" s="388">
        <v>43921</v>
      </c>
      <c r="B2083" s="388" t="s">
        <v>3679</v>
      </c>
      <c r="C2083" s="14"/>
    </row>
    <row r="2084" spans="1:3" x14ac:dyDescent="0.25">
      <c r="A2084" s="388">
        <v>43921</v>
      </c>
      <c r="B2084" s="388" t="s">
        <v>3680</v>
      </c>
      <c r="C2084" s="14"/>
    </row>
    <row r="2085" spans="1:3" x14ac:dyDescent="0.25">
      <c r="A2085" s="388">
        <v>43921</v>
      </c>
      <c r="B2085" s="388" t="s">
        <v>3679</v>
      </c>
      <c r="C2085" s="14"/>
    </row>
    <row r="2086" spans="1:3" x14ac:dyDescent="0.25">
      <c r="A2086" s="388">
        <v>43921</v>
      </c>
      <c r="B2086" s="388" t="s">
        <v>3679</v>
      </c>
      <c r="C2086" s="14"/>
    </row>
    <row r="2087" spans="1:3" x14ac:dyDescent="0.25">
      <c r="A2087" s="388">
        <v>43921</v>
      </c>
      <c r="B2087" s="388" t="s">
        <v>3679</v>
      </c>
      <c r="C2087" s="14"/>
    </row>
    <row r="2088" spans="1:3" x14ac:dyDescent="0.25">
      <c r="A2088" s="388">
        <v>43921</v>
      </c>
      <c r="B2088" s="388" t="s">
        <v>3678</v>
      </c>
      <c r="C2088" s="14"/>
    </row>
    <row r="2089" spans="1:3" x14ac:dyDescent="0.25">
      <c r="A2089" s="388">
        <v>43921</v>
      </c>
      <c r="B2089" s="388" t="s">
        <v>3680</v>
      </c>
      <c r="C2089" s="14"/>
    </row>
    <row r="2090" spans="1:3" x14ac:dyDescent="0.25">
      <c r="A2090" s="388">
        <v>43921</v>
      </c>
      <c r="B2090" s="388" t="s">
        <v>3679</v>
      </c>
      <c r="C2090" s="14"/>
    </row>
    <row r="2091" spans="1:3" x14ac:dyDescent="0.25">
      <c r="A2091" s="388">
        <v>43921</v>
      </c>
      <c r="B2091" s="388" t="s">
        <v>3680</v>
      </c>
      <c r="C2091" s="14"/>
    </row>
    <row r="2092" spans="1:3" x14ac:dyDescent="0.25">
      <c r="A2092" s="388">
        <v>43921</v>
      </c>
      <c r="B2092" s="388" t="s">
        <v>3679</v>
      </c>
      <c r="C2092" s="14"/>
    </row>
    <row r="2093" spans="1:3" x14ac:dyDescent="0.25">
      <c r="A2093" s="388">
        <v>43921</v>
      </c>
      <c r="B2093" s="388" t="s">
        <v>3679</v>
      </c>
      <c r="C2093" s="14"/>
    </row>
    <row r="2094" spans="1:3" x14ac:dyDescent="0.25">
      <c r="A2094" s="388">
        <v>43921</v>
      </c>
      <c r="B2094" s="388" t="s">
        <v>3678</v>
      </c>
      <c r="C2094" s="14"/>
    </row>
    <row r="2095" spans="1:3" x14ac:dyDescent="0.25">
      <c r="A2095" s="388">
        <v>43921</v>
      </c>
      <c r="B2095" s="388" t="s">
        <v>3678</v>
      </c>
      <c r="C2095" s="14"/>
    </row>
    <row r="2096" spans="1:3" x14ac:dyDescent="0.25">
      <c r="A2096" s="388">
        <v>43921</v>
      </c>
      <c r="B2096" s="388" t="s">
        <v>3679</v>
      </c>
      <c r="C2096" s="14"/>
    </row>
    <row r="2097" spans="1:3" x14ac:dyDescent="0.25">
      <c r="A2097" s="388">
        <v>43921</v>
      </c>
      <c r="B2097" s="388" t="s">
        <v>3679</v>
      </c>
      <c r="C2097" s="14"/>
    </row>
    <row r="2098" spans="1:3" x14ac:dyDescent="0.25">
      <c r="A2098" s="388">
        <v>43921</v>
      </c>
      <c r="B2098" s="388" t="s">
        <v>3680</v>
      </c>
      <c r="C2098" s="14"/>
    </row>
    <row r="2099" spans="1:3" x14ac:dyDescent="0.25">
      <c r="A2099" s="388">
        <v>43921</v>
      </c>
      <c r="B2099" s="388" t="s">
        <v>3680</v>
      </c>
      <c r="C2099" s="14"/>
    </row>
    <row r="2100" spans="1:3" x14ac:dyDescent="0.25">
      <c r="A2100" s="388">
        <v>43921</v>
      </c>
      <c r="B2100" s="388" t="s">
        <v>3678</v>
      </c>
      <c r="C2100" s="14"/>
    </row>
    <row r="2101" spans="1:3" x14ac:dyDescent="0.25">
      <c r="A2101" s="388">
        <v>43921</v>
      </c>
      <c r="B2101" s="388" t="s">
        <v>3679</v>
      </c>
      <c r="C2101" s="14"/>
    </row>
    <row r="2102" spans="1:3" x14ac:dyDescent="0.25">
      <c r="A2102" s="388">
        <v>43921</v>
      </c>
      <c r="B2102" s="388" t="s">
        <v>3678</v>
      </c>
      <c r="C2102" s="14"/>
    </row>
    <row r="2103" spans="1:3" x14ac:dyDescent="0.25">
      <c r="A2103" s="388">
        <v>43921</v>
      </c>
      <c r="B2103" s="388" t="s">
        <v>3679</v>
      </c>
      <c r="C2103" s="14"/>
    </row>
    <row r="2104" spans="1:3" x14ac:dyDescent="0.25">
      <c r="A2104" s="388">
        <v>43921</v>
      </c>
      <c r="B2104" s="388" t="s">
        <v>3679</v>
      </c>
      <c r="C2104" s="14"/>
    </row>
    <row r="2105" spans="1:3" x14ac:dyDescent="0.25">
      <c r="A2105" s="388">
        <v>43921</v>
      </c>
      <c r="B2105" s="388" t="s">
        <v>3678</v>
      </c>
      <c r="C2105" s="14"/>
    </row>
    <row r="2106" spans="1:3" x14ac:dyDescent="0.25">
      <c r="A2106" s="388">
        <v>43921</v>
      </c>
      <c r="B2106" s="388" t="s">
        <v>3678</v>
      </c>
      <c r="C2106" s="14"/>
    </row>
    <row r="2107" spans="1:3" x14ac:dyDescent="0.25">
      <c r="A2107" s="388">
        <v>43921</v>
      </c>
      <c r="B2107" s="388" t="s">
        <v>3679</v>
      </c>
      <c r="C2107" s="14"/>
    </row>
    <row r="2108" spans="1:3" x14ac:dyDescent="0.25">
      <c r="A2108" s="388">
        <v>43921</v>
      </c>
      <c r="B2108" s="388" t="s">
        <v>3679</v>
      </c>
      <c r="C2108" s="14"/>
    </row>
    <row r="2109" spans="1:3" x14ac:dyDescent="0.25">
      <c r="A2109" s="388">
        <v>43921</v>
      </c>
      <c r="B2109" s="388" t="s">
        <v>3680</v>
      </c>
      <c r="C2109" s="14"/>
    </row>
    <row r="2110" spans="1:3" x14ac:dyDescent="0.25">
      <c r="A2110" s="388">
        <v>43921</v>
      </c>
      <c r="B2110" s="388" t="s">
        <v>3680</v>
      </c>
      <c r="C2110" s="14"/>
    </row>
    <row r="2111" spans="1:3" x14ac:dyDescent="0.25">
      <c r="A2111" s="388">
        <v>43921</v>
      </c>
      <c r="B2111" s="388" t="s">
        <v>3679</v>
      </c>
      <c r="C2111" s="14"/>
    </row>
    <row r="2112" spans="1:3" x14ac:dyDescent="0.25">
      <c r="A2112" s="388">
        <v>43921</v>
      </c>
      <c r="B2112" s="388" t="s">
        <v>3678</v>
      </c>
      <c r="C2112" s="14"/>
    </row>
    <row r="2113" spans="1:3" x14ac:dyDescent="0.25">
      <c r="A2113" s="388">
        <v>43921</v>
      </c>
      <c r="B2113" s="388" t="s">
        <v>3678</v>
      </c>
      <c r="C2113" s="14"/>
    </row>
    <row r="2114" spans="1:3" x14ac:dyDescent="0.25">
      <c r="A2114" s="388">
        <v>43921</v>
      </c>
      <c r="B2114" s="388" t="s">
        <v>3678</v>
      </c>
      <c r="C2114" s="14"/>
    </row>
    <row r="2115" spans="1:3" x14ac:dyDescent="0.25">
      <c r="A2115" s="388">
        <v>43921</v>
      </c>
      <c r="B2115" s="388" t="s">
        <v>3679</v>
      </c>
      <c r="C2115" s="14"/>
    </row>
    <row r="2116" spans="1:3" x14ac:dyDescent="0.25">
      <c r="A2116" s="388">
        <v>43921</v>
      </c>
      <c r="B2116" s="388" t="s">
        <v>3679</v>
      </c>
      <c r="C2116" s="14"/>
    </row>
    <row r="2117" spans="1:3" x14ac:dyDescent="0.25">
      <c r="A2117" s="388">
        <v>43921</v>
      </c>
      <c r="B2117" s="388" t="s">
        <v>3678</v>
      </c>
      <c r="C2117" s="14"/>
    </row>
    <row r="2118" spans="1:3" x14ac:dyDescent="0.25">
      <c r="A2118" s="388">
        <v>43921</v>
      </c>
      <c r="B2118" s="388" t="s">
        <v>3678</v>
      </c>
      <c r="C2118" s="14"/>
    </row>
    <row r="2119" spans="1:3" x14ac:dyDescent="0.25">
      <c r="A2119" s="388">
        <v>43921</v>
      </c>
      <c r="B2119" s="388" t="s">
        <v>3678</v>
      </c>
      <c r="C2119" s="14"/>
    </row>
    <row r="2120" spans="1:3" x14ac:dyDescent="0.25">
      <c r="A2120" s="388">
        <v>43921</v>
      </c>
      <c r="B2120" s="388" t="s">
        <v>3678</v>
      </c>
      <c r="C2120" s="14"/>
    </row>
    <row r="2121" spans="1:3" x14ac:dyDescent="0.25">
      <c r="A2121" s="388">
        <v>43921</v>
      </c>
      <c r="B2121" s="388" t="s">
        <v>3679</v>
      </c>
      <c r="C2121" s="14"/>
    </row>
    <row r="2122" spans="1:3" x14ac:dyDescent="0.25">
      <c r="A2122" s="388">
        <v>43921</v>
      </c>
      <c r="B2122" s="388" t="s">
        <v>3679</v>
      </c>
      <c r="C2122" s="14"/>
    </row>
    <row r="2123" spans="1:3" x14ac:dyDescent="0.25">
      <c r="A2123" s="388">
        <v>43921</v>
      </c>
      <c r="B2123" s="388" t="s">
        <v>3679</v>
      </c>
      <c r="C2123" s="14"/>
    </row>
    <row r="2124" spans="1:3" x14ac:dyDescent="0.25">
      <c r="A2124" s="388">
        <v>43921</v>
      </c>
      <c r="B2124" s="388" t="s">
        <v>3679</v>
      </c>
      <c r="C2124" s="14"/>
    </row>
    <row r="2125" spans="1:3" x14ac:dyDescent="0.25">
      <c r="A2125" s="388">
        <v>43921</v>
      </c>
      <c r="B2125" s="388" t="s">
        <v>3679</v>
      </c>
      <c r="C2125" s="14"/>
    </row>
    <row r="2126" spans="1:3" x14ac:dyDescent="0.25">
      <c r="A2126" s="388">
        <v>43921</v>
      </c>
      <c r="B2126" s="388" t="s">
        <v>3679</v>
      </c>
      <c r="C2126" s="14"/>
    </row>
    <row r="2127" spans="1:3" x14ac:dyDescent="0.25">
      <c r="A2127" s="388">
        <v>43921</v>
      </c>
      <c r="B2127" s="388" t="s">
        <v>3678</v>
      </c>
      <c r="C2127" s="14"/>
    </row>
    <row r="2128" spans="1:3" x14ac:dyDescent="0.25">
      <c r="A2128" s="388">
        <v>43921</v>
      </c>
      <c r="B2128" s="388" t="s">
        <v>3680</v>
      </c>
      <c r="C2128" s="14"/>
    </row>
    <row r="2129" spans="1:3" x14ac:dyDescent="0.25">
      <c r="A2129" s="388">
        <v>43921</v>
      </c>
      <c r="B2129" s="388" t="s">
        <v>3679</v>
      </c>
      <c r="C2129" s="14"/>
    </row>
    <row r="2130" spans="1:3" x14ac:dyDescent="0.25">
      <c r="A2130" s="388">
        <v>43921</v>
      </c>
      <c r="B2130" s="388" t="s">
        <v>3678</v>
      </c>
      <c r="C2130" s="14"/>
    </row>
    <row r="2131" spans="1:3" x14ac:dyDescent="0.25">
      <c r="A2131" s="388">
        <v>43921</v>
      </c>
      <c r="B2131" s="388" t="s">
        <v>3679</v>
      </c>
      <c r="C2131" s="14"/>
    </row>
    <row r="2132" spans="1:3" x14ac:dyDescent="0.25">
      <c r="A2132" s="388">
        <v>43921</v>
      </c>
      <c r="B2132" s="388" t="s">
        <v>3678</v>
      </c>
      <c r="C2132" s="14"/>
    </row>
    <row r="2133" spans="1:3" x14ac:dyDescent="0.25">
      <c r="A2133" s="388">
        <v>43921</v>
      </c>
      <c r="B2133" s="388" t="s">
        <v>3680</v>
      </c>
      <c r="C2133" s="14"/>
    </row>
    <row r="2134" spans="1:3" x14ac:dyDescent="0.25">
      <c r="A2134" s="388">
        <v>43921</v>
      </c>
      <c r="B2134" s="388" t="s">
        <v>3679</v>
      </c>
      <c r="C2134" s="14"/>
    </row>
    <row r="2135" spans="1:3" x14ac:dyDescent="0.25">
      <c r="A2135" s="388">
        <v>43921</v>
      </c>
      <c r="B2135" s="388" t="s">
        <v>3678</v>
      </c>
      <c r="C2135" s="14"/>
    </row>
    <row r="2136" spans="1:3" x14ac:dyDescent="0.25">
      <c r="A2136" s="388">
        <v>43921</v>
      </c>
      <c r="B2136" s="388" t="s">
        <v>3678</v>
      </c>
      <c r="C2136" s="14"/>
    </row>
    <row r="2137" spans="1:3" x14ac:dyDescent="0.25">
      <c r="A2137" s="388">
        <v>43921</v>
      </c>
      <c r="B2137" s="388" t="s">
        <v>3679</v>
      </c>
      <c r="C2137" s="14"/>
    </row>
    <row r="2138" spans="1:3" x14ac:dyDescent="0.25">
      <c r="A2138" s="388">
        <v>43921</v>
      </c>
      <c r="B2138" s="388" t="s">
        <v>3679</v>
      </c>
      <c r="C2138" s="14"/>
    </row>
    <row r="2139" spans="1:3" x14ac:dyDescent="0.25">
      <c r="A2139" s="388">
        <v>43921</v>
      </c>
      <c r="B2139" s="388" t="s">
        <v>3678</v>
      </c>
      <c r="C2139" s="14"/>
    </row>
    <row r="2140" spans="1:3" x14ac:dyDescent="0.25">
      <c r="A2140" s="388">
        <v>43921</v>
      </c>
      <c r="B2140" s="388" t="s">
        <v>3679</v>
      </c>
      <c r="C2140" s="14"/>
    </row>
    <row r="2141" spans="1:3" x14ac:dyDescent="0.25">
      <c r="A2141" s="388">
        <v>43921</v>
      </c>
      <c r="B2141" s="388" t="s">
        <v>3679</v>
      </c>
      <c r="C2141" s="14"/>
    </row>
    <row r="2142" spans="1:3" x14ac:dyDescent="0.25">
      <c r="A2142" s="388">
        <v>43921</v>
      </c>
      <c r="B2142" s="388" t="s">
        <v>3678</v>
      </c>
      <c r="C2142" s="14"/>
    </row>
    <row r="2143" spans="1:3" x14ac:dyDescent="0.25">
      <c r="A2143" s="388">
        <v>43921</v>
      </c>
      <c r="B2143" s="388" t="s">
        <v>3679</v>
      </c>
      <c r="C2143" s="14"/>
    </row>
    <row r="2144" spans="1:3" x14ac:dyDescent="0.25">
      <c r="A2144" s="388">
        <v>43921</v>
      </c>
      <c r="B2144" s="388" t="s">
        <v>3680</v>
      </c>
      <c r="C2144" s="14"/>
    </row>
    <row r="2145" spans="1:3" x14ac:dyDescent="0.25">
      <c r="A2145" s="388">
        <v>43921</v>
      </c>
      <c r="B2145" s="388" t="s">
        <v>3678</v>
      </c>
      <c r="C2145" s="14"/>
    </row>
    <row r="2146" spans="1:3" x14ac:dyDescent="0.25">
      <c r="A2146" s="388">
        <v>43921</v>
      </c>
      <c r="B2146" s="388" t="s">
        <v>3679</v>
      </c>
      <c r="C2146" s="14"/>
    </row>
    <row r="2147" spans="1:3" x14ac:dyDescent="0.25">
      <c r="A2147" s="388">
        <v>43921</v>
      </c>
      <c r="B2147" s="388" t="s">
        <v>3678</v>
      </c>
      <c r="C2147" s="14"/>
    </row>
    <row r="2148" spans="1:3" x14ac:dyDescent="0.25">
      <c r="A2148" s="388">
        <v>43921</v>
      </c>
      <c r="B2148" s="388" t="s">
        <v>3679</v>
      </c>
      <c r="C2148" s="14"/>
    </row>
    <row r="2149" spans="1:3" x14ac:dyDescent="0.25">
      <c r="A2149" s="388">
        <v>43921</v>
      </c>
      <c r="B2149" s="388" t="s">
        <v>3680</v>
      </c>
      <c r="C2149" s="14"/>
    </row>
    <row r="2150" spans="1:3" x14ac:dyDescent="0.25">
      <c r="A2150" s="388">
        <v>43921</v>
      </c>
      <c r="B2150" s="388" t="s">
        <v>3680</v>
      </c>
      <c r="C2150" s="14"/>
    </row>
    <row r="2151" spans="1:3" x14ac:dyDescent="0.25">
      <c r="A2151" s="388">
        <v>43921</v>
      </c>
      <c r="B2151" s="388" t="s">
        <v>3679</v>
      </c>
      <c r="C2151" s="14"/>
    </row>
    <row r="2152" spans="1:3" x14ac:dyDescent="0.25">
      <c r="A2152" s="388">
        <v>43921</v>
      </c>
      <c r="B2152" s="388" t="s">
        <v>3679</v>
      </c>
      <c r="C2152" s="14"/>
    </row>
    <row r="2153" spans="1:3" x14ac:dyDescent="0.25">
      <c r="A2153" s="388">
        <v>43921</v>
      </c>
      <c r="B2153" s="388" t="s">
        <v>3680</v>
      </c>
      <c r="C2153" s="14"/>
    </row>
    <row r="2154" spans="1:3" x14ac:dyDescent="0.25">
      <c r="A2154" s="388">
        <v>43921</v>
      </c>
      <c r="B2154" s="388" t="s">
        <v>3678</v>
      </c>
      <c r="C2154" s="14"/>
    </row>
    <row r="2155" spans="1:3" x14ac:dyDescent="0.25">
      <c r="A2155" s="388">
        <v>43921</v>
      </c>
      <c r="B2155" s="388" t="s">
        <v>3678</v>
      </c>
      <c r="C2155" s="14"/>
    </row>
    <row r="2156" spans="1:3" x14ac:dyDescent="0.25">
      <c r="A2156" s="388">
        <v>43921</v>
      </c>
      <c r="B2156" s="388" t="s">
        <v>3679</v>
      </c>
      <c r="C2156" s="14"/>
    </row>
    <row r="2157" spans="1:3" x14ac:dyDescent="0.25">
      <c r="A2157" s="388">
        <v>43921</v>
      </c>
      <c r="B2157" s="388" t="s">
        <v>3679</v>
      </c>
      <c r="C2157" s="14"/>
    </row>
    <row r="2158" spans="1:3" x14ac:dyDescent="0.25">
      <c r="A2158" s="388">
        <v>43921</v>
      </c>
      <c r="B2158" s="388" t="s">
        <v>3679</v>
      </c>
      <c r="C2158" s="14"/>
    </row>
    <row r="2159" spans="1:3" x14ac:dyDescent="0.25">
      <c r="A2159" s="388">
        <v>43921</v>
      </c>
      <c r="B2159" s="388" t="s">
        <v>3679</v>
      </c>
      <c r="C2159" s="14"/>
    </row>
    <row r="2160" spans="1:3" x14ac:dyDescent="0.25">
      <c r="A2160" s="388">
        <v>43921</v>
      </c>
      <c r="B2160" s="388" t="s">
        <v>3681</v>
      </c>
      <c r="C2160" s="14"/>
    </row>
    <row r="2161" spans="1:3" x14ac:dyDescent="0.25">
      <c r="A2161" s="388">
        <v>43921</v>
      </c>
      <c r="B2161" s="388" t="s">
        <v>3680</v>
      </c>
      <c r="C2161" s="14"/>
    </row>
    <row r="2162" spans="1:3" x14ac:dyDescent="0.25">
      <c r="A2162" s="388">
        <v>43921</v>
      </c>
      <c r="B2162" s="388" t="s">
        <v>3678</v>
      </c>
      <c r="C2162" s="14"/>
    </row>
    <row r="2163" spans="1:3" x14ac:dyDescent="0.25">
      <c r="A2163" s="388">
        <v>43921</v>
      </c>
      <c r="B2163" s="388" t="s">
        <v>3678</v>
      </c>
      <c r="C2163" s="14"/>
    </row>
    <row r="2164" spans="1:3" x14ac:dyDescent="0.25">
      <c r="A2164" s="388">
        <v>43921</v>
      </c>
      <c r="B2164" s="388" t="s">
        <v>3680</v>
      </c>
      <c r="C2164" s="14"/>
    </row>
    <row r="2165" spans="1:3" x14ac:dyDescent="0.25">
      <c r="A2165" s="388">
        <v>43921</v>
      </c>
      <c r="B2165" s="388" t="s">
        <v>3679</v>
      </c>
      <c r="C2165" s="14"/>
    </row>
    <row r="2166" spans="1:3" x14ac:dyDescent="0.25">
      <c r="A2166" s="388">
        <v>43921</v>
      </c>
      <c r="B2166" s="388" t="s">
        <v>3679</v>
      </c>
      <c r="C2166" s="14"/>
    </row>
    <row r="2167" spans="1:3" x14ac:dyDescent="0.25">
      <c r="A2167" s="388">
        <v>43921</v>
      </c>
      <c r="B2167" s="388" t="s">
        <v>3679</v>
      </c>
      <c r="C2167" s="14"/>
    </row>
    <row r="2168" spans="1:3" x14ac:dyDescent="0.25">
      <c r="A2168" s="388">
        <v>43921</v>
      </c>
      <c r="B2168" s="388" t="s">
        <v>3679</v>
      </c>
      <c r="C2168" s="14"/>
    </row>
    <row r="2169" spans="1:3" x14ac:dyDescent="0.25">
      <c r="A2169" s="388">
        <v>43921</v>
      </c>
      <c r="B2169" s="388" t="s">
        <v>3679</v>
      </c>
      <c r="C2169" s="14"/>
    </row>
    <row r="2170" spans="1:3" x14ac:dyDescent="0.25">
      <c r="A2170" s="388">
        <v>43921</v>
      </c>
      <c r="B2170" s="388" t="s">
        <v>3679</v>
      </c>
      <c r="C2170" s="14"/>
    </row>
    <row r="2171" spans="1:3" x14ac:dyDescent="0.25">
      <c r="A2171" s="388">
        <v>43921</v>
      </c>
      <c r="B2171" s="388" t="s">
        <v>3678</v>
      </c>
      <c r="C2171" s="14"/>
    </row>
    <row r="2172" spans="1:3" x14ac:dyDescent="0.25">
      <c r="A2172" s="388">
        <v>43921</v>
      </c>
      <c r="B2172" s="388" t="s">
        <v>3679</v>
      </c>
      <c r="C2172" s="14"/>
    </row>
    <row r="2173" spans="1:3" x14ac:dyDescent="0.25">
      <c r="A2173" s="388">
        <v>43921</v>
      </c>
      <c r="B2173" s="388" t="s">
        <v>3679</v>
      </c>
      <c r="C2173" s="14"/>
    </row>
    <row r="2174" spans="1:3" x14ac:dyDescent="0.25">
      <c r="A2174" s="388">
        <v>43921</v>
      </c>
      <c r="B2174" s="388" t="s">
        <v>3678</v>
      </c>
      <c r="C2174" s="14"/>
    </row>
    <row r="2175" spans="1:3" x14ac:dyDescent="0.25">
      <c r="A2175" s="388">
        <v>43921</v>
      </c>
      <c r="B2175" s="388" t="s">
        <v>3679</v>
      </c>
      <c r="C2175" s="14"/>
    </row>
    <row r="2176" spans="1:3" x14ac:dyDescent="0.25">
      <c r="A2176" s="388">
        <v>43921</v>
      </c>
      <c r="B2176" s="388" t="s">
        <v>3679</v>
      </c>
      <c r="C2176" s="14"/>
    </row>
    <row r="2177" spans="1:3" x14ac:dyDescent="0.25">
      <c r="A2177" s="388">
        <v>43921</v>
      </c>
      <c r="B2177" s="388" t="s">
        <v>3679</v>
      </c>
      <c r="C2177" s="14"/>
    </row>
    <row r="2178" spans="1:3" x14ac:dyDescent="0.25">
      <c r="A2178" s="388">
        <v>43921</v>
      </c>
      <c r="B2178" s="388" t="s">
        <v>3679</v>
      </c>
      <c r="C2178" s="14"/>
    </row>
    <row r="2179" spans="1:3" x14ac:dyDescent="0.25">
      <c r="A2179" s="388">
        <v>43921</v>
      </c>
      <c r="B2179" s="388" t="s">
        <v>3678</v>
      </c>
      <c r="C2179" s="14"/>
    </row>
    <row r="2180" spans="1:3" x14ac:dyDescent="0.25">
      <c r="A2180" s="388">
        <v>43921</v>
      </c>
      <c r="B2180" s="388" t="s">
        <v>3678</v>
      </c>
      <c r="C2180" s="14"/>
    </row>
    <row r="2181" spans="1:3" x14ac:dyDescent="0.25">
      <c r="A2181" s="388">
        <v>43921</v>
      </c>
      <c r="B2181" s="388" t="s">
        <v>3678</v>
      </c>
      <c r="C2181" s="14"/>
    </row>
    <row r="2182" spans="1:3" x14ac:dyDescent="0.25">
      <c r="A2182" s="388">
        <v>43921</v>
      </c>
      <c r="B2182" s="388" t="s">
        <v>3680</v>
      </c>
      <c r="C2182" s="14"/>
    </row>
    <row r="2183" spans="1:3" x14ac:dyDescent="0.25">
      <c r="A2183" s="388">
        <v>43921</v>
      </c>
      <c r="B2183" s="388" t="s">
        <v>3679</v>
      </c>
      <c r="C2183" s="14"/>
    </row>
    <row r="2184" spans="1:3" x14ac:dyDescent="0.25">
      <c r="A2184" s="388">
        <v>43921</v>
      </c>
      <c r="B2184" s="388" t="s">
        <v>3679</v>
      </c>
      <c r="C2184" s="14"/>
    </row>
    <row r="2185" spans="1:3" x14ac:dyDescent="0.25">
      <c r="A2185" s="388">
        <v>43921</v>
      </c>
      <c r="B2185" s="388" t="s">
        <v>3678</v>
      </c>
      <c r="C2185" s="14"/>
    </row>
    <row r="2186" spans="1:3" x14ac:dyDescent="0.25">
      <c r="A2186" s="388">
        <v>43921</v>
      </c>
      <c r="B2186" s="388" t="s">
        <v>3679</v>
      </c>
      <c r="C2186" s="14"/>
    </row>
    <row r="2187" spans="1:3" x14ac:dyDescent="0.25">
      <c r="A2187" s="388">
        <v>43921</v>
      </c>
      <c r="B2187" s="388" t="s">
        <v>3678</v>
      </c>
      <c r="C2187" s="14"/>
    </row>
    <row r="2188" spans="1:3" x14ac:dyDescent="0.25">
      <c r="A2188" s="388">
        <v>43921</v>
      </c>
      <c r="B2188" s="388" t="s">
        <v>3679</v>
      </c>
      <c r="C2188" s="14"/>
    </row>
    <row r="2189" spans="1:3" x14ac:dyDescent="0.25">
      <c r="A2189" s="388">
        <v>43921</v>
      </c>
      <c r="B2189" s="388" t="s">
        <v>3679</v>
      </c>
      <c r="C2189" s="14"/>
    </row>
    <row r="2190" spans="1:3" x14ac:dyDescent="0.25">
      <c r="A2190" s="388">
        <v>43921</v>
      </c>
      <c r="B2190" s="388" t="s">
        <v>3679</v>
      </c>
      <c r="C2190" s="14"/>
    </row>
    <row r="2191" spans="1:3" x14ac:dyDescent="0.25">
      <c r="A2191" s="388">
        <v>43921</v>
      </c>
      <c r="B2191" s="388" t="s">
        <v>3679</v>
      </c>
      <c r="C2191" s="14"/>
    </row>
    <row r="2192" spans="1:3" x14ac:dyDescent="0.25">
      <c r="A2192" s="388">
        <v>43921</v>
      </c>
      <c r="B2192" s="388" t="s">
        <v>3680</v>
      </c>
      <c r="C2192" s="14"/>
    </row>
    <row r="2193" spans="1:3" x14ac:dyDescent="0.25">
      <c r="A2193" s="388">
        <v>43921</v>
      </c>
      <c r="B2193" s="388" t="s">
        <v>3680</v>
      </c>
      <c r="C2193" s="14"/>
    </row>
    <row r="2194" spans="1:3" x14ac:dyDescent="0.25">
      <c r="A2194" s="388">
        <v>43921</v>
      </c>
      <c r="B2194" s="388" t="s">
        <v>3678</v>
      </c>
      <c r="C2194" s="14"/>
    </row>
    <row r="2195" spans="1:3" x14ac:dyDescent="0.25">
      <c r="A2195" s="388">
        <v>43921</v>
      </c>
      <c r="B2195" s="388" t="s">
        <v>3680</v>
      </c>
      <c r="C2195" s="14"/>
    </row>
    <row r="2196" spans="1:3" x14ac:dyDescent="0.25">
      <c r="A2196" s="388">
        <v>43921</v>
      </c>
      <c r="B2196" s="388" t="s">
        <v>3680</v>
      </c>
      <c r="C2196" s="14"/>
    </row>
    <row r="2197" spans="1:3" x14ac:dyDescent="0.25">
      <c r="A2197" s="388">
        <v>43921</v>
      </c>
      <c r="B2197" s="388" t="s">
        <v>3679</v>
      </c>
      <c r="C2197" s="14"/>
    </row>
    <row r="2198" spans="1:3" x14ac:dyDescent="0.25">
      <c r="A2198" s="388">
        <v>43921</v>
      </c>
      <c r="B2198" s="388" t="s">
        <v>3678</v>
      </c>
      <c r="C2198" s="14"/>
    </row>
    <row r="2199" spans="1:3" x14ac:dyDescent="0.25">
      <c r="A2199" s="388">
        <v>43921</v>
      </c>
      <c r="B2199" s="388" t="s">
        <v>3679</v>
      </c>
      <c r="C2199" s="14"/>
    </row>
    <row r="2200" spans="1:3" x14ac:dyDescent="0.25">
      <c r="A2200" s="388">
        <v>43921</v>
      </c>
      <c r="B2200" s="388" t="s">
        <v>3679</v>
      </c>
      <c r="C2200" s="14"/>
    </row>
    <row r="2201" spans="1:3" x14ac:dyDescent="0.25">
      <c r="A2201" s="388">
        <v>43921</v>
      </c>
      <c r="B2201" s="388" t="s">
        <v>3680</v>
      </c>
      <c r="C2201" s="14"/>
    </row>
    <row r="2202" spans="1:3" x14ac:dyDescent="0.25">
      <c r="A2202" s="388">
        <v>43921</v>
      </c>
      <c r="B2202" s="388" t="s">
        <v>3678</v>
      </c>
      <c r="C2202" s="14"/>
    </row>
    <row r="2203" spans="1:3" x14ac:dyDescent="0.25">
      <c r="A2203" s="388">
        <v>43922</v>
      </c>
      <c r="B2203" s="388" t="s">
        <v>3678</v>
      </c>
      <c r="C2203" s="14"/>
    </row>
    <row r="2204" spans="1:3" x14ac:dyDescent="0.25">
      <c r="A2204" s="388">
        <v>43922</v>
      </c>
      <c r="B2204" s="388" t="s">
        <v>3680</v>
      </c>
      <c r="C2204" s="14"/>
    </row>
    <row r="2205" spans="1:3" x14ac:dyDescent="0.25">
      <c r="A2205" s="388">
        <v>43922</v>
      </c>
      <c r="B2205" s="388" t="s">
        <v>3681</v>
      </c>
      <c r="C2205" s="14"/>
    </row>
    <row r="2206" spans="1:3" x14ac:dyDescent="0.25">
      <c r="A2206" s="388">
        <v>43922</v>
      </c>
      <c r="B2206" s="388" t="s">
        <v>3678</v>
      </c>
      <c r="C2206" s="14"/>
    </row>
    <row r="2207" spans="1:3" x14ac:dyDescent="0.25">
      <c r="A2207" s="388">
        <v>43922</v>
      </c>
      <c r="B2207" s="388" t="s">
        <v>3678</v>
      </c>
      <c r="C2207" s="14"/>
    </row>
    <row r="2208" spans="1:3" x14ac:dyDescent="0.25">
      <c r="A2208" s="388">
        <v>43922</v>
      </c>
      <c r="B2208" s="388" t="s">
        <v>3678</v>
      </c>
      <c r="C2208" s="14"/>
    </row>
    <row r="2209" spans="1:3" x14ac:dyDescent="0.25">
      <c r="A2209" s="388">
        <v>43922</v>
      </c>
      <c r="B2209" s="388" t="s">
        <v>3680</v>
      </c>
      <c r="C2209" s="14"/>
    </row>
    <row r="2210" spans="1:3" x14ac:dyDescent="0.25">
      <c r="A2210" s="388">
        <v>43922</v>
      </c>
      <c r="B2210" s="388" t="s">
        <v>3680</v>
      </c>
      <c r="C2210" s="14"/>
    </row>
    <row r="2211" spans="1:3" x14ac:dyDescent="0.25">
      <c r="A2211" s="388">
        <v>43922</v>
      </c>
      <c r="B2211" s="388" t="s">
        <v>3679</v>
      </c>
      <c r="C2211" s="14"/>
    </row>
    <row r="2212" spans="1:3" x14ac:dyDescent="0.25">
      <c r="A2212" s="388">
        <v>43922</v>
      </c>
      <c r="B2212" s="388" t="s">
        <v>3679</v>
      </c>
      <c r="C2212" s="14"/>
    </row>
    <row r="2213" spans="1:3" x14ac:dyDescent="0.25">
      <c r="A2213" s="388">
        <v>43922</v>
      </c>
      <c r="B2213" s="388" t="s">
        <v>3679</v>
      </c>
      <c r="C2213" s="14"/>
    </row>
    <row r="2214" spans="1:3" x14ac:dyDescent="0.25">
      <c r="A2214" s="388">
        <v>43922</v>
      </c>
      <c r="B2214" s="388" t="s">
        <v>3678</v>
      </c>
      <c r="C2214" s="14"/>
    </row>
    <row r="2215" spans="1:3" x14ac:dyDescent="0.25">
      <c r="A2215" s="388">
        <v>43922</v>
      </c>
      <c r="B2215" s="388" t="s">
        <v>3679</v>
      </c>
      <c r="C2215" s="14"/>
    </row>
    <row r="2216" spans="1:3" x14ac:dyDescent="0.25">
      <c r="A2216" s="388">
        <v>43922</v>
      </c>
      <c r="B2216" s="388" t="s">
        <v>3680</v>
      </c>
      <c r="C2216" s="14"/>
    </row>
    <row r="2217" spans="1:3" x14ac:dyDescent="0.25">
      <c r="A2217" s="388">
        <v>43922</v>
      </c>
      <c r="B2217" s="388" t="s">
        <v>3679</v>
      </c>
      <c r="C2217" s="14"/>
    </row>
    <row r="2218" spans="1:3" x14ac:dyDescent="0.25">
      <c r="A2218" s="388">
        <v>43922</v>
      </c>
      <c r="B2218" s="388" t="s">
        <v>3681</v>
      </c>
      <c r="C2218" s="14"/>
    </row>
    <row r="2219" spans="1:3" x14ac:dyDescent="0.25">
      <c r="A2219" s="388">
        <v>43922</v>
      </c>
      <c r="B2219" s="388" t="s">
        <v>3680</v>
      </c>
      <c r="C2219" s="14"/>
    </row>
    <row r="2220" spans="1:3" x14ac:dyDescent="0.25">
      <c r="A2220" s="388">
        <v>43922</v>
      </c>
      <c r="B2220" s="388" t="s">
        <v>3679</v>
      </c>
      <c r="C2220" s="14"/>
    </row>
    <row r="2221" spans="1:3" x14ac:dyDescent="0.25">
      <c r="A2221" s="388">
        <v>43922</v>
      </c>
      <c r="B2221" s="388" t="s">
        <v>3678</v>
      </c>
      <c r="C2221" s="14"/>
    </row>
    <row r="2222" spans="1:3" x14ac:dyDescent="0.25">
      <c r="A2222" s="388">
        <v>43922</v>
      </c>
      <c r="B2222" s="388" t="s">
        <v>3679</v>
      </c>
      <c r="C2222" s="14"/>
    </row>
    <row r="2223" spans="1:3" x14ac:dyDescent="0.25">
      <c r="A2223" s="388">
        <v>43922</v>
      </c>
      <c r="B2223" s="388" t="s">
        <v>3679</v>
      </c>
      <c r="C2223" s="14"/>
    </row>
    <row r="2224" spans="1:3" x14ac:dyDescent="0.25">
      <c r="A2224" s="388">
        <v>43922</v>
      </c>
      <c r="B2224" s="388" t="s">
        <v>3678</v>
      </c>
      <c r="C2224" s="14"/>
    </row>
    <row r="2225" spans="1:3" x14ac:dyDescent="0.25">
      <c r="A2225" s="388">
        <v>43922</v>
      </c>
      <c r="B2225" s="388" t="s">
        <v>3680</v>
      </c>
      <c r="C2225" s="14"/>
    </row>
    <row r="2226" spans="1:3" x14ac:dyDescent="0.25">
      <c r="A2226" s="388">
        <v>43922</v>
      </c>
      <c r="B2226" s="388" t="s">
        <v>3679</v>
      </c>
      <c r="C2226" s="14"/>
    </row>
    <row r="2227" spans="1:3" x14ac:dyDescent="0.25">
      <c r="A2227" s="388">
        <v>43922</v>
      </c>
      <c r="B2227" s="388" t="s">
        <v>3678</v>
      </c>
      <c r="C2227" s="14"/>
    </row>
    <row r="2228" spans="1:3" x14ac:dyDescent="0.25">
      <c r="A2228" s="388">
        <v>43922</v>
      </c>
      <c r="B2228" s="388" t="s">
        <v>3679</v>
      </c>
      <c r="C2228" s="14"/>
    </row>
    <row r="2229" spans="1:3" x14ac:dyDescent="0.25">
      <c r="A2229" s="388">
        <v>43922</v>
      </c>
      <c r="B2229" s="388" t="s">
        <v>3679</v>
      </c>
      <c r="C2229" s="14"/>
    </row>
    <row r="2230" spans="1:3" x14ac:dyDescent="0.25">
      <c r="A2230" s="388">
        <v>43922</v>
      </c>
      <c r="B2230" s="388" t="s">
        <v>3679</v>
      </c>
      <c r="C2230" s="14"/>
    </row>
    <row r="2231" spans="1:3" x14ac:dyDescent="0.25">
      <c r="A2231" s="388">
        <v>43922</v>
      </c>
      <c r="B2231" s="388" t="s">
        <v>3680</v>
      </c>
      <c r="C2231" s="14"/>
    </row>
    <row r="2232" spans="1:3" x14ac:dyDescent="0.25">
      <c r="A2232" s="388">
        <v>43922</v>
      </c>
      <c r="B2232" s="388" t="s">
        <v>3678</v>
      </c>
      <c r="C2232" s="14"/>
    </row>
    <row r="2233" spans="1:3" x14ac:dyDescent="0.25">
      <c r="A2233" s="388">
        <v>43922</v>
      </c>
      <c r="B2233" s="388" t="s">
        <v>3679</v>
      </c>
      <c r="C2233" s="14"/>
    </row>
    <row r="2234" spans="1:3" x14ac:dyDescent="0.25">
      <c r="A2234" s="388">
        <v>43922</v>
      </c>
      <c r="B2234" s="388" t="s">
        <v>3680</v>
      </c>
      <c r="C2234" s="14"/>
    </row>
    <row r="2235" spans="1:3" x14ac:dyDescent="0.25">
      <c r="A2235" s="388">
        <v>43922</v>
      </c>
      <c r="B2235" s="388" t="s">
        <v>3679</v>
      </c>
      <c r="C2235" s="14"/>
    </row>
    <row r="2236" spans="1:3" x14ac:dyDescent="0.25">
      <c r="A2236" s="388">
        <v>43922</v>
      </c>
      <c r="B2236" s="388" t="s">
        <v>3679</v>
      </c>
      <c r="C2236" s="14"/>
    </row>
    <row r="2237" spans="1:3" x14ac:dyDescent="0.25">
      <c r="A2237" s="388">
        <v>43922</v>
      </c>
      <c r="B2237" s="388" t="s">
        <v>3680</v>
      </c>
      <c r="C2237" s="14"/>
    </row>
    <row r="2238" spans="1:3" x14ac:dyDescent="0.25">
      <c r="A2238" s="388">
        <v>43922</v>
      </c>
      <c r="B2238" s="388" t="s">
        <v>3678</v>
      </c>
      <c r="C2238" s="14"/>
    </row>
    <row r="2239" spans="1:3" x14ac:dyDescent="0.25">
      <c r="A2239" s="388">
        <v>43922</v>
      </c>
      <c r="B2239" s="388" t="s">
        <v>3678</v>
      </c>
      <c r="C2239" s="14"/>
    </row>
    <row r="2240" spans="1:3" x14ac:dyDescent="0.25">
      <c r="A2240" s="388">
        <v>43922</v>
      </c>
      <c r="B2240" s="388" t="s">
        <v>3678</v>
      </c>
      <c r="C2240" s="14"/>
    </row>
    <row r="2241" spans="1:3" x14ac:dyDescent="0.25">
      <c r="A2241" s="388">
        <v>43922</v>
      </c>
      <c r="B2241" s="388" t="s">
        <v>3678</v>
      </c>
      <c r="C2241" s="14"/>
    </row>
    <row r="2242" spans="1:3" x14ac:dyDescent="0.25">
      <c r="A2242" s="388">
        <v>43922</v>
      </c>
      <c r="B2242" s="388" t="s">
        <v>3678</v>
      </c>
      <c r="C2242" s="14"/>
    </row>
    <row r="2243" spans="1:3" x14ac:dyDescent="0.25">
      <c r="A2243" s="388">
        <v>43922</v>
      </c>
      <c r="B2243" s="388" t="s">
        <v>3678</v>
      </c>
      <c r="C2243" s="14"/>
    </row>
    <row r="2244" spans="1:3" x14ac:dyDescent="0.25">
      <c r="A2244" s="388">
        <v>43922</v>
      </c>
      <c r="B2244" s="388" t="s">
        <v>3678</v>
      </c>
      <c r="C2244" s="14"/>
    </row>
    <row r="2245" spans="1:3" x14ac:dyDescent="0.25">
      <c r="A2245" s="388">
        <v>43922</v>
      </c>
      <c r="B2245" s="388" t="s">
        <v>3680</v>
      </c>
      <c r="C2245" s="14"/>
    </row>
    <row r="2246" spans="1:3" x14ac:dyDescent="0.25">
      <c r="A2246" s="388">
        <v>43922</v>
      </c>
      <c r="B2246" s="388" t="s">
        <v>3678</v>
      </c>
      <c r="C2246" s="14"/>
    </row>
    <row r="2247" spans="1:3" x14ac:dyDescent="0.25">
      <c r="A2247" s="388">
        <v>43922</v>
      </c>
      <c r="B2247" s="388" t="s">
        <v>3678</v>
      </c>
      <c r="C2247" s="14"/>
    </row>
    <row r="2248" spans="1:3" x14ac:dyDescent="0.25">
      <c r="A2248" s="388">
        <v>43922</v>
      </c>
      <c r="B2248" s="388" t="s">
        <v>3678</v>
      </c>
      <c r="C2248" s="14"/>
    </row>
    <row r="2249" spans="1:3" x14ac:dyDescent="0.25">
      <c r="A2249" s="388">
        <v>43922</v>
      </c>
      <c r="B2249" s="388" t="s">
        <v>3679</v>
      </c>
      <c r="C2249" s="14"/>
    </row>
    <row r="2250" spans="1:3" x14ac:dyDescent="0.25">
      <c r="A2250" s="388">
        <v>43922</v>
      </c>
      <c r="B2250" s="388" t="s">
        <v>3679</v>
      </c>
      <c r="C2250" s="14"/>
    </row>
    <row r="2251" spans="1:3" x14ac:dyDescent="0.25">
      <c r="A2251" s="388">
        <v>43922</v>
      </c>
      <c r="B2251" s="388" t="s">
        <v>3679</v>
      </c>
      <c r="C2251" s="14"/>
    </row>
    <row r="2252" spans="1:3" x14ac:dyDescent="0.25">
      <c r="A2252" s="388">
        <v>43922</v>
      </c>
      <c r="B2252" s="388" t="s">
        <v>3678</v>
      </c>
      <c r="C2252" s="14"/>
    </row>
    <row r="2253" spans="1:3" x14ac:dyDescent="0.25">
      <c r="A2253" s="388">
        <v>43922</v>
      </c>
      <c r="B2253" s="388" t="s">
        <v>3681</v>
      </c>
      <c r="C2253" s="14"/>
    </row>
    <row r="2254" spans="1:3" x14ac:dyDescent="0.25">
      <c r="A2254" s="388">
        <v>43922</v>
      </c>
      <c r="B2254" s="388" t="s">
        <v>3680</v>
      </c>
      <c r="C2254" s="14"/>
    </row>
    <row r="2255" spans="1:3" x14ac:dyDescent="0.25">
      <c r="A2255" s="388">
        <v>43922</v>
      </c>
      <c r="B2255" s="388" t="s">
        <v>3680</v>
      </c>
      <c r="C2255" s="14"/>
    </row>
    <row r="2256" spans="1:3" x14ac:dyDescent="0.25">
      <c r="A2256" s="388">
        <v>43922</v>
      </c>
      <c r="B2256" s="388" t="s">
        <v>3679</v>
      </c>
      <c r="C2256" s="14"/>
    </row>
    <row r="2257" spans="1:3" x14ac:dyDescent="0.25">
      <c r="A2257" s="388">
        <v>43922</v>
      </c>
      <c r="B2257" s="388" t="s">
        <v>3679</v>
      </c>
      <c r="C2257" s="14"/>
    </row>
    <row r="2258" spans="1:3" x14ac:dyDescent="0.25">
      <c r="A2258" s="388">
        <v>43922</v>
      </c>
      <c r="B2258" s="388" t="s">
        <v>3678</v>
      </c>
      <c r="C2258" s="14"/>
    </row>
    <row r="2259" spans="1:3" x14ac:dyDescent="0.25">
      <c r="A2259" s="388">
        <v>43922</v>
      </c>
      <c r="B2259" s="388" t="s">
        <v>3679</v>
      </c>
      <c r="C2259" s="14"/>
    </row>
    <row r="2260" spans="1:3" x14ac:dyDescent="0.25">
      <c r="A2260" s="388">
        <v>43922</v>
      </c>
      <c r="B2260" s="388" t="s">
        <v>3679</v>
      </c>
      <c r="C2260" s="14"/>
    </row>
    <row r="2261" spans="1:3" x14ac:dyDescent="0.25">
      <c r="A2261" s="388">
        <v>43922</v>
      </c>
      <c r="B2261" s="388" t="s">
        <v>3679</v>
      </c>
      <c r="C2261" s="14"/>
    </row>
    <row r="2262" spans="1:3" x14ac:dyDescent="0.25">
      <c r="A2262" s="388">
        <v>43922</v>
      </c>
      <c r="B2262" s="388" t="s">
        <v>3679</v>
      </c>
      <c r="C2262" s="14"/>
    </row>
    <row r="2263" spans="1:3" x14ac:dyDescent="0.25">
      <c r="A2263" s="388">
        <v>43922</v>
      </c>
      <c r="B2263" s="388" t="s">
        <v>3679</v>
      </c>
      <c r="C2263" s="14"/>
    </row>
    <row r="2264" spans="1:3" x14ac:dyDescent="0.25">
      <c r="A2264" s="388">
        <v>43922</v>
      </c>
      <c r="B2264" s="388" t="s">
        <v>3678</v>
      </c>
      <c r="C2264" s="14"/>
    </row>
    <row r="2265" spans="1:3" x14ac:dyDescent="0.25">
      <c r="A2265" s="388">
        <v>43922</v>
      </c>
      <c r="B2265" s="388" t="s">
        <v>3678</v>
      </c>
      <c r="C2265" s="14"/>
    </row>
    <row r="2266" spans="1:3" x14ac:dyDescent="0.25">
      <c r="A2266" s="388">
        <v>43922</v>
      </c>
      <c r="B2266" s="388" t="s">
        <v>3680</v>
      </c>
      <c r="C2266" s="14"/>
    </row>
    <row r="2267" spans="1:3" x14ac:dyDescent="0.25">
      <c r="A2267" s="388">
        <v>43922</v>
      </c>
      <c r="B2267" s="388" t="s">
        <v>3678</v>
      </c>
      <c r="C2267" s="14"/>
    </row>
    <row r="2268" spans="1:3" x14ac:dyDescent="0.25">
      <c r="A2268" s="388">
        <v>43922</v>
      </c>
      <c r="B2268" s="388" t="s">
        <v>3680</v>
      </c>
      <c r="C2268" s="14"/>
    </row>
    <row r="2269" spans="1:3" x14ac:dyDescent="0.25">
      <c r="A2269" s="388">
        <v>43922</v>
      </c>
      <c r="B2269" s="388" t="s">
        <v>3678</v>
      </c>
      <c r="C2269" s="14"/>
    </row>
    <row r="2270" spans="1:3" x14ac:dyDescent="0.25">
      <c r="A2270" s="388">
        <v>43922</v>
      </c>
      <c r="B2270" s="388" t="s">
        <v>3678</v>
      </c>
      <c r="C2270" s="14"/>
    </row>
    <row r="2271" spans="1:3" x14ac:dyDescent="0.25">
      <c r="A2271" s="388">
        <v>43922</v>
      </c>
      <c r="B2271" s="388" t="s">
        <v>3679</v>
      </c>
      <c r="C2271" s="14"/>
    </row>
    <row r="2272" spans="1:3" x14ac:dyDescent="0.25">
      <c r="A2272" s="388">
        <v>43922</v>
      </c>
      <c r="B2272" s="388" t="s">
        <v>3679</v>
      </c>
      <c r="C2272" s="14"/>
    </row>
    <row r="2273" spans="1:3" x14ac:dyDescent="0.25">
      <c r="A2273" s="388">
        <v>43922</v>
      </c>
      <c r="B2273" s="388" t="s">
        <v>3678</v>
      </c>
      <c r="C2273" s="14"/>
    </row>
    <row r="2274" spans="1:3" x14ac:dyDescent="0.25">
      <c r="A2274" s="388">
        <v>43922</v>
      </c>
      <c r="B2274" s="388" t="s">
        <v>3678</v>
      </c>
      <c r="C2274" s="14"/>
    </row>
    <row r="2275" spans="1:3" x14ac:dyDescent="0.25">
      <c r="A2275" s="388">
        <v>43922</v>
      </c>
      <c r="B2275" s="388" t="s">
        <v>3680</v>
      </c>
      <c r="C2275" s="14"/>
    </row>
    <row r="2276" spans="1:3" x14ac:dyDescent="0.25">
      <c r="A2276" s="388">
        <v>43922</v>
      </c>
      <c r="B2276" s="388" t="s">
        <v>3679</v>
      </c>
      <c r="C2276" s="14"/>
    </row>
    <row r="2277" spans="1:3" x14ac:dyDescent="0.25">
      <c r="A2277" s="388">
        <v>43922</v>
      </c>
      <c r="B2277" s="388" t="s">
        <v>3678</v>
      </c>
      <c r="C2277" s="14"/>
    </row>
    <row r="2278" spans="1:3" x14ac:dyDescent="0.25">
      <c r="A2278" s="388">
        <v>43922</v>
      </c>
      <c r="B2278" s="388" t="s">
        <v>3678</v>
      </c>
      <c r="C2278" s="14"/>
    </row>
    <row r="2279" spans="1:3" x14ac:dyDescent="0.25">
      <c r="A2279" s="388">
        <v>43922</v>
      </c>
      <c r="B2279" s="388" t="s">
        <v>3680</v>
      </c>
      <c r="C2279" s="14"/>
    </row>
    <row r="2280" spans="1:3" x14ac:dyDescent="0.25">
      <c r="A2280" s="388">
        <v>43922</v>
      </c>
      <c r="B2280" s="388" t="s">
        <v>3680</v>
      </c>
      <c r="C2280" s="14"/>
    </row>
    <row r="2281" spans="1:3" x14ac:dyDescent="0.25">
      <c r="A2281" s="388">
        <v>43922</v>
      </c>
      <c r="B2281" s="388" t="s">
        <v>3678</v>
      </c>
      <c r="C2281" s="14"/>
    </row>
    <row r="2282" spans="1:3" x14ac:dyDescent="0.25">
      <c r="A2282" s="388">
        <v>43922</v>
      </c>
      <c r="B2282" s="388" t="s">
        <v>3679</v>
      </c>
      <c r="C2282" s="14"/>
    </row>
    <row r="2283" spans="1:3" x14ac:dyDescent="0.25">
      <c r="A2283" s="388">
        <v>43922</v>
      </c>
      <c r="B2283" s="388" t="s">
        <v>3678</v>
      </c>
      <c r="C2283" s="14"/>
    </row>
    <row r="2284" spans="1:3" x14ac:dyDescent="0.25">
      <c r="A2284" s="388">
        <v>43922</v>
      </c>
      <c r="B2284" s="388" t="s">
        <v>3680</v>
      </c>
      <c r="C2284" s="14"/>
    </row>
    <row r="2285" spans="1:3" x14ac:dyDescent="0.25">
      <c r="A2285" s="388">
        <v>43922</v>
      </c>
      <c r="B2285" s="388" t="s">
        <v>3678</v>
      </c>
      <c r="C2285" s="14"/>
    </row>
    <row r="2286" spans="1:3" x14ac:dyDescent="0.25">
      <c r="A2286" s="388">
        <v>43922</v>
      </c>
      <c r="B2286" s="388" t="s">
        <v>3678</v>
      </c>
      <c r="C2286" s="14"/>
    </row>
    <row r="2287" spans="1:3" x14ac:dyDescent="0.25">
      <c r="A2287" s="388">
        <v>43922</v>
      </c>
      <c r="B2287" s="388" t="s">
        <v>3679</v>
      </c>
      <c r="C2287" s="14"/>
    </row>
    <row r="2288" spans="1:3" x14ac:dyDescent="0.25">
      <c r="A2288" s="388">
        <v>43922</v>
      </c>
      <c r="B2288" s="388" t="s">
        <v>3679</v>
      </c>
      <c r="C2288" s="14"/>
    </row>
    <row r="2289" spans="1:3" x14ac:dyDescent="0.25">
      <c r="A2289" s="388">
        <v>43922</v>
      </c>
      <c r="B2289" s="388" t="s">
        <v>3679</v>
      </c>
      <c r="C2289" s="14"/>
    </row>
    <row r="2290" spans="1:3" x14ac:dyDescent="0.25">
      <c r="A2290" s="388">
        <v>43922</v>
      </c>
      <c r="B2290" s="388" t="s">
        <v>3680</v>
      </c>
      <c r="C2290" s="14"/>
    </row>
    <row r="2291" spans="1:3" x14ac:dyDescent="0.25">
      <c r="A2291" s="388">
        <v>43922</v>
      </c>
      <c r="B2291" s="388" t="s">
        <v>3679</v>
      </c>
      <c r="C2291" s="14"/>
    </row>
    <row r="2292" spans="1:3" x14ac:dyDescent="0.25">
      <c r="A2292" s="388">
        <v>43922</v>
      </c>
      <c r="B2292" s="388" t="s">
        <v>3680</v>
      </c>
      <c r="C2292" s="14"/>
    </row>
    <row r="2293" spans="1:3" x14ac:dyDescent="0.25">
      <c r="A2293" s="388">
        <v>43922</v>
      </c>
      <c r="B2293" s="388" t="s">
        <v>3680</v>
      </c>
      <c r="C2293" s="14"/>
    </row>
    <row r="2294" spans="1:3" x14ac:dyDescent="0.25">
      <c r="A2294" s="388">
        <v>43922</v>
      </c>
      <c r="B2294" s="388" t="s">
        <v>3679</v>
      </c>
      <c r="C2294" s="14"/>
    </row>
    <row r="2295" spans="1:3" x14ac:dyDescent="0.25">
      <c r="A2295" s="388">
        <v>43922</v>
      </c>
      <c r="B2295" s="388" t="s">
        <v>3679</v>
      </c>
      <c r="C2295" s="14"/>
    </row>
    <row r="2296" spans="1:3" x14ac:dyDescent="0.25">
      <c r="A2296" s="388">
        <v>43922</v>
      </c>
      <c r="B2296" s="388" t="s">
        <v>3679</v>
      </c>
      <c r="C2296" s="14"/>
    </row>
    <row r="2297" spans="1:3" x14ac:dyDescent="0.25">
      <c r="A2297" s="388">
        <v>43922</v>
      </c>
      <c r="B2297" s="388" t="s">
        <v>3679</v>
      </c>
      <c r="C2297" s="14"/>
    </row>
    <row r="2298" spans="1:3" x14ac:dyDescent="0.25">
      <c r="A2298" s="388">
        <v>43922</v>
      </c>
      <c r="B2298" s="388" t="s">
        <v>3681</v>
      </c>
      <c r="C2298" s="14"/>
    </row>
    <row r="2299" spans="1:3" x14ac:dyDescent="0.25">
      <c r="A2299" s="388">
        <v>43922</v>
      </c>
      <c r="B2299" s="388" t="s">
        <v>3678</v>
      </c>
      <c r="C2299" s="14"/>
    </row>
    <row r="2300" spans="1:3" x14ac:dyDescent="0.25">
      <c r="A2300" s="388">
        <v>43922</v>
      </c>
      <c r="B2300" s="388" t="s">
        <v>3678</v>
      </c>
      <c r="C2300" s="14"/>
    </row>
    <row r="2301" spans="1:3" x14ac:dyDescent="0.25">
      <c r="A2301" s="388">
        <v>43922</v>
      </c>
      <c r="B2301" s="388" t="s">
        <v>3678</v>
      </c>
      <c r="C2301" s="14"/>
    </row>
    <row r="2302" spans="1:3" x14ac:dyDescent="0.25">
      <c r="A2302" s="388">
        <v>43922</v>
      </c>
      <c r="B2302" s="388" t="s">
        <v>3680</v>
      </c>
      <c r="C2302" s="14"/>
    </row>
    <row r="2303" spans="1:3" x14ac:dyDescent="0.25">
      <c r="A2303" s="388">
        <v>43922</v>
      </c>
      <c r="B2303" s="388" t="s">
        <v>3681</v>
      </c>
      <c r="C2303" s="14"/>
    </row>
    <row r="2304" spans="1:3" x14ac:dyDescent="0.25">
      <c r="A2304" s="388">
        <v>43922</v>
      </c>
      <c r="B2304" s="388" t="s">
        <v>3680</v>
      </c>
      <c r="C2304" s="14"/>
    </row>
    <row r="2305" spans="1:3" x14ac:dyDescent="0.25">
      <c r="A2305" s="388">
        <v>43922</v>
      </c>
      <c r="B2305" s="388" t="s">
        <v>3680</v>
      </c>
      <c r="C2305" s="14"/>
    </row>
    <row r="2306" spans="1:3" x14ac:dyDescent="0.25">
      <c r="A2306" s="388">
        <v>43922</v>
      </c>
      <c r="B2306" s="388" t="s">
        <v>3678</v>
      </c>
      <c r="C2306" s="14"/>
    </row>
    <row r="2307" spans="1:3" x14ac:dyDescent="0.25">
      <c r="A2307" s="388">
        <v>43922</v>
      </c>
      <c r="B2307" s="388" t="s">
        <v>3678</v>
      </c>
      <c r="C2307" s="14"/>
    </row>
    <row r="2308" spans="1:3" x14ac:dyDescent="0.25">
      <c r="A2308" s="388">
        <v>43922</v>
      </c>
      <c r="B2308" s="388" t="s">
        <v>3680</v>
      </c>
      <c r="C2308" s="14"/>
    </row>
    <row r="2309" spans="1:3" x14ac:dyDescent="0.25">
      <c r="A2309" s="388">
        <v>43922</v>
      </c>
      <c r="B2309" s="388" t="s">
        <v>3679</v>
      </c>
      <c r="C2309" s="14"/>
    </row>
    <row r="2310" spans="1:3" x14ac:dyDescent="0.25">
      <c r="A2310" s="388">
        <v>43922</v>
      </c>
      <c r="B2310" s="388" t="s">
        <v>3679</v>
      </c>
      <c r="C2310" s="14"/>
    </row>
    <row r="2311" spans="1:3" x14ac:dyDescent="0.25">
      <c r="A2311" s="388">
        <v>43922</v>
      </c>
      <c r="B2311" s="388" t="s">
        <v>3679</v>
      </c>
      <c r="C2311" s="14"/>
    </row>
    <row r="2312" spans="1:3" x14ac:dyDescent="0.25">
      <c r="A2312" s="388">
        <v>43922</v>
      </c>
      <c r="B2312" s="388" t="s">
        <v>3679</v>
      </c>
      <c r="C2312" s="14"/>
    </row>
    <row r="2313" spans="1:3" x14ac:dyDescent="0.25">
      <c r="A2313" s="388">
        <v>43922</v>
      </c>
      <c r="B2313" s="388" t="s">
        <v>3679</v>
      </c>
      <c r="C2313" s="14"/>
    </row>
    <row r="2314" spans="1:3" x14ac:dyDescent="0.25">
      <c r="A2314" s="388">
        <v>43922</v>
      </c>
      <c r="B2314" s="388" t="s">
        <v>3680</v>
      </c>
      <c r="C2314" s="14"/>
    </row>
    <row r="2315" spans="1:3" x14ac:dyDescent="0.25">
      <c r="A2315" s="388">
        <v>43922</v>
      </c>
      <c r="B2315" s="388" t="s">
        <v>3680</v>
      </c>
      <c r="C2315" s="14"/>
    </row>
    <row r="2316" spans="1:3" x14ac:dyDescent="0.25">
      <c r="A2316" s="388">
        <v>43922</v>
      </c>
      <c r="B2316" s="388" t="s">
        <v>3679</v>
      </c>
      <c r="C2316" s="14"/>
    </row>
    <row r="2317" spans="1:3" x14ac:dyDescent="0.25">
      <c r="A2317" s="388">
        <v>43922</v>
      </c>
      <c r="B2317" s="388" t="s">
        <v>3678</v>
      </c>
      <c r="C2317" s="14"/>
    </row>
    <row r="2318" spans="1:3" x14ac:dyDescent="0.25">
      <c r="A2318" s="388">
        <v>43923</v>
      </c>
      <c r="B2318" s="388" t="s">
        <v>3679</v>
      </c>
      <c r="C2318" s="14"/>
    </row>
    <row r="2319" spans="1:3" x14ac:dyDescent="0.25">
      <c r="A2319" s="388">
        <v>43923</v>
      </c>
      <c r="B2319" s="388" t="s">
        <v>3680</v>
      </c>
      <c r="C2319" s="14"/>
    </row>
    <row r="2320" spans="1:3" x14ac:dyDescent="0.25">
      <c r="A2320" s="388">
        <v>43923</v>
      </c>
      <c r="B2320" s="388" t="s">
        <v>3679</v>
      </c>
      <c r="C2320" s="14"/>
    </row>
    <row r="2321" spans="1:3" x14ac:dyDescent="0.25">
      <c r="A2321" s="388">
        <v>43923</v>
      </c>
      <c r="B2321" s="388" t="s">
        <v>3678</v>
      </c>
      <c r="C2321" s="14"/>
    </row>
    <row r="2322" spans="1:3" x14ac:dyDescent="0.25">
      <c r="A2322" s="388">
        <v>43923</v>
      </c>
      <c r="B2322" s="388" t="s">
        <v>3679</v>
      </c>
      <c r="C2322" s="14"/>
    </row>
    <row r="2323" spans="1:3" x14ac:dyDescent="0.25">
      <c r="A2323" s="388">
        <v>43923</v>
      </c>
      <c r="B2323" s="388" t="s">
        <v>3680</v>
      </c>
      <c r="C2323" s="14"/>
    </row>
    <row r="2324" spans="1:3" x14ac:dyDescent="0.25">
      <c r="A2324" s="388">
        <v>43923</v>
      </c>
      <c r="B2324" s="388" t="s">
        <v>3678</v>
      </c>
      <c r="C2324" s="14"/>
    </row>
    <row r="2325" spans="1:3" x14ac:dyDescent="0.25">
      <c r="A2325" s="388">
        <v>43923</v>
      </c>
      <c r="B2325" s="388" t="s">
        <v>3679</v>
      </c>
      <c r="C2325" s="14"/>
    </row>
    <row r="2326" spans="1:3" x14ac:dyDescent="0.25">
      <c r="A2326" s="388">
        <v>43923</v>
      </c>
      <c r="B2326" s="388" t="s">
        <v>3680</v>
      </c>
      <c r="C2326" s="14"/>
    </row>
    <row r="2327" spans="1:3" x14ac:dyDescent="0.25">
      <c r="A2327" s="388">
        <v>43923</v>
      </c>
      <c r="B2327" s="388" t="s">
        <v>3679</v>
      </c>
      <c r="C2327" s="14"/>
    </row>
    <row r="2328" spans="1:3" x14ac:dyDescent="0.25">
      <c r="A2328" s="388">
        <v>43923</v>
      </c>
      <c r="B2328" s="388" t="s">
        <v>3679</v>
      </c>
      <c r="C2328" s="14"/>
    </row>
    <row r="2329" spans="1:3" x14ac:dyDescent="0.25">
      <c r="A2329" s="388">
        <v>43923</v>
      </c>
      <c r="B2329" s="388" t="s">
        <v>3680</v>
      </c>
      <c r="C2329" s="14"/>
    </row>
    <row r="2330" spans="1:3" x14ac:dyDescent="0.25">
      <c r="A2330" s="388">
        <v>43923</v>
      </c>
      <c r="B2330" s="388" t="s">
        <v>3679</v>
      </c>
      <c r="C2330" s="14"/>
    </row>
    <row r="2331" spans="1:3" x14ac:dyDescent="0.25">
      <c r="A2331" s="388">
        <v>43923</v>
      </c>
      <c r="B2331" s="388" t="s">
        <v>3680</v>
      </c>
      <c r="C2331" s="14"/>
    </row>
    <row r="2332" spans="1:3" x14ac:dyDescent="0.25">
      <c r="A2332" s="388">
        <v>43923</v>
      </c>
      <c r="B2332" s="388" t="s">
        <v>3680</v>
      </c>
      <c r="C2332" s="14"/>
    </row>
    <row r="2333" spans="1:3" x14ac:dyDescent="0.25">
      <c r="A2333" s="388">
        <v>43923</v>
      </c>
      <c r="B2333" s="388" t="s">
        <v>3679</v>
      </c>
      <c r="C2333" s="14"/>
    </row>
    <row r="2334" spans="1:3" x14ac:dyDescent="0.25">
      <c r="A2334" s="388">
        <v>43923</v>
      </c>
      <c r="B2334" s="388" t="s">
        <v>3678</v>
      </c>
      <c r="C2334" s="14"/>
    </row>
    <row r="2335" spans="1:3" x14ac:dyDescent="0.25">
      <c r="A2335" s="388">
        <v>43923</v>
      </c>
      <c r="B2335" s="388" t="s">
        <v>3680</v>
      </c>
      <c r="C2335" s="14"/>
    </row>
    <row r="2336" spans="1:3" x14ac:dyDescent="0.25">
      <c r="A2336" s="388">
        <v>43923</v>
      </c>
      <c r="B2336" s="388" t="s">
        <v>3680</v>
      </c>
      <c r="C2336" s="14"/>
    </row>
    <row r="2337" spans="1:3" x14ac:dyDescent="0.25">
      <c r="A2337" s="388">
        <v>43923</v>
      </c>
      <c r="B2337" s="388" t="s">
        <v>3679</v>
      </c>
      <c r="C2337" s="14"/>
    </row>
    <row r="2338" spans="1:3" x14ac:dyDescent="0.25">
      <c r="A2338" s="388">
        <v>43923</v>
      </c>
      <c r="B2338" s="388" t="s">
        <v>3679</v>
      </c>
      <c r="C2338" s="14"/>
    </row>
    <row r="2339" spans="1:3" x14ac:dyDescent="0.25">
      <c r="A2339" s="388">
        <v>43923</v>
      </c>
      <c r="B2339" s="388" t="s">
        <v>3679</v>
      </c>
      <c r="C2339" s="14"/>
    </row>
    <row r="2340" spans="1:3" x14ac:dyDescent="0.25">
      <c r="A2340" s="388">
        <v>43923</v>
      </c>
      <c r="B2340" s="388" t="s">
        <v>3679</v>
      </c>
      <c r="C2340" s="14"/>
    </row>
    <row r="2341" spans="1:3" x14ac:dyDescent="0.25">
      <c r="A2341" s="388">
        <v>43923</v>
      </c>
      <c r="B2341" s="388" t="s">
        <v>3679</v>
      </c>
      <c r="C2341" s="14"/>
    </row>
    <row r="2342" spans="1:3" x14ac:dyDescent="0.25">
      <c r="A2342" s="388">
        <v>43923</v>
      </c>
      <c r="B2342" s="388" t="s">
        <v>3680</v>
      </c>
      <c r="C2342" s="14"/>
    </row>
    <row r="2343" spans="1:3" x14ac:dyDescent="0.25">
      <c r="A2343" s="388">
        <v>43923</v>
      </c>
      <c r="B2343" s="388" t="s">
        <v>3679</v>
      </c>
      <c r="C2343" s="14"/>
    </row>
    <row r="2344" spans="1:3" x14ac:dyDescent="0.25">
      <c r="A2344" s="388">
        <v>43923</v>
      </c>
      <c r="B2344" s="388" t="s">
        <v>3678</v>
      </c>
      <c r="C2344" s="14"/>
    </row>
    <row r="2345" spans="1:3" x14ac:dyDescent="0.25">
      <c r="A2345" s="388">
        <v>43923</v>
      </c>
      <c r="B2345" s="388" t="s">
        <v>3681</v>
      </c>
      <c r="C2345" s="14"/>
    </row>
    <row r="2346" spans="1:3" x14ac:dyDescent="0.25">
      <c r="A2346" s="388">
        <v>43923</v>
      </c>
      <c r="B2346" s="388" t="s">
        <v>3680</v>
      </c>
      <c r="C2346" s="14"/>
    </row>
    <row r="2347" spans="1:3" x14ac:dyDescent="0.25">
      <c r="A2347" s="388">
        <v>43923</v>
      </c>
      <c r="B2347" s="388" t="s">
        <v>3679</v>
      </c>
      <c r="C2347" s="14"/>
    </row>
    <row r="2348" spans="1:3" x14ac:dyDescent="0.25">
      <c r="A2348" s="388">
        <v>43923</v>
      </c>
      <c r="B2348" s="388" t="s">
        <v>3681</v>
      </c>
      <c r="C2348" s="14"/>
    </row>
    <row r="2349" spans="1:3" x14ac:dyDescent="0.25">
      <c r="A2349" s="388">
        <v>43923</v>
      </c>
      <c r="B2349" s="388" t="s">
        <v>3680</v>
      </c>
      <c r="C2349" s="14"/>
    </row>
    <row r="2350" spans="1:3" x14ac:dyDescent="0.25">
      <c r="A2350" s="388">
        <v>43923</v>
      </c>
      <c r="B2350" s="388" t="s">
        <v>3679</v>
      </c>
      <c r="C2350" s="14"/>
    </row>
    <row r="2351" spans="1:3" x14ac:dyDescent="0.25">
      <c r="A2351" s="388">
        <v>43923</v>
      </c>
      <c r="B2351" s="388" t="s">
        <v>3678</v>
      </c>
      <c r="C2351" s="14"/>
    </row>
    <row r="2352" spans="1:3" x14ac:dyDescent="0.25">
      <c r="A2352" s="388">
        <v>43923</v>
      </c>
      <c r="B2352" s="388" t="s">
        <v>3678</v>
      </c>
      <c r="C2352" s="14"/>
    </row>
    <row r="2353" spans="1:3" x14ac:dyDescent="0.25">
      <c r="A2353" s="388">
        <v>43923</v>
      </c>
      <c r="B2353" s="388" t="s">
        <v>3679</v>
      </c>
      <c r="C2353" s="14"/>
    </row>
    <row r="2354" spans="1:3" x14ac:dyDescent="0.25">
      <c r="A2354" s="388">
        <v>43923</v>
      </c>
      <c r="B2354" s="388" t="s">
        <v>3679</v>
      </c>
      <c r="C2354" s="14"/>
    </row>
    <row r="2355" spans="1:3" x14ac:dyDescent="0.25">
      <c r="A2355" s="388">
        <v>43923</v>
      </c>
      <c r="B2355" s="388" t="s">
        <v>3680</v>
      </c>
      <c r="C2355" s="14"/>
    </row>
    <row r="2356" spans="1:3" x14ac:dyDescent="0.25">
      <c r="A2356" s="388">
        <v>43923</v>
      </c>
      <c r="B2356" s="388" t="s">
        <v>3680</v>
      </c>
      <c r="C2356" s="14"/>
    </row>
    <row r="2357" spans="1:3" x14ac:dyDescent="0.25">
      <c r="A2357" s="388">
        <v>43923</v>
      </c>
      <c r="B2357" s="388" t="s">
        <v>3679</v>
      </c>
      <c r="C2357" s="14"/>
    </row>
    <row r="2358" spans="1:3" x14ac:dyDescent="0.25">
      <c r="A2358" s="388">
        <v>43923</v>
      </c>
      <c r="B2358" s="388" t="s">
        <v>3680</v>
      </c>
      <c r="C2358" s="14"/>
    </row>
    <row r="2359" spans="1:3" x14ac:dyDescent="0.25">
      <c r="A2359" s="388">
        <v>43923</v>
      </c>
      <c r="B2359" s="388" t="s">
        <v>3679</v>
      </c>
      <c r="C2359" s="14"/>
    </row>
    <row r="2360" spans="1:3" x14ac:dyDescent="0.25">
      <c r="A2360" s="388">
        <v>43923</v>
      </c>
      <c r="B2360" s="388" t="s">
        <v>3680</v>
      </c>
      <c r="C2360" s="14"/>
    </row>
    <row r="2361" spans="1:3" x14ac:dyDescent="0.25">
      <c r="A2361" s="388">
        <v>43923</v>
      </c>
      <c r="B2361" s="388" t="s">
        <v>3678</v>
      </c>
      <c r="C2361" s="14"/>
    </row>
    <row r="2362" spans="1:3" x14ac:dyDescent="0.25">
      <c r="A2362" s="388">
        <v>43923</v>
      </c>
      <c r="B2362" s="388" t="s">
        <v>3679</v>
      </c>
      <c r="C2362" s="14"/>
    </row>
    <row r="2363" spans="1:3" x14ac:dyDescent="0.25">
      <c r="A2363" s="388">
        <v>43923</v>
      </c>
      <c r="B2363" s="388" t="s">
        <v>3679</v>
      </c>
      <c r="C2363" s="14"/>
    </row>
    <row r="2364" spans="1:3" x14ac:dyDescent="0.25">
      <c r="A2364" s="388">
        <v>43923</v>
      </c>
      <c r="B2364" s="388" t="s">
        <v>3678</v>
      </c>
      <c r="C2364" s="14"/>
    </row>
    <row r="2365" spans="1:3" x14ac:dyDescent="0.25">
      <c r="A2365" s="388">
        <v>43923</v>
      </c>
      <c r="B2365" s="388" t="s">
        <v>3678</v>
      </c>
      <c r="C2365" s="14"/>
    </row>
    <row r="2366" spans="1:3" x14ac:dyDescent="0.25">
      <c r="A2366" s="388">
        <v>43923</v>
      </c>
      <c r="B2366" s="388" t="s">
        <v>3679</v>
      </c>
      <c r="C2366" s="14"/>
    </row>
    <row r="2367" spans="1:3" x14ac:dyDescent="0.25">
      <c r="A2367" s="388">
        <v>43923</v>
      </c>
      <c r="B2367" s="388" t="s">
        <v>3679</v>
      </c>
      <c r="C2367" s="14"/>
    </row>
    <row r="2368" spans="1:3" x14ac:dyDescent="0.25">
      <c r="A2368" s="388">
        <v>43923</v>
      </c>
      <c r="B2368" s="388" t="s">
        <v>3680</v>
      </c>
      <c r="C2368" s="14"/>
    </row>
    <row r="2369" spans="1:3" x14ac:dyDescent="0.25">
      <c r="A2369" s="388">
        <v>43923</v>
      </c>
      <c r="B2369" s="388" t="s">
        <v>3678</v>
      </c>
      <c r="C2369" s="14"/>
    </row>
    <row r="2370" spans="1:3" x14ac:dyDescent="0.25">
      <c r="A2370" s="388">
        <v>43923</v>
      </c>
      <c r="B2370" s="388" t="s">
        <v>3679</v>
      </c>
      <c r="C2370" s="14"/>
    </row>
    <row r="2371" spans="1:3" x14ac:dyDescent="0.25">
      <c r="A2371" s="388">
        <v>43923</v>
      </c>
      <c r="B2371" s="388" t="s">
        <v>3679</v>
      </c>
      <c r="C2371" s="14"/>
    </row>
    <row r="2372" spans="1:3" x14ac:dyDescent="0.25">
      <c r="A2372" s="388">
        <v>43923</v>
      </c>
      <c r="B2372" s="388" t="s">
        <v>3679</v>
      </c>
      <c r="C2372" s="14"/>
    </row>
    <row r="2373" spans="1:3" x14ac:dyDescent="0.25">
      <c r="A2373" s="388">
        <v>43923</v>
      </c>
      <c r="B2373" s="388" t="s">
        <v>3678</v>
      </c>
      <c r="C2373" s="14"/>
    </row>
    <row r="2374" spans="1:3" x14ac:dyDescent="0.25">
      <c r="A2374" s="388">
        <v>43923</v>
      </c>
      <c r="B2374" s="388" t="s">
        <v>3678</v>
      </c>
      <c r="C2374" s="14"/>
    </row>
    <row r="2375" spans="1:3" x14ac:dyDescent="0.25">
      <c r="A2375" s="388">
        <v>43923</v>
      </c>
      <c r="B2375" s="388" t="s">
        <v>3679</v>
      </c>
      <c r="C2375" s="14"/>
    </row>
    <row r="2376" spans="1:3" x14ac:dyDescent="0.25">
      <c r="A2376" s="388">
        <v>43923</v>
      </c>
      <c r="B2376" s="388" t="s">
        <v>3678</v>
      </c>
      <c r="C2376" s="14"/>
    </row>
    <row r="2377" spans="1:3" x14ac:dyDescent="0.25">
      <c r="A2377" s="388">
        <v>43923</v>
      </c>
      <c r="B2377" s="388" t="s">
        <v>3678</v>
      </c>
      <c r="C2377" s="14"/>
    </row>
    <row r="2378" spans="1:3" x14ac:dyDescent="0.25">
      <c r="A2378" s="388">
        <v>43923</v>
      </c>
      <c r="B2378" s="388" t="s">
        <v>3679</v>
      </c>
      <c r="C2378" s="14"/>
    </row>
    <row r="2379" spans="1:3" x14ac:dyDescent="0.25">
      <c r="A2379" s="388">
        <v>43923</v>
      </c>
      <c r="B2379" s="388" t="s">
        <v>3680</v>
      </c>
      <c r="C2379" s="14"/>
    </row>
    <row r="2380" spans="1:3" x14ac:dyDescent="0.25">
      <c r="A2380" s="388">
        <v>43923</v>
      </c>
      <c r="B2380" s="388" t="s">
        <v>3679</v>
      </c>
      <c r="C2380" s="14"/>
    </row>
    <row r="2381" spans="1:3" x14ac:dyDescent="0.25">
      <c r="A2381" s="388">
        <v>43923</v>
      </c>
      <c r="B2381" s="388" t="s">
        <v>3679</v>
      </c>
      <c r="C2381" s="14"/>
    </row>
    <row r="2382" spans="1:3" x14ac:dyDescent="0.25">
      <c r="A2382" s="388">
        <v>43923</v>
      </c>
      <c r="B2382" s="388" t="s">
        <v>3679</v>
      </c>
      <c r="C2382" s="14"/>
    </row>
    <row r="2383" spans="1:3" x14ac:dyDescent="0.25">
      <c r="A2383" s="388">
        <v>43923</v>
      </c>
      <c r="B2383" s="388" t="s">
        <v>3679</v>
      </c>
      <c r="C2383" s="14"/>
    </row>
    <row r="2384" spans="1:3" x14ac:dyDescent="0.25">
      <c r="A2384" s="388">
        <v>43923</v>
      </c>
      <c r="B2384" s="388" t="s">
        <v>3680</v>
      </c>
      <c r="C2384" s="14"/>
    </row>
    <row r="2385" spans="1:3" x14ac:dyDescent="0.25">
      <c r="A2385" s="388">
        <v>43923</v>
      </c>
      <c r="B2385" s="388" t="s">
        <v>3678</v>
      </c>
      <c r="C2385" s="14"/>
    </row>
    <row r="2386" spans="1:3" x14ac:dyDescent="0.25">
      <c r="A2386" s="388">
        <v>43923</v>
      </c>
      <c r="B2386" s="388" t="s">
        <v>3679</v>
      </c>
      <c r="C2386" s="14"/>
    </row>
    <row r="2387" spans="1:3" x14ac:dyDescent="0.25">
      <c r="A2387" s="388">
        <v>43923</v>
      </c>
      <c r="B2387" s="388" t="s">
        <v>3678</v>
      </c>
      <c r="C2387" s="14"/>
    </row>
    <row r="2388" spans="1:3" x14ac:dyDescent="0.25">
      <c r="A2388" s="388">
        <v>43923</v>
      </c>
      <c r="B2388" s="388" t="s">
        <v>3678</v>
      </c>
      <c r="C2388" s="14"/>
    </row>
    <row r="2389" spans="1:3" x14ac:dyDescent="0.25">
      <c r="A2389" s="388">
        <v>43923</v>
      </c>
      <c r="B2389" s="388" t="s">
        <v>3679</v>
      </c>
      <c r="C2389" s="14"/>
    </row>
    <row r="2390" spans="1:3" x14ac:dyDescent="0.25">
      <c r="A2390" s="388">
        <v>43923</v>
      </c>
      <c r="B2390" s="388" t="s">
        <v>3678</v>
      </c>
      <c r="C2390" s="14"/>
    </row>
    <row r="2391" spans="1:3" x14ac:dyDescent="0.25">
      <c r="A2391" s="388">
        <v>43923</v>
      </c>
      <c r="B2391" s="388" t="s">
        <v>3679</v>
      </c>
      <c r="C2391" s="14"/>
    </row>
    <row r="2392" spans="1:3" x14ac:dyDescent="0.25">
      <c r="A2392" s="388">
        <v>43923</v>
      </c>
      <c r="B2392" s="388" t="s">
        <v>3678</v>
      </c>
      <c r="C2392" s="14"/>
    </row>
    <row r="2393" spans="1:3" x14ac:dyDescent="0.25">
      <c r="A2393" s="388">
        <v>43923</v>
      </c>
      <c r="B2393" s="388" t="s">
        <v>3678</v>
      </c>
      <c r="C2393" s="14"/>
    </row>
    <row r="2394" spans="1:3" x14ac:dyDescent="0.25">
      <c r="A2394" s="388">
        <v>43923</v>
      </c>
      <c r="B2394" s="388" t="s">
        <v>3678</v>
      </c>
      <c r="C2394" s="14"/>
    </row>
    <row r="2395" spans="1:3" x14ac:dyDescent="0.25">
      <c r="A2395" s="388">
        <v>43923</v>
      </c>
      <c r="B2395" s="388" t="s">
        <v>3678</v>
      </c>
      <c r="C2395" s="14"/>
    </row>
    <row r="2396" spans="1:3" x14ac:dyDescent="0.25">
      <c r="A2396" s="388">
        <v>43923</v>
      </c>
      <c r="B2396" s="388" t="s">
        <v>3680</v>
      </c>
      <c r="C2396" s="14"/>
    </row>
    <row r="2397" spans="1:3" x14ac:dyDescent="0.25">
      <c r="A2397" s="388">
        <v>43923</v>
      </c>
      <c r="B2397" s="388" t="s">
        <v>3681</v>
      </c>
      <c r="C2397" s="14"/>
    </row>
    <row r="2398" spans="1:3" x14ac:dyDescent="0.25">
      <c r="A2398" s="388">
        <v>43923</v>
      </c>
      <c r="B2398" s="388" t="s">
        <v>3679</v>
      </c>
      <c r="C2398" s="14"/>
    </row>
    <row r="2399" spans="1:3" x14ac:dyDescent="0.25">
      <c r="A2399" s="388">
        <v>43923</v>
      </c>
      <c r="B2399" s="388" t="s">
        <v>3678</v>
      </c>
      <c r="C2399" s="14"/>
    </row>
    <row r="2400" spans="1:3" x14ac:dyDescent="0.25">
      <c r="A2400" s="388">
        <v>43923</v>
      </c>
      <c r="B2400" s="388" t="s">
        <v>3680</v>
      </c>
      <c r="C2400" s="14"/>
    </row>
    <row r="2401" spans="1:3" x14ac:dyDescent="0.25">
      <c r="A2401" s="388">
        <v>43923</v>
      </c>
      <c r="B2401" s="388" t="s">
        <v>3679</v>
      </c>
      <c r="C2401" s="14"/>
    </row>
    <row r="2402" spans="1:3" x14ac:dyDescent="0.25">
      <c r="A2402" s="388">
        <v>43923</v>
      </c>
      <c r="B2402" s="388" t="s">
        <v>3680</v>
      </c>
      <c r="C2402" s="14"/>
    </row>
    <row r="2403" spans="1:3" x14ac:dyDescent="0.25">
      <c r="A2403" s="388">
        <v>43923</v>
      </c>
      <c r="B2403" s="388" t="s">
        <v>3679</v>
      </c>
      <c r="C2403" s="14"/>
    </row>
    <row r="2404" spans="1:3" x14ac:dyDescent="0.25">
      <c r="A2404" s="388">
        <v>43923</v>
      </c>
      <c r="B2404" s="388" t="s">
        <v>3678</v>
      </c>
      <c r="C2404" s="14"/>
    </row>
    <row r="2405" spans="1:3" x14ac:dyDescent="0.25">
      <c r="A2405" s="388">
        <v>43923</v>
      </c>
      <c r="B2405" s="388" t="s">
        <v>3678</v>
      </c>
      <c r="C2405" s="14"/>
    </row>
    <row r="2406" spans="1:3" x14ac:dyDescent="0.25">
      <c r="A2406" s="388">
        <v>43923</v>
      </c>
      <c r="B2406" s="388" t="s">
        <v>3678</v>
      </c>
      <c r="C2406" s="14"/>
    </row>
    <row r="2407" spans="1:3" x14ac:dyDescent="0.25">
      <c r="A2407" s="388">
        <v>43923</v>
      </c>
      <c r="B2407" s="388" t="s">
        <v>3678</v>
      </c>
      <c r="C2407" s="14"/>
    </row>
    <row r="2408" spans="1:3" x14ac:dyDescent="0.25">
      <c r="A2408" s="388">
        <v>43923</v>
      </c>
      <c r="B2408" s="388" t="s">
        <v>3680</v>
      </c>
      <c r="C2408" s="14"/>
    </row>
    <row r="2409" spans="1:3" x14ac:dyDescent="0.25">
      <c r="A2409" s="388">
        <v>43923</v>
      </c>
      <c r="B2409" s="388" t="s">
        <v>3680</v>
      </c>
      <c r="C2409" s="14"/>
    </row>
    <row r="2410" spans="1:3" x14ac:dyDescent="0.25">
      <c r="A2410" s="388">
        <v>43923</v>
      </c>
      <c r="B2410" s="388" t="s">
        <v>3678</v>
      </c>
      <c r="C2410" s="14"/>
    </row>
    <row r="2411" spans="1:3" x14ac:dyDescent="0.25">
      <c r="A2411" s="388">
        <v>43924</v>
      </c>
      <c r="B2411" s="388" t="s">
        <v>3680</v>
      </c>
      <c r="C2411" s="14"/>
    </row>
    <row r="2412" spans="1:3" x14ac:dyDescent="0.25">
      <c r="A2412" s="388">
        <v>43924</v>
      </c>
      <c r="B2412" s="388" t="s">
        <v>3681</v>
      </c>
      <c r="C2412" s="14"/>
    </row>
    <row r="2413" spans="1:3" x14ac:dyDescent="0.25">
      <c r="A2413" s="388">
        <v>43924</v>
      </c>
      <c r="B2413" s="388" t="s">
        <v>3678</v>
      </c>
      <c r="C2413" s="14"/>
    </row>
    <row r="2414" spans="1:3" x14ac:dyDescent="0.25">
      <c r="A2414" s="388">
        <v>43924</v>
      </c>
      <c r="B2414" s="388" t="s">
        <v>3679</v>
      </c>
      <c r="C2414" s="14"/>
    </row>
    <row r="2415" spans="1:3" x14ac:dyDescent="0.25">
      <c r="A2415" s="388">
        <v>43924</v>
      </c>
      <c r="B2415" s="388" t="s">
        <v>3680</v>
      </c>
      <c r="C2415" s="14"/>
    </row>
    <row r="2416" spans="1:3" x14ac:dyDescent="0.25">
      <c r="A2416" s="388">
        <v>43924</v>
      </c>
      <c r="B2416" s="388" t="s">
        <v>3679</v>
      </c>
      <c r="C2416" s="14"/>
    </row>
    <row r="2417" spans="1:3" x14ac:dyDescent="0.25">
      <c r="A2417" s="388">
        <v>43924</v>
      </c>
      <c r="B2417" s="388" t="s">
        <v>3679</v>
      </c>
      <c r="C2417" s="14"/>
    </row>
    <row r="2418" spans="1:3" x14ac:dyDescent="0.25">
      <c r="A2418" s="388">
        <v>43924</v>
      </c>
      <c r="B2418" s="388" t="s">
        <v>3678</v>
      </c>
      <c r="C2418" s="14"/>
    </row>
    <row r="2419" spans="1:3" x14ac:dyDescent="0.25">
      <c r="A2419" s="388">
        <v>43924</v>
      </c>
      <c r="B2419" s="388" t="s">
        <v>3678</v>
      </c>
      <c r="C2419" s="14"/>
    </row>
    <row r="2420" spans="1:3" x14ac:dyDescent="0.25">
      <c r="A2420" s="388">
        <v>43924</v>
      </c>
      <c r="B2420" s="388" t="s">
        <v>3678</v>
      </c>
      <c r="C2420" s="14"/>
    </row>
    <row r="2421" spans="1:3" x14ac:dyDescent="0.25">
      <c r="A2421" s="388">
        <v>43924</v>
      </c>
      <c r="B2421" s="388" t="s">
        <v>3680</v>
      </c>
      <c r="C2421" s="14"/>
    </row>
    <row r="2422" spans="1:3" x14ac:dyDescent="0.25">
      <c r="A2422" s="388">
        <v>43924</v>
      </c>
      <c r="B2422" s="388" t="s">
        <v>3679</v>
      </c>
      <c r="C2422" s="14"/>
    </row>
    <row r="2423" spans="1:3" x14ac:dyDescent="0.25">
      <c r="A2423" s="388">
        <v>43924</v>
      </c>
      <c r="B2423" s="388" t="s">
        <v>3679</v>
      </c>
      <c r="C2423" s="14"/>
    </row>
    <row r="2424" spans="1:3" x14ac:dyDescent="0.25">
      <c r="A2424" s="388">
        <v>43924</v>
      </c>
      <c r="B2424" s="388" t="s">
        <v>3680</v>
      </c>
      <c r="C2424" s="14"/>
    </row>
    <row r="2425" spans="1:3" x14ac:dyDescent="0.25">
      <c r="A2425" s="388">
        <v>43924</v>
      </c>
      <c r="B2425" s="388" t="s">
        <v>3678</v>
      </c>
      <c r="C2425" s="14"/>
    </row>
    <row r="2426" spans="1:3" x14ac:dyDescent="0.25">
      <c r="A2426" s="388">
        <v>43924</v>
      </c>
      <c r="B2426" s="388" t="s">
        <v>3679</v>
      </c>
      <c r="C2426" s="14"/>
    </row>
    <row r="2427" spans="1:3" x14ac:dyDescent="0.25">
      <c r="A2427" s="388">
        <v>43924</v>
      </c>
      <c r="B2427" s="388" t="s">
        <v>3678</v>
      </c>
      <c r="C2427" s="14"/>
    </row>
    <row r="2428" spans="1:3" x14ac:dyDescent="0.25">
      <c r="A2428" s="388">
        <v>43924</v>
      </c>
      <c r="B2428" s="388" t="s">
        <v>3678</v>
      </c>
      <c r="C2428" s="14"/>
    </row>
    <row r="2429" spans="1:3" x14ac:dyDescent="0.25">
      <c r="A2429" s="388">
        <v>43924</v>
      </c>
      <c r="B2429" s="388" t="s">
        <v>3681</v>
      </c>
      <c r="C2429" s="14"/>
    </row>
    <row r="2430" spans="1:3" x14ac:dyDescent="0.25">
      <c r="A2430" s="388">
        <v>43924</v>
      </c>
      <c r="B2430" s="388" t="s">
        <v>3679</v>
      </c>
      <c r="C2430" s="14"/>
    </row>
    <row r="2431" spans="1:3" x14ac:dyDescent="0.25">
      <c r="A2431" s="388">
        <v>43924</v>
      </c>
      <c r="B2431" s="388" t="s">
        <v>3679</v>
      </c>
      <c r="C2431" s="14"/>
    </row>
    <row r="2432" spans="1:3" x14ac:dyDescent="0.25">
      <c r="A2432" s="388">
        <v>43924</v>
      </c>
      <c r="B2432" s="388" t="s">
        <v>3679</v>
      </c>
      <c r="C2432" s="14"/>
    </row>
    <row r="2433" spans="1:3" x14ac:dyDescent="0.25">
      <c r="A2433" s="388">
        <v>43924</v>
      </c>
      <c r="B2433" s="388" t="s">
        <v>3679</v>
      </c>
      <c r="C2433" s="14"/>
    </row>
    <row r="2434" spans="1:3" x14ac:dyDescent="0.25">
      <c r="A2434" s="388">
        <v>43924</v>
      </c>
      <c r="B2434" s="388" t="s">
        <v>3679</v>
      </c>
      <c r="C2434" s="14"/>
    </row>
    <row r="2435" spans="1:3" x14ac:dyDescent="0.25">
      <c r="A2435" s="388">
        <v>43924</v>
      </c>
      <c r="B2435" s="388" t="s">
        <v>3678</v>
      </c>
      <c r="C2435" s="14"/>
    </row>
    <row r="2436" spans="1:3" x14ac:dyDescent="0.25">
      <c r="A2436" s="388">
        <v>43924</v>
      </c>
      <c r="B2436" s="388" t="s">
        <v>3679</v>
      </c>
      <c r="C2436" s="14"/>
    </row>
    <row r="2437" spans="1:3" x14ac:dyDescent="0.25">
      <c r="A2437" s="388">
        <v>43924</v>
      </c>
      <c r="B2437" s="388" t="s">
        <v>3678</v>
      </c>
      <c r="C2437" s="14"/>
    </row>
    <row r="2438" spans="1:3" x14ac:dyDescent="0.25">
      <c r="A2438" s="388">
        <v>43924</v>
      </c>
      <c r="B2438" s="388" t="s">
        <v>3680</v>
      </c>
      <c r="C2438" s="14"/>
    </row>
    <row r="2439" spans="1:3" x14ac:dyDescent="0.25">
      <c r="A2439" s="388">
        <v>43924</v>
      </c>
      <c r="B2439" s="388" t="s">
        <v>3678</v>
      </c>
      <c r="C2439" s="14"/>
    </row>
    <row r="2440" spans="1:3" x14ac:dyDescent="0.25">
      <c r="A2440" s="388">
        <v>43924</v>
      </c>
      <c r="B2440" s="388" t="s">
        <v>3678</v>
      </c>
      <c r="C2440" s="14"/>
    </row>
    <row r="2441" spans="1:3" x14ac:dyDescent="0.25">
      <c r="A2441" s="388">
        <v>43924</v>
      </c>
      <c r="B2441" s="388" t="s">
        <v>3678</v>
      </c>
      <c r="C2441" s="14"/>
    </row>
    <row r="2442" spans="1:3" x14ac:dyDescent="0.25">
      <c r="A2442" s="388">
        <v>43924</v>
      </c>
      <c r="B2442" s="388" t="s">
        <v>3679</v>
      </c>
      <c r="C2442" s="14"/>
    </row>
    <row r="2443" spans="1:3" x14ac:dyDescent="0.25">
      <c r="A2443" s="388">
        <v>43924</v>
      </c>
      <c r="B2443" s="388" t="s">
        <v>3679</v>
      </c>
      <c r="C2443" s="14"/>
    </row>
    <row r="2444" spans="1:3" x14ac:dyDescent="0.25">
      <c r="A2444" s="388">
        <v>43924</v>
      </c>
      <c r="B2444" s="388" t="s">
        <v>3680</v>
      </c>
      <c r="C2444" s="14"/>
    </row>
    <row r="2445" spans="1:3" x14ac:dyDescent="0.25">
      <c r="A2445" s="388">
        <v>43924</v>
      </c>
      <c r="B2445" s="388" t="s">
        <v>3681</v>
      </c>
      <c r="C2445" s="14"/>
    </row>
    <row r="2446" spans="1:3" x14ac:dyDescent="0.25">
      <c r="A2446" s="388">
        <v>43924</v>
      </c>
      <c r="B2446" s="388" t="s">
        <v>3678</v>
      </c>
      <c r="C2446" s="14"/>
    </row>
    <row r="2447" spans="1:3" x14ac:dyDescent="0.25">
      <c r="A2447" s="388">
        <v>43924</v>
      </c>
      <c r="B2447" s="388" t="s">
        <v>3679</v>
      </c>
      <c r="C2447" s="14"/>
    </row>
    <row r="2448" spans="1:3" x14ac:dyDescent="0.25">
      <c r="A2448" s="388">
        <v>43924</v>
      </c>
      <c r="B2448" s="388" t="s">
        <v>3678</v>
      </c>
      <c r="C2448" s="14"/>
    </row>
    <row r="2449" spans="1:3" x14ac:dyDescent="0.25">
      <c r="A2449" s="388">
        <v>43924</v>
      </c>
      <c r="B2449" s="388" t="s">
        <v>3678</v>
      </c>
      <c r="C2449" s="14"/>
    </row>
    <row r="2450" spans="1:3" x14ac:dyDescent="0.25">
      <c r="A2450" s="388">
        <v>43924</v>
      </c>
      <c r="B2450" s="388" t="s">
        <v>3678</v>
      </c>
      <c r="C2450" s="14"/>
    </row>
    <row r="2451" spans="1:3" x14ac:dyDescent="0.25">
      <c r="A2451" s="388">
        <v>43924</v>
      </c>
      <c r="B2451" s="388" t="s">
        <v>3680</v>
      </c>
      <c r="C2451" s="14"/>
    </row>
    <row r="2452" spans="1:3" x14ac:dyDescent="0.25">
      <c r="A2452" s="388">
        <v>43924</v>
      </c>
      <c r="B2452" s="388" t="s">
        <v>3679</v>
      </c>
      <c r="C2452" s="14"/>
    </row>
    <row r="2453" spans="1:3" x14ac:dyDescent="0.25">
      <c r="A2453" s="388">
        <v>43924</v>
      </c>
      <c r="B2453" s="388" t="s">
        <v>3680</v>
      </c>
      <c r="C2453" s="14"/>
    </row>
    <row r="2454" spans="1:3" x14ac:dyDescent="0.25">
      <c r="A2454" s="388">
        <v>43924</v>
      </c>
      <c r="B2454" s="388" t="s">
        <v>3679</v>
      </c>
      <c r="C2454" s="14"/>
    </row>
    <row r="2455" spans="1:3" x14ac:dyDescent="0.25">
      <c r="A2455" s="388">
        <v>43924</v>
      </c>
      <c r="B2455" s="388" t="s">
        <v>3679</v>
      </c>
      <c r="C2455" s="14"/>
    </row>
    <row r="2456" spans="1:3" x14ac:dyDescent="0.25">
      <c r="A2456" s="388">
        <v>43924</v>
      </c>
      <c r="B2456" s="388" t="s">
        <v>3678</v>
      </c>
      <c r="C2456" s="14"/>
    </row>
    <row r="2457" spans="1:3" x14ac:dyDescent="0.25">
      <c r="A2457" s="388">
        <v>43924</v>
      </c>
      <c r="B2457" s="388" t="s">
        <v>3678</v>
      </c>
      <c r="C2457" s="14"/>
    </row>
    <row r="2458" spans="1:3" x14ac:dyDescent="0.25">
      <c r="A2458" s="388">
        <v>43924</v>
      </c>
      <c r="B2458" s="388" t="s">
        <v>3679</v>
      </c>
      <c r="C2458" s="14"/>
    </row>
    <row r="2459" spans="1:3" x14ac:dyDescent="0.25">
      <c r="A2459" s="388">
        <v>43924</v>
      </c>
      <c r="B2459" s="388" t="s">
        <v>3680</v>
      </c>
      <c r="C2459" s="14"/>
    </row>
    <row r="2460" spans="1:3" x14ac:dyDescent="0.25">
      <c r="A2460" s="388">
        <v>43924</v>
      </c>
      <c r="B2460" s="388" t="s">
        <v>3680</v>
      </c>
      <c r="C2460" s="14"/>
    </row>
    <row r="2461" spans="1:3" x14ac:dyDescent="0.25">
      <c r="A2461" s="388">
        <v>43924</v>
      </c>
      <c r="B2461" s="388" t="s">
        <v>3680</v>
      </c>
      <c r="C2461" s="14"/>
    </row>
    <row r="2462" spans="1:3" x14ac:dyDescent="0.25">
      <c r="A2462" s="388">
        <v>43924</v>
      </c>
      <c r="B2462" s="388" t="s">
        <v>3679</v>
      </c>
      <c r="C2462" s="14"/>
    </row>
    <row r="2463" spans="1:3" x14ac:dyDescent="0.25">
      <c r="A2463" s="388">
        <v>43924</v>
      </c>
      <c r="B2463" s="388" t="s">
        <v>3679</v>
      </c>
      <c r="C2463" s="14"/>
    </row>
    <row r="2464" spans="1:3" x14ac:dyDescent="0.25">
      <c r="A2464" s="388">
        <v>43924</v>
      </c>
      <c r="B2464" s="388" t="s">
        <v>3680</v>
      </c>
      <c r="C2464" s="14"/>
    </row>
    <row r="2465" spans="1:3" x14ac:dyDescent="0.25">
      <c r="A2465" s="388">
        <v>43924</v>
      </c>
      <c r="B2465" s="388" t="s">
        <v>3678</v>
      </c>
      <c r="C2465" s="14"/>
    </row>
    <row r="2466" spans="1:3" x14ac:dyDescent="0.25">
      <c r="A2466" s="388">
        <v>43924</v>
      </c>
      <c r="B2466" s="388" t="s">
        <v>3681</v>
      </c>
      <c r="C2466" s="14"/>
    </row>
    <row r="2467" spans="1:3" x14ac:dyDescent="0.25">
      <c r="A2467" s="388">
        <v>43924</v>
      </c>
      <c r="B2467" s="388" t="s">
        <v>3678</v>
      </c>
      <c r="C2467" s="14"/>
    </row>
    <row r="2468" spans="1:3" x14ac:dyDescent="0.25">
      <c r="A2468" s="388">
        <v>43924</v>
      </c>
      <c r="B2468" s="388" t="s">
        <v>3678</v>
      </c>
      <c r="C2468" s="14"/>
    </row>
    <row r="2469" spans="1:3" x14ac:dyDescent="0.25">
      <c r="A2469" s="388">
        <v>43924</v>
      </c>
      <c r="B2469" s="388" t="s">
        <v>3680</v>
      </c>
      <c r="C2469" s="14"/>
    </row>
    <row r="2470" spans="1:3" x14ac:dyDescent="0.25">
      <c r="A2470" s="388">
        <v>43924</v>
      </c>
      <c r="B2470" s="388" t="s">
        <v>3680</v>
      </c>
      <c r="C2470" s="14"/>
    </row>
    <row r="2471" spans="1:3" x14ac:dyDescent="0.25">
      <c r="A2471" s="388">
        <v>43924</v>
      </c>
      <c r="B2471" s="388" t="s">
        <v>3678</v>
      </c>
      <c r="C2471" s="14"/>
    </row>
    <row r="2472" spans="1:3" x14ac:dyDescent="0.25">
      <c r="A2472" s="388">
        <v>43924</v>
      </c>
      <c r="B2472" s="388" t="s">
        <v>3678</v>
      </c>
      <c r="C2472" s="14"/>
    </row>
    <row r="2473" spans="1:3" x14ac:dyDescent="0.25">
      <c r="A2473" s="388">
        <v>43924</v>
      </c>
      <c r="B2473" s="388" t="s">
        <v>3678</v>
      </c>
      <c r="C2473" s="14"/>
    </row>
    <row r="2474" spans="1:3" x14ac:dyDescent="0.25">
      <c r="A2474" s="388">
        <v>43924</v>
      </c>
      <c r="B2474" s="388" t="s">
        <v>3678</v>
      </c>
      <c r="C2474" s="14"/>
    </row>
    <row r="2475" spans="1:3" x14ac:dyDescent="0.25">
      <c r="A2475" s="388">
        <v>43924</v>
      </c>
      <c r="B2475" s="388" t="s">
        <v>3678</v>
      </c>
      <c r="C2475" s="14"/>
    </row>
    <row r="2476" spans="1:3" x14ac:dyDescent="0.25">
      <c r="A2476" s="388">
        <v>43924</v>
      </c>
      <c r="B2476" s="388" t="s">
        <v>3678</v>
      </c>
      <c r="C2476" s="14"/>
    </row>
    <row r="2477" spans="1:3" x14ac:dyDescent="0.25">
      <c r="A2477" s="388">
        <v>43924</v>
      </c>
      <c r="B2477" s="388" t="s">
        <v>3678</v>
      </c>
      <c r="C2477" s="14"/>
    </row>
    <row r="2478" spans="1:3" x14ac:dyDescent="0.25">
      <c r="A2478" s="388">
        <v>43924</v>
      </c>
      <c r="B2478" s="388" t="s">
        <v>3680</v>
      </c>
      <c r="C2478" s="14"/>
    </row>
    <row r="2479" spans="1:3" x14ac:dyDescent="0.25">
      <c r="A2479" s="388">
        <v>43924</v>
      </c>
      <c r="B2479" s="388" t="s">
        <v>3678</v>
      </c>
      <c r="C2479" s="14"/>
    </row>
    <row r="2480" spans="1:3" x14ac:dyDescent="0.25">
      <c r="A2480" s="388">
        <v>43924</v>
      </c>
      <c r="B2480" s="388" t="s">
        <v>3679</v>
      </c>
      <c r="C2480" s="14"/>
    </row>
    <row r="2481" spans="1:3" x14ac:dyDescent="0.25">
      <c r="A2481" s="388">
        <v>43924</v>
      </c>
      <c r="B2481" s="388" t="s">
        <v>3679</v>
      </c>
      <c r="C2481" s="14"/>
    </row>
    <row r="2482" spans="1:3" x14ac:dyDescent="0.25">
      <c r="A2482" s="388">
        <v>43924</v>
      </c>
      <c r="B2482" s="388" t="s">
        <v>3678</v>
      </c>
      <c r="C2482" s="14"/>
    </row>
    <row r="2483" spans="1:3" x14ac:dyDescent="0.25">
      <c r="A2483" s="388">
        <v>43924</v>
      </c>
      <c r="B2483" s="388" t="s">
        <v>3679</v>
      </c>
      <c r="C2483" s="14"/>
    </row>
    <row r="2484" spans="1:3" x14ac:dyDescent="0.25">
      <c r="A2484" s="388">
        <v>43924</v>
      </c>
      <c r="B2484" s="388" t="s">
        <v>3680</v>
      </c>
      <c r="C2484" s="14"/>
    </row>
    <row r="2485" spans="1:3" x14ac:dyDescent="0.25">
      <c r="A2485" s="388">
        <v>43924</v>
      </c>
      <c r="B2485" s="388" t="s">
        <v>3680</v>
      </c>
      <c r="C2485" s="14"/>
    </row>
    <row r="2486" spans="1:3" x14ac:dyDescent="0.25">
      <c r="A2486" s="388">
        <v>43924</v>
      </c>
      <c r="B2486" s="388" t="s">
        <v>3679</v>
      </c>
      <c r="C2486" s="14"/>
    </row>
    <row r="2487" spans="1:3" x14ac:dyDescent="0.25">
      <c r="A2487" s="388">
        <v>43924</v>
      </c>
      <c r="B2487" s="388" t="s">
        <v>3679</v>
      </c>
      <c r="C2487" s="14"/>
    </row>
    <row r="2488" spans="1:3" x14ac:dyDescent="0.25">
      <c r="A2488" s="388">
        <v>43924</v>
      </c>
      <c r="B2488" s="388" t="s">
        <v>3679</v>
      </c>
      <c r="C2488" s="14"/>
    </row>
    <row r="2489" spans="1:3" x14ac:dyDescent="0.25">
      <c r="A2489" s="388">
        <v>43924</v>
      </c>
      <c r="B2489" s="388" t="s">
        <v>3680</v>
      </c>
      <c r="C2489" s="14"/>
    </row>
    <row r="2490" spans="1:3" x14ac:dyDescent="0.25">
      <c r="A2490" s="388">
        <v>43924</v>
      </c>
      <c r="B2490" s="388" t="s">
        <v>3679</v>
      </c>
      <c r="C2490" s="14"/>
    </row>
    <row r="2491" spans="1:3" x14ac:dyDescent="0.25">
      <c r="A2491" s="388">
        <v>43925</v>
      </c>
      <c r="B2491" s="388" t="s">
        <v>3679</v>
      </c>
      <c r="C2491" s="14"/>
    </row>
    <row r="2492" spans="1:3" x14ac:dyDescent="0.25">
      <c r="A2492" s="388">
        <v>43925</v>
      </c>
      <c r="B2492" s="388" t="s">
        <v>3679</v>
      </c>
      <c r="C2492" s="14"/>
    </row>
    <row r="2493" spans="1:3" x14ac:dyDescent="0.25">
      <c r="A2493" s="388">
        <v>43925</v>
      </c>
      <c r="B2493" s="388" t="s">
        <v>3680</v>
      </c>
      <c r="C2493" s="14"/>
    </row>
    <row r="2494" spans="1:3" x14ac:dyDescent="0.25">
      <c r="A2494" s="388">
        <v>43925</v>
      </c>
      <c r="B2494" s="388" t="s">
        <v>3679</v>
      </c>
      <c r="C2494" s="14"/>
    </row>
    <row r="2495" spans="1:3" x14ac:dyDescent="0.25">
      <c r="A2495" s="388">
        <v>43925</v>
      </c>
      <c r="B2495" s="388" t="s">
        <v>3679</v>
      </c>
      <c r="C2495" s="14"/>
    </row>
    <row r="2496" spans="1:3" x14ac:dyDescent="0.25">
      <c r="A2496" s="388">
        <v>43925</v>
      </c>
      <c r="B2496" s="388" t="s">
        <v>3679</v>
      </c>
      <c r="C2496" s="14"/>
    </row>
    <row r="2497" spans="1:3" x14ac:dyDescent="0.25">
      <c r="A2497" s="388">
        <v>43925</v>
      </c>
      <c r="B2497" s="388" t="s">
        <v>3678</v>
      </c>
      <c r="C2497" s="14"/>
    </row>
    <row r="2498" spans="1:3" x14ac:dyDescent="0.25">
      <c r="A2498" s="388">
        <v>43925</v>
      </c>
      <c r="B2498" s="388" t="s">
        <v>3678</v>
      </c>
      <c r="C2498" s="14"/>
    </row>
    <row r="2499" spans="1:3" x14ac:dyDescent="0.25">
      <c r="A2499" s="388">
        <v>43925</v>
      </c>
      <c r="B2499" s="388" t="s">
        <v>3679</v>
      </c>
      <c r="C2499" s="14"/>
    </row>
    <row r="2500" spans="1:3" x14ac:dyDescent="0.25">
      <c r="A2500" s="388">
        <v>43925</v>
      </c>
      <c r="B2500" s="388" t="s">
        <v>3678</v>
      </c>
      <c r="C2500" s="14"/>
    </row>
    <row r="2501" spans="1:3" x14ac:dyDescent="0.25">
      <c r="A2501" s="388">
        <v>43925</v>
      </c>
      <c r="B2501" s="388" t="s">
        <v>3680</v>
      </c>
      <c r="C2501" s="14"/>
    </row>
    <row r="2502" spans="1:3" x14ac:dyDescent="0.25">
      <c r="A2502" s="388">
        <v>43925</v>
      </c>
      <c r="B2502" s="388" t="s">
        <v>3679</v>
      </c>
      <c r="C2502" s="14"/>
    </row>
    <row r="2503" spans="1:3" x14ac:dyDescent="0.25">
      <c r="A2503" s="388">
        <v>43925</v>
      </c>
      <c r="B2503" s="388" t="s">
        <v>3680</v>
      </c>
      <c r="C2503" s="14"/>
    </row>
    <row r="2504" spans="1:3" x14ac:dyDescent="0.25">
      <c r="A2504" s="388">
        <v>43925</v>
      </c>
      <c r="B2504" s="388" t="s">
        <v>3678</v>
      </c>
      <c r="C2504" s="14"/>
    </row>
    <row r="2505" spans="1:3" x14ac:dyDescent="0.25">
      <c r="A2505" s="388">
        <v>43925</v>
      </c>
      <c r="B2505" s="388" t="s">
        <v>3678</v>
      </c>
      <c r="C2505" s="14"/>
    </row>
    <row r="2506" spans="1:3" x14ac:dyDescent="0.25">
      <c r="A2506" s="388">
        <v>43925</v>
      </c>
      <c r="B2506" s="388" t="s">
        <v>3679</v>
      </c>
      <c r="C2506" s="14"/>
    </row>
    <row r="2507" spans="1:3" x14ac:dyDescent="0.25">
      <c r="A2507" s="388">
        <v>43925</v>
      </c>
      <c r="B2507" s="388" t="s">
        <v>3678</v>
      </c>
      <c r="C2507" s="14"/>
    </row>
    <row r="2508" spans="1:3" x14ac:dyDescent="0.25">
      <c r="A2508" s="388">
        <v>43925</v>
      </c>
      <c r="B2508" s="388" t="s">
        <v>3679</v>
      </c>
      <c r="C2508" s="14"/>
    </row>
    <row r="2509" spans="1:3" x14ac:dyDescent="0.25">
      <c r="A2509" s="388">
        <v>43925</v>
      </c>
      <c r="B2509" s="388" t="s">
        <v>3679</v>
      </c>
      <c r="C2509" s="14"/>
    </row>
    <row r="2510" spans="1:3" x14ac:dyDescent="0.25">
      <c r="A2510" s="388">
        <v>43925</v>
      </c>
      <c r="B2510" s="388" t="s">
        <v>3680</v>
      </c>
      <c r="C2510" s="14"/>
    </row>
    <row r="2511" spans="1:3" x14ac:dyDescent="0.25">
      <c r="A2511" s="388">
        <v>43925</v>
      </c>
      <c r="B2511" s="388" t="s">
        <v>3679</v>
      </c>
      <c r="C2511" s="14"/>
    </row>
    <row r="2512" spans="1:3" x14ac:dyDescent="0.25">
      <c r="A2512" s="388">
        <v>43925</v>
      </c>
      <c r="B2512" s="388" t="s">
        <v>3679</v>
      </c>
      <c r="C2512" s="14"/>
    </row>
    <row r="2513" spans="1:3" x14ac:dyDescent="0.25">
      <c r="A2513" s="388">
        <v>43925</v>
      </c>
      <c r="B2513" s="388" t="s">
        <v>3679</v>
      </c>
      <c r="C2513" s="14"/>
    </row>
    <row r="2514" spans="1:3" x14ac:dyDescent="0.25">
      <c r="A2514" s="388">
        <v>43925</v>
      </c>
      <c r="B2514" s="388" t="s">
        <v>3679</v>
      </c>
      <c r="C2514" s="14"/>
    </row>
    <row r="2515" spans="1:3" x14ac:dyDescent="0.25">
      <c r="A2515" s="388">
        <v>43925</v>
      </c>
      <c r="B2515" s="388" t="s">
        <v>3679</v>
      </c>
      <c r="C2515" s="14"/>
    </row>
    <row r="2516" spans="1:3" x14ac:dyDescent="0.25">
      <c r="A2516" s="388">
        <v>43925</v>
      </c>
      <c r="B2516" s="388" t="s">
        <v>3679</v>
      </c>
      <c r="C2516" s="14"/>
    </row>
    <row r="2517" spans="1:3" x14ac:dyDescent="0.25">
      <c r="A2517" s="388">
        <v>43925</v>
      </c>
      <c r="B2517" s="388" t="s">
        <v>3679</v>
      </c>
      <c r="C2517" s="14"/>
    </row>
    <row r="2518" spans="1:3" x14ac:dyDescent="0.25">
      <c r="A2518" s="388">
        <v>43925</v>
      </c>
      <c r="B2518" s="388" t="s">
        <v>3679</v>
      </c>
      <c r="C2518" s="14"/>
    </row>
    <row r="2519" spans="1:3" x14ac:dyDescent="0.25">
      <c r="A2519" s="388">
        <v>43925</v>
      </c>
      <c r="B2519" s="388" t="s">
        <v>3679</v>
      </c>
      <c r="C2519" s="14"/>
    </row>
    <row r="2520" spans="1:3" x14ac:dyDescent="0.25">
      <c r="A2520" s="388">
        <v>43925</v>
      </c>
      <c r="B2520" s="388" t="s">
        <v>3679</v>
      </c>
      <c r="C2520" s="14"/>
    </row>
    <row r="2521" spans="1:3" x14ac:dyDescent="0.25">
      <c r="A2521" s="388">
        <v>43925</v>
      </c>
      <c r="B2521" s="388" t="s">
        <v>3679</v>
      </c>
      <c r="C2521" s="14"/>
    </row>
    <row r="2522" spans="1:3" x14ac:dyDescent="0.25">
      <c r="A2522" s="388">
        <v>43925</v>
      </c>
      <c r="B2522" s="388" t="s">
        <v>3679</v>
      </c>
      <c r="C2522" s="14"/>
    </row>
    <row r="2523" spans="1:3" x14ac:dyDescent="0.25">
      <c r="A2523" s="388">
        <v>43925</v>
      </c>
      <c r="B2523" s="388" t="s">
        <v>3679</v>
      </c>
      <c r="C2523" s="14"/>
    </row>
    <row r="2524" spans="1:3" x14ac:dyDescent="0.25">
      <c r="A2524" s="388">
        <v>43925</v>
      </c>
      <c r="B2524" s="388" t="s">
        <v>3679</v>
      </c>
      <c r="C2524" s="14"/>
    </row>
    <row r="2525" spans="1:3" x14ac:dyDescent="0.25">
      <c r="A2525" s="388">
        <v>43925</v>
      </c>
      <c r="B2525" s="388" t="s">
        <v>3679</v>
      </c>
      <c r="C2525" s="14"/>
    </row>
    <row r="2526" spans="1:3" x14ac:dyDescent="0.25">
      <c r="A2526" s="388">
        <v>43925</v>
      </c>
      <c r="B2526" s="388" t="s">
        <v>3679</v>
      </c>
      <c r="C2526" s="14"/>
    </row>
    <row r="2527" spans="1:3" x14ac:dyDescent="0.25">
      <c r="A2527" s="388">
        <v>43925</v>
      </c>
      <c r="B2527" s="388" t="s">
        <v>3679</v>
      </c>
      <c r="C2527" s="14"/>
    </row>
    <row r="2528" spans="1:3" x14ac:dyDescent="0.25">
      <c r="A2528" s="388">
        <v>43925</v>
      </c>
      <c r="B2528" s="388" t="s">
        <v>3679</v>
      </c>
      <c r="C2528" s="14"/>
    </row>
    <row r="2529" spans="1:3" x14ac:dyDescent="0.25">
      <c r="A2529" s="388">
        <v>43925</v>
      </c>
      <c r="B2529" s="388" t="s">
        <v>3681</v>
      </c>
      <c r="C2529" s="14"/>
    </row>
    <row r="2530" spans="1:3" x14ac:dyDescent="0.25">
      <c r="A2530" s="388">
        <v>43925</v>
      </c>
      <c r="B2530" s="388" t="s">
        <v>3679</v>
      </c>
      <c r="C2530" s="14"/>
    </row>
    <row r="2531" spans="1:3" x14ac:dyDescent="0.25">
      <c r="A2531" s="388">
        <v>43925</v>
      </c>
      <c r="B2531" s="388" t="s">
        <v>3679</v>
      </c>
      <c r="C2531" s="14"/>
    </row>
    <row r="2532" spans="1:3" x14ac:dyDescent="0.25">
      <c r="A2532" s="388">
        <v>43925</v>
      </c>
      <c r="B2532" s="388" t="s">
        <v>3681</v>
      </c>
      <c r="C2532" s="14"/>
    </row>
    <row r="2533" spans="1:3" x14ac:dyDescent="0.25">
      <c r="A2533" s="388">
        <v>43925</v>
      </c>
      <c r="B2533" s="388" t="s">
        <v>3678</v>
      </c>
      <c r="C2533" s="14"/>
    </row>
    <row r="2534" spans="1:3" x14ac:dyDescent="0.25">
      <c r="A2534" s="388">
        <v>43925</v>
      </c>
      <c r="B2534" s="388" t="s">
        <v>3678</v>
      </c>
      <c r="C2534" s="14"/>
    </row>
    <row r="2535" spans="1:3" x14ac:dyDescent="0.25">
      <c r="A2535" s="388">
        <v>43925</v>
      </c>
      <c r="B2535" s="388" t="s">
        <v>3679</v>
      </c>
      <c r="C2535" s="14"/>
    </row>
    <row r="2536" spans="1:3" x14ac:dyDescent="0.25">
      <c r="A2536" s="388">
        <v>43925</v>
      </c>
      <c r="B2536" s="388" t="s">
        <v>3679</v>
      </c>
      <c r="C2536" s="14"/>
    </row>
    <row r="2537" spans="1:3" x14ac:dyDescent="0.25">
      <c r="A2537" s="388">
        <v>43925</v>
      </c>
      <c r="B2537" s="388" t="s">
        <v>3680</v>
      </c>
      <c r="C2537" s="14"/>
    </row>
    <row r="2538" spans="1:3" x14ac:dyDescent="0.25">
      <c r="A2538" s="388">
        <v>43925</v>
      </c>
      <c r="B2538" s="388" t="s">
        <v>3679</v>
      </c>
      <c r="C2538" s="14"/>
    </row>
    <row r="2539" spans="1:3" x14ac:dyDescent="0.25">
      <c r="A2539" s="388">
        <v>43925</v>
      </c>
      <c r="B2539" s="388" t="s">
        <v>3679</v>
      </c>
      <c r="C2539" s="14"/>
    </row>
    <row r="2540" spans="1:3" x14ac:dyDescent="0.25">
      <c r="A2540" s="388">
        <v>43925</v>
      </c>
      <c r="B2540" s="388" t="s">
        <v>3679</v>
      </c>
      <c r="C2540" s="14"/>
    </row>
    <row r="2541" spans="1:3" x14ac:dyDescent="0.25">
      <c r="A2541" s="388">
        <v>43925</v>
      </c>
      <c r="B2541" s="388" t="s">
        <v>3678</v>
      </c>
      <c r="C2541" s="14"/>
    </row>
    <row r="2542" spans="1:3" x14ac:dyDescent="0.25">
      <c r="A2542" s="388">
        <v>43925</v>
      </c>
      <c r="B2542" s="388" t="s">
        <v>3678</v>
      </c>
      <c r="C2542" s="14"/>
    </row>
    <row r="2543" spans="1:3" x14ac:dyDescent="0.25">
      <c r="A2543" s="388">
        <v>43925</v>
      </c>
      <c r="B2543" s="388" t="s">
        <v>3679</v>
      </c>
      <c r="C2543" s="14"/>
    </row>
    <row r="2544" spans="1:3" x14ac:dyDescent="0.25">
      <c r="A2544" s="388">
        <v>43925</v>
      </c>
      <c r="B2544" s="388" t="s">
        <v>3679</v>
      </c>
      <c r="C2544" s="14"/>
    </row>
    <row r="2545" spans="1:3" x14ac:dyDescent="0.25">
      <c r="A2545" s="388">
        <v>43925</v>
      </c>
      <c r="B2545" s="388" t="s">
        <v>3679</v>
      </c>
      <c r="C2545" s="14"/>
    </row>
    <row r="2546" spans="1:3" x14ac:dyDescent="0.25">
      <c r="A2546" s="388">
        <v>43925</v>
      </c>
      <c r="B2546" s="388" t="s">
        <v>3680</v>
      </c>
      <c r="C2546" s="14"/>
    </row>
    <row r="2547" spans="1:3" x14ac:dyDescent="0.25">
      <c r="A2547" s="388">
        <v>43925</v>
      </c>
      <c r="B2547" s="388" t="s">
        <v>3680</v>
      </c>
      <c r="C2547" s="14"/>
    </row>
    <row r="2548" spans="1:3" x14ac:dyDescent="0.25">
      <c r="A2548" s="388">
        <v>43925</v>
      </c>
      <c r="B2548" s="388" t="s">
        <v>3679</v>
      </c>
      <c r="C2548" s="14"/>
    </row>
    <row r="2549" spans="1:3" x14ac:dyDescent="0.25">
      <c r="A2549" s="388">
        <v>43925</v>
      </c>
      <c r="B2549" s="388" t="s">
        <v>3678</v>
      </c>
      <c r="C2549" s="14"/>
    </row>
    <row r="2550" spans="1:3" x14ac:dyDescent="0.25">
      <c r="A2550" s="388">
        <v>43925</v>
      </c>
      <c r="B2550" s="388" t="s">
        <v>3678</v>
      </c>
      <c r="C2550" s="14"/>
    </row>
    <row r="2551" spans="1:3" x14ac:dyDescent="0.25">
      <c r="A2551" s="388">
        <v>43925</v>
      </c>
      <c r="B2551" s="388" t="s">
        <v>3680</v>
      </c>
      <c r="C2551" s="14"/>
    </row>
    <row r="2552" spans="1:3" x14ac:dyDescent="0.25">
      <c r="A2552" s="388">
        <v>43925</v>
      </c>
      <c r="B2552" s="388" t="s">
        <v>3680</v>
      </c>
      <c r="C2552" s="14"/>
    </row>
    <row r="2553" spans="1:3" x14ac:dyDescent="0.25">
      <c r="A2553" s="388">
        <v>43925</v>
      </c>
      <c r="B2553" s="388" t="s">
        <v>3680</v>
      </c>
      <c r="C2553" s="14"/>
    </row>
    <row r="2554" spans="1:3" x14ac:dyDescent="0.25">
      <c r="A2554" s="388">
        <v>43925</v>
      </c>
      <c r="B2554" s="388" t="s">
        <v>3681</v>
      </c>
      <c r="C2554" s="14"/>
    </row>
    <row r="2555" spans="1:3" x14ac:dyDescent="0.25">
      <c r="A2555" s="388">
        <v>43925</v>
      </c>
      <c r="B2555" s="388" t="s">
        <v>3679</v>
      </c>
      <c r="C2555" s="14"/>
    </row>
    <row r="2556" spans="1:3" x14ac:dyDescent="0.25">
      <c r="A2556" s="388">
        <v>43925</v>
      </c>
      <c r="B2556" s="388" t="s">
        <v>3679</v>
      </c>
      <c r="C2556" s="14"/>
    </row>
    <row r="2557" spans="1:3" x14ac:dyDescent="0.25">
      <c r="A2557" s="388">
        <v>43925</v>
      </c>
      <c r="B2557" s="388" t="s">
        <v>3680</v>
      </c>
      <c r="C2557" s="14"/>
    </row>
    <row r="2558" spans="1:3" x14ac:dyDescent="0.25">
      <c r="A2558" s="388">
        <v>43925</v>
      </c>
      <c r="B2558" s="388" t="s">
        <v>3678</v>
      </c>
      <c r="C2558" s="14"/>
    </row>
    <row r="2559" spans="1:3" x14ac:dyDescent="0.25">
      <c r="A2559" s="388">
        <v>43925</v>
      </c>
      <c r="B2559" s="388" t="s">
        <v>3678</v>
      </c>
      <c r="C2559" s="14"/>
    </row>
    <row r="2560" spans="1:3" x14ac:dyDescent="0.25">
      <c r="A2560" s="388">
        <v>43925</v>
      </c>
      <c r="B2560" s="388" t="s">
        <v>3678</v>
      </c>
      <c r="C2560" s="14"/>
    </row>
    <row r="2561" spans="1:3" x14ac:dyDescent="0.25">
      <c r="A2561" s="388">
        <v>43925</v>
      </c>
      <c r="B2561" s="388" t="s">
        <v>3678</v>
      </c>
      <c r="C2561" s="14"/>
    </row>
    <row r="2562" spans="1:3" x14ac:dyDescent="0.25">
      <c r="A2562" s="388">
        <v>43925</v>
      </c>
      <c r="B2562" s="388" t="s">
        <v>3679</v>
      </c>
      <c r="C2562" s="14"/>
    </row>
    <row r="2563" spans="1:3" x14ac:dyDescent="0.25">
      <c r="A2563" s="388">
        <v>43925</v>
      </c>
      <c r="B2563" s="388" t="s">
        <v>3678</v>
      </c>
      <c r="C2563" s="14"/>
    </row>
    <row r="2564" spans="1:3" x14ac:dyDescent="0.25">
      <c r="A2564" s="388">
        <v>43925</v>
      </c>
      <c r="B2564" s="388" t="s">
        <v>3679</v>
      </c>
      <c r="C2564" s="14"/>
    </row>
    <row r="2565" spans="1:3" x14ac:dyDescent="0.25">
      <c r="A2565" s="388">
        <v>43925</v>
      </c>
      <c r="B2565" s="388" t="s">
        <v>3680</v>
      </c>
      <c r="C2565" s="14"/>
    </row>
    <row r="2566" spans="1:3" x14ac:dyDescent="0.25">
      <c r="A2566" s="388">
        <v>43925</v>
      </c>
      <c r="B2566" s="388" t="s">
        <v>3680</v>
      </c>
      <c r="C2566" s="14"/>
    </row>
    <row r="2567" spans="1:3" x14ac:dyDescent="0.25">
      <c r="A2567" s="388">
        <v>43925</v>
      </c>
      <c r="B2567" s="388" t="s">
        <v>3680</v>
      </c>
      <c r="C2567" s="14"/>
    </row>
    <row r="2568" spans="1:3" x14ac:dyDescent="0.25">
      <c r="A2568" s="388">
        <v>43926</v>
      </c>
      <c r="B2568" s="388" t="s">
        <v>3678</v>
      </c>
      <c r="C2568" s="14"/>
    </row>
    <row r="2569" spans="1:3" x14ac:dyDescent="0.25">
      <c r="A2569" s="388">
        <v>43926</v>
      </c>
      <c r="B2569" s="388" t="s">
        <v>3680</v>
      </c>
      <c r="C2569" s="14"/>
    </row>
    <row r="2570" spans="1:3" x14ac:dyDescent="0.25">
      <c r="A2570" s="388">
        <v>43926</v>
      </c>
      <c r="B2570" s="388" t="s">
        <v>3679</v>
      </c>
      <c r="C2570" s="14"/>
    </row>
    <row r="2571" spans="1:3" x14ac:dyDescent="0.25">
      <c r="A2571" s="388">
        <v>43926</v>
      </c>
      <c r="B2571" s="388" t="s">
        <v>3678</v>
      </c>
      <c r="C2571" s="14"/>
    </row>
    <row r="2572" spans="1:3" x14ac:dyDescent="0.25">
      <c r="A2572" s="388">
        <v>43926</v>
      </c>
      <c r="B2572" s="388" t="s">
        <v>3679</v>
      </c>
      <c r="C2572" s="14"/>
    </row>
    <row r="2573" spans="1:3" x14ac:dyDescent="0.25">
      <c r="A2573" s="388">
        <v>43926</v>
      </c>
      <c r="B2573" s="388" t="s">
        <v>3680</v>
      </c>
      <c r="C2573" s="14"/>
    </row>
    <row r="2574" spans="1:3" x14ac:dyDescent="0.25">
      <c r="A2574" s="388">
        <v>43926</v>
      </c>
      <c r="B2574" s="388" t="s">
        <v>3678</v>
      </c>
      <c r="C2574" s="14"/>
    </row>
    <row r="2575" spans="1:3" x14ac:dyDescent="0.25">
      <c r="A2575" s="388">
        <v>43926</v>
      </c>
      <c r="B2575" s="388" t="s">
        <v>3679</v>
      </c>
      <c r="C2575" s="14"/>
    </row>
    <row r="2576" spans="1:3" x14ac:dyDescent="0.25">
      <c r="A2576" s="388">
        <v>43926</v>
      </c>
      <c r="B2576" s="388" t="s">
        <v>3679</v>
      </c>
      <c r="C2576" s="14"/>
    </row>
    <row r="2577" spans="1:3" x14ac:dyDescent="0.25">
      <c r="A2577" s="388">
        <v>43926</v>
      </c>
      <c r="B2577" s="388" t="s">
        <v>3680</v>
      </c>
      <c r="C2577" s="14"/>
    </row>
    <row r="2578" spans="1:3" x14ac:dyDescent="0.25">
      <c r="A2578" s="388">
        <v>43926</v>
      </c>
      <c r="B2578" s="388" t="s">
        <v>3678</v>
      </c>
      <c r="C2578" s="14"/>
    </row>
    <row r="2579" spans="1:3" x14ac:dyDescent="0.25">
      <c r="A2579" s="388">
        <v>43926</v>
      </c>
      <c r="B2579" s="388" t="s">
        <v>3678</v>
      </c>
      <c r="C2579" s="14"/>
    </row>
    <row r="2580" spans="1:3" x14ac:dyDescent="0.25">
      <c r="A2580" s="388">
        <v>43926</v>
      </c>
      <c r="B2580" s="388" t="s">
        <v>3679</v>
      </c>
      <c r="C2580" s="14"/>
    </row>
    <row r="2581" spans="1:3" x14ac:dyDescent="0.25">
      <c r="A2581" s="388">
        <v>43926</v>
      </c>
      <c r="B2581" s="388" t="s">
        <v>3679</v>
      </c>
      <c r="C2581" s="14"/>
    </row>
    <row r="2582" spans="1:3" x14ac:dyDescent="0.25">
      <c r="A2582" s="388">
        <v>43926</v>
      </c>
      <c r="B2582" s="388" t="s">
        <v>3678</v>
      </c>
      <c r="C2582" s="14"/>
    </row>
    <row r="2583" spans="1:3" x14ac:dyDescent="0.25">
      <c r="A2583" s="388">
        <v>43926</v>
      </c>
      <c r="B2583" s="388" t="s">
        <v>3678</v>
      </c>
      <c r="C2583" s="14"/>
    </row>
    <row r="2584" spans="1:3" x14ac:dyDescent="0.25">
      <c r="A2584" s="388">
        <v>43926</v>
      </c>
      <c r="B2584" s="388" t="s">
        <v>3679</v>
      </c>
      <c r="C2584" s="14"/>
    </row>
    <row r="2585" spans="1:3" x14ac:dyDescent="0.25">
      <c r="A2585" s="388">
        <v>43926</v>
      </c>
      <c r="B2585" s="388" t="s">
        <v>3679</v>
      </c>
      <c r="C2585" s="14"/>
    </row>
    <row r="2586" spans="1:3" x14ac:dyDescent="0.25">
      <c r="A2586" s="388">
        <v>43926</v>
      </c>
      <c r="B2586" s="388" t="s">
        <v>3678</v>
      </c>
      <c r="C2586" s="14"/>
    </row>
    <row r="2587" spans="1:3" x14ac:dyDescent="0.25">
      <c r="A2587" s="388">
        <v>43926</v>
      </c>
      <c r="B2587" s="388" t="s">
        <v>3679</v>
      </c>
      <c r="C2587" s="14"/>
    </row>
    <row r="2588" spans="1:3" x14ac:dyDescent="0.25">
      <c r="A2588" s="388">
        <v>43926</v>
      </c>
      <c r="B2588" s="388" t="s">
        <v>3679</v>
      </c>
      <c r="C2588" s="14"/>
    </row>
    <row r="2589" spans="1:3" x14ac:dyDescent="0.25">
      <c r="A2589" s="388">
        <v>43926</v>
      </c>
      <c r="B2589" s="388" t="s">
        <v>3679</v>
      </c>
      <c r="C2589" s="14"/>
    </row>
    <row r="2590" spans="1:3" x14ac:dyDescent="0.25">
      <c r="A2590" s="388">
        <v>43926</v>
      </c>
      <c r="B2590" s="388" t="s">
        <v>3679</v>
      </c>
      <c r="C2590" s="14"/>
    </row>
    <row r="2591" spans="1:3" x14ac:dyDescent="0.25">
      <c r="A2591" s="388">
        <v>43926</v>
      </c>
      <c r="B2591" s="388" t="s">
        <v>3678</v>
      </c>
      <c r="C2591" s="14"/>
    </row>
    <row r="2592" spans="1:3" x14ac:dyDescent="0.25">
      <c r="A2592" s="388">
        <v>43926</v>
      </c>
      <c r="B2592" s="388" t="s">
        <v>3679</v>
      </c>
      <c r="C2592" s="14"/>
    </row>
    <row r="2593" spans="1:3" x14ac:dyDescent="0.25">
      <c r="A2593" s="388">
        <v>43926</v>
      </c>
      <c r="B2593" s="388" t="s">
        <v>3678</v>
      </c>
      <c r="C2593" s="14"/>
    </row>
    <row r="2594" spans="1:3" x14ac:dyDescent="0.25">
      <c r="A2594" s="388">
        <v>43926</v>
      </c>
      <c r="B2594" s="388" t="s">
        <v>3678</v>
      </c>
      <c r="C2594" s="14"/>
    </row>
    <row r="2595" spans="1:3" x14ac:dyDescent="0.25">
      <c r="A2595" s="388">
        <v>43926</v>
      </c>
      <c r="B2595" s="388" t="s">
        <v>3681</v>
      </c>
      <c r="C2595" s="14"/>
    </row>
    <row r="2596" spans="1:3" x14ac:dyDescent="0.25">
      <c r="A2596" s="388">
        <v>43926</v>
      </c>
      <c r="B2596" s="388" t="s">
        <v>3678</v>
      </c>
      <c r="C2596" s="14"/>
    </row>
    <row r="2597" spans="1:3" x14ac:dyDescent="0.25">
      <c r="A2597" s="388">
        <v>43926</v>
      </c>
      <c r="B2597" s="388" t="s">
        <v>3679</v>
      </c>
      <c r="C2597" s="14"/>
    </row>
    <row r="2598" spans="1:3" x14ac:dyDescent="0.25">
      <c r="A2598" s="388">
        <v>43926</v>
      </c>
      <c r="B2598" s="388" t="s">
        <v>3678</v>
      </c>
      <c r="C2598" s="14"/>
    </row>
    <row r="2599" spans="1:3" x14ac:dyDescent="0.25">
      <c r="A2599" s="388">
        <v>43926</v>
      </c>
      <c r="B2599" s="388" t="s">
        <v>3678</v>
      </c>
      <c r="C2599" s="14"/>
    </row>
    <row r="2600" spans="1:3" x14ac:dyDescent="0.25">
      <c r="A2600" s="388">
        <v>43926</v>
      </c>
      <c r="B2600" s="388" t="s">
        <v>3679</v>
      </c>
      <c r="C2600" s="14"/>
    </row>
    <row r="2601" spans="1:3" x14ac:dyDescent="0.25">
      <c r="A2601" s="388">
        <v>43926</v>
      </c>
      <c r="B2601" s="388" t="s">
        <v>3679</v>
      </c>
      <c r="C2601" s="14"/>
    </row>
    <row r="2602" spans="1:3" x14ac:dyDescent="0.25">
      <c r="A2602" s="388">
        <v>43926</v>
      </c>
      <c r="B2602" s="388" t="s">
        <v>3679</v>
      </c>
      <c r="C2602" s="14"/>
    </row>
    <row r="2603" spans="1:3" x14ac:dyDescent="0.25">
      <c r="A2603" s="388">
        <v>43926</v>
      </c>
      <c r="B2603" s="388" t="s">
        <v>3679</v>
      </c>
      <c r="C2603" s="14"/>
    </row>
    <row r="2604" spans="1:3" x14ac:dyDescent="0.25">
      <c r="A2604" s="388">
        <v>43926</v>
      </c>
      <c r="B2604" s="388" t="s">
        <v>3678</v>
      </c>
      <c r="C2604" s="14"/>
    </row>
    <row r="2605" spans="1:3" x14ac:dyDescent="0.25">
      <c r="A2605" s="388">
        <v>43926</v>
      </c>
      <c r="B2605" s="388" t="s">
        <v>3680</v>
      </c>
      <c r="C2605" s="14"/>
    </row>
    <row r="2606" spans="1:3" x14ac:dyDescent="0.25">
      <c r="A2606" s="388">
        <v>43926</v>
      </c>
      <c r="B2606" s="388" t="s">
        <v>3680</v>
      </c>
      <c r="C2606" s="14"/>
    </row>
    <row r="2607" spans="1:3" x14ac:dyDescent="0.25">
      <c r="A2607" s="388">
        <v>43926</v>
      </c>
      <c r="B2607" s="388" t="s">
        <v>3679</v>
      </c>
      <c r="C2607" s="14"/>
    </row>
    <row r="2608" spans="1:3" x14ac:dyDescent="0.25">
      <c r="A2608" s="388">
        <v>43926</v>
      </c>
      <c r="B2608" s="388" t="s">
        <v>3679</v>
      </c>
      <c r="C2608" s="14"/>
    </row>
    <row r="2609" spans="1:3" x14ac:dyDescent="0.25">
      <c r="A2609" s="388">
        <v>43926</v>
      </c>
      <c r="B2609" s="388" t="s">
        <v>3679</v>
      </c>
      <c r="C2609" s="14"/>
    </row>
    <row r="2610" spans="1:3" x14ac:dyDescent="0.25">
      <c r="A2610" s="388">
        <v>43926</v>
      </c>
      <c r="B2610" s="388" t="s">
        <v>3678</v>
      </c>
      <c r="C2610" s="14"/>
    </row>
    <row r="2611" spans="1:3" x14ac:dyDescent="0.25">
      <c r="A2611" s="388">
        <v>43926</v>
      </c>
      <c r="B2611" s="388" t="s">
        <v>3680</v>
      </c>
      <c r="C2611" s="14"/>
    </row>
    <row r="2612" spans="1:3" x14ac:dyDescent="0.25">
      <c r="A2612" s="388">
        <v>43926</v>
      </c>
      <c r="B2612" s="388" t="s">
        <v>3678</v>
      </c>
      <c r="C2612" s="14"/>
    </row>
    <row r="2613" spans="1:3" x14ac:dyDescent="0.25">
      <c r="A2613" s="388">
        <v>43926</v>
      </c>
      <c r="B2613" s="388" t="s">
        <v>3680</v>
      </c>
      <c r="C2613" s="14"/>
    </row>
    <row r="2614" spans="1:3" x14ac:dyDescent="0.25">
      <c r="A2614" s="388">
        <v>43926</v>
      </c>
      <c r="B2614" s="388" t="s">
        <v>3680</v>
      </c>
      <c r="C2614" s="14"/>
    </row>
    <row r="2615" spans="1:3" x14ac:dyDescent="0.25">
      <c r="A2615" s="388">
        <v>43926</v>
      </c>
      <c r="B2615" s="388" t="s">
        <v>3678</v>
      </c>
      <c r="C2615" s="14"/>
    </row>
    <row r="2616" spans="1:3" x14ac:dyDescent="0.25">
      <c r="A2616" s="388">
        <v>43926</v>
      </c>
      <c r="B2616" s="388" t="s">
        <v>3678</v>
      </c>
      <c r="C2616" s="14"/>
    </row>
    <row r="2617" spans="1:3" x14ac:dyDescent="0.25">
      <c r="A2617" s="388">
        <v>43926</v>
      </c>
      <c r="B2617" s="388" t="s">
        <v>3679</v>
      </c>
      <c r="C2617" s="14"/>
    </row>
    <row r="2618" spans="1:3" x14ac:dyDescent="0.25">
      <c r="A2618" s="388">
        <v>43926</v>
      </c>
      <c r="B2618" s="388" t="s">
        <v>3679</v>
      </c>
      <c r="C2618" s="14"/>
    </row>
    <row r="2619" spans="1:3" x14ac:dyDescent="0.25">
      <c r="A2619" s="388">
        <v>43926</v>
      </c>
      <c r="B2619" s="388" t="s">
        <v>3679</v>
      </c>
      <c r="C2619" s="14"/>
    </row>
    <row r="2620" spans="1:3" x14ac:dyDescent="0.25">
      <c r="A2620" s="388">
        <v>43926</v>
      </c>
      <c r="B2620" s="388" t="s">
        <v>3679</v>
      </c>
      <c r="C2620" s="14"/>
    </row>
    <row r="2621" spans="1:3" x14ac:dyDescent="0.25">
      <c r="A2621" s="388">
        <v>43926</v>
      </c>
      <c r="B2621" s="388" t="s">
        <v>3679</v>
      </c>
      <c r="C2621" s="14"/>
    </row>
    <row r="2622" spans="1:3" x14ac:dyDescent="0.25">
      <c r="A2622" s="388">
        <v>43926</v>
      </c>
      <c r="B2622" s="388" t="s">
        <v>3679</v>
      </c>
      <c r="C2622" s="14"/>
    </row>
    <row r="2623" spans="1:3" x14ac:dyDescent="0.25">
      <c r="A2623" s="388">
        <v>43926</v>
      </c>
      <c r="B2623" s="388" t="s">
        <v>3679</v>
      </c>
      <c r="C2623" s="14"/>
    </row>
    <row r="2624" spans="1:3" x14ac:dyDescent="0.25">
      <c r="A2624" s="388">
        <v>43927</v>
      </c>
      <c r="B2624" s="388" t="s">
        <v>3679</v>
      </c>
      <c r="C2624" s="14"/>
    </row>
    <row r="2625" spans="1:3" x14ac:dyDescent="0.25">
      <c r="A2625" s="388">
        <v>43927</v>
      </c>
      <c r="B2625" s="388" t="s">
        <v>3679</v>
      </c>
      <c r="C2625" s="14"/>
    </row>
    <row r="2626" spans="1:3" x14ac:dyDescent="0.25">
      <c r="A2626" s="388">
        <v>43927</v>
      </c>
      <c r="B2626" s="388" t="s">
        <v>3680</v>
      </c>
      <c r="C2626" s="14"/>
    </row>
    <row r="2627" spans="1:3" x14ac:dyDescent="0.25">
      <c r="A2627" s="388">
        <v>43927</v>
      </c>
      <c r="B2627" s="388" t="s">
        <v>3678</v>
      </c>
      <c r="C2627" s="14"/>
    </row>
    <row r="2628" spans="1:3" x14ac:dyDescent="0.25">
      <c r="A2628" s="388">
        <v>43927</v>
      </c>
      <c r="B2628" s="388" t="s">
        <v>3679</v>
      </c>
      <c r="C2628" s="14"/>
    </row>
    <row r="2629" spans="1:3" x14ac:dyDescent="0.25">
      <c r="A2629" s="388">
        <v>43927</v>
      </c>
      <c r="B2629" s="388" t="s">
        <v>3678</v>
      </c>
      <c r="C2629" s="14"/>
    </row>
    <row r="2630" spans="1:3" x14ac:dyDescent="0.25">
      <c r="A2630" s="388">
        <v>43927</v>
      </c>
      <c r="B2630" s="388" t="s">
        <v>3678</v>
      </c>
      <c r="C2630" s="14"/>
    </row>
    <row r="2631" spans="1:3" x14ac:dyDescent="0.25">
      <c r="A2631" s="388">
        <v>43927</v>
      </c>
      <c r="B2631" s="388" t="s">
        <v>3678</v>
      </c>
      <c r="C2631" s="14"/>
    </row>
    <row r="2632" spans="1:3" x14ac:dyDescent="0.25">
      <c r="A2632" s="388">
        <v>43927</v>
      </c>
      <c r="B2632" s="388" t="s">
        <v>3680</v>
      </c>
      <c r="C2632" s="14"/>
    </row>
    <row r="2633" spans="1:3" x14ac:dyDescent="0.25">
      <c r="A2633" s="388">
        <v>43927</v>
      </c>
      <c r="B2633" s="388" t="s">
        <v>3678</v>
      </c>
      <c r="C2633" s="14"/>
    </row>
    <row r="2634" spans="1:3" x14ac:dyDescent="0.25">
      <c r="A2634" s="388">
        <v>43927</v>
      </c>
      <c r="B2634" s="388" t="s">
        <v>3678</v>
      </c>
      <c r="C2634" s="14"/>
    </row>
    <row r="2635" spans="1:3" x14ac:dyDescent="0.25">
      <c r="A2635" s="388">
        <v>43927</v>
      </c>
      <c r="B2635" s="388" t="s">
        <v>3680</v>
      </c>
      <c r="C2635" s="14"/>
    </row>
    <row r="2636" spans="1:3" x14ac:dyDescent="0.25">
      <c r="A2636" s="388">
        <v>43927</v>
      </c>
      <c r="B2636" s="388" t="s">
        <v>3679</v>
      </c>
      <c r="C2636" s="14"/>
    </row>
    <row r="2637" spans="1:3" x14ac:dyDescent="0.25">
      <c r="A2637" s="388">
        <v>43927</v>
      </c>
      <c r="B2637" s="388" t="s">
        <v>3678</v>
      </c>
      <c r="C2637" s="14"/>
    </row>
    <row r="2638" spans="1:3" x14ac:dyDescent="0.25">
      <c r="A2638" s="388">
        <v>43927</v>
      </c>
      <c r="B2638" s="388" t="s">
        <v>3680</v>
      </c>
      <c r="C2638" s="14"/>
    </row>
    <row r="2639" spans="1:3" x14ac:dyDescent="0.25">
      <c r="A2639" s="388">
        <v>43927</v>
      </c>
      <c r="B2639" s="388" t="s">
        <v>3678</v>
      </c>
      <c r="C2639" s="14"/>
    </row>
    <row r="2640" spans="1:3" x14ac:dyDescent="0.25">
      <c r="A2640" s="388">
        <v>43927</v>
      </c>
      <c r="B2640" s="388" t="s">
        <v>3679</v>
      </c>
      <c r="C2640" s="14"/>
    </row>
    <row r="2641" spans="1:3" x14ac:dyDescent="0.25">
      <c r="A2641" s="388">
        <v>43927</v>
      </c>
      <c r="B2641" s="388" t="s">
        <v>3678</v>
      </c>
      <c r="C2641" s="14"/>
    </row>
    <row r="2642" spans="1:3" x14ac:dyDescent="0.25">
      <c r="A2642" s="388">
        <v>43927</v>
      </c>
      <c r="B2642" s="388" t="s">
        <v>3679</v>
      </c>
      <c r="C2642" s="14"/>
    </row>
    <row r="2643" spans="1:3" x14ac:dyDescent="0.25">
      <c r="A2643" s="388">
        <v>43927</v>
      </c>
      <c r="B2643" s="388" t="s">
        <v>3679</v>
      </c>
      <c r="C2643" s="14"/>
    </row>
    <row r="2644" spans="1:3" x14ac:dyDescent="0.25">
      <c r="A2644" s="388">
        <v>43927</v>
      </c>
      <c r="B2644" s="388" t="s">
        <v>3679</v>
      </c>
      <c r="C2644" s="14"/>
    </row>
    <row r="2645" spans="1:3" x14ac:dyDescent="0.25">
      <c r="A2645" s="388">
        <v>43927</v>
      </c>
      <c r="B2645" s="388" t="s">
        <v>3679</v>
      </c>
      <c r="C2645" s="14"/>
    </row>
    <row r="2646" spans="1:3" x14ac:dyDescent="0.25">
      <c r="A2646" s="388">
        <v>43927</v>
      </c>
      <c r="B2646" s="388" t="s">
        <v>3680</v>
      </c>
      <c r="C2646" s="14"/>
    </row>
    <row r="2647" spans="1:3" x14ac:dyDescent="0.25">
      <c r="A2647" s="388">
        <v>43927</v>
      </c>
      <c r="B2647" s="388" t="s">
        <v>3678</v>
      </c>
      <c r="C2647" s="14"/>
    </row>
    <row r="2648" spans="1:3" x14ac:dyDescent="0.25">
      <c r="A2648" s="388">
        <v>43927</v>
      </c>
      <c r="B2648" s="388" t="s">
        <v>3679</v>
      </c>
      <c r="C2648" s="14"/>
    </row>
    <row r="2649" spans="1:3" x14ac:dyDescent="0.25">
      <c r="A2649" s="388">
        <v>43927</v>
      </c>
      <c r="B2649" s="388" t="s">
        <v>3679</v>
      </c>
      <c r="C2649" s="14"/>
    </row>
    <row r="2650" spans="1:3" x14ac:dyDescent="0.25">
      <c r="A2650" s="388">
        <v>43927</v>
      </c>
      <c r="B2650" s="388" t="s">
        <v>3681</v>
      </c>
      <c r="C2650" s="14"/>
    </row>
    <row r="2651" spans="1:3" x14ac:dyDescent="0.25">
      <c r="A2651" s="388">
        <v>43927</v>
      </c>
      <c r="B2651" s="388" t="s">
        <v>3680</v>
      </c>
      <c r="C2651" s="14"/>
    </row>
    <row r="2652" spans="1:3" x14ac:dyDescent="0.25">
      <c r="A2652" s="388">
        <v>43927</v>
      </c>
      <c r="B2652" s="388" t="s">
        <v>3679</v>
      </c>
      <c r="C2652" s="14"/>
    </row>
    <row r="2653" spans="1:3" x14ac:dyDescent="0.25">
      <c r="A2653" s="388">
        <v>43927</v>
      </c>
      <c r="B2653" s="388" t="s">
        <v>3679</v>
      </c>
      <c r="C2653" s="14"/>
    </row>
    <row r="2654" spans="1:3" x14ac:dyDescent="0.25">
      <c r="A2654" s="388">
        <v>43927</v>
      </c>
      <c r="B2654" s="388" t="s">
        <v>3679</v>
      </c>
      <c r="C2654" s="14"/>
    </row>
    <row r="2655" spans="1:3" x14ac:dyDescent="0.25">
      <c r="A2655" s="388">
        <v>43927</v>
      </c>
      <c r="B2655" s="388" t="s">
        <v>3679</v>
      </c>
      <c r="C2655" s="14"/>
    </row>
    <row r="2656" spans="1:3" x14ac:dyDescent="0.25">
      <c r="A2656" s="388">
        <v>43927</v>
      </c>
      <c r="B2656" s="388" t="s">
        <v>3679</v>
      </c>
      <c r="C2656" s="14"/>
    </row>
    <row r="2657" spans="1:3" x14ac:dyDescent="0.25">
      <c r="A2657" s="388">
        <v>43927</v>
      </c>
      <c r="B2657" s="388" t="s">
        <v>3678</v>
      </c>
      <c r="C2657" s="14"/>
    </row>
    <row r="2658" spans="1:3" x14ac:dyDescent="0.25">
      <c r="A2658" s="388">
        <v>43927</v>
      </c>
      <c r="B2658" s="388" t="s">
        <v>3679</v>
      </c>
      <c r="C2658" s="14"/>
    </row>
    <row r="2659" spans="1:3" x14ac:dyDescent="0.25">
      <c r="A2659" s="388">
        <v>43928</v>
      </c>
      <c r="B2659" s="388" t="s">
        <v>3680</v>
      </c>
      <c r="C2659" s="14"/>
    </row>
    <row r="2660" spans="1:3" x14ac:dyDescent="0.25">
      <c r="A2660" s="388">
        <v>43928</v>
      </c>
      <c r="B2660" s="388" t="s">
        <v>3679</v>
      </c>
      <c r="C2660" s="14"/>
    </row>
    <row r="2661" spans="1:3" x14ac:dyDescent="0.25">
      <c r="A2661" s="388">
        <v>43928</v>
      </c>
      <c r="B2661" s="388" t="s">
        <v>3680</v>
      </c>
      <c r="C2661" s="14"/>
    </row>
    <row r="2662" spans="1:3" x14ac:dyDescent="0.25">
      <c r="A2662" s="388">
        <v>43928</v>
      </c>
      <c r="B2662" s="388" t="s">
        <v>3678</v>
      </c>
      <c r="C2662" s="14"/>
    </row>
    <row r="2663" spans="1:3" x14ac:dyDescent="0.25">
      <c r="A2663" s="388">
        <v>43928</v>
      </c>
      <c r="B2663" s="388" t="s">
        <v>3679</v>
      </c>
      <c r="C2663" s="14"/>
    </row>
    <row r="2664" spans="1:3" x14ac:dyDescent="0.25">
      <c r="A2664" s="388">
        <v>43928</v>
      </c>
      <c r="B2664" s="388" t="s">
        <v>3678</v>
      </c>
      <c r="C2664" s="14"/>
    </row>
    <row r="2665" spans="1:3" x14ac:dyDescent="0.25">
      <c r="A2665" s="388">
        <v>43928</v>
      </c>
      <c r="B2665" s="388" t="s">
        <v>3678</v>
      </c>
      <c r="C2665" s="14"/>
    </row>
    <row r="2666" spans="1:3" x14ac:dyDescent="0.25">
      <c r="A2666" s="388">
        <v>43928</v>
      </c>
      <c r="B2666" s="388" t="s">
        <v>3678</v>
      </c>
      <c r="C2666" s="14"/>
    </row>
    <row r="2667" spans="1:3" x14ac:dyDescent="0.25">
      <c r="A2667" s="388">
        <v>43928</v>
      </c>
      <c r="B2667" s="388" t="s">
        <v>3678</v>
      </c>
      <c r="C2667" s="14"/>
    </row>
    <row r="2668" spans="1:3" x14ac:dyDescent="0.25">
      <c r="A2668" s="388">
        <v>43928</v>
      </c>
      <c r="B2668" s="388" t="s">
        <v>3678</v>
      </c>
      <c r="C2668" s="14"/>
    </row>
    <row r="2669" spans="1:3" x14ac:dyDescent="0.25">
      <c r="A2669" s="388">
        <v>43928</v>
      </c>
      <c r="B2669" s="388" t="s">
        <v>3678</v>
      </c>
      <c r="C2669" s="14"/>
    </row>
    <row r="2670" spans="1:3" x14ac:dyDescent="0.25">
      <c r="A2670" s="388">
        <v>43928</v>
      </c>
      <c r="B2670" s="388" t="s">
        <v>3678</v>
      </c>
      <c r="C2670" s="14"/>
    </row>
    <row r="2671" spans="1:3" x14ac:dyDescent="0.25">
      <c r="A2671" s="388">
        <v>43928</v>
      </c>
      <c r="B2671" s="388" t="s">
        <v>3678</v>
      </c>
      <c r="C2671" s="14"/>
    </row>
    <row r="2672" spans="1:3" x14ac:dyDescent="0.25">
      <c r="A2672" s="388">
        <v>43928</v>
      </c>
      <c r="B2672" s="388" t="s">
        <v>3678</v>
      </c>
      <c r="C2672" s="14"/>
    </row>
    <row r="2673" spans="1:3" x14ac:dyDescent="0.25">
      <c r="A2673" s="388">
        <v>43928</v>
      </c>
      <c r="B2673" s="388" t="s">
        <v>3678</v>
      </c>
      <c r="C2673" s="14"/>
    </row>
    <row r="2674" spans="1:3" x14ac:dyDescent="0.25">
      <c r="A2674" s="388">
        <v>43928</v>
      </c>
      <c r="B2674" s="388" t="s">
        <v>3678</v>
      </c>
      <c r="C2674" s="14"/>
    </row>
    <row r="2675" spans="1:3" x14ac:dyDescent="0.25">
      <c r="A2675" s="388">
        <v>43928</v>
      </c>
      <c r="B2675" s="388" t="s">
        <v>3678</v>
      </c>
      <c r="C2675" s="14"/>
    </row>
    <row r="2676" spans="1:3" x14ac:dyDescent="0.25">
      <c r="A2676" s="388">
        <v>43928</v>
      </c>
      <c r="B2676" s="388" t="s">
        <v>3680</v>
      </c>
      <c r="C2676" s="14"/>
    </row>
    <row r="2677" spans="1:3" x14ac:dyDescent="0.25">
      <c r="A2677" s="388">
        <v>43928</v>
      </c>
      <c r="B2677" s="388" t="s">
        <v>3678</v>
      </c>
      <c r="C2677" s="14"/>
    </row>
    <row r="2678" spans="1:3" x14ac:dyDescent="0.25">
      <c r="A2678" s="388">
        <v>43928</v>
      </c>
      <c r="B2678" s="388" t="s">
        <v>3680</v>
      </c>
      <c r="C2678" s="14"/>
    </row>
    <row r="2679" spans="1:3" x14ac:dyDescent="0.25">
      <c r="A2679" s="388">
        <v>43928</v>
      </c>
      <c r="B2679" s="388" t="s">
        <v>3679</v>
      </c>
      <c r="C2679" s="14"/>
    </row>
    <row r="2680" spans="1:3" x14ac:dyDescent="0.25">
      <c r="A2680" s="388">
        <v>43928</v>
      </c>
      <c r="B2680" s="388" t="s">
        <v>3678</v>
      </c>
      <c r="C2680" s="14"/>
    </row>
    <row r="2681" spans="1:3" x14ac:dyDescent="0.25">
      <c r="A2681" s="388">
        <v>43928</v>
      </c>
      <c r="B2681" s="388" t="s">
        <v>3680</v>
      </c>
      <c r="C2681" s="14"/>
    </row>
    <row r="2682" spans="1:3" x14ac:dyDescent="0.25">
      <c r="A2682" s="388">
        <v>43928</v>
      </c>
      <c r="B2682" s="388" t="s">
        <v>3680</v>
      </c>
      <c r="C2682" s="14"/>
    </row>
    <row r="2683" spans="1:3" x14ac:dyDescent="0.25">
      <c r="A2683" s="388">
        <v>43928</v>
      </c>
      <c r="B2683" s="388" t="s">
        <v>3679</v>
      </c>
      <c r="C2683" s="14"/>
    </row>
    <row r="2684" spans="1:3" x14ac:dyDescent="0.25">
      <c r="A2684" s="388">
        <v>43928</v>
      </c>
      <c r="B2684" s="388" t="s">
        <v>3678</v>
      </c>
      <c r="C2684" s="14"/>
    </row>
    <row r="2685" spans="1:3" x14ac:dyDescent="0.25">
      <c r="A2685" s="388">
        <v>43928</v>
      </c>
      <c r="B2685" s="388" t="s">
        <v>3679</v>
      </c>
      <c r="C2685" s="14"/>
    </row>
    <row r="2686" spans="1:3" x14ac:dyDescent="0.25">
      <c r="A2686" s="388">
        <v>43928</v>
      </c>
      <c r="B2686" s="388" t="s">
        <v>3679</v>
      </c>
      <c r="C2686" s="14"/>
    </row>
    <row r="2687" spans="1:3" x14ac:dyDescent="0.25">
      <c r="A2687" s="388">
        <v>43928</v>
      </c>
      <c r="B2687" s="388" t="s">
        <v>3679</v>
      </c>
      <c r="C2687" s="14"/>
    </row>
    <row r="2688" spans="1:3" x14ac:dyDescent="0.25">
      <c r="A2688" s="388">
        <v>43928</v>
      </c>
      <c r="B2688" s="388" t="s">
        <v>3680</v>
      </c>
      <c r="C2688" s="14"/>
    </row>
    <row r="2689" spans="1:3" x14ac:dyDescent="0.25">
      <c r="A2689" s="388">
        <v>43929</v>
      </c>
      <c r="B2689" s="388" t="s">
        <v>3680</v>
      </c>
      <c r="C2689" s="14"/>
    </row>
    <row r="2690" spans="1:3" x14ac:dyDescent="0.25">
      <c r="A2690" s="388">
        <v>43929</v>
      </c>
      <c r="B2690" s="388" t="s">
        <v>3680</v>
      </c>
      <c r="C2690" s="14"/>
    </row>
    <row r="2691" spans="1:3" x14ac:dyDescent="0.25">
      <c r="A2691" s="388">
        <v>43929</v>
      </c>
      <c r="B2691" s="388" t="s">
        <v>3678</v>
      </c>
      <c r="C2691" s="14"/>
    </row>
    <row r="2692" spans="1:3" x14ac:dyDescent="0.25">
      <c r="A2692" s="388">
        <v>43929</v>
      </c>
      <c r="B2692" s="388" t="s">
        <v>3679</v>
      </c>
      <c r="C2692" s="14"/>
    </row>
    <row r="2693" spans="1:3" x14ac:dyDescent="0.25">
      <c r="A2693" s="388">
        <v>43929</v>
      </c>
      <c r="B2693" s="388" t="s">
        <v>3679</v>
      </c>
      <c r="C2693" s="14"/>
    </row>
    <row r="2694" spans="1:3" x14ac:dyDescent="0.25">
      <c r="A2694" s="388">
        <v>43929</v>
      </c>
      <c r="B2694" s="388" t="s">
        <v>3678</v>
      </c>
      <c r="C2694" s="14"/>
    </row>
    <row r="2695" spans="1:3" x14ac:dyDescent="0.25">
      <c r="A2695" s="388">
        <v>43929</v>
      </c>
      <c r="B2695" s="388" t="s">
        <v>3679</v>
      </c>
      <c r="C2695" s="14"/>
    </row>
    <row r="2696" spans="1:3" x14ac:dyDescent="0.25">
      <c r="A2696" s="388">
        <v>43929</v>
      </c>
      <c r="B2696" s="388" t="s">
        <v>3678</v>
      </c>
      <c r="C2696" s="14"/>
    </row>
    <row r="2697" spans="1:3" x14ac:dyDescent="0.25">
      <c r="A2697" s="388">
        <v>43929</v>
      </c>
      <c r="B2697" s="388" t="s">
        <v>3678</v>
      </c>
      <c r="C2697" s="14"/>
    </row>
    <row r="2698" spans="1:3" x14ac:dyDescent="0.25">
      <c r="A2698" s="388">
        <v>43929</v>
      </c>
      <c r="B2698" s="388" t="s">
        <v>3678</v>
      </c>
      <c r="C2698" s="14"/>
    </row>
    <row r="2699" spans="1:3" x14ac:dyDescent="0.25">
      <c r="A2699" s="388">
        <v>43929</v>
      </c>
      <c r="B2699" s="388" t="s">
        <v>3678</v>
      </c>
      <c r="C2699" s="14"/>
    </row>
    <row r="2700" spans="1:3" x14ac:dyDescent="0.25">
      <c r="A2700" s="388">
        <v>43929</v>
      </c>
      <c r="B2700" s="388" t="s">
        <v>3678</v>
      </c>
      <c r="C2700" s="14"/>
    </row>
    <row r="2701" spans="1:3" x14ac:dyDescent="0.25">
      <c r="A2701" s="388">
        <v>43929</v>
      </c>
      <c r="B2701" s="388" t="s">
        <v>3679</v>
      </c>
      <c r="C2701" s="14"/>
    </row>
    <row r="2702" spans="1:3" x14ac:dyDescent="0.25">
      <c r="A2702" s="388">
        <v>43929</v>
      </c>
      <c r="B2702" s="388" t="s">
        <v>3679</v>
      </c>
      <c r="C2702" s="14"/>
    </row>
    <row r="2703" spans="1:3" x14ac:dyDescent="0.25">
      <c r="A2703" s="388">
        <v>43929</v>
      </c>
      <c r="B2703" s="388" t="s">
        <v>3678</v>
      </c>
      <c r="C2703" s="14"/>
    </row>
    <row r="2704" spans="1:3" x14ac:dyDescent="0.25">
      <c r="A2704" s="388">
        <v>43929</v>
      </c>
      <c r="B2704" s="388" t="s">
        <v>3681</v>
      </c>
      <c r="C2704" s="14"/>
    </row>
    <row r="2705" spans="1:3" x14ac:dyDescent="0.25">
      <c r="A2705" s="388">
        <v>43929</v>
      </c>
      <c r="B2705" s="388" t="s">
        <v>3678</v>
      </c>
      <c r="C2705" s="14"/>
    </row>
    <row r="2706" spans="1:3" x14ac:dyDescent="0.25">
      <c r="A2706" s="388">
        <v>43929</v>
      </c>
      <c r="B2706" s="388" t="s">
        <v>3678</v>
      </c>
      <c r="C2706" s="14"/>
    </row>
    <row r="2707" spans="1:3" x14ac:dyDescent="0.25">
      <c r="A2707" s="388">
        <v>43929</v>
      </c>
      <c r="B2707" s="388" t="s">
        <v>3678</v>
      </c>
      <c r="C2707" s="14"/>
    </row>
    <row r="2708" spans="1:3" x14ac:dyDescent="0.25">
      <c r="A2708" s="388">
        <v>43929</v>
      </c>
      <c r="B2708" s="388" t="s">
        <v>3679</v>
      </c>
      <c r="C2708" s="14"/>
    </row>
    <row r="2709" spans="1:3" x14ac:dyDescent="0.25">
      <c r="A2709" s="388">
        <v>43929</v>
      </c>
      <c r="B2709" s="388" t="s">
        <v>3679</v>
      </c>
      <c r="C2709" s="14"/>
    </row>
    <row r="2710" spans="1:3" x14ac:dyDescent="0.25">
      <c r="A2710" s="388">
        <v>43929</v>
      </c>
      <c r="B2710" s="388" t="s">
        <v>3679</v>
      </c>
      <c r="C2710" s="14"/>
    </row>
    <row r="2711" spans="1:3" x14ac:dyDescent="0.25">
      <c r="A2711" s="388">
        <v>43929</v>
      </c>
      <c r="B2711" s="388" t="s">
        <v>3679</v>
      </c>
      <c r="C2711" s="14"/>
    </row>
    <row r="2712" spans="1:3" x14ac:dyDescent="0.25">
      <c r="A2712" s="388">
        <v>43929</v>
      </c>
      <c r="B2712" s="388" t="s">
        <v>3679</v>
      </c>
      <c r="C2712" s="14"/>
    </row>
    <row r="2713" spans="1:3" x14ac:dyDescent="0.25">
      <c r="A2713" s="388">
        <v>43929</v>
      </c>
      <c r="B2713" s="388" t="s">
        <v>3679</v>
      </c>
      <c r="C2713" s="14"/>
    </row>
    <row r="2714" spans="1:3" x14ac:dyDescent="0.25">
      <c r="A2714" s="388">
        <v>43929</v>
      </c>
      <c r="B2714" s="388" t="s">
        <v>3678</v>
      </c>
      <c r="C2714" s="14"/>
    </row>
    <row r="2715" spans="1:3" x14ac:dyDescent="0.25">
      <c r="A2715" s="388">
        <v>43929</v>
      </c>
      <c r="B2715" s="388" t="s">
        <v>3679</v>
      </c>
      <c r="C2715" s="14"/>
    </row>
    <row r="2716" spans="1:3" x14ac:dyDescent="0.25">
      <c r="A2716" s="388">
        <v>43929</v>
      </c>
      <c r="B2716" s="388" t="s">
        <v>3680</v>
      </c>
      <c r="C2716" s="14"/>
    </row>
    <row r="2717" spans="1:3" x14ac:dyDescent="0.25">
      <c r="A2717" s="388">
        <v>43929</v>
      </c>
      <c r="B2717" s="388" t="s">
        <v>3679</v>
      </c>
      <c r="C2717" s="14"/>
    </row>
    <row r="2718" spans="1:3" x14ac:dyDescent="0.25">
      <c r="A2718" s="388">
        <v>43929</v>
      </c>
      <c r="B2718" s="388" t="s">
        <v>3679</v>
      </c>
      <c r="C2718" s="14"/>
    </row>
    <row r="2719" spans="1:3" x14ac:dyDescent="0.25">
      <c r="A2719" s="388">
        <v>43929</v>
      </c>
      <c r="B2719" s="388" t="s">
        <v>3679</v>
      </c>
      <c r="C2719" s="14"/>
    </row>
    <row r="2720" spans="1:3" x14ac:dyDescent="0.25">
      <c r="A2720" s="388">
        <v>43929</v>
      </c>
      <c r="B2720" s="388" t="s">
        <v>3680</v>
      </c>
      <c r="C2720" s="14"/>
    </row>
    <row r="2721" spans="1:3" x14ac:dyDescent="0.25">
      <c r="A2721" s="388">
        <v>43929</v>
      </c>
      <c r="B2721" s="388" t="s">
        <v>3680</v>
      </c>
      <c r="C2721" s="14"/>
    </row>
    <row r="2722" spans="1:3" x14ac:dyDescent="0.25">
      <c r="A2722" s="388">
        <v>43929</v>
      </c>
      <c r="B2722" s="388" t="s">
        <v>3680</v>
      </c>
      <c r="C2722" s="14"/>
    </row>
    <row r="2723" spans="1:3" x14ac:dyDescent="0.25">
      <c r="A2723" s="388">
        <v>43929</v>
      </c>
      <c r="B2723" s="388" t="s">
        <v>3678</v>
      </c>
      <c r="C2723" s="14"/>
    </row>
    <row r="2724" spans="1:3" x14ac:dyDescent="0.25">
      <c r="A2724" s="388">
        <v>43929</v>
      </c>
      <c r="B2724" s="388" t="s">
        <v>3678</v>
      </c>
      <c r="C2724" s="14"/>
    </row>
    <row r="2725" spans="1:3" x14ac:dyDescent="0.25">
      <c r="A2725" s="388">
        <v>43929</v>
      </c>
      <c r="B2725" s="388" t="s">
        <v>3678</v>
      </c>
      <c r="C2725" s="14"/>
    </row>
    <row r="2726" spans="1:3" x14ac:dyDescent="0.25">
      <c r="A2726" s="388">
        <v>43929</v>
      </c>
      <c r="B2726" s="388" t="s">
        <v>3679</v>
      </c>
      <c r="C2726" s="14"/>
    </row>
    <row r="2727" spans="1:3" x14ac:dyDescent="0.25">
      <c r="A2727" s="388">
        <v>43929</v>
      </c>
      <c r="B2727" s="388" t="s">
        <v>3678</v>
      </c>
      <c r="C2727" s="14"/>
    </row>
    <row r="2728" spans="1:3" x14ac:dyDescent="0.25">
      <c r="A2728" s="388">
        <v>43929</v>
      </c>
      <c r="B2728" s="388" t="s">
        <v>3678</v>
      </c>
      <c r="C2728" s="14"/>
    </row>
    <row r="2729" spans="1:3" x14ac:dyDescent="0.25">
      <c r="A2729" s="388">
        <v>43929</v>
      </c>
      <c r="B2729" s="388" t="s">
        <v>3678</v>
      </c>
      <c r="C2729" s="14"/>
    </row>
    <row r="2730" spans="1:3" x14ac:dyDescent="0.25">
      <c r="A2730" s="388">
        <v>43929</v>
      </c>
      <c r="B2730" s="388" t="s">
        <v>3678</v>
      </c>
      <c r="C2730" s="14"/>
    </row>
    <row r="2731" spans="1:3" x14ac:dyDescent="0.25">
      <c r="A2731" s="388">
        <v>43929</v>
      </c>
      <c r="B2731" s="388" t="s">
        <v>3680</v>
      </c>
      <c r="C2731" s="14"/>
    </row>
    <row r="2732" spans="1:3" x14ac:dyDescent="0.25">
      <c r="A2732" s="388">
        <v>43929</v>
      </c>
      <c r="B2732" s="388" t="s">
        <v>3679</v>
      </c>
      <c r="C2732" s="14"/>
    </row>
    <row r="2733" spans="1:3" x14ac:dyDescent="0.25">
      <c r="A2733" s="388">
        <v>43929</v>
      </c>
      <c r="B2733" s="388" t="s">
        <v>3678</v>
      </c>
      <c r="C2733" s="14"/>
    </row>
    <row r="2734" spans="1:3" x14ac:dyDescent="0.25">
      <c r="A2734" s="388">
        <v>43929</v>
      </c>
      <c r="B2734" s="388" t="s">
        <v>3678</v>
      </c>
      <c r="C2734" s="14"/>
    </row>
    <row r="2735" spans="1:3" x14ac:dyDescent="0.25">
      <c r="A2735" s="388">
        <v>43929</v>
      </c>
      <c r="B2735" s="388" t="s">
        <v>3678</v>
      </c>
      <c r="C2735" s="14"/>
    </row>
    <row r="2736" spans="1:3" x14ac:dyDescent="0.25">
      <c r="A2736" s="388">
        <v>43929</v>
      </c>
      <c r="B2736" s="388" t="s">
        <v>3678</v>
      </c>
      <c r="C2736" s="14"/>
    </row>
    <row r="2737" spans="1:3" x14ac:dyDescent="0.25">
      <c r="A2737" s="388">
        <v>43929</v>
      </c>
      <c r="B2737" s="388" t="s">
        <v>3681</v>
      </c>
      <c r="C2737" s="14"/>
    </row>
    <row r="2738" spans="1:3" x14ac:dyDescent="0.25">
      <c r="A2738" s="388">
        <v>43929</v>
      </c>
      <c r="B2738" s="388" t="s">
        <v>3678</v>
      </c>
      <c r="C2738" s="14"/>
    </row>
    <row r="2739" spans="1:3" x14ac:dyDescent="0.25">
      <c r="A2739" s="388">
        <v>43929</v>
      </c>
      <c r="B2739" s="388" t="s">
        <v>3680</v>
      </c>
      <c r="C2739" s="14"/>
    </row>
    <row r="2740" spans="1:3" x14ac:dyDescent="0.25">
      <c r="A2740" s="388">
        <v>43929</v>
      </c>
      <c r="B2740" s="388" t="s">
        <v>3678</v>
      </c>
      <c r="C2740" s="14"/>
    </row>
    <row r="2741" spans="1:3" x14ac:dyDescent="0.25">
      <c r="A2741" s="388">
        <v>43929</v>
      </c>
      <c r="B2741" s="388" t="s">
        <v>3680</v>
      </c>
      <c r="C2741" s="14"/>
    </row>
    <row r="2742" spans="1:3" x14ac:dyDescent="0.25">
      <c r="A2742" s="388">
        <v>43929</v>
      </c>
      <c r="B2742" s="388" t="s">
        <v>3680</v>
      </c>
      <c r="C2742" s="14"/>
    </row>
    <row r="2743" spans="1:3" x14ac:dyDescent="0.25">
      <c r="A2743" s="388">
        <v>43929</v>
      </c>
      <c r="B2743" s="388" t="s">
        <v>3679</v>
      </c>
      <c r="C2743" s="14"/>
    </row>
    <row r="2744" spans="1:3" x14ac:dyDescent="0.25">
      <c r="A2744" s="388">
        <v>43930</v>
      </c>
      <c r="B2744" s="388" t="s">
        <v>3679</v>
      </c>
      <c r="C2744" s="14"/>
    </row>
    <row r="2745" spans="1:3" x14ac:dyDescent="0.25">
      <c r="A2745" s="388">
        <v>43930</v>
      </c>
      <c r="B2745" s="388" t="s">
        <v>3678</v>
      </c>
      <c r="C2745" s="14"/>
    </row>
    <row r="2746" spans="1:3" x14ac:dyDescent="0.25">
      <c r="A2746" s="388">
        <v>43930</v>
      </c>
      <c r="B2746" s="388" t="s">
        <v>3678</v>
      </c>
      <c r="C2746" s="14"/>
    </row>
    <row r="2747" spans="1:3" x14ac:dyDescent="0.25">
      <c r="A2747" s="388">
        <v>43930</v>
      </c>
      <c r="B2747" s="388" t="s">
        <v>3679</v>
      </c>
      <c r="C2747" s="14"/>
    </row>
    <row r="2748" spans="1:3" x14ac:dyDescent="0.25">
      <c r="A2748" s="388">
        <v>43930</v>
      </c>
      <c r="B2748" s="388" t="s">
        <v>3679</v>
      </c>
      <c r="C2748" s="14"/>
    </row>
    <row r="2749" spans="1:3" x14ac:dyDescent="0.25">
      <c r="A2749" s="388">
        <v>43930</v>
      </c>
      <c r="B2749" s="388" t="s">
        <v>3678</v>
      </c>
      <c r="C2749" s="14"/>
    </row>
    <row r="2750" spans="1:3" x14ac:dyDescent="0.25">
      <c r="A2750" s="388">
        <v>43930</v>
      </c>
      <c r="B2750" s="388" t="s">
        <v>3679</v>
      </c>
      <c r="C2750" s="14"/>
    </row>
    <row r="2751" spans="1:3" x14ac:dyDescent="0.25">
      <c r="A2751" s="388">
        <v>43930</v>
      </c>
      <c r="B2751" s="388" t="s">
        <v>3679</v>
      </c>
      <c r="C2751" s="14"/>
    </row>
    <row r="2752" spans="1:3" x14ac:dyDescent="0.25">
      <c r="A2752" s="388">
        <v>43930</v>
      </c>
      <c r="B2752" s="388" t="s">
        <v>3678</v>
      </c>
      <c r="C2752" s="14"/>
    </row>
    <row r="2753" spans="1:3" x14ac:dyDescent="0.25">
      <c r="A2753" s="388">
        <v>43930</v>
      </c>
      <c r="B2753" s="388" t="s">
        <v>3679</v>
      </c>
      <c r="C2753" s="14"/>
    </row>
    <row r="2754" spans="1:3" x14ac:dyDescent="0.25">
      <c r="A2754" s="388">
        <v>43930</v>
      </c>
      <c r="B2754" s="388" t="s">
        <v>3679</v>
      </c>
      <c r="C2754" s="14"/>
    </row>
    <row r="2755" spans="1:3" x14ac:dyDescent="0.25">
      <c r="A2755" s="388">
        <v>43930</v>
      </c>
      <c r="B2755" s="388" t="s">
        <v>3679</v>
      </c>
      <c r="C2755" s="14"/>
    </row>
    <row r="2756" spans="1:3" x14ac:dyDescent="0.25">
      <c r="A2756" s="388">
        <v>43930</v>
      </c>
      <c r="B2756" s="388" t="s">
        <v>3678</v>
      </c>
      <c r="C2756" s="14"/>
    </row>
    <row r="2757" spans="1:3" x14ac:dyDescent="0.25">
      <c r="A2757" s="388">
        <v>43930</v>
      </c>
      <c r="B2757" s="388" t="s">
        <v>3680</v>
      </c>
      <c r="C2757" s="14"/>
    </row>
    <row r="2758" spans="1:3" x14ac:dyDescent="0.25">
      <c r="A2758" s="388">
        <v>43930</v>
      </c>
      <c r="B2758" s="388" t="s">
        <v>3679</v>
      </c>
      <c r="C2758" s="14"/>
    </row>
    <row r="2759" spans="1:3" x14ac:dyDescent="0.25">
      <c r="A2759" s="388">
        <v>43930</v>
      </c>
      <c r="B2759" s="388" t="s">
        <v>3679</v>
      </c>
      <c r="C2759" s="14"/>
    </row>
    <row r="2760" spans="1:3" x14ac:dyDescent="0.25">
      <c r="A2760" s="388">
        <v>43930</v>
      </c>
      <c r="B2760" s="388" t="s">
        <v>3679</v>
      </c>
      <c r="C2760" s="14"/>
    </row>
    <row r="2761" spans="1:3" x14ac:dyDescent="0.25">
      <c r="A2761" s="388">
        <v>43930</v>
      </c>
      <c r="B2761" s="388" t="s">
        <v>3679</v>
      </c>
      <c r="C2761" s="14"/>
    </row>
    <row r="2762" spans="1:3" x14ac:dyDescent="0.25">
      <c r="A2762" s="388">
        <v>43930</v>
      </c>
      <c r="B2762" s="388" t="s">
        <v>3679</v>
      </c>
      <c r="C2762" s="14"/>
    </row>
    <row r="2763" spans="1:3" x14ac:dyDescent="0.25">
      <c r="A2763" s="388">
        <v>43930</v>
      </c>
      <c r="B2763" s="388" t="s">
        <v>3679</v>
      </c>
      <c r="C2763" s="14"/>
    </row>
    <row r="2764" spans="1:3" x14ac:dyDescent="0.25">
      <c r="A2764" s="388">
        <v>43930</v>
      </c>
      <c r="B2764" s="388" t="s">
        <v>3679</v>
      </c>
      <c r="C2764" s="14"/>
    </row>
    <row r="2765" spans="1:3" x14ac:dyDescent="0.25">
      <c r="A2765" s="388">
        <v>43930</v>
      </c>
      <c r="B2765" s="388" t="s">
        <v>3679</v>
      </c>
      <c r="C2765" s="14"/>
    </row>
    <row r="2766" spans="1:3" x14ac:dyDescent="0.25">
      <c r="A2766" s="388">
        <v>43930</v>
      </c>
      <c r="B2766" s="388" t="s">
        <v>3679</v>
      </c>
      <c r="C2766" s="14"/>
    </row>
    <row r="2767" spans="1:3" x14ac:dyDescent="0.25">
      <c r="A2767" s="388">
        <v>43930</v>
      </c>
      <c r="B2767" s="388" t="s">
        <v>3679</v>
      </c>
      <c r="C2767" s="14"/>
    </row>
    <row r="2768" spans="1:3" x14ac:dyDescent="0.25">
      <c r="A2768" s="388">
        <v>43930</v>
      </c>
      <c r="B2768" s="388" t="s">
        <v>3680</v>
      </c>
      <c r="C2768" s="14"/>
    </row>
    <row r="2769" spans="1:3" x14ac:dyDescent="0.25">
      <c r="A2769" s="388">
        <v>43930</v>
      </c>
      <c r="B2769" s="388" t="s">
        <v>3678</v>
      </c>
      <c r="C2769" s="14"/>
    </row>
    <row r="2770" spans="1:3" x14ac:dyDescent="0.25">
      <c r="A2770" s="388">
        <v>43930</v>
      </c>
      <c r="B2770" s="388" t="s">
        <v>3678</v>
      </c>
      <c r="C2770" s="14"/>
    </row>
    <row r="2771" spans="1:3" x14ac:dyDescent="0.25">
      <c r="A2771" s="388">
        <v>43930</v>
      </c>
      <c r="B2771" s="388" t="s">
        <v>3680</v>
      </c>
      <c r="C2771" s="14"/>
    </row>
    <row r="2772" spans="1:3" x14ac:dyDescent="0.25">
      <c r="A2772" s="388">
        <v>43930</v>
      </c>
      <c r="B2772" s="388" t="s">
        <v>3680</v>
      </c>
      <c r="C2772" s="14"/>
    </row>
    <row r="2773" spans="1:3" x14ac:dyDescent="0.25">
      <c r="A2773" s="388">
        <v>43930</v>
      </c>
      <c r="B2773" s="388" t="s">
        <v>3679</v>
      </c>
      <c r="C2773" s="14"/>
    </row>
    <row r="2774" spans="1:3" x14ac:dyDescent="0.25">
      <c r="A2774" s="388">
        <v>43931</v>
      </c>
      <c r="B2774" s="388" t="s">
        <v>3680</v>
      </c>
      <c r="C2774" s="14"/>
    </row>
    <row r="2775" spans="1:3" x14ac:dyDescent="0.25">
      <c r="A2775" s="388">
        <v>43931</v>
      </c>
      <c r="B2775" s="388" t="s">
        <v>3678</v>
      </c>
      <c r="C2775" s="14"/>
    </row>
    <row r="2776" spans="1:3" x14ac:dyDescent="0.25">
      <c r="A2776" s="388">
        <v>43931</v>
      </c>
      <c r="B2776" s="388" t="s">
        <v>3680</v>
      </c>
      <c r="C2776" s="14"/>
    </row>
    <row r="2777" spans="1:3" x14ac:dyDescent="0.25">
      <c r="A2777" s="388">
        <v>43931</v>
      </c>
      <c r="B2777" s="388" t="s">
        <v>3679</v>
      </c>
      <c r="C2777" s="14"/>
    </row>
    <row r="2778" spans="1:3" x14ac:dyDescent="0.25">
      <c r="A2778" s="388">
        <v>43931</v>
      </c>
      <c r="B2778" s="388" t="s">
        <v>3678</v>
      </c>
      <c r="C2778" s="14"/>
    </row>
    <row r="2779" spans="1:3" x14ac:dyDescent="0.25">
      <c r="A2779" s="388">
        <v>43931</v>
      </c>
      <c r="B2779" s="388" t="s">
        <v>3680</v>
      </c>
      <c r="C2779" s="14"/>
    </row>
    <row r="2780" spans="1:3" x14ac:dyDescent="0.25">
      <c r="A2780" s="388">
        <v>43931</v>
      </c>
      <c r="B2780" s="388" t="s">
        <v>3678</v>
      </c>
      <c r="C2780" s="14"/>
    </row>
    <row r="2781" spans="1:3" x14ac:dyDescent="0.25">
      <c r="A2781" s="388">
        <v>43931</v>
      </c>
      <c r="B2781" s="388" t="s">
        <v>3680</v>
      </c>
      <c r="C2781" s="14"/>
    </row>
    <row r="2782" spans="1:3" x14ac:dyDescent="0.25">
      <c r="A2782" s="388">
        <v>43931</v>
      </c>
      <c r="B2782" s="388" t="s">
        <v>3679</v>
      </c>
      <c r="C2782" s="14"/>
    </row>
    <row r="2783" spans="1:3" x14ac:dyDescent="0.25">
      <c r="A2783" s="388">
        <v>43931</v>
      </c>
      <c r="B2783" s="388" t="s">
        <v>3679</v>
      </c>
      <c r="C2783" s="14"/>
    </row>
    <row r="2784" spans="1:3" x14ac:dyDescent="0.25">
      <c r="A2784" s="388">
        <v>43931</v>
      </c>
      <c r="B2784" s="388" t="s">
        <v>3678</v>
      </c>
      <c r="C2784" s="14"/>
    </row>
    <row r="2785" spans="1:3" x14ac:dyDescent="0.25">
      <c r="A2785" s="388">
        <v>43931</v>
      </c>
      <c r="B2785" s="388" t="s">
        <v>3678</v>
      </c>
      <c r="C2785" s="14"/>
    </row>
    <row r="2786" spans="1:3" x14ac:dyDescent="0.25">
      <c r="A2786" s="388">
        <v>43931</v>
      </c>
      <c r="B2786" s="388" t="s">
        <v>3679</v>
      </c>
      <c r="C2786" s="14"/>
    </row>
    <row r="2787" spans="1:3" x14ac:dyDescent="0.25">
      <c r="A2787" s="388">
        <v>43931</v>
      </c>
      <c r="B2787" s="388" t="s">
        <v>3679</v>
      </c>
      <c r="C2787" s="14"/>
    </row>
    <row r="2788" spans="1:3" x14ac:dyDescent="0.25">
      <c r="A2788" s="388">
        <v>43931</v>
      </c>
      <c r="B2788" s="388" t="s">
        <v>3679</v>
      </c>
      <c r="C2788" s="14"/>
    </row>
    <row r="2789" spans="1:3" x14ac:dyDescent="0.25">
      <c r="A2789" s="388">
        <v>43931</v>
      </c>
      <c r="B2789" s="388" t="s">
        <v>3678</v>
      </c>
      <c r="C2789" s="14"/>
    </row>
    <row r="2790" spans="1:3" x14ac:dyDescent="0.25">
      <c r="A2790" s="388">
        <v>43932</v>
      </c>
      <c r="B2790" s="388" t="s">
        <v>3678</v>
      </c>
      <c r="C2790" s="14"/>
    </row>
    <row r="2791" spans="1:3" x14ac:dyDescent="0.25">
      <c r="A2791" s="388">
        <v>43932</v>
      </c>
      <c r="B2791" s="388" t="s">
        <v>3680</v>
      </c>
      <c r="C2791" s="14"/>
    </row>
    <row r="2792" spans="1:3" x14ac:dyDescent="0.25">
      <c r="A2792" s="388">
        <v>43932</v>
      </c>
      <c r="B2792" s="388" t="s">
        <v>3680</v>
      </c>
      <c r="C2792" s="14"/>
    </row>
    <row r="2793" spans="1:3" x14ac:dyDescent="0.25">
      <c r="A2793" s="388">
        <v>43932</v>
      </c>
      <c r="B2793" s="388" t="s">
        <v>3679</v>
      </c>
      <c r="C2793" s="14"/>
    </row>
    <row r="2794" spans="1:3" x14ac:dyDescent="0.25">
      <c r="A2794" s="388">
        <v>43932</v>
      </c>
      <c r="B2794" s="388" t="s">
        <v>3679</v>
      </c>
      <c r="C2794" s="14"/>
    </row>
    <row r="2795" spans="1:3" x14ac:dyDescent="0.25">
      <c r="A2795" s="388">
        <v>43932</v>
      </c>
      <c r="B2795" s="388" t="s">
        <v>3679</v>
      </c>
      <c r="C2795" s="14"/>
    </row>
    <row r="2796" spans="1:3" x14ac:dyDescent="0.25">
      <c r="A2796" s="388">
        <v>43932</v>
      </c>
      <c r="B2796" s="388" t="s">
        <v>3679</v>
      </c>
      <c r="C2796" s="14"/>
    </row>
    <row r="2797" spans="1:3" x14ac:dyDescent="0.25">
      <c r="A2797" s="388">
        <v>43932</v>
      </c>
      <c r="B2797" s="388" t="s">
        <v>3678</v>
      </c>
      <c r="C2797" s="14"/>
    </row>
    <row r="2798" spans="1:3" x14ac:dyDescent="0.25">
      <c r="A2798" s="388">
        <v>43932</v>
      </c>
      <c r="B2798" s="388" t="s">
        <v>3679</v>
      </c>
      <c r="C2798" s="14"/>
    </row>
    <row r="2799" spans="1:3" x14ac:dyDescent="0.25">
      <c r="A2799" s="388">
        <v>43932</v>
      </c>
      <c r="B2799" s="388" t="s">
        <v>3678</v>
      </c>
      <c r="C2799" s="14"/>
    </row>
    <row r="2800" spans="1:3" x14ac:dyDescent="0.25">
      <c r="A2800" s="388">
        <v>43932</v>
      </c>
      <c r="B2800" s="388" t="s">
        <v>3679</v>
      </c>
      <c r="C2800" s="14"/>
    </row>
    <row r="2801" spans="1:3" x14ac:dyDescent="0.25">
      <c r="A2801" s="388">
        <v>43933</v>
      </c>
      <c r="B2801" s="388" t="s">
        <v>3678</v>
      </c>
      <c r="C2801" s="14"/>
    </row>
    <row r="2802" spans="1:3" x14ac:dyDescent="0.25">
      <c r="A2802" s="388">
        <v>43933</v>
      </c>
      <c r="B2802" s="388" t="s">
        <v>3678</v>
      </c>
      <c r="C2802" s="14"/>
    </row>
    <row r="2803" spans="1:3" x14ac:dyDescent="0.25">
      <c r="A2803" s="388">
        <v>43933</v>
      </c>
      <c r="B2803" s="388" t="s">
        <v>3678</v>
      </c>
      <c r="C2803" s="14"/>
    </row>
    <row r="2804" spans="1:3" x14ac:dyDescent="0.25">
      <c r="A2804" s="388">
        <v>43933</v>
      </c>
      <c r="B2804" s="388" t="s">
        <v>3679</v>
      </c>
      <c r="C2804" s="14"/>
    </row>
    <row r="2805" spans="1:3" x14ac:dyDescent="0.25">
      <c r="A2805" s="388">
        <v>43933</v>
      </c>
      <c r="B2805" s="388" t="s">
        <v>3679</v>
      </c>
      <c r="C2805" s="14"/>
    </row>
    <row r="2806" spans="1:3" x14ac:dyDescent="0.25">
      <c r="A2806" s="388">
        <v>43933</v>
      </c>
      <c r="B2806" s="388" t="s">
        <v>3678</v>
      </c>
      <c r="C2806" s="14"/>
    </row>
    <row r="2807" spans="1:3" x14ac:dyDescent="0.25">
      <c r="A2807" s="388">
        <v>43933</v>
      </c>
      <c r="B2807" s="388" t="s">
        <v>3680</v>
      </c>
      <c r="C2807" s="14"/>
    </row>
    <row r="2808" spans="1:3" x14ac:dyDescent="0.25">
      <c r="A2808" s="388">
        <v>43933</v>
      </c>
      <c r="B2808" s="388" t="s">
        <v>3679</v>
      </c>
      <c r="C2808" s="14"/>
    </row>
    <row r="2809" spans="1:3" x14ac:dyDescent="0.25">
      <c r="A2809" s="388">
        <v>43934</v>
      </c>
      <c r="B2809" s="388" t="s">
        <v>3678</v>
      </c>
      <c r="C2809" s="14"/>
    </row>
    <row r="2810" spans="1:3" x14ac:dyDescent="0.25">
      <c r="A2810" s="388">
        <v>43934</v>
      </c>
      <c r="B2810" s="388" t="s">
        <v>3678</v>
      </c>
      <c r="C2810" s="14"/>
    </row>
    <row r="2811" spans="1:3" x14ac:dyDescent="0.25">
      <c r="A2811" s="388">
        <v>43934</v>
      </c>
      <c r="B2811" s="388" t="s">
        <v>3680</v>
      </c>
      <c r="C2811" s="14"/>
    </row>
    <row r="2812" spans="1:3" x14ac:dyDescent="0.25">
      <c r="A2812" s="388">
        <v>43934</v>
      </c>
      <c r="B2812" s="388" t="s">
        <v>3678</v>
      </c>
      <c r="C2812" s="14"/>
    </row>
    <row r="2813" spans="1:3" x14ac:dyDescent="0.25">
      <c r="A2813" s="388">
        <v>43934</v>
      </c>
      <c r="B2813" s="388" t="s">
        <v>3678</v>
      </c>
      <c r="C2813" s="14"/>
    </row>
    <row r="2814" spans="1:3" x14ac:dyDescent="0.25">
      <c r="A2814" s="388">
        <v>43935</v>
      </c>
      <c r="B2814" s="388" t="s">
        <v>3678</v>
      </c>
      <c r="C2814" s="14"/>
    </row>
    <row r="2815" spans="1:3" x14ac:dyDescent="0.25">
      <c r="A2815" s="388">
        <v>43935</v>
      </c>
      <c r="B2815" s="388" t="s">
        <v>3678</v>
      </c>
      <c r="C2815" s="14"/>
    </row>
    <row r="2816" spans="1:3" x14ac:dyDescent="0.25">
      <c r="A2816" s="388">
        <v>43935</v>
      </c>
      <c r="B2816" s="388" t="s">
        <v>3678</v>
      </c>
      <c r="C2816" s="14"/>
    </row>
    <row r="2817" spans="1:3" x14ac:dyDescent="0.25">
      <c r="A2817" s="388">
        <v>43935</v>
      </c>
      <c r="B2817" s="388" t="s">
        <v>3678</v>
      </c>
      <c r="C2817" s="14"/>
    </row>
    <row r="2818" spans="1:3" x14ac:dyDescent="0.25">
      <c r="A2818" s="388">
        <v>43935</v>
      </c>
      <c r="B2818" s="388" t="s">
        <v>3678</v>
      </c>
      <c r="C2818" s="14"/>
    </row>
    <row r="2819" spans="1:3" x14ac:dyDescent="0.25">
      <c r="A2819" s="388">
        <v>43935</v>
      </c>
      <c r="B2819" s="388" t="s">
        <v>3678</v>
      </c>
      <c r="C2819" s="14"/>
    </row>
    <row r="2820" spans="1:3" x14ac:dyDescent="0.25">
      <c r="A2820" s="388">
        <v>43935</v>
      </c>
      <c r="B2820" s="388" t="s">
        <v>3678</v>
      </c>
      <c r="C2820" s="14"/>
    </row>
    <row r="2821" spans="1:3" x14ac:dyDescent="0.25">
      <c r="A2821" s="388">
        <v>43935</v>
      </c>
      <c r="B2821" s="388" t="s">
        <v>3678</v>
      </c>
      <c r="C2821" s="14"/>
    </row>
    <row r="2822" spans="1:3" x14ac:dyDescent="0.25">
      <c r="A2822" s="388">
        <v>43935</v>
      </c>
      <c r="B2822" s="388" t="s">
        <v>3678</v>
      </c>
      <c r="C2822" s="14"/>
    </row>
    <row r="2823" spans="1:3" x14ac:dyDescent="0.25">
      <c r="A2823" s="388">
        <v>43935</v>
      </c>
      <c r="B2823" s="388" t="s">
        <v>3678</v>
      </c>
      <c r="C2823" s="14"/>
    </row>
    <row r="2824" spans="1:3" x14ac:dyDescent="0.25">
      <c r="A2824" s="388">
        <v>43935</v>
      </c>
      <c r="B2824" s="388" t="s">
        <v>3678</v>
      </c>
      <c r="C2824" s="14"/>
    </row>
    <row r="2825" spans="1:3" x14ac:dyDescent="0.25">
      <c r="A2825" s="388">
        <v>43935</v>
      </c>
      <c r="B2825" s="388" t="s">
        <v>3678</v>
      </c>
      <c r="C2825" s="14"/>
    </row>
    <row r="2826" spans="1:3" x14ac:dyDescent="0.25">
      <c r="A2826" s="388">
        <v>43935</v>
      </c>
      <c r="B2826" s="388" t="s">
        <v>3678</v>
      </c>
      <c r="C2826" s="14"/>
    </row>
    <row r="2827" spans="1:3" x14ac:dyDescent="0.25">
      <c r="A2827" s="388">
        <v>43935</v>
      </c>
      <c r="B2827" s="388" t="s">
        <v>3678</v>
      </c>
      <c r="C2827" s="14"/>
    </row>
    <row r="2828" spans="1:3" x14ac:dyDescent="0.25">
      <c r="A2828" s="388">
        <v>43935</v>
      </c>
      <c r="B2828" s="388" t="s">
        <v>3678</v>
      </c>
      <c r="C2828" s="14"/>
    </row>
    <row r="2829" spans="1:3" x14ac:dyDescent="0.25">
      <c r="A2829" s="388">
        <v>43935</v>
      </c>
      <c r="B2829" s="388" t="s">
        <v>3679</v>
      </c>
      <c r="C2829" s="14"/>
    </row>
    <row r="2830" spans="1:3" x14ac:dyDescent="0.25">
      <c r="A2830" s="388">
        <v>43935</v>
      </c>
      <c r="B2830" s="388" t="s">
        <v>3678</v>
      </c>
      <c r="C2830" s="14"/>
    </row>
    <row r="2831" spans="1:3" x14ac:dyDescent="0.25">
      <c r="A2831" s="388">
        <v>43935</v>
      </c>
      <c r="B2831" s="388" t="s">
        <v>3678</v>
      </c>
      <c r="C2831" s="14"/>
    </row>
    <row r="2832" spans="1:3" x14ac:dyDescent="0.25">
      <c r="A2832" s="388">
        <v>43935</v>
      </c>
      <c r="B2832" s="388" t="s">
        <v>3678</v>
      </c>
      <c r="C2832" s="14"/>
    </row>
    <row r="2833" spans="1:3" x14ac:dyDescent="0.25">
      <c r="A2833" s="388">
        <v>43935</v>
      </c>
      <c r="B2833" s="388" t="s">
        <v>3678</v>
      </c>
      <c r="C2833" s="14"/>
    </row>
    <row r="2834" spans="1:3" x14ac:dyDescent="0.25">
      <c r="A2834" s="388">
        <v>43935</v>
      </c>
      <c r="B2834" s="388" t="s">
        <v>3681</v>
      </c>
      <c r="C2834" s="14"/>
    </row>
    <row r="2835" spans="1:3" x14ac:dyDescent="0.25">
      <c r="A2835" s="388">
        <v>43935</v>
      </c>
      <c r="B2835" s="388" t="s">
        <v>3678</v>
      </c>
      <c r="C2835" s="14"/>
    </row>
    <row r="2836" spans="1:3" x14ac:dyDescent="0.25">
      <c r="A2836" s="388">
        <v>43935</v>
      </c>
      <c r="B2836" s="388" t="s">
        <v>3678</v>
      </c>
      <c r="C2836" s="14"/>
    </row>
    <row r="2837" spans="1:3" x14ac:dyDescent="0.25">
      <c r="A2837" s="388">
        <v>43935</v>
      </c>
      <c r="B2837" s="388" t="s">
        <v>3678</v>
      </c>
      <c r="C2837" s="14"/>
    </row>
    <row r="2838" spans="1:3" x14ac:dyDescent="0.25">
      <c r="A2838" s="388">
        <v>43935</v>
      </c>
      <c r="B2838" s="388" t="s">
        <v>3679</v>
      </c>
      <c r="C2838" s="14"/>
    </row>
    <row r="2839" spans="1:3" x14ac:dyDescent="0.25">
      <c r="A2839" s="388">
        <v>43935</v>
      </c>
      <c r="B2839" s="388" t="s">
        <v>3678</v>
      </c>
      <c r="C2839" s="14"/>
    </row>
    <row r="2840" spans="1:3" x14ac:dyDescent="0.25">
      <c r="A2840" s="388">
        <v>43935</v>
      </c>
      <c r="B2840" s="388" t="s">
        <v>3679</v>
      </c>
      <c r="C2840" s="14"/>
    </row>
    <row r="2841" spans="1:3" x14ac:dyDescent="0.25">
      <c r="A2841" s="388">
        <v>43935</v>
      </c>
      <c r="B2841" s="388" t="s">
        <v>3678</v>
      </c>
      <c r="C2841" s="14"/>
    </row>
    <row r="2842" spans="1:3" x14ac:dyDescent="0.25">
      <c r="A2842" s="388">
        <v>43935</v>
      </c>
      <c r="B2842" s="388" t="s">
        <v>3678</v>
      </c>
      <c r="C2842" s="14"/>
    </row>
    <row r="2843" spans="1:3" x14ac:dyDescent="0.25">
      <c r="A2843" s="388">
        <v>43935</v>
      </c>
      <c r="B2843" s="388" t="s">
        <v>3678</v>
      </c>
      <c r="C2843" s="14"/>
    </row>
    <row r="2844" spans="1:3" x14ac:dyDescent="0.25">
      <c r="A2844" s="388">
        <v>43935</v>
      </c>
      <c r="B2844" s="388" t="s">
        <v>3678</v>
      </c>
      <c r="C2844" s="14"/>
    </row>
    <row r="2845" spans="1:3" x14ac:dyDescent="0.25">
      <c r="A2845" s="388">
        <v>43935</v>
      </c>
      <c r="B2845" s="388" t="s">
        <v>3678</v>
      </c>
      <c r="C2845" s="14"/>
    </row>
    <row r="2846" spans="1:3" x14ac:dyDescent="0.25">
      <c r="A2846" s="388">
        <v>43935</v>
      </c>
      <c r="B2846" s="388" t="s">
        <v>3680</v>
      </c>
      <c r="C2846" s="14"/>
    </row>
    <row r="2847" spans="1:3" x14ac:dyDescent="0.25">
      <c r="A2847" s="388">
        <v>43935</v>
      </c>
      <c r="B2847" s="388" t="s">
        <v>3679</v>
      </c>
      <c r="C2847" s="14"/>
    </row>
    <row r="2848" spans="1:3" x14ac:dyDescent="0.25">
      <c r="A2848" s="388">
        <v>43935</v>
      </c>
      <c r="B2848" s="388" t="s">
        <v>3678</v>
      </c>
      <c r="C2848" s="14"/>
    </row>
    <row r="2849" spans="1:3" x14ac:dyDescent="0.25">
      <c r="A2849" s="388">
        <v>43935</v>
      </c>
      <c r="B2849" s="388" t="s">
        <v>3678</v>
      </c>
      <c r="C2849" s="14"/>
    </row>
    <row r="2850" spans="1:3" x14ac:dyDescent="0.25">
      <c r="A2850" s="388">
        <v>43935</v>
      </c>
      <c r="B2850" s="388" t="s">
        <v>3678</v>
      </c>
      <c r="C2850" s="14"/>
    </row>
    <row r="2851" spans="1:3" x14ac:dyDescent="0.25">
      <c r="A2851" s="388">
        <v>43935</v>
      </c>
      <c r="B2851" s="388" t="s">
        <v>3678</v>
      </c>
      <c r="C2851" s="14"/>
    </row>
    <row r="2852" spans="1:3" x14ac:dyDescent="0.25">
      <c r="A2852" s="388">
        <v>43935</v>
      </c>
      <c r="B2852" s="388" t="s">
        <v>3678</v>
      </c>
      <c r="C2852" s="14"/>
    </row>
    <row r="2853" spans="1:3" x14ac:dyDescent="0.25">
      <c r="A2853" s="388">
        <v>43935</v>
      </c>
      <c r="B2853" s="388" t="s">
        <v>3678</v>
      </c>
      <c r="C2853" s="14"/>
    </row>
    <row r="2854" spans="1:3" x14ac:dyDescent="0.25">
      <c r="A2854" s="388">
        <v>43935</v>
      </c>
      <c r="B2854" s="388" t="s">
        <v>3678</v>
      </c>
      <c r="C2854" s="14"/>
    </row>
    <row r="2855" spans="1:3" x14ac:dyDescent="0.25">
      <c r="A2855" s="388">
        <v>43935</v>
      </c>
      <c r="B2855" s="388" t="s">
        <v>3680</v>
      </c>
      <c r="C2855" s="14"/>
    </row>
    <row r="2856" spans="1:3" x14ac:dyDescent="0.25">
      <c r="A2856" s="388">
        <v>43935</v>
      </c>
      <c r="B2856" s="388" t="s">
        <v>3681</v>
      </c>
      <c r="C2856" s="14"/>
    </row>
    <row r="2857" spans="1:3" x14ac:dyDescent="0.25">
      <c r="A2857" s="388">
        <v>43935</v>
      </c>
      <c r="B2857" s="388" t="s">
        <v>3678</v>
      </c>
      <c r="C2857" s="14"/>
    </row>
    <row r="2858" spans="1:3" x14ac:dyDescent="0.25">
      <c r="A2858" s="388">
        <v>43935</v>
      </c>
      <c r="B2858" s="388" t="s">
        <v>3679</v>
      </c>
      <c r="C2858" s="14"/>
    </row>
    <row r="2859" spans="1:3" x14ac:dyDescent="0.25">
      <c r="A2859" s="388">
        <v>43935</v>
      </c>
      <c r="B2859" s="388" t="s">
        <v>3681</v>
      </c>
      <c r="C2859" s="14"/>
    </row>
    <row r="2860" spans="1:3" x14ac:dyDescent="0.25">
      <c r="A2860" s="388">
        <v>43935</v>
      </c>
      <c r="B2860" s="388" t="s">
        <v>3678</v>
      </c>
      <c r="C2860" s="14"/>
    </row>
    <row r="2861" spans="1:3" x14ac:dyDescent="0.25">
      <c r="A2861" s="388">
        <v>43935</v>
      </c>
      <c r="B2861" s="388" t="s">
        <v>3678</v>
      </c>
      <c r="C2861" s="14"/>
    </row>
    <row r="2862" spans="1:3" x14ac:dyDescent="0.25">
      <c r="A2862" s="388">
        <v>43935</v>
      </c>
      <c r="B2862" s="388" t="s">
        <v>3678</v>
      </c>
      <c r="C2862" s="14"/>
    </row>
    <row r="2863" spans="1:3" x14ac:dyDescent="0.25">
      <c r="A2863" s="388">
        <v>43935</v>
      </c>
      <c r="B2863" s="388" t="s">
        <v>3679</v>
      </c>
      <c r="C2863" s="14"/>
    </row>
    <row r="2864" spans="1:3" x14ac:dyDescent="0.25">
      <c r="A2864" s="388">
        <v>43935</v>
      </c>
      <c r="B2864" s="388" t="s">
        <v>3678</v>
      </c>
      <c r="C2864" s="14"/>
    </row>
    <row r="2865" spans="1:3" x14ac:dyDescent="0.25">
      <c r="A2865" s="388">
        <v>43935</v>
      </c>
      <c r="B2865" s="388" t="s">
        <v>3680</v>
      </c>
      <c r="C2865" s="14"/>
    </row>
    <row r="2866" spans="1:3" x14ac:dyDescent="0.25">
      <c r="A2866" s="388">
        <v>43935</v>
      </c>
      <c r="B2866" s="388" t="s">
        <v>3679</v>
      </c>
      <c r="C2866" s="14"/>
    </row>
    <row r="2867" spans="1:3" x14ac:dyDescent="0.25">
      <c r="A2867" s="388">
        <v>43935</v>
      </c>
      <c r="B2867" s="388" t="s">
        <v>3678</v>
      </c>
      <c r="C2867" s="14"/>
    </row>
    <row r="2868" spans="1:3" x14ac:dyDescent="0.25">
      <c r="A2868" s="388">
        <v>43935</v>
      </c>
      <c r="B2868" s="388" t="s">
        <v>3678</v>
      </c>
      <c r="C2868" s="14"/>
    </row>
    <row r="2869" spans="1:3" x14ac:dyDescent="0.25">
      <c r="A2869" s="388">
        <v>43935</v>
      </c>
      <c r="B2869" s="388" t="s">
        <v>3678</v>
      </c>
      <c r="C2869" s="14"/>
    </row>
    <row r="2870" spans="1:3" x14ac:dyDescent="0.25">
      <c r="A2870" s="388">
        <v>43935</v>
      </c>
      <c r="B2870" s="388" t="s">
        <v>3678</v>
      </c>
      <c r="C2870" s="14"/>
    </row>
    <row r="2871" spans="1:3" x14ac:dyDescent="0.25">
      <c r="A2871" s="388">
        <v>43935</v>
      </c>
      <c r="B2871" s="388" t="s">
        <v>3678</v>
      </c>
      <c r="C2871" s="14"/>
    </row>
    <row r="2872" spans="1:3" x14ac:dyDescent="0.25">
      <c r="A2872" s="388">
        <v>43935</v>
      </c>
      <c r="B2872" s="388" t="s">
        <v>3678</v>
      </c>
      <c r="C2872" s="14"/>
    </row>
    <row r="2873" spans="1:3" x14ac:dyDescent="0.25">
      <c r="A2873" s="388">
        <v>43935</v>
      </c>
      <c r="B2873" s="388" t="s">
        <v>3678</v>
      </c>
      <c r="C2873" s="14"/>
    </row>
    <row r="2874" spans="1:3" x14ac:dyDescent="0.25">
      <c r="A2874" s="388">
        <v>43935</v>
      </c>
      <c r="B2874" s="388" t="s">
        <v>3679</v>
      </c>
      <c r="C2874" s="14"/>
    </row>
    <row r="2875" spans="1:3" x14ac:dyDescent="0.25">
      <c r="A2875" s="388">
        <v>43935</v>
      </c>
      <c r="B2875" s="388" t="s">
        <v>3678</v>
      </c>
      <c r="C2875" s="14"/>
    </row>
    <row r="2876" spans="1:3" x14ac:dyDescent="0.25">
      <c r="A2876" s="388">
        <v>43936</v>
      </c>
      <c r="B2876" s="388" t="s">
        <v>3678</v>
      </c>
      <c r="C2876" s="14"/>
    </row>
    <row r="2877" spans="1:3" x14ac:dyDescent="0.25">
      <c r="A2877" s="388">
        <v>43936</v>
      </c>
      <c r="B2877" s="388" t="s">
        <v>3681</v>
      </c>
      <c r="C2877" s="14"/>
    </row>
    <row r="2878" spans="1:3" x14ac:dyDescent="0.25">
      <c r="A2878" s="388">
        <v>43936</v>
      </c>
      <c r="B2878" s="388" t="s">
        <v>3678</v>
      </c>
      <c r="C2878" s="14"/>
    </row>
    <row r="2879" spans="1:3" x14ac:dyDescent="0.25">
      <c r="A2879" s="388">
        <v>43936</v>
      </c>
      <c r="B2879" s="388" t="s">
        <v>3678</v>
      </c>
      <c r="C2879" s="14"/>
    </row>
    <row r="2880" spans="1:3" x14ac:dyDescent="0.25">
      <c r="A2880" s="388">
        <v>43936</v>
      </c>
      <c r="B2880" s="388" t="s">
        <v>3679</v>
      </c>
      <c r="C2880" s="14"/>
    </row>
    <row r="2881" spans="1:3" x14ac:dyDescent="0.25">
      <c r="A2881" s="388">
        <v>43936</v>
      </c>
      <c r="B2881" s="388" t="s">
        <v>3678</v>
      </c>
      <c r="C2881" s="14"/>
    </row>
    <row r="2882" spans="1:3" x14ac:dyDescent="0.25">
      <c r="A2882" s="388">
        <v>43937</v>
      </c>
      <c r="B2882" s="388" t="s">
        <v>3679</v>
      </c>
      <c r="C2882" s="14"/>
    </row>
    <row r="2883" spans="1:3" x14ac:dyDescent="0.25">
      <c r="A2883" s="388">
        <v>43937</v>
      </c>
      <c r="B2883" s="388" t="s">
        <v>3678</v>
      </c>
      <c r="C2883" s="14"/>
    </row>
    <row r="2884" spans="1:3" x14ac:dyDescent="0.25">
      <c r="A2884" s="388">
        <v>43937</v>
      </c>
      <c r="B2884" s="388" t="s">
        <v>3680</v>
      </c>
      <c r="C2884" s="14"/>
    </row>
    <row r="2885" spans="1:3" x14ac:dyDescent="0.25">
      <c r="A2885" s="388">
        <v>43937</v>
      </c>
      <c r="B2885" s="388" t="s">
        <v>3680</v>
      </c>
      <c r="C2885" s="14"/>
    </row>
    <row r="2886" spans="1:3" x14ac:dyDescent="0.25">
      <c r="A2886" s="388">
        <v>43937</v>
      </c>
      <c r="B2886" s="388" t="s">
        <v>3679</v>
      </c>
      <c r="C2886" s="14"/>
    </row>
    <row r="2887" spans="1:3" x14ac:dyDescent="0.25">
      <c r="A2887" s="388">
        <v>43937</v>
      </c>
      <c r="B2887" s="388" t="s">
        <v>3678</v>
      </c>
      <c r="C2887" s="14"/>
    </row>
    <row r="2888" spans="1:3" x14ac:dyDescent="0.25">
      <c r="A2888" s="388">
        <v>43937</v>
      </c>
      <c r="B2888" s="388" t="s">
        <v>3678</v>
      </c>
      <c r="C2888" s="14"/>
    </row>
    <row r="2889" spans="1:3" x14ac:dyDescent="0.25">
      <c r="A2889" s="388">
        <v>43938</v>
      </c>
      <c r="B2889" s="388" t="s">
        <v>3680</v>
      </c>
      <c r="C2889" s="14"/>
    </row>
    <row r="2890" spans="1:3" x14ac:dyDescent="0.25">
      <c r="A2890" s="388">
        <v>43938</v>
      </c>
      <c r="B2890" s="388" t="s">
        <v>3680</v>
      </c>
      <c r="C2890" s="14"/>
    </row>
    <row r="2891" spans="1:3" x14ac:dyDescent="0.25">
      <c r="A2891" s="388">
        <v>43938</v>
      </c>
      <c r="B2891" s="388" t="s">
        <v>3678</v>
      </c>
      <c r="C2891" s="14"/>
    </row>
    <row r="2892" spans="1:3" x14ac:dyDescent="0.25">
      <c r="A2892" s="388">
        <v>43938</v>
      </c>
      <c r="B2892" s="388" t="s">
        <v>3680</v>
      </c>
      <c r="C2892" s="14"/>
    </row>
    <row r="2893" spans="1:3" x14ac:dyDescent="0.25">
      <c r="A2893" s="388">
        <v>43938</v>
      </c>
      <c r="B2893" s="388" t="s">
        <v>3679</v>
      </c>
      <c r="C2893" s="14"/>
    </row>
    <row r="2894" spans="1:3" x14ac:dyDescent="0.25">
      <c r="A2894" s="388">
        <v>43938</v>
      </c>
      <c r="B2894" s="388" t="s">
        <v>3680</v>
      </c>
      <c r="C2894" s="14"/>
    </row>
    <row r="2895" spans="1:3" x14ac:dyDescent="0.25">
      <c r="A2895" s="388">
        <v>43938</v>
      </c>
      <c r="B2895" s="388" t="s">
        <v>3680</v>
      </c>
      <c r="C2895" s="14"/>
    </row>
    <row r="2896" spans="1:3" x14ac:dyDescent="0.25">
      <c r="A2896" s="388">
        <v>43938</v>
      </c>
      <c r="B2896" s="388" t="s">
        <v>3680</v>
      </c>
      <c r="C2896" s="14"/>
    </row>
    <row r="2897" spans="1:3" x14ac:dyDescent="0.25">
      <c r="A2897" s="388">
        <v>43938</v>
      </c>
      <c r="B2897" s="388" t="s">
        <v>3680</v>
      </c>
      <c r="C2897" s="14"/>
    </row>
    <row r="2898" spans="1:3" x14ac:dyDescent="0.25">
      <c r="A2898" s="388">
        <v>43938</v>
      </c>
      <c r="B2898" s="388" t="s">
        <v>3680</v>
      </c>
      <c r="C2898" s="14"/>
    </row>
    <row r="2899" spans="1:3" x14ac:dyDescent="0.25">
      <c r="A2899" s="388">
        <v>43938</v>
      </c>
      <c r="B2899" s="388" t="s">
        <v>3678</v>
      </c>
      <c r="C2899" s="14"/>
    </row>
    <row r="2900" spans="1:3" x14ac:dyDescent="0.25">
      <c r="A2900" s="388">
        <v>43938</v>
      </c>
      <c r="B2900" s="388" t="s">
        <v>3681</v>
      </c>
      <c r="C2900" s="14"/>
    </row>
    <row r="2901" spans="1:3" x14ac:dyDescent="0.25">
      <c r="A2901" s="388">
        <v>43938</v>
      </c>
      <c r="B2901" s="388" t="s">
        <v>3678</v>
      </c>
      <c r="C2901" s="14"/>
    </row>
    <row r="2902" spans="1:3" x14ac:dyDescent="0.25">
      <c r="A2902" s="388">
        <v>43938</v>
      </c>
      <c r="B2902" s="388" t="s">
        <v>3678</v>
      </c>
      <c r="C2902" s="14"/>
    </row>
    <row r="2903" spans="1:3" x14ac:dyDescent="0.25">
      <c r="A2903" s="388">
        <v>43939</v>
      </c>
      <c r="B2903" s="388" t="s">
        <v>3678</v>
      </c>
      <c r="C2903" s="14"/>
    </row>
    <row r="2904" spans="1:3" x14ac:dyDescent="0.25">
      <c r="A2904" s="388">
        <v>43939</v>
      </c>
      <c r="B2904" s="388" t="s">
        <v>3678</v>
      </c>
      <c r="C2904" s="14"/>
    </row>
    <row r="2905" spans="1:3" x14ac:dyDescent="0.25">
      <c r="A2905" s="388">
        <v>43939</v>
      </c>
      <c r="B2905" s="388" t="s">
        <v>3678</v>
      </c>
      <c r="C2905" s="14"/>
    </row>
    <row r="2906" spans="1:3" x14ac:dyDescent="0.25">
      <c r="A2906" s="388">
        <v>43939</v>
      </c>
      <c r="B2906" s="388" t="s">
        <v>3681</v>
      </c>
      <c r="C2906" s="14"/>
    </row>
    <row r="2907" spans="1:3" x14ac:dyDescent="0.25">
      <c r="A2907" s="388">
        <v>43939</v>
      </c>
      <c r="B2907" s="388" t="s">
        <v>3678</v>
      </c>
      <c r="C2907" s="14"/>
    </row>
    <row r="2908" spans="1:3" x14ac:dyDescent="0.25">
      <c r="A2908" s="388">
        <v>43939</v>
      </c>
      <c r="B2908" s="388" t="s">
        <v>3678</v>
      </c>
      <c r="C2908" s="14"/>
    </row>
    <row r="2909" spans="1:3" x14ac:dyDescent="0.25">
      <c r="A2909" s="388">
        <v>43939</v>
      </c>
      <c r="B2909" s="388" t="s">
        <v>3678</v>
      </c>
      <c r="C2909" s="14"/>
    </row>
    <row r="2910" spans="1:3" x14ac:dyDescent="0.25">
      <c r="A2910" s="388">
        <v>43939</v>
      </c>
      <c r="B2910" s="388" t="s">
        <v>3678</v>
      </c>
      <c r="C2910" s="14"/>
    </row>
    <row r="2911" spans="1:3" x14ac:dyDescent="0.25">
      <c r="A2911" s="388">
        <v>43939</v>
      </c>
      <c r="B2911" s="388" t="s">
        <v>3680</v>
      </c>
      <c r="C2911" s="14"/>
    </row>
    <row r="2912" spans="1:3" x14ac:dyDescent="0.25">
      <c r="A2912" s="388">
        <v>43939</v>
      </c>
      <c r="B2912" s="388" t="s">
        <v>3679</v>
      </c>
      <c r="C2912" s="14"/>
    </row>
    <row r="2913" spans="1:3" x14ac:dyDescent="0.25">
      <c r="A2913" s="388">
        <v>43939</v>
      </c>
      <c r="B2913" s="388" t="s">
        <v>3678</v>
      </c>
      <c r="C2913" s="14"/>
    </row>
    <row r="2914" spans="1:3" x14ac:dyDescent="0.25">
      <c r="A2914" s="388">
        <v>43939</v>
      </c>
      <c r="B2914" s="388" t="s">
        <v>3678</v>
      </c>
      <c r="C2914" s="14"/>
    </row>
    <row r="2915" spans="1:3" x14ac:dyDescent="0.25">
      <c r="A2915" s="388">
        <v>43939</v>
      </c>
      <c r="B2915" s="388" t="s">
        <v>3678</v>
      </c>
      <c r="C2915" s="14"/>
    </row>
    <row r="2916" spans="1:3" x14ac:dyDescent="0.25">
      <c r="A2916" s="388">
        <v>43940</v>
      </c>
      <c r="B2916" s="388" t="s">
        <v>3680</v>
      </c>
      <c r="C2916" s="14"/>
    </row>
    <row r="2917" spans="1:3" x14ac:dyDescent="0.25">
      <c r="A2917" s="388">
        <v>43940</v>
      </c>
      <c r="B2917" s="388" t="s">
        <v>3678</v>
      </c>
      <c r="C2917" s="14"/>
    </row>
    <row r="2918" spans="1:3" x14ac:dyDescent="0.25">
      <c r="A2918" s="388">
        <v>43940</v>
      </c>
      <c r="B2918" s="388" t="s">
        <v>3678</v>
      </c>
      <c r="C2918" s="14"/>
    </row>
    <row r="2919" spans="1:3" x14ac:dyDescent="0.25">
      <c r="A2919" s="388">
        <v>43940</v>
      </c>
      <c r="B2919" s="388" t="s">
        <v>3678</v>
      </c>
      <c r="C2919" s="14"/>
    </row>
    <row r="2920" spans="1:3" x14ac:dyDescent="0.25">
      <c r="A2920" s="388">
        <v>43940</v>
      </c>
      <c r="B2920" s="388" t="s">
        <v>3680</v>
      </c>
      <c r="C2920" s="14"/>
    </row>
    <row r="2921" spans="1:3" x14ac:dyDescent="0.25">
      <c r="A2921" s="388">
        <v>43940</v>
      </c>
      <c r="B2921" s="388" t="s">
        <v>3678</v>
      </c>
      <c r="C2921" s="14"/>
    </row>
    <row r="2922" spans="1:3" x14ac:dyDescent="0.25">
      <c r="A2922" s="388">
        <v>43940</v>
      </c>
      <c r="B2922" s="388" t="s">
        <v>3678</v>
      </c>
      <c r="C2922" s="14"/>
    </row>
    <row r="2923" spans="1:3" x14ac:dyDescent="0.25">
      <c r="A2923" s="388">
        <v>43940</v>
      </c>
      <c r="B2923" s="388" t="s">
        <v>3678</v>
      </c>
      <c r="C2923" s="14"/>
    </row>
    <row r="2924" spans="1:3" x14ac:dyDescent="0.25">
      <c r="A2924" s="388">
        <v>43942</v>
      </c>
      <c r="B2924" s="388" t="s">
        <v>3679</v>
      </c>
      <c r="C2924" s="14"/>
    </row>
    <row r="2925" spans="1:3" x14ac:dyDescent="0.25">
      <c r="A2925" s="388">
        <v>43942</v>
      </c>
      <c r="B2925" s="388" t="s">
        <v>3680</v>
      </c>
      <c r="C2925" s="14"/>
    </row>
    <row r="2926" spans="1:3" x14ac:dyDescent="0.25">
      <c r="A2926" s="388">
        <v>43942</v>
      </c>
      <c r="B2926" s="388" t="s">
        <v>3678</v>
      </c>
      <c r="C2926" s="14"/>
    </row>
    <row r="2927" spans="1:3" x14ac:dyDescent="0.25">
      <c r="A2927" s="388">
        <v>43942</v>
      </c>
      <c r="B2927" s="388" t="s">
        <v>3678</v>
      </c>
      <c r="C2927" s="14"/>
    </row>
    <row r="2928" spans="1:3" x14ac:dyDescent="0.25">
      <c r="A2928" s="388">
        <v>43942</v>
      </c>
      <c r="B2928" s="388" t="s">
        <v>3680</v>
      </c>
      <c r="C2928" s="14"/>
    </row>
    <row r="2929" spans="1:3" x14ac:dyDescent="0.25">
      <c r="A2929" s="388">
        <v>43943</v>
      </c>
      <c r="B2929" s="388" t="s">
        <v>3680</v>
      </c>
      <c r="C2929" s="14"/>
    </row>
    <row r="2930" spans="1:3" x14ac:dyDescent="0.25">
      <c r="A2930" s="388">
        <v>43943</v>
      </c>
      <c r="B2930" s="388" t="s">
        <v>3680</v>
      </c>
      <c r="C2930" s="14"/>
    </row>
    <row r="2931" spans="1:3" x14ac:dyDescent="0.25">
      <c r="A2931" s="388">
        <v>43943</v>
      </c>
      <c r="B2931" s="388" t="s">
        <v>3678</v>
      </c>
      <c r="C2931" s="14"/>
    </row>
    <row r="2932" spans="1:3" x14ac:dyDescent="0.25">
      <c r="A2932" s="388">
        <v>43943</v>
      </c>
      <c r="B2932" s="388" t="s">
        <v>3680</v>
      </c>
      <c r="C2932" s="14"/>
    </row>
    <row r="2933" spans="1:3" x14ac:dyDescent="0.25">
      <c r="A2933" s="388">
        <v>43943</v>
      </c>
      <c r="B2933" s="388" t="s">
        <v>3679</v>
      </c>
      <c r="C2933" s="14"/>
    </row>
    <row r="2934" spans="1:3" x14ac:dyDescent="0.25">
      <c r="A2934" s="388">
        <v>43944</v>
      </c>
      <c r="B2934" s="388" t="s">
        <v>3678</v>
      </c>
      <c r="C2934" s="14"/>
    </row>
    <row r="2935" spans="1:3" x14ac:dyDescent="0.25">
      <c r="A2935" s="388">
        <v>43944</v>
      </c>
      <c r="B2935" s="388" t="s">
        <v>3680</v>
      </c>
      <c r="C2935" s="14"/>
    </row>
    <row r="2936" spans="1:3" x14ac:dyDescent="0.25">
      <c r="A2936" s="388">
        <v>43945</v>
      </c>
      <c r="B2936" s="388" t="s">
        <v>3678</v>
      </c>
      <c r="C2936" s="14"/>
    </row>
    <row r="2937" spans="1:3" x14ac:dyDescent="0.25">
      <c r="A2937" s="388">
        <v>43945</v>
      </c>
      <c r="B2937" s="388" t="s">
        <v>3678</v>
      </c>
      <c r="C2937" s="14"/>
    </row>
    <row r="2938" spans="1:3" x14ac:dyDescent="0.25">
      <c r="A2938" s="388">
        <v>43945</v>
      </c>
      <c r="B2938" s="388" t="s">
        <v>3678</v>
      </c>
      <c r="C2938" s="14"/>
    </row>
    <row r="2939" spans="1:3" x14ac:dyDescent="0.25">
      <c r="A2939" s="388">
        <v>43945</v>
      </c>
      <c r="B2939" s="388" t="s">
        <v>3678</v>
      </c>
      <c r="C2939" s="14"/>
    </row>
    <row r="2940" spans="1:3" x14ac:dyDescent="0.25">
      <c r="A2940" s="388">
        <v>43945</v>
      </c>
      <c r="B2940" s="388" t="s">
        <v>3679</v>
      </c>
      <c r="C2940" s="14"/>
    </row>
    <row r="2941" spans="1:3" x14ac:dyDescent="0.25">
      <c r="A2941" s="388">
        <v>43945</v>
      </c>
      <c r="B2941" s="388" t="s">
        <v>3678</v>
      </c>
      <c r="C2941" s="14"/>
    </row>
    <row r="2942" spans="1:3" x14ac:dyDescent="0.25">
      <c r="A2942" s="388">
        <v>43945</v>
      </c>
      <c r="B2942" s="388" t="s">
        <v>3679</v>
      </c>
      <c r="C2942" s="14"/>
    </row>
    <row r="2943" spans="1:3" x14ac:dyDescent="0.25">
      <c r="A2943" s="388">
        <v>43945</v>
      </c>
      <c r="B2943" s="388" t="s">
        <v>3679</v>
      </c>
      <c r="C2943" s="14"/>
    </row>
    <row r="2944" spans="1:3" x14ac:dyDescent="0.25">
      <c r="A2944" s="388">
        <v>43946</v>
      </c>
      <c r="B2944" s="388" t="s">
        <v>3680</v>
      </c>
      <c r="C2944" s="14"/>
    </row>
    <row r="2945" spans="1:3" x14ac:dyDescent="0.25">
      <c r="A2945" s="388">
        <v>43946</v>
      </c>
      <c r="B2945" s="388" t="s">
        <v>3680</v>
      </c>
      <c r="C2945" s="14"/>
    </row>
    <row r="2946" spans="1:3" x14ac:dyDescent="0.25">
      <c r="A2946" s="388">
        <v>43946</v>
      </c>
      <c r="B2946" s="388" t="s">
        <v>3679</v>
      </c>
      <c r="C2946" s="14"/>
    </row>
    <row r="2947" spans="1:3" x14ac:dyDescent="0.25">
      <c r="A2947" s="388">
        <v>43947</v>
      </c>
      <c r="B2947" s="388" t="s">
        <v>3680</v>
      </c>
      <c r="C2947" s="14"/>
    </row>
    <row r="2948" spans="1:3" x14ac:dyDescent="0.25">
      <c r="A2948" s="388">
        <v>43947</v>
      </c>
      <c r="B2948" s="388" t="s">
        <v>3679</v>
      </c>
      <c r="C2948" s="14"/>
    </row>
    <row r="2949" spans="1:3" x14ac:dyDescent="0.25">
      <c r="A2949" s="388">
        <v>43948</v>
      </c>
      <c r="B2949" s="388" t="s">
        <v>3679</v>
      </c>
      <c r="C2949" s="14"/>
    </row>
    <row r="2950" spans="1:3" x14ac:dyDescent="0.25">
      <c r="A2950" s="388">
        <v>43948</v>
      </c>
      <c r="B2950" s="388" t="s">
        <v>3679</v>
      </c>
      <c r="C2950" s="14"/>
    </row>
    <row r="2951" spans="1:3" x14ac:dyDescent="0.25">
      <c r="A2951" s="388">
        <v>43948</v>
      </c>
      <c r="B2951" s="388" t="s">
        <v>3679</v>
      </c>
      <c r="C2951" s="14"/>
    </row>
    <row r="2952" spans="1:3" x14ac:dyDescent="0.25">
      <c r="A2952" s="388">
        <v>43948</v>
      </c>
      <c r="B2952" s="388" t="s">
        <v>3679</v>
      </c>
      <c r="C2952" s="14"/>
    </row>
    <row r="2953" spans="1:3" x14ac:dyDescent="0.25">
      <c r="A2953" s="388">
        <v>43948</v>
      </c>
      <c r="B2953" s="388" t="s">
        <v>3678</v>
      </c>
      <c r="C2953" s="14"/>
    </row>
    <row r="2954" spans="1:3" x14ac:dyDescent="0.25">
      <c r="A2954" s="388">
        <v>43948</v>
      </c>
      <c r="B2954" s="388" t="s">
        <v>3680</v>
      </c>
      <c r="C2954" s="14"/>
    </row>
    <row r="2955" spans="1:3" x14ac:dyDescent="0.25">
      <c r="A2955" s="26">
        <v>43949</v>
      </c>
      <c r="B2955" s="26" t="s">
        <v>3679</v>
      </c>
    </row>
    <row r="2956" spans="1:3" x14ac:dyDescent="0.25">
      <c r="A2956" s="26">
        <v>43949</v>
      </c>
      <c r="B2956" s="26" t="s">
        <v>3680</v>
      </c>
    </row>
    <row r="2957" spans="1:3" x14ac:dyDescent="0.25">
      <c r="A2957" s="26">
        <v>43950</v>
      </c>
      <c r="B2957" s="26" t="s">
        <v>3680</v>
      </c>
    </row>
    <row r="2958" spans="1:3" x14ac:dyDescent="0.25">
      <c r="A2958" s="26">
        <v>43950</v>
      </c>
      <c r="B2958" s="26" t="s">
        <v>3679</v>
      </c>
    </row>
    <row r="2959" spans="1:3" x14ac:dyDescent="0.25">
      <c r="A2959" s="26">
        <v>43951</v>
      </c>
      <c r="B2959" s="26" t="s">
        <v>3680</v>
      </c>
    </row>
    <row r="2960" spans="1:3" x14ac:dyDescent="0.25">
      <c r="A2960" s="26">
        <v>43951</v>
      </c>
      <c r="B2960" s="26" t="s">
        <v>3680</v>
      </c>
    </row>
    <row r="2961" spans="1:2" x14ac:dyDescent="0.25">
      <c r="A2961" s="26">
        <v>43951</v>
      </c>
      <c r="B2961" s="26" t="s">
        <v>3679</v>
      </c>
    </row>
    <row r="2962" spans="1:2" x14ac:dyDescent="0.25">
      <c r="A2962" s="26">
        <v>43951</v>
      </c>
      <c r="B2962" s="26" t="s">
        <v>3680</v>
      </c>
    </row>
  </sheetData>
  <autoFilter ref="A1:Q2954"/>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F97"/>
  <sheetViews>
    <sheetView topLeftCell="J19" zoomScale="85" zoomScaleNormal="85" workbookViewId="0">
      <selection activeCell="AC7" sqref="AC7"/>
    </sheetView>
  </sheetViews>
  <sheetFormatPr defaultRowHeight="15" x14ac:dyDescent="0.25"/>
  <cols>
    <col min="1" max="1" width="10.42578125" customWidth="1"/>
    <col min="2" max="2" width="74.28515625" customWidth="1"/>
    <col min="7" max="7" width="10.7109375" bestFit="1" customWidth="1"/>
    <col min="11" max="11" width="12.5703125" customWidth="1"/>
    <col min="12" max="12" width="10.140625" style="25" customWidth="1"/>
    <col min="14" max="14" width="12.85546875" customWidth="1"/>
    <col min="15" max="15" width="10.7109375" style="11" bestFit="1" customWidth="1"/>
    <col min="16" max="16" width="13.5703125" customWidth="1"/>
    <col min="17" max="17" width="12" customWidth="1"/>
    <col min="18" max="18" width="15.85546875" customWidth="1"/>
    <col min="19" max="19" width="16.140625" customWidth="1"/>
    <col min="20" max="20" width="14.85546875" customWidth="1"/>
    <col min="21" max="21" width="20.5703125" customWidth="1"/>
    <col min="22" max="22" width="16.7109375" customWidth="1"/>
    <col min="23" max="23" width="16.7109375" style="25" customWidth="1"/>
    <col min="24" max="24" width="16.140625" customWidth="1"/>
    <col min="25" max="25" width="9.7109375" bestFit="1" customWidth="1"/>
    <col min="26" max="26" width="15.85546875" bestFit="1" customWidth="1"/>
    <col min="27" max="27" width="15.85546875" style="25" customWidth="1"/>
    <col min="31" max="31" width="15" bestFit="1" customWidth="1"/>
  </cols>
  <sheetData>
    <row r="1" spans="1:32" ht="17.25" thickBot="1" x14ac:dyDescent="0.35">
      <c r="A1" s="36" t="s">
        <v>486</v>
      </c>
      <c r="B1" s="36" t="s">
        <v>465</v>
      </c>
      <c r="E1" t="s">
        <v>487</v>
      </c>
      <c r="F1" t="s">
        <v>673</v>
      </c>
      <c r="G1" t="s">
        <v>672</v>
      </c>
      <c r="H1" t="s">
        <v>674</v>
      </c>
      <c r="K1" t="s">
        <v>487</v>
      </c>
      <c r="L1" s="25" t="s">
        <v>1075</v>
      </c>
      <c r="M1" t="s">
        <v>1069</v>
      </c>
      <c r="N1" s="25" t="s">
        <v>3313</v>
      </c>
      <c r="O1" s="25" t="s">
        <v>2011</v>
      </c>
      <c r="P1" t="s">
        <v>503</v>
      </c>
      <c r="Q1" s="11" t="s">
        <v>1127</v>
      </c>
      <c r="R1" s="11" t="s">
        <v>1128</v>
      </c>
      <c r="S1" t="s">
        <v>155</v>
      </c>
      <c r="T1" t="s">
        <v>723</v>
      </c>
      <c r="U1" t="s">
        <v>673</v>
      </c>
      <c r="V1" t="s">
        <v>1138</v>
      </c>
      <c r="W1" t="s">
        <v>1237</v>
      </c>
      <c r="X1" s="25" t="s">
        <v>2385</v>
      </c>
      <c r="Y1" s="25" t="s">
        <v>2515</v>
      </c>
      <c r="Z1" s="25" t="s">
        <v>2514</v>
      </c>
      <c r="AA1" s="25" t="s">
        <v>3483</v>
      </c>
      <c r="AC1" t="s">
        <v>1239</v>
      </c>
      <c r="AD1" t="s">
        <v>486</v>
      </c>
      <c r="AF1" t="s">
        <v>1470</v>
      </c>
    </row>
    <row r="2" spans="1:32" ht="33.75" thickBot="1" x14ac:dyDescent="0.3">
      <c r="A2" s="37">
        <v>0</v>
      </c>
      <c r="B2" s="37" t="s">
        <v>466</v>
      </c>
      <c r="E2" s="25" t="s">
        <v>2069</v>
      </c>
      <c r="F2" t="s">
        <v>48</v>
      </c>
      <c r="G2" s="26">
        <v>43851</v>
      </c>
      <c r="H2">
        <v>1</v>
      </c>
      <c r="K2" s="25" t="s">
        <v>48</v>
      </c>
      <c r="L2" s="25" t="s">
        <v>569</v>
      </c>
      <c r="N2" s="25" t="s">
        <v>569</v>
      </c>
      <c r="O2" s="25" t="s">
        <v>569</v>
      </c>
      <c r="P2" s="92">
        <v>25364000</v>
      </c>
      <c r="Q2" s="11">
        <v>1</v>
      </c>
      <c r="R2" s="26">
        <v>43851</v>
      </c>
      <c r="S2" s="26">
        <v>43855</v>
      </c>
      <c r="T2" s="26">
        <f ca="1">IF(OR(StartMethod=1,tblPopulation[[#This Row],[Country]]="Tests"),tblPopulation[[#This Row],[LogistStartSave]],INT(NOW())-LastNDays)</f>
        <v>43855</v>
      </c>
      <c r="U2" t="s">
        <v>48</v>
      </c>
      <c r="V2">
        <v>0</v>
      </c>
      <c r="W2" s="26">
        <v>43855</v>
      </c>
      <c r="X2" s="26"/>
      <c r="Y2" s="11">
        <v>1</v>
      </c>
      <c r="Z2" s="11">
        <v>1</v>
      </c>
      <c r="AA2" s="11">
        <v>8</v>
      </c>
      <c r="AC2" t="s">
        <v>1238</v>
      </c>
      <c r="AD2">
        <v>1</v>
      </c>
      <c r="AF2">
        <v>1</v>
      </c>
    </row>
    <row r="3" spans="1:32" ht="17.25" thickBot="1" x14ac:dyDescent="0.3">
      <c r="A3" s="37">
        <v>1</v>
      </c>
      <c r="B3" s="37" t="s">
        <v>467</v>
      </c>
      <c r="E3" t="s">
        <v>153</v>
      </c>
      <c r="G3" s="26">
        <v>43851</v>
      </c>
      <c r="H3">
        <v>-1</v>
      </c>
      <c r="K3" s="25" t="s">
        <v>48</v>
      </c>
      <c r="L3" s="25" t="s">
        <v>47</v>
      </c>
      <c r="M3" t="s">
        <v>153</v>
      </c>
      <c r="N3" s="25" t="s">
        <v>153</v>
      </c>
      <c r="O3" s="25" t="s">
        <v>153</v>
      </c>
      <c r="P3" s="92">
        <v>8080000</v>
      </c>
      <c r="Q3" s="11">
        <v>0</v>
      </c>
      <c r="R3" s="26">
        <v>43851</v>
      </c>
      <c r="S3" s="52">
        <v>43855</v>
      </c>
      <c r="T3" s="26">
        <f ca="1">IF(OR(StartMethod=1,tblPopulation[[#This Row],[Country]]="Tests"),tblPopulation[[#This Row],[LogistStartSave]],INT(NOW())-LastNDays)</f>
        <v>43855</v>
      </c>
      <c r="U3" t="s">
        <v>47</v>
      </c>
      <c r="V3">
        <v>1</v>
      </c>
      <c r="W3" s="26">
        <v>43855</v>
      </c>
      <c r="X3" s="26"/>
      <c r="Y3" s="11">
        <v>1</v>
      </c>
      <c r="Z3" s="11">
        <v>1</v>
      </c>
      <c r="AA3" s="26"/>
      <c r="AC3" t="s">
        <v>1240</v>
      </c>
      <c r="AD3">
        <v>22</v>
      </c>
      <c r="AE3" s="129">
        <f ca="1">INT(NOW())-LastNDays+1</f>
        <v>43934</v>
      </c>
      <c r="AF3">
        <v>2</v>
      </c>
    </row>
    <row r="4" spans="1:32" ht="17.25" thickBot="1" x14ac:dyDescent="0.3">
      <c r="A4" s="37">
        <v>2</v>
      </c>
      <c r="B4" s="37" t="s">
        <v>468</v>
      </c>
      <c r="E4" t="s">
        <v>58</v>
      </c>
      <c r="F4" t="s">
        <v>58</v>
      </c>
      <c r="G4" s="26">
        <v>43851</v>
      </c>
      <c r="H4" s="25">
        <v>0</v>
      </c>
      <c r="K4" s="25" t="s">
        <v>58</v>
      </c>
      <c r="L4" s="25" t="s">
        <v>58</v>
      </c>
      <c r="N4" s="25" t="s">
        <v>58</v>
      </c>
      <c r="O4" s="25" t="s">
        <v>58</v>
      </c>
      <c r="P4" s="92">
        <v>60485000</v>
      </c>
      <c r="Q4" s="11">
        <v>0</v>
      </c>
      <c r="R4" s="26">
        <v>43851</v>
      </c>
      <c r="S4" s="26">
        <v>43860</v>
      </c>
      <c r="T4" s="26">
        <f ca="1">IF(OR(StartMethod=1,tblPopulation[[#This Row],[Country]]="Tests"),tblPopulation[[#This Row],[LogistStartSave]],INT(NOW())-LastNDays)</f>
        <v>43860</v>
      </c>
      <c r="U4" t="s">
        <v>58</v>
      </c>
      <c r="V4" s="25">
        <v>2</v>
      </c>
      <c r="W4" s="26">
        <v>43860</v>
      </c>
      <c r="X4" s="26"/>
      <c r="Y4" s="11">
        <v>1</v>
      </c>
      <c r="Z4" s="11">
        <v>1</v>
      </c>
      <c r="AA4" s="26"/>
      <c r="AC4" t="s">
        <v>1241</v>
      </c>
      <c r="AD4">
        <v>0</v>
      </c>
      <c r="AF4" s="25">
        <v>3</v>
      </c>
    </row>
    <row r="5" spans="1:32" ht="17.25" thickBot="1" x14ac:dyDescent="0.3">
      <c r="A5" s="37">
        <v>3</v>
      </c>
      <c r="B5" s="37" t="s">
        <v>469</v>
      </c>
      <c r="E5" t="s">
        <v>37</v>
      </c>
      <c r="F5" t="s">
        <v>37</v>
      </c>
      <c r="G5" s="26">
        <v>43871</v>
      </c>
      <c r="H5" s="25">
        <v>1</v>
      </c>
      <c r="K5" s="25" t="s">
        <v>208</v>
      </c>
      <c r="L5" s="25" t="s">
        <v>37</v>
      </c>
      <c r="N5" s="25" t="s">
        <v>37</v>
      </c>
      <c r="O5" s="25" t="s">
        <v>37</v>
      </c>
      <c r="P5" s="92">
        <v>329227746</v>
      </c>
      <c r="Q5" s="11">
        <v>0</v>
      </c>
      <c r="R5" s="26">
        <v>43851</v>
      </c>
      <c r="S5" s="26">
        <v>43852</v>
      </c>
      <c r="T5" s="26">
        <f ca="1">IF(OR(StartMethod=1,tblPopulation[[#This Row],[Country]]="Tests"),tblPopulation[[#This Row],[LogistStartSave]],INT(NOW())-LastNDays)</f>
        <v>43852</v>
      </c>
      <c r="U5" t="s">
        <v>37</v>
      </c>
      <c r="V5" s="25">
        <v>3</v>
      </c>
      <c r="W5" s="26">
        <v>43852</v>
      </c>
      <c r="X5" s="26"/>
      <c r="Y5" s="11">
        <v>1</v>
      </c>
      <c r="Z5" s="11">
        <v>1</v>
      </c>
      <c r="AA5" s="26"/>
      <c r="AC5" t="s">
        <v>1345</v>
      </c>
      <c r="AF5" s="25">
        <v>4</v>
      </c>
    </row>
    <row r="6" spans="1:32" ht="17.25" thickBot="1" x14ac:dyDescent="0.3">
      <c r="A6" s="37">
        <v>4</v>
      </c>
      <c r="B6" s="37" t="s">
        <v>470</v>
      </c>
      <c r="E6" t="s">
        <v>176</v>
      </c>
      <c r="F6" t="s">
        <v>176</v>
      </c>
      <c r="G6" s="26">
        <v>43851</v>
      </c>
      <c r="H6" s="25">
        <v>1</v>
      </c>
      <c r="K6" s="25" t="s">
        <v>176</v>
      </c>
      <c r="L6" s="25" t="s">
        <v>176</v>
      </c>
      <c r="N6" s="25" t="s">
        <v>176</v>
      </c>
      <c r="O6" s="25" t="s">
        <v>176</v>
      </c>
      <c r="P6" s="92">
        <v>1439323776</v>
      </c>
      <c r="Q6" s="11">
        <v>1</v>
      </c>
      <c r="R6" s="26">
        <v>43851</v>
      </c>
      <c r="S6" s="26">
        <v>43852</v>
      </c>
      <c r="T6" s="26">
        <f ca="1">IF(OR(StartMethod=1,tblPopulation[[#This Row],[Country]]="Tests"),tblPopulation[[#This Row],[LogistStartSave]],INT(NOW())-LastNDays)</f>
        <v>43852</v>
      </c>
      <c r="U6" t="s">
        <v>176</v>
      </c>
      <c r="V6" s="25">
        <v>4</v>
      </c>
      <c r="W6" s="26">
        <v>43852</v>
      </c>
      <c r="X6" s="26"/>
      <c r="Y6" s="11">
        <v>1</v>
      </c>
      <c r="Z6" s="11">
        <v>1</v>
      </c>
      <c r="AA6" s="26"/>
      <c r="AC6" t="s">
        <v>1469</v>
      </c>
      <c r="AD6">
        <v>100</v>
      </c>
      <c r="AF6" s="25">
        <v>5</v>
      </c>
    </row>
    <row r="7" spans="1:32" ht="17.25" thickBot="1" x14ac:dyDescent="0.3">
      <c r="A7" s="37">
        <v>5</v>
      </c>
      <c r="B7" s="37" t="s">
        <v>471</v>
      </c>
      <c r="E7" s="25" t="s">
        <v>678</v>
      </c>
      <c r="F7" t="s">
        <v>193</v>
      </c>
      <c r="G7" s="26">
        <v>43851</v>
      </c>
      <c r="H7" s="25">
        <v>0</v>
      </c>
      <c r="K7" s="25" t="s">
        <v>2302</v>
      </c>
      <c r="L7" s="25" t="s">
        <v>678</v>
      </c>
      <c r="N7" s="25" t="s">
        <v>678</v>
      </c>
      <c r="O7" s="25" t="s">
        <v>677</v>
      </c>
      <c r="P7" s="92">
        <v>51400000</v>
      </c>
      <c r="Q7" s="11">
        <v>0</v>
      </c>
      <c r="R7" s="26">
        <v>43851</v>
      </c>
      <c r="S7" s="26">
        <v>43852</v>
      </c>
      <c r="T7" s="26">
        <f ca="1">IF(OR(StartMethod=1,tblPopulation[[#This Row],[Country]]="Tests"),tblPopulation[[#This Row],[LogistStartSave]],INT(NOW())-LastNDays)</f>
        <v>43852</v>
      </c>
      <c r="U7" t="s">
        <v>193</v>
      </c>
      <c r="V7" s="25">
        <v>5</v>
      </c>
      <c r="W7" s="26">
        <v>43852</v>
      </c>
      <c r="X7" s="26">
        <v>43880</v>
      </c>
      <c r="Y7" s="11">
        <v>1</v>
      </c>
      <c r="Z7" s="11">
        <v>1</v>
      </c>
      <c r="AA7" s="26"/>
      <c r="AC7" t="s">
        <v>3390</v>
      </c>
      <c r="AD7">
        <v>10</v>
      </c>
      <c r="AF7" s="25">
        <v>6</v>
      </c>
    </row>
    <row r="8" spans="1:32" ht="17.25" thickBot="1" x14ac:dyDescent="0.3">
      <c r="A8" s="37">
        <v>6</v>
      </c>
      <c r="B8" s="37" t="s">
        <v>472</v>
      </c>
      <c r="E8" s="25" t="s">
        <v>658</v>
      </c>
      <c r="F8" t="s">
        <v>609</v>
      </c>
      <c r="G8" s="26">
        <v>43860</v>
      </c>
      <c r="H8" s="25">
        <v>1</v>
      </c>
      <c r="K8" s="25" t="s">
        <v>609</v>
      </c>
      <c r="L8" s="25" t="s">
        <v>609</v>
      </c>
      <c r="N8" s="25" t="s">
        <v>609</v>
      </c>
      <c r="O8" s="25" t="s">
        <v>658</v>
      </c>
      <c r="P8" s="92">
        <v>66440000</v>
      </c>
      <c r="Q8" s="11">
        <v>1</v>
      </c>
      <c r="R8" s="26">
        <v>43860</v>
      </c>
      <c r="S8" s="26">
        <v>43860</v>
      </c>
      <c r="T8" s="26">
        <f ca="1">IF(OR(StartMethod=1,tblPopulation[[#This Row],[Country]]="Tests"),tblPopulation[[#This Row],[LogistStartSave]],INT(NOW())-LastNDays)</f>
        <v>43860</v>
      </c>
      <c r="U8" t="s">
        <v>609</v>
      </c>
      <c r="V8" s="25">
        <v>6</v>
      </c>
      <c r="W8" s="26">
        <v>43860</v>
      </c>
      <c r="X8" s="26"/>
      <c r="Y8" s="11">
        <v>1</v>
      </c>
      <c r="Z8" s="11">
        <v>1</v>
      </c>
      <c r="AA8" s="26"/>
      <c r="AF8" s="25">
        <v>7</v>
      </c>
    </row>
    <row r="9" spans="1:32" ht="17.25" thickBot="1" x14ac:dyDescent="0.3">
      <c r="A9" s="37">
        <v>7</v>
      </c>
      <c r="B9" s="37" t="s">
        <v>473</v>
      </c>
      <c r="E9" s="25" t="s">
        <v>40</v>
      </c>
      <c r="F9" s="25" t="s">
        <v>40</v>
      </c>
      <c r="G9" s="26">
        <v>43852</v>
      </c>
      <c r="H9" s="25">
        <v>0</v>
      </c>
      <c r="K9" s="25" t="s">
        <v>40</v>
      </c>
      <c r="L9" s="25" t="s">
        <v>40</v>
      </c>
      <c r="N9" s="25" t="s">
        <v>40</v>
      </c>
      <c r="O9" s="25" t="s">
        <v>2012</v>
      </c>
      <c r="P9" s="92">
        <v>5850000</v>
      </c>
      <c r="Q9" s="11">
        <v>0</v>
      </c>
      <c r="R9" s="26">
        <v>43852</v>
      </c>
      <c r="S9" s="26">
        <v>43853</v>
      </c>
      <c r="T9" s="26">
        <f ca="1">IF(OR(StartMethod=1,tblPopulation[[#This Row],[Country]]="Tests"),tblPopulation[[#This Row],[LogistStartSave]],INT(NOW())-LastNDays)</f>
        <v>43853</v>
      </c>
      <c r="U9" t="s">
        <v>40</v>
      </c>
      <c r="V9" s="25">
        <v>7</v>
      </c>
      <c r="W9" s="26">
        <v>43853</v>
      </c>
      <c r="X9" s="26"/>
      <c r="Y9" s="11">
        <v>1</v>
      </c>
      <c r="Z9" s="11">
        <v>1</v>
      </c>
      <c r="AA9" s="26"/>
      <c r="AF9" s="25">
        <v>8</v>
      </c>
    </row>
    <row r="10" spans="1:32" ht="17.25" thickBot="1" x14ac:dyDescent="0.3">
      <c r="A10" s="37">
        <v>8</v>
      </c>
      <c r="B10" s="37" t="s">
        <v>474</v>
      </c>
      <c r="E10" s="25" t="s">
        <v>2133</v>
      </c>
      <c r="F10" s="25" t="s">
        <v>2133</v>
      </c>
      <c r="G10" s="26">
        <v>43852</v>
      </c>
      <c r="H10" s="25">
        <v>0</v>
      </c>
      <c r="K10" t="s">
        <v>2133</v>
      </c>
      <c r="L10" s="25" t="s">
        <v>2133</v>
      </c>
      <c r="N10" s="25" t="s">
        <v>2133</v>
      </c>
      <c r="O10" t="s">
        <v>2133</v>
      </c>
      <c r="P10" s="92">
        <v>23807282</v>
      </c>
      <c r="Q10" s="11">
        <v>0</v>
      </c>
      <c r="R10" s="26">
        <v>43852</v>
      </c>
      <c r="S10" s="26">
        <v>43852</v>
      </c>
      <c r="T10" s="26">
        <f ca="1">IF(OR(StartMethod=1,tblPopulation[[#This Row],[Country]]="Tests"),tblPopulation[[#This Row],[LogistStartSave]],INT(NOW())-LastNDays)</f>
        <v>43852</v>
      </c>
      <c r="U10" t="s">
        <v>2133</v>
      </c>
      <c r="V10">
        <v>14</v>
      </c>
      <c r="W10" s="26">
        <v>43852</v>
      </c>
      <c r="X10" s="26"/>
      <c r="Y10" s="11">
        <v>1</v>
      </c>
      <c r="Z10" s="11">
        <v>1</v>
      </c>
      <c r="AA10" s="26"/>
      <c r="AF10" s="25">
        <v>9</v>
      </c>
    </row>
    <row r="11" spans="1:32" ht="17.25" thickBot="1" x14ac:dyDescent="0.3">
      <c r="A11" s="37">
        <v>9</v>
      </c>
      <c r="B11" s="37" t="s">
        <v>475</v>
      </c>
      <c r="E11" t="s">
        <v>568</v>
      </c>
      <c r="G11" s="26">
        <v>43831</v>
      </c>
      <c r="H11" s="25">
        <v>1</v>
      </c>
      <c r="K11" t="s">
        <v>93</v>
      </c>
      <c r="L11" s="25" t="s">
        <v>1452</v>
      </c>
      <c r="N11" s="25" t="s">
        <v>1452</v>
      </c>
      <c r="O11" s="25" t="s">
        <v>1452</v>
      </c>
      <c r="P11" s="92">
        <v>5230000</v>
      </c>
      <c r="Q11" s="11">
        <v>0</v>
      </c>
      <c r="R11" s="26">
        <v>43852</v>
      </c>
      <c r="S11" s="26">
        <v>43889</v>
      </c>
      <c r="T11" s="26">
        <f ca="1">IF(OR(StartMethod=1,tblPopulation[[#This Row],[Country]]="Tests"),tblPopulation[[#This Row],[LogistStartSave]],INT(NOW())-LastNDays)</f>
        <v>43888</v>
      </c>
      <c r="U11" s="26" t="s">
        <v>93</v>
      </c>
      <c r="V11" s="25">
        <v>11</v>
      </c>
      <c r="W11" s="26">
        <v>43888</v>
      </c>
      <c r="X11" s="26"/>
      <c r="Y11" s="11">
        <v>1</v>
      </c>
      <c r="Z11" s="11">
        <v>1</v>
      </c>
      <c r="AA11" s="26"/>
      <c r="AF11" s="25">
        <v>10</v>
      </c>
    </row>
    <row r="12" spans="1:32" ht="17.25" thickBot="1" x14ac:dyDescent="0.3">
      <c r="A12" s="37">
        <v>10</v>
      </c>
      <c r="B12" s="37" t="s">
        <v>476</v>
      </c>
      <c r="K12" t="s">
        <v>568</v>
      </c>
      <c r="L12" s="25" t="s">
        <v>568</v>
      </c>
      <c r="N12" s="25" t="s">
        <v>568</v>
      </c>
      <c r="O12" s="25" t="s">
        <v>568</v>
      </c>
      <c r="P12" s="92"/>
      <c r="Q12" s="11">
        <v>-1</v>
      </c>
      <c r="R12" s="26">
        <v>43831</v>
      </c>
      <c r="S12" s="26"/>
      <c r="T12" s="26">
        <f ca="1">IF(OR(StartMethod=1,tblPopulation[[#This Row],[Country]]="Tests"),tblPopulation[[#This Row],[LogistStartSave]],INT(NOW())-LastNDays)</f>
        <v>43895</v>
      </c>
      <c r="V12" s="25">
        <v>8</v>
      </c>
      <c r="W12" s="26">
        <v>43895</v>
      </c>
      <c r="X12" s="26"/>
      <c r="Y12" s="11">
        <v>0</v>
      </c>
      <c r="Z12" s="11">
        <v>1</v>
      </c>
      <c r="AA12" s="26"/>
      <c r="AF12" s="25">
        <v>11</v>
      </c>
    </row>
    <row r="13" spans="1:32" ht="17.25" thickBot="1" x14ac:dyDescent="0.3">
      <c r="A13" s="37">
        <v>11</v>
      </c>
      <c r="B13" s="37" t="s">
        <v>477</v>
      </c>
      <c r="K13" t="s">
        <v>1068</v>
      </c>
      <c r="L13" s="25" t="s">
        <v>1068</v>
      </c>
      <c r="N13" s="25" t="s">
        <v>1068</v>
      </c>
      <c r="O13" s="25"/>
      <c r="P13" s="92"/>
      <c r="Q13" s="11">
        <v>0</v>
      </c>
      <c r="R13" s="26">
        <v>43889</v>
      </c>
      <c r="S13" s="26">
        <v>43890</v>
      </c>
      <c r="T13" s="26">
        <f ca="1">IF(OR(StartMethod=1,tblPopulation[[#This Row],[Country]]="Tests"),tblPopulation[[#This Row],[LogistStartSave]],INT(NOW())-LastNDays)</f>
        <v>43889</v>
      </c>
      <c r="U13" t="s">
        <v>1068</v>
      </c>
      <c r="V13" s="25">
        <v>9</v>
      </c>
      <c r="W13" s="26">
        <v>43889</v>
      </c>
      <c r="X13" s="26"/>
      <c r="Y13" s="11">
        <v>1</v>
      </c>
      <c r="Z13" s="11">
        <v>1</v>
      </c>
      <c r="AA13" s="26"/>
      <c r="AF13" s="25">
        <v>12</v>
      </c>
    </row>
    <row r="14" spans="1:32" ht="17.25" thickBot="1" x14ac:dyDescent="0.3">
      <c r="A14" s="37">
        <v>13</v>
      </c>
      <c r="B14" s="37" t="s">
        <v>478</v>
      </c>
      <c r="K14" t="s">
        <v>176</v>
      </c>
      <c r="M14" t="s">
        <v>16</v>
      </c>
      <c r="N14" s="25"/>
      <c r="O14" s="25" t="s">
        <v>16</v>
      </c>
      <c r="P14" s="92">
        <v>58500000</v>
      </c>
      <c r="Q14" s="11">
        <v>1</v>
      </c>
      <c r="R14" s="26">
        <v>43852</v>
      </c>
      <c r="S14" s="26">
        <v>43852</v>
      </c>
      <c r="T14" s="26">
        <f ca="1">IF(OR(StartMethod=1,tblPopulation[[#This Row],[Country]]="Tests"),tblPopulation[[#This Row],[LogistStartSave]],INT(NOW())-LastNDays)</f>
        <v>43852</v>
      </c>
      <c r="V14" s="25">
        <v>10</v>
      </c>
      <c r="W14" s="26">
        <v>43852</v>
      </c>
      <c r="X14" s="26"/>
      <c r="Y14" s="11">
        <v>0</v>
      </c>
      <c r="Z14" s="11">
        <v>0</v>
      </c>
      <c r="AA14" s="26"/>
      <c r="AF14" s="25">
        <v>13</v>
      </c>
    </row>
    <row r="15" spans="1:32" ht="33.75" thickBot="1" x14ac:dyDescent="0.3">
      <c r="A15" s="37">
        <v>14</v>
      </c>
      <c r="B15" s="37" t="s">
        <v>479</v>
      </c>
      <c r="K15" t="s">
        <v>659</v>
      </c>
      <c r="L15" s="25" t="s">
        <v>659</v>
      </c>
      <c r="N15" s="25"/>
      <c r="O15" s="25" t="s">
        <v>2010</v>
      </c>
      <c r="P15" s="92">
        <v>4900000</v>
      </c>
      <c r="Q15" s="11">
        <v>0</v>
      </c>
      <c r="R15" s="26">
        <v>43852</v>
      </c>
      <c r="S15" s="26">
        <v>43890</v>
      </c>
      <c r="T15" s="26">
        <v>43890</v>
      </c>
      <c r="V15">
        <v>12</v>
      </c>
      <c r="W15" s="26">
        <v>43890</v>
      </c>
      <c r="X15" s="26"/>
      <c r="Y15" s="11">
        <v>0</v>
      </c>
      <c r="Z15" s="11">
        <v>0</v>
      </c>
      <c r="AA15" s="26"/>
      <c r="AF15" s="25">
        <v>14</v>
      </c>
    </row>
    <row r="16" spans="1:32" ht="33.75" thickBot="1" x14ac:dyDescent="0.3">
      <c r="A16" s="37">
        <v>15</v>
      </c>
      <c r="B16" s="37" t="s">
        <v>480</v>
      </c>
      <c r="K16" t="s">
        <v>2069</v>
      </c>
      <c r="N16" s="25"/>
      <c r="O16" t="s">
        <v>2060</v>
      </c>
      <c r="P16" s="92">
        <f>P3</f>
        <v>8080000</v>
      </c>
      <c r="Q16" s="11">
        <v>0</v>
      </c>
      <c r="R16" s="26">
        <v>43920</v>
      </c>
      <c r="S16" s="26">
        <v>43920</v>
      </c>
      <c r="T16" s="26">
        <f ca="1">IF(OR(StartMethod=1,tblPopulation[[#This Row],[Country]]="Tests"),tblPopulation[[#This Row],[LogistStartSave]],INT(NOW())-LastNDays)</f>
        <v>43920</v>
      </c>
      <c r="V16">
        <v>13</v>
      </c>
      <c r="W16" s="26">
        <v>43920</v>
      </c>
      <c r="X16" s="26"/>
      <c r="Y16" s="11">
        <v>0</v>
      </c>
      <c r="Z16" s="11">
        <v>1</v>
      </c>
      <c r="AA16" s="26"/>
      <c r="AF16" s="25">
        <v>15</v>
      </c>
    </row>
    <row r="17" spans="1:32" ht="33.75" thickBot="1" x14ac:dyDescent="0.3">
      <c r="A17" s="37">
        <v>16</v>
      </c>
      <c r="B17" s="37" t="s">
        <v>481</v>
      </c>
      <c r="K17" s="25" t="s">
        <v>60</v>
      </c>
      <c r="L17" s="25" t="s">
        <v>60</v>
      </c>
      <c r="M17" s="25"/>
      <c r="N17" s="25"/>
      <c r="O17" s="25"/>
      <c r="P17" s="92">
        <v>10230000</v>
      </c>
      <c r="Q17" s="11"/>
      <c r="R17" s="11"/>
      <c r="S17" s="26"/>
      <c r="T17" s="26">
        <f ca="1">IF(OR(StartMethod=1,tblPopulation[[#This Row],[Country]]="Tests"),tblPopulation[[#This Row],[LogistStartSave]],INT(NOW())-LastNDays)</f>
        <v>0</v>
      </c>
      <c r="U17" s="25"/>
      <c r="V17" s="25"/>
      <c r="W17" s="26"/>
      <c r="X17" s="26"/>
      <c r="Y17" s="11">
        <v>0</v>
      </c>
      <c r="Z17" s="11">
        <v>0</v>
      </c>
      <c r="AA17" s="26"/>
      <c r="AF17" s="25">
        <v>16</v>
      </c>
    </row>
    <row r="18" spans="1:32" ht="17.25" thickBot="1" x14ac:dyDescent="0.3">
      <c r="A18" s="37">
        <v>17</v>
      </c>
      <c r="B18" s="37" t="s">
        <v>482</v>
      </c>
      <c r="K18" s="25" t="s">
        <v>61</v>
      </c>
      <c r="L18" s="25" t="s">
        <v>61</v>
      </c>
      <c r="M18" s="25"/>
      <c r="N18" s="25"/>
      <c r="O18" s="25"/>
      <c r="P18" s="92">
        <v>46940000</v>
      </c>
      <c r="Q18" s="11"/>
      <c r="R18" s="11"/>
      <c r="S18" s="26"/>
      <c r="T18" s="26">
        <f ca="1">IF(OR(StartMethod=1,tblPopulation[[#This Row],[Country]]="Tests"),tblPopulation[[#This Row],[LogistStartSave]],INT(NOW())-LastNDays)</f>
        <v>0</v>
      </c>
      <c r="U18" s="25"/>
      <c r="V18" s="25"/>
      <c r="W18" s="26"/>
      <c r="X18" s="26"/>
      <c r="Y18" s="11">
        <v>0</v>
      </c>
      <c r="Z18" s="11">
        <v>0</v>
      </c>
      <c r="AA18" s="26"/>
      <c r="AF18" s="25">
        <v>17</v>
      </c>
    </row>
    <row r="19" spans="1:32" ht="17.25" thickBot="1" x14ac:dyDescent="0.3">
      <c r="A19" s="37">
        <v>18</v>
      </c>
      <c r="B19" s="37" t="s">
        <v>483</v>
      </c>
      <c r="K19" s="25" t="s">
        <v>36</v>
      </c>
      <c r="L19" s="25" t="s">
        <v>36</v>
      </c>
      <c r="M19" s="25"/>
      <c r="N19" s="25"/>
      <c r="O19" s="25"/>
      <c r="P19" s="92">
        <v>126554203</v>
      </c>
      <c r="Q19" s="11"/>
      <c r="R19" s="11"/>
      <c r="S19" s="26"/>
      <c r="T19" s="26">
        <f ca="1">IF(OR(StartMethod=1,tblPopulation[[#This Row],[Country]]="Tests"),tblPopulation[[#This Row],[LogistStartSave]],INT(NOW())-LastNDays)</f>
        <v>0</v>
      </c>
      <c r="U19" s="25"/>
      <c r="V19" s="25"/>
      <c r="W19" s="26"/>
      <c r="X19" s="26"/>
      <c r="Y19" s="11">
        <v>0</v>
      </c>
      <c r="Z19" s="11">
        <v>0</v>
      </c>
      <c r="AA19" s="26"/>
      <c r="AF19" s="25">
        <v>18</v>
      </c>
    </row>
    <row r="20" spans="1:32" ht="17.25" thickBot="1" x14ac:dyDescent="0.3">
      <c r="A20" s="37">
        <v>19</v>
      </c>
      <c r="B20" s="37" t="s">
        <v>484</v>
      </c>
      <c r="K20" s="25" t="s">
        <v>65</v>
      </c>
      <c r="L20" s="25" t="s">
        <v>65</v>
      </c>
      <c r="M20" s="25"/>
      <c r="N20" s="25"/>
      <c r="O20" s="25"/>
      <c r="P20" s="92">
        <v>83773000</v>
      </c>
      <c r="Q20" s="11"/>
      <c r="R20" s="11"/>
      <c r="S20" s="26"/>
      <c r="T20" s="26">
        <f ca="1">IF(OR(StartMethod=1,tblPopulation[[#This Row],[Country]]="Tests"),tblPopulation[[#This Row],[LogistStartSave]],INT(NOW())-LastNDays)</f>
        <v>0</v>
      </c>
      <c r="U20" s="25"/>
      <c r="V20" s="25"/>
      <c r="W20" s="26"/>
      <c r="X20" s="26"/>
      <c r="Y20" s="11">
        <v>0</v>
      </c>
      <c r="Z20" s="11">
        <v>0</v>
      </c>
      <c r="AA20" s="26"/>
      <c r="AF20" s="25">
        <v>19</v>
      </c>
    </row>
    <row r="21" spans="1:32" ht="16.5" x14ac:dyDescent="0.25">
      <c r="A21" s="37">
        <v>20</v>
      </c>
      <c r="B21" s="37" t="s">
        <v>485</v>
      </c>
      <c r="K21" t="s">
        <v>48</v>
      </c>
      <c r="L21" s="25" t="s">
        <v>49</v>
      </c>
      <c r="M21" s="25" t="s">
        <v>49</v>
      </c>
      <c r="N21" s="25" t="s">
        <v>49</v>
      </c>
      <c r="O21" t="s">
        <v>2508</v>
      </c>
      <c r="P21" s="92">
        <v>6629000</v>
      </c>
      <c r="Q21" s="11"/>
      <c r="R21" s="26">
        <v>43851</v>
      </c>
      <c r="S21" s="26"/>
      <c r="T21" s="26">
        <v>43855</v>
      </c>
      <c r="V21">
        <v>15</v>
      </c>
      <c r="W21" s="26">
        <v>43855</v>
      </c>
      <c r="X21" s="26"/>
      <c r="Y21" s="11">
        <v>0</v>
      </c>
      <c r="Z21" s="11">
        <v>0</v>
      </c>
      <c r="AA21" s="26"/>
      <c r="AF21" s="25">
        <v>20</v>
      </c>
    </row>
    <row r="22" spans="1:32" x14ac:dyDescent="0.25">
      <c r="K22" s="25" t="s">
        <v>48</v>
      </c>
      <c r="L22" s="25" t="s">
        <v>50</v>
      </c>
      <c r="M22" s="25" t="s">
        <v>50</v>
      </c>
      <c r="N22" s="25"/>
      <c r="O22" s="25" t="s">
        <v>2999</v>
      </c>
      <c r="P22" s="92">
        <v>5115451</v>
      </c>
      <c r="Q22" s="11"/>
      <c r="R22" s="26">
        <v>43851</v>
      </c>
      <c r="S22" s="26"/>
      <c r="T22" s="26">
        <f ca="1">IF(OR(StartMethod=1,tblPopulation[[#This Row],[Country]]="Tests"),tblPopulation[[#This Row],[LogistStartSave]],INT(NOW())-LastNDays)</f>
        <v>43858</v>
      </c>
      <c r="U22" s="25"/>
      <c r="V22" s="25">
        <v>16</v>
      </c>
      <c r="W22" s="26">
        <v>43858</v>
      </c>
      <c r="X22" s="26"/>
      <c r="Y22" s="11">
        <v>0</v>
      </c>
      <c r="Z22" s="11">
        <v>0</v>
      </c>
      <c r="AA22" s="26"/>
      <c r="AC22" s="25"/>
    </row>
    <row r="23" spans="1:32" x14ac:dyDescent="0.25">
      <c r="K23" s="25" t="s">
        <v>48</v>
      </c>
      <c r="L23" s="25" t="s">
        <v>95</v>
      </c>
      <c r="M23" s="25" t="s">
        <v>95</v>
      </c>
      <c r="N23" s="25"/>
      <c r="O23" s="25"/>
      <c r="P23" s="92">
        <v>2589000</v>
      </c>
      <c r="Q23" s="11"/>
      <c r="R23" s="11"/>
      <c r="S23" s="26"/>
      <c r="T23" s="26">
        <f ca="1">IF(OR(StartMethod=1,tblPopulation[[#This Row],[Country]]="Tests"),tblPopulation[[#This Row],[LogistStartSave]],INT(NOW())-LastNDays)</f>
        <v>0</v>
      </c>
      <c r="U23" s="25"/>
      <c r="V23" s="25">
        <v>17</v>
      </c>
      <c r="W23" s="26"/>
      <c r="X23" s="26"/>
      <c r="Y23" s="11">
        <v>0</v>
      </c>
      <c r="Z23" s="11">
        <v>0</v>
      </c>
      <c r="AA23" s="26"/>
      <c r="AC23" s="25"/>
    </row>
    <row r="24" spans="1:32" x14ac:dyDescent="0.25">
      <c r="K24" s="25" t="s">
        <v>48</v>
      </c>
      <c r="L24" s="25" t="s">
        <v>62</v>
      </c>
      <c r="M24" s="25" t="s">
        <v>62</v>
      </c>
      <c r="N24" s="25"/>
      <c r="O24" s="25"/>
      <c r="P24" s="92">
        <v>1670000</v>
      </c>
      <c r="Q24" s="11"/>
      <c r="R24" s="11"/>
      <c r="S24" s="26"/>
      <c r="T24" s="26">
        <f ca="1">IF(OR(StartMethod=1,tblPopulation[[#This Row],[Country]]="Tests"),tblPopulation[[#This Row],[LogistStartSave]],INT(NOW())-LastNDays)</f>
        <v>0</v>
      </c>
      <c r="U24" s="25"/>
      <c r="V24" s="25">
        <v>18</v>
      </c>
      <c r="W24" s="26"/>
      <c r="X24" s="26"/>
      <c r="Y24" s="11">
        <v>0</v>
      </c>
      <c r="Z24" s="11">
        <v>0</v>
      </c>
      <c r="AA24" s="26"/>
      <c r="AC24" s="25"/>
    </row>
    <row r="25" spans="1:32" x14ac:dyDescent="0.25">
      <c r="K25" s="25" t="s">
        <v>48</v>
      </c>
      <c r="L25" s="25" t="s">
        <v>117</v>
      </c>
      <c r="M25" s="25" t="s">
        <v>117</v>
      </c>
      <c r="N25" s="25"/>
      <c r="O25" s="25"/>
      <c r="P25" s="92">
        <v>211945</v>
      </c>
      <c r="Q25" s="11"/>
      <c r="R25" s="11"/>
      <c r="S25" s="26"/>
      <c r="T25" s="26">
        <f ca="1">IF(OR(StartMethod=1,tblPopulation[[#This Row],[Country]]="Tests"),tblPopulation[[#This Row],[LogistStartSave]],INT(NOW())-LastNDays)</f>
        <v>0</v>
      </c>
      <c r="U25" s="25"/>
      <c r="V25" s="25">
        <v>19</v>
      </c>
      <c r="W25" s="26"/>
      <c r="X25" s="26"/>
      <c r="Y25" s="11">
        <v>0</v>
      </c>
      <c r="Z25" s="11">
        <v>0</v>
      </c>
      <c r="AA25" s="26"/>
      <c r="AC25" s="25"/>
    </row>
    <row r="26" spans="1:32" x14ac:dyDescent="0.25">
      <c r="K26" s="25" t="s">
        <v>48</v>
      </c>
      <c r="L26" s="25" t="s">
        <v>196</v>
      </c>
      <c r="M26" s="25" t="s">
        <v>196</v>
      </c>
      <c r="N26" s="25"/>
      <c r="O26" s="25"/>
      <c r="P26" s="92">
        <v>428060</v>
      </c>
      <c r="Q26" s="11"/>
      <c r="R26" s="11"/>
      <c r="S26" s="26"/>
      <c r="T26" s="26">
        <f ca="1">IF(OR(StartMethod=1,tblPopulation[[#This Row],[Country]]="Tests"),tblPopulation[[#This Row],[LogistStartSave]],INT(NOW())-LastNDays)</f>
        <v>0</v>
      </c>
      <c r="U26" s="25"/>
      <c r="V26" s="25">
        <v>20</v>
      </c>
      <c r="W26" s="26"/>
      <c r="X26" s="26"/>
      <c r="Y26" s="11">
        <v>0</v>
      </c>
      <c r="Z26" s="11">
        <v>0</v>
      </c>
      <c r="AA26" s="26"/>
      <c r="AB26" s="25"/>
    </row>
    <row r="27" spans="1:32" x14ac:dyDescent="0.25">
      <c r="K27" s="25" t="s">
        <v>48</v>
      </c>
      <c r="L27" s="25" t="s">
        <v>106</v>
      </c>
      <c r="M27" s="25" t="s">
        <v>106</v>
      </c>
      <c r="N27" s="25"/>
      <c r="O27" s="25"/>
      <c r="P27" s="92">
        <v>515000</v>
      </c>
      <c r="Q27" s="11"/>
      <c r="R27" s="11"/>
      <c r="S27" s="26"/>
      <c r="T27" s="26">
        <f ca="1">IF(OR(StartMethod=1,tblPopulation[[#This Row],[Country]]="Tests"),tblPopulation[[#This Row],[LogistStartSave]],INT(NOW())-LastNDays)</f>
        <v>0</v>
      </c>
      <c r="U27" s="25"/>
      <c r="V27" s="25">
        <v>21</v>
      </c>
      <c r="W27" s="26"/>
      <c r="X27" s="26"/>
      <c r="Y27" s="11">
        <v>0</v>
      </c>
      <c r="Z27" s="11">
        <v>0</v>
      </c>
      <c r="AA27" s="26"/>
      <c r="AB27" s="25"/>
    </row>
    <row r="28" spans="1:32" s="25" customFormat="1" x14ac:dyDescent="0.25">
      <c r="K28" s="25" t="s">
        <v>41</v>
      </c>
      <c r="L28" s="25" t="s">
        <v>41</v>
      </c>
      <c r="P28" s="92">
        <v>95540000</v>
      </c>
      <c r="Q28" s="11"/>
      <c r="R28" s="11"/>
      <c r="S28" s="26"/>
      <c r="T28" s="26">
        <f ca="1">IF(OR(StartMethod=1,tblPopulation[[#This Row],[Country]]="Tests"),tblPopulation[[#This Row],[LogistStartSave]],INT(NOW())-LastNDays)</f>
        <v>0</v>
      </c>
      <c r="V28" s="25">
        <v>22</v>
      </c>
      <c r="W28" s="26"/>
      <c r="X28" s="26"/>
      <c r="Y28" s="11">
        <v>0</v>
      </c>
      <c r="Z28" s="11">
        <v>0</v>
      </c>
      <c r="AA28" s="26"/>
    </row>
    <row r="29" spans="1:32" x14ac:dyDescent="0.25">
      <c r="K29" t="s">
        <v>208</v>
      </c>
      <c r="L29" s="25" t="s">
        <v>2980</v>
      </c>
      <c r="M29" t="s">
        <v>2980</v>
      </c>
      <c r="P29" s="92">
        <v>23628065</v>
      </c>
      <c r="Q29" s="11"/>
      <c r="R29" s="11"/>
      <c r="S29" s="26"/>
      <c r="T29" s="26">
        <f ca="1">IF(OR(StartMethod=1,tblPopulation[[#This Row],[Country]]="Tests"),tblPopulation[[#This Row],[LogistStartSave]],INT(NOW())-LastNDays)</f>
        <v>0</v>
      </c>
      <c r="V29">
        <v>23</v>
      </c>
      <c r="W29" s="26"/>
      <c r="X29" s="26"/>
      <c r="Y29" s="11">
        <v>0</v>
      </c>
      <c r="Z29" s="11">
        <v>0</v>
      </c>
      <c r="AA29" s="26"/>
      <c r="AB29" s="25"/>
    </row>
    <row r="30" spans="1:32" x14ac:dyDescent="0.25">
      <c r="K30" s="25" t="s">
        <v>53</v>
      </c>
      <c r="L30" s="25" t="s">
        <v>53</v>
      </c>
      <c r="M30" s="25"/>
      <c r="N30" s="25"/>
      <c r="P30" s="92">
        <v>83020000</v>
      </c>
      <c r="Q30" s="11"/>
      <c r="R30" s="11"/>
      <c r="S30" s="26"/>
      <c r="T30" s="26">
        <f ca="1">IF(OR(StartMethod=1,tblPopulation[[#This Row],[Country]]="Tests"),tblPopulation[[#This Row],[LogistStartSave]],INT(NOW())-LastNDays)</f>
        <v>0</v>
      </c>
      <c r="U30" s="25"/>
      <c r="V30" s="25">
        <v>24</v>
      </c>
      <c r="W30" s="26"/>
      <c r="X30" s="26"/>
      <c r="Y30" s="26"/>
      <c r="Z30" s="26"/>
      <c r="AA30" s="26"/>
      <c r="AB30" s="25"/>
    </row>
    <row r="31" spans="1:32" x14ac:dyDescent="0.25">
      <c r="K31" s="25" t="s">
        <v>85</v>
      </c>
      <c r="L31" s="25" t="s">
        <v>85</v>
      </c>
      <c r="M31" s="25"/>
      <c r="N31" s="25"/>
      <c r="P31" s="92">
        <v>5806000</v>
      </c>
      <c r="Q31" s="11"/>
      <c r="R31" s="11"/>
      <c r="S31" s="26"/>
      <c r="T31" s="26">
        <f ca="1">IF(OR(StartMethod=1,tblPopulation[[#This Row],[Country]]="Tests"),tblPopulation[[#This Row],[LogistStartSave]],INT(NOW())-LastNDays)</f>
        <v>0</v>
      </c>
      <c r="U31" s="25"/>
      <c r="V31" s="25">
        <v>25</v>
      </c>
      <c r="W31" s="26"/>
      <c r="X31" s="26"/>
      <c r="Y31" s="26"/>
      <c r="Z31" s="26"/>
      <c r="AA31" s="26"/>
      <c r="AB31" s="25"/>
    </row>
    <row r="32" spans="1:32" x14ac:dyDescent="0.25">
      <c r="K32" s="25" t="s">
        <v>124</v>
      </c>
      <c r="L32" s="25" t="s">
        <v>124</v>
      </c>
      <c r="M32" s="25"/>
      <c r="N32" s="25"/>
      <c r="P32" s="92">
        <v>57780000</v>
      </c>
      <c r="Q32" s="11"/>
      <c r="R32" s="11"/>
      <c r="S32" s="26"/>
      <c r="T32" s="26">
        <f ca="1">IF(OR(StartMethod=1,tblPopulation[[#This Row],[Country]]="Tests"),tblPopulation[[#This Row],[LogistStartSave]],INT(NOW())-LastNDays)</f>
        <v>0</v>
      </c>
      <c r="U32" s="25"/>
      <c r="V32" s="25">
        <v>26</v>
      </c>
      <c r="W32" s="26"/>
      <c r="X32" s="26"/>
      <c r="Y32" s="26"/>
      <c r="Z32" s="26"/>
      <c r="AA32" s="26"/>
      <c r="AB32" s="25"/>
    </row>
    <row r="33" spans="11:28" x14ac:dyDescent="0.25">
      <c r="K33" s="25" t="s">
        <v>176</v>
      </c>
      <c r="L33" s="25" t="s">
        <v>16</v>
      </c>
      <c r="M33" s="25" t="s">
        <v>16</v>
      </c>
      <c r="N33" s="25"/>
      <c r="P33" s="92">
        <v>58500000</v>
      </c>
      <c r="Q33" s="11"/>
      <c r="R33" s="11"/>
      <c r="S33" s="26"/>
      <c r="T33" s="26">
        <f ca="1">IF(OR(StartMethod=1,tblPopulation[[#This Row],[Country]]="Tests"),tblPopulation[[#This Row],[LogistStartSave]],INT(NOW())-LastNDays)</f>
        <v>0</v>
      </c>
      <c r="U33" s="25"/>
      <c r="V33" s="25">
        <v>27</v>
      </c>
      <c r="W33" s="26"/>
      <c r="X33" s="26"/>
      <c r="Y33" s="26"/>
      <c r="Z33" s="26"/>
      <c r="AA33" s="26"/>
      <c r="AB33" s="25"/>
    </row>
    <row r="34" spans="11:28" x14ac:dyDescent="0.25">
      <c r="K34" s="25" t="s">
        <v>176</v>
      </c>
      <c r="L34" s="25" t="s">
        <v>39</v>
      </c>
      <c r="M34" s="25" t="s">
        <v>39</v>
      </c>
      <c r="N34" s="25"/>
      <c r="P34" s="92">
        <v>7451000</v>
      </c>
      <c r="Q34" s="11"/>
      <c r="R34" s="11"/>
      <c r="S34" s="26"/>
      <c r="T34" s="26">
        <f ca="1">IF(OR(StartMethod=1,tblPopulation[[#This Row],[Country]]="Tests"),tblPopulation[[#This Row],[LogistStartSave]],INT(NOW())-LastNDays)</f>
        <v>0</v>
      </c>
      <c r="U34" s="25"/>
      <c r="V34" s="25">
        <v>28</v>
      </c>
      <c r="W34" s="26"/>
      <c r="X34" s="26"/>
      <c r="Y34" s="26"/>
      <c r="Z34" s="26"/>
      <c r="AA34" s="26"/>
      <c r="AB34" s="25"/>
    </row>
    <row r="35" spans="11:28" x14ac:dyDescent="0.25">
      <c r="K35" s="25"/>
      <c r="M35" s="25"/>
      <c r="N35" s="25"/>
      <c r="P35" s="92"/>
      <c r="Q35" s="11"/>
      <c r="R35" s="11"/>
      <c r="S35" s="26"/>
      <c r="T35" s="26"/>
      <c r="U35" s="25"/>
      <c r="V35" s="25"/>
      <c r="W35" s="26"/>
      <c r="X35" s="26"/>
      <c r="Y35" s="26"/>
      <c r="Z35" s="26"/>
      <c r="AA35" s="26"/>
      <c r="AB35" s="25"/>
    </row>
    <row r="36" spans="11:28" x14ac:dyDescent="0.25">
      <c r="K36" t="s">
        <v>2210</v>
      </c>
      <c r="AB36" s="25"/>
    </row>
    <row r="37" spans="11:28" x14ac:dyDescent="0.25">
      <c r="AB37" s="25"/>
    </row>
    <row r="38" spans="11:28" x14ac:dyDescent="0.25">
      <c r="AB38" s="25"/>
    </row>
    <row r="39" spans="11:28" x14ac:dyDescent="0.25">
      <c r="AB39" s="25"/>
    </row>
    <row r="40" spans="11:28" x14ac:dyDescent="0.25">
      <c r="AB40" s="25"/>
    </row>
    <row r="41" spans="11:28" x14ac:dyDescent="0.25">
      <c r="AB41" s="25"/>
    </row>
    <row r="42" spans="11:28" x14ac:dyDescent="0.25">
      <c r="AB42" s="25"/>
    </row>
    <row r="43" spans="11:28" x14ac:dyDescent="0.25">
      <c r="AB43" s="25"/>
    </row>
    <row r="44" spans="11:28" x14ac:dyDescent="0.25">
      <c r="AB44" s="25"/>
    </row>
    <row r="45" spans="11:28" x14ac:dyDescent="0.25">
      <c r="AB45" s="25"/>
    </row>
    <row r="46" spans="11:28" x14ac:dyDescent="0.25">
      <c r="AB46" s="25"/>
    </row>
    <row r="47" spans="11:28" x14ac:dyDescent="0.25">
      <c r="AB47" s="25"/>
    </row>
    <row r="48" spans="11:28" x14ac:dyDescent="0.25">
      <c r="AB48" s="25"/>
    </row>
    <row r="49" spans="28:28" x14ac:dyDescent="0.25">
      <c r="AB49" s="25"/>
    </row>
    <row r="50" spans="28:28" x14ac:dyDescent="0.25">
      <c r="AB50" s="25"/>
    </row>
    <row r="51" spans="28:28" x14ac:dyDescent="0.25">
      <c r="AB51" s="25"/>
    </row>
    <row r="52" spans="28:28" x14ac:dyDescent="0.25">
      <c r="AB52" s="25"/>
    </row>
    <row r="53" spans="28:28" x14ac:dyDescent="0.25">
      <c r="AB53" s="25"/>
    </row>
    <row r="54" spans="28:28" x14ac:dyDescent="0.25">
      <c r="AB54" s="25"/>
    </row>
    <row r="55" spans="28:28" x14ac:dyDescent="0.25">
      <c r="AB55" s="25"/>
    </row>
    <row r="56" spans="28:28" x14ac:dyDescent="0.25">
      <c r="AB56" s="25"/>
    </row>
    <row r="57" spans="28:28" x14ac:dyDescent="0.25">
      <c r="AB57" s="25"/>
    </row>
    <row r="58" spans="28:28" x14ac:dyDescent="0.25">
      <c r="AB58" s="25"/>
    </row>
    <row r="59" spans="28:28" x14ac:dyDescent="0.25">
      <c r="AB59" s="25"/>
    </row>
    <row r="60" spans="28:28" x14ac:dyDescent="0.25">
      <c r="AB60" s="25"/>
    </row>
    <row r="61" spans="28:28" x14ac:dyDescent="0.25">
      <c r="AB61" s="25"/>
    </row>
    <row r="62" spans="28:28" x14ac:dyDescent="0.25">
      <c r="AB62" s="25"/>
    </row>
    <row r="63" spans="28:28" x14ac:dyDescent="0.25">
      <c r="AB63" s="25"/>
    </row>
    <row r="64" spans="28:28" x14ac:dyDescent="0.25">
      <c r="AB64" s="25"/>
    </row>
    <row r="65" spans="28:28" x14ac:dyDescent="0.25">
      <c r="AB65" s="25"/>
    </row>
    <row r="66" spans="28:28" x14ac:dyDescent="0.25">
      <c r="AB66" s="25"/>
    </row>
    <row r="67" spans="28:28" x14ac:dyDescent="0.25">
      <c r="AB67" s="25"/>
    </row>
    <row r="68" spans="28:28" x14ac:dyDescent="0.25">
      <c r="AB68" s="25"/>
    </row>
    <row r="69" spans="28:28" x14ac:dyDescent="0.25">
      <c r="AB69" s="25"/>
    </row>
    <row r="70" spans="28:28" x14ac:dyDescent="0.25">
      <c r="AB70" s="25"/>
    </row>
    <row r="71" spans="28:28" x14ac:dyDescent="0.25">
      <c r="AB71" s="25"/>
    </row>
    <row r="72" spans="28:28" x14ac:dyDescent="0.25">
      <c r="AB72" s="25"/>
    </row>
    <row r="73" spans="28:28" x14ac:dyDescent="0.25">
      <c r="AB73" s="25"/>
    </row>
    <row r="74" spans="28:28" x14ac:dyDescent="0.25">
      <c r="AB74" s="25"/>
    </row>
    <row r="75" spans="28:28" x14ac:dyDescent="0.25">
      <c r="AB75" s="25"/>
    </row>
    <row r="76" spans="28:28" x14ac:dyDescent="0.25">
      <c r="AB76" s="25"/>
    </row>
    <row r="77" spans="28:28" x14ac:dyDescent="0.25">
      <c r="AB77" s="25"/>
    </row>
    <row r="78" spans="28:28" x14ac:dyDescent="0.25">
      <c r="AB78" s="25"/>
    </row>
    <row r="79" spans="28:28" x14ac:dyDescent="0.25">
      <c r="AB79" s="25"/>
    </row>
    <row r="80" spans="28:28" x14ac:dyDescent="0.25">
      <c r="AB80" s="25"/>
    </row>
    <row r="81" spans="28:28" x14ac:dyDescent="0.25">
      <c r="AB81" s="25"/>
    </row>
    <row r="82" spans="28:28" x14ac:dyDescent="0.25">
      <c r="AB82" s="25"/>
    </row>
    <row r="83" spans="28:28" x14ac:dyDescent="0.25">
      <c r="AB83" s="25"/>
    </row>
    <row r="84" spans="28:28" x14ac:dyDescent="0.25">
      <c r="AB84" s="25"/>
    </row>
    <row r="85" spans="28:28" x14ac:dyDescent="0.25">
      <c r="AB85" s="25"/>
    </row>
    <row r="86" spans="28:28" x14ac:dyDescent="0.25">
      <c r="AB86" s="25"/>
    </row>
    <row r="87" spans="28:28" x14ac:dyDescent="0.25">
      <c r="AB87" s="25"/>
    </row>
    <row r="88" spans="28:28" x14ac:dyDescent="0.25">
      <c r="AB88" s="25"/>
    </row>
    <row r="89" spans="28:28" x14ac:dyDescent="0.25">
      <c r="AB89" s="25"/>
    </row>
    <row r="90" spans="28:28" x14ac:dyDescent="0.25">
      <c r="AB90" s="25"/>
    </row>
    <row r="91" spans="28:28" x14ac:dyDescent="0.25">
      <c r="AB91" s="25"/>
    </row>
    <row r="92" spans="28:28" x14ac:dyDescent="0.25">
      <c r="AB92" s="25"/>
    </row>
    <row r="93" spans="28:28" x14ac:dyDescent="0.25">
      <c r="AB93" s="25"/>
    </row>
    <row r="94" spans="28:28" x14ac:dyDescent="0.25">
      <c r="AB94" s="25"/>
    </row>
    <row r="95" spans="28:28" x14ac:dyDescent="0.25">
      <c r="AB95" s="25"/>
    </row>
    <row r="96" spans="28:28" x14ac:dyDescent="0.25">
      <c r="AB96" s="25"/>
    </row>
    <row r="97" spans="28:28" x14ac:dyDescent="0.25">
      <c r="AB97" s="25"/>
    </row>
  </sheetData>
  <pageMargins left="0.7" right="0.7" top="0.75" bottom="0.75" header="0.3" footer="0.3"/>
  <legacyDrawing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7:H10"/>
  <sheetViews>
    <sheetView workbookViewId="0"/>
  </sheetViews>
  <sheetFormatPr defaultRowHeight="15" x14ac:dyDescent="0.25"/>
  <sheetData>
    <row r="7" spans="1:8" x14ac:dyDescent="0.25">
      <c r="A7" s="29" t="s">
        <v>216</v>
      </c>
      <c r="B7" s="29" t="s">
        <v>217</v>
      </c>
      <c r="C7" s="29" t="s">
        <v>218</v>
      </c>
      <c r="D7" s="29" t="s">
        <v>219</v>
      </c>
      <c r="E7" s="29" t="s">
        <v>1652</v>
      </c>
      <c r="F7" t="s">
        <v>1653</v>
      </c>
      <c r="G7" t="s">
        <v>1654</v>
      </c>
      <c r="H7" t="s">
        <v>1651</v>
      </c>
    </row>
    <row r="8" spans="1:8" x14ac:dyDescent="0.25">
      <c r="C8" t="s">
        <v>222</v>
      </c>
      <c r="D8" t="s">
        <v>223</v>
      </c>
      <c r="E8" t="s">
        <v>224</v>
      </c>
      <c r="F8" t="s">
        <v>220</v>
      </c>
      <c r="G8" s="30" t="s">
        <v>498</v>
      </c>
      <c r="H8" t="s">
        <v>1656</v>
      </c>
    </row>
    <row r="9" spans="1:8" x14ac:dyDescent="0.25">
      <c r="E9" t="s">
        <v>224</v>
      </c>
      <c r="F9" t="s">
        <v>221</v>
      </c>
      <c r="G9" s="30" t="s">
        <v>499</v>
      </c>
      <c r="H9" t="s">
        <v>1656</v>
      </c>
    </row>
    <row r="10" spans="1:8" x14ac:dyDescent="0.25">
      <c r="E10" t="s">
        <v>3461</v>
      </c>
      <c r="F10" t="s">
        <v>2393</v>
      </c>
      <c r="G10" s="30" t="s">
        <v>3462</v>
      </c>
      <c r="H10" t="s">
        <v>1655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0659" r:id="rId3" name="CreateChartIndex">
              <controlPr defaultSize="0" print="0" autoFill="0" autoPict="0" macro="[0]!CreateChartIndex">
                <anchor moveWithCells="1" sizeWithCells="1">
                  <from>
                    <xdr:col>0</xdr:col>
                    <xdr:colOff>247650</xdr:colOff>
                    <xdr:row>1</xdr:row>
                    <xdr:rowOff>57150</xdr:rowOff>
                  </from>
                  <to>
                    <xdr:col>3</xdr:col>
                    <xdr:colOff>76200</xdr:colOff>
                    <xdr:row>3</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9"/>
  <sheetViews>
    <sheetView workbookViewId="0">
      <selection activeCell="B2" sqref="B2"/>
    </sheetView>
  </sheetViews>
  <sheetFormatPr defaultRowHeight="15" x14ac:dyDescent="0.25"/>
  <sheetData>
    <row r="1" spans="1:3" ht="60" x14ac:dyDescent="0.25">
      <c r="A1" s="131"/>
      <c r="B1" s="131" t="s">
        <v>1346</v>
      </c>
      <c r="C1" s="131" t="s">
        <v>1347</v>
      </c>
    </row>
    <row r="2" spans="1:3" x14ac:dyDescent="0.25">
      <c r="A2" s="25">
        <v>7</v>
      </c>
      <c r="B2" s="25">
        <f>IF(A2=0,GetTrueBlank,A2)</f>
        <v>7</v>
      </c>
      <c r="C2" s="25" t="b">
        <f>ISBLANK(B2)</f>
        <v>0</v>
      </c>
    </row>
    <row r="3" spans="1:3" x14ac:dyDescent="0.25">
      <c r="A3" s="25">
        <v>1</v>
      </c>
      <c r="B3" s="25">
        <f>IF(A3=0,GetTrueBlank,A3)</f>
        <v>1</v>
      </c>
      <c r="C3" s="25" t="b">
        <f t="shared" ref="C3:C9" si="0">ISBLANK(B3)</f>
        <v>0</v>
      </c>
    </row>
    <row r="4" spans="1:3" x14ac:dyDescent="0.25">
      <c r="A4" s="25">
        <v>2</v>
      </c>
      <c r="B4" s="25">
        <f>IF(A4=0,GetTrueBlank,A4)</f>
        <v>2</v>
      </c>
      <c r="C4" s="25" t="b">
        <f t="shared" si="0"/>
        <v>0</v>
      </c>
    </row>
    <row r="5" spans="1:3" x14ac:dyDescent="0.25">
      <c r="A5" s="25">
        <v>4</v>
      </c>
      <c r="B5" s="25">
        <f>IF(A5=0,GetTrueBlank,A5)</f>
        <v>4</v>
      </c>
      <c r="C5" s="25" t="b">
        <f t="shared" si="0"/>
        <v>0</v>
      </c>
    </row>
    <row r="6" spans="1:3" x14ac:dyDescent="0.25">
      <c r="A6" s="25">
        <v>0</v>
      </c>
      <c r="B6" s="25" t="str">
        <f>IF(A6=0,"",A6)</f>
        <v/>
      </c>
      <c r="C6" s="25" t="b">
        <f t="shared" si="0"/>
        <v>0</v>
      </c>
    </row>
    <row r="7" spans="1:3" x14ac:dyDescent="0.25">
      <c r="A7" s="25">
        <v>4</v>
      </c>
      <c r="B7" s="25">
        <f>IF(A7=0,GetTrueBlank,A7)</f>
        <v>4</v>
      </c>
      <c r="C7" s="25" t="b">
        <f t="shared" si="0"/>
        <v>0</v>
      </c>
    </row>
    <row r="8" spans="1:3" x14ac:dyDescent="0.25">
      <c r="A8" s="25">
        <v>0</v>
      </c>
      <c r="B8" s="25"/>
      <c r="C8" s="25" t="b">
        <f t="shared" si="0"/>
        <v>1</v>
      </c>
    </row>
    <row r="9" spans="1:3" x14ac:dyDescent="0.25">
      <c r="A9" s="25">
        <v>1</v>
      </c>
      <c r="B9" s="25">
        <f>IF(A9=0,GetTrueBlank,A9)</f>
        <v>1</v>
      </c>
      <c r="C9" s="25" t="b">
        <f t="shared" si="0"/>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5"/>
  <sheetViews>
    <sheetView workbookViewId="0">
      <selection activeCell="Q2" sqref="Q2"/>
    </sheetView>
  </sheetViews>
  <sheetFormatPr defaultRowHeight="15" x14ac:dyDescent="0.25"/>
  <cols>
    <col min="1" max="1" width="41.5703125" bestFit="1" customWidth="1"/>
    <col min="2" max="2" width="13.42578125" bestFit="1" customWidth="1"/>
    <col min="14" max="14" width="12" bestFit="1" customWidth="1"/>
  </cols>
  <sheetData>
    <row r="1" spans="1:17" x14ac:dyDescent="0.25">
      <c r="A1" s="25" t="s">
        <v>225</v>
      </c>
      <c r="B1" s="25" t="s">
        <v>226</v>
      </c>
      <c r="C1" s="25" t="s">
        <v>227</v>
      </c>
      <c r="D1" s="25" t="s">
        <v>228</v>
      </c>
      <c r="E1" s="25" t="s">
        <v>229</v>
      </c>
      <c r="F1" s="25" t="s">
        <v>230</v>
      </c>
      <c r="G1" s="25"/>
      <c r="H1" s="25"/>
      <c r="I1" s="25"/>
      <c r="J1" s="25"/>
      <c r="K1" s="25"/>
      <c r="L1" s="25"/>
      <c r="O1" t="s">
        <v>1193</v>
      </c>
      <c r="P1" t="s">
        <v>1194</v>
      </c>
    </row>
    <row r="2" spans="1:17" x14ac:dyDescent="0.25">
      <c r="A2" s="25" t="s">
        <v>231</v>
      </c>
      <c r="B2" s="25" t="s">
        <v>232</v>
      </c>
      <c r="C2" s="25" t="s">
        <v>233</v>
      </c>
      <c r="D2" s="25" t="s">
        <v>234</v>
      </c>
      <c r="E2" s="25" t="s">
        <v>235</v>
      </c>
      <c r="F2" s="25" t="s">
        <v>236</v>
      </c>
      <c r="G2" s="25"/>
      <c r="H2" s="25"/>
      <c r="I2" s="25"/>
      <c r="J2" s="25"/>
      <c r="K2" s="25"/>
      <c r="L2" s="25"/>
      <c r="M2" t="s">
        <v>1191</v>
      </c>
      <c r="N2" t="s">
        <v>1192</v>
      </c>
      <c r="O2" s="95">
        <f>21427100000000</f>
        <v>21427100000000</v>
      </c>
      <c r="P2" s="95">
        <v>4500000000000</v>
      </c>
      <c r="Q2" s="98">
        <f>P2/O2</f>
        <v>0.21001442099024134</v>
      </c>
    </row>
    <row r="3" spans="1:17" x14ac:dyDescent="0.25">
      <c r="A3" s="25" t="s">
        <v>237</v>
      </c>
      <c r="B3" s="25" t="s">
        <v>238</v>
      </c>
      <c r="C3" s="25" t="s">
        <v>233</v>
      </c>
      <c r="D3" s="25" t="s">
        <v>239</v>
      </c>
      <c r="E3" s="25" t="s">
        <v>240</v>
      </c>
      <c r="F3" s="25" t="s">
        <v>241</v>
      </c>
      <c r="G3" s="25" t="s">
        <v>242</v>
      </c>
      <c r="H3" s="25"/>
      <c r="I3" s="25"/>
      <c r="J3" s="25"/>
      <c r="K3" s="25"/>
      <c r="L3" s="25"/>
    </row>
    <row r="4" spans="1:17" x14ac:dyDescent="0.25">
      <c r="A4" s="25" t="s">
        <v>243</v>
      </c>
      <c r="B4" s="25" t="s">
        <v>244</v>
      </c>
      <c r="C4" s="25" t="s">
        <v>245</v>
      </c>
      <c r="D4" s="25" t="s">
        <v>246</v>
      </c>
      <c r="E4" s="25" t="s">
        <v>247</v>
      </c>
      <c r="F4" s="25" t="s">
        <v>244</v>
      </c>
      <c r="G4" s="25"/>
      <c r="H4" s="25"/>
      <c r="I4" s="25"/>
      <c r="J4" s="25"/>
      <c r="K4" s="25"/>
      <c r="L4" s="25"/>
    </row>
    <row r="5" spans="1:17" x14ac:dyDescent="0.25">
      <c r="A5" s="25" t="s">
        <v>248</v>
      </c>
      <c r="B5" s="25" t="s">
        <v>249</v>
      </c>
      <c r="C5" s="25" t="s">
        <v>250</v>
      </c>
      <c r="D5" s="25" t="s">
        <v>251</v>
      </c>
      <c r="E5" s="25" t="s">
        <v>252</v>
      </c>
      <c r="F5" s="25" t="s">
        <v>253</v>
      </c>
      <c r="G5" s="25" t="str">
        <f>SUBSTITUTE(B5,"%","")</f>
        <v>94.2 </v>
      </c>
      <c r="H5" s="25">
        <f>VALUE(LEFT(B5,4))</f>
        <v>94.2</v>
      </c>
      <c r="I5" s="25"/>
      <c r="J5" s="25"/>
      <c r="K5" s="25"/>
      <c r="L5" s="25"/>
    </row>
    <row r="6" spans="1:17" x14ac:dyDescent="0.25">
      <c r="A6" s="25" t="s">
        <v>254</v>
      </c>
      <c r="B6" s="25" t="s">
        <v>255</v>
      </c>
      <c r="C6" s="25" t="s">
        <v>256</v>
      </c>
      <c r="D6" s="25" t="s">
        <v>257</v>
      </c>
      <c r="E6" s="25" t="s">
        <v>258</v>
      </c>
      <c r="F6" s="25" t="s">
        <v>259</v>
      </c>
      <c r="G6" s="25"/>
      <c r="H6" s="25">
        <f t="shared" ref="H6:H11" si="0">VALUE(LEFT(B6,4))</f>
        <v>98.5</v>
      </c>
      <c r="I6" s="25"/>
      <c r="J6" s="25"/>
      <c r="K6" s="25"/>
      <c r="L6" s="25"/>
    </row>
    <row r="7" spans="1:17" x14ac:dyDescent="0.25">
      <c r="A7" s="25" t="s">
        <v>260</v>
      </c>
      <c r="B7" s="25" t="s">
        <v>261</v>
      </c>
      <c r="C7" s="25" t="s">
        <v>262</v>
      </c>
      <c r="D7" s="25" t="s">
        <v>263</v>
      </c>
      <c r="E7" s="25" t="s">
        <v>264</v>
      </c>
      <c r="F7" s="25" t="s">
        <v>265</v>
      </c>
      <c r="G7" s="25"/>
      <c r="H7" s="25">
        <f t="shared" si="0"/>
        <v>95.5</v>
      </c>
      <c r="I7" s="25"/>
      <c r="J7" s="25"/>
      <c r="K7" s="25"/>
      <c r="L7" s="25"/>
    </row>
    <row r="8" spans="1:17" x14ac:dyDescent="0.25">
      <c r="A8" s="25" t="s">
        <v>266</v>
      </c>
      <c r="B8" s="25" t="s">
        <v>267</v>
      </c>
      <c r="C8" s="25" t="s">
        <v>268</v>
      </c>
      <c r="D8" s="25" t="s">
        <v>269</v>
      </c>
      <c r="E8" s="25" t="s">
        <v>270</v>
      </c>
      <c r="F8" s="25" t="s">
        <v>271</v>
      </c>
      <c r="G8" s="25"/>
      <c r="H8" s="25">
        <f t="shared" si="0"/>
        <v>96.1</v>
      </c>
      <c r="I8" s="25"/>
      <c r="J8" s="25"/>
      <c r="K8" s="25"/>
      <c r="L8" s="25"/>
    </row>
    <row r="9" spans="1:17" x14ac:dyDescent="0.25">
      <c r="A9" s="25" t="s">
        <v>272</v>
      </c>
      <c r="B9" s="25" t="s">
        <v>273</v>
      </c>
      <c r="C9" s="25" t="s">
        <v>274</v>
      </c>
      <c r="D9" s="25" t="s">
        <v>275</v>
      </c>
      <c r="E9" s="25" t="s">
        <v>276</v>
      </c>
      <c r="F9" s="25" t="s">
        <v>277</v>
      </c>
      <c r="G9" s="25"/>
      <c r="H9" s="25">
        <f t="shared" si="0"/>
        <v>99.1</v>
      </c>
      <c r="I9" s="25"/>
      <c r="J9" s="25"/>
      <c r="K9" s="25"/>
      <c r="L9" s="25"/>
    </row>
    <row r="10" spans="1:17" x14ac:dyDescent="0.25">
      <c r="A10" s="25" t="s">
        <v>278</v>
      </c>
      <c r="B10" s="25" t="s">
        <v>279</v>
      </c>
      <c r="C10" s="25" t="s">
        <v>280</v>
      </c>
      <c r="D10" s="25" t="s">
        <v>281</v>
      </c>
      <c r="E10" s="25" t="s">
        <v>282</v>
      </c>
      <c r="F10" s="25" t="s">
        <v>283</v>
      </c>
      <c r="G10" s="25"/>
      <c r="H10" s="25">
        <f t="shared" si="0"/>
        <v>92.8</v>
      </c>
      <c r="I10" s="25"/>
      <c r="J10" s="25"/>
      <c r="K10" s="25"/>
      <c r="L10" s="25"/>
    </row>
    <row r="11" spans="1:17" x14ac:dyDescent="0.25">
      <c r="A11" s="25" t="s">
        <v>284</v>
      </c>
      <c r="B11" s="25" t="s">
        <v>285</v>
      </c>
      <c r="C11" s="25" t="s">
        <v>286</v>
      </c>
      <c r="D11" s="25" t="s">
        <v>287</v>
      </c>
      <c r="E11" s="25" t="s">
        <v>288</v>
      </c>
      <c r="F11" s="25" t="s">
        <v>289</v>
      </c>
      <c r="G11" s="25"/>
      <c r="H11" s="25">
        <f t="shared" si="0"/>
        <v>93.8</v>
      </c>
      <c r="I11" s="25">
        <f>AVERAGE(H5:H11)</f>
        <v>95.714285714285694</v>
      </c>
      <c r="J11" s="25"/>
      <c r="K11" s="25"/>
      <c r="L11" s="25"/>
    </row>
    <row r="12" spans="1:17" x14ac:dyDescent="0.25">
      <c r="A12" s="25" t="s">
        <v>290</v>
      </c>
      <c r="B12" s="25" t="s">
        <v>291</v>
      </c>
      <c r="C12" s="25" t="s">
        <v>292</v>
      </c>
      <c r="D12" s="25" t="s">
        <v>293</v>
      </c>
      <c r="E12" s="25" t="s">
        <v>294</v>
      </c>
      <c r="F12" s="25" t="s">
        <v>295</v>
      </c>
      <c r="G12" s="25"/>
      <c r="H12" s="25">
        <f>VALUE(LEFT(B12,4))</f>
        <v>89.2</v>
      </c>
      <c r="I12" s="25"/>
      <c r="J12" s="25"/>
      <c r="K12" s="25"/>
      <c r="L12" s="25"/>
    </row>
    <row r="13" spans="1:17" x14ac:dyDescent="0.25">
      <c r="A13" s="25" t="s">
        <v>296</v>
      </c>
      <c r="B13" s="25" t="s">
        <v>297</v>
      </c>
      <c r="C13" s="25" t="s">
        <v>298</v>
      </c>
      <c r="D13" s="25" t="s">
        <v>299</v>
      </c>
      <c r="E13" s="25" t="s">
        <v>300</v>
      </c>
      <c r="F13" s="25" t="s">
        <v>301</v>
      </c>
      <c r="G13" s="25"/>
      <c r="H13" s="25">
        <f>VALUE(LEFT(B13,4))</f>
        <v>88.3</v>
      </c>
      <c r="I13" s="25"/>
      <c r="J13" s="25"/>
      <c r="K13" s="25"/>
      <c r="L13" s="25"/>
    </row>
    <row r="14" spans="1:17" x14ac:dyDescent="0.25">
      <c r="A14" s="25"/>
      <c r="B14" s="25"/>
      <c r="C14" s="25"/>
      <c r="D14" s="25"/>
      <c r="E14" s="25"/>
      <c r="F14" s="25"/>
      <c r="G14" s="25"/>
      <c r="H14" s="25"/>
      <c r="I14" s="25"/>
      <c r="J14" s="25"/>
      <c r="K14" s="25"/>
      <c r="L14" s="25"/>
    </row>
    <row r="15" spans="1:17" x14ac:dyDescent="0.25">
      <c r="A15" s="25"/>
      <c r="B15" s="25"/>
      <c r="C15" s="25"/>
      <c r="D15" s="25"/>
      <c r="E15" s="25"/>
      <c r="F15" s="25"/>
      <c r="G15" s="25"/>
      <c r="H15" s="25"/>
      <c r="I15" s="25"/>
      <c r="J15" s="25"/>
      <c r="K15" s="25"/>
      <c r="L15" s="25"/>
    </row>
    <row r="16" spans="1:17" x14ac:dyDescent="0.25">
      <c r="A16" s="25" t="s">
        <v>302</v>
      </c>
      <c r="B16" s="25" t="s">
        <v>303</v>
      </c>
      <c r="C16" s="25" t="s">
        <v>304</v>
      </c>
      <c r="D16" s="25" t="s">
        <v>305</v>
      </c>
      <c r="E16" s="25" t="s">
        <v>306</v>
      </c>
      <c r="F16" s="25" t="s">
        <v>307</v>
      </c>
      <c r="G16" s="25"/>
      <c r="H16" s="25"/>
      <c r="I16" s="25"/>
      <c r="J16" s="25"/>
      <c r="K16" s="25"/>
      <c r="L16" s="25"/>
    </row>
    <row r="17" spans="1:12" x14ac:dyDescent="0.25">
      <c r="A17" s="25" t="s">
        <v>308</v>
      </c>
      <c r="B17" s="25" t="s">
        <v>309</v>
      </c>
      <c r="C17" s="25" t="s">
        <v>310</v>
      </c>
      <c r="D17" s="25" t="s">
        <v>311</v>
      </c>
      <c r="E17" s="25" t="s">
        <v>312</v>
      </c>
      <c r="F17" s="25" t="s">
        <v>313</v>
      </c>
      <c r="G17" s="25"/>
      <c r="H17" s="25"/>
      <c r="I17" s="25"/>
      <c r="J17" s="25"/>
      <c r="K17" s="25"/>
      <c r="L17" s="25"/>
    </row>
    <row r="18" spans="1:12" x14ac:dyDescent="0.25">
      <c r="A18" s="25" t="s">
        <v>314</v>
      </c>
      <c r="B18" s="25" t="s">
        <v>297</v>
      </c>
      <c r="C18" s="25" t="s">
        <v>315</v>
      </c>
      <c r="D18" s="25" t="s">
        <v>316</v>
      </c>
      <c r="E18" s="25" t="s">
        <v>317</v>
      </c>
      <c r="F18" s="25" t="s">
        <v>318</v>
      </c>
      <c r="G18" s="25"/>
      <c r="H18" s="25"/>
      <c r="I18" s="25"/>
      <c r="J18" s="25"/>
      <c r="K18" s="25"/>
      <c r="L18" s="25"/>
    </row>
    <row r="19" spans="1:12" x14ac:dyDescent="0.25">
      <c r="A19" s="25" t="s">
        <v>319</v>
      </c>
      <c r="B19" s="25" t="s">
        <v>320</v>
      </c>
      <c r="C19" s="25" t="s">
        <v>321</v>
      </c>
      <c r="D19" s="25" t="s">
        <v>322</v>
      </c>
      <c r="E19" s="25" t="s">
        <v>323</v>
      </c>
      <c r="F19" s="25" t="s">
        <v>324</v>
      </c>
      <c r="G19" s="25"/>
      <c r="H19" s="25"/>
      <c r="I19" s="25"/>
      <c r="J19" s="25"/>
      <c r="K19" s="25"/>
      <c r="L19" s="25"/>
    </row>
    <row r="20" spans="1:12" x14ac:dyDescent="0.25">
      <c r="A20" s="25" t="s">
        <v>325</v>
      </c>
      <c r="B20" s="25" t="s">
        <v>326</v>
      </c>
      <c r="C20" s="25" t="s">
        <v>327</v>
      </c>
      <c r="D20" s="25" t="s">
        <v>328</v>
      </c>
      <c r="E20" s="25" t="s">
        <v>329</v>
      </c>
      <c r="F20" s="25" t="s">
        <v>330</v>
      </c>
      <c r="G20" s="25"/>
      <c r="H20" s="25"/>
      <c r="I20" s="25"/>
      <c r="J20" s="25"/>
      <c r="K20" s="25"/>
      <c r="L20" s="25"/>
    </row>
    <row r="21" spans="1:12" x14ac:dyDescent="0.25">
      <c r="A21" s="25" t="s">
        <v>331</v>
      </c>
      <c r="B21" s="25" t="s">
        <v>332</v>
      </c>
      <c r="C21" s="25" t="s">
        <v>333</v>
      </c>
      <c r="D21" s="25" t="s">
        <v>334</v>
      </c>
      <c r="E21" s="25" t="s">
        <v>335</v>
      </c>
      <c r="F21" s="25" t="s">
        <v>336</v>
      </c>
      <c r="G21" s="25"/>
      <c r="H21" s="25"/>
      <c r="I21" s="25"/>
      <c r="J21" s="25"/>
      <c r="K21" s="25"/>
      <c r="L21" s="25"/>
    </row>
    <row r="22" spans="1:12" x14ac:dyDescent="0.25">
      <c r="A22" s="25" t="s">
        <v>337</v>
      </c>
      <c r="B22" s="25" t="s">
        <v>338</v>
      </c>
      <c r="C22" s="25" t="s">
        <v>339</v>
      </c>
      <c r="D22" s="25" t="s">
        <v>340</v>
      </c>
      <c r="E22" s="25" t="s">
        <v>341</v>
      </c>
      <c r="F22" s="25" t="s">
        <v>342</v>
      </c>
      <c r="G22" s="25"/>
      <c r="H22" s="25"/>
      <c r="I22" s="25"/>
      <c r="J22" s="25" t="s">
        <v>343</v>
      </c>
      <c r="K22" s="25">
        <v>13500</v>
      </c>
      <c r="L22" s="25"/>
    </row>
    <row r="23" spans="1:12" x14ac:dyDescent="0.25">
      <c r="A23" s="25" t="s">
        <v>344</v>
      </c>
      <c r="B23" s="25" t="s">
        <v>345</v>
      </c>
      <c r="C23" s="25" t="s">
        <v>346</v>
      </c>
      <c r="D23" s="25" t="s">
        <v>347</v>
      </c>
      <c r="E23" s="25" t="s">
        <v>348</v>
      </c>
      <c r="F23" s="25" t="s">
        <v>349</v>
      </c>
      <c r="G23" s="25"/>
      <c r="H23" s="25"/>
      <c r="I23" s="25"/>
      <c r="J23" s="31">
        <v>0.1</v>
      </c>
      <c r="K23" s="25">
        <f>K22/10</f>
        <v>1350</v>
      </c>
      <c r="L23" s="25"/>
    </row>
    <row r="24" spans="1:12" x14ac:dyDescent="0.25">
      <c r="A24" s="25" t="s">
        <v>350</v>
      </c>
      <c r="B24" s="25" t="s">
        <v>351</v>
      </c>
      <c r="C24" s="25" t="s">
        <v>352</v>
      </c>
      <c r="D24" s="25" t="s">
        <v>353</v>
      </c>
      <c r="E24" s="25" t="s">
        <v>354</v>
      </c>
      <c r="F24" s="32">
        <v>2880708</v>
      </c>
      <c r="G24" s="25"/>
      <c r="H24" s="25"/>
      <c r="I24" s="25"/>
      <c r="J24" s="25"/>
      <c r="K24" s="25"/>
      <c r="L24" s="25"/>
    </row>
    <row r="25" spans="1:12" x14ac:dyDescent="0.25">
      <c r="A25" s="25"/>
      <c r="B25" s="25"/>
      <c r="C25" s="25"/>
      <c r="D25" s="25"/>
      <c r="E25" s="25"/>
      <c r="F25" s="25"/>
      <c r="G25" s="25"/>
      <c r="H25" s="25"/>
      <c r="I25" s="25"/>
      <c r="J25" s="25"/>
      <c r="K25" s="25"/>
      <c r="L25" s="2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35</vt:i4>
      </vt:variant>
      <vt:variant>
        <vt:lpstr>Named Ranges</vt:lpstr>
      </vt:variant>
      <vt:variant>
        <vt:i4>353</vt:i4>
      </vt:variant>
    </vt:vector>
  </HeadingPairs>
  <TitlesOfParts>
    <vt:vector size="400" baseType="lpstr">
      <vt:lpstr>myData</vt:lpstr>
      <vt:lpstr>StateCompare</vt:lpstr>
      <vt:lpstr>time_series_covid19_deaths</vt:lpstr>
      <vt:lpstr>TST</vt:lpstr>
      <vt:lpstr>DeathsTimeS</vt:lpstr>
      <vt:lpstr>time_series_covid19_confirmed</vt:lpstr>
      <vt:lpstr>Names</vt:lpstr>
      <vt:lpstr>NSWLikely</vt:lpstr>
      <vt:lpstr>solvMsgs</vt:lpstr>
      <vt:lpstr>Chart Index</vt:lpstr>
      <vt:lpstr>TrueBlank</vt:lpstr>
      <vt:lpstr>BedOccupancy</vt:lpstr>
      <vt:lpstr>chtNSWUnknown (2)</vt:lpstr>
      <vt:lpstr>chtFutureNSWVicQld100</vt:lpstr>
      <vt:lpstr>chtFutureTaiwan100</vt:lpstr>
      <vt:lpstr>chtFutureSMH5</vt:lpstr>
      <vt:lpstr>USBarchart</vt:lpstr>
      <vt:lpstr>chtFutureIreland100 (2)</vt:lpstr>
      <vt:lpstr>chtFutureTaiwan</vt:lpstr>
      <vt:lpstr>chtNSWUnknown</vt:lpstr>
      <vt:lpstr>chtFutureIreland100</vt:lpstr>
      <vt:lpstr>chtFutureNSW100LS</vt:lpstr>
      <vt:lpstr>chtFutureNSW</vt:lpstr>
      <vt:lpstr>chtFutureNSW100</vt:lpstr>
      <vt:lpstr>chtFutureNSWGen</vt:lpstr>
      <vt:lpstr>chtFutureNSWEarlyLS</vt:lpstr>
      <vt:lpstr>chtFutureItalyLS</vt:lpstr>
      <vt:lpstr>chtTests</vt:lpstr>
      <vt:lpstr>chtAsymptoteNSW (2)</vt:lpstr>
      <vt:lpstr>chtFutureItalyEarly (2)</vt:lpstr>
      <vt:lpstr>chtFutureSKoreaLS</vt:lpstr>
      <vt:lpstr>chtFutureChinaLS</vt:lpstr>
      <vt:lpstr>chtAllcases</vt:lpstr>
      <vt:lpstr>chtAsymptoteNSW</vt:lpstr>
      <vt:lpstr>chtFutureAllSK2</vt:lpstr>
      <vt:lpstr>chtFutureUK</vt:lpstr>
      <vt:lpstr>chtFutureSKorea</vt:lpstr>
      <vt:lpstr>chtFutureNSWUS</vt:lpstr>
      <vt:lpstr>chtFutureAll</vt:lpstr>
      <vt:lpstr>chtFutureNSWEarly</vt:lpstr>
      <vt:lpstr>chtFutureItalyEarly</vt:lpstr>
      <vt:lpstr>chtFutureItaly</vt:lpstr>
      <vt:lpstr>chtFutureUSEarly</vt:lpstr>
      <vt:lpstr>chtFutureUS</vt:lpstr>
      <vt:lpstr>chtFutureChina</vt:lpstr>
      <vt:lpstr>chtFutureAU</vt:lpstr>
      <vt:lpstr>chtFutureAllAU</vt:lpstr>
      <vt:lpstr>myData!ACTpop</vt:lpstr>
      <vt:lpstr>StateCompare!AllStates</vt:lpstr>
      <vt:lpstr>myData!Asymptote</vt:lpstr>
      <vt:lpstr>myData!Au100dt</vt:lpstr>
      <vt:lpstr>myData!AuLabel</vt:lpstr>
      <vt:lpstr>myData!AuMaxCasespc</vt:lpstr>
      <vt:lpstr>myData!AuPop</vt:lpstr>
      <vt:lpstr>myData!AuPopScale</vt:lpstr>
      <vt:lpstr>myData!AuSeries</vt:lpstr>
      <vt:lpstr>myData!AuStart</vt:lpstr>
      <vt:lpstr>DeathsTimeS!AustralianCapitalTerritoryCapita</vt:lpstr>
      <vt:lpstr>TST!AustralianCapitalTerritoryCapita</vt:lpstr>
      <vt:lpstr>DeathsTimeS!AustralianCapitalTerritoryPopScale</vt:lpstr>
      <vt:lpstr>TST!AustralianCapitalTerritoryPopScale</vt:lpstr>
      <vt:lpstr>DeathsTimeS!AustralianCapitalTerritorySeriesLabel</vt:lpstr>
      <vt:lpstr>TST!AustralianCapitalTerritorySeriesLabel</vt:lpstr>
      <vt:lpstr>DeathsTimeS!AustraliaSumCapita</vt:lpstr>
      <vt:lpstr>TST!AustraliaSumCapita</vt:lpstr>
      <vt:lpstr>DeathsTimeS!AustraliaSumPopScale</vt:lpstr>
      <vt:lpstr>TST!AustraliaSumPopScale</vt:lpstr>
      <vt:lpstr>DeathsTimeS!AustraliaSumSeriesLabel</vt:lpstr>
      <vt:lpstr>TST!AustraliaSumSeriesLabel</vt:lpstr>
      <vt:lpstr>myData!beta</vt:lpstr>
      <vt:lpstr>myData!betaAu</vt:lpstr>
      <vt:lpstr>myData!betaChina</vt:lpstr>
      <vt:lpstr>myData!betaGeneric</vt:lpstr>
      <vt:lpstr>myData!betaItaly</vt:lpstr>
      <vt:lpstr>myData!betaNSW</vt:lpstr>
      <vt:lpstr>myData!betaNSWUnknown</vt:lpstr>
      <vt:lpstr>myData!betaNZ</vt:lpstr>
      <vt:lpstr>myData!betaPodelta</vt:lpstr>
      <vt:lpstr>myData!betaPodeltaAu</vt:lpstr>
      <vt:lpstr>myData!betaPodeltaChina</vt:lpstr>
      <vt:lpstr>myData!betaPodeltaGeneric</vt:lpstr>
      <vt:lpstr>myData!betaPodeltaItaly</vt:lpstr>
      <vt:lpstr>myData!betaPodeltaNSW</vt:lpstr>
      <vt:lpstr>myData!betaPodeltaNSWUnknown</vt:lpstr>
      <vt:lpstr>myData!betaPodeltaNZ</vt:lpstr>
      <vt:lpstr>myData!betaPodeltaSingapore</vt:lpstr>
      <vt:lpstr>myData!betaPodeltaSKorea</vt:lpstr>
      <vt:lpstr>myData!betaPodeltaTaiwan</vt:lpstr>
      <vt:lpstr>myData!betaPodeltaTests</vt:lpstr>
      <vt:lpstr>myData!betaPodeltaUK</vt:lpstr>
      <vt:lpstr>myData!betaPodeltaUS</vt:lpstr>
      <vt:lpstr>myData!betaSingapore</vt:lpstr>
      <vt:lpstr>myData!betaSKorea</vt:lpstr>
      <vt:lpstr>myData!betaTaiwan</vt:lpstr>
      <vt:lpstr>myData!betaTests</vt:lpstr>
      <vt:lpstr>myData!betaUK</vt:lpstr>
      <vt:lpstr>myData!betaUS</vt:lpstr>
      <vt:lpstr>myData!China100dt</vt:lpstr>
      <vt:lpstr>myData!ChinaLabel</vt:lpstr>
      <vt:lpstr>myData!ChinaPop</vt:lpstr>
      <vt:lpstr>myData!ChinaPopscale</vt:lpstr>
      <vt:lpstr>myData!ChinaSeries</vt:lpstr>
      <vt:lpstr>myData!ChinaStart</vt:lpstr>
      <vt:lpstr>Countries</vt:lpstr>
      <vt:lpstr>DayFrom100</vt:lpstr>
      <vt:lpstr>solvMsgs!DaysBack</vt:lpstr>
      <vt:lpstr>myData!delta</vt:lpstr>
      <vt:lpstr>myData!deltaAu</vt:lpstr>
      <vt:lpstr>myData!deltaChina</vt:lpstr>
      <vt:lpstr>myData!deltaconstraint</vt:lpstr>
      <vt:lpstr>myData!deltaGeneric</vt:lpstr>
      <vt:lpstr>myData!deltaItaly</vt:lpstr>
      <vt:lpstr>myData!deltaNSW</vt:lpstr>
      <vt:lpstr>myData!deltaNSWUnknown</vt:lpstr>
      <vt:lpstr>myData!deltaNZ</vt:lpstr>
      <vt:lpstr>myData!deltaSingapore</vt:lpstr>
      <vt:lpstr>myData!deltaSKorea</vt:lpstr>
      <vt:lpstr>myData!deltaTaiwan</vt:lpstr>
      <vt:lpstr>myData!deltaTests</vt:lpstr>
      <vt:lpstr>myData!deltaUK</vt:lpstr>
      <vt:lpstr>myData!deltaUS</vt:lpstr>
      <vt:lpstr>DeathsTimeS!DenmarkCapita</vt:lpstr>
      <vt:lpstr>TST!DenmarkCapita</vt:lpstr>
      <vt:lpstr>DeathsTimeS!DenmarkPopScale</vt:lpstr>
      <vt:lpstr>TST!DenmarkPopScale</vt:lpstr>
      <vt:lpstr>DeathsTimeS!DenmarkSeriesLabel</vt:lpstr>
      <vt:lpstr>TST!DenmarkSeriesLabel</vt:lpstr>
      <vt:lpstr>myData!GenCountry</vt:lpstr>
      <vt:lpstr>myData!Generic100dt</vt:lpstr>
      <vt:lpstr>myData!GenericLabel</vt:lpstr>
      <vt:lpstr>myData!GenericPop</vt:lpstr>
      <vt:lpstr>myData!GenericPopscale</vt:lpstr>
      <vt:lpstr>myData!GenericSeries</vt:lpstr>
      <vt:lpstr>myData!GenericStart</vt:lpstr>
      <vt:lpstr>myData!GenMatch</vt:lpstr>
      <vt:lpstr>myData!GenName</vt:lpstr>
      <vt:lpstr>myData!GenStart</vt:lpstr>
      <vt:lpstr>myData!GenState</vt:lpstr>
      <vt:lpstr>DeathsTimeS!GermanyCapita</vt:lpstr>
      <vt:lpstr>TST!GermanyCapita</vt:lpstr>
      <vt:lpstr>DeathsTimeS!GermanyPopScale</vt:lpstr>
      <vt:lpstr>TST!GermanyPopScale</vt:lpstr>
      <vt:lpstr>DeathsTimeS!GermanySeriesLabel</vt:lpstr>
      <vt:lpstr>TST!GermanySeriesLabel</vt:lpstr>
      <vt:lpstr>DeathsTimeS!HeadRow</vt:lpstr>
      <vt:lpstr>TST!HeadRow</vt:lpstr>
      <vt:lpstr>myData!HisTableCol1All</vt:lpstr>
      <vt:lpstr>DeathsTimeS!HongKongCapita</vt:lpstr>
      <vt:lpstr>TST!HongKongCapita</vt:lpstr>
      <vt:lpstr>DeathsTimeS!HongKongPopScale</vt:lpstr>
      <vt:lpstr>TST!HongKongPopScale</vt:lpstr>
      <vt:lpstr>DeathsTimeS!HongKongSeriesLabel</vt:lpstr>
      <vt:lpstr>TST!HongKongSeriesLabel</vt:lpstr>
      <vt:lpstr>DeathsTimeS!HubeiCapita</vt:lpstr>
      <vt:lpstr>TST!HubeiCapita</vt:lpstr>
      <vt:lpstr>DeathsTimeS!HubeiPopScale</vt:lpstr>
      <vt:lpstr>TST!HubeiPopScale</vt:lpstr>
      <vt:lpstr>DeathsTimeS!HubeiSeriesLabel</vt:lpstr>
      <vt:lpstr>TST!HubeiSeriesLabel</vt:lpstr>
      <vt:lpstr>DeathsTimeS!IranCapita</vt:lpstr>
      <vt:lpstr>TST!IranCapita</vt:lpstr>
      <vt:lpstr>DeathsTimeS!IranPopScale</vt:lpstr>
      <vt:lpstr>TST!IranPopScale</vt:lpstr>
      <vt:lpstr>DeathsTimeS!IranSeriesLabel</vt:lpstr>
      <vt:lpstr>TST!IranSeriesLabel</vt:lpstr>
      <vt:lpstr>DeathsTimeS!IrelandCapita</vt:lpstr>
      <vt:lpstr>TST!IrelandCapita</vt:lpstr>
      <vt:lpstr>DeathsTimeS!IrelandPopScale</vt:lpstr>
      <vt:lpstr>TST!IrelandPopScale</vt:lpstr>
      <vt:lpstr>DeathsTimeS!IrelandSeriesLabel</vt:lpstr>
      <vt:lpstr>TST!IrelandSeriesLabel</vt:lpstr>
      <vt:lpstr>myData!Italy100dt</vt:lpstr>
      <vt:lpstr>DeathsTimeS!ItalyCapita</vt:lpstr>
      <vt:lpstr>TST!ItalyCapita</vt:lpstr>
      <vt:lpstr>myData!ItalyLabel</vt:lpstr>
      <vt:lpstr>myData!ItalyPop</vt:lpstr>
      <vt:lpstr>DeathsTimeS!ItalyPopScale</vt:lpstr>
      <vt:lpstr>myData!ItalyPopscale</vt:lpstr>
      <vt:lpstr>TST!ItalyPopScale</vt:lpstr>
      <vt:lpstr>myData!ItalySeries</vt:lpstr>
      <vt:lpstr>DeathsTimeS!ItalySeriesLabel</vt:lpstr>
      <vt:lpstr>TST!ItalySeriesLabel</vt:lpstr>
      <vt:lpstr>myData!ItalyStart</vt:lpstr>
      <vt:lpstr>DeathsTimeS!JapanCapita</vt:lpstr>
      <vt:lpstr>TST!JapanCapita</vt:lpstr>
      <vt:lpstr>DeathsTimeS!JapanPopScale</vt:lpstr>
      <vt:lpstr>TST!JapanPopScale</vt:lpstr>
      <vt:lpstr>DeathsTimeS!JapanSeriesLabel</vt:lpstr>
      <vt:lpstr>TST!JapanSeriesLabel</vt:lpstr>
      <vt:lpstr>solvMsgs!LastNDays</vt:lpstr>
      <vt:lpstr>myData!lblHorizAxisDays</vt:lpstr>
      <vt:lpstr>myData!lblVertLin</vt:lpstr>
      <vt:lpstr>myData!lblVertLog</vt:lpstr>
      <vt:lpstr>myData!LogestBNSW</vt:lpstr>
      <vt:lpstr>myData!LogEstMNSW</vt:lpstr>
      <vt:lpstr>myData!LogFormula</vt:lpstr>
      <vt:lpstr>myData!MaxAusCases</vt:lpstr>
      <vt:lpstr>myData!MaxNSWCases</vt:lpstr>
      <vt:lpstr>solvMsgs!MinCases</vt:lpstr>
      <vt:lpstr>solvMsgs!MinDeaths</vt:lpstr>
      <vt:lpstr>myData!MinLastDateNoUS</vt:lpstr>
      <vt:lpstr>myData!msqAu</vt:lpstr>
      <vt:lpstr>myData!msqChina</vt:lpstr>
      <vt:lpstr>myData!msqGeneric</vt:lpstr>
      <vt:lpstr>myData!msqItaly</vt:lpstr>
      <vt:lpstr>myData!msqNSW</vt:lpstr>
      <vt:lpstr>myData!msqNSWUnknown</vt:lpstr>
      <vt:lpstr>myData!msqNZ</vt:lpstr>
      <vt:lpstr>myData!msqSingapore</vt:lpstr>
      <vt:lpstr>myData!msqSKorea</vt:lpstr>
      <vt:lpstr>myData!msqTaiwan</vt:lpstr>
      <vt:lpstr>myData!msqTests</vt:lpstr>
      <vt:lpstr>myData!msqUK</vt:lpstr>
      <vt:lpstr>myData!msqUS</vt:lpstr>
      <vt:lpstr>myData!mySolverPar</vt:lpstr>
      <vt:lpstr>DeathsTimeS!NewSouthWalesCapita</vt:lpstr>
      <vt:lpstr>TST!NewSouthWalesCapita</vt:lpstr>
      <vt:lpstr>DeathsTimeS!NewSouthWalesPopScale</vt:lpstr>
      <vt:lpstr>TST!NewSouthWalesPopScale</vt:lpstr>
      <vt:lpstr>DeathsTimeS!NewSouthWalesSeriesLabel</vt:lpstr>
      <vt:lpstr>TST!NewSouthWalesSeriesLabel</vt:lpstr>
      <vt:lpstr>DeathsTimeS!NewYorkCapita</vt:lpstr>
      <vt:lpstr>DeathsTimeS!NewYorkPopScale</vt:lpstr>
      <vt:lpstr>DeathsTimeS!NewYorkSeriesLabel</vt:lpstr>
      <vt:lpstr>DeathsTimeS!NorthernTerritoryCapita</vt:lpstr>
      <vt:lpstr>TST!NorthernTerritoryCapita</vt:lpstr>
      <vt:lpstr>DeathsTimeS!NorthernTerritoryPopScale</vt:lpstr>
      <vt:lpstr>TST!NorthernTerritoryPopScale</vt:lpstr>
      <vt:lpstr>DeathsTimeS!NorthernTerritorySeriesLabel</vt:lpstr>
      <vt:lpstr>TST!NorthernTerritorySeriesLabel</vt:lpstr>
      <vt:lpstr>myData!NSW100dt</vt:lpstr>
      <vt:lpstr>myData!NSWBadCompare</vt:lpstr>
      <vt:lpstr>myData!NSWLabel</vt:lpstr>
      <vt:lpstr>myData!NSWLogestB</vt:lpstr>
      <vt:lpstr>myData!NSWLogestLabel</vt:lpstr>
      <vt:lpstr>myData!NSWLogestM</vt:lpstr>
      <vt:lpstr>myData!NSWLogestmsq</vt:lpstr>
      <vt:lpstr>myData!NSWLogestR2</vt:lpstr>
      <vt:lpstr>myData!NSWMaxCasespc</vt:lpstr>
      <vt:lpstr>myData!NSWpop</vt:lpstr>
      <vt:lpstr>myData!NSWpopscale</vt:lpstr>
      <vt:lpstr>myData!NSWSeries</vt:lpstr>
      <vt:lpstr>myData!nswstart</vt:lpstr>
      <vt:lpstr>myData!NSWUnknownSeries</vt:lpstr>
      <vt:lpstr>myData!NTpop</vt:lpstr>
      <vt:lpstr>myData!NZ100dt</vt:lpstr>
      <vt:lpstr>myData!NZLabel</vt:lpstr>
      <vt:lpstr>myData!NZPop</vt:lpstr>
      <vt:lpstr>myData!NZPopscale</vt:lpstr>
      <vt:lpstr>myData!NZSeries</vt:lpstr>
      <vt:lpstr>myData!NZStart</vt:lpstr>
      <vt:lpstr>myData!PerPerson</vt:lpstr>
      <vt:lpstr>PerPersonLabel</vt:lpstr>
      <vt:lpstr>myData!Po</vt:lpstr>
      <vt:lpstr>myData!PoAu</vt:lpstr>
      <vt:lpstr>myData!PoChina</vt:lpstr>
      <vt:lpstr>myData!PoGeneric</vt:lpstr>
      <vt:lpstr>myData!PoItaly</vt:lpstr>
      <vt:lpstr>myData!PoNSW</vt:lpstr>
      <vt:lpstr>myData!PoNSWUnknown</vt:lpstr>
      <vt:lpstr>myData!PoNZ</vt:lpstr>
      <vt:lpstr>myData!PopScaling</vt:lpstr>
      <vt:lpstr>myData!PoSingapore</vt:lpstr>
      <vt:lpstr>myData!PoSKorea</vt:lpstr>
      <vt:lpstr>myData!PoTaiwan</vt:lpstr>
      <vt:lpstr>myData!PoTests</vt:lpstr>
      <vt:lpstr>myData!PoUK</vt:lpstr>
      <vt:lpstr>myData!PoUS</vt:lpstr>
      <vt:lpstr>DeathsTimeS!QueenslandCapita</vt:lpstr>
      <vt:lpstr>TST!QueenslandCapita</vt:lpstr>
      <vt:lpstr>DeathsTimeS!QueenslandPopScale</vt:lpstr>
      <vt:lpstr>TST!QueenslandPopScale</vt:lpstr>
      <vt:lpstr>DeathsTimeS!QueenslandSeriesLabel</vt:lpstr>
      <vt:lpstr>TST!QueenslandSeriesLabel</vt:lpstr>
      <vt:lpstr>myData!RunTableTL</vt:lpstr>
      <vt:lpstr>myData!RunTableTR</vt:lpstr>
      <vt:lpstr>myData!RunTimeAu</vt:lpstr>
      <vt:lpstr>myData!Singapore100dt</vt:lpstr>
      <vt:lpstr>myData!SingaporeLabel</vt:lpstr>
      <vt:lpstr>myData!SingaporePop</vt:lpstr>
      <vt:lpstr>myData!SingaporePopscale</vt:lpstr>
      <vt:lpstr>myData!SingaporeSeries</vt:lpstr>
      <vt:lpstr>myData!SingaporeStart</vt:lpstr>
      <vt:lpstr>myData!SKorea100dt</vt:lpstr>
      <vt:lpstr>myData!SKoreaLabel</vt:lpstr>
      <vt:lpstr>myData!SKoreaPop</vt:lpstr>
      <vt:lpstr>myData!SKoreaPopscale</vt:lpstr>
      <vt:lpstr>myData!SKoreaSeries</vt:lpstr>
      <vt:lpstr>myData!SKoreaStart</vt:lpstr>
      <vt:lpstr>SolverMsg</vt:lpstr>
      <vt:lpstr>DeathsTimeS!SouthAfricaCapita</vt:lpstr>
      <vt:lpstr>TST!SouthAfricaCapita</vt:lpstr>
      <vt:lpstr>DeathsTimeS!SouthAfricaPopScale</vt:lpstr>
      <vt:lpstr>TST!SouthAfricaPopScale</vt:lpstr>
      <vt:lpstr>DeathsTimeS!SouthAfricaSeriesLabel</vt:lpstr>
      <vt:lpstr>TST!SouthAfricaSeriesLabel</vt:lpstr>
      <vt:lpstr>DeathsTimeS!SouthAustraliaCapita</vt:lpstr>
      <vt:lpstr>TST!SouthAustraliaCapita</vt:lpstr>
      <vt:lpstr>DeathsTimeS!SouthAustraliaPopScale</vt:lpstr>
      <vt:lpstr>TST!SouthAustraliaPopScale</vt:lpstr>
      <vt:lpstr>DeathsTimeS!SouthAustraliaSeriesLabel</vt:lpstr>
      <vt:lpstr>TST!SouthAustraliaSeriesLabel</vt:lpstr>
      <vt:lpstr>DeathsTimeS!SpainCapita</vt:lpstr>
      <vt:lpstr>TST!SpainCapita</vt:lpstr>
      <vt:lpstr>DeathsTimeS!SpainPopScale</vt:lpstr>
      <vt:lpstr>TST!SpainPopScale</vt:lpstr>
      <vt:lpstr>DeathsTimeS!SpainSeriesLabel</vt:lpstr>
      <vt:lpstr>TST!SpainSeriesLabel</vt:lpstr>
      <vt:lpstr>myData!StartDt2Au</vt:lpstr>
      <vt:lpstr>myData!StartDt2China</vt:lpstr>
      <vt:lpstr>myData!StartDt2Generic</vt:lpstr>
      <vt:lpstr>myData!StartDt2Italy</vt:lpstr>
      <vt:lpstr>myData!StartDt2NSW</vt:lpstr>
      <vt:lpstr>myData!StartDt2NSWUnknown</vt:lpstr>
      <vt:lpstr>myData!StartDt2NZ</vt:lpstr>
      <vt:lpstr>myData!StartDt2Singapore</vt:lpstr>
      <vt:lpstr>myData!StartDt2SKorea</vt:lpstr>
      <vt:lpstr>myData!StartDt2Taiwan</vt:lpstr>
      <vt:lpstr>myData!StartDt2Tests</vt:lpstr>
      <vt:lpstr>myData!StartDt2UK</vt:lpstr>
      <vt:lpstr>myData!StartDt2US</vt:lpstr>
      <vt:lpstr>solvMsgs!StartMethod</vt:lpstr>
      <vt:lpstr>DeathsTimeS!SwedenCapita</vt:lpstr>
      <vt:lpstr>TST!SwedenCapita</vt:lpstr>
      <vt:lpstr>DeathsTimeS!SwedenPopScale</vt:lpstr>
      <vt:lpstr>TST!SwedenPopScale</vt:lpstr>
      <vt:lpstr>DeathsTimeS!SwedenSeriesLabel</vt:lpstr>
      <vt:lpstr>TST!SwedenSeriesLabel</vt:lpstr>
      <vt:lpstr>myData!tableGeneric</vt:lpstr>
      <vt:lpstr>myData!Taiwan100dt</vt:lpstr>
      <vt:lpstr>myData!TaiwanBadCompare</vt:lpstr>
      <vt:lpstr>DeathsTimeS!TaiwanCapita</vt:lpstr>
      <vt:lpstr>TST!TaiwanCapita</vt:lpstr>
      <vt:lpstr>myData!TaiwanLabel</vt:lpstr>
      <vt:lpstr>myData!TaiwanPop</vt:lpstr>
      <vt:lpstr>DeathsTimeS!TaiwanPopScale</vt:lpstr>
      <vt:lpstr>myData!TaiwanPopscale</vt:lpstr>
      <vt:lpstr>TST!TaiwanPopScale</vt:lpstr>
      <vt:lpstr>myData!TaiwanSeries</vt:lpstr>
      <vt:lpstr>DeathsTimeS!TaiwanSeriesLabel</vt:lpstr>
      <vt:lpstr>TST!TaiwanSeriesLabel</vt:lpstr>
      <vt:lpstr>myData!TaiwanStart</vt:lpstr>
      <vt:lpstr>DeathsTimeS!TasmaniaCapita</vt:lpstr>
      <vt:lpstr>TST!TasmaniaCapita</vt:lpstr>
      <vt:lpstr>DeathsTimeS!TasmaniaPopScale</vt:lpstr>
      <vt:lpstr>TST!TasmaniaPopScale</vt:lpstr>
      <vt:lpstr>DeathsTimeS!TasmaniaSeriesLabel</vt:lpstr>
      <vt:lpstr>TST!TasmaniaSeriesLabel</vt:lpstr>
      <vt:lpstr>myData!TestsLabel</vt:lpstr>
      <vt:lpstr>myData!TestsLogestB</vt:lpstr>
      <vt:lpstr>myData!TestsLogestLabel</vt:lpstr>
      <vt:lpstr>myData!TestsLogestM</vt:lpstr>
      <vt:lpstr>myData!TestsLogestMsq</vt:lpstr>
      <vt:lpstr>myData!TestsPop</vt:lpstr>
      <vt:lpstr>myData!TestsPopscale</vt:lpstr>
      <vt:lpstr>myData!TestsStart</vt:lpstr>
      <vt:lpstr>myData!TitleAll</vt:lpstr>
      <vt:lpstr>myData!TitleAllSK</vt:lpstr>
      <vt:lpstr>myData!TitleCases</vt:lpstr>
      <vt:lpstr>myData!UK100dt</vt:lpstr>
      <vt:lpstr>myData!UKLabel</vt:lpstr>
      <vt:lpstr>myData!UKPop</vt:lpstr>
      <vt:lpstr>myData!UKPopscale</vt:lpstr>
      <vt:lpstr>myData!UKSeries</vt:lpstr>
      <vt:lpstr>myData!UKStart</vt:lpstr>
      <vt:lpstr>DeathsTimeS!UnitedKingdomCapita</vt:lpstr>
      <vt:lpstr>TST!UnitedKingdomCapita</vt:lpstr>
      <vt:lpstr>DeathsTimeS!UnitedKingdomPopScale</vt:lpstr>
      <vt:lpstr>TST!UnitedKingdomPopScale</vt:lpstr>
      <vt:lpstr>DeathsTimeS!UnitedKingdomSeriesLabel</vt:lpstr>
      <vt:lpstr>TST!UnitedKingdomSeriesLabel</vt:lpstr>
      <vt:lpstr>myData!US100dt</vt:lpstr>
      <vt:lpstr>myData!USBadCompare</vt:lpstr>
      <vt:lpstr>DeathsTimeS!USCapita</vt:lpstr>
      <vt:lpstr>TST!USCapita</vt:lpstr>
      <vt:lpstr>myData!USLabel</vt:lpstr>
      <vt:lpstr>myData!USpop</vt:lpstr>
      <vt:lpstr>DeathsTimeS!USPopScale</vt:lpstr>
      <vt:lpstr>myData!USPopscale</vt:lpstr>
      <vt:lpstr>TST!USPopScale</vt:lpstr>
      <vt:lpstr>myData!USSeries</vt:lpstr>
      <vt:lpstr>DeathsTimeS!USSeriesLabel</vt:lpstr>
      <vt:lpstr>TST!USSeriesLabel</vt:lpstr>
      <vt:lpstr>myData!USStart</vt:lpstr>
      <vt:lpstr>myData!VicBadCompare</vt:lpstr>
      <vt:lpstr>DeathsTimeS!VictoriaCapita</vt:lpstr>
      <vt:lpstr>TST!VictoriaCapita</vt:lpstr>
      <vt:lpstr>DeathsTimeS!VictoriaPopScale</vt:lpstr>
      <vt:lpstr>TST!VictoriaPopScale</vt:lpstr>
      <vt:lpstr>DeathsTimeS!VictoriaSeriesLabel</vt:lpstr>
      <vt:lpstr>TST!VictoriaSeriesLabel</vt:lpstr>
      <vt:lpstr>TST!VietnamCapita</vt:lpstr>
      <vt:lpstr>TST!VietnamPopScale</vt:lpstr>
      <vt:lpstr>TST!VietnamSeriesLabel</vt:lpstr>
      <vt:lpstr>DeathsTimeS!WesternAustraliaCapita</vt:lpstr>
      <vt:lpstr>TST!WesternAustraliaCapita</vt:lpstr>
      <vt:lpstr>DeathsTimeS!WesternAustraliaPopScale</vt:lpstr>
      <vt:lpstr>TST!WesternAustraliaPopScale</vt:lpstr>
      <vt:lpstr>DeathsTimeS!WesternAustraliaSeriesLabel</vt:lpstr>
      <vt:lpstr>TST!WesternAustraliaSeriesLabel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dc:creator>
  <cp:lastModifiedBy>Kevin1</cp:lastModifiedBy>
  <dcterms:created xsi:type="dcterms:W3CDTF">2020-03-11T04:25:09Z</dcterms:created>
  <dcterms:modified xsi:type="dcterms:W3CDTF">2020-05-03T21:57:17Z</dcterms:modified>
</cp:coreProperties>
</file>